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rman_english_words.csv" sheetId="1" r:id="rId4"/>
  </sheets>
  <definedNames/>
  <calcPr/>
</workbook>
</file>

<file path=xl/sharedStrings.xml><?xml version="1.0" encoding="utf-8"?>
<sst xmlns="http://schemas.openxmlformats.org/spreadsheetml/2006/main" count="50001" uniqueCount="50001">
  <si>
    <t>German</t>
  </si>
  <si>
    <t>English</t>
  </si>
  <si>
    <t>ich</t>
  </si>
  <si>
    <t>sie</t>
  </si>
  <si>
    <t>das</t>
  </si>
  <si>
    <t>ist</t>
  </si>
  <si>
    <t>du</t>
  </si>
  <si>
    <t>nicht</t>
  </si>
  <si>
    <t>die</t>
  </si>
  <si>
    <t>es</t>
  </si>
  <si>
    <t>und</t>
  </si>
  <si>
    <t>der</t>
  </si>
  <si>
    <t>wir</t>
  </si>
  <si>
    <t>was</t>
  </si>
  <si>
    <t>zu</t>
  </si>
  <si>
    <t>er</t>
  </si>
  <si>
    <t>ein</t>
  </si>
  <si>
    <t>in</t>
  </si>
  <si>
    <t>ja</t>
  </si>
  <si>
    <t>mir</t>
  </si>
  <si>
    <t>mit</t>
  </si>
  <si>
    <t>wie</t>
  </si>
  <si>
    <t>den</t>
  </si>
  <si>
    <t>mich</t>
  </si>
  <si>
    <t>auf</t>
  </si>
  <si>
    <t>dass</t>
  </si>
  <si>
    <t>aber</t>
  </si>
  <si>
    <t>eine</t>
  </si>
  <si>
    <t>so</t>
  </si>
  <si>
    <t>hat</t>
  </si>
  <si>
    <t>hier</t>
  </si>
  <si>
    <t>haben</t>
  </si>
  <si>
    <t>für</t>
  </si>
  <si>
    <t>sind</t>
  </si>
  <si>
    <t>war</t>
  </si>
  <si>
    <t>von</t>
  </si>
  <si>
    <t>wenn</t>
  </si>
  <si>
    <t>dich</t>
  </si>
  <si>
    <t>ihr</t>
  </si>
  <si>
    <t>nein</t>
  </si>
  <si>
    <t>habe</t>
  </si>
  <si>
    <t>an</t>
  </si>
  <si>
    <t>bin</t>
  </si>
  <si>
    <t>noch</t>
  </si>
  <si>
    <t>nur</t>
  </si>
  <si>
    <t>da</t>
  </si>
  <si>
    <t>dir</t>
  </si>
  <si>
    <t>sich</t>
  </si>
  <si>
    <t>einen</t>
  </si>
  <si>
    <t>uns</t>
  </si>
  <si>
    <t>hast</t>
  </si>
  <si>
    <t>dem</t>
  </si>
  <si>
    <t>kann</t>
  </si>
  <si>
    <t>gut</t>
  </si>
  <si>
    <t>auch</t>
  </si>
  <si>
    <t>schon</t>
  </si>
  <si>
    <t>als</t>
  </si>
  <si>
    <t>sein</t>
  </si>
  <si>
    <t>mal</t>
  </si>
  <si>
    <t>jetzt</t>
  </si>
  <si>
    <t>ihn</t>
  </si>
  <si>
    <t>dann</t>
  </si>
  <si>
    <t>aus</t>
  </si>
  <si>
    <t>meine</t>
  </si>
  <si>
    <t>um</t>
  </si>
  <si>
    <t>im</t>
  </si>
  <si>
    <t>wird</t>
  </si>
  <si>
    <t>mein</t>
  </si>
  <si>
    <t>bist</t>
  </si>
  <si>
    <t>doch</t>
  </si>
  <si>
    <t>alles</t>
  </si>
  <si>
    <t>weiß</t>
  </si>
  <si>
    <t>keine</t>
  </si>
  <si>
    <t>oder</t>
  </si>
  <si>
    <t>nach</t>
  </si>
  <si>
    <t>s</t>
  </si>
  <si>
    <t>nichts</t>
  </si>
  <si>
    <t>man</t>
  </si>
  <si>
    <t>muss</t>
  </si>
  <si>
    <t>werden</t>
  </si>
  <si>
    <t>will</t>
  </si>
  <si>
    <t>ihnen</t>
  </si>
  <si>
    <t>geht</t>
  </si>
  <si>
    <t>wo</t>
  </si>
  <si>
    <t>etwas</t>
  </si>
  <si>
    <t>oh</t>
  </si>
  <si>
    <t>mehr</t>
  </si>
  <si>
    <t>bei</t>
  </si>
  <si>
    <t>also</t>
  </si>
  <si>
    <t>bitte</t>
  </si>
  <si>
    <t>immer</t>
  </si>
  <si>
    <t>hab</t>
  </si>
  <si>
    <t>warum</t>
  </si>
  <si>
    <t>vor</t>
  </si>
  <si>
    <t>los</t>
  </si>
  <si>
    <t>können</t>
  </si>
  <si>
    <t>wieder</t>
  </si>
  <si>
    <t>sagen</t>
  </si>
  <si>
    <t>machen</t>
  </si>
  <si>
    <t>danke</t>
  </si>
  <si>
    <t>sehr</t>
  </si>
  <si>
    <t>alle</t>
  </si>
  <si>
    <t>denn</t>
  </si>
  <si>
    <t>mann</t>
  </si>
  <si>
    <t>tun</t>
  </si>
  <si>
    <t>ihm</t>
  </si>
  <si>
    <t>zum</t>
  </si>
  <si>
    <t>gehen</t>
  </si>
  <si>
    <t>sehen</t>
  </si>
  <si>
    <t>vielleicht</t>
  </si>
  <si>
    <t>einem</t>
  </si>
  <si>
    <t>wer</t>
  </si>
  <si>
    <t>ihre</t>
  </si>
  <si>
    <t>diese</t>
  </si>
  <si>
    <t>euch</t>
  </si>
  <si>
    <t>einer</t>
  </si>
  <si>
    <t>komm</t>
  </si>
  <si>
    <t>über</t>
  </si>
  <si>
    <t>gibt</t>
  </si>
  <si>
    <t>okay</t>
  </si>
  <si>
    <t>wissen</t>
  </si>
  <si>
    <t>deine</t>
  </si>
  <si>
    <t>müssen</t>
  </si>
  <si>
    <t>soll</t>
  </si>
  <si>
    <t>werde</t>
  </si>
  <si>
    <t>nie</t>
  </si>
  <si>
    <t>wirklich</t>
  </si>
  <si>
    <t>hey</t>
  </si>
  <si>
    <t>kein</t>
  </si>
  <si>
    <t>viel</t>
  </si>
  <si>
    <t>weg</t>
  </si>
  <si>
    <t>würde</t>
  </si>
  <si>
    <t>tut</t>
  </si>
  <si>
    <t>am</t>
  </si>
  <si>
    <t>des</t>
  </si>
  <si>
    <t>einfach</t>
  </si>
  <si>
    <t>leben</t>
  </si>
  <si>
    <t>hatte</t>
  </si>
  <si>
    <t>zeit</t>
  </si>
  <si>
    <t>weil</t>
  </si>
  <si>
    <t>willst</t>
  </si>
  <si>
    <t>kommen</t>
  </si>
  <si>
    <t>dein</t>
  </si>
  <si>
    <t>heute</t>
  </si>
  <si>
    <t>kommt</t>
  </si>
  <si>
    <t>wollen</t>
  </si>
  <si>
    <t>damit</t>
  </si>
  <si>
    <t>ganz</t>
  </si>
  <si>
    <t>wäre</t>
  </si>
  <si>
    <t>wollte</t>
  </si>
  <si>
    <t>weißt</t>
  </si>
  <si>
    <t>ok</t>
  </si>
  <si>
    <t>sicher</t>
  </si>
  <si>
    <t>gesagt</t>
  </si>
  <si>
    <t>frau</t>
  </si>
  <si>
    <t>nun</t>
  </si>
  <si>
    <t>bis</t>
  </si>
  <si>
    <t>wurde</t>
  </si>
  <si>
    <t>leid</t>
  </si>
  <si>
    <t>na</t>
  </si>
  <si>
    <t>kannst</t>
  </si>
  <si>
    <t>macht</t>
  </si>
  <si>
    <t>dieser</t>
  </si>
  <si>
    <t>zurück</t>
  </si>
  <si>
    <t>lassen</t>
  </si>
  <si>
    <t>hallo</t>
  </si>
  <si>
    <t>meinen</t>
  </si>
  <si>
    <t>gott</t>
  </si>
  <si>
    <t>seine</t>
  </si>
  <si>
    <t>hätte</t>
  </si>
  <si>
    <t>zwei</t>
  </si>
  <si>
    <t>könnte</t>
  </si>
  <si>
    <t>genau</t>
  </si>
  <si>
    <t>waren</t>
  </si>
  <si>
    <t>zur</t>
  </si>
  <si>
    <t>lass</t>
  </si>
  <si>
    <t>klar</t>
  </si>
  <si>
    <t>morgen</t>
  </si>
  <si>
    <t>leute</t>
  </si>
  <si>
    <t>vater</t>
  </si>
  <si>
    <t>schön</t>
  </si>
  <si>
    <t>glaube</t>
  </si>
  <si>
    <t>mr.</t>
  </si>
  <si>
    <t>ab</t>
  </si>
  <si>
    <t>gerade</t>
  </si>
  <si>
    <t>tag</t>
  </si>
  <si>
    <t>gesehen</t>
  </si>
  <si>
    <t>reden</t>
  </si>
  <si>
    <t>wohl</t>
  </si>
  <si>
    <t>liebe</t>
  </si>
  <si>
    <t>sollte</t>
  </si>
  <si>
    <t>sagte</t>
  </si>
  <si>
    <t>unsere</t>
  </si>
  <si>
    <t>jemand</t>
  </si>
  <si>
    <t>geld</t>
  </si>
  <si>
    <t>durch</t>
  </si>
  <si>
    <t>ob</t>
  </si>
  <si>
    <t>keinen</t>
  </si>
  <si>
    <t>mutter</t>
  </si>
  <si>
    <t>raus</t>
  </si>
  <si>
    <t>gemacht</t>
  </si>
  <si>
    <t>paar</t>
  </si>
  <si>
    <t>mach</t>
  </si>
  <si>
    <t>passiert</t>
  </si>
  <si>
    <t>dachte</t>
  </si>
  <si>
    <t>besser</t>
  </si>
  <si>
    <t>musst</t>
  </si>
  <si>
    <t>wieso</t>
  </si>
  <si>
    <t>sir</t>
  </si>
  <si>
    <t>dieses</t>
  </si>
  <si>
    <t>selbst</t>
  </si>
  <si>
    <t>gehört</t>
  </si>
  <si>
    <t>möchte</t>
  </si>
  <si>
    <t>ohne</t>
  </si>
  <si>
    <t>hör</t>
  </si>
  <si>
    <t>her</t>
  </si>
  <si>
    <t>sag</t>
  </si>
  <si>
    <t>meiner</t>
  </si>
  <si>
    <t>anderen</t>
  </si>
  <si>
    <t>helfen</t>
  </si>
  <si>
    <t>nacht</t>
  </si>
  <si>
    <t>finden</t>
  </si>
  <si>
    <t>diesen</t>
  </si>
  <si>
    <t>gute</t>
  </si>
  <si>
    <t>wirst</t>
  </si>
  <si>
    <t>lange</t>
  </si>
  <si>
    <t>natürlich</t>
  </si>
  <si>
    <t>ach</t>
  </si>
  <si>
    <t>meinem</t>
  </si>
  <si>
    <t>gar</t>
  </si>
  <si>
    <t>ins</t>
  </si>
  <si>
    <t>sei</t>
  </si>
  <si>
    <t>dort</t>
  </si>
  <si>
    <t>weiter</t>
  </si>
  <si>
    <t>geben</t>
  </si>
  <si>
    <t>seit</t>
  </si>
  <si>
    <t>gleich</t>
  </si>
  <si>
    <t>sagt</t>
  </si>
  <si>
    <t>recht</t>
  </si>
  <si>
    <t>ihren</t>
  </si>
  <si>
    <t>richtig</t>
  </si>
  <si>
    <t>ordnung</t>
  </si>
  <si>
    <t>vom</t>
  </si>
  <si>
    <t>hören</t>
  </si>
  <si>
    <t>sieht</t>
  </si>
  <si>
    <t>davon</t>
  </si>
  <si>
    <t>dafür</t>
  </si>
  <si>
    <t>geh</t>
  </si>
  <si>
    <t>diesem</t>
  </si>
  <si>
    <t>wegen</t>
  </si>
  <si>
    <t>hause</t>
  </si>
  <si>
    <t>sollten</t>
  </si>
  <si>
    <t>mädchen</t>
  </si>
  <si>
    <t>hin</t>
  </si>
  <si>
    <t>sollen</t>
  </si>
  <si>
    <t>abend</t>
  </si>
  <si>
    <t>haus</t>
  </si>
  <si>
    <t>denke</t>
  </si>
  <si>
    <t>viele</t>
  </si>
  <si>
    <t>drei</t>
  </si>
  <si>
    <t>deinen</t>
  </si>
  <si>
    <t>freund</t>
  </si>
  <si>
    <t>guten</t>
  </si>
  <si>
    <t>unser</t>
  </si>
  <si>
    <t>warte</t>
  </si>
  <si>
    <t>machst</t>
  </si>
  <si>
    <t>menschen</t>
  </si>
  <si>
    <t>essen</t>
  </si>
  <si>
    <t>angst</t>
  </si>
  <si>
    <t>bleiben</t>
  </si>
  <si>
    <t>zusammen</t>
  </si>
  <si>
    <t>welt</t>
  </si>
  <si>
    <t>unter</t>
  </si>
  <si>
    <t>habt</t>
  </si>
  <si>
    <t>schnell</t>
  </si>
  <si>
    <t>andere</t>
  </si>
  <si>
    <t>tot</t>
  </si>
  <si>
    <t>getan</t>
  </si>
  <si>
    <t>darf</t>
  </si>
  <si>
    <t>erst</t>
  </si>
  <si>
    <t>rein</t>
  </si>
  <si>
    <t>stimmt</t>
  </si>
  <si>
    <t>nehmen</t>
  </si>
  <si>
    <t>kinder</t>
  </si>
  <si>
    <t>eines</t>
  </si>
  <si>
    <t>glauben</t>
  </si>
  <si>
    <t>bringen</t>
  </si>
  <si>
    <t>ganze</t>
  </si>
  <si>
    <t>genug</t>
  </si>
  <si>
    <t>scheiße</t>
  </si>
  <si>
    <t>brauchen</t>
  </si>
  <si>
    <t>gegen</t>
  </si>
  <si>
    <t>moment</t>
  </si>
  <si>
    <t>junge</t>
  </si>
  <si>
    <t>steht</t>
  </si>
  <si>
    <t>sonst</t>
  </si>
  <si>
    <t>musik</t>
  </si>
  <si>
    <t>arbeit</t>
  </si>
  <si>
    <t>seid</t>
  </si>
  <si>
    <t>ihrer</t>
  </si>
  <si>
    <t>fragen</t>
  </si>
  <si>
    <t>herr</t>
  </si>
  <si>
    <t>dabei</t>
  </si>
  <si>
    <t>heißt</t>
  </si>
  <si>
    <t>familie</t>
  </si>
  <si>
    <t>warten</t>
  </si>
  <si>
    <t>niemand</t>
  </si>
  <si>
    <t>sofort</t>
  </si>
  <si>
    <t>bevor</t>
  </si>
  <si>
    <t>jahre</t>
  </si>
  <si>
    <t>einmal</t>
  </si>
  <si>
    <t>problem</t>
  </si>
  <si>
    <t>sohn</t>
  </si>
  <si>
    <t>wann</t>
  </si>
  <si>
    <t>brauche</t>
  </si>
  <si>
    <t>fertig</t>
  </si>
  <si>
    <t>halt</t>
  </si>
  <si>
    <t>allein</t>
  </si>
  <si>
    <t>beim</t>
  </si>
  <si>
    <t>sprechen</t>
  </si>
  <si>
    <t>beide</t>
  </si>
  <si>
    <t>gefunden</t>
  </si>
  <si>
    <t>hatten</t>
  </si>
  <si>
    <t>sache</t>
  </si>
  <si>
    <t>hilfe</t>
  </si>
  <si>
    <t>verdammt</t>
  </si>
  <si>
    <t>ne</t>
  </si>
  <si>
    <t>jeder</t>
  </si>
  <si>
    <t>warst</t>
  </si>
  <si>
    <t>gern</t>
  </si>
  <si>
    <t>konnte</t>
  </si>
  <si>
    <t>darüber</t>
  </si>
  <si>
    <t>halten</t>
  </si>
  <si>
    <t>siehst</t>
  </si>
  <si>
    <t>verstehe</t>
  </si>
  <si>
    <t>jahren</t>
  </si>
  <si>
    <t>kam</t>
  </si>
  <si>
    <t>kind</t>
  </si>
  <si>
    <t>wusste</t>
  </si>
  <si>
    <t>wahr</t>
  </si>
  <si>
    <t>seinen</t>
  </si>
  <si>
    <t>dazu</t>
  </si>
  <si>
    <t>bruder</t>
  </si>
  <si>
    <t>daran</t>
  </si>
  <si>
    <t>ihrem</t>
  </si>
  <si>
    <t>denken</t>
  </si>
  <si>
    <t>könnten</t>
  </si>
  <si>
    <t>dank</t>
  </si>
  <si>
    <t>würden</t>
  </si>
  <si>
    <t>lieber</t>
  </si>
  <si>
    <t>fall</t>
  </si>
  <si>
    <t>deiner</t>
  </si>
  <si>
    <t>sehe</t>
  </si>
  <si>
    <t>egal</t>
  </si>
  <si>
    <t>kennen</t>
  </si>
  <si>
    <t>deinem</t>
  </si>
  <si>
    <t>vergessen</t>
  </si>
  <si>
    <t>frage</t>
  </si>
  <si>
    <t>mache</t>
  </si>
  <si>
    <t>komme</t>
  </si>
  <si>
    <t>sage</t>
  </si>
  <si>
    <t>mag</t>
  </si>
  <si>
    <t>sieh</t>
  </si>
  <si>
    <t>echt</t>
  </si>
  <si>
    <t>gib</t>
  </si>
  <si>
    <t>eigentlich</t>
  </si>
  <si>
    <t>jeden</t>
  </si>
  <si>
    <t>dad</t>
  </si>
  <si>
    <t>gab</t>
  </si>
  <si>
    <t>uhr</t>
  </si>
  <si>
    <t>stadt</t>
  </si>
  <si>
    <t>männer</t>
  </si>
  <si>
    <t>baby</t>
  </si>
  <si>
    <t>fahren</t>
  </si>
  <si>
    <t>namen</t>
  </si>
  <si>
    <t>bekommen</t>
  </si>
  <si>
    <t>kopf</t>
  </si>
  <si>
    <t>hi</t>
  </si>
  <si>
    <t>gehe</t>
  </si>
  <si>
    <t>kleine</t>
  </si>
  <si>
    <t>später</t>
  </si>
  <si>
    <t>glück</t>
  </si>
  <si>
    <t>letzte</t>
  </si>
  <si>
    <t>freunde</t>
  </si>
  <si>
    <t>n</t>
  </si>
  <si>
    <t>all</t>
  </si>
  <si>
    <t>darauf</t>
  </si>
  <si>
    <t>ende</t>
  </si>
  <si>
    <t>dr.</t>
  </si>
  <si>
    <t>bald</t>
  </si>
  <si>
    <t>töten</t>
  </si>
  <si>
    <t>dinge</t>
  </si>
  <si>
    <t>meinst</t>
  </si>
  <si>
    <t>toll</t>
  </si>
  <si>
    <t>eins</t>
  </si>
  <si>
    <t>minuten</t>
  </si>
  <si>
    <t>vielen</t>
  </si>
  <si>
    <t>bereit</t>
  </si>
  <si>
    <t>weit</t>
  </si>
  <si>
    <t>ahnung</t>
  </si>
  <si>
    <t>seiner</t>
  </si>
  <si>
    <t>bisschen</t>
  </si>
  <si>
    <t>tür</t>
  </si>
  <si>
    <t>auto</t>
  </si>
  <si>
    <t>jungs</t>
  </si>
  <si>
    <t>eure</t>
  </si>
  <si>
    <t>augen</t>
  </si>
  <si>
    <t>polizei</t>
  </si>
  <si>
    <t>stehen</t>
  </si>
  <si>
    <t>sterben</t>
  </si>
  <si>
    <t>hätten</t>
  </si>
  <si>
    <t>draußen</t>
  </si>
  <si>
    <t>kenne</t>
  </si>
  <si>
    <t>fast</t>
  </si>
  <si>
    <t>runter</t>
  </si>
  <si>
    <t>vorbei</t>
  </si>
  <si>
    <t>treffen</t>
  </si>
  <si>
    <t>gerne</t>
  </si>
  <si>
    <t>dran</t>
  </si>
  <si>
    <t>wurden</t>
  </si>
  <si>
    <t>arbeiten</t>
  </si>
  <si>
    <t>mom</t>
  </si>
  <si>
    <t>verrückt</t>
  </si>
  <si>
    <t>neue</t>
  </si>
  <si>
    <t>ging</t>
  </si>
  <si>
    <t>hinter</t>
  </si>
  <si>
    <t>sorgen</t>
  </si>
  <si>
    <t>einzige</t>
  </si>
  <si>
    <t>jemanden</t>
  </si>
  <si>
    <t>darum</t>
  </si>
  <si>
    <t>tochter</t>
  </si>
  <si>
    <t>braucht</t>
  </si>
  <si>
    <t>idee</t>
  </si>
  <si>
    <t>schwester</t>
  </si>
  <si>
    <t>drin</t>
  </si>
  <si>
    <t>ruhig</t>
  </si>
  <si>
    <t>sah</t>
  </si>
  <si>
    <t>ganzen</t>
  </si>
  <si>
    <t>spät</t>
  </si>
  <si>
    <t>ziemlich</t>
  </si>
  <si>
    <t>solltest</t>
  </si>
  <si>
    <t>name</t>
  </si>
  <si>
    <t>sogar</t>
  </si>
  <si>
    <t>kurz</t>
  </si>
  <si>
    <t>kerl</t>
  </si>
  <si>
    <t>frauen</t>
  </si>
  <si>
    <t>liegt</t>
  </si>
  <si>
    <t>suchen</t>
  </si>
  <si>
    <t>finde</t>
  </si>
  <si>
    <t>je</t>
  </si>
  <si>
    <t>woher</t>
  </si>
  <si>
    <t>lang</t>
  </si>
  <si>
    <t>job</t>
  </si>
  <si>
    <t>keiner</t>
  </si>
  <si>
    <t>seinem</t>
  </si>
  <si>
    <t>hört</t>
  </si>
  <si>
    <t>verstehen</t>
  </si>
  <si>
    <t>spielen</t>
  </si>
  <si>
    <t>s.</t>
  </si>
  <si>
    <t>überhaupt</t>
  </si>
  <si>
    <t>teufel</t>
  </si>
  <si>
    <t>verstanden</t>
  </si>
  <si>
    <t>verloren</t>
  </si>
  <si>
    <t>große</t>
  </si>
  <si>
    <t>hand</t>
  </si>
  <si>
    <t>grund</t>
  </si>
  <si>
    <t>jahr</t>
  </si>
  <si>
    <t>kommst</t>
  </si>
  <si>
    <t>mama</t>
  </si>
  <si>
    <t>ruhe</t>
  </si>
  <si>
    <t>gewesen</t>
  </si>
  <si>
    <t>tod</t>
  </si>
  <si>
    <t>stunden</t>
  </si>
  <si>
    <t>hoffe</t>
  </si>
  <si>
    <t>denkst</t>
  </si>
  <si>
    <t>oben</t>
  </si>
  <si>
    <t>gestern</t>
  </si>
  <si>
    <t>versuchen</t>
  </si>
  <si>
    <t>art</t>
  </si>
  <si>
    <t>letzten</t>
  </si>
  <si>
    <t>schatz</t>
  </si>
  <si>
    <t>endlich</t>
  </si>
  <si>
    <t>he</t>
  </si>
  <si>
    <t>nimm</t>
  </si>
  <si>
    <t>etwa</t>
  </si>
  <si>
    <t>erzählt</t>
  </si>
  <si>
    <t>läuft</t>
  </si>
  <si>
    <t>schwer</t>
  </si>
  <si>
    <t>anders</t>
  </si>
  <si>
    <t>miss</t>
  </si>
  <si>
    <t>musste</t>
  </si>
  <si>
    <t>fünf</t>
  </si>
  <si>
    <t>wasser</t>
  </si>
  <si>
    <t>lässt</t>
  </si>
  <si>
    <t>erste</t>
  </si>
  <si>
    <t>versucht</t>
  </si>
  <si>
    <t>gekommen</t>
  </si>
  <si>
    <t>geschichte</t>
  </si>
  <si>
    <t>wenig</t>
  </si>
  <si>
    <t>holen</t>
  </si>
  <si>
    <t>bedeutet</t>
  </si>
  <si>
    <t>nett</t>
  </si>
  <si>
    <t>wahrheit</t>
  </si>
  <si>
    <t>woche</t>
  </si>
  <si>
    <t>bringt</t>
  </si>
  <si>
    <t>deshalb</t>
  </si>
  <si>
    <t>welche</t>
  </si>
  <si>
    <t>bestimmt</t>
  </si>
  <si>
    <t>hoch</t>
  </si>
  <si>
    <t>alter</t>
  </si>
  <si>
    <t>sagst</t>
  </si>
  <si>
    <t>schau</t>
  </si>
  <si>
    <t>ah</t>
  </si>
  <si>
    <t>land</t>
  </si>
  <si>
    <t>zimmer</t>
  </si>
  <si>
    <t>wagen</t>
  </si>
  <si>
    <t>vier</t>
  </si>
  <si>
    <t>gefallen</t>
  </si>
  <si>
    <t>spaß</t>
  </si>
  <si>
    <t>niemals</t>
  </si>
  <si>
    <t>schuld</t>
  </si>
  <si>
    <t>getötet</t>
  </si>
  <si>
    <t>wollten</t>
  </si>
  <si>
    <t>verlassen</t>
  </si>
  <si>
    <t>zeigen</t>
  </si>
  <si>
    <t>beste</t>
  </si>
  <si>
    <t>ernst</t>
  </si>
  <si>
    <t>unserer</t>
  </si>
  <si>
    <t>denen</t>
  </si>
  <si>
    <t>ort</t>
  </si>
  <si>
    <t>bleibt</t>
  </si>
  <si>
    <t>würdest</t>
  </si>
  <si>
    <t>manchmal</t>
  </si>
  <si>
    <t>glaubst</t>
  </si>
  <si>
    <t>seite</t>
  </si>
  <si>
    <t>lasst</t>
  </si>
  <si>
    <t>zwischen</t>
  </si>
  <si>
    <t>eben</t>
  </si>
  <si>
    <t>während</t>
  </si>
  <si>
    <t>spiel</t>
  </si>
  <si>
    <t>nehme</t>
  </si>
  <si>
    <t>ersten</t>
  </si>
  <si>
    <t>guter</t>
  </si>
  <si>
    <t>chance</t>
  </si>
  <si>
    <t>freundin</t>
  </si>
  <si>
    <t>krieg</t>
  </si>
  <si>
    <t>gefällt</t>
  </si>
  <si>
    <t>kleinen</t>
  </si>
  <si>
    <t>erzählen</t>
  </si>
  <si>
    <t>anderes</t>
  </si>
  <si>
    <t>tage</t>
  </si>
  <si>
    <t>entschuldigen</t>
  </si>
  <si>
    <t>wichtig</t>
  </si>
  <si>
    <t>gehst</t>
  </si>
  <si>
    <t>allen</t>
  </si>
  <si>
    <t>bett</t>
  </si>
  <si>
    <t>mrs.</t>
  </si>
  <si>
    <t>sachen</t>
  </si>
  <si>
    <t>the</t>
  </si>
  <si>
    <t>schlecht</t>
  </si>
  <si>
    <t>schule</t>
  </si>
  <si>
    <t>entschuldigung</t>
  </si>
  <si>
    <t>wort</t>
  </si>
  <si>
    <t>john</t>
  </si>
  <si>
    <t>hättest</t>
  </si>
  <si>
    <t>wären</t>
  </si>
  <si>
    <t>typ</t>
  </si>
  <si>
    <t>schlafen</t>
  </si>
  <si>
    <t>äh</t>
  </si>
  <si>
    <t>tu</t>
  </si>
  <si>
    <t>euer</t>
  </si>
  <si>
    <t>captain</t>
  </si>
  <si>
    <t>gesicht</t>
  </si>
  <si>
    <t>falls</t>
  </si>
  <si>
    <t>neuen</t>
  </si>
  <si>
    <t>bloß</t>
  </si>
  <si>
    <t>unten</t>
  </si>
  <si>
    <t>teil</t>
  </si>
  <si>
    <t>beiden</t>
  </si>
  <si>
    <t>mensch</t>
  </si>
  <si>
    <t>kleiner</t>
  </si>
  <si>
    <t>stellen</t>
  </si>
  <si>
    <t>oft</t>
  </si>
  <si>
    <t>sorge</t>
  </si>
  <si>
    <t>gedacht</t>
  </si>
  <si>
    <t>tust</t>
  </si>
  <si>
    <t>trinken</t>
  </si>
  <si>
    <t>einige</t>
  </si>
  <si>
    <t>dies</t>
  </si>
  <si>
    <t>ding</t>
  </si>
  <si>
    <t>unseren</t>
  </si>
  <si>
    <t>kriegen</t>
  </si>
  <si>
    <t>blut</t>
  </si>
  <si>
    <t>ehrlich</t>
  </si>
  <si>
    <t>eltern</t>
  </si>
  <si>
    <t>scheint</t>
  </si>
  <si>
    <t>herz</t>
  </si>
  <si>
    <t>jack</t>
  </si>
  <si>
    <t>glücklich</t>
  </si>
  <si>
    <t>alte</t>
  </si>
  <si>
    <t>alt</t>
  </si>
  <si>
    <t>bleib</t>
  </si>
  <si>
    <t>wiedersehen</t>
  </si>
  <si>
    <t>frei</t>
  </si>
  <si>
    <t>wen</t>
  </si>
  <si>
    <t>drauf</t>
  </si>
  <si>
    <t>möglich</t>
  </si>
  <si>
    <t>irgendwie</t>
  </si>
  <si>
    <t>reicht</t>
  </si>
  <si>
    <t>fest</t>
  </si>
  <si>
    <t>besten</t>
  </si>
  <si>
    <t>waffe</t>
  </si>
  <si>
    <t>kaum</t>
  </si>
  <si>
    <t>irgendwas</t>
  </si>
  <si>
    <t>klingt</t>
  </si>
  <si>
    <t>platz</t>
  </si>
  <si>
    <t>brauchst</t>
  </si>
  <si>
    <t>rede</t>
  </si>
  <si>
    <t>papa</t>
  </si>
  <si>
    <t>falsch</t>
  </si>
  <si>
    <t>sondern</t>
  </si>
  <si>
    <t>alten</t>
  </si>
  <si>
    <t>nummer</t>
  </si>
  <si>
    <t>früher</t>
  </si>
  <si>
    <t>jungen</t>
  </si>
  <si>
    <t>wohin</t>
  </si>
  <si>
    <t>außer</t>
  </si>
  <si>
    <t>früh</t>
  </si>
  <si>
    <t>setzen</t>
  </si>
  <si>
    <t>zuerst</t>
  </si>
  <si>
    <t>wahrscheinlich</t>
  </si>
  <si>
    <t>dürfen</t>
  </si>
  <si>
    <t>jede</t>
  </si>
  <si>
    <t>arsch</t>
  </si>
  <si>
    <t>telefon</t>
  </si>
  <si>
    <t>tue</t>
  </si>
  <si>
    <t>kennst</t>
  </si>
  <si>
    <t>willkommen</t>
  </si>
  <si>
    <t>plan</t>
  </si>
  <si>
    <t>großen</t>
  </si>
  <si>
    <t>retten</t>
  </si>
  <si>
    <t>hierher</t>
  </si>
  <si>
    <t>wär</t>
  </si>
  <si>
    <t>bring</t>
  </si>
  <si>
    <t>fehler</t>
  </si>
  <si>
    <t>wollt</t>
  </si>
  <si>
    <t>dollar</t>
  </si>
  <si>
    <t>zehn</t>
  </si>
  <si>
    <t>allem</t>
  </si>
  <si>
    <t>pass</t>
  </si>
  <si>
    <t>nächste</t>
  </si>
  <si>
    <t>stunde</t>
  </si>
  <si>
    <t>hände</t>
  </si>
  <si>
    <t>gegeben</t>
  </si>
  <si>
    <t>menge</t>
  </si>
  <si>
    <t>langsam</t>
  </si>
  <si>
    <t>bereits</t>
  </si>
  <si>
    <t>wartet</t>
  </si>
  <si>
    <t>sechs</t>
  </si>
  <si>
    <t>lieben</t>
  </si>
  <si>
    <t>meines</t>
  </si>
  <si>
    <t>büro</t>
  </si>
  <si>
    <t>nächsten</t>
  </si>
  <si>
    <t>gebe</t>
  </si>
  <si>
    <t>wochen</t>
  </si>
  <si>
    <t>ruf</t>
  </si>
  <si>
    <t>schaffen</t>
  </si>
  <si>
    <t>leider</t>
  </si>
  <si>
    <t>scheiß</t>
  </si>
  <si>
    <t>hölle</t>
  </si>
  <si>
    <t>trotzdem</t>
  </si>
  <si>
    <t>doktor</t>
  </si>
  <si>
    <t>tja</t>
  </si>
  <si>
    <t>new</t>
  </si>
  <si>
    <t>voll</t>
  </si>
  <si>
    <t>film</t>
  </si>
  <si>
    <t>überall</t>
  </si>
  <si>
    <t>hund</t>
  </si>
  <si>
    <t>geworden</t>
  </si>
  <si>
    <t>direkt</t>
  </si>
  <si>
    <t>wolltest</t>
  </si>
  <si>
    <t>tat</t>
  </si>
  <si>
    <t>denkt</t>
  </si>
  <si>
    <t>schiff</t>
  </si>
  <si>
    <t>neues</t>
  </si>
  <si>
    <t>wem</t>
  </si>
  <si>
    <t>könig</t>
  </si>
  <si>
    <t>danach</t>
  </si>
  <si>
    <t>funktioniert</t>
  </si>
  <si>
    <t>hattest</t>
  </si>
  <si>
    <t>lernen</t>
  </si>
  <si>
    <t>deswegen</t>
  </si>
  <si>
    <t>wow</t>
  </si>
  <si>
    <t>nennen</t>
  </si>
  <si>
    <t>hm</t>
  </si>
  <si>
    <t>feuer</t>
  </si>
  <si>
    <t>laufen</t>
  </si>
  <si>
    <t>alleine</t>
  </si>
  <si>
    <t>erinnern</t>
  </si>
  <si>
    <t>völlig</t>
  </si>
  <si>
    <t>kleines</t>
  </si>
  <si>
    <t>könnt</t>
  </si>
  <si>
    <t>stelle</t>
  </si>
  <si>
    <t>kumpel</t>
  </si>
  <si>
    <t>verlieren</t>
  </si>
  <si>
    <t>probleme</t>
  </si>
  <si>
    <t>spricht</t>
  </si>
  <si>
    <t>kaffee</t>
  </si>
  <si>
    <t>luft</t>
  </si>
  <si>
    <t>fand</t>
  </si>
  <si>
    <t>i</t>
  </si>
  <si>
    <t>entschuldige</t>
  </si>
  <si>
    <t>ziehen</t>
  </si>
  <si>
    <t>verschwinden</t>
  </si>
  <si>
    <t>könntest</t>
  </si>
  <si>
    <t>seht</t>
  </si>
  <si>
    <t>aufhören</t>
  </si>
  <si>
    <t>eigenen</t>
  </si>
  <si>
    <t>richtige</t>
  </si>
  <si>
    <t>unserem</t>
  </si>
  <si>
    <t>suche</t>
  </si>
  <si>
    <t>zwar</t>
  </si>
  <si>
    <t>groß</t>
  </si>
  <si>
    <t>hol</t>
  </si>
  <si>
    <t>buch</t>
  </si>
  <si>
    <t>krank</t>
  </si>
  <si>
    <t>fühle</t>
  </si>
  <si>
    <t>jedes</t>
  </si>
  <si>
    <t>verstehst</t>
  </si>
  <si>
    <t>wert</t>
  </si>
  <si>
    <t>arzt</t>
  </si>
  <si>
    <t>froh</t>
  </si>
  <si>
    <t>versuche</t>
  </si>
  <si>
    <t>straße</t>
  </si>
  <si>
    <t>rufen</t>
  </si>
  <si>
    <t>heiraten</t>
  </si>
  <si>
    <t>super</t>
  </si>
  <si>
    <t>sam</t>
  </si>
  <si>
    <t>lebt</t>
  </si>
  <si>
    <t>gutes</t>
  </si>
  <si>
    <t>lasse</t>
  </si>
  <si>
    <t>onkel</t>
  </si>
  <si>
    <t>total</t>
  </si>
  <si>
    <t>gebracht</t>
  </si>
  <si>
    <t>party</t>
  </si>
  <si>
    <t>erklären</t>
  </si>
  <si>
    <t>spielt</t>
  </si>
  <si>
    <t>wahl</t>
  </si>
  <si>
    <t>vertrauen</t>
  </si>
  <si>
    <t>damals</t>
  </si>
  <si>
    <t>tagen</t>
  </si>
  <si>
    <t>leicht</t>
  </si>
  <si>
    <t>nachdem</t>
  </si>
  <si>
    <t>gegangen</t>
  </si>
  <si>
    <t>gefühl</t>
  </si>
  <si>
    <t>kaufen</t>
  </si>
  <si>
    <t>geschafft</t>
  </si>
  <si>
    <t>typen</t>
  </si>
  <si>
    <t>interessiert</t>
  </si>
  <si>
    <t>möchten</t>
  </si>
  <si>
    <t>halte</t>
  </si>
  <si>
    <t>hält</t>
  </si>
  <si>
    <t>glaub</t>
  </si>
  <si>
    <t>irgendwo</t>
  </si>
  <si>
    <t>stück</t>
  </si>
  <si>
    <t>genauso</t>
  </si>
  <si>
    <t>kennt</t>
  </si>
  <si>
    <t>genommen</t>
  </si>
  <si>
    <t>zukunft</t>
  </si>
  <si>
    <t>weniger</t>
  </si>
  <si>
    <t>cool</t>
  </si>
  <si>
    <t>licht</t>
  </si>
  <si>
    <t>getroffen</t>
  </si>
  <si>
    <t>himmel</t>
  </si>
  <si>
    <t>nachricht</t>
  </si>
  <si>
    <t>drüben</t>
  </si>
  <si>
    <t>passt</t>
  </si>
  <si>
    <t>sagten</t>
  </si>
  <si>
    <t>kümmern</t>
  </si>
  <si>
    <t>laut</t>
  </si>
  <si>
    <t>vergiss</t>
  </si>
  <si>
    <t>angerufen</t>
  </si>
  <si>
    <t>sitzen</t>
  </si>
  <si>
    <t>daß</t>
  </si>
  <si>
    <t>erde</t>
  </si>
  <si>
    <t>großer</t>
  </si>
  <si>
    <t>schlüssel</t>
  </si>
  <si>
    <t>rest</t>
  </si>
  <si>
    <t>passieren</t>
  </si>
  <si>
    <t>eher</t>
  </si>
  <si>
    <t>gefragt</t>
  </si>
  <si>
    <t>gefängnis</t>
  </si>
  <si>
    <t>opfer</t>
  </si>
  <si>
    <t>körper</t>
  </si>
  <si>
    <t>solche</t>
  </si>
  <si>
    <t>mist</t>
  </si>
  <si>
    <t>mr</t>
  </si>
  <si>
    <t>findet</t>
  </si>
  <si>
    <t>schreiben</t>
  </si>
  <si>
    <t>böse</t>
  </si>
  <si>
    <t>gesprochen</t>
  </si>
  <si>
    <t>versuch</t>
  </si>
  <si>
    <t>vorstellen</t>
  </si>
  <si>
    <t>wovon</t>
  </si>
  <si>
    <t>sobald</t>
  </si>
  <si>
    <t>nochmal</t>
  </si>
  <si>
    <t>herren</t>
  </si>
  <si>
    <t>sex</t>
  </si>
  <si>
    <t>waffen</t>
  </si>
  <si>
    <t>wohnung</t>
  </si>
  <si>
    <t>weh</t>
  </si>
  <si>
    <t>heißen</t>
  </si>
  <si>
    <t>krankenhaus</t>
  </si>
  <si>
    <t>bringe</t>
  </si>
  <si>
    <t>höre</t>
  </si>
  <si>
    <t>millionen</t>
  </si>
  <si>
    <t>klasse</t>
  </si>
  <si>
    <t>hart</t>
  </si>
  <si>
    <t>worden</t>
  </si>
  <si>
    <t>sinn</t>
  </si>
  <si>
    <t>außerdem</t>
  </si>
  <si>
    <t>verletzt</t>
  </si>
  <si>
    <t>ändern</t>
  </si>
  <si>
    <t>erfahren</t>
  </si>
  <si>
    <t>tragen</t>
  </si>
  <si>
    <t>wenigstens</t>
  </si>
  <si>
    <t>vorsichtig</t>
  </si>
  <si>
    <t>daddy</t>
  </si>
  <si>
    <t>stolz</t>
  </si>
  <si>
    <t>stark</t>
  </si>
  <si>
    <t>fällt</t>
  </si>
  <si>
    <t>möchtest</t>
  </si>
  <si>
    <t>leuten</t>
  </si>
  <si>
    <t>besonders</t>
  </si>
  <si>
    <t>schöne</t>
  </si>
  <si>
    <t>schicken</t>
  </si>
  <si>
    <t>person</t>
  </si>
  <si>
    <t>schätze</t>
  </si>
  <si>
    <t>solange</t>
  </si>
  <si>
    <t>länger</t>
  </si>
  <si>
    <t>großartig</t>
  </si>
  <si>
    <t>lacht</t>
  </si>
  <si>
    <t>anrufen</t>
  </si>
  <si>
    <t>stand</t>
  </si>
  <si>
    <t>redest</t>
  </si>
  <si>
    <t>fühlen</t>
  </si>
  <si>
    <t>erwartet</t>
  </si>
  <si>
    <t>boden</t>
  </si>
  <si>
    <t>boss</t>
  </si>
  <si>
    <t>stimme</t>
  </si>
  <si>
    <t>glaubt</t>
  </si>
  <si>
    <t>still</t>
  </si>
  <si>
    <t>sicherheit</t>
  </si>
  <si>
    <t>setz</t>
  </si>
  <si>
    <t>ma</t>
  </si>
  <si>
    <t>mund</t>
  </si>
  <si>
    <t>kämpfen</t>
  </si>
  <si>
    <t>wisst</t>
  </si>
  <si>
    <t>lachen</t>
  </si>
  <si>
    <t>hörst</t>
  </si>
  <si>
    <t>zeug</t>
  </si>
  <si>
    <t>lustig</t>
  </si>
  <si>
    <t>umbringen</t>
  </si>
  <si>
    <t>sollst</t>
  </si>
  <si>
    <t>hasse</t>
  </si>
  <si>
    <t>schlimm</t>
  </si>
  <si>
    <t>o</t>
  </si>
  <si>
    <t>unglaublich</t>
  </si>
  <si>
    <t>wärst</t>
  </si>
  <si>
    <t>laden</t>
  </si>
  <si>
    <t>führen</t>
  </si>
  <si>
    <t>gestorben</t>
  </si>
  <si>
    <t>schauen</t>
  </si>
  <si>
    <t>meinung</t>
  </si>
  <si>
    <t>lesen</t>
  </si>
  <si>
    <t>mörder</t>
  </si>
  <si>
    <t>frank</t>
  </si>
  <si>
    <t>ähm</t>
  </si>
  <si>
    <t>geschehen</t>
  </si>
  <si>
    <t>geschäft</t>
  </si>
  <si>
    <t>idiot</t>
  </si>
  <si>
    <t>verzeihung</t>
  </si>
  <si>
    <t>fliegen</t>
  </si>
  <si>
    <t>zeig</t>
  </si>
  <si>
    <t>team</t>
  </si>
  <si>
    <t>general</t>
  </si>
  <si>
    <t>mike</t>
  </si>
  <si>
    <t>aufs</t>
  </si>
  <si>
    <t>york</t>
  </si>
  <si>
    <t>vorher</t>
  </si>
  <si>
    <t>schluss</t>
  </si>
  <si>
    <t>schneller</t>
  </si>
  <si>
    <t>liebt</t>
  </si>
  <si>
    <t>verdient</t>
  </si>
  <si>
    <t>mögen</t>
  </si>
  <si>
    <t>meisten</t>
  </si>
  <si>
    <t>denk</t>
  </si>
  <si>
    <t>umgebracht</t>
  </si>
  <si>
    <t>perfekt</t>
  </si>
  <si>
    <t>versprochen</t>
  </si>
  <si>
    <t>handy</t>
  </si>
  <si>
    <t>hinten</t>
  </si>
  <si>
    <t>monate</t>
  </si>
  <si>
    <t>erinnere</t>
  </si>
  <si>
    <t>acht</t>
  </si>
  <si>
    <t>arbeitet</t>
  </si>
  <si>
    <t>fallen</t>
  </si>
  <si>
    <t>rufe</t>
  </si>
  <si>
    <t>nötig</t>
  </si>
  <si>
    <t>a</t>
  </si>
  <si>
    <t>mord</t>
  </si>
  <si>
    <t>heraus</t>
  </si>
  <si>
    <t>tages</t>
  </si>
  <si>
    <t>unmöglich</t>
  </si>
  <si>
    <t>liebling</t>
  </si>
  <si>
    <t>charlie</t>
  </si>
  <si>
    <t>tatsächlich</t>
  </si>
  <si>
    <t>folgen</t>
  </si>
  <si>
    <t>bitten</t>
  </si>
  <si>
    <t>behalten</t>
  </si>
  <si>
    <t>nähe</t>
  </si>
  <si>
    <t>arbeite</t>
  </si>
  <si>
    <t>joe</t>
  </si>
  <si>
    <t>verdammte</t>
  </si>
  <si>
    <t>plötzlich</t>
  </si>
  <si>
    <t>lebens</t>
  </si>
  <si>
    <t>hole</t>
  </si>
  <si>
    <t>tisch</t>
  </si>
  <si>
    <t>michael</t>
  </si>
  <si>
    <t>hörte</t>
  </si>
  <si>
    <t>jemals</t>
  </si>
  <si>
    <t>liegen</t>
  </si>
  <si>
    <t>verkaufen</t>
  </si>
  <si>
    <t>gefährlich</t>
  </si>
  <si>
    <t>anfangen</t>
  </si>
  <si>
    <t>bekommt</t>
  </si>
  <si>
    <t>machte</t>
  </si>
  <si>
    <t>ha</t>
  </si>
  <si>
    <t>hotel</t>
  </si>
  <si>
    <t>hilft</t>
  </si>
  <si>
    <t>werdet</t>
  </si>
  <si>
    <t>meister</t>
  </si>
  <si>
    <t>kampf</t>
  </si>
  <si>
    <t>antwort</t>
  </si>
  <si>
    <t>konnten</t>
  </si>
  <si>
    <t>geschickt</t>
  </si>
  <si>
    <t>jedem</t>
  </si>
  <si>
    <t>obwohl</t>
  </si>
  <si>
    <t>sieben</t>
  </si>
  <si>
    <t>komisch</t>
  </si>
  <si>
    <t>gewinnen</t>
  </si>
  <si>
    <t>ihres</t>
  </si>
  <si>
    <t>bezahlt</t>
  </si>
  <si>
    <t>you</t>
  </si>
  <si>
    <t>voller</t>
  </si>
  <si>
    <t>unterwegs</t>
  </si>
  <si>
    <t>dumm</t>
  </si>
  <si>
    <t>ärger</t>
  </si>
  <si>
    <t>bild</t>
  </si>
  <si>
    <t>george</t>
  </si>
  <si>
    <t>neu</t>
  </si>
  <si>
    <t>bezahlen</t>
  </si>
  <si>
    <t>dagegen</t>
  </si>
  <si>
    <t>seien</t>
  </si>
  <si>
    <t>starb</t>
  </si>
  <si>
    <t>tom</t>
  </si>
  <si>
    <t>monaten</t>
  </si>
  <si>
    <t>leiche</t>
  </si>
  <si>
    <t>niemanden</t>
  </si>
  <si>
    <t>auge</t>
  </si>
  <si>
    <t>arschloch</t>
  </si>
  <si>
    <t>verheiratet</t>
  </si>
  <si>
    <t>peter</t>
  </si>
  <si>
    <t>zieh</t>
  </si>
  <si>
    <t>nimmt</t>
  </si>
  <si>
    <t>gerettet</t>
  </si>
  <si>
    <t>agent</t>
  </si>
  <si>
    <t>traum</t>
  </si>
  <si>
    <t>entscheidung</t>
  </si>
  <si>
    <t>schlimmer</t>
  </si>
  <si>
    <t>regeln</t>
  </si>
  <si>
    <t>fenster</t>
  </si>
  <si>
    <t>fangen</t>
  </si>
  <si>
    <t>fort</t>
  </si>
  <si>
    <t>ständig</t>
  </si>
  <si>
    <t>findest</t>
  </si>
  <si>
    <t>gefahr</t>
  </si>
  <si>
    <t>absolut</t>
  </si>
  <si>
    <t>mary</t>
  </si>
  <si>
    <t>augenblick</t>
  </si>
  <si>
    <t>bescheid</t>
  </si>
  <si>
    <t>rum</t>
  </si>
  <si>
    <t>gedanken</t>
  </si>
  <si>
    <t>werd</t>
  </si>
  <si>
    <t>ziel</t>
  </si>
  <si>
    <t>benutzt</t>
  </si>
  <si>
    <t>bewegung</t>
  </si>
  <si>
    <t>jemandem</t>
  </si>
  <si>
    <t>wünschte</t>
  </si>
  <si>
    <t>worte</t>
  </si>
  <si>
    <t>kamen</t>
  </si>
  <si>
    <t>welcher</t>
  </si>
  <si>
    <t>zahlen</t>
  </si>
  <si>
    <t>anfang</t>
  </si>
  <si>
    <t>legen</t>
  </si>
  <si>
    <t>erinnerst</t>
  </si>
  <si>
    <t>anwalt</t>
  </si>
  <si>
    <t>fahr</t>
  </si>
  <si>
    <t>sitzt</t>
  </si>
  <si>
    <t>hilf</t>
  </si>
  <si>
    <t>offen</t>
  </si>
  <si>
    <t>schönen</t>
  </si>
  <si>
    <t>monsieur</t>
  </si>
  <si>
    <t>müsste</t>
  </si>
  <si>
    <t>arme</t>
  </si>
  <si>
    <t>bier</t>
  </si>
  <si>
    <t>fürs</t>
  </si>
  <si>
    <t>partner</t>
  </si>
  <si>
    <t>klein</t>
  </si>
  <si>
    <t>david</t>
  </si>
  <si>
    <t>klappe</t>
  </si>
  <si>
    <t>süß</t>
  </si>
  <si>
    <t>herum</t>
  </si>
  <si>
    <t>finger</t>
  </si>
  <si>
    <t>ehe</t>
  </si>
  <si>
    <t>rolle</t>
  </si>
  <si>
    <t>ließ</t>
  </si>
  <si>
    <t>gleiche</t>
  </si>
  <si>
    <t>monat</t>
  </si>
  <si>
    <t>hochzeit</t>
  </si>
  <si>
    <t>max</t>
  </si>
  <si>
    <t>führt</t>
  </si>
  <si>
    <t>paris</t>
  </si>
  <si>
    <t>wach</t>
  </si>
  <si>
    <t>wozu</t>
  </si>
  <si>
    <t>arm</t>
  </si>
  <si>
    <t>geschrieben</t>
  </si>
  <si>
    <t>chef</t>
  </si>
  <si>
    <t>benutzen</t>
  </si>
  <si>
    <t>informationen</t>
  </si>
  <si>
    <t>erledigt</t>
  </si>
  <si>
    <t>hoffentlich</t>
  </si>
  <si>
    <t>müsst</t>
  </si>
  <si>
    <t>fühlt</t>
  </si>
  <si>
    <t>tanzen</t>
  </si>
  <si>
    <t>ansehen</t>
  </si>
  <si>
    <t>darfst</t>
  </si>
  <si>
    <t>zuhause</t>
  </si>
  <si>
    <t>wunderbar</t>
  </si>
  <si>
    <t>hältst</t>
  </si>
  <si>
    <t>reise</t>
  </si>
  <si>
    <t>gewonnen</t>
  </si>
  <si>
    <t>dame</t>
  </si>
  <si>
    <t>irgendwann</t>
  </si>
  <si>
    <t>chffffff</t>
  </si>
  <si>
    <t>alex</t>
  </si>
  <si>
    <t>steckt</t>
  </si>
  <si>
    <t>jedenfalls</t>
  </si>
  <si>
    <t>schreit</t>
  </si>
  <si>
    <t>tolle</t>
  </si>
  <si>
    <t>rüber</t>
  </si>
  <si>
    <t>tschüss</t>
  </si>
  <si>
    <t>nennt</t>
  </si>
  <si>
    <t>raum</t>
  </si>
  <si>
    <t>heiß</t>
  </si>
  <si>
    <t>foto</t>
  </si>
  <si>
    <t>kalt</t>
  </si>
  <si>
    <t>paul</t>
  </si>
  <si>
    <t>irgendetwas</t>
  </si>
  <si>
    <t>weile</t>
  </si>
  <si>
    <t>bisher</t>
  </si>
  <si>
    <t>minute</t>
  </si>
  <si>
    <t>unbedingt</t>
  </si>
  <si>
    <t>zug</t>
  </si>
  <si>
    <t>sekunden</t>
  </si>
  <si>
    <t>wofür</t>
  </si>
  <si>
    <t>erzähl</t>
  </si>
  <si>
    <t>nen</t>
  </si>
  <si>
    <t>beweise</t>
  </si>
  <si>
    <t>nahm</t>
  </si>
  <si>
    <t>aller</t>
  </si>
  <si>
    <t>freut</t>
  </si>
  <si>
    <t>seele</t>
  </si>
  <si>
    <t>schießen</t>
  </si>
  <si>
    <t>müde</t>
  </si>
  <si>
    <t>dauert</t>
  </si>
  <si>
    <t>magst</t>
  </si>
  <si>
    <t>harry</t>
  </si>
  <si>
    <t>brief</t>
  </si>
  <si>
    <t>gelernt</t>
  </si>
  <si>
    <t>sucht</t>
  </si>
  <si>
    <t>bekannt</t>
  </si>
  <si>
    <t>weitere</t>
  </si>
  <si>
    <t>unfall</t>
  </si>
  <si>
    <t>dahin</t>
  </si>
  <si>
    <t>kontrolle</t>
  </si>
  <si>
    <t>beispiel</t>
  </si>
  <si>
    <t>lady</t>
  </si>
  <si>
    <t>dasselbe</t>
  </si>
  <si>
    <t>herzen</t>
  </si>
  <si>
    <t>schlagen</t>
  </si>
  <si>
    <t>wütend</t>
  </si>
  <si>
    <t>weise</t>
  </si>
  <si>
    <t>damen</t>
  </si>
  <si>
    <t>darin</t>
  </si>
  <si>
    <t>gottes</t>
  </si>
  <si>
    <t>holt</t>
  </si>
  <si>
    <t>fehlt</t>
  </si>
  <si>
    <t>vorsicht</t>
  </si>
  <si>
    <t>heiße</t>
  </si>
  <si>
    <t>beweisen</t>
  </si>
  <si>
    <t>gehabt</t>
  </si>
  <si>
    <t>zumindest</t>
  </si>
  <si>
    <t>vermisst</t>
  </si>
  <si>
    <t>hübsch</t>
  </si>
  <si>
    <t>kriegt</t>
  </si>
  <si>
    <t>verbindung</t>
  </si>
  <si>
    <t>tief</t>
  </si>
  <si>
    <t>richtung</t>
  </si>
  <si>
    <t>lage</t>
  </si>
  <si>
    <t>sowieso</t>
  </si>
  <si>
    <t>kraft</t>
  </si>
  <si>
    <t>normal</t>
  </si>
  <si>
    <t>lauf</t>
  </si>
  <si>
    <t>ehre</t>
  </si>
  <si>
    <t>stell</t>
  </si>
  <si>
    <t>geschenk</t>
  </si>
  <si>
    <t>bar</t>
  </si>
  <si>
    <t>tasche</t>
  </si>
  <si>
    <t>gelesen</t>
  </si>
  <si>
    <t>gekauft</t>
  </si>
  <si>
    <t>wussten</t>
  </si>
  <si>
    <t>gestohlen</t>
  </si>
  <si>
    <t>hunger</t>
  </si>
  <si>
    <t>leg</t>
  </si>
  <si>
    <t>lügen</t>
  </si>
  <si>
    <t>beziehung</t>
  </si>
  <si>
    <t>ben</t>
  </si>
  <si>
    <t>verschwunden</t>
  </si>
  <si>
    <t>steh</t>
  </si>
  <si>
    <t>nächstes</t>
  </si>
  <si>
    <t>gearbeitet</t>
  </si>
  <si>
    <t>preis</t>
  </si>
  <si>
    <t>witz</t>
  </si>
  <si>
    <t>meinte</t>
  </si>
  <si>
    <t>liste</t>
  </si>
  <si>
    <t>geist</t>
  </si>
  <si>
    <t>neben</t>
  </si>
  <si>
    <t>gesucht</t>
  </si>
  <si>
    <t>firma</t>
  </si>
  <si>
    <t>süße</t>
  </si>
  <si>
    <t>rücken</t>
  </si>
  <si>
    <t>schrecklich</t>
  </si>
  <si>
    <t>letzter</t>
  </si>
  <si>
    <t>verliebt</t>
  </si>
  <si>
    <t>öffnen</t>
  </si>
  <si>
    <t>redet</t>
  </si>
  <si>
    <t>boot</t>
  </si>
  <si>
    <t>seltsam</t>
  </si>
  <si>
    <t>versteckt</t>
  </si>
  <si>
    <t>fürchte</t>
  </si>
  <si>
    <t>verschwinde</t>
  </si>
  <si>
    <t>erwischt</t>
  </si>
  <si>
    <t>verkauft</t>
  </si>
  <si>
    <t>tante</t>
  </si>
  <si>
    <t>erwarten</t>
  </si>
  <si>
    <t>pferd</t>
  </si>
  <si>
    <t>wunder</t>
  </si>
  <si>
    <t>sauer</t>
  </si>
  <si>
    <t>vermutlich</t>
  </si>
  <si>
    <t>näher</t>
  </si>
  <si>
    <t>major</t>
  </si>
  <si>
    <t>jung</t>
  </si>
  <si>
    <t>majestät</t>
  </si>
  <si>
    <t>aussehen</t>
  </si>
  <si>
    <t>ans</t>
  </si>
  <si>
    <t>de</t>
  </si>
  <si>
    <t>and</t>
  </si>
  <si>
    <t>links</t>
  </si>
  <si>
    <t>großes</t>
  </si>
  <si>
    <t>welches</t>
  </si>
  <si>
    <t>beschützen</t>
  </si>
  <si>
    <t>geboren</t>
  </si>
  <si>
    <t>erreichen</t>
  </si>
  <si>
    <t>punkt</t>
  </si>
  <si>
    <t>kindern</t>
  </si>
  <si>
    <t>kirche</t>
  </si>
  <si>
    <t>verraten</t>
  </si>
  <si>
    <t>selber</t>
  </si>
  <si>
    <t>befehl</t>
  </si>
  <si>
    <t>colonel</t>
  </si>
  <si>
    <t>fährt</t>
  </si>
  <si>
    <t>zieht</t>
  </si>
  <si>
    <t>geburtstag</t>
  </si>
  <si>
    <t>haut</t>
  </si>
  <si>
    <t>wette</t>
  </si>
  <si>
    <t>reich</t>
  </si>
  <si>
    <t>sekunde</t>
  </si>
  <si>
    <t>fahre</t>
  </si>
  <si>
    <t>schwöre</t>
  </si>
  <si>
    <t>geredet</t>
  </si>
  <si>
    <t>james</t>
  </si>
  <si>
    <t>madame</t>
  </si>
  <si>
    <t>eigene</t>
  </si>
  <si>
    <t>zeiten</t>
  </si>
  <si>
    <t>traurig</t>
  </si>
  <si>
    <t>anruf</t>
  </si>
  <si>
    <t>nachrichten</t>
  </si>
  <si>
    <t>frieden</t>
  </si>
  <si>
    <t>karte</t>
  </si>
  <si>
    <t>güte</t>
  </si>
  <si>
    <t>euren</t>
  </si>
  <si>
    <t>diesmal</t>
  </si>
  <si>
    <t>schade</t>
  </si>
  <si>
    <t>persönlich</t>
  </si>
  <si>
    <t>kriege</t>
  </si>
  <si>
    <t>stirbt</t>
  </si>
  <si>
    <t>bleibe</t>
  </si>
  <si>
    <t>verändert</t>
  </si>
  <si>
    <t>sonne</t>
  </si>
  <si>
    <t>lieb</t>
  </si>
  <si>
    <t>nämlich</t>
  </si>
  <si>
    <t>letztes</t>
  </si>
  <si>
    <t>bekam</t>
  </si>
  <si>
    <t>ruft</t>
  </si>
  <si>
    <t>professor</t>
  </si>
  <si>
    <t>gericht</t>
  </si>
  <si>
    <t>nase</t>
  </si>
  <si>
    <t>ewig</t>
  </si>
  <si>
    <t>singen</t>
  </si>
  <si>
    <t>bank</t>
  </si>
  <si>
    <t>beschäftigt</t>
  </si>
  <si>
    <t>computer</t>
  </si>
  <si>
    <t>yeah</t>
  </si>
  <si>
    <t>toten</t>
  </si>
  <si>
    <t>weihnachten</t>
  </si>
  <si>
    <t>offensichtlich</t>
  </si>
  <si>
    <t>naja</t>
  </si>
  <si>
    <t>henry</t>
  </si>
  <si>
    <t>gefühle</t>
  </si>
  <si>
    <t>fuß</t>
  </si>
  <si>
    <t>show</t>
  </si>
  <si>
    <t>überraschung</t>
  </si>
  <si>
    <t>geheimnis</t>
  </si>
  <si>
    <t>fbi</t>
  </si>
  <si>
    <t>kontakt</t>
  </si>
  <si>
    <t>gold</t>
  </si>
  <si>
    <t>drogen</t>
  </si>
  <si>
    <t>regierung</t>
  </si>
  <si>
    <t>wein</t>
  </si>
  <si>
    <t>kriegst</t>
  </si>
  <si>
    <t>ermordet</t>
  </si>
  <si>
    <t>fotos</t>
  </si>
  <si>
    <t>entfernt</t>
  </si>
  <si>
    <t>geschlafen</t>
  </si>
  <si>
    <t>manche</t>
  </si>
  <si>
    <t>erledigen</t>
  </si>
  <si>
    <t>ran</t>
  </si>
  <si>
    <t>gegenüber</t>
  </si>
  <si>
    <t>schlaf</t>
  </si>
  <si>
    <t>lust</t>
  </si>
  <si>
    <t>wunderschön</t>
  </si>
  <si>
    <t>witzig</t>
  </si>
  <si>
    <t>nick</t>
  </si>
  <si>
    <t>zerstört</t>
  </si>
  <si>
    <t>übrigens</t>
  </si>
  <si>
    <t>willen</t>
  </si>
  <si>
    <t>heim</t>
  </si>
  <si>
    <t>richtigen</t>
  </si>
  <si>
    <t>deines</t>
  </si>
  <si>
    <t>namens</t>
  </si>
  <si>
    <t>zeigt</t>
  </si>
  <si>
    <t>geliebt</t>
  </si>
  <si>
    <t>gehören</t>
  </si>
  <si>
    <t>brachte</t>
  </si>
  <si>
    <t>herrn</t>
  </si>
  <si>
    <t>blick</t>
  </si>
  <si>
    <t>besuch</t>
  </si>
  <si>
    <t>schlechte</t>
  </si>
  <si>
    <t>bewegen</t>
  </si>
  <si>
    <t>haare</t>
  </si>
  <si>
    <t>antworten</t>
  </si>
  <si>
    <t>präsident</t>
  </si>
  <si>
    <t>sagtest</t>
  </si>
  <si>
    <t>hoffnung</t>
  </si>
  <si>
    <t>stecken</t>
  </si>
  <si>
    <t>lebe</t>
  </si>
  <si>
    <t>rechts</t>
  </si>
  <si>
    <t>interessant</t>
  </si>
  <si>
    <t>entscheiden</t>
  </si>
  <si>
    <t>miteinander</t>
  </si>
  <si>
    <t>meint</t>
  </si>
  <si>
    <t>liebst</t>
  </si>
  <si>
    <t>indem</t>
  </si>
  <si>
    <t>bleibst</t>
  </si>
  <si>
    <t>kümmere</t>
  </si>
  <si>
    <t>wohnen</t>
  </si>
  <si>
    <t>weder</t>
  </si>
  <si>
    <t>möglichkeit</t>
  </si>
  <si>
    <t>kaputt</t>
  </si>
  <si>
    <t>bekomme</t>
  </si>
  <si>
    <t>flugzeug</t>
  </si>
  <si>
    <t>vergangenheit</t>
  </si>
  <si>
    <t>anderer</t>
  </si>
  <si>
    <t>zweite</t>
  </si>
  <si>
    <t>armee</t>
  </si>
  <si>
    <t>jim</t>
  </si>
  <si>
    <t>tee</t>
  </si>
  <si>
    <t>entweder</t>
  </si>
  <si>
    <t>weiss</t>
  </si>
  <si>
    <t>don</t>
  </si>
  <si>
    <t>detective</t>
  </si>
  <si>
    <t>aufhalten</t>
  </si>
  <si>
    <t>stellt</t>
  </si>
  <si>
    <t>verspreche</t>
  </si>
  <si>
    <t>überrascht</t>
  </si>
  <si>
    <t>sauber</t>
  </si>
  <si>
    <t>hau</t>
  </si>
  <si>
    <t>mark</t>
  </si>
  <si>
    <t>schlag</t>
  </si>
  <si>
    <t>sheriff</t>
  </si>
  <si>
    <t>untertitel</t>
  </si>
  <si>
    <t>setzt</t>
  </si>
  <si>
    <t>frag</t>
  </si>
  <si>
    <t>vaters</t>
  </si>
  <si>
    <t>nervös</t>
  </si>
  <si>
    <t>gesellschaft</t>
  </si>
  <si>
    <t>verstecken</t>
  </si>
  <si>
    <t>schuldig</t>
  </si>
  <si>
    <t>hals</t>
  </si>
  <si>
    <t>schützen</t>
  </si>
  <si>
    <t>besuchen</t>
  </si>
  <si>
    <t>of</t>
  </si>
  <si>
    <t>passen</t>
  </si>
  <si>
    <t>überleben</t>
  </si>
  <si>
    <t>erhalten</t>
  </si>
  <si>
    <t>teilen</t>
  </si>
  <si>
    <t>gebäude</t>
  </si>
  <si>
    <t>schicksal</t>
  </si>
  <si>
    <t>zeichen</t>
  </si>
  <si>
    <t>richter</t>
  </si>
  <si>
    <t>besorgt</t>
  </si>
  <si>
    <t>küche</t>
  </si>
  <si>
    <t>lief</t>
  </si>
  <si>
    <t>vergnügen</t>
  </si>
  <si>
    <t>wüsste</t>
  </si>
  <si>
    <t>volk</t>
  </si>
  <si>
    <t>lhr</t>
  </si>
  <si>
    <t>herausfinden</t>
  </si>
  <si>
    <t>königin</t>
  </si>
  <si>
    <t>soldaten</t>
  </si>
  <si>
    <t>feiern</t>
  </si>
  <si>
    <t>situation</t>
  </si>
  <si>
    <t>lag</t>
  </si>
  <si>
    <t>gelassen</t>
  </si>
  <si>
    <t>allerdings</t>
  </si>
  <si>
    <t>soweit</t>
  </si>
  <si>
    <t>gefahren</t>
  </si>
  <si>
    <t>verstand</t>
  </si>
  <si>
    <t>bord</t>
  </si>
  <si>
    <t>schönes</t>
  </si>
  <si>
    <t>jimmy</t>
  </si>
  <si>
    <t>billy</t>
  </si>
  <si>
    <t>angefangen</t>
  </si>
  <si>
    <t>lee</t>
  </si>
  <si>
    <t>fühlst</t>
  </si>
  <si>
    <t>bob</t>
  </si>
  <si>
    <t>mussten</t>
  </si>
  <si>
    <t>rat</t>
  </si>
  <si>
    <t>worauf</t>
  </si>
  <si>
    <t>gebeten</t>
  </si>
  <si>
    <t>tony</t>
  </si>
  <si>
    <t>kamera</t>
  </si>
  <si>
    <t>achtung</t>
  </si>
  <si>
    <t>lieutenant</t>
  </si>
  <si>
    <t>ganzes</t>
  </si>
  <si>
    <t>schuhe</t>
  </si>
  <si>
    <t>sarah</t>
  </si>
  <si>
    <t>glückwunsch</t>
  </si>
  <si>
    <t>niemandem</t>
  </si>
  <si>
    <t>gibst</t>
  </si>
  <si>
    <t>statt</t>
  </si>
  <si>
    <t>übernehmen</t>
  </si>
  <si>
    <t>gegend</t>
  </si>
  <si>
    <t>wald</t>
  </si>
  <si>
    <t>al</t>
  </si>
  <si>
    <t>la</t>
  </si>
  <si>
    <t>nimmst</t>
  </si>
  <si>
    <t>danny</t>
  </si>
  <si>
    <t>erkennen</t>
  </si>
  <si>
    <t>glas</t>
  </si>
  <si>
    <t>falsche</t>
  </si>
  <si>
    <t>verantwortlich</t>
  </si>
  <si>
    <t>jesus</t>
  </si>
  <si>
    <t>stöhnt</t>
  </si>
  <si>
    <t>herein</t>
  </si>
  <si>
    <t>kleid</t>
  </si>
  <si>
    <t>zerstören</t>
  </si>
  <si>
    <t>jawohl</t>
  </si>
  <si>
    <t>london</t>
  </si>
  <si>
    <t>gegessen</t>
  </si>
  <si>
    <t>abendessen</t>
  </si>
  <si>
    <t>gesetz</t>
  </si>
  <si>
    <t>gemeinsam</t>
  </si>
  <si>
    <t>geholfen</t>
  </si>
  <si>
    <t>erster</t>
  </si>
  <si>
    <t>wohnt</t>
  </si>
  <si>
    <t>schritt</t>
  </si>
  <si>
    <t>guck</t>
  </si>
  <si>
    <t>nahe</t>
  </si>
  <si>
    <t>aussieht</t>
  </si>
  <si>
    <t>beginnen</t>
  </si>
  <si>
    <t>dachten</t>
  </si>
  <si>
    <t>band</t>
  </si>
  <si>
    <t>ungefähr</t>
  </si>
  <si>
    <t>aufgabe</t>
  </si>
  <si>
    <t>neun</t>
  </si>
  <si>
    <t>furchtbar</t>
  </si>
  <si>
    <t>drinnen</t>
  </si>
  <si>
    <t>zuvor</t>
  </si>
  <si>
    <t>charles</t>
  </si>
  <si>
    <t>freue</t>
  </si>
  <si>
    <t>amerika</t>
  </si>
  <si>
    <t>übrig</t>
  </si>
  <si>
    <t>spur</t>
  </si>
  <si>
    <t>falschen</t>
  </si>
  <si>
    <t>sergeant</t>
  </si>
  <si>
    <t>melden</t>
  </si>
  <si>
    <t>helfe</t>
  </si>
  <si>
    <t>werfen</t>
  </si>
  <si>
    <t>bill</t>
  </si>
  <si>
    <t>haltet</t>
  </si>
  <si>
    <t>erinnert</t>
  </si>
  <si>
    <t>hängt</t>
  </si>
  <si>
    <t>freude</t>
  </si>
  <si>
    <t>ehemann</t>
  </si>
  <si>
    <t>erschossen</t>
  </si>
  <si>
    <t>verzeihen</t>
  </si>
  <si>
    <t>schwein</t>
  </si>
  <si>
    <t>uh</t>
  </si>
  <si>
    <t>monster</t>
  </si>
  <si>
    <t>entschieden</t>
  </si>
  <si>
    <t>mission</t>
  </si>
  <si>
    <t>verdammten</t>
  </si>
  <si>
    <t>brauch</t>
  </si>
  <si>
    <t>gewusst</t>
  </si>
  <si>
    <t>vorne</t>
  </si>
  <si>
    <t>stopp</t>
  </si>
  <si>
    <t>übel</t>
  </si>
  <si>
    <t>schlampe</t>
  </si>
  <si>
    <t>schöner</t>
  </si>
  <si>
    <t>adresse</t>
  </si>
  <si>
    <t>unsinn</t>
  </si>
  <si>
    <t>messer</t>
  </si>
  <si>
    <t>gesund</t>
  </si>
  <si>
    <t>respekt</t>
  </si>
  <si>
    <t>pro</t>
  </si>
  <si>
    <t>leisten</t>
  </si>
  <si>
    <t>davor</t>
  </si>
  <si>
    <t>richard</t>
  </si>
  <si>
    <t>bedeuten</t>
  </si>
  <si>
    <t>ball</t>
  </si>
  <si>
    <t>mitnehmen</t>
  </si>
  <si>
    <t>gespielt</t>
  </si>
  <si>
    <t>to</t>
  </si>
  <si>
    <t>schwierigkeiten</t>
  </si>
  <si>
    <t>hälfte</t>
  </si>
  <si>
    <t>kannte</t>
  </si>
  <si>
    <t>stehe</t>
  </si>
  <si>
    <t>maria</t>
  </si>
  <si>
    <t>planeten</t>
  </si>
  <si>
    <t>schwanger</t>
  </si>
  <si>
    <t>gruppe</t>
  </si>
  <si>
    <t>anna</t>
  </si>
  <si>
    <t>verhaftet</t>
  </si>
  <si>
    <t>deal</t>
  </si>
  <si>
    <t>seines</t>
  </si>
  <si>
    <t>irgendwelche</t>
  </si>
  <si>
    <t>händen</t>
  </si>
  <si>
    <t>versteht</t>
  </si>
  <si>
    <t>drehen</t>
  </si>
  <si>
    <t>eis</t>
  </si>
  <si>
    <t>danken</t>
  </si>
  <si>
    <t>erfolg</t>
  </si>
  <si>
    <t>zufrieden</t>
  </si>
  <si>
    <t>schließen</t>
  </si>
  <si>
    <t>besorgen</t>
  </si>
  <si>
    <t>wochenende</t>
  </si>
  <si>
    <t>worüber</t>
  </si>
  <si>
    <t>stimmen</t>
  </si>
  <si>
    <t>nehmt</t>
  </si>
  <si>
    <t>martin</t>
  </si>
  <si>
    <t>m</t>
  </si>
  <si>
    <t>witze</t>
  </si>
  <si>
    <t>beine</t>
  </si>
  <si>
    <t>verbrechen</t>
  </si>
  <si>
    <t>bericht</t>
  </si>
  <si>
    <t>nachts</t>
  </si>
  <si>
    <t>eurer</t>
  </si>
  <si>
    <t>prinzessin</t>
  </si>
  <si>
    <t>schmerz</t>
  </si>
  <si>
    <t>klingelt</t>
  </si>
  <si>
    <t>position</t>
  </si>
  <si>
    <t>echte</t>
  </si>
  <si>
    <t>gleichen</t>
  </si>
  <si>
    <t>fernsehen</t>
  </si>
  <si>
    <t>wünsche</t>
  </si>
  <si>
    <t>schließlich</t>
  </si>
  <si>
    <t>gefangen</t>
  </si>
  <si>
    <t>schätzchen</t>
  </si>
  <si>
    <t>seh</t>
  </si>
  <si>
    <t>schwierig</t>
  </si>
  <si>
    <t>angebot</t>
  </si>
  <si>
    <t>nah</t>
  </si>
  <si>
    <t>jane</t>
  </si>
  <si>
    <t>gewartet</t>
  </si>
  <si>
    <t>kümmert</t>
  </si>
  <si>
    <t>ring</t>
  </si>
  <si>
    <t>rennen</t>
  </si>
  <si>
    <t>lied</t>
  </si>
  <si>
    <t>eier</t>
  </si>
  <si>
    <t>welchen</t>
  </si>
  <si>
    <t>sorry</t>
  </si>
  <si>
    <t>fantastisch</t>
  </si>
  <si>
    <t>schaut</t>
  </si>
  <si>
    <t>hielt</t>
  </si>
  <si>
    <t>falle</t>
  </si>
  <si>
    <t>drink</t>
  </si>
  <si>
    <t>insel</t>
  </si>
  <si>
    <t>dauern</t>
  </si>
  <si>
    <t>daher</t>
  </si>
  <si>
    <t>zufällig</t>
  </si>
  <si>
    <t>dorf</t>
  </si>
  <si>
    <t>clark</t>
  </si>
  <si>
    <t>bewegt</t>
  </si>
  <si>
    <t>mitten</t>
  </si>
  <si>
    <t>bullen</t>
  </si>
  <si>
    <t>feind</t>
  </si>
  <si>
    <t>einverstanden</t>
  </si>
  <si>
    <t>neuer</t>
  </si>
  <si>
    <t>bauen</t>
  </si>
  <si>
    <t>trägt</t>
  </si>
  <si>
    <t>hängen</t>
  </si>
  <si>
    <t>freunden</t>
  </si>
  <si>
    <t>deren</t>
  </si>
  <si>
    <t>halb</t>
  </si>
  <si>
    <t>verpasst</t>
  </si>
  <si>
    <t>sprach</t>
  </si>
  <si>
    <t>leise</t>
  </si>
  <si>
    <t>armen</t>
  </si>
  <si>
    <t>wusstest</t>
  </si>
  <si>
    <t>fanden</t>
  </si>
  <si>
    <t>unternehmen</t>
  </si>
  <si>
    <t>träume</t>
  </si>
  <si>
    <t>schläft</t>
  </si>
  <si>
    <t>kostet</t>
  </si>
  <si>
    <t>spiele</t>
  </si>
  <si>
    <t>unseres</t>
  </si>
  <si>
    <t>entlang</t>
  </si>
  <si>
    <t>johnny</t>
  </si>
  <si>
    <t>versprechen</t>
  </si>
  <si>
    <t>tiere</t>
  </si>
  <si>
    <t>freiheit</t>
  </si>
  <si>
    <t>verdienen</t>
  </si>
  <si>
    <t>aha</t>
  </si>
  <si>
    <t>unterhalten</t>
  </si>
  <si>
    <t>eingeladen</t>
  </si>
  <si>
    <t>schaden</t>
  </si>
  <si>
    <t>genannt</t>
  </si>
  <si>
    <t>beenden</t>
  </si>
  <si>
    <t>ray</t>
  </si>
  <si>
    <t>geändert</t>
  </si>
  <si>
    <t>thomas</t>
  </si>
  <si>
    <t>lächerlich</t>
  </si>
  <si>
    <t>geschlagen</t>
  </si>
  <si>
    <t>park</t>
  </si>
  <si>
    <t>schätzen</t>
  </si>
  <si>
    <t>männern</t>
  </si>
  <si>
    <t>t</t>
  </si>
  <si>
    <t>beginnt</t>
  </si>
  <si>
    <t>ehren</t>
  </si>
  <si>
    <t>größte</t>
  </si>
  <si>
    <t>energie</t>
  </si>
  <si>
    <t>fleisch</t>
  </si>
  <si>
    <t>besonderes</t>
  </si>
  <si>
    <t>besteht</t>
  </si>
  <si>
    <t>reichen</t>
  </si>
  <si>
    <t>robert</t>
  </si>
  <si>
    <t>zeitung</t>
  </si>
  <si>
    <t>worum</t>
  </si>
  <si>
    <t>nachgedacht</t>
  </si>
  <si>
    <t>betrunken</t>
  </si>
  <si>
    <t>sowas</t>
  </si>
  <si>
    <t>patienten</t>
  </si>
  <si>
    <t>gespräch</t>
  </si>
  <si>
    <t>leiden</t>
  </si>
  <si>
    <t>taxi</t>
  </si>
  <si>
    <t>tötet</t>
  </si>
  <si>
    <t>see</t>
  </si>
  <si>
    <t>unterschied</t>
  </si>
  <si>
    <t>wind</t>
  </si>
  <si>
    <t>singt</t>
  </si>
  <si>
    <t>schreien</t>
  </si>
  <si>
    <t>daniel</t>
  </si>
  <si>
    <t>sahen</t>
  </si>
  <si>
    <t>wand</t>
  </si>
  <si>
    <t>bus</t>
  </si>
  <si>
    <t>lhre</t>
  </si>
  <si>
    <t>angriff</t>
  </si>
  <si>
    <t>verhalten</t>
  </si>
  <si>
    <t>loch</t>
  </si>
  <si>
    <t>interesse</t>
  </si>
  <si>
    <t>treten</t>
  </si>
  <si>
    <t>quatsch</t>
  </si>
  <si>
    <t>trifft</t>
  </si>
  <si>
    <t>polizist</t>
  </si>
  <si>
    <t>blumen</t>
  </si>
  <si>
    <t>neuigkeiten</t>
  </si>
  <si>
    <t>bringst</t>
  </si>
  <si>
    <t>flasche</t>
  </si>
  <si>
    <t>rief</t>
  </si>
  <si>
    <t>schuss</t>
  </si>
  <si>
    <t>fassen</t>
  </si>
  <si>
    <t>meer</t>
  </si>
  <si>
    <t>konntest</t>
  </si>
  <si>
    <t>schafft</t>
  </si>
  <si>
    <t>maschine</t>
  </si>
  <si>
    <t>spreche</t>
  </si>
  <si>
    <t>bein</t>
  </si>
  <si>
    <t>eddie</t>
  </si>
  <si>
    <t>bekommst</t>
  </si>
  <si>
    <t>verbringen</t>
  </si>
  <si>
    <t>bücher</t>
  </si>
  <si>
    <t>blöd</t>
  </si>
  <si>
    <t>frühstück</t>
  </si>
  <si>
    <t>tommy</t>
  </si>
  <si>
    <t>meter</t>
  </si>
  <si>
    <t>bilder</t>
  </si>
  <si>
    <t>aufpassen</t>
  </si>
  <si>
    <t>claire</t>
  </si>
  <si>
    <t>dessen</t>
  </si>
  <si>
    <t>muß</t>
  </si>
  <si>
    <t>freuen</t>
  </si>
  <si>
    <t>engel</t>
  </si>
  <si>
    <t>offenbar</t>
  </si>
  <si>
    <t>gelegenheit</t>
  </si>
  <si>
    <t>fang</t>
  </si>
  <si>
    <t>lüge</t>
  </si>
  <si>
    <t>ohren</t>
  </si>
  <si>
    <t>au</t>
  </si>
  <si>
    <t>angetan</t>
  </si>
  <si>
    <t>beeil</t>
  </si>
  <si>
    <t>brechen</t>
  </si>
  <si>
    <t>brüder</t>
  </si>
  <si>
    <t>zeitpunkt</t>
  </si>
  <si>
    <t>keinem</t>
  </si>
  <si>
    <t>ecke</t>
  </si>
  <si>
    <t>brücke</t>
  </si>
  <si>
    <t>druck</t>
  </si>
  <si>
    <t>mitgebracht</t>
  </si>
  <si>
    <t>seufzt</t>
  </si>
  <si>
    <t>date</t>
  </si>
  <si>
    <t>haufen</t>
  </si>
  <si>
    <t>oma</t>
  </si>
  <si>
    <t>auftrag</t>
  </si>
  <si>
    <t>leer</t>
  </si>
  <si>
    <t>entkommen</t>
  </si>
  <si>
    <t>bobby</t>
  </si>
  <si>
    <t>weißen</t>
  </si>
  <si>
    <t>lösung</t>
  </si>
  <si>
    <t>wart</t>
  </si>
  <si>
    <t>pause</t>
  </si>
  <si>
    <t>irre</t>
  </si>
  <si>
    <t>gestellt</t>
  </si>
  <si>
    <t>keller</t>
  </si>
  <si>
    <t>gebrochen</t>
  </si>
  <si>
    <t>weinen</t>
  </si>
  <si>
    <t>nutzen</t>
  </si>
  <si>
    <t>wünschen</t>
  </si>
  <si>
    <t>fragt</t>
  </si>
  <si>
    <t>maul</t>
  </si>
  <si>
    <t>verantwortung</t>
  </si>
  <si>
    <t>schloss</t>
  </si>
  <si>
    <t>hut</t>
  </si>
  <si>
    <t>lächeln</t>
  </si>
  <si>
    <t>ryan</t>
  </si>
  <si>
    <t>red</t>
  </si>
  <si>
    <t>grad</t>
  </si>
  <si>
    <t>zweiten</t>
  </si>
  <si>
    <t>hinaus</t>
  </si>
  <si>
    <t>mitkommen</t>
  </si>
  <si>
    <t>vorhin</t>
  </si>
  <si>
    <t>fahrt</t>
  </si>
  <si>
    <t>gemeint</t>
  </si>
  <si>
    <t>ernsthaft</t>
  </si>
  <si>
    <t>gebaut</t>
  </si>
  <si>
    <t>bombe</t>
  </si>
  <si>
    <t>hasst</t>
  </si>
  <si>
    <t>versteh</t>
  </si>
  <si>
    <t>kosten</t>
  </si>
  <si>
    <t>zeige</t>
  </si>
  <si>
    <t>traf</t>
  </si>
  <si>
    <t>eigenes</t>
  </si>
  <si>
    <t>haar</t>
  </si>
  <si>
    <t>fragte</t>
  </si>
  <si>
    <t>jason</t>
  </si>
  <si>
    <t>operation</t>
  </si>
  <si>
    <t>befehle</t>
  </si>
  <si>
    <t>schmerzen</t>
  </si>
  <si>
    <t>erklärt</t>
  </si>
  <si>
    <t>steve</t>
  </si>
  <si>
    <t>dach</t>
  </si>
  <si>
    <t>folge</t>
  </si>
  <si>
    <t>gelaufen</t>
  </si>
  <si>
    <t>schwarze</t>
  </si>
  <si>
    <t>dankbar</t>
  </si>
  <si>
    <t>gehirn</t>
  </si>
  <si>
    <t>töte</t>
  </si>
  <si>
    <t>mädels</t>
  </si>
  <si>
    <t>mut</t>
  </si>
  <si>
    <t>heilige</t>
  </si>
  <si>
    <t>laura</t>
  </si>
  <si>
    <t>tier</t>
  </si>
  <si>
    <t>system</t>
  </si>
  <si>
    <t>mannes</t>
  </si>
  <si>
    <t>wahnsinn</t>
  </si>
  <si>
    <t>nee</t>
  </si>
  <si>
    <t>rose</t>
  </si>
  <si>
    <t>club</t>
  </si>
  <si>
    <t>geschlossen</t>
  </si>
  <si>
    <t>hintern</t>
  </si>
  <si>
    <t>is</t>
  </si>
  <si>
    <t>thema</t>
  </si>
  <si>
    <t>fiel</t>
  </si>
  <si>
    <t>gehalten</t>
  </si>
  <si>
    <t>dorthin</t>
  </si>
  <si>
    <t>urlaub</t>
  </si>
  <si>
    <t>steig</t>
  </si>
  <si>
    <t>vorwärts</t>
  </si>
  <si>
    <t>überprüfen</t>
  </si>
  <si>
    <t>besseres</t>
  </si>
  <si>
    <t>beweis</t>
  </si>
  <si>
    <t>baum</t>
  </si>
  <si>
    <t>gebt</t>
  </si>
  <si>
    <t>funktionieren</t>
  </si>
  <si>
    <t>anscheinend</t>
  </si>
  <si>
    <t>lehrer</t>
  </si>
  <si>
    <t>hoffen</t>
  </si>
  <si>
    <t>bessere</t>
  </si>
  <si>
    <t>isst</t>
  </si>
  <si>
    <t>nachmittag</t>
  </si>
  <si>
    <t>nem</t>
  </si>
  <si>
    <t>risiko</t>
  </si>
  <si>
    <t>chuck</t>
  </si>
  <si>
    <t>knast</t>
  </si>
  <si>
    <t>entschuldigt</t>
  </si>
  <si>
    <t>gilt</t>
  </si>
  <si>
    <t>held</t>
  </si>
  <si>
    <t>daraus</t>
  </si>
  <si>
    <t>erstes</t>
  </si>
  <si>
    <t>fräulein</t>
  </si>
  <si>
    <t>rachel</t>
  </si>
  <si>
    <t>prima</t>
  </si>
  <si>
    <t>brauchte</t>
  </si>
  <si>
    <t>gewalt</t>
  </si>
  <si>
    <t>dean</t>
  </si>
  <si>
    <t>liebes</t>
  </si>
  <si>
    <t>schaffst</t>
  </si>
  <si>
    <t>nachdenken</t>
  </si>
  <si>
    <t>tor</t>
  </si>
  <si>
    <t>erfahrung</t>
  </si>
  <si>
    <t>pläne</t>
  </si>
  <si>
    <t>jagen</t>
  </si>
  <si>
    <t>katze</t>
  </si>
  <si>
    <t>runde</t>
  </si>
  <si>
    <t>deutsche</t>
  </si>
  <si>
    <t>schwanz</t>
  </si>
  <si>
    <t>taten</t>
  </si>
  <si>
    <t>lord</t>
  </si>
  <si>
    <t>dringend</t>
  </si>
  <si>
    <t>commander</t>
  </si>
  <si>
    <t>großvater</t>
  </si>
  <si>
    <t>sommer</t>
  </si>
  <si>
    <t>gezeigt</t>
  </si>
  <si>
    <t>hinterlassen</t>
  </si>
  <si>
    <t>gewissen</t>
  </si>
  <si>
    <t>getrunken</t>
  </si>
  <si>
    <t>wahre</t>
  </si>
  <si>
    <t>luke</t>
  </si>
  <si>
    <t>kunden</t>
  </si>
  <si>
    <t>kate</t>
  </si>
  <si>
    <t>zeugen</t>
  </si>
  <si>
    <t>geplant</t>
  </si>
  <si>
    <t>amanda</t>
  </si>
  <si>
    <t>erreicht</t>
  </si>
  <si>
    <t>stören</t>
  </si>
  <si>
    <t>stein</t>
  </si>
  <si>
    <t>atmen</t>
  </si>
  <si>
    <t>hose</t>
  </si>
  <si>
    <t>weiße</t>
  </si>
  <si>
    <t>sprichst</t>
  </si>
  <si>
    <t>größer</t>
  </si>
  <si>
    <t>schickt</t>
  </si>
  <si>
    <t>city</t>
  </si>
  <si>
    <t>prinz</t>
  </si>
  <si>
    <t>behandelt</t>
  </si>
  <si>
    <t>tote</t>
  </si>
  <si>
    <t>überlegen</t>
  </si>
  <si>
    <t>karten</t>
  </si>
  <si>
    <t>it</t>
  </si>
  <si>
    <t>d</t>
  </si>
  <si>
    <t>restaurant</t>
  </si>
  <si>
    <t>welchem</t>
  </si>
  <si>
    <t>roger</t>
  </si>
  <si>
    <t>natur</t>
  </si>
  <si>
    <t>carter</t>
  </si>
  <si>
    <t>emily</t>
  </si>
  <si>
    <t>mami</t>
  </si>
  <si>
    <t>verschwindet</t>
  </si>
  <si>
    <t>lautet</t>
  </si>
  <si>
    <t>streit</t>
  </si>
  <si>
    <t>küssen</t>
  </si>
  <si>
    <t>sprich</t>
  </si>
  <si>
    <t>längst</t>
  </si>
  <si>
    <t>fängt</t>
  </si>
  <si>
    <t>drüber</t>
  </si>
  <si>
    <t>gingen</t>
  </si>
  <si>
    <t>erlaubt</t>
  </si>
  <si>
    <t>einzigen</t>
  </si>
  <si>
    <t>bad</t>
  </si>
  <si>
    <t>schmeckt</t>
  </si>
  <si>
    <t>kugel</t>
  </si>
  <si>
    <t>normalerweise</t>
  </si>
  <si>
    <t>schwarzen</t>
  </si>
  <si>
    <t>rauf</t>
  </si>
  <si>
    <t>flug</t>
  </si>
  <si>
    <t>beruhigen</t>
  </si>
  <si>
    <t>walter</t>
  </si>
  <si>
    <t>halbe</t>
  </si>
  <si>
    <t>dan</t>
  </si>
  <si>
    <t>geschieht</t>
  </si>
  <si>
    <t>einiges</t>
  </si>
  <si>
    <t>entdeckt</t>
  </si>
  <si>
    <t>morgens</t>
  </si>
  <si>
    <t>schlechter</t>
  </si>
  <si>
    <t>vollkommen</t>
  </si>
  <si>
    <t>gelogen</t>
  </si>
  <si>
    <t>verfolgt</t>
  </si>
  <si>
    <t>college</t>
  </si>
  <si>
    <t>weiteren</t>
  </si>
  <si>
    <t>chris</t>
  </si>
  <si>
    <t>louis</t>
  </si>
  <si>
    <t>eh</t>
  </si>
  <si>
    <t>schwert</t>
  </si>
  <si>
    <t>hunde</t>
  </si>
  <si>
    <t>steigen</t>
  </si>
  <si>
    <t>verdammter</t>
  </si>
  <si>
    <t>dürfte</t>
  </si>
  <si>
    <t>riecht</t>
  </si>
  <si>
    <t>labor</t>
  </si>
  <si>
    <t>bat</t>
  </si>
  <si>
    <t>tim</t>
  </si>
  <si>
    <t>arthur</t>
  </si>
  <si>
    <t>mindestens</t>
  </si>
  <si>
    <t>fisch</t>
  </si>
  <si>
    <t>eurem</t>
  </si>
  <si>
    <t>füße</t>
  </si>
  <si>
    <t>stehst</t>
  </si>
  <si>
    <t>erschießen</t>
  </si>
  <si>
    <t>kuchen</t>
  </si>
  <si>
    <t>versuchte</t>
  </si>
  <si>
    <t>zustand</t>
  </si>
  <si>
    <t>wunsch</t>
  </si>
  <si>
    <t>gäste</t>
  </si>
  <si>
    <t>erwähnt</t>
  </si>
  <si>
    <t>farbe</t>
  </si>
  <si>
    <t>van</t>
  </si>
  <si>
    <t>einigen</t>
  </si>
  <si>
    <t>zufall</t>
  </si>
  <si>
    <t>garten</t>
  </si>
  <si>
    <t>junger</t>
  </si>
  <si>
    <t>autos</t>
  </si>
  <si>
    <t>abgesehen</t>
  </si>
  <si>
    <t>fair</t>
  </si>
  <si>
    <t>vertraut</t>
  </si>
  <si>
    <t>koffer</t>
  </si>
  <si>
    <t>hieß</t>
  </si>
  <si>
    <t>kurs</t>
  </si>
  <si>
    <t>wirkt</t>
  </si>
  <si>
    <t>idioten</t>
  </si>
  <si>
    <t>netter</t>
  </si>
  <si>
    <t>seitdem</t>
  </si>
  <si>
    <t>angegriffen</t>
  </si>
  <si>
    <t>geschichten</t>
  </si>
  <si>
    <t>wahnsinnig</t>
  </si>
  <si>
    <t>ähnlich</t>
  </si>
  <si>
    <t>lily</t>
  </si>
  <si>
    <t>aufgeben</t>
  </si>
  <si>
    <t>england</t>
  </si>
  <si>
    <t>entführt</t>
  </si>
  <si>
    <t>ms.</t>
  </si>
  <si>
    <t>mistkerl</t>
  </si>
  <si>
    <t>solchen</t>
  </si>
  <si>
    <t>ner</t>
  </si>
  <si>
    <t>geschossen</t>
  </si>
  <si>
    <t>lager</t>
  </si>
  <si>
    <t>besprechen</t>
  </si>
  <si>
    <t>reihe</t>
  </si>
  <si>
    <t>polizisten</t>
  </si>
  <si>
    <t>vogel</t>
  </si>
  <si>
    <t>legt</t>
  </si>
  <si>
    <t>strand</t>
  </si>
  <si>
    <t>amerikaner</t>
  </si>
  <si>
    <t>schwarz</t>
  </si>
  <si>
    <t>fern</t>
  </si>
  <si>
    <t>fick</t>
  </si>
  <si>
    <t>scherz</t>
  </si>
  <si>
    <t>san</t>
  </si>
  <si>
    <t>erzählte</t>
  </si>
  <si>
    <t>wichser</t>
  </si>
  <si>
    <t>jake</t>
  </si>
  <si>
    <t>langweilig</t>
  </si>
  <si>
    <t>womit</t>
  </si>
  <si>
    <t>geschäfte</t>
  </si>
  <si>
    <t>my</t>
  </si>
  <si>
    <t>kapiert</t>
  </si>
  <si>
    <t>nachher</t>
  </si>
  <si>
    <t>verlangt</t>
  </si>
  <si>
    <t>schlägt</t>
  </si>
  <si>
    <t>überzeugt</t>
  </si>
  <si>
    <t>irgendjemand</t>
  </si>
  <si>
    <t>rot</t>
  </si>
  <si>
    <t>soldat</t>
  </si>
  <si>
    <t>vorbereitet</t>
  </si>
  <si>
    <t>geschah</t>
  </si>
  <si>
    <t>reisen</t>
  </si>
  <si>
    <t>termin</t>
  </si>
  <si>
    <t>gang</t>
  </si>
  <si>
    <t>stehlen</t>
  </si>
  <si>
    <t>rechte</t>
  </si>
  <si>
    <t>rache</t>
  </si>
  <si>
    <t>bemerkt</t>
  </si>
  <si>
    <t>frankreich</t>
  </si>
  <si>
    <t>stört</t>
  </si>
  <si>
    <t>radio</t>
  </si>
  <si>
    <t>beruhige</t>
  </si>
  <si>
    <t>pferde</t>
  </si>
  <si>
    <t>vertrag</t>
  </si>
  <si>
    <t>arbeitest</t>
  </si>
  <si>
    <t>dienst</t>
  </si>
  <si>
    <t>zählt</t>
  </si>
  <si>
    <t>fragst</t>
  </si>
  <si>
    <t>wesen</t>
  </si>
  <si>
    <t>bürgermeister</t>
  </si>
  <si>
    <t>emma</t>
  </si>
  <si>
    <t>fluss</t>
  </si>
  <si>
    <t>woran</t>
  </si>
  <si>
    <t>geblieben</t>
  </si>
  <si>
    <t>durcheinander</t>
  </si>
  <si>
    <t>me</t>
  </si>
  <si>
    <t>ted</t>
  </si>
  <si>
    <t>nette</t>
  </si>
  <si>
    <t>test</t>
  </si>
  <si>
    <t>mister</t>
  </si>
  <si>
    <t>dadurch</t>
  </si>
  <si>
    <t>direktor</t>
  </si>
  <si>
    <t>wichtiger</t>
  </si>
  <si>
    <t>kevin</t>
  </si>
  <si>
    <t>scott</t>
  </si>
  <si>
    <t>karriere</t>
  </si>
  <si>
    <t>akte</t>
  </si>
  <si>
    <t>erinnerung</t>
  </si>
  <si>
    <t>großmutter</t>
  </si>
  <si>
    <t>erzähle</t>
  </si>
  <si>
    <t>lösen</t>
  </si>
  <si>
    <t>bravo</t>
  </si>
  <si>
    <t>griff</t>
  </si>
  <si>
    <t>verfolgen</t>
  </si>
  <si>
    <t>zweifel</t>
  </si>
  <si>
    <t>such</t>
  </si>
  <si>
    <t>sprache</t>
  </si>
  <si>
    <t>nerven</t>
  </si>
  <si>
    <t>officer</t>
  </si>
  <si>
    <t>andy</t>
  </si>
  <si>
    <t>langer</t>
  </si>
  <si>
    <t>ziehe</t>
  </si>
  <si>
    <t>entlassen</t>
  </si>
  <si>
    <t>zweimal</t>
  </si>
  <si>
    <t>abholen</t>
  </si>
  <si>
    <t>washington</t>
  </si>
  <si>
    <t>kollegen</t>
  </si>
  <si>
    <t>doc</t>
  </si>
  <si>
    <t>fass</t>
  </si>
  <si>
    <t>szene</t>
  </si>
  <si>
    <t>robin</t>
  </si>
  <si>
    <t>scheinen</t>
  </si>
  <si>
    <t>bösen</t>
  </si>
  <si>
    <t>schaffe</t>
  </si>
  <si>
    <t>pflicht</t>
  </si>
  <si>
    <t>wache</t>
  </si>
  <si>
    <t>neulich</t>
  </si>
  <si>
    <t>beeilen</t>
  </si>
  <si>
    <t>knie</t>
  </si>
  <si>
    <t>alice</t>
  </si>
  <si>
    <t>lauter</t>
  </si>
  <si>
    <t>spannende</t>
  </si>
  <si>
    <t>unschuldig</t>
  </si>
  <si>
    <t>folgt</t>
  </si>
  <si>
    <t>schutz</t>
  </si>
  <si>
    <t>weshalb</t>
  </si>
  <si>
    <t>geheiratet</t>
  </si>
  <si>
    <t>woanders</t>
  </si>
  <si>
    <t>wurdest</t>
  </si>
  <si>
    <t>kuss</t>
  </si>
  <si>
    <t>verhindern</t>
  </si>
  <si>
    <t>erklärung</t>
  </si>
  <si>
    <t>video</t>
  </si>
  <si>
    <t>rom</t>
  </si>
  <si>
    <t>klug</t>
  </si>
  <si>
    <t>kräfte</t>
  </si>
  <si>
    <t>verlangen</t>
  </si>
  <si>
    <t>außerhalb</t>
  </si>
  <si>
    <t>opa</t>
  </si>
  <si>
    <t>selbstverständlich</t>
  </si>
  <si>
    <t>aufstehen</t>
  </si>
  <si>
    <t>hassen</t>
  </si>
  <si>
    <t>pete</t>
  </si>
  <si>
    <t>gebrauchen</t>
  </si>
  <si>
    <t>geglaubt</t>
  </si>
  <si>
    <t>milch</t>
  </si>
  <si>
    <t>trink</t>
  </si>
  <si>
    <t>gefeuert</t>
  </si>
  <si>
    <t>erinnerungen</t>
  </si>
  <si>
    <t>müssten</t>
  </si>
  <si>
    <t>suchst</t>
  </si>
  <si>
    <t>fährst</t>
  </si>
  <si>
    <t>kochen</t>
  </si>
  <si>
    <t>schwach</t>
  </si>
  <si>
    <t>schreibt</t>
  </si>
  <si>
    <t>schulden</t>
  </si>
  <si>
    <t>hinein</t>
  </si>
  <si>
    <t>simon</t>
  </si>
  <si>
    <t>grenze</t>
  </si>
  <si>
    <t>braut</t>
  </si>
  <si>
    <t>gebraucht</t>
  </si>
  <si>
    <t>peinlich</t>
  </si>
  <si>
    <t>klappt</t>
  </si>
  <si>
    <t>geheimnisse</t>
  </si>
  <si>
    <t>joey</t>
  </si>
  <si>
    <t>aufmerksamkeit</t>
  </si>
  <si>
    <t>form</t>
  </si>
  <si>
    <t>umsonst</t>
  </si>
  <si>
    <t>kennenzulernen</t>
  </si>
  <si>
    <t>überlebt</t>
  </si>
  <si>
    <t>nirgendwo</t>
  </si>
  <si>
    <t>meilen</t>
  </si>
  <si>
    <t>einfacher</t>
  </si>
  <si>
    <t>blöde</t>
  </si>
  <si>
    <t>mond</t>
  </si>
  <si>
    <t>ergibt</t>
  </si>
  <si>
    <t>daten</t>
  </si>
  <si>
    <t>merken</t>
  </si>
  <si>
    <t>schande</t>
  </si>
  <si>
    <t>fuck</t>
  </si>
  <si>
    <t>fühlte</t>
  </si>
  <si>
    <t>jenny</t>
  </si>
  <si>
    <t>sieg</t>
  </si>
  <si>
    <t>satt</t>
  </si>
  <si>
    <t>blödsinn</t>
  </si>
  <si>
    <t>adam</t>
  </si>
  <si>
    <t>lisa</t>
  </si>
  <si>
    <t>pfund</t>
  </si>
  <si>
    <t>handeln</t>
  </si>
  <si>
    <t>lois</t>
  </si>
  <si>
    <t>enden</t>
  </si>
  <si>
    <t>warm</t>
  </si>
  <si>
    <t>raten</t>
  </si>
  <si>
    <t>übersetzung</t>
  </si>
  <si>
    <t>kunst</t>
  </si>
  <si>
    <t>kapitän</t>
  </si>
  <si>
    <t>desto</t>
  </si>
  <si>
    <t>einsatz</t>
  </si>
  <si>
    <t>schweigen</t>
  </si>
  <si>
    <t>krankheit</t>
  </si>
  <si>
    <t>toller</t>
  </si>
  <si>
    <t>schatten</t>
  </si>
  <si>
    <t>wachen</t>
  </si>
  <si>
    <t>tatsache</t>
  </si>
  <si>
    <t>eric</t>
  </si>
  <si>
    <t>stock</t>
  </si>
  <si>
    <t>chief</t>
  </si>
  <si>
    <t>hingehen</t>
  </si>
  <si>
    <t>verboten</t>
  </si>
  <si>
    <t>gäbe</t>
  </si>
  <si>
    <t>anzug</t>
  </si>
  <si>
    <t>leichen</t>
  </si>
  <si>
    <t>high</t>
  </si>
  <si>
    <t>beendet</t>
  </si>
  <si>
    <t>freitag</t>
  </si>
  <si>
    <t>million</t>
  </si>
  <si>
    <t>verflucht</t>
  </si>
  <si>
    <t>dunkel</t>
  </si>
  <si>
    <t>geb</t>
  </si>
  <si>
    <t>enttäuscht</t>
  </si>
  <si>
    <t>klopfen</t>
  </si>
  <si>
    <t>spuren</t>
  </si>
  <si>
    <t>dreck</t>
  </si>
  <si>
    <t>seiten</t>
  </si>
  <si>
    <t>mühe</t>
  </si>
  <si>
    <t>gezogen</t>
  </si>
  <si>
    <t>brian</t>
  </si>
  <si>
    <t>kontrollieren</t>
  </si>
  <si>
    <t>knochen</t>
  </si>
  <si>
    <t>schick</t>
  </si>
  <si>
    <t>getrennt</t>
  </si>
  <si>
    <t>programm</t>
  </si>
  <si>
    <t>grab</t>
  </si>
  <si>
    <t>ebenso</t>
  </si>
  <si>
    <t>trage</t>
  </si>
  <si>
    <t>nachbarn</t>
  </si>
  <si>
    <t>bieten</t>
  </si>
  <si>
    <t>bestes</t>
  </si>
  <si>
    <t>elizabeth</t>
  </si>
  <si>
    <t>fuhr</t>
  </si>
  <si>
    <t>verlässt</t>
  </si>
  <si>
    <t>freundlich</t>
  </si>
  <si>
    <t>dennoch</t>
  </si>
  <si>
    <t>rauchen</t>
  </si>
  <si>
    <t>dick</t>
  </si>
  <si>
    <t>stuhl</t>
  </si>
  <si>
    <t>dreh</t>
  </si>
  <si>
    <t>bester</t>
  </si>
  <si>
    <t>schicke</t>
  </si>
  <si>
    <t>vergeben</t>
  </si>
  <si>
    <t>ausgehen</t>
  </si>
  <si>
    <t>behandeln</t>
  </si>
  <si>
    <t>trotz</t>
  </si>
  <si>
    <t>gast</t>
  </si>
  <si>
    <t>ändert</t>
  </si>
  <si>
    <t>passierte</t>
  </si>
  <si>
    <t>toilette</t>
  </si>
  <si>
    <t>annehmen</t>
  </si>
  <si>
    <t>herzlichen</t>
  </si>
  <si>
    <t>hexe</t>
  </si>
  <si>
    <t>erwachsen</t>
  </si>
  <si>
    <t>jerry</t>
  </si>
  <si>
    <t>pistole</t>
  </si>
  <si>
    <t>saß</t>
  </si>
  <si>
    <t>dreht</t>
  </si>
  <si>
    <t>aussage</t>
  </si>
  <si>
    <t>liebte</t>
  </si>
  <si>
    <t>street</t>
  </si>
  <si>
    <t>genießen</t>
  </si>
  <si>
    <t>eifersüchtig</t>
  </si>
  <si>
    <t>derjenige</t>
  </si>
  <si>
    <t>teuer</t>
  </si>
  <si>
    <t>leo</t>
  </si>
  <si>
    <t>zähne</t>
  </si>
  <si>
    <t>beobachtet</t>
  </si>
  <si>
    <t>gentlemen</t>
  </si>
  <si>
    <t>wählen</t>
  </si>
  <si>
    <t>helft</t>
  </si>
  <si>
    <t>fliegt</t>
  </si>
  <si>
    <t>theater</t>
  </si>
  <si>
    <t>regen</t>
  </si>
  <si>
    <t>feinde</t>
  </si>
  <si>
    <t>william</t>
  </si>
  <si>
    <t>erlauben</t>
  </si>
  <si>
    <t>zulassen</t>
  </si>
  <si>
    <t>schnappen</t>
  </si>
  <si>
    <t>komplett</t>
  </si>
  <si>
    <t>panik</t>
  </si>
  <si>
    <t>flughafen</t>
  </si>
  <si>
    <t>bewusst</t>
  </si>
  <si>
    <t>deutschen</t>
  </si>
  <si>
    <t>voraus</t>
  </si>
  <si>
    <t>sterbe</t>
  </si>
  <si>
    <t>solltet</t>
  </si>
  <si>
    <t>begleiten</t>
  </si>
  <si>
    <t>einander</t>
  </si>
  <si>
    <t>fred</t>
  </si>
  <si>
    <t>erlebt</t>
  </si>
  <si>
    <t>weiterhin</t>
  </si>
  <si>
    <t>stärker</t>
  </si>
  <si>
    <t>fahrer</t>
  </si>
  <si>
    <t>konzentrieren</t>
  </si>
  <si>
    <t>streiten</t>
  </si>
  <si>
    <t>angeht</t>
  </si>
  <si>
    <t>selben</t>
  </si>
  <si>
    <t>star</t>
  </si>
  <si>
    <t>überzeugen</t>
  </si>
  <si>
    <t>alkohol</t>
  </si>
  <si>
    <t>übersetzt</t>
  </si>
  <si>
    <t>verrückte</t>
  </si>
  <si>
    <t>lch</t>
  </si>
  <si>
    <t>king</t>
  </si>
  <si>
    <t>begann</t>
  </si>
  <si>
    <t>angenommen</t>
  </si>
  <si>
    <t>weitermachen</t>
  </si>
  <si>
    <t>echter</t>
  </si>
  <si>
    <t>jackson</t>
  </si>
  <si>
    <t>post</t>
  </si>
  <si>
    <t>mitgenommen</t>
  </si>
  <si>
    <t>botschaft</t>
  </si>
  <si>
    <t>ideen</t>
  </si>
  <si>
    <t>fehlen</t>
  </si>
  <si>
    <t>aufgeregt</t>
  </si>
  <si>
    <t>selbstmord</t>
  </si>
  <si>
    <t>dumme</t>
  </si>
  <si>
    <t>zurückkommen</t>
  </si>
  <si>
    <t>irgendein</t>
  </si>
  <si>
    <t>magie</t>
  </si>
  <si>
    <t>phil</t>
  </si>
  <si>
    <t>schlage</t>
  </si>
  <si>
    <t>handelt</t>
  </si>
  <si>
    <t>treffe</t>
  </si>
  <si>
    <t>untersuchen</t>
  </si>
  <si>
    <t>flucht</t>
  </si>
  <si>
    <t>verliert</t>
  </si>
  <si>
    <t>irgendeine</t>
  </si>
  <si>
    <t>gegenteil</t>
  </si>
  <si>
    <t>betrifft</t>
  </si>
  <si>
    <t>scharf</t>
  </si>
  <si>
    <t>gehofft</t>
  </si>
  <si>
    <t>kennengelernt</t>
  </si>
  <si>
    <t>schlimmste</t>
  </si>
  <si>
    <t>projekt</t>
  </si>
  <si>
    <t>trottel</t>
  </si>
  <si>
    <t>immerhin</t>
  </si>
  <si>
    <t>mehrere</t>
  </si>
  <si>
    <t>erwarte</t>
  </si>
  <si>
    <t>mochte</t>
  </si>
  <si>
    <t>schwimmen</t>
  </si>
  <si>
    <t>zählen</t>
  </si>
  <si>
    <t>innerhalb</t>
  </si>
  <si>
    <t>matt</t>
  </si>
  <si>
    <t>blind</t>
  </si>
  <si>
    <t>schwestern</t>
  </si>
  <si>
    <t>code</t>
  </si>
  <si>
    <t>alan</t>
  </si>
  <si>
    <t>schlau</t>
  </si>
  <si>
    <t>absicht</t>
  </si>
  <si>
    <t>barry</t>
  </si>
  <si>
    <t>spielst</t>
  </si>
  <si>
    <t>zuletzt</t>
  </si>
  <si>
    <t>oliver</t>
  </si>
  <si>
    <t>art.</t>
  </si>
  <si>
    <t>englisch</t>
  </si>
  <si>
    <t>ohr</t>
  </si>
  <si>
    <t>verletzen</t>
  </si>
  <si>
    <t>song</t>
  </si>
  <si>
    <t>schüler</t>
  </si>
  <si>
    <t>schien</t>
  </si>
  <si>
    <t>gewinnt</t>
  </si>
  <si>
    <t>älter</t>
  </si>
  <si>
    <t>merkwürdig</t>
  </si>
  <si>
    <t>judy</t>
  </si>
  <si>
    <t>vermisse</t>
  </si>
  <si>
    <t>größe</t>
  </si>
  <si>
    <t>tritt</t>
  </si>
  <si>
    <t>trauen</t>
  </si>
  <si>
    <t>präsidenten</t>
  </si>
  <si>
    <t>trick</t>
  </si>
  <si>
    <t>harvey</t>
  </si>
  <si>
    <t>doug</t>
  </si>
  <si>
    <t>roten</t>
  </si>
  <si>
    <t>überlegt</t>
  </si>
  <si>
    <t>größten</t>
  </si>
  <si>
    <t>sonntag</t>
  </si>
  <si>
    <t>zwölf</t>
  </si>
  <si>
    <t>vorstellung</t>
  </si>
  <si>
    <t>schrieb</t>
  </si>
  <si>
    <t>reinkommen</t>
  </si>
  <si>
    <t>killer</t>
  </si>
  <si>
    <t>unterstützung</t>
  </si>
  <si>
    <t>antun</t>
  </si>
  <si>
    <t>rechnung</t>
  </si>
  <si>
    <t>dieselbe</t>
  </si>
  <si>
    <t>verändern</t>
  </si>
  <si>
    <t>möglicherweise</t>
  </si>
  <si>
    <t>definitiv</t>
  </si>
  <si>
    <t>locker</t>
  </si>
  <si>
    <t>ed</t>
  </si>
  <si>
    <t>vincent</t>
  </si>
  <si>
    <t>ums</t>
  </si>
  <si>
    <t>abends</t>
  </si>
  <si>
    <t>frisch</t>
  </si>
  <si>
    <t>kohle</t>
  </si>
  <si>
    <t>fing</t>
  </si>
  <si>
    <t>hure</t>
  </si>
  <si>
    <t>cousin</t>
  </si>
  <si>
    <t>familien</t>
  </si>
  <si>
    <t>einsam</t>
  </si>
  <si>
    <t>lebendig</t>
  </si>
  <si>
    <t>heiligen</t>
  </si>
  <si>
    <t>knapp</t>
  </si>
  <si>
    <t>ebenfalls</t>
  </si>
  <si>
    <t>überprüft</t>
  </si>
  <si>
    <t>artikel</t>
  </si>
  <si>
    <t>gesetzt</t>
  </si>
  <si>
    <t>jederzeit</t>
  </si>
  <si>
    <t>kompliziert</t>
  </si>
  <si>
    <t>spüren</t>
  </si>
  <si>
    <t>signal</t>
  </si>
  <si>
    <t>amy</t>
  </si>
  <si>
    <t>stich</t>
  </si>
  <si>
    <t>kino</t>
  </si>
  <si>
    <t>probieren</t>
  </si>
  <si>
    <t>tode</t>
  </si>
  <si>
    <t>wundervoll</t>
  </si>
  <si>
    <t>tanz</t>
  </si>
  <si>
    <t>geöffnet</t>
  </si>
  <si>
    <t>kerle</t>
  </si>
  <si>
    <t>begraben</t>
  </si>
  <si>
    <t>prozent</t>
  </si>
  <si>
    <t>stoppen</t>
  </si>
  <si>
    <t>hoheit</t>
  </si>
  <si>
    <t>riesen</t>
  </si>
  <si>
    <t>rote</t>
  </si>
  <si>
    <t>zugang</t>
  </si>
  <si>
    <t>liest</t>
  </si>
  <si>
    <t>vorn</t>
  </si>
  <si>
    <t>wichtige</t>
  </si>
  <si>
    <t>aufmachen</t>
  </si>
  <si>
    <t>kelly</t>
  </si>
  <si>
    <t>sexy</t>
  </si>
  <si>
    <t>erlaubnis</t>
  </si>
  <si>
    <t>grace</t>
  </si>
  <si>
    <t>big</t>
  </si>
  <si>
    <t>story</t>
  </si>
  <si>
    <t>madam</t>
  </si>
  <si>
    <t>leichter</t>
  </si>
  <si>
    <t>halben</t>
  </si>
  <si>
    <t>filme</t>
  </si>
  <si>
    <t>priester</t>
  </si>
  <si>
    <t>herauszufinden</t>
  </si>
  <si>
    <t>packen</t>
  </si>
  <si>
    <t>dritte</t>
  </si>
  <si>
    <t>inzwischen</t>
  </si>
  <si>
    <t>larry</t>
  </si>
  <si>
    <t>presse</t>
  </si>
  <si>
    <t>sitze</t>
  </si>
  <si>
    <t>machten</t>
  </si>
  <si>
    <t>geklaut</t>
  </si>
  <si>
    <t>helden</t>
  </si>
  <si>
    <t>susan</t>
  </si>
  <si>
    <t>geduld</t>
  </si>
  <si>
    <t>bühne</t>
  </si>
  <si>
    <t>reparieren</t>
  </si>
  <si>
    <t>hä</t>
  </si>
  <si>
    <t>usa</t>
  </si>
  <si>
    <t>gerechtigkeit</t>
  </si>
  <si>
    <t>fälle</t>
  </si>
  <si>
    <t>selten</t>
  </si>
  <si>
    <t>anrufe</t>
  </si>
  <si>
    <t>unterschreiben</t>
  </si>
  <si>
    <t>julia</t>
  </si>
  <si>
    <t>drücken</t>
  </si>
  <si>
    <t>mrs</t>
  </si>
  <si>
    <t>lügner</t>
  </si>
  <si>
    <t>endet</t>
  </si>
  <si>
    <t>dave</t>
  </si>
  <si>
    <t>medizin</t>
  </si>
  <si>
    <t>schreibe</t>
  </si>
  <si>
    <t>verhaften</t>
  </si>
  <si>
    <t>prozess</t>
  </si>
  <si>
    <t>samstag</t>
  </si>
  <si>
    <t>amen</t>
  </si>
  <si>
    <t>motor</t>
  </si>
  <si>
    <t>marie</t>
  </si>
  <si>
    <t>abhauen</t>
  </si>
  <si>
    <t>chaos</t>
  </si>
  <si>
    <t>schönheit</t>
  </si>
  <si>
    <t>beinahe</t>
  </si>
  <si>
    <t>lebst</t>
  </si>
  <si>
    <t>tolles</t>
  </si>
  <si>
    <t>anhalten</t>
  </si>
  <si>
    <t>fremden</t>
  </si>
  <si>
    <t>hof</t>
  </si>
  <si>
    <t>akzeptieren</t>
  </si>
  <si>
    <t>norden</t>
  </si>
  <si>
    <t>ärzte</t>
  </si>
  <si>
    <t>anziehen</t>
  </si>
  <si>
    <t>dingen</t>
  </si>
  <si>
    <t>umgehen</t>
  </si>
  <si>
    <t>bauch</t>
  </si>
  <si>
    <t>gesamte</t>
  </si>
  <si>
    <t>hübsche</t>
  </si>
  <si>
    <t>ertragen</t>
  </si>
  <si>
    <t>kiste</t>
  </si>
  <si>
    <t>brennt</t>
  </si>
  <si>
    <t>teile</t>
  </si>
  <si>
    <t>deckung</t>
  </si>
  <si>
    <t>landen</t>
  </si>
  <si>
    <t>berg</t>
  </si>
  <si>
    <t>straßen</t>
  </si>
  <si>
    <t>aufgenommen</t>
  </si>
  <si>
    <t>gerufen</t>
  </si>
  <si>
    <t>untersuchung</t>
  </si>
  <si>
    <t>alarm</t>
  </si>
  <si>
    <t>blieb</t>
  </si>
  <si>
    <t>vertraue</t>
  </si>
  <si>
    <t>extra</t>
  </si>
  <si>
    <t>entspann</t>
  </si>
  <si>
    <t>beobachten</t>
  </si>
  <si>
    <t>eindruck</t>
  </si>
  <si>
    <t>tschüs</t>
  </si>
  <si>
    <t>babys</t>
  </si>
  <si>
    <t>wehtun</t>
  </si>
  <si>
    <t>zog</t>
  </si>
  <si>
    <t>iss</t>
  </si>
  <si>
    <t>herrgott</t>
  </si>
  <si>
    <t>echten</t>
  </si>
  <si>
    <t>springen</t>
  </si>
  <si>
    <t>nackt</t>
  </si>
  <si>
    <t>existiert</t>
  </si>
  <si>
    <t>befreien</t>
  </si>
  <si>
    <t>gerät</t>
  </si>
  <si>
    <t>montag</t>
  </si>
  <si>
    <t>gezwungen</t>
  </si>
  <si>
    <t>perfekte</t>
  </si>
  <si>
    <t>erzählst</t>
  </si>
  <si>
    <t>bastard</t>
  </si>
  <si>
    <t>interessieren</t>
  </si>
  <si>
    <t>schlechten</t>
  </si>
  <si>
    <t>hank</t>
  </si>
  <si>
    <t>steigt</t>
  </si>
  <si>
    <t>st.</t>
  </si>
  <si>
    <t>on</t>
  </si>
  <si>
    <t>carl</t>
  </si>
  <si>
    <t>gekriegt</t>
  </si>
  <si>
    <t>fliehen</t>
  </si>
  <si>
    <t>trug</t>
  </si>
  <si>
    <t>freundschaft</t>
  </si>
  <si>
    <t>rate</t>
  </si>
  <si>
    <t>papiere</t>
  </si>
  <si>
    <t>abgeschlossen</t>
  </si>
  <si>
    <t>schnauze</t>
  </si>
  <si>
    <t>beruf</t>
  </si>
  <si>
    <t>gebiet</t>
  </si>
  <si>
    <t>jeff</t>
  </si>
  <si>
    <t>jedoch</t>
  </si>
  <si>
    <t>beten</t>
  </si>
  <si>
    <t>verbunden</t>
  </si>
  <si>
    <t>sprachen</t>
  </si>
  <si>
    <t>verräter</t>
  </si>
  <si>
    <t>wichtigste</t>
  </si>
  <si>
    <t>prost</t>
  </si>
  <si>
    <t>brust</t>
  </si>
  <si>
    <t>aufgehört</t>
  </si>
  <si>
    <t>kleider</t>
  </si>
  <si>
    <t>jacke</t>
  </si>
  <si>
    <t>bestellt</t>
  </si>
  <si>
    <t>herkommen</t>
  </si>
  <si>
    <t>wild</t>
  </si>
  <si>
    <t>nenne</t>
  </si>
  <si>
    <t>angesehen</t>
  </si>
  <si>
    <t>zuhören</t>
  </si>
  <si>
    <t>trennen</t>
  </si>
  <si>
    <t>schlafzimmer</t>
  </si>
  <si>
    <t>vorschlag</t>
  </si>
  <si>
    <t>meins</t>
  </si>
  <si>
    <t>gift</t>
  </si>
  <si>
    <t>ton</t>
  </si>
  <si>
    <t>vermissen</t>
  </si>
  <si>
    <t>angekommen</t>
  </si>
  <si>
    <t>beantworten</t>
  </si>
  <si>
    <t>deutlich</t>
  </si>
  <si>
    <t>träumen</t>
  </si>
  <si>
    <t>verwirrt</t>
  </si>
  <si>
    <t>akten</t>
  </si>
  <si>
    <t>riskieren</t>
  </si>
  <si>
    <t>b</t>
  </si>
  <si>
    <t>victor</t>
  </si>
  <si>
    <t>find</t>
  </si>
  <si>
    <t>erkannt</t>
  </si>
  <si>
    <t>beerdigung</t>
  </si>
  <si>
    <t>müll</t>
  </si>
  <si>
    <t>weisst</t>
  </si>
  <si>
    <t>möge</t>
  </si>
  <si>
    <t>stellte</t>
  </si>
  <si>
    <t>mitte</t>
  </si>
  <si>
    <t>erleben</t>
  </si>
  <si>
    <t>geburt</t>
  </si>
  <si>
    <t>decke</t>
  </si>
  <si>
    <t>ch00ffff</t>
  </si>
  <si>
    <t>wege</t>
  </si>
  <si>
    <t>schritte</t>
  </si>
  <si>
    <t>gibts</t>
  </si>
  <si>
    <t>gemeldet</t>
  </si>
  <si>
    <t>hilfst</t>
  </si>
  <si>
    <t>mittagessen</t>
  </si>
  <si>
    <t>weint</t>
  </si>
  <si>
    <t>vernichten</t>
  </si>
  <si>
    <t>rock</t>
  </si>
  <si>
    <t>chicago</t>
  </si>
  <si>
    <t>ellen</t>
  </si>
  <si>
    <t>crew</t>
  </si>
  <si>
    <t>roy</t>
  </si>
  <si>
    <t>türen</t>
  </si>
  <si>
    <t>gewehr</t>
  </si>
  <si>
    <t>elena</t>
  </si>
  <si>
    <t>arbeitete</t>
  </si>
  <si>
    <t>spiegel</t>
  </si>
  <si>
    <t>hauen</t>
  </si>
  <si>
    <t>geraten</t>
  </si>
  <si>
    <t>dritten</t>
  </si>
  <si>
    <t>ross</t>
  </si>
  <si>
    <t>julie</t>
  </si>
  <si>
    <t>wetter</t>
  </si>
  <si>
    <t>schwul</t>
  </si>
  <si>
    <t>regel</t>
  </si>
  <si>
    <t>befindet</t>
  </si>
  <si>
    <t>einheit</t>
  </si>
  <si>
    <t>german</t>
  </si>
  <si>
    <t>armer</t>
  </si>
  <si>
    <t>gucken</t>
  </si>
  <si>
    <t>anstatt</t>
  </si>
  <si>
    <t>champagner</t>
  </si>
  <si>
    <t>gründe</t>
  </si>
  <si>
    <t>strafe</t>
  </si>
  <si>
    <t>smith</t>
  </si>
  <si>
    <t>öfter</t>
  </si>
  <si>
    <t>anne</t>
  </si>
  <si>
    <t>zelle</t>
  </si>
  <si>
    <t>langen</t>
  </si>
  <si>
    <t>altes</t>
  </si>
  <si>
    <t>ruiniert</t>
  </si>
  <si>
    <t>jonathan</t>
  </si>
  <si>
    <t>kleidung</t>
  </si>
  <si>
    <t>gras</t>
  </si>
  <si>
    <t>kenn</t>
  </si>
  <si>
    <t>agenten</t>
  </si>
  <si>
    <t>herausgefunden</t>
  </si>
  <si>
    <t>annie</t>
  </si>
  <si>
    <t>rechten</t>
  </si>
  <si>
    <t>brot</t>
  </si>
  <si>
    <t>berlin</t>
  </si>
  <si>
    <t>erfreut</t>
  </si>
  <si>
    <t>lügt</t>
  </si>
  <si>
    <t>nehm</t>
  </si>
  <si>
    <t>harte</t>
  </si>
  <si>
    <t>staaten</t>
  </si>
  <si>
    <t>station</t>
  </si>
  <si>
    <t>gaben</t>
  </si>
  <si>
    <t>hinterher</t>
  </si>
  <si>
    <t>verpassen</t>
  </si>
  <si>
    <t>geholt</t>
  </si>
  <si>
    <t>jesse</t>
  </si>
  <si>
    <t>hemd</t>
  </si>
  <si>
    <t>trinke</t>
  </si>
  <si>
    <t>klären</t>
  </si>
  <si>
    <t>praktisch</t>
  </si>
  <si>
    <t>theorie</t>
  </si>
  <si>
    <t>zunge</t>
  </si>
  <si>
    <t>notfall</t>
  </si>
  <si>
    <t>besseren</t>
  </si>
  <si>
    <t>winter</t>
  </si>
  <si>
    <t>c</t>
  </si>
  <si>
    <t>versuchst</t>
  </si>
  <si>
    <t>dahinter</t>
  </si>
  <si>
    <t>schwere</t>
  </si>
  <si>
    <t>feuern</t>
  </si>
  <si>
    <t>lucy</t>
  </si>
  <si>
    <t>schießt</t>
  </si>
  <si>
    <t>anführer</t>
  </si>
  <si>
    <t>schief</t>
  </si>
  <si>
    <t>blau</t>
  </si>
  <si>
    <t>bestens</t>
  </si>
  <si>
    <t>wartest</t>
  </si>
  <si>
    <t>gehts</t>
  </si>
  <si>
    <t>morgan</t>
  </si>
  <si>
    <t>unrecht</t>
  </si>
  <si>
    <t>leck</t>
  </si>
  <si>
    <t>wonach</t>
  </si>
  <si>
    <t>entwickelt</t>
  </si>
  <si>
    <t>bedeutung</t>
  </si>
  <si>
    <t>strom</t>
  </si>
  <si>
    <t>krebs</t>
  </si>
  <si>
    <t>gemein</t>
  </si>
  <si>
    <t>wessen</t>
  </si>
  <si>
    <t>minister</t>
  </si>
  <si>
    <t>lhnen</t>
  </si>
  <si>
    <t>quelle</t>
  </si>
  <si>
    <t>zahl</t>
  </si>
  <si>
    <t>schiffe</t>
  </si>
  <si>
    <t>schüsse</t>
  </si>
  <si>
    <t>bricht</t>
  </si>
  <si>
    <t>talent</t>
  </si>
  <si>
    <t>spitze</t>
  </si>
  <si>
    <t>fernseher</t>
  </si>
  <si>
    <t>treiben</t>
  </si>
  <si>
    <t>ausgezeichnet</t>
  </si>
  <si>
    <t>tatort</t>
  </si>
  <si>
    <t>möglichkeiten</t>
  </si>
  <si>
    <t>trinkt</t>
  </si>
  <si>
    <t>esse</t>
  </si>
  <si>
    <t>cop</t>
  </si>
  <si>
    <t>details</t>
  </si>
  <si>
    <t>täter</t>
  </si>
  <si>
    <t>wahren</t>
  </si>
  <si>
    <t>dieb</t>
  </si>
  <si>
    <t>offiziell</t>
  </si>
  <si>
    <t>dienen</t>
  </si>
  <si>
    <t>westen</t>
  </si>
  <si>
    <t>entscheidungen</t>
  </si>
  <si>
    <t>dauernd</t>
  </si>
  <si>
    <t>geschmack</t>
  </si>
  <si>
    <t>gegenseitig</t>
  </si>
  <si>
    <t>gewählt</t>
  </si>
  <si>
    <t>charlotte</t>
  </si>
  <si>
    <t>pech</t>
  </si>
  <si>
    <t>verteidigen</t>
  </si>
  <si>
    <t>schauspieler</t>
  </si>
  <si>
    <t>personen</t>
  </si>
  <si>
    <t>überlassen</t>
  </si>
  <si>
    <t>publikum</t>
  </si>
  <si>
    <t>trägst</t>
  </si>
  <si>
    <t>wechseln</t>
  </si>
  <si>
    <t>begegnet</t>
  </si>
  <si>
    <t>betrogen</t>
  </si>
  <si>
    <t>besucht</t>
  </si>
  <si>
    <t>vertrau</t>
  </si>
  <si>
    <t>europa</t>
  </si>
  <si>
    <t>carrie</t>
  </si>
  <si>
    <t>patrick</t>
  </si>
  <si>
    <t>deutschland</t>
  </si>
  <si>
    <t>süßer</t>
  </si>
  <si>
    <t>loswerden</t>
  </si>
  <si>
    <t>melde</t>
  </si>
  <si>
    <t>maggie</t>
  </si>
  <si>
    <t>bestätigt</t>
  </si>
  <si>
    <t>gas</t>
  </si>
  <si>
    <t>sturm</t>
  </si>
  <si>
    <t>setze</t>
  </si>
  <si>
    <t>briefe</t>
  </si>
  <si>
    <t>null</t>
  </si>
  <si>
    <t>penny</t>
  </si>
  <si>
    <t>schlafe</t>
  </si>
  <si>
    <t>wirken</t>
  </si>
  <si>
    <t>geführt</t>
  </si>
  <si>
    <t>starten</t>
  </si>
  <si>
    <t>götter</t>
  </si>
  <si>
    <t>festhalten</t>
  </si>
  <si>
    <t>geheim</t>
  </si>
  <si>
    <t>übergeben</t>
  </si>
  <si>
    <t>cia</t>
  </si>
  <si>
    <t>abteilung</t>
  </si>
  <si>
    <t>papier</t>
  </si>
  <si>
    <t>wetten</t>
  </si>
  <si>
    <t>gefolgt</t>
  </si>
  <si>
    <t>verschiedene</t>
  </si>
  <si>
    <t>gleichzeitig</t>
  </si>
  <si>
    <t>genie</t>
  </si>
  <si>
    <t>hungrig</t>
  </si>
  <si>
    <t>inspektor</t>
  </si>
  <si>
    <t>zwingen</t>
  </si>
  <si>
    <t>atmet</t>
  </si>
  <si>
    <t>kuh</t>
  </si>
  <si>
    <t>unterstützen</t>
  </si>
  <si>
    <t>geworfen</t>
  </si>
  <si>
    <t>verlor</t>
  </si>
  <si>
    <t>süden</t>
  </si>
  <si>
    <t>pater</t>
  </si>
  <si>
    <t>menschheit</t>
  </si>
  <si>
    <t>versteck</t>
  </si>
  <si>
    <t>tötete</t>
  </si>
  <si>
    <t>fähigkeiten</t>
  </si>
  <si>
    <t>beruhigt</t>
  </si>
  <si>
    <t>rechtzeitig</t>
  </si>
  <si>
    <t>streng</t>
  </si>
  <si>
    <t>sendung</t>
  </si>
  <si>
    <t>gelebt</t>
  </si>
  <si>
    <t>treppe</t>
  </si>
  <si>
    <t>kim</t>
  </si>
  <si>
    <t>richtiger</t>
  </si>
  <si>
    <t>aufnehmen</t>
  </si>
  <si>
    <t>wolf</t>
  </si>
  <si>
    <t>pa</t>
  </si>
  <si>
    <t>öffnet</t>
  </si>
  <si>
    <t>dämon</t>
  </si>
  <si>
    <t>wut</t>
  </si>
  <si>
    <t>schlange</t>
  </si>
  <si>
    <t>medikamente</t>
  </si>
  <si>
    <t>geschenkt</t>
  </si>
  <si>
    <t>nenn</t>
  </si>
  <si>
    <t>gelegt</t>
  </si>
  <si>
    <t>anfassen</t>
  </si>
  <si>
    <t>pizza</t>
  </si>
  <si>
    <t>schlechtes</t>
  </si>
  <si>
    <t>hütte</t>
  </si>
  <si>
    <t>mantel</t>
  </si>
  <si>
    <t>behauptet</t>
  </si>
  <si>
    <t>kilometer</t>
  </si>
  <si>
    <t>beeilung</t>
  </si>
  <si>
    <t>angeblich</t>
  </si>
  <si>
    <t>reiten</t>
  </si>
  <si>
    <t>helen</t>
  </si>
  <si>
    <t>mittag</t>
  </si>
  <si>
    <t>gewarnt</t>
  </si>
  <si>
    <t>wohne</t>
  </si>
  <si>
    <t>las</t>
  </si>
  <si>
    <t>dunkelheit</t>
  </si>
  <si>
    <t>spazieren</t>
  </si>
  <si>
    <t>angel</t>
  </si>
  <si>
    <t>hiermit</t>
  </si>
  <si>
    <t>schließt</t>
  </si>
  <si>
    <t>phoebe</t>
  </si>
  <si>
    <t>vieles</t>
  </si>
  <si>
    <t>erfüllt</t>
  </si>
  <si>
    <t>tausend</t>
  </si>
  <si>
    <t>sack</t>
  </si>
  <si>
    <t>eindeutig</t>
  </si>
  <si>
    <t>unterhaltung</t>
  </si>
  <si>
    <t>gründen</t>
  </si>
  <si>
    <t>km</t>
  </si>
  <si>
    <t>zugeben</t>
  </si>
  <si>
    <t>mittel</t>
  </si>
  <si>
    <t>explosion</t>
  </si>
  <si>
    <t>gefangenen</t>
  </si>
  <si>
    <t>taylor</t>
  </si>
  <si>
    <t>frische</t>
  </si>
  <si>
    <t>verdächtigen</t>
  </si>
  <si>
    <t>neugierig</t>
  </si>
  <si>
    <t>leitung</t>
  </si>
  <si>
    <t>kennenlernen</t>
  </si>
  <si>
    <t>fliege</t>
  </si>
  <si>
    <t>lebte</t>
  </si>
  <si>
    <t>menschliche</t>
  </si>
  <si>
    <t>anderem</t>
  </si>
  <si>
    <t>auseinander</t>
  </si>
  <si>
    <t>fressen</t>
  </si>
  <si>
    <t>beides</t>
  </si>
  <si>
    <t>ficken</t>
  </si>
  <si>
    <t>stoff</t>
  </si>
  <si>
    <t>spüre</t>
  </si>
  <si>
    <t>eilig</t>
  </si>
  <si>
    <t>stammt</t>
  </si>
  <si>
    <t>vorgestellt</t>
  </si>
  <si>
    <t>linda</t>
  </si>
  <si>
    <t>welch</t>
  </si>
  <si>
    <t>wichtiges</t>
  </si>
  <si>
    <t>no</t>
  </si>
  <si>
    <t>gehörte</t>
  </si>
  <si>
    <t>mhm</t>
  </si>
  <si>
    <t>glaubte</t>
  </si>
  <si>
    <t>oberst</t>
  </si>
  <si>
    <t>schrank</t>
  </si>
  <si>
    <t>fremde</t>
  </si>
  <si>
    <t>gnade</t>
  </si>
  <si>
    <t>chloe</t>
  </si>
  <si>
    <t>yo</t>
  </si>
  <si>
    <t>entspannen</t>
  </si>
  <si>
    <t>virus</t>
  </si>
  <si>
    <t>schläfst</t>
  </si>
  <si>
    <t>einladung</t>
  </si>
  <si>
    <t>krieger</t>
  </si>
  <si>
    <t>vernünftig</t>
  </si>
  <si>
    <t>fein</t>
  </si>
  <si>
    <t>greifen</t>
  </si>
  <si>
    <t>whoa</t>
  </si>
  <si>
    <t>kyle</t>
  </si>
  <si>
    <t>schickte</t>
  </si>
  <si>
    <t>per</t>
  </si>
  <si>
    <t>mitglied</t>
  </si>
  <si>
    <t>einziger</t>
  </si>
  <si>
    <t>umzubringen</t>
  </si>
  <si>
    <t>zurückkehren</t>
  </si>
  <si>
    <t>feld</t>
  </si>
  <si>
    <t>mexiko</t>
  </si>
  <si>
    <t>erschaffen</t>
  </si>
  <si>
    <t>information</t>
  </si>
  <si>
    <t>hergekommen</t>
  </si>
  <si>
    <t>beweg</t>
  </si>
  <si>
    <t>stärke</t>
  </si>
  <si>
    <t>vermögen</t>
  </si>
  <si>
    <t>verbracht</t>
  </si>
  <si>
    <t>gewisse</t>
  </si>
  <si>
    <t>waschen</t>
  </si>
  <si>
    <t>howard</t>
  </si>
  <si>
    <t>staat</t>
  </si>
  <si>
    <t>geister</t>
  </si>
  <si>
    <t>behaupten</t>
  </si>
  <si>
    <t>schrei</t>
  </si>
  <si>
    <t>würdet</t>
  </si>
  <si>
    <t>vögel</t>
  </si>
  <si>
    <t>warnen</t>
  </si>
  <si>
    <t>albert</t>
  </si>
  <si>
    <t>chancen</t>
  </si>
  <si>
    <t>treibt</t>
  </si>
  <si>
    <t>nannte</t>
  </si>
  <si>
    <t>vermute</t>
  </si>
  <si>
    <t>mitternacht</t>
  </si>
  <si>
    <t>jones</t>
  </si>
  <si>
    <t>freundinnen</t>
  </si>
  <si>
    <t>lecker</t>
  </si>
  <si>
    <t>klinik</t>
  </si>
  <si>
    <t>dicht</t>
  </si>
  <si>
    <t>befinden</t>
  </si>
  <si>
    <t>ließen</t>
  </si>
  <si>
    <t>bürger</t>
  </si>
  <si>
    <t>verursacht</t>
  </si>
  <si>
    <t>hammer</t>
  </si>
  <si>
    <t>klang</t>
  </si>
  <si>
    <t>internet</t>
  </si>
  <si>
    <t>aufregend</t>
  </si>
  <si>
    <t>grenzen</t>
  </si>
  <si>
    <t>politik</t>
  </si>
  <si>
    <t>superman</t>
  </si>
  <si>
    <t>zurecht</t>
  </si>
  <si>
    <t>besitz</t>
  </si>
  <si>
    <t>cops</t>
  </si>
  <si>
    <t>eingesperrt</t>
  </si>
  <si>
    <t>irren</t>
  </si>
  <si>
    <t>kommando</t>
  </si>
  <si>
    <t>schlug</t>
  </si>
  <si>
    <t>krankenwagen</t>
  </si>
  <si>
    <t>love</t>
  </si>
  <si>
    <t>öffne</t>
  </si>
  <si>
    <t>karen</t>
  </si>
  <si>
    <t>richten</t>
  </si>
  <si>
    <t>mademoiselle</t>
  </si>
  <si>
    <t>erfunden</t>
  </si>
  <si>
    <t>schnee</t>
  </si>
  <si>
    <t>fühl</t>
  </si>
  <si>
    <t>behalte</t>
  </si>
  <si>
    <t>beschützt</t>
  </si>
  <si>
    <t>punkte</t>
  </si>
  <si>
    <t>entfernen</t>
  </si>
  <si>
    <t>abgehauen</t>
  </si>
  <si>
    <t>geträumt</t>
  </si>
  <si>
    <t>stefan</t>
  </si>
  <si>
    <t>dämonen</t>
  </si>
  <si>
    <t>tränen</t>
  </si>
  <si>
    <t>erfolgreich</t>
  </si>
  <si>
    <t>volle</t>
  </si>
  <si>
    <t>wilson</t>
  </si>
  <si>
    <t>caroline</t>
  </si>
  <si>
    <t>höher</t>
  </si>
  <si>
    <t>happy</t>
  </si>
  <si>
    <t>brille</t>
  </si>
  <si>
    <t>musstest</t>
  </si>
  <si>
    <t>heimat</t>
  </si>
  <si>
    <t>terry</t>
  </si>
  <si>
    <t>liebsten</t>
  </si>
  <si>
    <t>bye</t>
  </si>
  <si>
    <t>leiter</t>
  </si>
  <si>
    <t>sean</t>
  </si>
  <si>
    <t>kauf</t>
  </si>
  <si>
    <t>spinnst</t>
  </si>
  <si>
    <t>werk</t>
  </si>
  <si>
    <t>cent</t>
  </si>
  <si>
    <t>schlacht</t>
  </si>
  <si>
    <t>beziehungen</t>
  </si>
  <si>
    <t>abgemacht</t>
  </si>
  <si>
    <t>schreie</t>
  </si>
  <si>
    <t>hmm</t>
  </si>
  <si>
    <t>bestätigen</t>
  </si>
  <si>
    <t>erschreckt</t>
  </si>
  <si>
    <t>offizier</t>
  </si>
  <si>
    <t>that</t>
  </si>
  <si>
    <t>sara</t>
  </si>
  <si>
    <t>affäre</t>
  </si>
  <si>
    <t>empfangen</t>
  </si>
  <si>
    <t>zweck</t>
  </si>
  <si>
    <t>kämpfe</t>
  </si>
  <si>
    <t>ergeben</t>
  </si>
  <si>
    <t>china</t>
  </si>
  <si>
    <t>fange</t>
  </si>
  <si>
    <t>häuser</t>
  </si>
  <si>
    <t>verliere</t>
  </si>
  <si>
    <t>gedanke</t>
  </si>
  <si>
    <t>tausende</t>
  </si>
  <si>
    <t>heutzutage</t>
  </si>
  <si>
    <t>gefühlt</t>
  </si>
  <si>
    <t>schnitt</t>
  </si>
  <si>
    <t>carlos</t>
  </si>
  <si>
    <t>harold</t>
  </si>
  <si>
    <t>lebend</t>
  </si>
  <si>
    <t>real</t>
  </si>
  <si>
    <t>holz</t>
  </si>
  <si>
    <t>kaiser</t>
  </si>
  <si>
    <t>spielte</t>
  </si>
  <si>
    <t>begonnen</t>
  </si>
  <si>
    <t>ziehst</t>
  </si>
  <si>
    <t>gelandet</t>
  </si>
  <si>
    <t>scheidung</t>
  </si>
  <si>
    <t>bart</t>
  </si>
  <si>
    <t>beschlossen</t>
  </si>
  <si>
    <t>klo</t>
  </si>
  <si>
    <t>riechen</t>
  </si>
  <si>
    <t>vergisst</t>
  </si>
  <si>
    <t>begeistert</t>
  </si>
  <si>
    <t>ei</t>
  </si>
  <si>
    <t>durchs</t>
  </si>
  <si>
    <t>geil</t>
  </si>
  <si>
    <t>nieder</t>
  </si>
  <si>
    <t>erkläre</t>
  </si>
  <si>
    <t>schreckliche</t>
  </si>
  <si>
    <t>beeindruckt</t>
  </si>
  <si>
    <t>vince</t>
  </si>
  <si>
    <t>aufgegeben</t>
  </si>
  <si>
    <t>aufgrund</t>
  </si>
  <si>
    <t>momentan</t>
  </si>
  <si>
    <t>solch</t>
  </si>
  <si>
    <t>meistens</t>
  </si>
  <si>
    <t>stress</t>
  </si>
  <si>
    <t>sterne</t>
  </si>
  <si>
    <t>heilen</t>
  </si>
  <si>
    <t>soviel</t>
  </si>
  <si>
    <t>kannten</t>
  </si>
  <si>
    <t>stattdessen</t>
  </si>
  <si>
    <t>aye</t>
  </si>
  <si>
    <t>dinger</t>
  </si>
  <si>
    <t>stimmung</t>
  </si>
  <si>
    <t>bulle</t>
  </si>
  <si>
    <t>aufgefallen</t>
  </si>
  <si>
    <t>kämpft</t>
  </si>
  <si>
    <t>geräusch</t>
  </si>
  <si>
    <t>künstler</t>
  </si>
  <si>
    <t>wachsen</t>
  </si>
  <si>
    <t>verurteilt</t>
  </si>
  <si>
    <t>himmels</t>
  </si>
  <si>
    <t>tyler</t>
  </si>
  <si>
    <t>urteil</t>
  </si>
  <si>
    <t>schweine</t>
  </si>
  <si>
    <t>nettes</t>
  </si>
  <si>
    <t>house</t>
  </si>
  <si>
    <t>verlust</t>
  </si>
  <si>
    <t>verließ</t>
  </si>
  <si>
    <t>wirf</t>
  </si>
  <si>
    <t>wenige</t>
  </si>
  <si>
    <t>willie</t>
  </si>
  <si>
    <t>schulter</t>
  </si>
  <si>
    <t>kalifornien</t>
  </si>
  <si>
    <t>lernt</t>
  </si>
  <si>
    <t>beigebracht</t>
  </si>
  <si>
    <t>normale</t>
  </si>
  <si>
    <t>anbieten</t>
  </si>
  <si>
    <t>verwenden</t>
  </si>
  <si>
    <t>gratuliere</t>
  </si>
  <si>
    <t>fluch</t>
  </si>
  <si>
    <t>rick</t>
  </si>
  <si>
    <t>übers</t>
  </si>
  <si>
    <t>grün</t>
  </si>
  <si>
    <t>unterricht</t>
  </si>
  <si>
    <t>dachtest</t>
  </si>
  <si>
    <t>verarschen</t>
  </si>
  <si>
    <t>gewöhnt</t>
  </si>
  <si>
    <t>anklage</t>
  </si>
  <si>
    <t>tollen</t>
  </si>
  <si>
    <t>lippen</t>
  </si>
  <si>
    <t>fett</t>
  </si>
  <si>
    <t>lege</t>
  </si>
  <si>
    <t>feigling</t>
  </si>
  <si>
    <t>achten</t>
  </si>
  <si>
    <t>gary</t>
  </si>
  <si>
    <t>erfährt</t>
  </si>
  <si>
    <t>gewohnt</t>
  </si>
  <si>
    <t>jessica</t>
  </si>
  <si>
    <t>äußerst</t>
  </si>
  <si>
    <t>einladen</t>
  </si>
  <si>
    <t>käse</t>
  </si>
  <si>
    <t>aufwachen</t>
  </si>
  <si>
    <t>verfügung</t>
  </si>
  <si>
    <t>uniform</t>
  </si>
  <si>
    <t>zusehen</t>
  </si>
  <si>
    <t>board.tv4user.de</t>
  </si>
  <si>
    <t>gesundheit</t>
  </si>
  <si>
    <t>abenteuer</t>
  </si>
  <si>
    <t>hosen</t>
  </si>
  <si>
    <t>kurze</t>
  </si>
  <si>
    <t>scheck</t>
  </si>
  <si>
    <t>täglich</t>
  </si>
  <si>
    <t>fresse</t>
  </si>
  <si>
    <t>übernehme</t>
  </si>
  <si>
    <t>wiederholen</t>
  </si>
  <si>
    <t>bestellen</t>
  </si>
  <si>
    <t>freiwillig</t>
  </si>
  <si>
    <t>cole</t>
  </si>
  <si>
    <t>universum</t>
  </si>
  <si>
    <t>zeuge</t>
  </si>
  <si>
    <t>west</t>
  </si>
  <si>
    <t>marshall</t>
  </si>
  <si>
    <t>fähig</t>
  </si>
  <si>
    <t>revier</t>
  </si>
  <si>
    <t>reifen</t>
  </si>
  <si>
    <t>mum</t>
  </si>
  <si>
    <t>führe</t>
  </si>
  <si>
    <t>durchgemacht</t>
  </si>
  <si>
    <t>tests</t>
  </si>
  <si>
    <t>führte</t>
  </si>
  <si>
    <t>schenken</t>
  </si>
  <si>
    <t>schädel</t>
  </si>
  <si>
    <t>realität</t>
  </si>
  <si>
    <t>april</t>
  </si>
  <si>
    <t>albern</t>
  </si>
  <si>
    <t>brav</t>
  </si>
  <si>
    <t>schwerer</t>
  </si>
  <si>
    <t>jagd</t>
  </si>
  <si>
    <t>versagt</t>
  </si>
  <si>
    <t>truck</t>
  </si>
  <si>
    <t>steckst</t>
  </si>
  <si>
    <t>geschenke</t>
  </si>
  <si>
    <t>sicherlich</t>
  </si>
  <si>
    <t>öffentlichkeit</t>
  </si>
  <si>
    <t>merkt</t>
  </si>
  <si>
    <t>verbrecher</t>
  </si>
  <si>
    <t>maske</t>
  </si>
  <si>
    <t>verstärkung</t>
  </si>
  <si>
    <t>liefern</t>
  </si>
  <si>
    <t>jo</t>
  </si>
  <si>
    <t>starke</t>
  </si>
  <si>
    <t>grunde</t>
  </si>
  <si>
    <t>gordon</t>
  </si>
  <si>
    <t>würd</t>
  </si>
  <si>
    <t>verschwand</t>
  </si>
  <si>
    <t>schulde</t>
  </si>
  <si>
    <t>russen</t>
  </si>
  <si>
    <t>führer</t>
  </si>
  <si>
    <t>gemerkt</t>
  </si>
  <si>
    <t>ciao</t>
  </si>
  <si>
    <t>loslassen</t>
  </si>
  <si>
    <t>berichten</t>
  </si>
  <si>
    <t>verabschieden</t>
  </si>
  <si>
    <t>antrag</t>
  </si>
  <si>
    <t>schieß</t>
  </si>
  <si>
    <t>abby</t>
  </si>
  <si>
    <t>benehmen</t>
  </si>
  <si>
    <t>verdacht</t>
  </si>
  <si>
    <t>hübsches</t>
  </si>
  <si>
    <t>schreibtisch</t>
  </si>
  <si>
    <t>e</t>
  </si>
  <si>
    <t>vampir</t>
  </si>
  <si>
    <t>rory</t>
  </si>
  <si>
    <t>probe</t>
  </si>
  <si>
    <t>schaff</t>
  </si>
  <si>
    <t>verzeih</t>
  </si>
  <si>
    <t>patient</t>
  </si>
  <si>
    <t>geküsst</t>
  </si>
  <si>
    <t>ertönt</t>
  </si>
  <si>
    <t>nahmen</t>
  </si>
  <si>
    <t>zahlt</t>
  </si>
  <si>
    <t>vorbereiten</t>
  </si>
  <si>
    <t>verbrannt</t>
  </si>
  <si>
    <t>verdammtes</t>
  </si>
  <si>
    <t>frankie</t>
  </si>
  <si>
    <t>informiert</t>
  </si>
  <si>
    <t>einziges</t>
  </si>
  <si>
    <t>zucker</t>
  </si>
  <si>
    <t>stinkt</t>
  </si>
  <si>
    <t>schnappt</t>
  </si>
  <si>
    <t>schreib</t>
  </si>
  <si>
    <t>standen</t>
  </si>
  <si>
    <t>klamotten</t>
  </si>
  <si>
    <t>heil</t>
  </si>
  <si>
    <t>besitzer</t>
  </si>
  <si>
    <t>marcus</t>
  </si>
  <si>
    <t>tess</t>
  </si>
  <si>
    <t>drum</t>
  </si>
  <si>
    <t>tasse</t>
  </si>
  <si>
    <t>hinweis</t>
  </si>
  <si>
    <t>verteidigung</t>
  </si>
  <si>
    <t>lügst</t>
  </si>
  <si>
    <t>lies</t>
  </si>
  <si>
    <t>magen</t>
  </si>
  <si>
    <t>enterprise</t>
  </si>
  <si>
    <t>michelle</t>
  </si>
  <si>
    <t>beeilt</t>
  </si>
  <si>
    <t>tunnel</t>
  </si>
  <si>
    <t>einst</t>
  </si>
  <si>
    <t>behandlung</t>
  </si>
  <si>
    <t>serie</t>
  </si>
  <si>
    <t>applaus</t>
  </si>
  <si>
    <t>markt</t>
  </si>
  <si>
    <t>korrekt</t>
  </si>
  <si>
    <t>besessen</t>
  </si>
  <si>
    <t>bewahren</t>
  </si>
  <si>
    <t>nr.</t>
  </si>
  <si>
    <t>pack</t>
  </si>
  <si>
    <t>gekämpft</t>
  </si>
  <si>
    <t>black</t>
  </si>
  <si>
    <t>angreifen</t>
  </si>
  <si>
    <t>tiefer</t>
  </si>
  <si>
    <t>huh</t>
  </si>
  <si>
    <t>truppen</t>
  </si>
  <si>
    <t>kommandant</t>
  </si>
  <si>
    <t>osten</t>
  </si>
  <si>
    <t>elf</t>
  </si>
  <si>
    <t>beeindruckend</t>
  </si>
  <si>
    <t>besitzt</t>
  </si>
  <si>
    <t>ho</t>
  </si>
  <si>
    <t>heut</t>
  </si>
  <si>
    <t>clever</t>
  </si>
  <si>
    <t>verrückten</t>
  </si>
  <si>
    <t>freien</t>
  </si>
  <si>
    <t>hass</t>
  </si>
  <si>
    <t>antworte</t>
  </si>
  <si>
    <t>posten</t>
  </si>
  <si>
    <t>schneiden</t>
  </si>
  <si>
    <t>sammeln</t>
  </si>
  <si>
    <t>gesteckt</t>
  </si>
  <si>
    <t>wissenschaft</t>
  </si>
  <si>
    <t>ursache</t>
  </si>
  <si>
    <t>gewiss</t>
  </si>
  <si>
    <t>bereich</t>
  </si>
  <si>
    <t>catherine</t>
  </si>
  <si>
    <t>meinetwegen</t>
  </si>
  <si>
    <t>l.a.</t>
  </si>
  <si>
    <t>senator</t>
  </si>
  <si>
    <t>ausziehen</t>
  </si>
  <si>
    <t>verzweifelt</t>
  </si>
  <si>
    <t>jess</t>
  </si>
  <si>
    <t>anteil</t>
  </si>
  <si>
    <t>stets</t>
  </si>
  <si>
    <t>ritter</t>
  </si>
  <si>
    <t>viertel</t>
  </si>
  <si>
    <t>roman</t>
  </si>
  <si>
    <t>pünktlich</t>
  </si>
  <si>
    <t>erfüllen</t>
  </si>
  <si>
    <t>kauft</t>
  </si>
  <si>
    <t>molly</t>
  </si>
  <si>
    <t>basis</t>
  </si>
  <si>
    <t>eva</t>
  </si>
  <si>
    <t>schock</t>
  </si>
  <si>
    <t>empfang</t>
  </si>
  <si>
    <t>wiederhole</t>
  </si>
  <si>
    <t>wünscht</t>
  </si>
  <si>
    <t>besondere</t>
  </si>
  <si>
    <t>titel</t>
  </si>
  <si>
    <t>stil</t>
  </si>
  <si>
    <t>fingerabdrücke</t>
  </si>
  <si>
    <t>einfluss</t>
  </si>
  <si>
    <t>anweisungen</t>
  </si>
  <si>
    <t>zahle</t>
  </si>
  <si>
    <t>shield</t>
  </si>
  <si>
    <t>opfern</t>
  </si>
  <si>
    <t>blaue</t>
  </si>
  <si>
    <t>sparen</t>
  </si>
  <si>
    <t>weiteres</t>
  </si>
  <si>
    <t>gehörst</t>
  </si>
  <si>
    <t>farm</t>
  </si>
  <si>
    <t>erstaunlich</t>
  </si>
  <si>
    <t>schwachsinn</t>
  </si>
  <si>
    <t>miete</t>
  </si>
  <si>
    <t>verwandelt</t>
  </si>
  <si>
    <t>daneben</t>
  </si>
  <si>
    <t>klaus</t>
  </si>
  <si>
    <t>bereiten</t>
  </si>
  <si>
    <t>wüste</t>
  </si>
  <si>
    <t>prüfen</t>
  </si>
  <si>
    <t>gabe</t>
  </si>
  <si>
    <t>hundert</t>
  </si>
  <si>
    <t>erscheinen</t>
  </si>
  <si>
    <t>laß</t>
  </si>
  <si>
    <t>besiegen</t>
  </si>
  <si>
    <t>verpiss</t>
  </si>
  <si>
    <t>umständen</t>
  </si>
  <si>
    <t>angelegenheit</t>
  </si>
  <si>
    <t>landes</t>
  </si>
  <si>
    <t>dienstag</t>
  </si>
  <si>
    <t>folgendes</t>
  </si>
  <si>
    <t>fürchten</t>
  </si>
  <si>
    <t>mordes</t>
  </si>
  <si>
    <t>nennst</t>
  </si>
  <si>
    <t>angestellt</t>
  </si>
  <si>
    <t>training</t>
  </si>
  <si>
    <t>aufgetaucht</t>
  </si>
  <si>
    <t>rausfinden</t>
  </si>
  <si>
    <t>ächzt</t>
  </si>
  <si>
    <t>rauskommen</t>
  </si>
  <si>
    <t>planet</t>
  </si>
  <si>
    <t>suppe</t>
  </si>
  <si>
    <t>erwischen</t>
  </si>
  <si>
    <t>sitz</t>
  </si>
  <si>
    <t>johnson</t>
  </si>
  <si>
    <t>vorteil</t>
  </si>
  <si>
    <t>for</t>
  </si>
  <si>
    <t>rosa</t>
  </si>
  <si>
    <t>tour</t>
  </si>
  <si>
    <t>amerikanische</t>
  </si>
  <si>
    <t>schönste</t>
  </si>
  <si>
    <t>rufst</t>
  </si>
  <si>
    <t>berührt</t>
  </si>
  <si>
    <t>französisch</t>
  </si>
  <si>
    <t>gouverneur</t>
  </si>
  <si>
    <t>angeles</t>
  </si>
  <si>
    <t>kaufe</t>
  </si>
  <si>
    <t>stern</t>
  </si>
  <si>
    <t>gedächtnis</t>
  </si>
  <si>
    <t>wirklichkeit</t>
  </si>
  <si>
    <t>bestraft</t>
  </si>
  <si>
    <t>kreis</t>
  </si>
  <si>
    <t>reine</t>
  </si>
  <si>
    <t>edward</t>
  </si>
  <si>
    <t>schlimmes</t>
  </si>
  <si>
    <t>bestehen</t>
  </si>
  <si>
    <t>jeannie</t>
  </si>
  <si>
    <t>erscheint</t>
  </si>
  <si>
    <t>staatsanwalt</t>
  </si>
  <si>
    <t>ewigkeit</t>
  </si>
  <si>
    <t>störung</t>
  </si>
  <si>
    <t>hässlich</t>
  </si>
  <si>
    <t>lauft</t>
  </si>
  <si>
    <t>angezogen</t>
  </si>
  <si>
    <t>señor</t>
  </si>
  <si>
    <t>half</t>
  </si>
  <si>
    <t>sollt</t>
  </si>
  <si>
    <t>martha</t>
  </si>
  <si>
    <t>tiger</t>
  </si>
  <si>
    <t>zigarette</t>
  </si>
  <si>
    <t>mutig</t>
  </si>
  <si>
    <t>ausruhen</t>
  </si>
  <si>
    <t>andrew</t>
  </si>
  <si>
    <t>linken</t>
  </si>
  <si>
    <t>hauptmann</t>
  </si>
  <si>
    <t>umstände</t>
  </si>
  <si>
    <t>not</t>
  </si>
  <si>
    <t>unglück</t>
  </si>
  <si>
    <t>eng</t>
  </si>
  <si>
    <t>white</t>
  </si>
  <si>
    <t>lucas</t>
  </si>
  <si>
    <t>üben</t>
  </si>
  <si>
    <t>wissenschaftler</t>
  </si>
  <si>
    <t>gelöst</t>
  </si>
  <si>
    <t>reaktion</t>
  </si>
  <si>
    <t>morde</t>
  </si>
  <si>
    <t>dusche</t>
  </si>
  <si>
    <t>mitarbeiter</t>
  </si>
  <si>
    <t>your</t>
  </si>
  <si>
    <t>bedroht</t>
  </si>
  <si>
    <t>gehöre</t>
  </si>
  <si>
    <t>befreit</t>
  </si>
  <si>
    <t>stöhnen</t>
  </si>
  <si>
    <t>reagiert</t>
  </si>
  <si>
    <t>identität</t>
  </si>
  <si>
    <t>rund</t>
  </si>
  <si>
    <t>texas</t>
  </si>
  <si>
    <t>fieber</t>
  </si>
  <si>
    <t>hirn</t>
  </si>
  <si>
    <t>leiten</t>
  </si>
  <si>
    <t>donnerstag</t>
  </si>
  <si>
    <t>leonard</t>
  </si>
  <si>
    <t>unheimlich</t>
  </si>
  <si>
    <t>mulder</t>
  </si>
  <si>
    <t>jahrhundert</t>
  </si>
  <si>
    <t>irgend</t>
  </si>
  <si>
    <t>diener</t>
  </si>
  <si>
    <t>bruce</t>
  </si>
  <si>
    <t>extrem</t>
  </si>
  <si>
    <t>ausweis</t>
  </si>
  <si>
    <t>sicht</t>
  </si>
  <si>
    <t>sport</t>
  </si>
  <si>
    <t>juden</t>
  </si>
  <si>
    <t>studiert</t>
  </si>
  <si>
    <t>angelogen</t>
  </si>
  <si>
    <t>schaue</t>
  </si>
  <si>
    <t>little</t>
  </si>
  <si>
    <t>sally</t>
  </si>
  <si>
    <t>text</t>
  </si>
  <si>
    <t>earl</t>
  </si>
  <si>
    <t>nebenan</t>
  </si>
  <si>
    <t>todd</t>
  </si>
  <si>
    <t>lektion</t>
  </si>
  <si>
    <t>mäuse</t>
  </si>
  <si>
    <t>staub</t>
  </si>
  <si>
    <t>sophie</t>
  </si>
  <si>
    <t>kugeln</t>
  </si>
  <si>
    <t>dutzend</t>
  </si>
  <si>
    <t>ratte</t>
  </si>
  <si>
    <t>mitleid</t>
  </si>
  <si>
    <t>testen</t>
  </si>
  <si>
    <t>auftritt</t>
  </si>
  <si>
    <t>gegner</t>
  </si>
  <si>
    <t>joseph</t>
  </si>
  <si>
    <t>verdienst</t>
  </si>
  <si>
    <t>langsamer</t>
  </si>
  <si>
    <t>wunde</t>
  </si>
  <si>
    <t>linie</t>
  </si>
  <si>
    <t>bedrohung</t>
  </si>
  <si>
    <t>bauer</t>
  </si>
  <si>
    <t>kurzem</t>
  </si>
  <si>
    <t>fische</t>
  </si>
  <si>
    <t>einkaufen</t>
  </si>
  <si>
    <t>kreuz</t>
  </si>
  <si>
    <t>afrika</t>
  </si>
  <si>
    <t>begangen</t>
  </si>
  <si>
    <t>el</t>
  </si>
  <si>
    <t>nachsehen</t>
  </si>
  <si>
    <t>junior</t>
  </si>
  <si>
    <t>bäume</t>
  </si>
  <si>
    <t>leidenschaft</t>
  </si>
  <si>
    <t>geliebte</t>
  </si>
  <si>
    <t>bereuen</t>
  </si>
  <si>
    <t>spieler</t>
  </si>
  <si>
    <t>berge</t>
  </si>
  <si>
    <t>verwendet</t>
  </si>
  <si>
    <t>steuern</t>
  </si>
  <si>
    <t>gekümmert</t>
  </si>
  <si>
    <t>voran</t>
  </si>
  <si>
    <t>wieviel</t>
  </si>
  <si>
    <t>barney</t>
  </si>
  <si>
    <t>graf</t>
  </si>
  <si>
    <t>verabredung</t>
  </si>
  <si>
    <t>verlasse</t>
  </si>
  <si>
    <t>überfallen</t>
  </si>
  <si>
    <t>donna</t>
  </si>
  <si>
    <t>umdrehen</t>
  </si>
  <si>
    <t>damon</t>
  </si>
  <si>
    <t>kilo</t>
  </si>
  <si>
    <t>diego</t>
  </si>
  <si>
    <t>negativ</t>
  </si>
  <si>
    <t>schild</t>
  </si>
  <si>
    <t>tanzt</t>
  </si>
  <si>
    <t>verbrennen</t>
  </si>
  <si>
    <t>gefreut</t>
  </si>
  <si>
    <t>penner</t>
  </si>
  <si>
    <t>blauen</t>
  </si>
  <si>
    <t>jay</t>
  </si>
  <si>
    <t>stücke</t>
  </si>
  <si>
    <t>angela</t>
  </si>
  <si>
    <t>kühlschrank</t>
  </si>
  <si>
    <t>identifizieren</t>
  </si>
  <si>
    <t>lehrerin</t>
  </si>
  <si>
    <t>francisco</t>
  </si>
  <si>
    <t>kameras</t>
  </si>
  <si>
    <t>zentrale</t>
  </si>
  <si>
    <t>jäger</t>
  </si>
  <si>
    <t>josh</t>
  </si>
  <si>
    <t>wayne</t>
  </si>
  <si>
    <t>wenden</t>
  </si>
  <si>
    <t>we</t>
  </si>
  <si>
    <t>holst</t>
  </si>
  <si>
    <t>suchte</t>
  </si>
  <si>
    <t>start</t>
  </si>
  <si>
    <t>füßen</t>
  </si>
  <si>
    <t>unglücklich</t>
  </si>
  <si>
    <t>frohe</t>
  </si>
  <si>
    <t>sand</t>
  </si>
  <si>
    <t>pfarrer</t>
  </si>
  <si>
    <t>plus</t>
  </si>
  <si>
    <t>nancy</t>
  </si>
  <si>
    <t>brachten</t>
  </si>
  <si>
    <t>zauber</t>
  </si>
  <si>
    <t>berühren</t>
  </si>
  <si>
    <t>rückkehr</t>
  </si>
  <si>
    <t>hafen</t>
  </si>
  <si>
    <t>indianer</t>
  </si>
  <si>
    <t>miller</t>
  </si>
  <si>
    <t>verschwenden</t>
  </si>
  <si>
    <t>untersucht</t>
  </si>
  <si>
    <t>königs</t>
  </si>
  <si>
    <t>jean</t>
  </si>
  <si>
    <t>lese</t>
  </si>
  <si>
    <t>stahl</t>
  </si>
  <si>
    <t>hättet</t>
  </si>
  <si>
    <t>affen</t>
  </si>
  <si>
    <t>worten</t>
  </si>
  <si>
    <t>kindheit</t>
  </si>
  <si>
    <t>gewollt</t>
  </si>
  <si>
    <t>op</t>
  </si>
  <si>
    <t>vermeiden</t>
  </si>
  <si>
    <t>fabrik</t>
  </si>
  <si>
    <t>aussagen</t>
  </si>
  <si>
    <t>wunderbare</t>
  </si>
  <si>
    <t>grandpa</t>
  </si>
  <si>
    <t>miststück</t>
  </si>
  <si>
    <t>verrückter</t>
  </si>
  <si>
    <t>lane</t>
  </si>
  <si>
    <t>jungfrau</t>
  </si>
  <si>
    <t>einfache</t>
  </si>
  <si>
    <t>nate</t>
  </si>
  <si>
    <t>laufe</t>
  </si>
  <si>
    <t>reingelegt</t>
  </si>
  <si>
    <t>seltsame</t>
  </si>
  <si>
    <t>heiratet</t>
  </si>
  <si>
    <t>angenehm</t>
  </si>
  <si>
    <t>daheim</t>
  </si>
  <si>
    <t>planen</t>
  </si>
  <si>
    <t>klauen</t>
  </si>
  <si>
    <t>geruch</t>
  </si>
  <si>
    <t>marty</t>
  </si>
  <si>
    <t>klingen</t>
  </si>
  <si>
    <t>tina</t>
  </si>
  <si>
    <t>nächster</t>
  </si>
  <si>
    <t>hörten</t>
  </si>
  <si>
    <t>jackie</t>
  </si>
  <si>
    <t>trafen</t>
  </si>
  <si>
    <t>ungern</t>
  </si>
  <si>
    <t>abgelehnt</t>
  </si>
  <si>
    <t>erstens</t>
  </si>
  <si>
    <t>abmachung</t>
  </si>
  <si>
    <t>appetit</t>
  </si>
  <si>
    <t>miami</t>
  </si>
  <si>
    <t>zeigte</t>
  </si>
  <si>
    <t>fan</t>
  </si>
  <si>
    <t>hohen</t>
  </si>
  <si>
    <t>alf</t>
  </si>
  <si>
    <t>ladys</t>
  </si>
  <si>
    <t>sms</t>
  </si>
  <si>
    <t>verkauf</t>
  </si>
  <si>
    <t>jamie</t>
  </si>
  <si>
    <t>verbergen</t>
  </si>
  <si>
    <t>sorgt</t>
  </si>
  <si>
    <t>karl</t>
  </si>
  <si>
    <t>sohnes</t>
  </si>
  <si>
    <t>berühmt</t>
  </si>
  <si>
    <t>aussteigen</t>
  </si>
  <si>
    <t>bonnie</t>
  </si>
  <si>
    <t>ginge</t>
  </si>
  <si>
    <t>reingehen</t>
  </si>
  <si>
    <t>durfte</t>
  </si>
  <si>
    <t>korrektur</t>
  </si>
  <si>
    <t>wirft</t>
  </si>
  <si>
    <t>titten</t>
  </si>
  <si>
    <t>betreten</t>
  </si>
  <si>
    <t>todes</t>
  </si>
  <si>
    <t>one</t>
  </si>
  <si>
    <t>doctor</t>
  </si>
  <si>
    <t>blöden</t>
  </si>
  <si>
    <t>miles</t>
  </si>
  <si>
    <t>rausholen</t>
  </si>
  <si>
    <t>hohe</t>
  </si>
  <si>
    <t>aufnahme</t>
  </si>
  <si>
    <t>by</t>
  </si>
  <si>
    <t>holmes</t>
  </si>
  <si>
    <t>hübscher</t>
  </si>
  <si>
    <t>vegas</t>
  </si>
  <si>
    <t>manager</t>
  </si>
  <si>
    <t>stellung</t>
  </si>
  <si>
    <t>höhle</t>
  </si>
  <si>
    <t>schokolade</t>
  </si>
  <si>
    <t>angeboten</t>
  </si>
  <si>
    <t>befreundet</t>
  </si>
  <si>
    <t>weib</t>
  </si>
  <si>
    <t>ausgerechnet</t>
  </si>
  <si>
    <t>walker</t>
  </si>
  <si>
    <t>beibringen</t>
  </si>
  <si>
    <t>nelson</t>
  </si>
  <si>
    <t>ex</t>
  </si>
  <si>
    <t>belohnung</t>
  </si>
  <si>
    <t>seelen</t>
  </si>
  <si>
    <t>steine</t>
  </si>
  <si>
    <t>garage</t>
  </si>
  <si>
    <t>scheißkerl</t>
  </si>
  <si>
    <t>gestört</t>
  </si>
  <si>
    <t>cooper</t>
  </si>
  <si>
    <t>ruhen</t>
  </si>
  <si>
    <t>pillen</t>
  </si>
  <si>
    <t>gepäck</t>
  </si>
  <si>
    <t>carol</t>
  </si>
  <si>
    <t>norman</t>
  </si>
  <si>
    <t>zoe</t>
  </si>
  <si>
    <t>amerikanischen</t>
  </si>
  <si>
    <t>telefonieren</t>
  </si>
  <si>
    <t>heirate</t>
  </si>
  <si>
    <t>erkenne</t>
  </si>
  <si>
    <t>funk</t>
  </si>
  <si>
    <t>grüß</t>
  </si>
  <si>
    <t>hurensohn</t>
  </si>
  <si>
    <t>mögliche</t>
  </si>
  <si>
    <t>spring</t>
  </si>
  <si>
    <t>uni</t>
  </si>
  <si>
    <t>scheinbar</t>
  </si>
  <si>
    <t>fakten</t>
  </si>
  <si>
    <t>informieren</t>
  </si>
  <si>
    <t>jugend</t>
  </si>
  <si>
    <t>feier</t>
  </si>
  <si>
    <t>wenigen</t>
  </si>
  <si>
    <t>söhne</t>
  </si>
  <si>
    <t>benzin</t>
  </si>
  <si>
    <t>nix</t>
  </si>
  <si>
    <t>vampire</t>
  </si>
  <si>
    <t>erkennt</t>
  </si>
  <si>
    <t>sicherer</t>
  </si>
  <si>
    <t>zigaretten</t>
  </si>
  <si>
    <t>dummes</t>
  </si>
  <si>
    <t>mauer</t>
  </si>
  <si>
    <t>erneut</t>
  </si>
  <si>
    <t>flügel</t>
  </si>
  <si>
    <t>schluck</t>
  </si>
  <si>
    <t>hierbleiben</t>
  </si>
  <si>
    <t>abschluss</t>
  </si>
  <si>
    <t>christus</t>
  </si>
  <si>
    <t>bezahle</t>
  </si>
  <si>
    <t>böses</t>
  </si>
  <si>
    <t>dummkopf</t>
  </si>
  <si>
    <t>gerüchte</t>
  </si>
  <si>
    <t>eingestellt</t>
  </si>
  <si>
    <t>m.</t>
  </si>
  <si>
    <t>weitergehen</t>
  </si>
  <si>
    <t>technik</t>
  </si>
  <si>
    <t>ali</t>
  </si>
  <si>
    <t>bezweifle</t>
  </si>
  <si>
    <t>piper</t>
  </si>
  <si>
    <t>over</t>
  </si>
  <si>
    <t>gekostet</t>
  </si>
  <si>
    <t>anzeige</t>
  </si>
  <si>
    <t>wohnst</t>
  </si>
  <si>
    <t>hans</t>
  </si>
  <si>
    <t>ergebnis</t>
  </si>
  <si>
    <t>bedingungen</t>
  </si>
  <si>
    <t>brad</t>
  </si>
  <si>
    <t>aufzuhalten</t>
  </si>
  <si>
    <t>versprich</t>
  </si>
  <si>
    <t>verdiene</t>
  </si>
  <si>
    <t>geschnappt</t>
  </si>
  <si>
    <t>francis</t>
  </si>
  <si>
    <t>eile</t>
  </si>
  <si>
    <t>innen</t>
  </si>
  <si>
    <t>italien</t>
  </si>
  <si>
    <t>einig</t>
  </si>
  <si>
    <t>verhandeln</t>
  </si>
  <si>
    <t>weswegen</t>
  </si>
  <si>
    <t>nützlich</t>
  </si>
  <si>
    <t>inneren</t>
  </si>
  <si>
    <t>gentleman</t>
  </si>
  <si>
    <t>felix</t>
  </si>
  <si>
    <t>vergesse</t>
  </si>
  <si>
    <t>dunkle</t>
  </si>
  <si>
    <t>warnung</t>
  </si>
  <si>
    <t>gemeinde</t>
  </si>
  <si>
    <t>diamanten</t>
  </si>
  <si>
    <t>wächst</t>
  </si>
  <si>
    <t>gewöhnlich</t>
  </si>
  <si>
    <t>seil</t>
  </si>
  <si>
    <t>bär</t>
  </si>
  <si>
    <t>euro</t>
  </si>
  <si>
    <t>großartige</t>
  </si>
  <si>
    <t>beth</t>
  </si>
  <si>
    <t>ware</t>
  </si>
  <si>
    <t>traurige</t>
  </si>
  <si>
    <t>persönliche</t>
  </si>
  <si>
    <t>figur</t>
  </si>
  <si>
    <t>time</t>
  </si>
  <si>
    <t>roboter</t>
  </si>
  <si>
    <t>anschauen</t>
  </si>
  <si>
    <t>kürzlich</t>
  </si>
  <si>
    <t>material</t>
  </si>
  <si>
    <t>paula</t>
  </si>
  <si>
    <t>käme</t>
  </si>
  <si>
    <t>stellst</t>
  </si>
  <si>
    <t>bereitet</t>
  </si>
  <si>
    <t>einfallen</t>
  </si>
  <si>
    <t>käfig</t>
  </si>
  <si>
    <t>fantasie</t>
  </si>
  <si>
    <t>brach</t>
  </si>
  <si>
    <t>satz</t>
  </si>
  <si>
    <t>kommissar</t>
  </si>
  <si>
    <t>exzellenz</t>
  </si>
  <si>
    <t>schuldest</t>
  </si>
  <si>
    <t>nass</t>
  </si>
  <si>
    <t>rächen</t>
  </si>
  <si>
    <t>womöglich</t>
  </si>
  <si>
    <t>begrüßen</t>
  </si>
  <si>
    <t>lou</t>
  </si>
  <si>
    <t>davis</t>
  </si>
  <si>
    <t>überraschen</t>
  </si>
  <si>
    <t>menschlichen</t>
  </si>
  <si>
    <t>repariert</t>
  </si>
  <si>
    <t>führung</t>
  </si>
  <si>
    <t>gestanden</t>
  </si>
  <si>
    <t>jacob</t>
  </si>
  <si>
    <t>schütze</t>
  </si>
  <si>
    <t>störe</t>
  </si>
  <si>
    <t>nina</t>
  </si>
  <si>
    <t>filmen</t>
  </si>
  <si>
    <t>jobs</t>
  </si>
  <si>
    <t>maschinen</t>
  </si>
  <si>
    <t>unterlagen</t>
  </si>
  <si>
    <t>palast</t>
  </si>
  <si>
    <t>graben</t>
  </si>
  <si>
    <t>kette</t>
  </si>
  <si>
    <t>auftauchen</t>
  </si>
  <si>
    <t>interessante</t>
  </si>
  <si>
    <t>wovor</t>
  </si>
  <si>
    <t>springt</t>
  </si>
  <si>
    <t>terroristen</t>
  </si>
  <si>
    <t>stan</t>
  </si>
  <si>
    <t>bekämpfen</t>
  </si>
  <si>
    <t>lärm</t>
  </si>
  <si>
    <t>flehe</t>
  </si>
  <si>
    <t>aufgewachsen</t>
  </si>
  <si>
    <t>arbeiter</t>
  </si>
  <si>
    <t>größere</t>
  </si>
  <si>
    <t>humor</t>
  </si>
  <si>
    <t>betrachten</t>
  </si>
  <si>
    <t>be</t>
  </si>
  <si>
    <t>organisation</t>
  </si>
  <si>
    <t>widerstand</t>
  </si>
  <si>
    <t>bergen</t>
  </si>
  <si>
    <t>studio</t>
  </si>
  <si>
    <t>hausaufgaben</t>
  </si>
  <si>
    <t>vögeln</t>
  </si>
  <si>
    <t>bescheuert</t>
  </si>
  <si>
    <t>weggehen</t>
  </si>
  <si>
    <t>teller</t>
  </si>
  <si>
    <t>original</t>
  </si>
  <si>
    <t>revolution</t>
  </si>
  <si>
    <t>hitler</t>
  </si>
  <si>
    <t>mädel</t>
  </si>
  <si>
    <t>verbinden</t>
  </si>
  <si>
    <t>nathan</t>
  </si>
  <si>
    <t>ermittlungen</t>
  </si>
  <si>
    <t>steck</t>
  </si>
  <si>
    <t>wäsche</t>
  </si>
  <si>
    <t>rätsel</t>
  </si>
  <si>
    <t>besonderen</t>
  </si>
  <si>
    <t>hunderte</t>
  </si>
  <si>
    <t>versetzt</t>
  </si>
  <si>
    <t>bibel</t>
  </si>
  <si>
    <t>heiliger</t>
  </si>
  <si>
    <t>reiß</t>
  </si>
  <si>
    <t>kopie</t>
  </si>
  <si>
    <t>besitzen</t>
  </si>
  <si>
    <t>zeitungen</t>
  </si>
  <si>
    <t>zurückgekommen</t>
  </si>
  <si>
    <t>süßes</t>
  </si>
  <si>
    <t>barbara</t>
  </si>
  <si>
    <t>ungewöhnlich</t>
  </si>
  <si>
    <t>höhe</t>
  </si>
  <si>
    <t>geschaffen</t>
  </si>
  <si>
    <t>beschreiben</t>
  </si>
  <si>
    <t>ausgesucht</t>
  </si>
  <si>
    <t>notwendig</t>
  </si>
  <si>
    <t>dunklen</t>
  </si>
  <si>
    <t>ignorieren</t>
  </si>
  <si>
    <t>toter</t>
  </si>
  <si>
    <t>deck</t>
  </si>
  <si>
    <t>narr</t>
  </si>
  <si>
    <t>scheißegal</t>
  </si>
  <si>
    <t>höchstens</t>
  </si>
  <si>
    <t>übersehen</t>
  </si>
  <si>
    <t>geirrt</t>
  </si>
  <si>
    <t>darunter</t>
  </si>
  <si>
    <t>außen</t>
  </si>
  <si>
    <t>einzig</t>
  </si>
  <si>
    <t>stirbst</t>
  </si>
  <si>
    <t>lhren</t>
  </si>
  <si>
    <t>spielchen</t>
  </si>
  <si>
    <t>girl</t>
  </si>
  <si>
    <t>fahrrad</t>
  </si>
  <si>
    <t>nutte</t>
  </si>
  <si>
    <t>wilde</t>
  </si>
  <si>
    <t>jordan</t>
  </si>
  <si>
    <t>bequem</t>
  </si>
  <si>
    <t>rauch</t>
  </si>
  <si>
    <t>verschiedenen</t>
  </si>
  <si>
    <t>kamst</t>
  </si>
  <si>
    <t>l</t>
  </si>
  <si>
    <t>betty</t>
  </si>
  <si>
    <t>pool</t>
  </si>
  <si>
    <t>hubschrauber</t>
  </si>
  <si>
    <t>wüssten</t>
  </si>
  <si>
    <t>erstmal</t>
  </si>
  <si>
    <t>kollege</t>
  </si>
  <si>
    <t>vernichtet</t>
  </si>
  <si>
    <t>gesichter</t>
  </si>
  <si>
    <t>derselbe</t>
  </si>
  <si>
    <t>hattet</t>
  </si>
  <si>
    <t>konto</t>
  </si>
  <si>
    <t>freie</t>
  </si>
  <si>
    <t>casey</t>
  </si>
  <si>
    <t>haken</t>
  </si>
  <si>
    <t>munition</t>
  </si>
  <si>
    <t>sünde</t>
  </si>
  <si>
    <t>militär</t>
  </si>
  <si>
    <t>gefasst</t>
  </si>
  <si>
    <t>anzeichen</t>
  </si>
  <si>
    <t>geklappt</t>
  </si>
  <si>
    <t>hintergrund</t>
  </si>
  <si>
    <t>erwähnen</t>
  </si>
  <si>
    <t>tipp</t>
  </si>
  <si>
    <t>reißen</t>
  </si>
  <si>
    <t>keins</t>
  </si>
  <si>
    <t>genial</t>
  </si>
  <si>
    <t>berichte</t>
  </si>
  <si>
    <t>kram</t>
  </si>
  <si>
    <t>schnapp</t>
  </si>
  <si>
    <t>solle</t>
  </si>
  <si>
    <t>randy</t>
  </si>
  <si>
    <t>umziehen</t>
  </si>
  <si>
    <t>zunächst</t>
  </si>
  <si>
    <t>keinerlei</t>
  </si>
  <si>
    <t>typisch</t>
  </si>
  <si>
    <t>bietet</t>
  </si>
  <si>
    <t>leb</t>
  </si>
  <si>
    <t>technologie</t>
  </si>
  <si>
    <t>john-boy</t>
  </si>
  <si>
    <t>ruinieren</t>
  </si>
  <si>
    <t>jünger</t>
  </si>
  <si>
    <t>poirot</t>
  </si>
  <si>
    <t>umso</t>
  </si>
  <si>
    <t>starben</t>
  </si>
  <si>
    <t>rette</t>
  </si>
  <si>
    <t>triffst</t>
  </si>
  <si>
    <t>unhöflich</t>
  </si>
  <si>
    <t>safe</t>
  </si>
  <si>
    <t>anzurufen</t>
  </si>
  <si>
    <t>universität</t>
  </si>
  <si>
    <t>mai</t>
  </si>
  <si>
    <t>heben</t>
  </si>
  <si>
    <t>koch</t>
  </si>
  <si>
    <t>derselben</t>
  </si>
  <si>
    <t>katastrophe</t>
  </si>
  <si>
    <t>male</t>
  </si>
  <si>
    <t>olivia</t>
  </si>
  <si>
    <t>prüfung</t>
  </si>
  <si>
    <t>brown</t>
  </si>
  <si>
    <t>gesetze</t>
  </si>
  <si>
    <t>meeting</t>
  </si>
  <si>
    <t>versicherung</t>
  </si>
  <si>
    <t>getragen</t>
  </si>
  <si>
    <t>ehefrau</t>
  </si>
  <si>
    <t>mitmachen</t>
  </si>
  <si>
    <t>tauschen</t>
  </si>
  <si>
    <t>ergebnisse</t>
  </si>
  <si>
    <t>boston</t>
  </si>
  <si>
    <t>reg</t>
  </si>
  <si>
    <t>einstellen</t>
  </si>
  <si>
    <t>reagieren</t>
  </si>
  <si>
    <t>gefehlt</t>
  </si>
  <si>
    <t>verwandeln</t>
  </si>
  <si>
    <t>gedauert</t>
  </si>
  <si>
    <t>senden</t>
  </si>
  <si>
    <t>blair</t>
  </si>
  <si>
    <t>reporter</t>
  </si>
  <si>
    <t>abgeben</t>
  </si>
  <si>
    <t>mm</t>
  </si>
  <si>
    <t>parker</t>
  </si>
  <si>
    <t>anhören</t>
  </si>
  <si>
    <t>bibliothek</t>
  </si>
  <si>
    <t>japan</t>
  </si>
  <si>
    <t>hinsetzen</t>
  </si>
  <si>
    <t>hannah</t>
  </si>
  <si>
    <t>serena</t>
  </si>
  <si>
    <t>motiv</t>
  </si>
  <si>
    <t>paige</t>
  </si>
  <si>
    <t>schalten</t>
  </si>
  <si>
    <t>derek</t>
  </si>
  <si>
    <t>gewöhnen</t>
  </si>
  <si>
    <t>lernte</t>
  </si>
  <si>
    <t>vereinigten</t>
  </si>
  <si>
    <t>gewicht</t>
  </si>
  <si>
    <t>zweiter</t>
  </si>
  <si>
    <t>badezimmer</t>
  </si>
  <si>
    <t>schieben</t>
  </si>
  <si>
    <t>dreimal</t>
  </si>
  <si>
    <t>weich</t>
  </si>
  <si>
    <t>echtes</t>
  </si>
  <si>
    <t>zweitens</t>
  </si>
  <si>
    <t>drachen</t>
  </si>
  <si>
    <t>bahnhof</t>
  </si>
  <si>
    <t>erschöpft</t>
  </si>
  <si>
    <t>genauer</t>
  </si>
  <si>
    <t>verlange</t>
  </si>
  <si>
    <t>spanisch</t>
  </si>
  <si>
    <t>verrat</t>
  </si>
  <si>
    <t>hexen</t>
  </si>
  <si>
    <t>live</t>
  </si>
  <si>
    <t>legende</t>
  </si>
  <si>
    <t>taub</t>
  </si>
  <si>
    <t>freu</t>
  </si>
  <si>
    <t>konzert</t>
  </si>
  <si>
    <t>hopp</t>
  </si>
  <si>
    <t>wiederzusehen</t>
  </si>
  <si>
    <t>doppelt</t>
  </si>
  <si>
    <t>last</t>
  </si>
  <si>
    <t>vergleich</t>
  </si>
  <si>
    <t>böser</t>
  </si>
  <si>
    <t>herzlich</t>
  </si>
  <si>
    <t>monica</t>
  </si>
  <si>
    <t>taschen</t>
  </si>
  <si>
    <t>genügt</t>
  </si>
  <si>
    <t>besucher</t>
  </si>
  <si>
    <t>spanien</t>
  </si>
  <si>
    <t>großzügig</t>
  </si>
  <si>
    <t>teddy</t>
  </si>
  <si>
    <t>hauses</t>
  </si>
  <si>
    <t>leihen</t>
  </si>
  <si>
    <t>scheiden</t>
  </si>
  <si>
    <t>einstellung</t>
  </si>
  <si>
    <t>köstlich</t>
  </si>
  <si>
    <t>watson</t>
  </si>
  <si>
    <t>einheiten</t>
  </si>
  <si>
    <t>wichtigen</t>
  </si>
  <si>
    <t>go</t>
  </si>
  <si>
    <t>warne</t>
  </si>
  <si>
    <t>russland</t>
  </si>
  <si>
    <t>angeschossen</t>
  </si>
  <si>
    <t>sammy</t>
  </si>
  <si>
    <t>pierre</t>
  </si>
  <si>
    <t>sklaven</t>
  </si>
  <si>
    <t>laune</t>
  </si>
  <si>
    <t>gesamten</t>
  </si>
  <si>
    <t>stille</t>
  </si>
  <si>
    <t>asche</t>
  </si>
  <si>
    <t>geflogen</t>
  </si>
  <si>
    <t>spion</t>
  </si>
  <si>
    <t>what</t>
  </si>
  <si>
    <t>aaron</t>
  </si>
  <si>
    <t>weihnachtsmann</t>
  </si>
  <si>
    <t>hervorragend</t>
  </si>
  <si>
    <t>can</t>
  </si>
  <si>
    <t>verärgert</t>
  </si>
  <si>
    <t>puppe</t>
  </si>
  <si>
    <t>überfall</t>
  </si>
  <si>
    <t>unwichtig</t>
  </si>
  <si>
    <t>santa</t>
  </si>
  <si>
    <t>linke</t>
  </si>
  <si>
    <t>übung</t>
  </si>
  <si>
    <t>buffy</t>
  </si>
  <si>
    <t>franzosen</t>
  </si>
  <si>
    <t>wehgetan</t>
  </si>
  <si>
    <t>schwäche</t>
  </si>
  <si>
    <t>couch</t>
  </si>
  <si>
    <t>cousine</t>
  </si>
  <si>
    <t>grant</t>
  </si>
  <si>
    <t>atme</t>
  </si>
  <si>
    <t>irgendeinem</t>
  </si>
  <si>
    <t>unterstützt</t>
  </si>
  <si>
    <t>oscar</t>
  </si>
  <si>
    <t>ausdruck</t>
  </si>
  <si>
    <t>pleite</t>
  </si>
  <si>
    <t>beleidigt</t>
  </si>
  <si>
    <t>knopf</t>
  </si>
  <si>
    <t>stop</t>
  </si>
  <si>
    <t>schlimme</t>
  </si>
  <si>
    <t>beweist</t>
  </si>
  <si>
    <t>katie</t>
  </si>
  <si>
    <t>dramatische</t>
  </si>
  <si>
    <t>heutigen</t>
  </si>
  <si>
    <t>leere</t>
  </si>
  <si>
    <t>island</t>
  </si>
  <si>
    <t>shane</t>
  </si>
  <si>
    <t>daisy</t>
  </si>
  <si>
    <t>trinkst</t>
  </si>
  <si>
    <t>heimlich</t>
  </si>
  <si>
    <t>eingehen</t>
  </si>
  <si>
    <t>rad</t>
  </si>
  <si>
    <t>greift</t>
  </si>
  <si>
    <t>mächtig</t>
  </si>
  <si>
    <t>williams</t>
  </si>
  <si>
    <t>sinnlos</t>
  </si>
  <si>
    <t>versaut</t>
  </si>
  <si>
    <t>netz</t>
  </si>
  <si>
    <t>atem</t>
  </si>
  <si>
    <t>anstellen</t>
  </si>
  <si>
    <t>milliarden</t>
  </si>
  <si>
    <t>flotte</t>
  </si>
  <si>
    <t>umgebung</t>
  </si>
  <si>
    <t>mitbringen</t>
  </si>
  <si>
    <t>beteiligt</t>
  </si>
  <si>
    <t>dunkeln</t>
  </si>
  <si>
    <t>entwickeln</t>
  </si>
  <si>
    <t>schämen</t>
  </si>
  <si>
    <t>erwachsene</t>
  </si>
  <si>
    <t>zack</t>
  </si>
  <si>
    <t>durchsuchen</t>
  </si>
  <si>
    <t>hollywood</t>
  </si>
  <si>
    <t>rollen</t>
  </si>
  <si>
    <t>vergesst</t>
  </si>
  <si>
    <t>tricks</t>
  </si>
  <si>
    <t>plätze</t>
  </si>
  <si>
    <t>gefangene</t>
  </si>
  <si>
    <t>sünden</t>
  </si>
  <si>
    <t>sender</t>
  </si>
  <si>
    <t>verlass</t>
  </si>
  <si>
    <t>räumen</t>
  </si>
  <si>
    <t>lerne</t>
  </si>
  <si>
    <t>rettet</t>
  </si>
  <si>
    <t>hinweise</t>
  </si>
  <si>
    <t>ausreden</t>
  </si>
  <si>
    <t>alexander</t>
  </si>
  <si>
    <t>mommy</t>
  </si>
  <si>
    <t>diejenige</t>
  </si>
  <si>
    <t>nächte</t>
  </si>
  <si>
    <t>herrscht</t>
  </si>
  <si>
    <t>bud</t>
  </si>
  <si>
    <t>jahres</t>
  </si>
  <si>
    <t>dna</t>
  </si>
  <si>
    <t>romantisch</t>
  </si>
  <si>
    <t>flüstert</t>
  </si>
  <si>
    <t>drück</t>
  </si>
  <si>
    <t>jeremy</t>
  </si>
  <si>
    <t>bedanken</t>
  </si>
  <si>
    <t>verabredet</t>
  </si>
  <si>
    <t>pilot</t>
  </si>
  <si>
    <t>colt</t>
  </si>
  <si>
    <t>nigger</t>
  </si>
  <si>
    <t>reizend</t>
  </si>
  <si>
    <t>grade</t>
  </si>
  <si>
    <t>stanley</t>
  </si>
  <si>
    <t>leib</t>
  </si>
  <si>
    <t>stecke</t>
  </si>
  <si>
    <t>scheisse</t>
  </si>
  <si>
    <t>ärztin</t>
  </si>
  <si>
    <t>vergewaltigt</t>
  </si>
  <si>
    <t>mußt</t>
  </si>
  <si>
    <t>lieferung</t>
  </si>
  <si>
    <t>botschafter</t>
  </si>
  <si>
    <t>studieren</t>
  </si>
  <si>
    <t>köpfe</t>
  </si>
  <si>
    <t>duschen</t>
  </si>
  <si>
    <t>kopfschmerzen</t>
  </si>
  <si>
    <t>öl</t>
  </si>
  <si>
    <t>knarre</t>
  </si>
  <si>
    <t>sekretärin</t>
  </si>
  <si>
    <t>phase</t>
  </si>
  <si>
    <t>handschellen</t>
  </si>
  <si>
    <t>lewis</t>
  </si>
  <si>
    <t>versehen</t>
  </si>
  <si>
    <t>bande</t>
  </si>
  <si>
    <t>treu</t>
  </si>
  <si>
    <t>positiv</t>
  </si>
  <si>
    <t>meiste</t>
  </si>
  <si>
    <t>museum</t>
  </si>
  <si>
    <t>albtraum</t>
  </si>
  <si>
    <t>margaret</t>
  </si>
  <si>
    <t>verlobt</t>
  </si>
  <si>
    <t>besiegt</t>
  </si>
  <si>
    <t>existieren</t>
  </si>
  <si>
    <t>könne</t>
  </si>
  <si>
    <t>proben</t>
  </si>
  <si>
    <t>beschissen</t>
  </si>
  <si>
    <t>gewinne</t>
  </si>
  <si>
    <t>personal</t>
  </si>
  <si>
    <t>christian</t>
  </si>
  <si>
    <t>bewaffnet</t>
  </si>
  <si>
    <t>fällen</t>
  </si>
  <si>
    <t>wecken</t>
  </si>
  <si>
    <t>wirkung</t>
  </si>
  <si>
    <t>kurt</t>
  </si>
  <si>
    <t>connor</t>
  </si>
  <si>
    <t>rebecca</t>
  </si>
  <si>
    <t>therapie</t>
  </si>
  <si>
    <t>travis</t>
  </si>
  <si>
    <t>amüsieren</t>
  </si>
  <si>
    <t>ordentlich</t>
  </si>
  <si>
    <t>weglaufen</t>
  </si>
  <si>
    <t>aufgewacht</t>
  </si>
  <si>
    <t>nähern</t>
  </si>
  <si>
    <t>decken</t>
  </si>
  <si>
    <t>sinne</t>
  </si>
  <si>
    <t>leutnant</t>
  </si>
  <si>
    <t>zauberer</t>
  </si>
  <si>
    <t>hogan</t>
  </si>
  <si>
    <t>bittet</t>
  </si>
  <si>
    <t>ankunft</t>
  </si>
  <si>
    <t>klopft</t>
  </si>
  <si>
    <t>abstand</t>
  </si>
  <si>
    <t>bewusstsein</t>
  </si>
  <si>
    <t>nation</t>
  </si>
  <si>
    <t>kontrolliert</t>
  </si>
  <si>
    <t>treffer</t>
  </si>
  <si>
    <t>abnehmen</t>
  </si>
  <si>
    <t>ratten</t>
  </si>
  <si>
    <t>anwälte</t>
  </si>
  <si>
    <t>tempel</t>
  </si>
  <si>
    <t>vergiftet</t>
  </si>
  <si>
    <t>kunde</t>
  </si>
  <si>
    <t>august</t>
  </si>
  <si>
    <t>wunden</t>
  </si>
  <si>
    <t>unangenehm</t>
  </si>
  <si>
    <t>ausrüstung</t>
  </si>
  <si>
    <t>segen</t>
  </si>
  <si>
    <t>präsentiert</t>
  </si>
  <si>
    <t>schließ</t>
  </si>
  <si>
    <t>kehle</t>
  </si>
  <si>
    <t>krone</t>
  </si>
  <si>
    <t>garantiert</t>
  </si>
  <si>
    <t>durchsucht</t>
  </si>
  <si>
    <t>president</t>
  </si>
  <si>
    <t>tracy</t>
  </si>
  <si>
    <t>verfluchte</t>
  </si>
  <si>
    <t>bestimmten</t>
  </si>
  <si>
    <t>clay</t>
  </si>
  <si>
    <t>ladies</t>
  </si>
  <si>
    <t>b.</t>
  </si>
  <si>
    <t>ladung</t>
  </si>
  <si>
    <t>beinen</t>
  </si>
  <si>
    <t>hell</t>
  </si>
  <si>
    <t>kent</t>
  </si>
  <si>
    <t>kapitel</t>
  </si>
  <si>
    <t>chase</t>
  </si>
  <si>
    <t>benutze</t>
  </si>
  <si>
    <t>alibi</t>
  </si>
  <si>
    <t>ziele</t>
  </si>
  <si>
    <t>bestie</t>
  </si>
  <si>
    <t>gus</t>
  </si>
  <si>
    <t>nirgends</t>
  </si>
  <si>
    <t>wohnzimmer</t>
  </si>
  <si>
    <t>beute</t>
  </si>
  <si>
    <t>bau</t>
  </si>
  <si>
    <t>brennen</t>
  </si>
  <si>
    <t>lex</t>
  </si>
  <si>
    <t>durst</t>
  </si>
  <si>
    <t>logan</t>
  </si>
  <si>
    <t>schwarzer</t>
  </si>
  <si>
    <t>schmutzig</t>
  </si>
  <si>
    <t>liebhaber</t>
  </si>
  <si>
    <t>ersetzen</t>
  </si>
  <si>
    <t>juli</t>
  </si>
  <si>
    <t>verfahren</t>
  </si>
  <si>
    <t>kirk</t>
  </si>
  <si>
    <t>stiefel</t>
  </si>
  <si>
    <t>inspector</t>
  </si>
  <si>
    <t>allzu</t>
  </si>
  <si>
    <t>camp</t>
  </si>
  <si>
    <t>dürft</t>
  </si>
  <si>
    <t>orten</t>
  </si>
  <si>
    <t>hitze</t>
  </si>
  <si>
    <t>spielzeug</t>
  </si>
  <si>
    <t>tv</t>
  </si>
  <si>
    <t>gloria</t>
  </si>
  <si>
    <t>wolle</t>
  </si>
  <si>
    <t>knurrt</t>
  </si>
  <si>
    <t>meldet</t>
  </si>
  <si>
    <t>rita</t>
  </si>
  <si>
    <t>zone</t>
  </si>
  <si>
    <t>trocken</t>
  </si>
  <si>
    <t>lincoln</t>
  </si>
  <si>
    <t>schreibst</t>
  </si>
  <si>
    <t>audrey</t>
  </si>
  <si>
    <t>quinn</t>
  </si>
  <si>
    <t>probier</t>
  </si>
  <si>
    <t>le</t>
  </si>
  <si>
    <t>kids</t>
  </si>
  <si>
    <t>unterschrieben</t>
  </si>
  <si>
    <t>do</t>
  </si>
  <si>
    <t>heulen</t>
  </si>
  <si>
    <t>entschlossen</t>
  </si>
  <si>
    <t>paket</t>
  </si>
  <si>
    <t>gefiel</t>
  </si>
  <si>
    <t>bekamen</t>
  </si>
  <si>
    <t>netten</t>
  </si>
  <si>
    <t>geheime</t>
  </si>
  <si>
    <t>jennifer</t>
  </si>
  <si>
    <t>aktiviert</t>
  </si>
  <si>
    <t>ausweg</t>
  </si>
  <si>
    <t>hinweg</t>
  </si>
  <si>
    <t>schmuck</t>
  </si>
  <si>
    <t>ausgang</t>
  </si>
  <si>
    <t>wunderschöne</t>
  </si>
  <si>
    <t>zurückkommt</t>
  </si>
  <si>
    <t>ann</t>
  </si>
  <si>
    <t>illegal</t>
  </si>
  <si>
    <t>ferien</t>
  </si>
  <si>
    <t>persönlichen</t>
  </si>
  <si>
    <t>geiseln</t>
  </si>
  <si>
    <t>segne</t>
  </si>
  <si>
    <t>normaler</t>
  </si>
  <si>
    <t>steuer</t>
  </si>
  <si>
    <t>aufgepasst</t>
  </si>
  <si>
    <t>murphy</t>
  </si>
  <si>
    <t>raumschiff</t>
  </si>
  <si>
    <t>dummen</t>
  </si>
  <si>
    <t>weißer</t>
  </si>
  <si>
    <t>ausbildung</t>
  </si>
  <si>
    <t>klavier</t>
  </si>
  <si>
    <t>hauptsache</t>
  </si>
  <si>
    <t>admiral</t>
  </si>
  <si>
    <t>entgegen</t>
  </si>
  <si>
    <t>fasse</t>
  </si>
  <si>
    <t>strecke</t>
  </si>
  <si>
    <t>julian</t>
  </si>
  <si>
    <t>version</t>
  </si>
  <si>
    <t>hilfreich</t>
  </si>
  <si>
    <t>schweren</t>
  </si>
  <si>
    <t>h</t>
  </si>
  <si>
    <t>jahrelang</t>
  </si>
  <si>
    <t>leeren</t>
  </si>
  <si>
    <t>küste</t>
  </si>
  <si>
    <t>baron</t>
  </si>
  <si>
    <t>behörden</t>
  </si>
  <si>
    <t>grüße</t>
  </si>
  <si>
    <t>geklärt</t>
  </si>
  <si>
    <t>bruders</t>
  </si>
  <si>
    <t>kaufte</t>
  </si>
  <si>
    <t>stone</t>
  </si>
  <si>
    <t>puls</t>
  </si>
  <si>
    <t>blue</t>
  </si>
  <si>
    <t>flur</t>
  </si>
  <si>
    <t>denselben</t>
  </si>
  <si>
    <t>rettung</t>
  </si>
  <si>
    <t>widerlich</t>
  </si>
  <si>
    <t>parkplatz</t>
  </si>
  <si>
    <t>katzen</t>
  </si>
  <si>
    <t>laster</t>
  </si>
  <si>
    <t>sozusagen</t>
  </si>
  <si>
    <t>mittwoch</t>
  </si>
  <si>
    <t>unschuldige</t>
  </si>
  <si>
    <t>abwarten</t>
  </si>
  <si>
    <t>grandma</t>
  </si>
  <si>
    <t>florida</t>
  </si>
  <si>
    <t>re</t>
  </si>
  <si>
    <t>grünen</t>
  </si>
  <si>
    <t>könntet</t>
  </si>
  <si>
    <t>aufnahmen</t>
  </si>
  <si>
    <t>vision</t>
  </si>
  <si>
    <t>schauspielerin</t>
  </si>
  <si>
    <t>passe</t>
  </si>
  <si>
    <t>sing</t>
  </si>
  <si>
    <t>glückliche</t>
  </si>
  <si>
    <t>highschool</t>
  </si>
  <si>
    <t>friedhof</t>
  </si>
  <si>
    <t>irrtum</t>
  </si>
  <si>
    <t>klienten</t>
  </si>
  <si>
    <t>nervt</t>
  </si>
  <si>
    <t>leidet</t>
  </si>
  <si>
    <t>reverend</t>
  </si>
  <si>
    <t>trainieren</t>
  </si>
  <si>
    <t>gegenwart</t>
  </si>
  <si>
    <t>zurückbringen</t>
  </si>
  <si>
    <t>herman</t>
  </si>
  <si>
    <t>protokoll</t>
  </si>
  <si>
    <t>studenten</t>
  </si>
  <si>
    <t>durchaus</t>
  </si>
  <si>
    <t>grausam</t>
  </si>
  <si>
    <t>höchste</t>
  </si>
  <si>
    <t>verwickelt</t>
  </si>
  <si>
    <t>schmecken</t>
  </si>
  <si>
    <t>klappen</t>
  </si>
  <si>
    <t>apropos</t>
  </si>
  <si>
    <t>liz</t>
  </si>
  <si>
    <t>alfred</t>
  </si>
  <si>
    <t>ansonsten</t>
  </si>
  <si>
    <t>wade</t>
  </si>
  <si>
    <t>missverständnis</t>
  </si>
  <si>
    <t>mitglieder</t>
  </si>
  <si>
    <t>motorrad</t>
  </si>
  <si>
    <t>mickey</t>
  </si>
  <si>
    <t>blicken</t>
  </si>
  <si>
    <t>glücklicher</t>
  </si>
  <si>
    <t>hübschen</t>
  </si>
  <si>
    <t>dicke</t>
  </si>
  <si>
    <t>gewünscht</t>
  </si>
  <si>
    <t>gejagt</t>
  </si>
  <si>
    <t>diejenigen</t>
  </si>
  <si>
    <t>diskutieren</t>
  </si>
  <si>
    <t>pinkeln</t>
  </si>
  <si>
    <t>huhn</t>
  </si>
  <si>
    <t>erheben</t>
  </si>
  <si>
    <t>paradies</t>
  </si>
  <si>
    <t>tagebuch</t>
  </si>
  <si>
    <t>möglichen</t>
  </si>
  <si>
    <t>jenseits</t>
  </si>
  <si>
    <t>arschlöcher</t>
  </si>
  <si>
    <t>apartment</t>
  </si>
  <si>
    <t>mason</t>
  </si>
  <si>
    <t>pfeift</t>
  </si>
  <si>
    <t>dieselben</t>
  </si>
  <si>
    <t>wilden</t>
  </si>
  <si>
    <t>vergaß</t>
  </si>
  <si>
    <t>enttäuschen</t>
  </si>
  <si>
    <t>greg</t>
  </si>
  <si>
    <t>konsequenzen</t>
  </si>
  <si>
    <t>fleck</t>
  </si>
  <si>
    <t>macgyver</t>
  </si>
  <si>
    <t>führerschein</t>
  </si>
  <si>
    <t>online</t>
  </si>
  <si>
    <t>bete</t>
  </si>
  <si>
    <t>verdächtige</t>
  </si>
  <si>
    <t>enkel</t>
  </si>
  <si>
    <t>normalen</t>
  </si>
  <si>
    <t>stift</t>
  </si>
  <si>
    <t>interview</t>
  </si>
  <si>
    <t>süßen</t>
  </si>
  <si>
    <t>riesige</t>
  </si>
  <si>
    <t>aussicht</t>
  </si>
  <si>
    <t>ned</t>
  </si>
  <si>
    <t>wiederkommen</t>
  </si>
  <si>
    <t>werbung</t>
  </si>
  <si>
    <t>warf</t>
  </si>
  <si>
    <t>telefoniert</t>
  </si>
  <si>
    <t>anblick</t>
  </si>
  <si>
    <t>einzelnen</t>
  </si>
  <si>
    <t>teppich</t>
  </si>
  <si>
    <t>hielten</t>
  </si>
  <si>
    <t>handel</t>
  </si>
  <si>
    <t>gekannt</t>
  </si>
  <si>
    <t>getrieben</t>
  </si>
  <si>
    <t>trainer</t>
  </si>
  <si>
    <t>scully</t>
  </si>
  <si>
    <t>schuh</t>
  </si>
  <si>
    <t>bomben</t>
  </si>
  <si>
    <t>kämpfer</t>
  </si>
  <si>
    <t>victoria</t>
  </si>
  <si>
    <t>bedenken</t>
  </si>
  <si>
    <t>sitzung</t>
  </si>
  <si>
    <t>ken</t>
  </si>
  <si>
    <t>sicheren</t>
  </si>
  <si>
    <t>verkaufe</t>
  </si>
  <si>
    <t>ron</t>
  </si>
  <si>
    <t>tapfer</t>
  </si>
  <si>
    <t>experiment</t>
  </si>
  <si>
    <t>besorge</t>
  </si>
  <si>
    <t>tiefe</t>
  </si>
  <si>
    <t>narren</t>
  </si>
  <si>
    <t>abgeholt</t>
  </si>
  <si>
    <t>abhalten</t>
  </si>
  <si>
    <t>bestimmte</t>
  </si>
  <si>
    <t>laufenden</t>
  </si>
  <si>
    <t>auftaucht</t>
  </si>
  <si>
    <t>school</t>
  </si>
  <si>
    <t>löschen</t>
  </si>
  <si>
    <t>tara</t>
  </si>
  <si>
    <t>sebastian</t>
  </si>
  <si>
    <t>mies</t>
  </si>
  <si>
    <t>sarg</t>
  </si>
  <si>
    <t>r</t>
  </si>
  <si>
    <t>vertragen</t>
  </si>
  <si>
    <t>gebissen</t>
  </si>
  <si>
    <t>geheimen</t>
  </si>
  <si>
    <t>drinks</t>
  </si>
  <si>
    <t>schlief</t>
  </si>
  <si>
    <t>tradition</t>
  </si>
  <si>
    <t>soeben</t>
  </si>
  <si>
    <t>komische</t>
  </si>
  <si>
    <t>schultz</t>
  </si>
  <si>
    <t>aufgehalten</t>
  </si>
  <si>
    <t>fähigkeit</t>
  </si>
  <si>
    <t>attraktiv</t>
  </si>
  <si>
    <t>begriff</t>
  </si>
  <si>
    <t>versichere</t>
  </si>
  <si>
    <t>schilde</t>
  </si>
  <si>
    <t>legte</t>
  </si>
  <si>
    <t>mitteilen</t>
  </si>
  <si>
    <t>sdh</t>
  </si>
  <si>
    <t>gemütlich</t>
  </si>
  <si>
    <t>muster</t>
  </si>
  <si>
    <t>versprach</t>
  </si>
  <si>
    <t>überwachen</t>
  </si>
  <si>
    <t>eingeschlafen</t>
  </si>
  <si>
    <t>schlimmsten</t>
  </si>
  <si>
    <t>verlierst</t>
  </si>
  <si>
    <t>einzelne</t>
  </si>
  <si>
    <t>vergib</t>
  </si>
  <si>
    <t>vorbeikommen</t>
  </si>
  <si>
    <t>aua</t>
  </si>
  <si>
    <t>brüste</t>
  </si>
  <si>
    <t>sandwich</t>
  </si>
  <si>
    <t>gewinner</t>
  </si>
  <si>
    <t>verständnis</t>
  </si>
  <si>
    <t>g</t>
  </si>
  <si>
    <t>raymond</t>
  </si>
  <si>
    <t>papst</t>
  </si>
  <si>
    <t>toast</t>
  </si>
  <si>
    <t>matthew</t>
  </si>
  <si>
    <t>einsteigen</t>
  </si>
  <si>
    <t>löwen</t>
  </si>
  <si>
    <t>einsetzen</t>
  </si>
  <si>
    <t>gewinn</t>
  </si>
  <si>
    <t>schüchtern</t>
  </si>
  <si>
    <t>scheinst</t>
  </si>
  <si>
    <t>pflanzen</t>
  </si>
  <si>
    <t>green</t>
  </si>
  <si>
    <t>sheldon</t>
  </si>
  <si>
    <t>christopher</t>
  </si>
  <si>
    <t>hätt</t>
  </si>
  <si>
    <t>coach</t>
  </si>
  <si>
    <t>werte</t>
  </si>
  <si>
    <t>modell</t>
  </si>
  <si>
    <t>übernimmt</t>
  </si>
  <si>
    <t>walton</t>
  </si>
  <si>
    <t>heftig</t>
  </si>
  <si>
    <t>vorfall</t>
  </si>
  <si>
    <t>motel</t>
  </si>
  <si>
    <t>teams</t>
  </si>
  <si>
    <t>irgendeinen</t>
  </si>
  <si>
    <t>müsstest</t>
  </si>
  <si>
    <t>freier</t>
  </si>
  <si>
    <t>zirkus</t>
  </si>
  <si>
    <t>ruhm</t>
  </si>
  <si>
    <t>zurzeit</t>
  </si>
  <si>
    <t>ausmachen</t>
  </si>
  <si>
    <t>rezept</t>
  </si>
  <si>
    <t>töchter</t>
  </si>
  <si>
    <t>laute</t>
  </si>
  <si>
    <t>akzeptiert</t>
  </si>
  <si>
    <t>geschwindigkeit</t>
  </si>
  <si>
    <t>beliebt</t>
  </si>
  <si>
    <t>verpflichtet</t>
  </si>
  <si>
    <t>betrüger</t>
  </si>
  <si>
    <t>lohnt</t>
  </si>
  <si>
    <t>märchen</t>
  </si>
  <si>
    <t>blöder</t>
  </si>
  <si>
    <t>becky</t>
  </si>
  <si>
    <t>wille</t>
  </si>
  <si>
    <t>hügel</t>
  </si>
  <si>
    <t>königreich</t>
  </si>
  <si>
    <t>dennis</t>
  </si>
  <si>
    <t>kehren</t>
  </si>
  <si>
    <t>baut</t>
  </si>
  <si>
    <t>chinesen</t>
  </si>
  <si>
    <t>gesichert</t>
  </si>
  <si>
    <t>michel</t>
  </si>
  <si>
    <t>ruth</t>
  </si>
  <si>
    <t>block</t>
  </si>
  <si>
    <t>belogen</t>
  </si>
  <si>
    <t>malen</t>
  </si>
  <si>
    <t>kofferraum</t>
  </si>
  <si>
    <t>road</t>
  </si>
  <si>
    <t>bursche</t>
  </si>
  <si>
    <t>erin</t>
  </si>
  <si>
    <t>geständnis</t>
  </si>
  <si>
    <t>ausgegangen</t>
  </si>
  <si>
    <t>begreifen</t>
  </si>
  <si>
    <t>dana</t>
  </si>
  <si>
    <t>blitz</t>
  </si>
  <si>
    <t>löst</t>
  </si>
  <si>
    <t>furcht</t>
  </si>
  <si>
    <t>jersey</t>
  </si>
  <si>
    <t>ernstes</t>
  </si>
  <si>
    <t>verteilt</t>
  </si>
  <si>
    <t>bezüglich</t>
  </si>
  <si>
    <t>faszinierend</t>
  </si>
  <si>
    <t>aufmerksam</t>
  </si>
  <si>
    <t>aufregung</t>
  </si>
  <si>
    <t>wendy</t>
  </si>
  <si>
    <t>ethan</t>
  </si>
  <si>
    <t>orte</t>
  </si>
  <si>
    <t>entführung</t>
  </si>
  <si>
    <t>keucht</t>
  </si>
  <si>
    <t>erhielt</t>
  </si>
  <si>
    <t>treue</t>
  </si>
  <si>
    <t>felsen</t>
  </si>
  <si>
    <t>malcolm</t>
  </si>
  <si>
    <t>kurzen</t>
  </si>
  <si>
    <t>zorn</t>
  </si>
  <si>
    <t>taucht</t>
  </si>
  <si>
    <t>bestimmen</t>
  </si>
  <si>
    <t>ausgesetzt</t>
  </si>
  <si>
    <t>zurückgeben</t>
  </si>
  <si>
    <t>verkehr</t>
  </si>
  <si>
    <t>bewiesen</t>
  </si>
  <si>
    <t>generation</t>
  </si>
  <si>
    <t>liebste</t>
  </si>
  <si>
    <t>ausrichten</t>
  </si>
  <si>
    <t>ausnahme</t>
  </si>
  <si>
    <t>ebene</t>
  </si>
  <si>
    <t>herrlich</t>
  </si>
  <si>
    <t>stürzen</t>
  </si>
  <si>
    <t>herausforderung</t>
  </si>
  <si>
    <t>gefälligst</t>
  </si>
  <si>
    <t>farben</t>
  </si>
  <si>
    <t>geliebten</t>
  </si>
  <si>
    <t>ankommen</t>
  </si>
  <si>
    <t>tempo</t>
  </si>
  <si>
    <t>unterbrechen</t>
  </si>
  <si>
    <t>kindes</t>
  </si>
  <si>
    <t>babe</t>
  </si>
  <si>
    <t>erden</t>
  </si>
  <si>
    <t>schrecklichen</t>
  </si>
  <si>
    <t>falsches</t>
  </si>
  <si>
    <t>täuschen</t>
  </si>
  <si>
    <t>tal</t>
  </si>
  <si>
    <t>irgendwer</t>
  </si>
  <si>
    <t>deins</t>
  </si>
  <si>
    <t>witwe</t>
  </si>
  <si>
    <t>sichern</t>
  </si>
  <si>
    <t>gerede</t>
  </si>
  <si>
    <t>betrug</t>
  </si>
  <si>
    <t>trauer</t>
  </si>
  <si>
    <t>anwesenheit</t>
  </si>
  <si>
    <t>bilden</t>
  </si>
  <si>
    <t>gewachsen</t>
  </si>
  <si>
    <t>ausflug</t>
  </si>
  <si>
    <t>jill</t>
  </si>
  <si>
    <t>verlaufen</t>
  </si>
  <si>
    <t>rand</t>
  </si>
  <si>
    <t>kenny</t>
  </si>
  <si>
    <t>rechnen</t>
  </si>
  <si>
    <t>aufzug</t>
  </si>
  <si>
    <t>befragen</t>
  </si>
  <si>
    <t>wegnehmen</t>
  </si>
  <si>
    <t>abschied</t>
  </si>
  <si>
    <t>benötigen</t>
  </si>
  <si>
    <t>pst</t>
  </si>
  <si>
    <t>amt</t>
  </si>
  <si>
    <t>reiche</t>
  </si>
  <si>
    <t>otto</t>
  </si>
  <si>
    <t>beginn</t>
  </si>
  <si>
    <t>daumen</t>
  </si>
  <si>
    <t>bestrafen</t>
  </si>
  <si>
    <t>clarence</t>
  </si>
  <si>
    <t>weine</t>
  </si>
  <si>
    <t>fremder</t>
  </si>
  <si>
    <t>sachte</t>
  </si>
  <si>
    <t>identifiziert</t>
  </si>
  <si>
    <t>gestehen</t>
  </si>
  <si>
    <t>mac</t>
  </si>
  <si>
    <t>owen</t>
  </si>
  <si>
    <t>morris</t>
  </si>
  <si>
    <t>riesig</t>
  </si>
  <si>
    <t>entscheide</t>
  </si>
  <si>
    <t>koma</t>
  </si>
  <si>
    <t>prinzen</t>
  </si>
  <si>
    <t>bewusstlos</t>
  </si>
  <si>
    <t>county</t>
  </si>
  <si>
    <t>marke</t>
  </si>
  <si>
    <t>harter</t>
  </si>
  <si>
    <t>hill</t>
  </si>
  <si>
    <t>höflich</t>
  </si>
  <si>
    <t>jude</t>
  </si>
  <si>
    <t>setzte</t>
  </si>
  <si>
    <t>besorg</t>
  </si>
  <si>
    <t>absichtlich</t>
  </si>
  <si>
    <t>vermasselt</t>
  </si>
  <si>
    <t>verschlossen</t>
  </si>
  <si>
    <t>sowie</t>
  </si>
  <si>
    <t>gesang</t>
  </si>
  <si>
    <t>gedreht</t>
  </si>
  <si>
    <t>ford</t>
  </si>
  <si>
    <t>religion</t>
  </si>
  <si>
    <t>ey</t>
  </si>
  <si>
    <t>unterschrift</t>
  </si>
  <si>
    <t>rosen</t>
  </si>
  <si>
    <t>persönliches</t>
  </si>
  <si>
    <t>queen</t>
  </si>
  <si>
    <t>fortschritte</t>
  </si>
  <si>
    <t>eingang</t>
  </si>
  <si>
    <t>zugehört</t>
  </si>
  <si>
    <t>biete</t>
  </si>
  <si>
    <t>clara</t>
  </si>
  <si>
    <t>vorhaben</t>
  </si>
  <si>
    <t>kultur</t>
  </si>
  <si>
    <t>patientin</t>
  </si>
  <si>
    <t>stephen</t>
  </si>
  <si>
    <t>explodiert</t>
  </si>
  <si>
    <t>nichte</t>
  </si>
  <si>
    <t>verzichten</t>
  </si>
  <si>
    <t>steven</t>
  </si>
  <si>
    <t>harris</t>
  </si>
  <si>
    <t>existenz</t>
  </si>
  <si>
    <t>drehbuch</t>
  </si>
  <si>
    <t>football</t>
  </si>
  <si>
    <t>anzusehen</t>
  </si>
  <si>
    <t>ohnmächtig</t>
  </si>
  <si>
    <t>zaun</t>
  </si>
  <si>
    <t>anthony</t>
  </si>
  <si>
    <t>geladen</t>
  </si>
  <si>
    <t>guckt</t>
  </si>
  <si>
    <t>privat</t>
  </si>
  <si>
    <t>peg</t>
  </si>
  <si>
    <t>brauchten</t>
  </si>
  <si>
    <t>liam</t>
  </si>
  <si>
    <t>heb</t>
  </si>
  <si>
    <t>virginia</t>
  </si>
  <si>
    <t>wächter</t>
  </si>
  <si>
    <t>eimer</t>
  </si>
  <si>
    <t>blasen</t>
  </si>
  <si>
    <t>rakete</t>
  </si>
  <si>
    <t>salz</t>
  </si>
  <si>
    <t>unfair</t>
  </si>
  <si>
    <t>verzeiht</t>
  </si>
  <si>
    <t>esel</t>
  </si>
  <si>
    <t>krankenschwester</t>
  </si>
  <si>
    <t>symbol</t>
  </si>
  <si>
    <t>entscheidet</t>
  </si>
  <si>
    <t>fahrzeug</t>
  </si>
  <si>
    <t>unterwäsche</t>
  </si>
  <si>
    <t>betrachtet</t>
  </si>
  <si>
    <t>bauern</t>
  </si>
  <si>
    <t>engländer</t>
  </si>
  <si>
    <t>wartete</t>
  </si>
  <si>
    <t>schaust</t>
  </si>
  <si>
    <t>genossen</t>
  </si>
  <si>
    <t>tropfen</t>
  </si>
  <si>
    <t>probiert</t>
  </si>
  <si>
    <t>spock</t>
  </si>
  <si>
    <t>café</t>
  </si>
  <si>
    <t>verhungern</t>
  </si>
  <si>
    <t>versuchten</t>
  </si>
  <si>
    <t>mütter</t>
  </si>
  <si>
    <t>september</t>
  </si>
  <si>
    <t>aktion</t>
  </si>
  <si>
    <t>bestanden</t>
  </si>
  <si>
    <t>haaren</t>
  </si>
  <si>
    <t>louise</t>
  </si>
  <si>
    <t>schluchzt</t>
  </si>
  <si>
    <t>übertrieben</t>
  </si>
  <si>
    <t>heilmittel</t>
  </si>
  <si>
    <t>apparat</t>
  </si>
  <si>
    <t>vorm</t>
  </si>
  <si>
    <t>friedlich</t>
  </si>
  <si>
    <t>richtiges</t>
  </si>
  <si>
    <t>zuschauer</t>
  </si>
  <si>
    <t>teenager</t>
  </si>
  <si>
    <t>geliefert</t>
  </si>
  <si>
    <t>may</t>
  </si>
  <si>
    <t>gestritten</t>
  </si>
  <si>
    <t>maus</t>
  </si>
  <si>
    <t>lediglich</t>
  </si>
  <si>
    <t>charakter</t>
  </si>
  <si>
    <t>riley</t>
  </si>
  <si>
    <t>krass</t>
  </si>
  <si>
    <t>weiterer</t>
  </si>
  <si>
    <t>group</t>
  </si>
  <si>
    <t>ricky</t>
  </si>
  <si>
    <t>diana</t>
  </si>
  <si>
    <t>geräusche</t>
  </si>
  <si>
    <t>lichter</t>
  </si>
  <si>
    <t>starken</t>
  </si>
  <si>
    <t>dexter</t>
  </si>
  <si>
    <t>staffel</t>
  </si>
  <si>
    <t>flaschen</t>
  </si>
  <si>
    <t>putzen</t>
  </si>
  <si>
    <t>einbruch</t>
  </si>
  <si>
    <t>geheilt</t>
  </si>
  <si>
    <t>beißen</t>
  </si>
  <si>
    <t>nicole</t>
  </si>
  <si>
    <t>stammen</t>
  </si>
  <si>
    <t>wände</t>
  </si>
  <si>
    <t>befürchte</t>
  </si>
  <si>
    <t>kostüm</t>
  </si>
  <si>
    <t>warren</t>
  </si>
  <si>
    <t>grüßen</t>
  </si>
  <si>
    <t>versagen</t>
  </si>
  <si>
    <t>übernommen</t>
  </si>
  <si>
    <t>hoffte</t>
  </si>
  <si>
    <t>verschieben</t>
  </si>
  <si>
    <t>verspätung</t>
  </si>
  <si>
    <t>whiskey</t>
  </si>
  <si>
    <t>mars</t>
  </si>
  <si>
    <t>media</t>
  </si>
  <si>
    <t>entdecken</t>
  </si>
  <si>
    <t>traue</t>
  </si>
  <si>
    <t>thron</t>
  </si>
  <si>
    <t>riesigen</t>
  </si>
  <si>
    <t>zelt</t>
  </si>
  <si>
    <t>akzent</t>
  </si>
  <si>
    <t>truppe</t>
  </si>
  <si>
    <t>übertragen</t>
  </si>
  <si>
    <t>kompliment</t>
  </si>
  <si>
    <t>flammen</t>
  </si>
  <si>
    <t>erkennst</t>
  </si>
  <si>
    <t>erschrecken</t>
  </si>
  <si>
    <t>gemälde</t>
  </si>
  <si>
    <t>ari</t>
  </si>
  <si>
    <t>walt</t>
  </si>
  <si>
    <t>chip</t>
  </si>
  <si>
    <t>mannschaft</t>
  </si>
  <si>
    <t>cindy</t>
  </si>
  <si>
    <t>loyalität</t>
  </si>
  <si>
    <t>benjamin</t>
  </si>
  <si>
    <t>dankeschön</t>
  </si>
  <si>
    <t>vertreten</t>
  </si>
  <si>
    <t>verhandlung</t>
  </si>
  <si>
    <t>lernst</t>
  </si>
  <si>
    <t>brüllt</t>
  </si>
  <si>
    <t>füllen</t>
  </si>
  <si>
    <t>letztendlich</t>
  </si>
  <si>
    <t>krise</t>
  </si>
  <si>
    <t>verlierer</t>
  </si>
  <si>
    <t>spencer</t>
  </si>
  <si>
    <t>with</t>
  </si>
  <si>
    <t>kekse</t>
  </si>
  <si>
    <t>ausschalten</t>
  </si>
  <si>
    <t>penis</t>
  </si>
  <si>
    <t>profi</t>
  </si>
  <si>
    <t>whisky</t>
  </si>
  <si>
    <t>erledige</t>
  </si>
  <si>
    <t>gelächter</t>
  </si>
  <si>
    <t>fängst</t>
  </si>
  <si>
    <t>erklär</t>
  </si>
  <si>
    <t>einspruch</t>
  </si>
  <si>
    <t>angeln</t>
  </si>
  <si>
    <t>rausgehen</t>
  </si>
  <si>
    <t>monk</t>
  </si>
  <si>
    <t>kaution</t>
  </si>
  <si>
    <t>eures</t>
  </si>
  <si>
    <t>gesessen</t>
  </si>
  <si>
    <t>verrate</t>
  </si>
  <si>
    <t>kehrt</t>
  </si>
  <si>
    <t>boy</t>
  </si>
  <si>
    <t>summe</t>
  </si>
  <si>
    <t>lade</t>
  </si>
  <si>
    <t>billig</t>
  </si>
  <si>
    <t>curtis</t>
  </si>
  <si>
    <t>bernard</t>
  </si>
  <si>
    <t>juni</t>
  </si>
  <si>
    <t>gerissen</t>
  </si>
  <si>
    <t>festgenommen</t>
  </si>
  <si>
    <t>ralph</t>
  </si>
  <si>
    <t>befohlen</t>
  </si>
  <si>
    <t>überlege</t>
  </si>
  <si>
    <t>koordinaten</t>
  </si>
  <si>
    <t>flog</t>
  </si>
  <si>
    <t>herzinfarkt</t>
  </si>
  <si>
    <t>hinlegen</t>
  </si>
  <si>
    <t>nahrung</t>
  </si>
  <si>
    <t>liege</t>
  </si>
  <si>
    <t>geflohen</t>
  </si>
  <si>
    <t>knall</t>
  </si>
  <si>
    <t>nebenbei</t>
  </si>
  <si>
    <t>mylord</t>
  </si>
  <si>
    <t>nachbar</t>
  </si>
  <si>
    <t>küss</t>
  </si>
  <si>
    <t>lhrem</t>
  </si>
  <si>
    <t>geleistet</t>
  </si>
  <si>
    <t>nutzt</t>
  </si>
  <si>
    <t>fröhliche</t>
  </si>
  <si>
    <t>nebel</t>
  </si>
  <si>
    <t>front</t>
  </si>
  <si>
    <t>veränderung</t>
  </si>
  <si>
    <t>affe</t>
  </si>
  <si>
    <t>kontaktieren</t>
  </si>
  <si>
    <t>brand</t>
  </si>
  <si>
    <t>fuhren</t>
  </si>
  <si>
    <t>zwischenzeit</t>
  </si>
  <si>
    <t>eingesetzt</t>
  </si>
  <si>
    <t>anton</t>
  </si>
  <si>
    <t>philip</t>
  </si>
  <si>
    <t>megan</t>
  </si>
  <si>
    <t>schlimmeres</t>
  </si>
  <si>
    <t>rennt</t>
  </si>
  <si>
    <t>anlegen</t>
  </si>
  <si>
    <t>nachzudenken</t>
  </si>
  <si>
    <t>schwör</t>
  </si>
  <si>
    <t>übliche</t>
  </si>
  <si>
    <t>kreatur</t>
  </si>
  <si>
    <t>verderben</t>
  </si>
  <si>
    <t>medizinische</t>
  </si>
  <si>
    <t>besetzt</t>
  </si>
  <si>
    <t>zugriff</t>
  </si>
  <si>
    <t>kanal</t>
  </si>
  <si>
    <t>blutdruck</t>
  </si>
  <si>
    <t>grüne</t>
  </si>
  <si>
    <t>ausgeben</t>
  </si>
  <si>
    <t>papi</t>
  </si>
  <si>
    <t>clown</t>
  </si>
  <si>
    <t>lhrer</t>
  </si>
  <si>
    <t>sonny</t>
  </si>
  <si>
    <t>schwören</t>
  </si>
  <si>
    <t>hühnchen</t>
  </si>
  <si>
    <t>arten</t>
  </si>
  <si>
    <t>aufgebaut</t>
  </si>
  <si>
    <t>sydney</t>
  </si>
  <si>
    <t>betrügen</t>
  </si>
  <si>
    <t>steele</t>
  </si>
  <si>
    <t>trank</t>
  </si>
  <si>
    <t>glatt</t>
  </si>
  <si>
    <t>trainiert</t>
  </si>
  <si>
    <t>indien</t>
  </si>
  <si>
    <t>autor</t>
  </si>
  <si>
    <t>geweint</t>
  </si>
  <si>
    <t>blume</t>
  </si>
  <si>
    <t>verletzungen</t>
  </si>
  <si>
    <t>special</t>
  </si>
  <si>
    <t>zwillinge</t>
  </si>
  <si>
    <t>mia</t>
  </si>
  <si>
    <t>reißt</t>
  </si>
  <si>
    <t>zeigst</t>
  </si>
  <si>
    <t>stirb</t>
  </si>
  <si>
    <t>justin</t>
  </si>
  <si>
    <t>diane</t>
  </si>
  <si>
    <t>gefickt</t>
  </si>
  <si>
    <t>schlägst</t>
  </si>
  <si>
    <t>moskau</t>
  </si>
  <si>
    <t>erwartest</t>
  </si>
  <si>
    <t>gestoßen</t>
  </si>
  <si>
    <t>durchgehen</t>
  </si>
  <si>
    <t>praxis</t>
  </si>
  <si>
    <t>gründlich</t>
  </si>
  <si>
    <t>benny</t>
  </si>
  <si>
    <t>eingeschlossen</t>
  </si>
  <si>
    <t>tragödie</t>
  </si>
  <si>
    <t>vollständig</t>
  </si>
  <si>
    <t>psychiater</t>
  </si>
  <si>
    <t>rasse</t>
  </si>
  <si>
    <t>lance</t>
  </si>
  <si>
    <t>vertraust</t>
  </si>
  <si>
    <t>kummer</t>
  </si>
  <si>
    <t>eigener</t>
  </si>
  <si>
    <t>christine</t>
  </si>
  <si>
    <t>partei</t>
  </si>
  <si>
    <t>zentrum</t>
  </si>
  <si>
    <t>testament</t>
  </si>
  <si>
    <t>entfernung</t>
  </si>
  <si>
    <t>private</t>
  </si>
  <si>
    <t>welten</t>
  </si>
  <si>
    <t>verlegen</t>
  </si>
  <si>
    <t>heroin</t>
  </si>
  <si>
    <t>erfuhr</t>
  </si>
  <si>
    <t>gelände</t>
  </si>
  <si>
    <t>kutsche</t>
  </si>
  <si>
    <t>dummer</t>
  </si>
  <si>
    <t>homer</t>
  </si>
  <si>
    <t>stabil</t>
  </si>
  <si>
    <t>ausgeschlossen</t>
  </si>
  <si>
    <t>out</t>
  </si>
  <si>
    <t>draus</t>
  </si>
  <si>
    <t>aufgehoben</t>
  </si>
  <si>
    <t>single</t>
  </si>
  <si>
    <t>regisseur</t>
  </si>
  <si>
    <t>vielmals</t>
  </si>
  <si>
    <t>dylan</t>
  </si>
  <si>
    <t>bestand</t>
  </si>
  <si>
    <t>k</t>
  </si>
  <si>
    <t>erbe</t>
  </si>
  <si>
    <t>weggelaufen</t>
  </si>
  <si>
    <t>jim-bob</t>
  </si>
  <si>
    <t>noah</t>
  </si>
  <si>
    <t>leichte</t>
  </si>
  <si>
    <t>zuständig</t>
  </si>
  <si>
    <t>losgehen</t>
  </si>
  <si>
    <t>long</t>
  </si>
  <si>
    <t>hustet</t>
  </si>
  <si>
    <t>brutal</t>
  </si>
  <si>
    <t>besprochen</t>
  </si>
  <si>
    <t>halbes</t>
  </si>
  <si>
    <t>bargeld</t>
  </si>
  <si>
    <t>peggy</t>
  </si>
  <si>
    <t>action</t>
  </si>
  <si>
    <t>zusammenarbeiten</t>
  </si>
  <si>
    <t>beunruhigt</t>
  </si>
  <si>
    <t>achte</t>
  </si>
  <si>
    <t>innere</t>
  </si>
  <si>
    <t>kanone</t>
  </si>
  <si>
    <t>eklig</t>
  </si>
  <si>
    <t>x</t>
  </si>
  <si>
    <t>armes</t>
  </si>
  <si>
    <t>avenue</t>
  </si>
  <si>
    <t>öffentlich</t>
  </si>
  <si>
    <t>nützt</t>
  </si>
  <si>
    <t>marine</t>
  </si>
  <si>
    <t>brillant</t>
  </si>
  <si>
    <t>köder</t>
  </si>
  <si>
    <t>gespräche</t>
  </si>
  <si>
    <t>nähert</t>
  </si>
  <si>
    <t>vorgehen</t>
  </si>
  <si>
    <t>kleinigkeit</t>
  </si>
  <si>
    <t>kissen</t>
  </si>
  <si>
    <t>manny</t>
  </si>
  <si>
    <t>geisel</t>
  </si>
  <si>
    <t>gerecht</t>
  </si>
  <si>
    <t>trost</t>
  </si>
  <si>
    <t>gehasst</t>
  </si>
  <si>
    <t>a.</t>
  </si>
  <si>
    <t>gesorgt</t>
  </si>
  <si>
    <t>archer</t>
  </si>
  <si>
    <t>spinner</t>
  </si>
  <si>
    <t>vergebung</t>
  </si>
  <si>
    <t>vieh</t>
  </si>
  <si>
    <t>schnelle</t>
  </si>
  <si>
    <t>normales</t>
  </si>
  <si>
    <t>gefesselt</t>
  </si>
  <si>
    <t>lautes</t>
  </si>
  <si>
    <t>kalte</t>
  </si>
  <si>
    <t>leitet</t>
  </si>
  <si>
    <t>angehen</t>
  </si>
  <si>
    <t>ekelhaft</t>
  </si>
  <si>
    <t>salat</t>
  </si>
  <si>
    <t>schicht</t>
  </si>
  <si>
    <t>intelligent</t>
  </si>
  <si>
    <t>meg</t>
  </si>
  <si>
    <t>verhältnis</t>
  </si>
  <si>
    <t>socken</t>
  </si>
  <si>
    <t>brieftasche</t>
  </si>
  <si>
    <t>holly</t>
  </si>
  <si>
    <t>packt</t>
  </si>
  <si>
    <t>eventuell</t>
  </si>
  <si>
    <t>nirgendwohin</t>
  </si>
  <si>
    <t>methode</t>
  </si>
  <si>
    <t>gelangen</t>
  </si>
  <si>
    <t>gespannt</t>
  </si>
  <si>
    <t>vernunft</t>
  </si>
  <si>
    <t>zurückgehen</t>
  </si>
  <si>
    <t>regnet</t>
  </si>
  <si>
    <t>drama</t>
  </si>
  <si>
    <t>entspannt</t>
  </si>
  <si>
    <t>wörter</t>
  </si>
  <si>
    <t>klingeln</t>
  </si>
  <si>
    <t>ruhige</t>
  </si>
  <si>
    <t>sprung</t>
  </si>
  <si>
    <t>anständig</t>
  </si>
  <si>
    <t>gangster</t>
  </si>
  <si>
    <t>harten</t>
  </si>
  <si>
    <t>aufzeichnungen</t>
  </si>
  <si>
    <t>ofen</t>
  </si>
  <si>
    <t>cowboy</t>
  </si>
  <si>
    <t>endgültig</t>
  </si>
  <si>
    <t>aufgaben</t>
  </si>
  <si>
    <t>ruh</t>
  </si>
  <si>
    <t>deutsch</t>
  </si>
  <si>
    <t>neil</t>
  </si>
  <si>
    <t>wodka</t>
  </si>
  <si>
    <t>know</t>
  </si>
  <si>
    <t>air</t>
  </si>
  <si>
    <t>respektieren</t>
  </si>
  <si>
    <t>riskant</t>
  </si>
  <si>
    <t>lohn</t>
  </si>
  <si>
    <t>zuviel</t>
  </si>
  <si>
    <t>zustimmen</t>
  </si>
  <si>
    <t>schnaps</t>
  </si>
  <si>
    <t>troy</t>
  </si>
  <si>
    <t>stufe</t>
  </si>
  <si>
    <t>erleichtert</t>
  </si>
  <si>
    <t>scheune</t>
  </si>
  <si>
    <t>vanessa</t>
  </si>
  <si>
    <t>klink</t>
  </si>
  <si>
    <t>spaziergang</t>
  </si>
  <si>
    <t>katherine</t>
  </si>
  <si>
    <t>zettel</t>
  </si>
  <si>
    <t>kotzen</t>
  </si>
  <si>
    <t>blödmann</t>
  </si>
  <si>
    <t>hurra</t>
  </si>
  <si>
    <t>lana</t>
  </si>
  <si>
    <t>symptome</t>
  </si>
  <si>
    <t>vorfahren</t>
  </si>
  <si>
    <t>nutzlos</t>
  </si>
  <si>
    <t>shaw</t>
  </si>
  <si>
    <t>telefonnummer</t>
  </si>
  <si>
    <t>nochmals</t>
  </si>
  <si>
    <t>grey</t>
  </si>
  <si>
    <t>medien</t>
  </si>
  <si>
    <t>faul</t>
  </si>
  <si>
    <t>dient</t>
  </si>
  <si>
    <t>russell</t>
  </si>
  <si>
    <t>ereignisse</t>
  </si>
  <si>
    <t>aussuchen</t>
  </si>
  <si>
    <t>verprügelt</t>
  </si>
  <si>
    <t>zweites</t>
  </si>
  <si>
    <t>sherlock</t>
  </si>
  <si>
    <t>fabelhaft</t>
  </si>
  <si>
    <t>klinge</t>
  </si>
  <si>
    <t>leistung</t>
  </si>
  <si>
    <t>beileid</t>
  </si>
  <si>
    <t>castle</t>
  </si>
  <si>
    <t>durchführen</t>
  </si>
  <si>
    <t>mitchell</t>
  </si>
  <si>
    <t>eröffnen</t>
  </si>
  <si>
    <t>unschuld</t>
  </si>
  <si>
    <t>seist</t>
  </si>
  <si>
    <t>stoßen</t>
  </si>
  <si>
    <t>palmer</t>
  </si>
  <si>
    <t>like</t>
  </si>
  <si>
    <t>genügend</t>
  </si>
  <si>
    <t>sofa</t>
  </si>
  <si>
    <t>gestatten</t>
  </si>
  <si>
    <t>gekocht</t>
  </si>
  <si>
    <t>biest</t>
  </si>
  <si>
    <t>lydia</t>
  </si>
  <si>
    <t>bräuchte</t>
  </si>
  <si>
    <t>ausgelöst</t>
  </si>
  <si>
    <t>väter</t>
  </si>
  <si>
    <t>verarscht</t>
  </si>
  <si>
    <t>butter</t>
  </si>
  <si>
    <t>nachbarschaft</t>
  </si>
  <si>
    <t>villa</t>
  </si>
  <si>
    <t>data</t>
  </si>
  <si>
    <t>goldene</t>
  </si>
  <si>
    <t>schließe</t>
  </si>
  <si>
    <t>saft</t>
  </si>
  <si>
    <t>begehen</t>
  </si>
  <si>
    <t>hauptquartier</t>
  </si>
  <si>
    <t>geschworen</t>
  </si>
  <si>
    <t>abgenommen</t>
  </si>
  <si>
    <t>werkstatt</t>
  </si>
  <si>
    <t>überreden</t>
  </si>
  <si>
    <t>nannten</t>
  </si>
  <si>
    <t>gemüse</t>
  </si>
  <si>
    <t>schläger</t>
  </si>
  <si>
    <t>frisst</t>
  </si>
  <si>
    <t>bewundere</t>
  </si>
  <si>
    <t>geschieden</t>
  </si>
  <si>
    <t>assistentin</t>
  </si>
  <si>
    <t>wettbewerb</t>
  </si>
  <si>
    <t>lebten</t>
  </si>
  <si>
    <t>sieger</t>
  </si>
  <si>
    <t>verfassung</t>
  </si>
  <si>
    <t>küsst</t>
  </si>
  <si>
    <t>fußball</t>
  </si>
  <si>
    <t>geschnitten</t>
  </si>
  <si>
    <t>master</t>
  </si>
  <si>
    <t>quietschen</t>
  </si>
  <si>
    <t>füttern</t>
  </si>
  <si>
    <t>gürtel</t>
  </si>
  <si>
    <t>unschuldigen</t>
  </si>
  <si>
    <t>menschlich</t>
  </si>
  <si>
    <t>eigenartig</t>
  </si>
  <si>
    <t>oje</t>
  </si>
  <si>
    <t>hanna</t>
  </si>
  <si>
    <t>kabel</t>
  </si>
  <si>
    <t>duke</t>
  </si>
  <si>
    <t>franz</t>
  </si>
  <si>
    <t>zahn</t>
  </si>
  <si>
    <t>landet</t>
  </si>
  <si>
    <t>kisten</t>
  </si>
  <si>
    <t>liegst</t>
  </si>
  <si>
    <t>mona</t>
  </si>
  <si>
    <t>krankenstation</t>
  </si>
  <si>
    <t>leine</t>
  </si>
  <si>
    <t>beschreibung</t>
  </si>
  <si>
    <t>ausmacht</t>
  </si>
  <si>
    <t>beschädigt</t>
  </si>
  <si>
    <t>grundstück</t>
  </si>
  <si>
    <t>steckte</t>
  </si>
  <si>
    <t>bahn</t>
  </si>
  <si>
    <t>turm</t>
  </si>
  <si>
    <t>mine</t>
  </si>
  <si>
    <t>sauerstoff</t>
  </si>
  <si>
    <t>nö</t>
  </si>
  <si>
    <t>angesichts</t>
  </si>
  <si>
    <t>ll</t>
  </si>
  <si>
    <t>versager</t>
  </si>
  <si>
    <t>deinetwegen</t>
  </si>
  <si>
    <t>vic</t>
  </si>
  <si>
    <t>angeklagt</t>
  </si>
  <si>
    <t>aufhört</t>
  </si>
  <si>
    <t>baden</t>
  </si>
  <si>
    <t>knacken</t>
  </si>
  <si>
    <t>verbindungen</t>
  </si>
  <si>
    <t>panzer</t>
  </si>
  <si>
    <t>marcel</t>
  </si>
  <si>
    <t>bach</t>
  </si>
  <si>
    <t>leiser</t>
  </si>
  <si>
    <t>stimmengewirr</t>
  </si>
  <si>
    <t>zerstörung</t>
  </si>
  <si>
    <t>stirn</t>
  </si>
  <si>
    <t>finn</t>
  </si>
  <si>
    <t>sanft</t>
  </si>
  <si>
    <t>kloster</t>
  </si>
  <si>
    <t>charmant</t>
  </si>
  <si>
    <t>aufbauen</t>
  </si>
  <si>
    <t>thanksgiving</t>
  </si>
  <si>
    <t>anlass</t>
  </si>
  <si>
    <t>zähle</t>
  </si>
  <si>
    <t>verlieben</t>
  </si>
  <si>
    <t>atmosphäre</t>
  </si>
  <si>
    <t>ronnie</t>
  </si>
  <si>
    <t>samantha</t>
  </si>
  <si>
    <t>leber</t>
  </si>
  <si>
    <t>jener</t>
  </si>
  <si>
    <t>begegnen</t>
  </si>
  <si>
    <t>dämlich</t>
  </si>
  <si>
    <t>krawatte</t>
  </si>
  <si>
    <t>juan</t>
  </si>
  <si>
    <t>tarnung</t>
  </si>
  <si>
    <t>kanada</t>
  </si>
  <si>
    <t>alpha</t>
  </si>
  <si>
    <t>baker</t>
  </si>
  <si>
    <t>tabletten</t>
  </si>
  <si>
    <t>faust</t>
  </si>
  <si>
    <t>auftreten</t>
  </si>
  <si>
    <t>monroe</t>
  </si>
  <si>
    <t>blatt</t>
  </si>
  <si>
    <t>gelöscht</t>
  </si>
  <si>
    <t>dschungel</t>
  </si>
  <si>
    <t>alison</t>
  </si>
  <si>
    <t>niedlich</t>
  </si>
  <si>
    <t>c.</t>
  </si>
  <si>
    <t>klage</t>
  </si>
  <si>
    <t>wolltet</t>
  </si>
  <si>
    <t>jonas</t>
  </si>
  <si>
    <t>akt</t>
  </si>
  <si>
    <t>schießerei</t>
  </si>
  <si>
    <t>anwältin</t>
  </si>
  <si>
    <t>überleg</t>
  </si>
  <si>
    <t>frisur</t>
  </si>
  <si>
    <t>spruch</t>
  </si>
  <si>
    <t>jene</t>
  </si>
  <si>
    <t>moral</t>
  </si>
  <si>
    <t>angelegenheiten</t>
  </si>
  <si>
    <t>dokumente</t>
  </si>
  <si>
    <t>fröhlich</t>
  </si>
  <si>
    <t>spezies</t>
  </si>
  <si>
    <t>oktober</t>
  </si>
  <si>
    <t>schachtel</t>
  </si>
  <si>
    <t>opfers</t>
  </si>
  <si>
    <t>noten</t>
  </si>
  <si>
    <t>ellie</t>
  </si>
  <si>
    <t>irgendwohin</t>
  </si>
  <si>
    <t>nora</t>
  </si>
  <si>
    <t>brunnen</t>
  </si>
  <si>
    <t>toby</t>
  </si>
  <si>
    <t>sandy</t>
  </si>
  <si>
    <t>lampe</t>
  </si>
  <si>
    <t>craig</t>
  </si>
  <si>
    <t>jagt</t>
  </si>
  <si>
    <t>eigentum</t>
  </si>
  <si>
    <t>diebstahl</t>
  </si>
  <si>
    <t>spenden</t>
  </si>
  <si>
    <t>betrieb</t>
  </si>
  <si>
    <t>gemeinsame</t>
  </si>
  <si>
    <t>absurd</t>
  </si>
  <si>
    <t>gegensatz</t>
  </si>
  <si>
    <t>frühling</t>
  </si>
  <si>
    <t>dünn</t>
  </si>
  <si>
    <t>ausland</t>
  </si>
  <si>
    <t>schultern</t>
  </si>
  <si>
    <t>entwicklung</t>
  </si>
  <si>
    <t>vergehen</t>
  </si>
  <si>
    <t>ahnen</t>
  </si>
  <si>
    <t>verbessern</t>
  </si>
  <si>
    <t>herzog</t>
  </si>
  <si>
    <t>diskussion</t>
  </si>
  <si>
    <t>gehalt</t>
  </si>
  <si>
    <t>lemon</t>
  </si>
  <si>
    <t>freak</t>
  </si>
  <si>
    <t>glocke</t>
  </si>
  <si>
    <t>forschung</t>
  </si>
  <si>
    <t>geradeaus</t>
  </si>
  <si>
    <t>fette</t>
  </si>
  <si>
    <t>iris</t>
  </si>
  <si>
    <t>rechnungen</t>
  </si>
  <si>
    <t>kasse</t>
  </si>
  <si>
    <t>tödlich</t>
  </si>
  <si>
    <t>tieren</t>
  </si>
  <si>
    <t>ian</t>
  </si>
  <si>
    <t>oberfläche</t>
  </si>
  <si>
    <t>gitarre</t>
  </si>
  <si>
    <t>bedienen</t>
  </si>
  <si>
    <t>jan</t>
  </si>
  <si>
    <t>zwang</t>
  </si>
  <si>
    <t>marsh</t>
  </si>
  <si>
    <t>politiker</t>
  </si>
  <si>
    <t>bären</t>
  </si>
  <si>
    <t>vereint</t>
  </si>
  <si>
    <t>irgendeiner</t>
  </si>
  <si>
    <t>subcentral.de</t>
  </si>
  <si>
    <t>ward</t>
  </si>
  <si>
    <t>besuche</t>
  </si>
  <si>
    <t>schreckliches</t>
  </si>
  <si>
    <t>schoss</t>
  </si>
  <si>
    <t>collins</t>
  </si>
  <si>
    <t>werkzeug</t>
  </si>
  <si>
    <t>kranken</t>
  </si>
  <si>
    <t>neffe</t>
  </si>
  <si>
    <t>sue</t>
  </si>
  <si>
    <t>dauerte</t>
  </si>
  <si>
    <t>brooklyn</t>
  </si>
  <si>
    <t>lebenden</t>
  </si>
  <si>
    <t>bevölkerung</t>
  </si>
  <si>
    <t>hergebracht</t>
  </si>
  <si>
    <t>just</t>
  </si>
  <si>
    <t>durchziehen</t>
  </si>
  <si>
    <t>gepackt</t>
  </si>
  <si>
    <t>service</t>
  </si>
  <si>
    <t>furchtbare</t>
  </si>
  <si>
    <t>liebster</t>
  </si>
  <si>
    <t>flieger</t>
  </si>
  <si>
    <t>vorschriften</t>
  </si>
  <si>
    <t>beherrschen</t>
  </si>
  <si>
    <t>guy</t>
  </si>
  <si>
    <t>detail</t>
  </si>
  <si>
    <t>ausgewählt</t>
  </si>
  <si>
    <t>herunter</t>
  </si>
  <si>
    <t>schriftsteller</t>
  </si>
  <si>
    <t>wärt</t>
  </si>
  <si>
    <t>kümmer</t>
  </si>
  <si>
    <t>andererseits</t>
  </si>
  <si>
    <t>bay</t>
  </si>
  <si>
    <t>gene</t>
  </si>
  <si>
    <t>shuttle</t>
  </si>
  <si>
    <t>üblich</t>
  </si>
  <si>
    <t>entführen</t>
  </si>
  <si>
    <t>ike</t>
  </si>
  <si>
    <t>jury</t>
  </si>
  <si>
    <t>box</t>
  </si>
  <si>
    <t>ausgedacht</t>
  </si>
  <si>
    <t>freddy</t>
  </si>
  <si>
    <t>partys</t>
  </si>
  <si>
    <t>rausgefunden</t>
  </si>
  <si>
    <t>plant</t>
  </si>
  <si>
    <t>feige</t>
  </si>
  <si>
    <t>gesungen</t>
  </si>
  <si>
    <t>möbel</t>
  </si>
  <si>
    <t>bewährung</t>
  </si>
  <si>
    <t>schieße</t>
  </si>
  <si>
    <t>umgeben</t>
  </si>
  <si>
    <t>berater</t>
  </si>
  <si>
    <t>e-mail</t>
  </si>
  <si>
    <t>bailey</t>
  </si>
  <si>
    <t>zoo</t>
  </si>
  <si>
    <t>gedicht</t>
  </si>
  <si>
    <t>lorelai</t>
  </si>
  <si>
    <t>bellt</t>
  </si>
  <si>
    <t>vorschlagen</t>
  </si>
  <si>
    <t>genießt</t>
  </si>
  <si>
    <t>baseball</t>
  </si>
  <si>
    <t>locken</t>
  </si>
  <si>
    <t>ooh</t>
  </si>
  <si>
    <t>trennung</t>
  </si>
  <si>
    <t>lautsprecher</t>
  </si>
  <si>
    <t>ticket</t>
  </si>
  <si>
    <t>umwerfend</t>
  </si>
  <si>
    <t>kanzlei</t>
  </si>
  <si>
    <t>wahres</t>
  </si>
  <si>
    <t>zufolge</t>
  </si>
  <si>
    <t>come</t>
  </si>
  <si>
    <t>hebt</t>
  </si>
  <si>
    <t>anschlag</t>
  </si>
  <si>
    <t>timing</t>
  </si>
  <si>
    <t>kid</t>
  </si>
  <si>
    <t>tucker</t>
  </si>
  <si>
    <t>befehlen</t>
  </si>
  <si>
    <t>etage</t>
  </si>
  <si>
    <t>dazwischen</t>
  </si>
  <si>
    <t>jules</t>
  </si>
  <si>
    <t>heisst</t>
  </si>
  <si>
    <t>objekt</t>
  </si>
  <si>
    <t>bedaure</t>
  </si>
  <si>
    <t>wobei</t>
  </si>
  <si>
    <t>kokain</t>
  </si>
  <si>
    <t>strategie</t>
  </si>
  <si>
    <t>freundes</t>
  </si>
  <si>
    <t>wolken</t>
  </si>
  <si>
    <t>gräfin</t>
  </si>
  <si>
    <t>bruno</t>
  </si>
  <si>
    <t>getreten</t>
  </si>
  <si>
    <t>cal</t>
  </si>
  <si>
    <t>pardon</t>
  </si>
  <si>
    <t>genosse</t>
  </si>
  <si>
    <t>ungut</t>
  </si>
  <si>
    <t>verteilen</t>
  </si>
  <si>
    <t>fuchs</t>
  </si>
  <si>
    <t>day</t>
  </si>
  <si>
    <t>organisiert</t>
  </si>
  <si>
    <t>bla</t>
  </si>
  <si>
    <t>up</t>
  </si>
  <si>
    <t>world</t>
  </si>
  <si>
    <t>east</t>
  </si>
  <si>
    <t>löcher</t>
  </si>
  <si>
    <t>aktiv</t>
  </si>
  <si>
    <t>hunter</t>
  </si>
  <si>
    <t>werfe</t>
  </si>
  <si>
    <t>beantwortet</t>
  </si>
  <si>
    <t>meist</t>
  </si>
  <si>
    <t>reis</t>
  </si>
  <si>
    <t>hierhin</t>
  </si>
  <si>
    <t>scotch</t>
  </si>
  <si>
    <t>überfahren</t>
  </si>
  <si>
    <t>logisch</t>
  </si>
  <si>
    <t>heather</t>
  </si>
  <si>
    <t>französische</t>
  </si>
  <si>
    <t>bekannte</t>
  </si>
  <si>
    <t>episode</t>
  </si>
  <si>
    <t>engagiert</t>
  </si>
  <si>
    <t>manipuliert</t>
  </si>
  <si>
    <t>zellen</t>
  </si>
  <si>
    <t>are</t>
  </si>
  <si>
    <t>blake</t>
  </si>
  <si>
    <t>dienste</t>
  </si>
  <si>
    <t>sodass</t>
  </si>
  <si>
    <t>volkes</t>
  </si>
  <si>
    <t>golf</t>
  </si>
  <si>
    <t>janet</t>
  </si>
  <si>
    <t>schmeißen</t>
  </si>
  <si>
    <t>grand</t>
  </si>
  <si>
    <t>zurückgekehrt</t>
  </si>
  <si>
    <t>eröffnet</t>
  </si>
  <si>
    <t>summt</t>
  </si>
  <si>
    <t>unterrichten</t>
  </si>
  <si>
    <t>verschaffen</t>
  </si>
  <si>
    <t>verlobte</t>
  </si>
  <si>
    <t>erfahrungen</t>
  </si>
  <si>
    <t>shit</t>
  </si>
  <si>
    <t>persönlichkeit</t>
  </si>
  <si>
    <t>gina</t>
  </si>
  <si>
    <t>streichen</t>
  </si>
  <si>
    <t>offenen</t>
  </si>
  <si>
    <t>weisheit</t>
  </si>
  <si>
    <t>vergeht</t>
  </si>
  <si>
    <t>beruhig</t>
  </si>
  <si>
    <t>zielen</t>
  </si>
  <si>
    <t>fans</t>
  </si>
  <si>
    <t>wüsstest</t>
  </si>
  <si>
    <t>ashley</t>
  </si>
  <si>
    <t>schuldet</t>
  </si>
  <si>
    <t>erhöhen</t>
  </si>
  <si>
    <t>schönsten</t>
  </si>
  <si>
    <t>momente</t>
  </si>
  <si>
    <t>adrian</t>
  </si>
  <si>
    <t>kameraden</t>
  </si>
  <si>
    <t>eingebrochen</t>
  </si>
  <si>
    <t>amüsiert</t>
  </si>
  <si>
    <t>erwähnte</t>
  </si>
  <si>
    <t>mitch</t>
  </si>
  <si>
    <t>premierminister</t>
  </si>
  <si>
    <t>geringste</t>
  </si>
  <si>
    <t>übernachten</t>
  </si>
  <si>
    <t>infiziert</t>
  </si>
  <si>
    <t>goa</t>
  </si>
  <si>
    <t>dinner</t>
  </si>
  <si>
    <t>rieche</t>
  </si>
  <si>
    <t>kredit</t>
  </si>
  <si>
    <t>allison</t>
  </si>
  <si>
    <t>lake</t>
  </si>
  <si>
    <t>legal</t>
  </si>
  <si>
    <t>merke</t>
  </si>
  <si>
    <t>jubel</t>
  </si>
  <si>
    <t>klänge</t>
  </si>
  <si>
    <t>größeren</t>
  </si>
  <si>
    <t>bewacht</t>
  </si>
  <si>
    <t>vietnam</t>
  </si>
  <si>
    <t>lehren</t>
  </si>
  <si>
    <t>chandler</t>
  </si>
  <si>
    <t>präsentieren</t>
  </si>
  <si>
    <t>nacken</t>
  </si>
  <si>
    <t>auflegen</t>
  </si>
  <si>
    <t>vergangen</t>
  </si>
  <si>
    <t>fangt</t>
  </si>
  <si>
    <t>hühner</t>
  </si>
  <si>
    <t>hector</t>
  </si>
  <si>
    <t>teal</t>
  </si>
  <si>
    <t>sprengen</t>
  </si>
  <si>
    <t>einsperren</t>
  </si>
  <si>
    <t>turner</t>
  </si>
  <si>
    <t>zusammenhang</t>
  </si>
  <si>
    <t>wahrer</t>
  </si>
  <si>
    <t>joan</t>
  </si>
  <si>
    <t>marco</t>
  </si>
  <si>
    <t>breit</t>
  </si>
  <si>
    <t>pfeife</t>
  </si>
  <si>
    <t>treibst</t>
  </si>
  <si>
    <t>rannte</t>
  </si>
  <si>
    <t>beschuldigt</t>
  </si>
  <si>
    <t>set</t>
  </si>
  <si>
    <t>verlegt</t>
  </si>
  <si>
    <t>überraschungen</t>
  </si>
  <si>
    <t>orleans</t>
  </si>
  <si>
    <t>douglas</t>
  </si>
  <si>
    <t>tauchen</t>
  </si>
  <si>
    <t>verdanken</t>
  </si>
  <si>
    <t>nadel</t>
  </si>
  <si>
    <t>psst</t>
  </si>
  <si>
    <t>gelacht</t>
  </si>
  <si>
    <t>apfel</t>
  </si>
  <si>
    <t>behilflich</t>
  </si>
  <si>
    <t>dreckskerl</t>
  </si>
  <si>
    <t>mitgefühl</t>
  </si>
  <si>
    <t>wichtigsten</t>
  </si>
  <si>
    <t>krieges</t>
  </si>
  <si>
    <t>wehe</t>
  </si>
  <si>
    <t>hope</t>
  </si>
  <si>
    <t>heirat</t>
  </si>
  <si>
    <t>exakt</t>
  </si>
  <si>
    <t>widerstehen</t>
  </si>
  <si>
    <t>höchst</t>
  </si>
  <si>
    <t>zurückgelassen</t>
  </si>
  <si>
    <t>gespürt</t>
  </si>
  <si>
    <t>methoden</t>
  </si>
  <si>
    <t>interessantes</t>
  </si>
  <si>
    <t>sau</t>
  </si>
  <si>
    <t>notaufnahme</t>
  </si>
  <si>
    <t>verwandten</t>
  </si>
  <si>
    <t>jeffrey</t>
  </si>
  <si>
    <t>trinkgeld</t>
  </si>
  <si>
    <t>ermitteln</t>
  </si>
  <si>
    <t>riechst</t>
  </si>
  <si>
    <t>beach</t>
  </si>
  <si>
    <t>sorte</t>
  </si>
  <si>
    <t>kartoffeln</t>
  </si>
  <si>
    <t>bo</t>
  </si>
  <si>
    <t>elefanten</t>
  </si>
  <si>
    <t>sichere</t>
  </si>
  <si>
    <t>sämtliche</t>
  </si>
  <si>
    <t>gekündigt</t>
  </si>
  <si>
    <t>vereinbarung</t>
  </si>
  <si>
    <t>harmlos</t>
  </si>
  <si>
    <t>weiber</t>
  </si>
  <si>
    <t>this</t>
  </si>
  <si>
    <t>dicken</t>
  </si>
  <si>
    <t>rauskommt</t>
  </si>
  <si>
    <t>old</t>
  </si>
  <si>
    <t>angestellten</t>
  </si>
  <si>
    <t>datum</t>
  </si>
  <si>
    <t>bezug</t>
  </si>
  <si>
    <t>kerzen</t>
  </si>
  <si>
    <t>lawrence</t>
  </si>
  <si>
    <t>marsch</t>
  </si>
  <si>
    <t>benötigt</t>
  </si>
  <si>
    <t>ermittlung</t>
  </si>
  <si>
    <t>lagen</t>
  </si>
  <si>
    <t>unbekannt</t>
  </si>
  <si>
    <t>gefressen</t>
  </si>
  <si>
    <t>brett</t>
  </si>
  <si>
    <t>manieren</t>
  </si>
  <si>
    <t>han</t>
  </si>
  <si>
    <t>enthält</t>
  </si>
  <si>
    <t>anfing</t>
  </si>
  <si>
    <t>kümmerst</t>
  </si>
  <si>
    <t>berühmte</t>
  </si>
  <si>
    <t>schwieriger</t>
  </si>
  <si>
    <t>piloten</t>
  </si>
  <si>
    <t>scherze</t>
  </si>
  <si>
    <t>anfängt</t>
  </si>
  <si>
    <t>läufst</t>
  </si>
  <si>
    <t>bekannten</t>
  </si>
  <si>
    <t>rasen</t>
  </si>
  <si>
    <t>empfehlen</t>
  </si>
  <si>
    <t>härter</t>
  </si>
  <si>
    <t>geweckt</t>
  </si>
  <si>
    <t>befördert</t>
  </si>
  <si>
    <t>reiter</t>
  </si>
  <si>
    <t>empfinden</t>
  </si>
  <si>
    <t>j</t>
  </si>
  <si>
    <t>bereite</t>
  </si>
  <si>
    <t>täte</t>
  </si>
  <si>
    <t>benutzte</t>
  </si>
  <si>
    <t>halloween</t>
  </si>
  <si>
    <t>abgesagt</t>
  </si>
  <si>
    <t>down</t>
  </si>
  <si>
    <t>quasi</t>
  </si>
  <si>
    <t>kocht</t>
  </si>
  <si>
    <t>reingekommen</t>
  </si>
  <si>
    <t>hupen</t>
  </si>
  <si>
    <t>hinunter</t>
  </si>
  <si>
    <t>vorüber</t>
  </si>
  <si>
    <t>ausdrücken</t>
  </si>
  <si>
    <t>reese</t>
  </si>
  <si>
    <t>elliot</t>
  </si>
  <si>
    <t>perfekten</t>
  </si>
  <si>
    <t>folgte</t>
  </si>
  <si>
    <t>rebellen</t>
  </si>
  <si>
    <t>di</t>
  </si>
  <si>
    <t>hauptsächlich</t>
  </si>
  <si>
    <t>schuppen</t>
  </si>
  <si>
    <t>braver</t>
  </si>
  <si>
    <t>neill</t>
  </si>
  <si>
    <t>zwanzig</t>
  </si>
  <si>
    <t>berichtet</t>
  </si>
  <si>
    <t>einrichtung</t>
  </si>
  <si>
    <t>november</t>
  </si>
  <si>
    <t>sensoren</t>
  </si>
  <si>
    <t>korrigiert</t>
  </si>
  <si>
    <t>houston</t>
  </si>
  <si>
    <t>richie</t>
  </si>
  <si>
    <t>verdächtig</t>
  </si>
  <si>
    <t>legst</t>
  </si>
  <si>
    <t>aufgebracht</t>
  </si>
  <si>
    <t>alternative</t>
  </si>
  <si>
    <t>experte</t>
  </si>
  <si>
    <t>ferne</t>
  </si>
  <si>
    <t>prinzip</t>
  </si>
  <si>
    <t>holte</t>
  </si>
  <si>
    <t>richte</t>
  </si>
  <si>
    <t>donald</t>
  </si>
  <si>
    <t>weisen</t>
  </si>
  <si>
    <t>ozean</t>
  </si>
  <si>
    <t>gelungen</t>
  </si>
  <si>
    <t>natalie</t>
  </si>
  <si>
    <t>esther</t>
  </si>
  <si>
    <t>abschaum</t>
  </si>
  <si>
    <t>stevie</t>
  </si>
  <si>
    <t>überwacht</t>
  </si>
  <si>
    <t>schwierige</t>
  </si>
  <si>
    <t>ausgedrückt</t>
  </si>
  <si>
    <t>hastings</t>
  </si>
  <si>
    <t>notruf</t>
  </si>
  <si>
    <t>riss</t>
  </si>
  <si>
    <t>bremsen</t>
  </si>
  <si>
    <t>häufig</t>
  </si>
  <si>
    <t>aktivieren</t>
  </si>
  <si>
    <t>lloyd</t>
  </si>
  <si>
    <t>anstrengend</t>
  </si>
  <si>
    <t>antwortet</t>
  </si>
  <si>
    <t>ais</t>
  </si>
  <si>
    <t>verschwörung</t>
  </si>
  <si>
    <t>kellner</t>
  </si>
  <si>
    <t>startet</t>
  </si>
  <si>
    <t>franklin</t>
  </si>
  <si>
    <t>andermal</t>
  </si>
  <si>
    <t>humphrey</t>
  </si>
  <si>
    <t>evan</t>
  </si>
  <si>
    <t>lkw</t>
  </si>
  <si>
    <t>erhält</t>
  </si>
  <si>
    <t>schmeißt</t>
  </si>
  <si>
    <t>fürst</t>
  </si>
  <si>
    <t>carson</t>
  </si>
  <si>
    <t>perry</t>
  </si>
  <si>
    <t>küsse</t>
  </si>
  <si>
    <t>gebet</t>
  </si>
  <si>
    <t>miranda</t>
  </si>
  <si>
    <t>melancholische</t>
  </si>
  <si>
    <t>räume</t>
  </si>
  <si>
    <t>riskiert</t>
  </si>
  <si>
    <t>verhindert</t>
  </si>
  <si>
    <t>ausrede</t>
  </si>
  <si>
    <t>darling</t>
  </si>
  <si>
    <t>tüte</t>
  </si>
  <si>
    <t>manhattan</t>
  </si>
  <si>
    <t>operiert</t>
  </si>
  <si>
    <t>unfassbar</t>
  </si>
  <si>
    <t>herrin</t>
  </si>
  <si>
    <t>hergestellt</t>
  </si>
  <si>
    <t>lila</t>
  </si>
  <si>
    <t>gerichtet</t>
  </si>
  <si>
    <t>fordern</t>
  </si>
  <si>
    <t>fischen</t>
  </si>
  <si>
    <t>kriminelle</t>
  </si>
  <si>
    <t>jenem</t>
  </si>
  <si>
    <t>verschafft</t>
  </si>
  <si>
    <t>dezember</t>
  </si>
  <si>
    <t>anspruch</t>
  </si>
  <si>
    <t>räuspert</t>
  </si>
  <si>
    <t>sid</t>
  </si>
  <si>
    <t>unsichtbar</t>
  </si>
  <si>
    <t>keith</t>
  </si>
  <si>
    <t>seth</t>
  </si>
  <si>
    <t>ersetzt</t>
  </si>
  <si>
    <t>ruby</t>
  </si>
  <si>
    <t>handtuch</t>
  </si>
  <si>
    <t>yang</t>
  </si>
  <si>
    <t>dale</t>
  </si>
  <si>
    <t>blödes</t>
  </si>
  <si>
    <t>doof</t>
  </si>
  <si>
    <t>wertvoll</t>
  </si>
  <si>
    <t>kardinal</t>
  </si>
  <si>
    <t>jefferson</t>
  </si>
  <si>
    <t>kommunikation</t>
  </si>
  <si>
    <t>operieren</t>
  </si>
  <si>
    <t>problemen</t>
  </si>
  <si>
    <t>aliens</t>
  </si>
  <si>
    <t>cameron</t>
  </si>
  <si>
    <t>erik</t>
  </si>
  <si>
    <t>erkannte</t>
  </si>
  <si>
    <t>river</t>
  </si>
  <si>
    <t>loszuwerden</t>
  </si>
  <si>
    <t>unnötig</t>
  </si>
  <si>
    <t>begleite</t>
  </si>
  <si>
    <t>analyse</t>
  </si>
  <si>
    <t>hochzeitstag</t>
  </si>
  <si>
    <t>melodie</t>
  </si>
  <si>
    <t>wehren</t>
  </si>
  <si>
    <t>pablo</t>
  </si>
  <si>
    <t>romantische</t>
  </si>
  <si>
    <t>zurückrufen</t>
  </si>
  <si>
    <t>rente</t>
  </si>
  <si>
    <t>zeremonie</t>
  </si>
  <si>
    <t>platte</t>
  </si>
  <si>
    <t>now</t>
  </si>
  <si>
    <t>ersatz</t>
  </si>
  <si>
    <t>mütze</t>
  </si>
  <si>
    <t>veränderungen</t>
  </si>
  <si>
    <t>zeugin</t>
  </si>
  <si>
    <t>rührt</t>
  </si>
  <si>
    <t>versichert</t>
  </si>
  <si>
    <t>teilt</t>
  </si>
  <si>
    <t>russisch</t>
  </si>
  <si>
    <t>wundervolle</t>
  </si>
  <si>
    <t>willy</t>
  </si>
  <si>
    <t>wiederhören</t>
  </si>
  <si>
    <t>passagiere</t>
  </si>
  <si>
    <t>diebe</t>
  </si>
  <si>
    <t>guckst</t>
  </si>
  <si>
    <t>fließt</t>
  </si>
  <si>
    <t>elend</t>
  </si>
  <si>
    <t>andauernd</t>
  </si>
  <si>
    <t>nicky</t>
  </si>
  <si>
    <t>ungeheuer</t>
  </si>
  <si>
    <t>fit</t>
  </si>
  <si>
    <t>zeitverschwendung</t>
  </si>
  <si>
    <t>ansicht</t>
  </si>
  <si>
    <t>gefährliche</t>
  </si>
  <si>
    <t>bell</t>
  </si>
  <si>
    <t>vierte</t>
  </si>
  <si>
    <t>verbrachte</t>
  </si>
  <si>
    <t>zentimeter</t>
  </si>
  <si>
    <t>trete</t>
  </si>
  <si>
    <t>politische</t>
  </si>
  <si>
    <t>interessen</t>
  </si>
  <si>
    <t>anlage</t>
  </si>
  <si>
    <t>anderson</t>
  </si>
  <si>
    <t>autounfall</t>
  </si>
  <si>
    <t>gefangener</t>
  </si>
  <si>
    <t>aufstand</t>
  </si>
  <si>
    <t>schafe</t>
  </si>
  <si>
    <t>absolute</t>
  </si>
  <si>
    <t>kontakte</t>
  </si>
  <si>
    <t>trip</t>
  </si>
  <si>
    <t>notizen</t>
  </si>
  <si>
    <t>ausgegeben</t>
  </si>
  <si>
    <t>versorgt</t>
  </si>
  <si>
    <t>gnaden</t>
  </si>
  <si>
    <t>piraten</t>
  </si>
  <si>
    <t>eli</t>
  </si>
  <si>
    <t>stuart</t>
  </si>
  <si>
    <t>sowohl</t>
  </si>
  <si>
    <t>muskeln</t>
  </si>
  <si>
    <t>unwahrscheinlich</t>
  </si>
  <si>
    <t>steak</t>
  </si>
  <si>
    <t>japaner</t>
  </si>
  <si>
    <t>spritze</t>
  </si>
  <si>
    <t>there</t>
  </si>
  <si>
    <t>fesseln</t>
  </si>
  <si>
    <t>umarmen</t>
  </si>
  <si>
    <t>loser</t>
  </si>
  <si>
    <t>begleitet</t>
  </si>
  <si>
    <t>früheren</t>
  </si>
  <si>
    <t>ally</t>
  </si>
  <si>
    <t>wacht</t>
  </si>
  <si>
    <t>morden</t>
  </si>
  <si>
    <t>eingefallen</t>
  </si>
  <si>
    <t>fox</t>
  </si>
  <si>
    <t>schneide</t>
  </si>
  <si>
    <t>weiten</t>
  </si>
  <si>
    <t>times</t>
  </si>
  <si>
    <t>musiker</t>
  </si>
  <si>
    <t>reichweite</t>
  </si>
  <si>
    <t>hood</t>
  </si>
  <si>
    <t>maya</t>
  </si>
  <si>
    <t>handys</t>
  </si>
  <si>
    <t>öffentlichen</t>
  </si>
  <si>
    <t>beleidigen</t>
  </si>
  <si>
    <t>russischen</t>
  </si>
  <si>
    <t>gabriel</t>
  </si>
  <si>
    <t>glenn</t>
  </si>
  <si>
    <t>erschien</t>
  </si>
  <si>
    <t>romeo</t>
  </si>
  <si>
    <t>wünsch</t>
  </si>
  <si>
    <t>schach</t>
  </si>
  <si>
    <t>explodieren</t>
  </si>
  <si>
    <t>kater</t>
  </si>
  <si>
    <t>wundern</t>
  </si>
  <si>
    <t>französischen</t>
  </si>
  <si>
    <t>thompson</t>
  </si>
  <si>
    <t>habs</t>
  </si>
  <si>
    <t>beeinflussen</t>
  </si>
  <si>
    <t>heult</t>
  </si>
  <si>
    <t>hinfahren</t>
  </si>
  <si>
    <t>bedingung</t>
  </si>
  <si>
    <t>empfinde</t>
  </si>
  <si>
    <t>top</t>
  </si>
  <si>
    <t>gemocht</t>
  </si>
  <si>
    <t>heran</t>
  </si>
  <si>
    <t>stella</t>
  </si>
  <si>
    <t>ärgern</t>
  </si>
  <si>
    <t>klingst</t>
  </si>
  <si>
    <t>konkurrenz</t>
  </si>
  <si>
    <t>erfordert</t>
  </si>
  <si>
    <t>mädchens</t>
  </si>
  <si>
    <t>unsicher</t>
  </si>
  <si>
    <t>festung</t>
  </si>
  <si>
    <t>runden</t>
  </si>
  <si>
    <t>detektiv</t>
  </si>
  <si>
    <t>pastor</t>
  </si>
  <si>
    <t>kratzer</t>
  </si>
  <si>
    <t>junges</t>
  </si>
  <si>
    <t>melissa</t>
  </si>
  <si>
    <t>gruselig</t>
  </si>
  <si>
    <t>flugzeuge</t>
  </si>
  <si>
    <t>durchgeführt</t>
  </si>
  <si>
    <t>intelligenz</t>
  </si>
  <si>
    <t>stieg</t>
  </si>
  <si>
    <t>zugestimmt</t>
  </si>
  <si>
    <t>mutti</t>
  </si>
  <si>
    <t>genieße</t>
  </si>
  <si>
    <t>schützt</t>
  </si>
  <si>
    <t>rückzug</t>
  </si>
  <si>
    <t>konzentriert</t>
  </si>
  <si>
    <t>schäme</t>
  </si>
  <si>
    <t>reserviert</t>
  </si>
  <si>
    <t>goldenen</t>
  </si>
  <si>
    <t>bude</t>
  </si>
  <si>
    <t>metall</t>
  </si>
  <si>
    <t>kane</t>
  </si>
  <si>
    <t>jacques</t>
  </si>
  <si>
    <t>nüchtern</t>
  </si>
  <si>
    <t>absichten</t>
  </si>
  <si>
    <t>south</t>
  </si>
  <si>
    <t>handschuhe</t>
  </si>
  <si>
    <t>erschießt</t>
  </si>
  <si>
    <t>arrangiert</t>
  </si>
  <si>
    <t>verwundet</t>
  </si>
  <si>
    <t>debbie</t>
  </si>
  <si>
    <t>bates</t>
  </si>
  <si>
    <t>anfühlt</t>
  </si>
  <si>
    <t>drückt</t>
  </si>
  <si>
    <t>absagen</t>
  </si>
  <si>
    <t>behalt</t>
  </si>
  <si>
    <t>einiger</t>
  </si>
  <si>
    <t>russische</t>
  </si>
  <si>
    <t>beeindrucken</t>
  </si>
  <si>
    <t>düstere</t>
  </si>
  <si>
    <t>geschäftlich</t>
  </si>
  <si>
    <t>egoistisch</t>
  </si>
  <si>
    <t>mario</t>
  </si>
  <si>
    <t>rocky</t>
  </si>
  <si>
    <t>ranch</t>
  </si>
  <si>
    <t>pat</t>
  </si>
  <si>
    <t>gerücht</t>
  </si>
  <si>
    <t>jen</t>
  </si>
  <si>
    <t>temperatur</t>
  </si>
  <si>
    <t>weggenommen</t>
  </si>
  <si>
    <t>tickets</t>
  </si>
  <si>
    <t>li</t>
  </si>
  <si>
    <t>ablenken</t>
  </si>
  <si>
    <t>verletzung</t>
  </si>
  <si>
    <t>anwesend</t>
  </si>
  <si>
    <t>umlegen</t>
  </si>
  <si>
    <t>einfachen</t>
  </si>
  <si>
    <t>gehorchen</t>
  </si>
  <si>
    <t>gemalt</t>
  </si>
  <si>
    <t>duncan</t>
  </si>
  <si>
    <t>räuber</t>
  </si>
  <si>
    <t>adler</t>
  </si>
  <si>
    <t>süßigkeiten</t>
  </si>
  <si>
    <t>lunge</t>
  </si>
  <si>
    <t>zurückziehen</t>
  </si>
  <si>
    <t>wyatt</t>
  </si>
  <si>
    <t>sonnenuntergang</t>
  </si>
  <si>
    <t>oper</t>
  </si>
  <si>
    <t>agentur</t>
  </si>
  <si>
    <t>kühe</t>
  </si>
  <si>
    <t>aufräumen</t>
  </si>
  <si>
    <t>krach</t>
  </si>
  <si>
    <t>sharon</t>
  </si>
  <si>
    <t>ablehnen</t>
  </si>
  <si>
    <t>graham</t>
  </si>
  <si>
    <t>pfeil</t>
  </si>
  <si>
    <t>unbekannte</t>
  </si>
  <si>
    <t>aussprechen</t>
  </si>
  <si>
    <t>route</t>
  </si>
  <si>
    <t>emotional</t>
  </si>
  <si>
    <t>belästigen</t>
  </si>
  <si>
    <t>kälte</t>
  </si>
  <si>
    <t>sektor</t>
  </si>
  <si>
    <t>blockiert</t>
  </si>
  <si>
    <t>öffentliche</t>
  </si>
  <si>
    <t>schweden</t>
  </si>
  <si>
    <t>gates</t>
  </si>
  <si>
    <t>häuptling</t>
  </si>
  <si>
    <t>märz</t>
  </si>
  <si>
    <t>nummern</t>
  </si>
  <si>
    <t>dar</t>
  </si>
  <si>
    <t>irrst</t>
  </si>
  <si>
    <t>leite</t>
  </si>
  <si>
    <t>frosch</t>
  </si>
  <si>
    <t>vorübergehend</t>
  </si>
  <si>
    <t>büchern</t>
  </si>
  <si>
    <t>mick</t>
  </si>
  <si>
    <t>miese</t>
  </si>
  <si>
    <t>anfangs</t>
  </si>
  <si>
    <t>verwandt</t>
  </si>
  <si>
    <t>gefährdet</t>
  </si>
  <si>
    <t>cola</t>
  </si>
  <si>
    <t>falscher</t>
  </si>
  <si>
    <t>kara</t>
  </si>
  <si>
    <t>verängstigt</t>
  </si>
  <si>
    <t>quellen</t>
  </si>
  <si>
    <t>republik</t>
  </si>
  <si>
    <t>f</t>
  </si>
  <si>
    <t>us</t>
  </si>
  <si>
    <t>silber</t>
  </si>
  <si>
    <t>aß</t>
  </si>
  <si>
    <t>umschlag</t>
  </si>
  <si>
    <t>freust</t>
  </si>
  <si>
    <t>hinsicht</t>
  </si>
  <si>
    <t>ereignis</t>
  </si>
  <si>
    <t>beschissene</t>
  </si>
  <si>
    <t>vergraben</t>
  </si>
  <si>
    <t>gebunden</t>
  </si>
  <si>
    <t>marion</t>
  </si>
  <si>
    <t>ente</t>
  </si>
  <si>
    <t>gläser</t>
  </si>
  <si>
    <t>kommentar</t>
  </si>
  <si>
    <t>doppelte</t>
  </si>
  <si>
    <t>boris</t>
  </si>
  <si>
    <t>sanfte</t>
  </si>
  <si>
    <t>gibbs</t>
  </si>
  <si>
    <t>lola</t>
  </si>
  <si>
    <t>buck</t>
  </si>
  <si>
    <t>zivilisation</t>
  </si>
  <si>
    <t>tiefen</t>
  </si>
  <si>
    <t>reicher</t>
  </si>
  <si>
    <t>verhaftung</t>
  </si>
  <si>
    <t>meldung</t>
  </si>
  <si>
    <t>bohnen</t>
  </si>
  <si>
    <t>pfeifen</t>
  </si>
  <si>
    <t>hall</t>
  </si>
  <si>
    <t>leon</t>
  </si>
  <si>
    <t>raketen</t>
  </si>
  <si>
    <t>gutem</t>
  </si>
  <si>
    <t>versetzen</t>
  </si>
  <si>
    <t>ziege</t>
  </si>
  <si>
    <t>löwe</t>
  </si>
  <si>
    <t>cat</t>
  </si>
  <si>
    <t>central</t>
  </si>
  <si>
    <t>tötest</t>
  </si>
  <si>
    <t>pierce</t>
  </si>
  <si>
    <t>privatsphäre</t>
  </si>
  <si>
    <t>j.</t>
  </si>
  <si>
    <t>büßen</t>
  </si>
  <si>
    <t>kalten</t>
  </si>
  <si>
    <t>eid</t>
  </si>
  <si>
    <t>burschen</t>
  </si>
  <si>
    <t>zweit</t>
  </si>
  <si>
    <t>unterscheiden</t>
  </si>
  <si>
    <t>gerechnet</t>
  </si>
  <si>
    <t>telegramm</t>
  </si>
  <si>
    <t>sprecht</t>
  </si>
  <si>
    <t>babysitter</t>
  </si>
  <si>
    <t>pfad</t>
  </si>
  <si>
    <t>getanzt</t>
  </si>
  <si>
    <t>mafia</t>
  </si>
  <si>
    <t>verteidigt</t>
  </si>
  <si>
    <t>abschalten</t>
  </si>
  <si>
    <t>wellen</t>
  </si>
  <si>
    <t>besoffen</t>
  </si>
  <si>
    <t>diensten</t>
  </si>
  <si>
    <t>abschließen</t>
  </si>
  <si>
    <t>angehalten</t>
  </si>
  <si>
    <t>doyle</t>
  </si>
  <si>
    <t>assistent</t>
  </si>
  <si>
    <t>ketten</t>
  </si>
  <si>
    <t>reist</t>
  </si>
  <si>
    <t>merkst</t>
  </si>
  <si>
    <t>bot</t>
  </si>
  <si>
    <t>gwen</t>
  </si>
  <si>
    <t>inwiefern</t>
  </si>
  <si>
    <t>pille</t>
  </si>
  <si>
    <t>bock</t>
  </si>
  <si>
    <t>korb</t>
  </si>
  <si>
    <t>herrschaften</t>
  </si>
  <si>
    <t>en</t>
  </si>
  <si>
    <t>bedauern</t>
  </si>
  <si>
    <t>angefasst</t>
  </si>
  <si>
    <t>heißer</t>
  </si>
  <si>
    <t>aufrichtig</t>
  </si>
  <si>
    <t>conrad</t>
  </si>
  <si>
    <t>versorgen</t>
  </si>
  <si>
    <t>sperren</t>
  </si>
  <si>
    <t>naiv</t>
  </si>
  <si>
    <t>mauern</t>
  </si>
  <si>
    <t>hugo</t>
  </si>
  <si>
    <t>erweisen</t>
  </si>
  <si>
    <t>zurücklassen</t>
  </si>
  <si>
    <t>samurai</t>
  </si>
  <si>
    <t>hoffnungen</t>
  </si>
  <si>
    <t>feststellen</t>
  </si>
  <si>
    <t>finch</t>
  </si>
  <si>
    <t>mandanten</t>
  </si>
  <si>
    <t>quartier</t>
  </si>
  <si>
    <t>philippe</t>
  </si>
  <si>
    <t>neidisch</t>
  </si>
  <si>
    <t>alicia</t>
  </si>
  <si>
    <t>chips</t>
  </si>
  <si>
    <t>zugelassen</t>
  </si>
  <si>
    <t>weibliche</t>
  </si>
  <si>
    <t>schlauer</t>
  </si>
  <si>
    <t>vorwürfe</t>
  </si>
  <si>
    <t>aushalten</t>
  </si>
  <si>
    <t>einschlafen</t>
  </si>
  <si>
    <t>transport</t>
  </si>
  <si>
    <t>laptop</t>
  </si>
  <si>
    <t>arrangieren</t>
  </si>
  <si>
    <t>städte</t>
  </si>
  <si>
    <t>vorzustellen</t>
  </si>
  <si>
    <t>unterm</t>
  </si>
  <si>
    <t>flash</t>
  </si>
  <si>
    <t>u-bahn</t>
  </si>
  <si>
    <t>status</t>
  </si>
  <si>
    <t>bond</t>
  </si>
  <si>
    <t>stephanie</t>
  </si>
  <si>
    <t>zweifellos</t>
  </si>
  <si>
    <t>rückwärts</t>
  </si>
  <si>
    <t>chffff00</t>
  </si>
  <si>
    <t>skandal</t>
  </si>
  <si>
    <t>angebracht</t>
  </si>
  <si>
    <t>pressen</t>
  </si>
  <si>
    <t>tschuldigung</t>
  </si>
  <si>
    <t>papierkram</t>
  </si>
  <si>
    <t>trat</t>
  </si>
  <si>
    <t>gemeinschaft</t>
  </si>
  <si>
    <t>instinkt</t>
  </si>
  <si>
    <t>flitterwochen</t>
  </si>
  <si>
    <t>narbe</t>
  </si>
  <si>
    <t>kombination</t>
  </si>
  <si>
    <t>vorgesetzten</t>
  </si>
  <si>
    <t>ausprobieren</t>
  </si>
  <si>
    <t>solcher</t>
  </si>
  <si>
    <t>sexuelle</t>
  </si>
  <si>
    <t>geliebter</t>
  </si>
  <si>
    <t>julien</t>
  </si>
  <si>
    <t>lauren</t>
  </si>
  <si>
    <t>ignoriert</t>
  </si>
  <si>
    <t>leslie</t>
  </si>
  <si>
    <t>zogen</t>
  </si>
  <si>
    <t>zahnarzt</t>
  </si>
  <si>
    <t>gelitten</t>
  </si>
  <si>
    <t>zutritt</t>
  </si>
  <si>
    <t>vergewaltigung</t>
  </si>
  <si>
    <t>drehe</t>
  </si>
  <si>
    <t>ertrage</t>
  </si>
  <si>
    <t>andern</t>
  </si>
  <si>
    <t>streich</t>
  </si>
  <si>
    <t>kichert</t>
  </si>
  <si>
    <t>sternenflotte</t>
  </si>
  <si>
    <t>kreaturen</t>
  </si>
  <si>
    <t>reif</t>
  </si>
  <si>
    <t>übermorgen</t>
  </si>
  <si>
    <t>dicker</t>
  </si>
  <si>
    <t>got</t>
  </si>
  <si>
    <t>nest</t>
  </si>
  <si>
    <t>but</t>
  </si>
  <si>
    <t>angerichtet</t>
  </si>
  <si>
    <t>verklagen</t>
  </si>
  <si>
    <t>helm</t>
  </si>
  <si>
    <t>bingo</t>
  </si>
  <si>
    <t>vergleichen</t>
  </si>
  <si>
    <t>schweiz</t>
  </si>
  <si>
    <t>bemerken</t>
  </si>
  <si>
    <t>herbst</t>
  </si>
  <si>
    <t>meredith</t>
  </si>
  <si>
    <t>zurückholen</t>
  </si>
  <si>
    <t>nazis</t>
  </si>
  <si>
    <t>stamm</t>
  </si>
  <si>
    <t>auswahl</t>
  </si>
  <si>
    <t>braves</t>
  </si>
  <si>
    <t>sichergehen</t>
  </si>
  <si>
    <t>antreten</t>
  </si>
  <si>
    <t>lester</t>
  </si>
  <si>
    <t>vorstand</t>
  </si>
  <si>
    <t>sdi</t>
  </si>
  <si>
    <t>robbie</t>
  </si>
  <si>
    <t>organisieren</t>
  </si>
  <si>
    <t>tank</t>
  </si>
  <si>
    <t>let</t>
  </si>
  <si>
    <t>besprechung</t>
  </si>
  <si>
    <t>studium</t>
  </si>
  <si>
    <t>gossip</t>
  </si>
  <si>
    <t>kreditkarte</t>
  </si>
  <si>
    <t>schwuchtel</t>
  </si>
  <si>
    <t>profil</t>
  </si>
  <si>
    <t>donner</t>
  </si>
  <si>
    <t>drake</t>
  </si>
  <si>
    <t>schrecken</t>
  </si>
  <si>
    <t>stall</t>
  </si>
  <si>
    <t>saßen</t>
  </si>
  <si>
    <t>quitt</t>
  </si>
  <si>
    <t>hotels</t>
  </si>
  <si>
    <t>respektiere</t>
  </si>
  <si>
    <t>kandidaten</t>
  </si>
  <si>
    <t>schulen</t>
  </si>
  <si>
    <t>crane</t>
  </si>
  <si>
    <t>geschäftsmann</t>
  </si>
  <si>
    <t>arnold</t>
  </si>
  <si>
    <t>läutet</t>
  </si>
  <si>
    <t>lachst</t>
  </si>
  <si>
    <t>champion</t>
  </si>
  <si>
    <t>unverständlich</t>
  </si>
  <si>
    <t>ermorden</t>
  </si>
  <si>
    <t>betracht</t>
  </si>
  <si>
    <t>schadet</t>
  </si>
  <si>
    <t>fester</t>
  </si>
  <si>
    <t>aah</t>
  </si>
  <si>
    <t>rühren</t>
  </si>
  <si>
    <t>geregelt</t>
  </si>
  <si>
    <t>unterbrochen</t>
  </si>
  <si>
    <t>angesicht</t>
  </si>
  <si>
    <t>kriminellen</t>
  </si>
  <si>
    <t>when</t>
  </si>
  <si>
    <t>helena</t>
  </si>
  <si>
    <t>einzelheiten</t>
  </si>
  <si>
    <t>anlügen</t>
  </si>
  <si>
    <t>beschütze</t>
  </si>
  <si>
    <t>stattfinden</t>
  </si>
  <si>
    <t>dads</t>
  </si>
  <si>
    <t>fortschritt</t>
  </si>
  <si>
    <t>gelingt</t>
  </si>
  <si>
    <t>feierabend</t>
  </si>
  <si>
    <t>feste</t>
  </si>
  <si>
    <t>burger</t>
  </si>
  <si>
    <t>spannend</t>
  </si>
  <si>
    <t>deputy</t>
  </si>
  <si>
    <t>einnehmen</t>
  </si>
  <si>
    <t>schalte</t>
  </si>
  <si>
    <t>passwort</t>
  </si>
  <si>
    <t>würstchen</t>
  </si>
  <si>
    <t>mittlerweile</t>
  </si>
  <si>
    <t>aufzugeben</t>
  </si>
  <si>
    <t>führst</t>
  </si>
  <si>
    <t>harper</t>
  </si>
  <si>
    <t>zivilisten</t>
  </si>
  <si>
    <t>ewige</t>
  </si>
  <si>
    <t>emotionen</t>
  </si>
  <si>
    <t>beurteilen</t>
  </si>
  <si>
    <t>käufer</t>
  </si>
  <si>
    <t>stars</t>
  </si>
  <si>
    <t>erwachsenen</t>
  </si>
  <si>
    <t>division</t>
  </si>
  <si>
    <t>aufzunehmen</t>
  </si>
  <si>
    <t>booth</t>
  </si>
  <si>
    <t>werft</t>
  </si>
  <si>
    <t>ältere</t>
  </si>
  <si>
    <t>banken</t>
  </si>
  <si>
    <t>kätzchen</t>
  </si>
  <si>
    <t>option</t>
  </si>
  <si>
    <t>heiratest</t>
  </si>
  <si>
    <t>rettete</t>
  </si>
  <si>
    <t>aufstellen</t>
  </si>
  <si>
    <t>husten</t>
  </si>
  <si>
    <t>schublade</t>
  </si>
  <si>
    <t>gestürzt</t>
  </si>
  <si>
    <t>seattle</t>
  </si>
  <si>
    <t>ankommt</t>
  </si>
  <si>
    <t>befragt</t>
  </si>
  <si>
    <t>buchstaben</t>
  </si>
  <si>
    <t>spielten</t>
  </si>
  <si>
    <t>gestiegen</t>
  </si>
  <si>
    <t>abgefahren</t>
  </si>
  <si>
    <t>gewaschen</t>
  </si>
  <si>
    <t>anzunehmen</t>
  </si>
  <si>
    <t>rob</t>
  </si>
  <si>
    <t>anzahl</t>
  </si>
  <si>
    <t>zombies</t>
  </si>
  <si>
    <t>have</t>
  </si>
  <si>
    <t>anhänger</t>
  </si>
  <si>
    <t>gewisser</t>
  </si>
  <si>
    <t>vorkommen</t>
  </si>
  <si>
    <t>festnehmen</t>
  </si>
  <si>
    <t>willow</t>
  </si>
  <si>
    <t>medizinischen</t>
  </si>
  <si>
    <t>kern</t>
  </si>
  <si>
    <t>offene</t>
  </si>
  <si>
    <t>gefeiert</t>
  </si>
  <si>
    <t>anschließen</t>
  </si>
  <si>
    <t>rico</t>
  </si>
  <si>
    <t>clarke</t>
  </si>
  <si>
    <t>erfindung</t>
  </si>
  <si>
    <t>besserer</t>
  </si>
  <si>
    <t>autopsie</t>
  </si>
  <si>
    <t>rucksack</t>
  </si>
  <si>
    <t>zwingt</t>
  </si>
  <si>
    <t>gnädige</t>
  </si>
  <si>
    <t>einsamkeit</t>
  </si>
  <si>
    <t>gesprungen</t>
  </si>
  <si>
    <t>t-shirt</t>
  </si>
  <si>
    <t>geopfert</t>
  </si>
  <si>
    <t>lena</t>
  </si>
  <si>
    <t>beiseite</t>
  </si>
  <si>
    <t>umgekehrt</t>
  </si>
  <si>
    <t>geschworenen</t>
  </si>
  <si>
    <t>draussen</t>
  </si>
  <si>
    <t>ausgesprochen</t>
  </si>
  <si>
    <t>beseitigen</t>
  </si>
  <si>
    <t>burg</t>
  </si>
  <si>
    <t>ausführen</t>
  </si>
  <si>
    <t>gesperrt</t>
  </si>
  <si>
    <t>carla</t>
  </si>
  <si>
    <t>irrer</t>
  </si>
  <si>
    <t>drehte</t>
  </si>
  <si>
    <t>ersparen</t>
  </si>
  <si>
    <t>force</t>
  </si>
  <si>
    <t>frech</t>
  </si>
  <si>
    <t>einziehen</t>
  </si>
  <si>
    <t>kira</t>
  </si>
  <si>
    <t>hot</t>
  </si>
  <si>
    <t>genehmigung</t>
  </si>
  <si>
    <t>tankstelle</t>
  </si>
  <si>
    <t>versteckte</t>
  </si>
  <si>
    <t>interessanter</t>
  </si>
  <si>
    <t>schneider</t>
  </si>
  <si>
    <t>gelb</t>
  </si>
  <si>
    <t>et</t>
  </si>
  <si>
    <t>gefährden</t>
  </si>
  <si>
    <t>handtasche</t>
  </si>
  <si>
    <t>urteilen</t>
  </si>
  <si>
    <t>erhöht</t>
  </si>
  <si>
    <t>preise</t>
  </si>
  <si>
    <t>bumm</t>
  </si>
  <si>
    <t>unbekannten</t>
  </si>
  <si>
    <t>gelten</t>
  </si>
  <si>
    <t>life</t>
  </si>
  <si>
    <t>butler</t>
  </si>
  <si>
    <t>möglichst</t>
  </si>
  <si>
    <t>münze</t>
  </si>
  <si>
    <t>singe</t>
  </si>
  <si>
    <t>saison</t>
  </si>
  <si>
    <t>andrea</t>
  </si>
  <si>
    <t>partnerin</t>
  </si>
  <si>
    <t>haltung</t>
  </si>
  <si>
    <t>vollidiot</t>
  </si>
  <si>
    <t>fasst</t>
  </si>
  <si>
    <t>winston</t>
  </si>
  <si>
    <t>minus</t>
  </si>
  <si>
    <t>pflichten</t>
  </si>
  <si>
    <t>spar</t>
  </si>
  <si>
    <t>demselben</t>
  </si>
  <si>
    <t>ruhestand</t>
  </si>
  <si>
    <t>versteckst</t>
  </si>
  <si>
    <t>kai</t>
  </si>
  <si>
    <t>bewachen</t>
  </si>
  <si>
    <t>oz</t>
  </si>
  <si>
    <t>vera</t>
  </si>
  <si>
    <t>anhörung</t>
  </si>
  <si>
    <t>lieder</t>
  </si>
  <si>
    <t>miguel</t>
  </si>
  <si>
    <t>dreckig</t>
  </si>
  <si>
    <t>verbreiten</t>
  </si>
  <si>
    <t>wei</t>
  </si>
  <si>
    <t>sch</t>
  </si>
  <si>
    <t>carmen</t>
  </si>
  <si>
    <t>first</t>
  </si>
  <si>
    <t>schenke</t>
  </si>
  <si>
    <t>wölfe</t>
  </si>
  <si>
    <t>erholen</t>
  </si>
  <si>
    <t>bedenkt</t>
  </si>
  <si>
    <t>blutet</t>
  </si>
  <si>
    <t>freddie</t>
  </si>
  <si>
    <t>beschweren</t>
  </si>
  <si>
    <t>schmeiß</t>
  </si>
  <si>
    <t>gauner</t>
  </si>
  <si>
    <t>verursachen</t>
  </si>
  <si>
    <t>elvis</t>
  </si>
  <si>
    <t>produkt</t>
  </si>
  <si>
    <t>cathy</t>
  </si>
  <si>
    <t>tafel</t>
  </si>
  <si>
    <t>kacke</t>
  </si>
  <si>
    <t>versammelt</t>
  </si>
  <si>
    <t>sandra</t>
  </si>
  <si>
    <t>regelmäßig</t>
  </si>
  <si>
    <t>geschrei</t>
  </si>
  <si>
    <t>ruder</t>
  </si>
  <si>
    <t>allah</t>
  </si>
  <si>
    <t>vollen</t>
  </si>
  <si>
    <t>aktivitäten</t>
  </si>
  <si>
    <t>wohnte</t>
  </si>
  <si>
    <t>kaninchen</t>
  </si>
  <si>
    <t>systeme</t>
  </si>
  <si>
    <t>orange</t>
  </si>
  <si>
    <t>platten</t>
  </si>
  <si>
    <t>rex</t>
  </si>
  <si>
    <t>y</t>
  </si>
  <si>
    <t>geliehen</t>
  </si>
  <si>
    <t>befolgen</t>
  </si>
  <si>
    <t>belästigt</t>
  </si>
  <si>
    <t>hongkong</t>
  </si>
  <si>
    <t>zombie</t>
  </si>
  <si>
    <t>vorgeht</t>
  </si>
  <si>
    <t>heißes</t>
  </si>
  <si>
    <t>überprüfe</t>
  </si>
  <si>
    <t>veröffentlicht</t>
  </si>
  <si>
    <t>erschieß</t>
  </si>
  <si>
    <t>mahlzeit</t>
  </si>
  <si>
    <t>offizielle</t>
  </si>
  <si>
    <t>yorker</t>
  </si>
  <si>
    <t>angie</t>
  </si>
  <si>
    <t>aufbrechen</t>
  </si>
  <si>
    <t>überlasse</t>
  </si>
  <si>
    <t>get</t>
  </si>
  <si>
    <t>kenntnis</t>
  </si>
  <si>
    <t>beschissenen</t>
  </si>
  <si>
    <t>trevor</t>
  </si>
  <si>
    <t>verbindet</t>
  </si>
  <si>
    <t>sanitäter</t>
  </si>
  <si>
    <t>überraschend</t>
  </si>
  <si>
    <t>geantwortet</t>
  </si>
  <si>
    <t>droht</t>
  </si>
  <si>
    <t>italienisch</t>
  </si>
  <si>
    <t>verhör</t>
  </si>
  <si>
    <t>größeres</t>
  </si>
  <si>
    <t>klagen</t>
  </si>
  <si>
    <t>dichter</t>
  </si>
  <si>
    <t>großartiger</t>
  </si>
  <si>
    <t>gratis</t>
  </si>
  <si>
    <t>fürchtet</t>
  </si>
  <si>
    <t>abzuholen</t>
  </si>
  <si>
    <t>gefühlen</t>
  </si>
  <si>
    <t>beschäftigen</t>
  </si>
  <si>
    <t>unglaubliche</t>
  </si>
  <si>
    <t>selbe</t>
  </si>
  <si>
    <t>barnes</t>
  </si>
  <si>
    <t>spürt</t>
  </si>
  <si>
    <t>funkgerät</t>
  </si>
  <si>
    <t>abgegeben</t>
  </si>
  <si>
    <t>laurel</t>
  </si>
  <si>
    <t>angemessen</t>
  </si>
  <si>
    <t>ohnehin</t>
  </si>
  <si>
    <t>chinesisch</t>
  </si>
  <si>
    <t>orden</t>
  </si>
  <si>
    <t>angeheuert</t>
  </si>
  <si>
    <t>wählt</t>
  </si>
  <si>
    <t>lustige</t>
  </si>
  <si>
    <t>abhängen</t>
  </si>
  <si>
    <t>vierten</t>
  </si>
  <si>
    <t>tanner</t>
  </si>
  <si>
    <t>schläge</t>
  </si>
  <si>
    <t>zögern</t>
  </si>
  <si>
    <t>bezeichnen</t>
  </si>
  <si>
    <t>seltsames</t>
  </si>
  <si>
    <t>beruflich</t>
  </si>
  <si>
    <t>un</t>
  </si>
  <si>
    <t>bedeckt</t>
  </si>
  <si>
    <t>anzufangen</t>
  </si>
  <si>
    <t>geraucht</t>
  </si>
  <si>
    <t>töteten</t>
  </si>
  <si>
    <t>begeben</t>
  </si>
  <si>
    <t>verständlich</t>
  </si>
  <si>
    <t>pop</t>
  </si>
  <si>
    <t>merkte</t>
  </si>
  <si>
    <t>infektion</t>
  </si>
  <si>
    <t>kitty</t>
  </si>
  <si>
    <t>entspricht</t>
  </si>
  <si>
    <t>winkel</t>
  </si>
  <si>
    <t>experten</t>
  </si>
  <si>
    <t>betten</t>
  </si>
  <si>
    <t>boxen</t>
  </si>
  <si>
    <t>torte</t>
  </si>
  <si>
    <t>austausch</t>
  </si>
  <si>
    <t>aufregen</t>
  </si>
  <si>
    <t>vermuten</t>
  </si>
  <si>
    <t>geheimdienst</t>
  </si>
  <si>
    <t>schlangen</t>
  </si>
  <si>
    <t>erholt</t>
  </si>
  <si>
    <t>zach</t>
  </si>
  <si>
    <t>überzeugend</t>
  </si>
  <si>
    <t>prue</t>
  </si>
  <si>
    <t>genick</t>
  </si>
  <si>
    <t>wuchs</t>
  </si>
  <si>
    <t>autorität</t>
  </si>
  <si>
    <t>schinken</t>
  </si>
  <si>
    <t>wien</t>
  </si>
  <si>
    <t>langes</t>
  </si>
  <si>
    <t>sookie</t>
  </si>
  <si>
    <t>zoey</t>
  </si>
  <si>
    <t>fetten</t>
  </si>
  <si>
    <t>hai</t>
  </si>
  <si>
    <t>binden</t>
  </si>
  <si>
    <t>erpressung</t>
  </si>
  <si>
    <t>derzeit</t>
  </si>
  <si>
    <t>getäuscht</t>
  </si>
  <si>
    <t>buddy</t>
  </si>
  <si>
    <t>keines</t>
  </si>
  <si>
    <t>sammlung</t>
  </si>
  <si>
    <t>anruft</t>
  </si>
  <si>
    <t>tauchte</t>
  </si>
  <si>
    <t>weist</t>
  </si>
  <si>
    <t>ergreifen</t>
  </si>
  <si>
    <t>frohes</t>
  </si>
  <si>
    <t>hänge</t>
  </si>
  <si>
    <t>bewohner</t>
  </si>
  <si>
    <t>entschied</t>
  </si>
  <si>
    <t>supermarkt</t>
  </si>
  <si>
    <t>offiziere</t>
  </si>
  <si>
    <t>verwandte</t>
  </si>
  <si>
    <t>schwachkopf</t>
  </si>
  <si>
    <t>antoine</t>
  </si>
  <si>
    <t>irak</t>
  </si>
  <si>
    <t>rangehen</t>
  </si>
  <si>
    <t>naomi</t>
  </si>
  <si>
    <t>kündigen</t>
  </si>
  <si>
    <t>geldes</t>
  </si>
  <si>
    <t>dealer</t>
  </si>
  <si>
    <t>könige</t>
  </si>
  <si>
    <t>army</t>
  </si>
  <si>
    <t>januar</t>
  </si>
  <si>
    <t>agnes</t>
  </si>
  <si>
    <t>priorität</t>
  </si>
  <si>
    <t>beförderung</t>
  </si>
  <si>
    <t>kranke</t>
  </si>
  <si>
    <t>eifersucht</t>
  </si>
  <si>
    <t>way</t>
  </si>
  <si>
    <t>heutige</t>
  </si>
  <si>
    <t>sprang</t>
  </si>
  <si>
    <t>kürze</t>
  </si>
  <si>
    <t>polen</t>
  </si>
  <si>
    <t>erbärmlich</t>
  </si>
  <si>
    <t>erfasst</t>
  </si>
  <si>
    <t>besonderer</t>
  </si>
  <si>
    <t>good</t>
  </si>
  <si>
    <t>geräte</t>
  </si>
  <si>
    <t>tanze</t>
  </si>
  <si>
    <t>königliche</t>
  </si>
  <si>
    <t>durchmachen</t>
  </si>
  <si>
    <t>dallas</t>
  </si>
  <si>
    <t>verschwendet</t>
  </si>
  <si>
    <t>kennedy</t>
  </si>
  <si>
    <t>uld</t>
  </si>
  <si>
    <t>alec</t>
  </si>
  <si>
    <t>akzeptiere</t>
  </si>
  <si>
    <t>ausgeschaltet</t>
  </si>
  <si>
    <t>ufer</t>
  </si>
  <si>
    <t>risiken</t>
  </si>
  <si>
    <t>schrie</t>
  </si>
  <si>
    <t>beeinflusst</t>
  </si>
  <si>
    <t>hal</t>
  </si>
  <si>
    <t>aussiehst</t>
  </si>
  <si>
    <t>ausgebildet</t>
  </si>
  <si>
    <t>bezirk</t>
  </si>
  <si>
    <t>herrje</t>
  </si>
  <si>
    <t>beauftragt</t>
  </si>
  <si>
    <t>geschützt</t>
  </si>
  <si>
    <t>abgeschnitten</t>
  </si>
  <si>
    <t>qualität</t>
  </si>
  <si>
    <t>henker</t>
  </si>
  <si>
    <t>ausgezogen</t>
  </si>
  <si>
    <t>versichern</t>
  </si>
  <si>
    <t>gewinnst</t>
  </si>
  <si>
    <t>navy</t>
  </si>
  <si>
    <t>schmidt</t>
  </si>
  <si>
    <t>beschloss</t>
  </si>
  <si>
    <t>batman</t>
  </si>
  <si>
    <t>sun</t>
  </si>
  <si>
    <t>kapierst</t>
  </si>
  <si>
    <t>scheibe</t>
  </si>
  <si>
    <t>veronica</t>
  </si>
  <si>
    <t>rosie</t>
  </si>
  <si>
    <t>pedro</t>
  </si>
  <si>
    <t>konferenz</t>
  </si>
  <si>
    <t>länder</t>
  </si>
  <si>
    <t>flecken</t>
  </si>
  <si>
    <t>fur</t>
  </si>
  <si>
    <t>neal</t>
  </si>
  <si>
    <t>sonnenaufgang</t>
  </si>
  <si>
    <t>reed</t>
  </si>
  <si>
    <t>braun</t>
  </si>
  <si>
    <t>diagnose</t>
  </si>
  <si>
    <t>paranoid</t>
  </si>
  <si>
    <t>weltraum</t>
  </si>
  <si>
    <t>adams</t>
  </si>
  <si>
    <t>vorbild</t>
  </si>
  <si>
    <t>halle</t>
  </si>
  <si>
    <t>wandern</t>
  </si>
  <si>
    <t>fisher</t>
  </si>
  <si>
    <t>frost</t>
  </si>
  <si>
    <t>gehandelt</t>
  </si>
  <si>
    <t>hawaii</t>
  </si>
  <si>
    <t>kabine</t>
  </si>
  <si>
    <t>chefin</t>
  </si>
  <si>
    <t>porter</t>
  </si>
  <si>
    <t>römer</t>
  </si>
  <si>
    <t>weinst</t>
  </si>
  <si>
    <t>bäumen</t>
  </si>
  <si>
    <t>simpson</t>
  </si>
  <si>
    <t>datenbank</t>
  </si>
  <si>
    <t>suchten</t>
  </si>
  <si>
    <t>gesegnet</t>
  </si>
  <si>
    <t>teilnehmen</t>
  </si>
  <si>
    <t>umbringt</t>
  </si>
  <si>
    <t>claude</t>
  </si>
  <si>
    <t>blonde</t>
  </si>
  <si>
    <t>bunker</t>
  </si>
  <si>
    <t>mieser</t>
  </si>
  <si>
    <t>löffel</t>
  </si>
  <si>
    <t>geteilt</t>
  </si>
  <si>
    <t>klaren</t>
  </si>
  <si>
    <t>bree</t>
  </si>
  <si>
    <t>abhängig</t>
  </si>
  <si>
    <t>überlebenden</t>
  </si>
  <si>
    <t>worf</t>
  </si>
  <si>
    <t>geeignet</t>
  </si>
  <si>
    <t>hindern</t>
  </si>
  <si>
    <t>fahrstuhl</t>
  </si>
  <si>
    <t>ausgeht</t>
  </si>
  <si>
    <t>mylady</t>
  </si>
  <si>
    <t>flagge</t>
  </si>
  <si>
    <t>komplette</t>
  </si>
  <si>
    <t>hing</t>
  </si>
  <si>
    <t>italiener</t>
  </si>
  <si>
    <t>disziplin</t>
  </si>
  <si>
    <t>erzogen</t>
  </si>
  <si>
    <t>harvard</t>
  </si>
  <si>
    <t>kongress</t>
  </si>
  <si>
    <t>eingezogen</t>
  </si>
  <si>
    <t>kurzer</t>
  </si>
  <si>
    <t>schirm</t>
  </si>
  <si>
    <t>merlin</t>
  </si>
  <si>
    <t>charme</t>
  </si>
  <si>
    <t>vorlesen</t>
  </si>
  <si>
    <t>gefährlicher</t>
  </si>
  <si>
    <t>mitfahren</t>
  </si>
  <si>
    <t>maurice</t>
  </si>
  <si>
    <t>anzeigen</t>
  </si>
  <si>
    <t>d.</t>
  </si>
  <si>
    <t>schieb</t>
  </si>
  <si>
    <t>empfindlich</t>
  </si>
  <si>
    <t>parken</t>
  </si>
  <si>
    <t>koche</t>
  </si>
  <si>
    <t>gestrichen</t>
  </si>
  <si>
    <t>berühmten</t>
  </si>
  <si>
    <t>manchen</t>
  </si>
  <si>
    <t>klopf</t>
  </si>
  <si>
    <t>zorro</t>
  </si>
  <si>
    <t>reichlich</t>
  </si>
  <si>
    <t>lügnerin</t>
  </si>
  <si>
    <t>mode</t>
  </si>
  <si>
    <t>songs</t>
  </si>
  <si>
    <t>breche</t>
  </si>
  <si>
    <t>ausgeraubt</t>
  </si>
  <si>
    <t>hahn</t>
  </si>
  <si>
    <t>wußte</t>
  </si>
  <si>
    <t>krachen</t>
  </si>
  <si>
    <t>spürte</t>
  </si>
  <si>
    <t>versammlung</t>
  </si>
  <si>
    <t>folter</t>
  </si>
  <si>
    <t>speck</t>
  </si>
  <si>
    <t>bedrohliche</t>
  </si>
  <si>
    <t>piept</t>
  </si>
  <si>
    <t>verbreitet</t>
  </si>
  <si>
    <t>nolan</t>
  </si>
  <si>
    <t>tore</t>
  </si>
  <si>
    <t>t.</t>
  </si>
  <si>
    <t>vorräte</t>
  </si>
  <si>
    <t>saal</t>
  </si>
  <si>
    <t>wirtschaft</t>
  </si>
  <si>
    <t>fremd</t>
  </si>
  <si>
    <t>mehrmals</t>
  </si>
  <si>
    <t>generationen</t>
  </si>
  <si>
    <t>coole</t>
  </si>
  <si>
    <t>kaufst</t>
  </si>
  <si>
    <t>abbrechen</t>
  </si>
  <si>
    <t>seife</t>
  </si>
  <si>
    <t>herde</t>
  </si>
  <si>
    <t>zwerg</t>
  </si>
  <si>
    <t>brandon</t>
  </si>
  <si>
    <t>z.b.</t>
  </si>
  <si>
    <t>neffen</t>
  </si>
  <si>
    <t>festgehalten</t>
  </si>
  <si>
    <t>ablenkung</t>
  </si>
  <si>
    <t>totale</t>
  </si>
  <si>
    <t>herrscher</t>
  </si>
  <si>
    <t>überstehen</t>
  </si>
  <si>
    <t>sprengstoff</t>
  </si>
  <si>
    <t>mikey</t>
  </si>
  <si>
    <t>erdbeben</t>
  </si>
  <si>
    <t>level</t>
  </si>
  <si>
    <t>australien</t>
  </si>
  <si>
    <t>figuren</t>
  </si>
  <si>
    <t>älteren</t>
  </si>
  <si>
    <t>lynn</t>
  </si>
  <si>
    <t>po</t>
  </si>
  <si>
    <t>theo</t>
  </si>
  <si>
    <t>spinnt</t>
  </si>
  <si>
    <t>gleichgewicht</t>
  </si>
  <si>
    <t>schalter</t>
  </si>
  <si>
    <t>kumpels</t>
  </si>
  <si>
    <t>zuneigung</t>
  </si>
  <si>
    <t>rollstuhl</t>
  </si>
  <si>
    <t>bienen</t>
  </si>
  <si>
    <t>mischen</t>
  </si>
  <si>
    <t>hauptstadt</t>
  </si>
  <si>
    <t>koks</t>
  </si>
  <si>
    <t>piepen</t>
  </si>
  <si>
    <t>langem</t>
  </si>
  <si>
    <t>umsehen</t>
  </si>
  <si>
    <t>gelegen</t>
  </si>
  <si>
    <t>em</t>
  </si>
  <si>
    <t>banditen</t>
  </si>
  <si>
    <t>hasste</t>
  </si>
  <si>
    <t>getestet</t>
  </si>
  <si>
    <t>camille</t>
  </si>
  <si>
    <t>brody</t>
  </si>
  <si>
    <t>dosis</t>
  </si>
  <si>
    <t>glaubten</t>
  </si>
  <si>
    <t>somit</t>
  </si>
  <si>
    <t>ernähren</t>
  </si>
  <si>
    <t>hacken</t>
  </si>
  <si>
    <t>kammer</t>
  </si>
  <si>
    <t>lenny</t>
  </si>
  <si>
    <t>roll</t>
  </si>
  <si>
    <t>bezaubernd</t>
  </si>
  <si>
    <t>wiederholt</t>
  </si>
  <si>
    <t>zueinander</t>
  </si>
  <si>
    <t>tattoo</t>
  </si>
  <si>
    <t>melanie</t>
  </si>
  <si>
    <t>einschließlich</t>
  </si>
  <si>
    <t>randall</t>
  </si>
  <si>
    <t>finsternis</t>
  </si>
  <si>
    <t>wallace</t>
  </si>
  <si>
    <t>betrachte</t>
  </si>
  <si>
    <t>schmerzt</t>
  </si>
  <si>
    <t>gelehrt</t>
  </si>
  <si>
    <t>gewechselt</t>
  </si>
  <si>
    <t>menschliches</t>
  </si>
  <si>
    <t>redete</t>
  </si>
  <si>
    <t>frühen</t>
  </si>
  <si>
    <t>voyager</t>
  </si>
  <si>
    <t>caleb</t>
  </si>
  <si>
    <t>entdeckte</t>
  </si>
  <si>
    <t>wirkte</t>
  </si>
  <si>
    <t>versprichst</t>
  </si>
  <si>
    <t>scheine</t>
  </si>
  <si>
    <t>transporter</t>
  </si>
  <si>
    <t>n.</t>
  </si>
  <si>
    <t>moderne</t>
  </si>
  <si>
    <t>elijah</t>
  </si>
  <si>
    <t>wilder</t>
  </si>
  <si>
    <t>abgelenkt</t>
  </si>
  <si>
    <t>abzug</t>
  </si>
  <si>
    <t>north</t>
  </si>
  <si>
    <t>becher</t>
  </si>
  <si>
    <t>sicherstellen</t>
  </si>
  <si>
    <t>e.</t>
  </si>
  <si>
    <t>anweisung</t>
  </si>
  <si>
    <t>klettern</t>
  </si>
  <si>
    <t>fingern</t>
  </si>
  <si>
    <t>geste</t>
  </si>
  <si>
    <t>spürst</t>
  </si>
  <si>
    <t>privatleben</t>
  </si>
  <si>
    <t>zusammenarbeit</t>
  </si>
  <si>
    <t>hinauf</t>
  </si>
  <si>
    <t>si</t>
  </si>
  <si>
    <t>tokio</t>
  </si>
  <si>
    <t>sicherheitsdienst</t>
  </si>
  <si>
    <t>kaugummi</t>
  </si>
  <si>
    <t>weltkrieg</t>
  </si>
  <si>
    <t>huren</t>
  </si>
  <si>
    <t>foster</t>
  </si>
  <si>
    <t>gemeinsamen</t>
  </si>
  <si>
    <t>garantieren</t>
  </si>
  <si>
    <t>wells</t>
  </si>
  <si>
    <t>ln</t>
  </si>
  <si>
    <t>antonio</t>
  </si>
  <si>
    <t>kommunizieren</t>
  </si>
  <si>
    <t>cm</t>
  </si>
  <si>
    <t>marc</t>
  </si>
  <si>
    <t>blieben</t>
  </si>
  <si>
    <t>technisch</t>
  </si>
  <si>
    <t>frühstücken</t>
  </si>
  <si>
    <t>ve</t>
  </si>
  <si>
    <t>khan</t>
  </si>
  <si>
    <t>billiger</t>
  </si>
  <si>
    <t>elaine</t>
  </si>
  <si>
    <t>standort</t>
  </si>
  <si>
    <t>wagt</t>
  </si>
  <si>
    <t>leugnen</t>
  </si>
  <si>
    <t>beißt</t>
  </si>
  <si>
    <t>landung</t>
  </si>
  <si>
    <t>ernste</t>
  </si>
  <si>
    <t>schockiert</t>
  </si>
  <si>
    <t>esst</t>
  </si>
  <si>
    <t>begleitung</t>
  </si>
  <si>
    <t>allianz</t>
  </si>
  <si>
    <t>vermutet</t>
  </si>
  <si>
    <t>echo</t>
  </si>
  <si>
    <t>herstellen</t>
  </si>
  <si>
    <t>lars</t>
  </si>
  <si>
    <t>lokal</t>
  </si>
  <si>
    <t>sklave</t>
  </si>
  <si>
    <t>honig</t>
  </si>
  <si>
    <t>videos</t>
  </si>
  <si>
    <t>verkehrt</t>
  </si>
  <si>
    <t>göttin</t>
  </si>
  <si>
    <t>segeln</t>
  </si>
  <si>
    <t>bewahrt</t>
  </si>
  <si>
    <t>cass</t>
  </si>
  <si>
    <t>hinterließ</t>
  </si>
  <si>
    <t>ganzer</t>
  </si>
  <si>
    <t>cody</t>
  </si>
  <si>
    <t>doris</t>
  </si>
  <si>
    <t>verurteilen</t>
  </si>
  <si>
    <t>höchsten</t>
  </si>
  <si>
    <t>februar</t>
  </si>
  <si>
    <t>privaten</t>
  </si>
  <si>
    <t>burke</t>
  </si>
  <si>
    <t>v</t>
  </si>
  <si>
    <t>begegnung</t>
  </si>
  <si>
    <t>steige</t>
  </si>
  <si>
    <t>feuerwehr</t>
  </si>
  <si>
    <t>apollo</t>
  </si>
  <si>
    <t>beginne</t>
  </si>
  <si>
    <t>ähnliches</t>
  </si>
  <si>
    <t>stevens</t>
  </si>
  <si>
    <t>grauen</t>
  </si>
  <si>
    <t>wärter</t>
  </si>
  <si>
    <t>gewann</t>
  </si>
  <si>
    <t>vertreter</t>
  </si>
  <si>
    <t>starker</t>
  </si>
  <si>
    <t>liebend</t>
  </si>
  <si>
    <t>marge</t>
  </si>
  <si>
    <t>schoß</t>
  </si>
  <si>
    <t>serviert</t>
  </si>
  <si>
    <t>heilig</t>
  </si>
  <si>
    <t>bißchen</t>
  </si>
  <si>
    <t>security</t>
  </si>
  <si>
    <t>genaue</t>
  </si>
  <si>
    <t>wally</t>
  </si>
  <si>
    <t>gewaltig</t>
  </si>
  <si>
    <t>knoten</t>
  </si>
  <si>
    <t>begriffen</t>
  </si>
  <si>
    <t>klarstellen</t>
  </si>
  <si>
    <t>chwhite</t>
  </si>
  <si>
    <t>hinrichtung</t>
  </si>
  <si>
    <t>überwinden</t>
  </si>
  <si>
    <t>ablegen</t>
  </si>
  <si>
    <t>einfällt</t>
  </si>
  <si>
    <t>wundert</t>
  </si>
  <si>
    <t>stimmte</t>
  </si>
  <si>
    <t>drohen</t>
  </si>
  <si>
    <t>madison</t>
  </si>
  <si>
    <t>entgehen</t>
  </si>
  <si>
    <t>stundenlang</t>
  </si>
  <si>
    <t>hausmeister</t>
  </si>
  <si>
    <t>helikopter</t>
  </si>
  <si>
    <t>beverly</t>
  </si>
  <si>
    <t>puppen</t>
  </si>
  <si>
    <t>aussah</t>
  </si>
  <si>
    <t>night</t>
  </si>
  <si>
    <t>beobachte</t>
  </si>
  <si>
    <t>check</t>
  </si>
  <si>
    <t>juwelen</t>
  </si>
  <si>
    <t>bogen</t>
  </si>
  <si>
    <t>duft</t>
  </si>
  <si>
    <t>ankam</t>
  </si>
  <si>
    <t>respektiert</t>
  </si>
  <si>
    <t>non</t>
  </si>
  <si>
    <t>schein</t>
  </si>
  <si>
    <t>gewehre</t>
  </si>
  <si>
    <t>kellnerin</t>
  </si>
  <si>
    <t>vertraulich</t>
  </si>
  <si>
    <t>insgesamt</t>
  </si>
  <si>
    <t>ächzen</t>
  </si>
  <si>
    <t>untersuchungen</t>
  </si>
  <si>
    <t>fliegst</t>
  </si>
  <si>
    <t>platt</t>
  </si>
  <si>
    <t>aufrecht</t>
  </si>
  <si>
    <t>geprüft</t>
  </si>
  <si>
    <t>hammond</t>
  </si>
  <si>
    <t>bedient</t>
  </si>
  <si>
    <t>mangel</t>
  </si>
  <si>
    <t>hoher</t>
  </si>
  <si>
    <t>knien</t>
  </si>
  <si>
    <t>hobby</t>
  </si>
  <si>
    <t>ling</t>
  </si>
  <si>
    <t>ivan</t>
  </si>
  <si>
    <t>nachtisch</t>
  </si>
  <si>
    <t>kollegin</t>
  </si>
  <si>
    <t>edwards</t>
  </si>
  <si>
    <t>alptraum</t>
  </si>
  <si>
    <t>regina</t>
  </si>
  <si>
    <t>ausgesehen</t>
  </si>
  <si>
    <t>reichtum</t>
  </si>
  <si>
    <t>überaus</t>
  </si>
  <si>
    <t>eisen</t>
  </si>
  <si>
    <t>beamen</t>
  </si>
  <si>
    <t>haftbefehl</t>
  </si>
  <si>
    <t>verletzte</t>
  </si>
  <si>
    <t>buchstäblich</t>
  </si>
  <si>
    <t>größter</t>
  </si>
  <si>
    <t>sylvia</t>
  </si>
  <si>
    <t>flieg</t>
  </si>
  <si>
    <t>dreckige</t>
  </si>
  <si>
    <t>erfinden</t>
  </si>
  <si>
    <t>ernte</t>
  </si>
  <si>
    <t>kamin</t>
  </si>
  <si>
    <t>scotty</t>
  </si>
  <si>
    <t>weste</t>
  </si>
  <si>
    <t>sahst</t>
  </si>
  <si>
    <t>kennzeichen</t>
  </si>
  <si>
    <t>grayson</t>
  </si>
  <si>
    <t>kronen</t>
  </si>
  <si>
    <t>wage</t>
  </si>
  <si>
    <t>z</t>
  </si>
  <si>
    <t>siegen</t>
  </si>
  <si>
    <t>verlobten</t>
  </si>
  <si>
    <t>edgar</t>
  </si>
  <si>
    <t>afghanistan</t>
  </si>
  <si>
    <t>würdig</t>
  </si>
  <si>
    <t>aufwacht</t>
  </si>
  <si>
    <t>gratulieren</t>
  </si>
  <si>
    <t>schwager</t>
  </si>
  <si>
    <t>violet</t>
  </si>
  <si>
    <t>infos</t>
  </si>
  <si>
    <t>föderation</t>
  </si>
  <si>
    <t>dose</t>
  </si>
  <si>
    <t>wärme</t>
  </si>
  <si>
    <t>erschienen</t>
  </si>
  <si>
    <t>magazin</t>
  </si>
  <si>
    <t>klemme</t>
  </si>
  <si>
    <t>schenkt</t>
  </si>
  <si>
    <t>min</t>
  </si>
  <si>
    <t>wars</t>
  </si>
  <si>
    <t>verstoßen</t>
  </si>
  <si>
    <t>nicholas</t>
  </si>
  <si>
    <t>georgia</t>
  </si>
  <si>
    <t>kräftig</t>
  </si>
  <si>
    <t>herzens</t>
  </si>
  <si>
    <t>mel</t>
  </si>
  <si>
    <t>nachbarin</t>
  </si>
  <si>
    <t>igitt</t>
  </si>
  <si>
    <t>formel</t>
  </si>
  <si>
    <t>bro</t>
  </si>
  <si>
    <t>hervor</t>
  </si>
  <si>
    <t>wohnwagen</t>
  </si>
  <si>
    <t>wegwerfen</t>
  </si>
  <si>
    <t>spinne</t>
  </si>
  <si>
    <t>tumor</t>
  </si>
  <si>
    <t>bezahlung</t>
  </si>
  <si>
    <t>päckchen</t>
  </si>
  <si>
    <t>grob</t>
  </si>
  <si>
    <t>nagel</t>
  </si>
  <si>
    <t>donovan</t>
  </si>
  <si>
    <t>starren</t>
  </si>
  <si>
    <t>vertreiben</t>
  </si>
  <si>
    <t>wirkst</t>
  </si>
  <si>
    <t>traust</t>
  </si>
  <si>
    <t>heiratete</t>
  </si>
  <si>
    <t>take</t>
  </si>
  <si>
    <t>neuesten</t>
  </si>
  <si>
    <t>e-mails</t>
  </si>
  <si>
    <t>gitter</t>
  </si>
  <si>
    <t>blocks</t>
  </si>
  <si>
    <t>erobern</t>
  </si>
  <si>
    <t>gin</t>
  </si>
  <si>
    <t>spinnen</t>
  </si>
  <si>
    <t>gestalt</t>
  </si>
  <si>
    <t>liter</t>
  </si>
  <si>
    <t>patty</t>
  </si>
  <si>
    <t>drew</t>
  </si>
  <si>
    <t>illusion</t>
  </si>
  <si>
    <t>plaudern</t>
  </si>
  <si>
    <t>schneidet</t>
  </si>
  <si>
    <t>welle</t>
  </si>
  <si>
    <t>samuel</t>
  </si>
  <si>
    <t>haft</t>
  </si>
  <si>
    <t>seltsamen</t>
  </si>
  <si>
    <t>spannung</t>
  </si>
  <si>
    <t>knallt</t>
  </si>
  <si>
    <t>zurückzukehren</t>
  </si>
  <si>
    <t>bestimmung</t>
  </si>
  <si>
    <t>tresor</t>
  </si>
  <si>
    <t>amber</t>
  </si>
  <si>
    <t>verfluchten</t>
  </si>
  <si>
    <t>fischer</t>
  </si>
  <si>
    <t>verluste</t>
  </si>
  <si>
    <t>lehre</t>
  </si>
  <si>
    <t>jenna</t>
  </si>
  <si>
    <t>revolver</t>
  </si>
  <si>
    <t>schrott</t>
  </si>
  <si>
    <t>verbringt</t>
  </si>
  <si>
    <t>state</t>
  </si>
  <si>
    <t>wähle</t>
  </si>
  <si>
    <t>films</t>
  </si>
  <si>
    <t>vorhang</t>
  </si>
  <si>
    <t>mitspielen</t>
  </si>
  <si>
    <t>erregt</t>
  </si>
  <si>
    <t>arbeiteten</t>
  </si>
  <si>
    <t>aufgelöst</t>
  </si>
  <si>
    <t>überlass</t>
  </si>
  <si>
    <t>trag</t>
  </si>
  <si>
    <t>überein</t>
  </si>
  <si>
    <t>unterrichtet</t>
  </si>
  <si>
    <t>ungewöhnliches</t>
  </si>
  <si>
    <t>eve</t>
  </si>
  <si>
    <t>lagerhaus</t>
  </si>
  <si>
    <t>raub</t>
  </si>
  <si>
    <t>visionen</t>
  </si>
  <si>
    <t>firmen</t>
  </si>
  <si>
    <t>liv</t>
  </si>
  <si>
    <t>verhandlungen</t>
  </si>
  <si>
    <t>fickt</t>
  </si>
  <si>
    <t>verdorben</t>
  </si>
  <si>
    <t>produktion</t>
  </si>
  <si>
    <t>füreinander</t>
  </si>
  <si>
    <t>krankheiten</t>
  </si>
  <si>
    <t>reggie</t>
  </si>
  <si>
    <t>jeanne</t>
  </si>
  <si>
    <t>schräg</t>
  </si>
  <si>
    <t>belle</t>
  </si>
  <si>
    <t>bluten</t>
  </si>
  <si>
    <t>meinten</t>
  </si>
  <si>
    <t>beamten</t>
  </si>
  <si>
    <t>h.</t>
  </si>
  <si>
    <t>bereden</t>
  </si>
  <si>
    <t>claudia</t>
  </si>
  <si>
    <t>einmischen</t>
  </si>
  <si>
    <t>ärsche</t>
  </si>
  <si>
    <t>futter</t>
  </si>
  <si>
    <t>verknallt</t>
  </si>
  <si>
    <t>muschi</t>
  </si>
  <si>
    <t>beschuldigen</t>
  </si>
  <si>
    <t>aktien</t>
  </si>
  <si>
    <t>harrison</t>
  </si>
  <si>
    <t>scheißer</t>
  </si>
  <si>
    <t>sexuell</t>
  </si>
  <si>
    <t>kinderspiel</t>
  </si>
  <si>
    <t>torres</t>
  </si>
  <si>
    <t>magische</t>
  </si>
  <si>
    <t>dummheit</t>
  </si>
  <si>
    <t>gezahlt</t>
  </si>
  <si>
    <t>bewegungen</t>
  </si>
  <si>
    <t>karre</t>
  </si>
  <si>
    <t>abziehen</t>
  </si>
  <si>
    <t>bedarf</t>
  </si>
  <si>
    <t>üblichen</t>
  </si>
  <si>
    <t>umgelegt</t>
  </si>
  <si>
    <t>inhalt</t>
  </si>
  <si>
    <t>dankbarkeit</t>
  </si>
  <si>
    <t>peng</t>
  </si>
  <si>
    <t>herkommt</t>
  </si>
  <si>
    <t>geehrt</t>
  </si>
  <si>
    <t>träumte</t>
  </si>
  <si>
    <t>make-up</t>
  </si>
  <si>
    <t>verhört</t>
  </si>
  <si>
    <t>messe</t>
  </si>
  <si>
    <t>anwesen</t>
  </si>
  <si>
    <t>deutscher</t>
  </si>
  <si>
    <t>saubere</t>
  </si>
  <si>
    <t>gebete</t>
  </si>
  <si>
    <t>pommes</t>
  </si>
  <si>
    <t>toni</t>
  </si>
  <si>
    <t>lande</t>
  </si>
  <si>
    <t>ruht</t>
  </si>
  <si>
    <t>anerkennung</t>
  </si>
  <si>
    <t>wunderbaren</t>
  </si>
  <si>
    <t>galaxie</t>
  </si>
  <si>
    <t>vermutung</t>
  </si>
  <si>
    <t>inklusive</t>
  </si>
  <si>
    <t>überwachung</t>
  </si>
  <si>
    <t>unabhängig</t>
  </si>
  <si>
    <t>brien</t>
  </si>
  <si>
    <t>fernhalten</t>
  </si>
  <si>
    <t>statue</t>
  </si>
  <si>
    <t>bestätigung</t>
  </si>
  <si>
    <t>dawn</t>
  </si>
  <si>
    <t>finale</t>
  </si>
  <si>
    <t>verzweiflung</t>
  </si>
  <si>
    <t>gewährt</t>
  </si>
  <si>
    <t>deprimiert</t>
  </si>
  <si>
    <t>erteilen</t>
  </si>
  <si>
    <t>colin</t>
  </si>
  <si>
    <t>rahmen</t>
  </si>
  <si>
    <t>durchgedreht</t>
  </si>
  <si>
    <t>erteilt</t>
  </si>
  <si>
    <t>fotze</t>
  </si>
  <si>
    <t>fehlte</t>
  </si>
  <si>
    <t>verlorene</t>
  </si>
  <si>
    <t>kanonen</t>
  </si>
  <si>
    <t>kansas</t>
  </si>
  <si>
    <t>klub</t>
  </si>
  <si>
    <t>britischen</t>
  </si>
  <si>
    <t>aufzubauen</t>
  </si>
  <si>
    <t>jubeln</t>
  </si>
  <si>
    <t>ausgelöscht</t>
  </si>
  <si>
    <t>marianne</t>
  </si>
  <si>
    <t>stu</t>
  </si>
  <si>
    <t>servieren</t>
  </si>
  <si>
    <t>weltweit</t>
  </si>
  <si>
    <t>fotografieren</t>
  </si>
  <si>
    <t>niederlage</t>
  </si>
  <si>
    <t>zehen</t>
  </si>
  <si>
    <t>schwächen</t>
  </si>
  <si>
    <t>sternen</t>
  </si>
  <si>
    <t>sheila</t>
  </si>
  <si>
    <t>bemühen</t>
  </si>
  <si>
    <t>logik</t>
  </si>
  <si>
    <t>stillen</t>
  </si>
  <si>
    <t>bellows</t>
  </si>
  <si>
    <t>todesursache</t>
  </si>
  <si>
    <t>beschaffen</t>
  </si>
  <si>
    <t>abgezogen</t>
  </si>
  <si>
    <t>klassische</t>
  </si>
  <si>
    <t>außergewöhnlich</t>
  </si>
  <si>
    <t>gruppen</t>
  </si>
  <si>
    <t>schwarzes</t>
  </si>
  <si>
    <t>durchhalten</t>
  </si>
  <si>
    <t>lm</t>
  </si>
  <si>
    <t>weitergeht</t>
  </si>
  <si>
    <t>kooperieren</t>
  </si>
  <si>
    <t>mächtigen</t>
  </si>
  <si>
    <t>greif</t>
  </si>
  <si>
    <t>mehreren</t>
  </si>
  <si>
    <t>verschwindest</t>
  </si>
  <si>
    <t>forderungen</t>
  </si>
  <si>
    <t>anfall</t>
  </si>
  <si>
    <t>klare</t>
  </si>
  <si>
    <t>teresa</t>
  </si>
  <si>
    <t>wunderschönen</t>
  </si>
  <si>
    <t>bestehe</t>
  </si>
  <si>
    <t>verkaufte</t>
  </si>
  <si>
    <t>aufeinander</t>
  </si>
  <si>
    <t>garcia</t>
  </si>
  <si>
    <t>hässliche</t>
  </si>
  <si>
    <t>großem</t>
  </si>
  <si>
    <t>mitbekommen</t>
  </si>
  <si>
    <t>gate</t>
  </si>
  <si>
    <t>saul</t>
  </si>
  <si>
    <t>ingenieur</t>
  </si>
  <si>
    <t>campbell</t>
  </si>
  <si>
    <t>andenken</t>
  </si>
  <si>
    <t>eintreten</t>
  </si>
  <si>
    <t>kämpfte</t>
  </si>
  <si>
    <t>zustimmung</t>
  </si>
  <si>
    <t>besagt</t>
  </si>
  <si>
    <t>roter</t>
  </si>
  <si>
    <t>flamme</t>
  </si>
  <si>
    <t>aufzuhören</t>
  </si>
  <si>
    <t>dokument</t>
  </si>
  <si>
    <t>bishop</t>
  </si>
  <si>
    <t>schuhen</t>
  </si>
  <si>
    <t>timmy</t>
  </si>
  <si>
    <t>simone</t>
  </si>
  <si>
    <t>federn</t>
  </si>
  <si>
    <t>paps</t>
  </si>
  <si>
    <t>auswendig</t>
  </si>
  <si>
    <t>bundy</t>
  </si>
  <si>
    <t>spezielle</t>
  </si>
  <si>
    <t>experimente</t>
  </si>
  <si>
    <t>szenen</t>
  </si>
  <si>
    <t>gezählt</t>
  </si>
  <si>
    <t>pfannkuchen</t>
  </si>
  <si>
    <t>hase</t>
  </si>
  <si>
    <t>highway</t>
  </si>
  <si>
    <t>aufenthalt</t>
  </si>
  <si>
    <t>bennett</t>
  </si>
  <si>
    <t>devon</t>
  </si>
  <si>
    <t>polly</t>
  </si>
  <si>
    <t>verstecke</t>
  </si>
  <si>
    <t>summen</t>
  </si>
  <si>
    <t>blutung</t>
  </si>
  <si>
    <t>more</t>
  </si>
  <si>
    <t>heidi</t>
  </si>
  <si>
    <t>hilflos</t>
  </si>
  <si>
    <t>staatsanwaltschaft</t>
  </si>
  <si>
    <t>ehrlichkeit</t>
  </si>
  <si>
    <t>messen</t>
  </si>
  <si>
    <t>mächtige</t>
  </si>
  <si>
    <t>stur</t>
  </si>
  <si>
    <t>ringe</t>
  </si>
  <si>
    <t>weiterleben</t>
  </si>
  <si>
    <t>aufspüren</t>
  </si>
  <si>
    <t>keks</t>
  </si>
  <si>
    <t>rückgängig</t>
  </si>
  <si>
    <t>fünfte</t>
  </si>
  <si>
    <t>netflix</t>
  </si>
  <si>
    <t>mieten</t>
  </si>
  <si>
    <t>speziell</t>
  </si>
  <si>
    <t>neugier</t>
  </si>
  <si>
    <t>nägel</t>
  </si>
  <si>
    <t>ausgefallen</t>
  </si>
  <si>
    <t>glen</t>
  </si>
  <si>
    <t>yes</t>
  </si>
  <si>
    <t>verstorbenen</t>
  </si>
  <si>
    <t>verkleidet</t>
  </si>
  <si>
    <t>entdeckung</t>
  </si>
  <si>
    <t>rauche</t>
  </si>
  <si>
    <t>betteln</t>
  </si>
  <si>
    <t>blond</t>
  </si>
  <si>
    <t>cam</t>
  </si>
  <si>
    <t>gilbert</t>
  </si>
  <si>
    <t>burt</t>
  </si>
  <si>
    <t>weggegangen</t>
  </si>
  <si>
    <t>nutze</t>
  </si>
  <si>
    <t>gütiger</t>
  </si>
  <si>
    <t>abgebrochen</t>
  </si>
  <si>
    <t>herkunft</t>
  </si>
  <si>
    <t>annahme</t>
  </si>
  <si>
    <t>wirfst</t>
  </si>
  <si>
    <t>gestank</t>
  </si>
  <si>
    <t>hintertür</t>
  </si>
  <si>
    <t>truthahn</t>
  </si>
  <si>
    <t>gefüllt</t>
  </si>
  <si>
    <t>bereithalten</t>
  </si>
  <si>
    <t>vorhat</t>
  </si>
  <si>
    <t>eleanor</t>
  </si>
  <si>
    <t>touristen</t>
  </si>
  <si>
    <t>fordere</t>
  </si>
  <si>
    <t>tagsüber</t>
  </si>
  <si>
    <t>feucht</t>
  </si>
  <si>
    <t>jeans</t>
  </si>
  <si>
    <t>befragung</t>
  </si>
  <si>
    <t>abgelaufen</t>
  </si>
  <si>
    <t>picard</t>
  </si>
  <si>
    <t>fu</t>
  </si>
  <si>
    <t>wunderbarer</t>
  </si>
  <si>
    <t>depp</t>
  </si>
  <si>
    <t>hüte</t>
  </si>
  <si>
    <t>israel</t>
  </si>
  <si>
    <t>ausschau</t>
  </si>
  <si>
    <t>kreischt</t>
  </si>
  <si>
    <t>bellen</t>
  </si>
  <si>
    <t>manipulieren</t>
  </si>
  <si>
    <t>studie</t>
  </si>
  <si>
    <t>heinrich</t>
  </si>
  <si>
    <t>knurren</t>
  </si>
  <si>
    <t>busch</t>
  </si>
  <si>
    <t>abwesenheit</t>
  </si>
  <si>
    <t>reitet</t>
  </si>
  <si>
    <t>komplizierter</t>
  </si>
  <si>
    <t>traut</t>
  </si>
  <si>
    <t>bestellung</t>
  </si>
  <si>
    <t>tatsachen</t>
  </si>
  <si>
    <t>heiligkeit</t>
  </si>
  <si>
    <t>back</t>
  </si>
  <si>
    <t>jahrhunderts</t>
  </si>
  <si>
    <t>verglichen</t>
  </si>
  <si>
    <t>sehnsucht</t>
  </si>
  <si>
    <t>überredet</t>
  </si>
  <si>
    <t>demokratie</t>
  </si>
  <si>
    <t>ranger</t>
  </si>
  <si>
    <t>empfehle</t>
  </si>
  <si>
    <t>schalt</t>
  </si>
  <si>
    <t>gevögelt</t>
  </si>
  <si>
    <t>young</t>
  </si>
  <si>
    <t>ra</t>
  </si>
  <si>
    <t>silver</t>
  </si>
  <si>
    <t>kräften</t>
  </si>
  <si>
    <t>rauszukommen</t>
  </si>
  <si>
    <t>schäden</t>
  </si>
  <si>
    <t>aggressiv</t>
  </si>
  <si>
    <t>ausleihen</t>
  </si>
  <si>
    <t>bella</t>
  </si>
  <si>
    <t>schlucken</t>
  </si>
  <si>
    <t>wesentlich</t>
  </si>
  <si>
    <t>ca.</t>
  </si>
  <si>
    <t>satan</t>
  </si>
  <si>
    <t>erben</t>
  </si>
  <si>
    <t>police</t>
  </si>
  <si>
    <t>horn</t>
  </si>
  <si>
    <t>lebende</t>
  </si>
  <si>
    <t>schmutzige</t>
  </si>
  <si>
    <t>eiskalt</t>
  </si>
  <si>
    <t>sirene</t>
  </si>
  <si>
    <t>birthday</t>
  </si>
  <si>
    <t>ritual</t>
  </si>
  <si>
    <t>ira</t>
  </si>
  <si>
    <t>pflanze</t>
  </si>
  <si>
    <t>stürzt</t>
  </si>
  <si>
    <t>reynolds</t>
  </si>
  <si>
    <t>investiert</t>
  </si>
  <si>
    <t>bernie</t>
  </si>
  <si>
    <t>marilyn</t>
  </si>
  <si>
    <t>formen</t>
  </si>
  <si>
    <t>freundchen</t>
  </si>
  <si>
    <t>politischen</t>
  </si>
  <si>
    <t>freigelassen</t>
  </si>
  <si>
    <t>lionel</t>
  </si>
  <si>
    <t>rausgeworfen</t>
  </si>
  <si>
    <t>verprügeln</t>
  </si>
  <si>
    <t>bescheiden</t>
  </si>
  <si>
    <t>garderobe</t>
  </si>
  <si>
    <t>streifen</t>
  </si>
  <si>
    <t>rausgekommen</t>
  </si>
  <si>
    <t>jodi</t>
  </si>
  <si>
    <t>voneinander</t>
  </si>
  <si>
    <t>wirt</t>
  </si>
  <si>
    <t>kasten</t>
  </si>
  <si>
    <t>zeichnen</t>
  </si>
  <si>
    <t>backen</t>
  </si>
  <si>
    <t>scheitern</t>
  </si>
  <si>
    <t>francs</t>
  </si>
  <si>
    <t>jon</t>
  </si>
  <si>
    <t>salon</t>
  </si>
  <si>
    <t>medikament</t>
  </si>
  <si>
    <t>demnächst</t>
  </si>
  <si>
    <t>geboten</t>
  </si>
  <si>
    <t>spike</t>
  </si>
  <si>
    <t>auslösen</t>
  </si>
  <si>
    <t>pferden</t>
  </si>
  <si>
    <t>lebensmittel</t>
  </si>
  <si>
    <t>ruhiger</t>
  </si>
  <si>
    <t>durchsuchungsbefehl</t>
  </si>
  <si>
    <t>allmählich</t>
  </si>
  <si>
    <t>benommen</t>
  </si>
  <si>
    <t>adieu</t>
  </si>
  <si>
    <t>fragten</t>
  </si>
  <si>
    <t>vortrag</t>
  </si>
  <si>
    <t>amerikas</t>
  </si>
  <si>
    <t>sherry</t>
  </si>
  <si>
    <t>och</t>
  </si>
  <si>
    <t>oui</t>
  </si>
  <si>
    <t>erpressen</t>
  </si>
  <si>
    <t>flittchen</t>
  </si>
  <si>
    <t>zähnen</t>
  </si>
  <si>
    <t>u-boot</t>
  </si>
  <si>
    <t>daniels</t>
  </si>
  <si>
    <t>endete</t>
  </si>
  <si>
    <t>ängstlich</t>
  </si>
  <si>
    <t>she</t>
  </si>
  <si>
    <t>as</t>
  </si>
  <si>
    <t>durchbruch</t>
  </si>
  <si>
    <t>dorothy</t>
  </si>
  <si>
    <t>wiederhaben</t>
  </si>
  <si>
    <t>schrecklicher</t>
  </si>
  <si>
    <t>model</t>
  </si>
  <si>
    <t>besitze</t>
  </si>
  <si>
    <t>sorg</t>
  </si>
  <si>
    <t>sophia</t>
  </si>
  <si>
    <t>sullivan</t>
  </si>
  <si>
    <t>chor</t>
  </si>
  <si>
    <t>zuschlagen</t>
  </si>
  <si>
    <t>schere</t>
  </si>
  <si>
    <t>kampagne</t>
  </si>
  <si>
    <t>jax</t>
  </si>
  <si>
    <t>verrücktes</t>
  </si>
  <si>
    <t>gestartet</t>
  </si>
  <si>
    <t>reinigen</t>
  </si>
  <si>
    <t>stoppt</t>
  </si>
  <si>
    <t>lucky</t>
  </si>
  <si>
    <t>quälen</t>
  </si>
  <si>
    <t>berufung</t>
  </si>
  <si>
    <t>luis</t>
  </si>
  <si>
    <t>knöchel</t>
  </si>
  <si>
    <t>zeitplan</t>
  </si>
  <si>
    <t>zerbrochen</t>
  </si>
  <si>
    <t>verfluchter</t>
  </si>
  <si>
    <t>weichei</t>
  </si>
  <si>
    <t>jegliche</t>
  </si>
  <si>
    <t>versuchung</t>
  </si>
  <si>
    <t>shelby</t>
  </si>
  <si>
    <t>beitrag</t>
  </si>
  <si>
    <t>picknick</t>
  </si>
  <si>
    <t>argument</t>
  </si>
  <si>
    <t>reiner</t>
  </si>
  <si>
    <t>flüstern</t>
  </si>
  <si>
    <t>dummheiten</t>
  </si>
  <si>
    <t>meile</t>
  </si>
  <si>
    <t>hamburger</t>
  </si>
  <si>
    <t>kontaktiert</t>
  </si>
  <si>
    <t>spione</t>
  </si>
  <si>
    <t>fähnrich</t>
  </si>
  <si>
    <t>erinnerte</t>
  </si>
  <si>
    <t>türklingel</t>
  </si>
  <si>
    <t>henri</t>
  </si>
  <si>
    <t>dynamit</t>
  </si>
  <si>
    <t>organe</t>
  </si>
  <si>
    <t>fell</t>
  </si>
  <si>
    <t>sonnenschein</t>
  </si>
  <si>
    <t>archie</t>
  </si>
  <si>
    <t>lache</t>
  </si>
  <si>
    <t>elisabeth</t>
  </si>
  <si>
    <t>aufgelegt</t>
  </si>
  <si>
    <t>bräutigam</t>
  </si>
  <si>
    <t>chinesische</t>
  </si>
  <si>
    <t>monats</t>
  </si>
  <si>
    <t>shakespeare</t>
  </si>
  <si>
    <t>verrät</t>
  </si>
  <si>
    <t>drunter</t>
  </si>
  <si>
    <t>schottland</t>
  </si>
  <si>
    <t>drohung</t>
  </si>
  <si>
    <t>wa</t>
  </si>
  <si>
    <t>wende</t>
  </si>
  <si>
    <t>gefoltert</t>
  </si>
  <si>
    <t>erwachsener</t>
  </si>
  <si>
    <t>einzigartig</t>
  </si>
  <si>
    <t>briten</t>
  </si>
  <si>
    <t>profis</t>
  </si>
  <si>
    <t>mon</t>
  </si>
  <si>
    <t>übertreiben</t>
  </si>
  <si>
    <t>ressourcen</t>
  </si>
  <si>
    <t>bischof</t>
  </si>
  <si>
    <t>nationale</t>
  </si>
  <si>
    <t>ausstehen</t>
  </si>
  <si>
    <t>geschwister</t>
  </si>
  <si>
    <t>mountain</t>
  </si>
  <si>
    <t>zurücktreten</t>
  </si>
  <si>
    <t>avery</t>
  </si>
  <si>
    <t>roberts</t>
  </si>
  <si>
    <t>axt</t>
  </si>
  <si>
    <t>hugh</t>
  </si>
  <si>
    <t>händler</t>
  </si>
  <si>
    <t>ägypten</t>
  </si>
  <si>
    <t>überdenken</t>
  </si>
  <si>
    <t>ludwig</t>
  </si>
  <si>
    <t>fiona</t>
  </si>
  <si>
    <t>warme</t>
  </si>
  <si>
    <t>joel</t>
  </si>
  <si>
    <t>konzentrier</t>
  </si>
  <si>
    <t>del</t>
  </si>
  <si>
    <t>dampf</t>
  </si>
  <si>
    <t>missbraucht</t>
  </si>
  <si>
    <t>loyal</t>
  </si>
  <si>
    <t>wurzeln</t>
  </si>
  <si>
    <t>aufhängen</t>
  </si>
  <si>
    <t>wurm</t>
  </si>
  <si>
    <t>kathy</t>
  </si>
  <si>
    <t>kerze</t>
  </si>
  <si>
    <t>bereue</t>
  </si>
  <si>
    <t>loslegen</t>
  </si>
  <si>
    <t>o.k.</t>
  </si>
  <si>
    <t>fingen</t>
  </si>
  <si>
    <t>besatzung</t>
  </si>
  <si>
    <t>dog</t>
  </si>
  <si>
    <t>klüger</t>
  </si>
  <si>
    <t>zugestoßen</t>
  </si>
  <si>
    <t>befürchten</t>
  </si>
  <si>
    <t>folgende</t>
  </si>
  <si>
    <t>schmerzhaft</t>
  </si>
  <si>
    <t>jody</t>
  </si>
  <si>
    <t>beschrieben</t>
  </si>
  <si>
    <t>zittern</t>
  </si>
  <si>
    <t>standpunkt</t>
  </si>
  <si>
    <t>visier</t>
  </si>
  <si>
    <t>rang</t>
  </si>
  <si>
    <t>phoenix</t>
  </si>
  <si>
    <t>wesley</t>
  </si>
  <si>
    <t>herausfindet</t>
  </si>
  <si>
    <t>schaute</t>
  </si>
  <si>
    <t>theoretisch</t>
  </si>
  <si>
    <t>if</t>
  </si>
  <si>
    <t>chan</t>
  </si>
  <si>
    <t>beutel</t>
  </si>
  <si>
    <t>drängen</t>
  </si>
  <si>
    <t>schlimmen</t>
  </si>
  <si>
    <t>klient</t>
  </si>
  <si>
    <t>hängst</t>
  </si>
  <si>
    <t>veranda</t>
  </si>
  <si>
    <t>pam</t>
  </si>
  <si>
    <t>jüngste</t>
  </si>
  <si>
    <t>strahlung</t>
  </si>
  <si>
    <t>betrügt</t>
  </si>
  <si>
    <t>unendlich</t>
  </si>
  <si>
    <t>gedichte</t>
  </si>
  <si>
    <t>sven</t>
  </si>
  <si>
    <t>irene</t>
  </si>
  <si>
    <t>gereist</t>
  </si>
  <si>
    <t>schiss</t>
  </si>
  <si>
    <t>benimmst</t>
  </si>
  <si>
    <t>schwangerschaft</t>
  </si>
  <si>
    <t>subcentral</t>
  </si>
  <si>
    <t>kopien</t>
  </si>
  <si>
    <t>infrage</t>
  </si>
  <si>
    <t>zweifeln</t>
  </si>
  <si>
    <t>nonne</t>
  </si>
  <si>
    <t>müsse</t>
  </si>
  <si>
    <t>juliette</t>
  </si>
  <si>
    <t>richtet</t>
  </si>
  <si>
    <t>lecken</t>
  </si>
  <si>
    <t>feuerwerk</t>
  </si>
  <si>
    <t>neueste</t>
  </si>
  <si>
    <t>geistes</t>
  </si>
  <si>
    <t>verletzten</t>
  </si>
  <si>
    <t>abwechslung</t>
  </si>
  <si>
    <t>ausgeführt</t>
  </si>
  <si>
    <t>kleingeld</t>
  </si>
  <si>
    <t>evans</t>
  </si>
  <si>
    <t>gelegentlich</t>
  </si>
  <si>
    <t>denise</t>
  </si>
  <si>
    <t>braten</t>
  </si>
  <si>
    <t>angelegt</t>
  </si>
  <si>
    <t>artie</t>
  </si>
  <si>
    <t>corporal</t>
  </si>
  <si>
    <t>entsteht</t>
  </si>
  <si>
    <t>rogers</t>
  </si>
  <si>
    <t>herzschlag</t>
  </si>
  <si>
    <t>glücklicherweise</t>
  </si>
  <si>
    <t>heilung</t>
  </si>
  <si>
    <t>cäsar</t>
  </si>
  <si>
    <t>angeklagten</t>
  </si>
  <si>
    <t>profit</t>
  </si>
  <si>
    <t>brüllen</t>
  </si>
  <si>
    <t>verschieden</t>
  </si>
  <si>
    <t>münzen</t>
  </si>
  <si>
    <t>hinterlässt</t>
  </si>
  <si>
    <t>königlichen</t>
  </si>
  <si>
    <t>stadtrat</t>
  </si>
  <si>
    <t>pressekonferenz</t>
  </si>
  <si>
    <t>nich</t>
  </si>
  <si>
    <t>geschaut</t>
  </si>
  <si>
    <t>zugegeben</t>
  </si>
  <si>
    <t>end</t>
  </si>
  <si>
    <t>komisches</t>
  </si>
  <si>
    <t>regie</t>
  </si>
  <si>
    <t>merk</t>
  </si>
  <si>
    <t>boote</t>
  </si>
  <si>
    <t>verbrennt</t>
  </si>
  <si>
    <t>allergisch</t>
  </si>
  <si>
    <t>schweizer</t>
  </si>
  <si>
    <t>verdächtiger</t>
  </si>
  <si>
    <t>gasse</t>
  </si>
  <si>
    <t>tussi</t>
  </si>
  <si>
    <t>befürchtet</t>
  </si>
  <si>
    <t>reite</t>
  </si>
  <si>
    <t>außerirdische</t>
  </si>
  <si>
    <t>ehemaliger</t>
  </si>
  <si>
    <t>radar</t>
  </si>
  <si>
    <t>gestattet</t>
  </si>
  <si>
    <t>gefecht</t>
  </si>
  <si>
    <t>angeschaut</t>
  </si>
  <si>
    <t>gedient</t>
  </si>
  <si>
    <t>pension</t>
  </si>
  <si>
    <t>strich</t>
  </si>
  <si>
    <t>lippenstift</t>
  </si>
  <si>
    <t>stab</t>
  </si>
  <si>
    <t>außerirdischen</t>
  </si>
  <si>
    <t>termine</t>
  </si>
  <si>
    <t>maler</t>
  </si>
  <si>
    <t>verweigert</t>
  </si>
  <si>
    <t>boxer</t>
  </si>
  <si>
    <t>vorteile</t>
  </si>
  <si>
    <t>ausstellung</t>
  </si>
  <si>
    <t>tragisch</t>
  </si>
  <si>
    <t>rasch</t>
  </si>
  <si>
    <t>oberste</t>
  </si>
  <si>
    <t>polizistin</t>
  </si>
  <si>
    <t>windeln</t>
  </si>
  <si>
    <t>detroit</t>
  </si>
  <si>
    <t>arizona</t>
  </si>
  <si>
    <t>universums</t>
  </si>
  <si>
    <t>aufheben</t>
  </si>
  <si>
    <t>narben</t>
  </si>
  <si>
    <t>fleißig</t>
  </si>
  <si>
    <t>freizeit</t>
  </si>
  <si>
    <t>elegant</t>
  </si>
  <si>
    <t>dolch</t>
  </si>
  <si>
    <t>sloan</t>
  </si>
  <si>
    <t>eindringen</t>
  </si>
  <si>
    <t>auszeit</t>
  </si>
  <si>
    <t>internationalen</t>
  </si>
  <si>
    <t>fielen</t>
  </si>
  <si>
    <t>weggeworfen</t>
  </si>
  <si>
    <t>vergeuden</t>
  </si>
  <si>
    <t>blätter</t>
  </si>
  <si>
    <t>blass</t>
  </si>
  <si>
    <t>konzept</t>
  </si>
  <si>
    <t>look</t>
  </si>
  <si>
    <t>keineswegs</t>
  </si>
  <si>
    <t>faden</t>
  </si>
  <si>
    <t>kleinste</t>
  </si>
  <si>
    <t>geschrien</t>
  </si>
  <si>
    <t>ertrunken</t>
  </si>
  <si>
    <t>blase</t>
  </si>
  <si>
    <t>treffpunkt</t>
  </si>
  <si>
    <t>schrift</t>
  </si>
  <si>
    <t>mathe</t>
  </si>
  <si>
    <t>royal</t>
  </si>
  <si>
    <t>evelyn</t>
  </si>
  <si>
    <t>britische</t>
  </si>
  <si>
    <t>körperlich</t>
  </si>
  <si>
    <t>konzentration</t>
  </si>
  <si>
    <t>schaltet</t>
  </si>
  <si>
    <t>draht</t>
  </si>
  <si>
    <t>at</t>
  </si>
  <si>
    <t>älteste</t>
  </si>
  <si>
    <t>höhere</t>
  </si>
  <si>
    <t>gerannt</t>
  </si>
  <si>
    <t>tower</t>
  </si>
  <si>
    <t>gedrückt</t>
  </si>
  <si>
    <t>reinigung</t>
  </si>
  <si>
    <t>fordert</t>
  </si>
  <si>
    <t>ideale</t>
  </si>
  <si>
    <t>stiehlt</t>
  </si>
  <si>
    <t>money</t>
  </si>
  <si>
    <t>eiern</t>
  </si>
  <si>
    <t>dritter</t>
  </si>
  <si>
    <t>züge</t>
  </si>
  <si>
    <t>optionen</t>
  </si>
  <si>
    <t>ge</t>
  </si>
  <si>
    <t>roland</t>
  </si>
  <si>
    <t>ersticken</t>
  </si>
  <si>
    <t>farmer</t>
  </si>
  <si>
    <t>batterie</t>
  </si>
  <si>
    <t>obst</t>
  </si>
  <si>
    <t>badewanne</t>
  </si>
  <si>
    <t>manches</t>
  </si>
  <si>
    <t>droge</t>
  </si>
  <si>
    <t>übertragung</t>
  </si>
  <si>
    <t>enge</t>
  </si>
  <si>
    <t>nickerchen</t>
  </si>
  <si>
    <t>juhu</t>
  </si>
  <si>
    <t>cora</t>
  </si>
  <si>
    <t>lungen</t>
  </si>
  <si>
    <t>öffnete</t>
  </si>
  <si>
    <t>abschneiden</t>
  </si>
  <si>
    <t>valentine</t>
  </si>
  <si>
    <t>hierbei</t>
  </si>
  <si>
    <t>sorgst</t>
  </si>
  <si>
    <t>phillip</t>
  </si>
  <si>
    <t>schaffte</t>
  </si>
  <si>
    <t>omar</t>
  </si>
  <si>
    <t>anfänger</t>
  </si>
  <si>
    <t>gen</t>
  </si>
  <si>
    <t>ungerecht</t>
  </si>
  <si>
    <t>reue</t>
  </si>
  <si>
    <t>two</t>
  </si>
  <si>
    <t>rhythmus</t>
  </si>
  <si>
    <t>kündige</t>
  </si>
  <si>
    <t>mitgehen</t>
  </si>
  <si>
    <t>siegel</t>
  </si>
  <si>
    <t>moore</t>
  </si>
  <si>
    <t>stechen</t>
  </si>
  <si>
    <t>baue</t>
  </si>
  <si>
    <t>prostituierte</t>
  </si>
  <si>
    <t>heller</t>
  </si>
  <si>
    <t>umgehend</t>
  </si>
  <si>
    <t>hoffnungslos</t>
  </si>
  <si>
    <t>checken</t>
  </si>
  <si>
    <t>drücke</t>
  </si>
  <si>
    <t>wong</t>
  </si>
  <si>
    <t>merkwürdige</t>
  </si>
  <si>
    <t>valley</t>
  </si>
  <si>
    <t>brandy</t>
  </si>
  <si>
    <t>gelbe</t>
  </si>
  <si>
    <t>nützen</t>
  </si>
  <si>
    <t>venedig</t>
  </si>
  <si>
    <t>gideon</t>
  </si>
  <si>
    <t>lernten</t>
  </si>
  <si>
    <t>benimmt</t>
  </si>
  <si>
    <t>georg</t>
  </si>
  <si>
    <t>mächtiger</t>
  </si>
  <si>
    <t>genutzt</t>
  </si>
  <si>
    <t>verzieh</t>
  </si>
  <si>
    <t>schüssel</t>
  </si>
  <si>
    <t>dreckigen</t>
  </si>
  <si>
    <t>wiegt</t>
  </si>
  <si>
    <t>kg</t>
  </si>
  <si>
    <t>abraham</t>
  </si>
  <si>
    <t>seltsamer</t>
  </si>
  <si>
    <t>hiervon</t>
  </si>
  <si>
    <t>beraten</t>
  </si>
  <si>
    <t>schienen</t>
  </si>
  <si>
    <t>wirkliche</t>
  </si>
  <si>
    <t>träumt</t>
  </si>
  <si>
    <t>versprech</t>
  </si>
  <si>
    <t>ideal</t>
  </si>
  <si>
    <t>norma</t>
  </si>
  <si>
    <t>sire</t>
  </si>
  <si>
    <t>marschieren</t>
  </si>
  <si>
    <t>mitbewohner</t>
  </si>
  <si>
    <t>verlobung</t>
  </si>
  <si>
    <t>mio.</t>
  </si>
  <si>
    <t>funken</t>
  </si>
  <si>
    <t>gleichfalls</t>
  </si>
  <si>
    <t>geringsten</t>
  </si>
  <si>
    <t>empfange</t>
  </si>
  <si>
    <t>führten</t>
  </si>
  <si>
    <t>ex-frau</t>
  </si>
  <si>
    <t>gelben</t>
  </si>
  <si>
    <t>lach</t>
  </si>
  <si>
    <t>vereinbart</t>
  </si>
  <si>
    <t>kimmy</t>
  </si>
  <si>
    <t>prügel</t>
  </si>
  <si>
    <t>läuten</t>
  </si>
  <si>
    <t>anzugreifen</t>
  </si>
  <si>
    <t>balkon</t>
  </si>
  <si>
    <t>fran</t>
  </si>
  <si>
    <t>flüchten</t>
  </si>
  <si>
    <t>umkehren</t>
  </si>
  <si>
    <t>ansieht</t>
  </si>
  <si>
    <t>rechtfertigen</t>
  </si>
  <si>
    <t>belügen</t>
  </si>
  <si>
    <t>verdächtigt</t>
  </si>
  <si>
    <t>begannen</t>
  </si>
  <si>
    <t>snow</t>
  </si>
  <si>
    <t>oskar</t>
  </si>
  <si>
    <t>englischen</t>
  </si>
  <si>
    <t>inspiriert</t>
  </si>
  <si>
    <t>murray</t>
  </si>
  <si>
    <t>shirt</t>
  </si>
  <si>
    <t>erlaube</t>
  </si>
  <si>
    <t>ertrinken</t>
  </si>
  <si>
    <t>sorgfältig</t>
  </si>
  <si>
    <t>spuck</t>
  </si>
  <si>
    <t>eingetroffen</t>
  </si>
  <si>
    <t>chang</t>
  </si>
  <si>
    <t>lynette</t>
  </si>
  <si>
    <t>feine</t>
  </si>
  <si>
    <t>home</t>
  </si>
  <si>
    <t>grosse</t>
  </si>
  <si>
    <t>schickten</t>
  </si>
  <si>
    <t>überreste</t>
  </si>
  <si>
    <t>how</t>
  </si>
  <si>
    <t>garantiere</t>
  </si>
  <si>
    <t>unerträglich</t>
  </si>
  <si>
    <t>vorerst</t>
  </si>
  <si>
    <t>yale</t>
  </si>
  <si>
    <t>verirrt</t>
  </si>
  <si>
    <t>überstanden</t>
  </si>
  <si>
    <t>harriet</t>
  </si>
  <si>
    <t>liga</t>
  </si>
  <si>
    <t>wertlos</t>
  </si>
  <si>
    <t>marvin</t>
  </si>
  <si>
    <t>gottverdammt</t>
  </si>
  <si>
    <t>gesammelt</t>
  </si>
  <si>
    <t>kanntest</t>
  </si>
  <si>
    <t>bezeichnet</t>
  </si>
  <si>
    <t>beantworte</t>
  </si>
  <si>
    <t>baltimore</t>
  </si>
  <si>
    <t>shirley</t>
  </si>
  <si>
    <t>connie</t>
  </si>
  <si>
    <t>netzwerk</t>
  </si>
  <si>
    <t>moses</t>
  </si>
  <si>
    <t>entstehen</t>
  </si>
  <si>
    <t>ingalls</t>
  </si>
  <si>
    <t>lauten</t>
  </si>
  <si>
    <t>fasziniert</t>
  </si>
  <si>
    <t>tv4user</t>
  </si>
  <si>
    <t>ehrliche</t>
  </si>
  <si>
    <t>akademie</t>
  </si>
  <si>
    <t>grünes</t>
  </si>
  <si>
    <t>branche</t>
  </si>
  <si>
    <t>rudy</t>
  </si>
  <si>
    <t>soße</t>
  </si>
  <si>
    <t>situationen</t>
  </si>
  <si>
    <t>entführer</t>
  </si>
  <si>
    <t>ewigen</t>
  </si>
  <si>
    <t>erzeugt</t>
  </si>
  <si>
    <t>fünften</t>
  </si>
  <si>
    <t>dtv</t>
  </si>
  <si>
    <t>registriert</t>
  </si>
  <si>
    <t>basketball</t>
  </si>
  <si>
    <t>abgesetzt</t>
  </si>
  <si>
    <t>irgendwelchen</t>
  </si>
  <si>
    <t>vorsitzender</t>
  </si>
  <si>
    <t>bedürfnisse</t>
  </si>
  <si>
    <t>suite</t>
  </si>
  <si>
    <t>mhm-hm</t>
  </si>
  <si>
    <t>regieren</t>
  </si>
  <si>
    <t>barkeeper</t>
  </si>
  <si>
    <t>ausgemacht</t>
  </si>
  <si>
    <t>fritz</t>
  </si>
  <si>
    <t>dateien</t>
  </si>
  <si>
    <t>dixon</t>
  </si>
  <si>
    <t>gegründet</t>
  </si>
  <si>
    <t>wolke</t>
  </si>
  <si>
    <t>wall</t>
  </si>
  <si>
    <t>umgang</t>
  </si>
  <si>
    <t>schenk</t>
  </si>
  <si>
    <t>festen</t>
  </si>
  <si>
    <t>erziehung</t>
  </si>
  <si>
    <t>agentin</t>
  </si>
  <si>
    <t>marines</t>
  </si>
  <si>
    <t>hasen</t>
  </si>
  <si>
    <t>institut</t>
  </si>
  <si>
    <t>mittleren</t>
  </si>
  <si>
    <t>hingerichtet</t>
  </si>
  <si>
    <t>lenken</t>
  </si>
  <si>
    <t>angewiesen</t>
  </si>
  <si>
    <t>überlebende</t>
  </si>
  <si>
    <t>bass</t>
  </si>
  <si>
    <t>pearl</t>
  </si>
  <si>
    <t>lahm</t>
  </si>
  <si>
    <t>basiert</t>
  </si>
  <si>
    <t>rasieren</t>
  </si>
  <si>
    <t>angeordnet</t>
  </si>
  <si>
    <t>gewalttätig</t>
  </si>
  <si>
    <t>untergang</t>
  </si>
  <si>
    <t>flach</t>
  </si>
  <si>
    <t>autogramm</t>
  </si>
  <si>
    <t>schwule</t>
  </si>
  <si>
    <t>kompanie</t>
  </si>
  <si>
    <t>casino</t>
  </si>
  <si>
    <t>solches</t>
  </si>
  <si>
    <t>sackgasse</t>
  </si>
  <si>
    <t>einbrecher</t>
  </si>
  <si>
    <t>stehenbleiben</t>
  </si>
  <si>
    <t>erwartungen</t>
  </si>
  <si>
    <t>flüssigkeit</t>
  </si>
  <si>
    <t>erraten</t>
  </si>
  <si>
    <t>verkaufst</t>
  </si>
  <si>
    <t>vorsprung</t>
  </si>
  <si>
    <t>zahlst</t>
  </si>
  <si>
    <t>verkäufer</t>
  </si>
  <si>
    <t>zukommen</t>
  </si>
  <si>
    <t>abdrücke</t>
  </si>
  <si>
    <t>kurve</t>
  </si>
  <si>
    <t>kämpfst</t>
  </si>
  <si>
    <t>les</t>
  </si>
  <si>
    <t>verziehen</t>
  </si>
  <si>
    <t>invasion</t>
  </si>
  <si>
    <t>pissen</t>
  </si>
  <si>
    <t>klarer</t>
  </si>
  <si>
    <t>herrschen</t>
  </si>
  <si>
    <t>prince</t>
  </si>
  <si>
    <t>zylonen</t>
  </si>
  <si>
    <t>donnie</t>
  </si>
  <si>
    <t>giles</t>
  </si>
  <si>
    <t>outfit</t>
  </si>
  <si>
    <t>prinzipien</t>
  </si>
  <si>
    <t>rühr</t>
  </si>
  <si>
    <t>entzückend</t>
  </si>
  <si>
    <t>reinen</t>
  </si>
  <si>
    <t>drecksack</t>
  </si>
  <si>
    <t>frischen</t>
  </si>
  <si>
    <t>corabeth</t>
  </si>
  <si>
    <t>höhepunkt</t>
  </si>
  <si>
    <t>elsa</t>
  </si>
  <si>
    <t>geduldig</t>
  </si>
  <si>
    <t>rio</t>
  </si>
  <si>
    <t>pest</t>
  </si>
  <si>
    <t>wenigsten</t>
  </si>
  <si>
    <t>beschwert</t>
  </si>
  <si>
    <t>natürliche</t>
  </si>
  <si>
    <t>erzeugen</t>
  </si>
  <si>
    <t>fürchterlich</t>
  </si>
  <si>
    <t>veröffentlichen</t>
  </si>
  <si>
    <t>tv4user.de</t>
  </si>
  <si>
    <t>wunderbares</t>
  </si>
  <si>
    <t>isaac</t>
  </si>
  <si>
    <t>unglücklicherweise</t>
  </si>
  <si>
    <t>ratschläge</t>
  </si>
  <si>
    <t>erstickt</t>
  </si>
  <si>
    <t>vagina</t>
  </si>
  <si>
    <t>scharfe</t>
  </si>
  <si>
    <t>nutten</t>
  </si>
  <si>
    <t>äpfel</t>
  </si>
  <si>
    <t>zoll</t>
  </si>
  <si>
    <t>region</t>
  </si>
  <si>
    <t>zuliebe</t>
  </si>
  <si>
    <t>riefen</t>
  </si>
  <si>
    <t>wachmann</t>
  </si>
  <si>
    <t>gipfel</t>
  </si>
  <si>
    <t>geübt</t>
  </si>
  <si>
    <t>d.j.</t>
  </si>
  <si>
    <t>jammer</t>
  </si>
  <si>
    <t>lädt</t>
  </si>
  <si>
    <t>galerie</t>
  </si>
  <si>
    <t>enkelin</t>
  </si>
  <si>
    <t>mönch</t>
  </si>
  <si>
    <t>tinte</t>
  </si>
  <si>
    <t>journalist</t>
  </si>
  <si>
    <t>glückspilz</t>
  </si>
  <si>
    <t>platzen</t>
  </si>
  <si>
    <t>ego</t>
  </si>
  <si>
    <t>reinste</t>
  </si>
  <si>
    <t>news</t>
  </si>
  <si>
    <t>aspirin</t>
  </si>
  <si>
    <t>right</t>
  </si>
  <si>
    <t>andre</t>
  </si>
  <si>
    <t>früchte</t>
  </si>
  <si>
    <t>bart.</t>
  </si>
  <si>
    <t>gewähren</t>
  </si>
  <si>
    <t>prophezeiung</t>
  </si>
  <si>
    <t>winzig</t>
  </si>
  <si>
    <t>light</t>
  </si>
  <si>
    <t>tonnen</t>
  </si>
  <si>
    <t>lizenz</t>
  </si>
  <si>
    <t>maßnahmen</t>
  </si>
  <si>
    <t>ermittelt</t>
  </si>
  <si>
    <t>stufen</t>
  </si>
  <si>
    <t>w</t>
  </si>
  <si>
    <t>joy</t>
  </si>
  <si>
    <t>lüg</t>
  </si>
  <si>
    <t>who</t>
  </si>
  <si>
    <t>student</t>
  </si>
  <si>
    <t>absetzen</t>
  </si>
  <si>
    <t>schwindel</t>
  </si>
  <si>
    <t>national</t>
  </si>
  <si>
    <t>fanny</t>
  </si>
  <si>
    <t>vorgeschlagen</t>
  </si>
  <si>
    <t>arbeitslos</t>
  </si>
  <si>
    <t>borg</t>
  </si>
  <si>
    <t>getränke</t>
  </si>
  <si>
    <t>ick</t>
  </si>
  <si>
    <t>joyce</t>
  </si>
  <si>
    <t>änderte</t>
  </si>
  <si>
    <t>philadelphia</t>
  </si>
  <si>
    <t>pfoten</t>
  </si>
  <si>
    <t>ausländer</t>
  </si>
  <si>
    <t>häng</t>
  </si>
  <si>
    <t>clyde</t>
  </si>
  <si>
    <t>kalender</t>
  </si>
  <si>
    <t>isabelle</t>
  </si>
  <si>
    <t>hannibal</t>
  </si>
  <si>
    <t>brüdern</t>
  </si>
  <si>
    <t>überstunden</t>
  </si>
  <si>
    <t>angehört</t>
  </si>
  <si>
    <t>langweilen</t>
  </si>
  <si>
    <t>deutet</t>
  </si>
  <si>
    <t>griffin</t>
  </si>
  <si>
    <t>friseur</t>
  </si>
  <si>
    <t>oberen</t>
  </si>
  <si>
    <t>fertigmachen</t>
  </si>
  <si>
    <t>they</t>
  </si>
  <si>
    <t>teure</t>
  </si>
  <si>
    <t>silas</t>
  </si>
  <si>
    <t>gedroht</t>
  </si>
  <si>
    <t>ana</t>
  </si>
  <si>
    <t>ermordung</t>
  </si>
  <si>
    <t>maura</t>
  </si>
  <si>
    <t>komischen</t>
  </si>
  <si>
    <t>bestimmtes</t>
  </si>
  <si>
    <t>diskret</t>
  </si>
  <si>
    <t>kriechen</t>
  </si>
  <si>
    <t>weißes</t>
  </si>
  <si>
    <t>luthor</t>
  </si>
  <si>
    <t>hinüber</t>
  </si>
  <si>
    <t>zauberei</t>
  </si>
  <si>
    <t>wünschst</t>
  </si>
  <si>
    <t>nadia</t>
  </si>
  <si>
    <t>biss</t>
  </si>
  <si>
    <t>komischer</t>
  </si>
  <si>
    <t>hotelzimmer</t>
  </si>
  <si>
    <t>delta</t>
  </si>
  <si>
    <t>chinesischen</t>
  </si>
  <si>
    <t>beängstigend</t>
  </si>
  <si>
    <t>hills</t>
  </si>
  <si>
    <t>quentin</t>
  </si>
  <si>
    <t>frequenz</t>
  </si>
  <si>
    <t>vorhast</t>
  </si>
  <si>
    <t>tödliche</t>
  </si>
  <si>
    <t>summer</t>
  </si>
  <si>
    <t>verband</t>
  </si>
  <si>
    <t>gebucht</t>
  </si>
  <si>
    <t>investieren</t>
  </si>
  <si>
    <t>website</t>
  </si>
  <si>
    <t>diät</t>
  </si>
  <si>
    <t>benimm</t>
  </si>
  <si>
    <t>vergangenen</t>
  </si>
  <si>
    <t>rodney</t>
  </si>
  <si>
    <t>verbringe</t>
  </si>
  <si>
    <t>zukünftige</t>
  </si>
  <si>
    <t>kong</t>
  </si>
  <si>
    <t>ehemalige</t>
  </si>
  <si>
    <t>ch00ff00</t>
  </si>
  <si>
    <t>aufklären</t>
  </si>
  <si>
    <t>kämen</t>
  </si>
  <si>
    <t>unauffällig</t>
  </si>
  <si>
    <t>gefälscht</t>
  </si>
  <si>
    <t>geier</t>
  </si>
  <si>
    <t>anschuldigungen</t>
  </si>
  <si>
    <t>sal</t>
  </si>
  <si>
    <t>restlichen</t>
  </si>
  <si>
    <t>tomaten</t>
  </si>
  <si>
    <t>gonna</t>
  </si>
  <si>
    <t>philosophie</t>
  </si>
  <si>
    <t>liebten</t>
  </si>
  <si>
    <t>programmiert</t>
  </si>
  <si>
    <t>shawn</t>
  </si>
  <si>
    <t>festgestellt</t>
  </si>
  <si>
    <t>fällig</t>
  </si>
  <si>
    <t>kneipe</t>
  </si>
  <si>
    <t>bezahlst</t>
  </si>
  <si>
    <t>beende</t>
  </si>
  <si>
    <t>fehlst</t>
  </si>
  <si>
    <t>vornehmen</t>
  </si>
  <si>
    <t>sumpf</t>
  </si>
  <si>
    <t>apotheke</t>
  </si>
  <si>
    <t>internationale</t>
  </si>
  <si>
    <t>liefert</t>
  </si>
  <si>
    <t>wehen</t>
  </si>
  <si>
    <t>bastarde</t>
  </si>
  <si>
    <t>erstochen</t>
  </si>
  <si>
    <t>schiffes</t>
  </si>
  <si>
    <t>manuel</t>
  </si>
  <si>
    <t>nördlich</t>
  </si>
  <si>
    <t>american</t>
  </si>
  <si>
    <t>körpers</t>
  </si>
  <si>
    <t>schal</t>
  </si>
  <si>
    <t>anklagen</t>
  </si>
  <si>
    <t>schlagt</t>
  </si>
  <si>
    <t>entscheidest</t>
  </si>
  <si>
    <t>sammelt</t>
  </si>
  <si>
    <t>gegenzug</t>
  </si>
  <si>
    <t>vorzubereiten</t>
  </si>
  <si>
    <t>enttäuschung</t>
  </si>
  <si>
    <t>unterkunft</t>
  </si>
  <si>
    <t>freilassen</t>
  </si>
  <si>
    <t>grau</t>
  </si>
  <si>
    <t>hunt</t>
  </si>
  <si>
    <t>verlobter</t>
  </si>
  <si>
    <t>niere</t>
  </si>
  <si>
    <t>kratzen</t>
  </si>
  <si>
    <t>altar</t>
  </si>
  <si>
    <t>erstaunt</t>
  </si>
  <si>
    <t>d.c.</t>
  </si>
  <si>
    <t>ausbruch</t>
  </si>
  <si>
    <t>tuch</t>
  </si>
  <si>
    <t>fahne</t>
  </si>
  <si>
    <t>beleidigung</t>
  </si>
  <si>
    <t>bedeutete</t>
  </si>
  <si>
    <t>verhält</t>
  </si>
  <si>
    <t>unheimliche</t>
  </si>
  <si>
    <t>unsterblich</t>
  </si>
  <si>
    <t>hohes</t>
  </si>
  <si>
    <t>evakuieren</t>
  </si>
  <si>
    <t>produziert</t>
  </si>
  <si>
    <t>nachfolger</t>
  </si>
  <si>
    <t>blicke</t>
  </si>
  <si>
    <t>vorschläge</t>
  </si>
  <si>
    <t>chauffeur</t>
  </si>
  <si>
    <t>englische</t>
  </si>
  <si>
    <t>ironie</t>
  </si>
  <si>
    <t>ausreichend</t>
  </si>
  <si>
    <t>hit</t>
  </si>
  <si>
    <t>anderthalb</t>
  </si>
  <si>
    <t>erlösung</t>
  </si>
  <si>
    <t>käfer</t>
  </si>
  <si>
    <t>küsschen</t>
  </si>
  <si>
    <t>eugene</t>
  </si>
  <si>
    <t>auslöschen</t>
  </si>
  <si>
    <t>ihretwegen</t>
  </si>
  <si>
    <t>limonade</t>
  </si>
  <si>
    <t>hedley</t>
  </si>
  <si>
    <t>billige</t>
  </si>
  <si>
    <t>tequila</t>
  </si>
  <si>
    <t>schlachtfeld</t>
  </si>
  <si>
    <t>knight</t>
  </si>
  <si>
    <t>gemäß</t>
  </si>
  <si>
    <t>angreifer</t>
  </si>
  <si>
    <t>hingegangen</t>
  </si>
  <si>
    <t>dns</t>
  </si>
  <si>
    <t>zero</t>
  </si>
  <si>
    <t>liefen</t>
  </si>
  <si>
    <t>schale</t>
  </si>
  <si>
    <t>restaurants</t>
  </si>
  <si>
    <t>ausfindig</t>
  </si>
  <si>
    <t>mills</t>
  </si>
  <si>
    <t>angriffe</t>
  </si>
  <si>
    <t>rotes</t>
  </si>
  <si>
    <t>percy</t>
  </si>
  <si>
    <t>modernen</t>
  </si>
  <si>
    <t>motto</t>
  </si>
  <si>
    <t>eintritt</t>
  </si>
  <si>
    <t>bh</t>
  </si>
  <si>
    <t>betroffen</t>
  </si>
  <si>
    <t>misstrauisch</t>
  </si>
  <si>
    <t>verwirrend</t>
  </si>
  <si>
    <t>kapelle</t>
  </si>
  <si>
    <t>starkes</t>
  </si>
  <si>
    <t>brick</t>
  </si>
  <si>
    <t>gebetet</t>
  </si>
  <si>
    <t>einrichten</t>
  </si>
  <si>
    <t>ausnutzen</t>
  </si>
  <si>
    <t>kinn</t>
  </si>
  <si>
    <t>frisches</t>
  </si>
  <si>
    <t>quatschen</t>
  </si>
  <si>
    <t>automatisch</t>
  </si>
  <si>
    <t>chad</t>
  </si>
  <si>
    <t>körperverletzung</t>
  </si>
  <si>
    <t>spritzen</t>
  </si>
  <si>
    <t>einwohner</t>
  </si>
  <si>
    <t>renn</t>
  </si>
  <si>
    <t>pink</t>
  </si>
  <si>
    <t>chen</t>
  </si>
  <si>
    <t>gezeichnet</t>
  </si>
  <si>
    <t>anständige</t>
  </si>
  <si>
    <t>steif</t>
  </si>
  <si>
    <t>rekord</t>
  </si>
  <si>
    <t>durchgeknallt</t>
  </si>
  <si>
    <t>foltern</t>
  </si>
  <si>
    <t>erspart</t>
  </si>
  <si>
    <t>kuba</t>
  </si>
  <si>
    <t>bräuchten</t>
  </si>
  <si>
    <t>überdosis</t>
  </si>
  <si>
    <t>armband</t>
  </si>
  <si>
    <t>bert</t>
  </si>
  <si>
    <t>adoptiert</t>
  </si>
  <si>
    <t>komplizen</t>
  </si>
  <si>
    <t>ehemaligen</t>
  </si>
  <si>
    <t>department</t>
  </si>
  <si>
    <t>einschalten</t>
  </si>
  <si>
    <t>handschrift</t>
  </si>
  <si>
    <t>ältesten</t>
  </si>
  <si>
    <t>assistenten</t>
  </si>
  <si>
    <t>großartigen</t>
  </si>
  <si>
    <t>männlich</t>
  </si>
  <si>
    <t>übernimmst</t>
  </si>
  <si>
    <t>übrigen</t>
  </si>
  <si>
    <t>klaviermusik</t>
  </si>
  <si>
    <t>ash</t>
  </si>
  <si>
    <t>viktor</t>
  </si>
  <si>
    <t>judith</t>
  </si>
  <si>
    <t>gemietet</t>
  </si>
  <si>
    <t>mischung</t>
  </si>
  <si>
    <t>luxus</t>
  </si>
  <si>
    <t>schwung</t>
  </si>
  <si>
    <t>vicky</t>
  </si>
  <si>
    <t>hochgehen</t>
  </si>
  <si>
    <t>wegtreten</t>
  </si>
  <si>
    <t>stargate</t>
  </si>
  <si>
    <t>carlo</t>
  </si>
  <si>
    <t>beherrscht</t>
  </si>
  <si>
    <t>grippe</t>
  </si>
  <si>
    <t>informanten</t>
  </si>
  <si>
    <t>mm-hmm</t>
  </si>
  <si>
    <t>hülle</t>
  </si>
  <si>
    <t>side</t>
  </si>
  <si>
    <t>floh</t>
  </si>
  <si>
    <t>kit</t>
  </si>
  <si>
    <t>fitz</t>
  </si>
  <si>
    <t>nudeln</t>
  </si>
  <si>
    <t>schaf</t>
  </si>
  <si>
    <t>uhrzeit</t>
  </si>
  <si>
    <t>zigarre</t>
  </si>
  <si>
    <t>tänzerin</t>
  </si>
  <si>
    <t>einkaufszentrum</t>
  </si>
  <si>
    <t>vollmond</t>
  </si>
  <si>
    <t>mexikaner</t>
  </si>
  <si>
    <t>piepst</t>
  </si>
  <si>
    <t>gestoppt</t>
  </si>
  <si>
    <t>gray</t>
  </si>
  <si>
    <t>eingerichtet</t>
  </si>
  <si>
    <t>umarmung</t>
  </si>
  <si>
    <t>rohr</t>
  </si>
  <si>
    <t>batterien</t>
  </si>
  <si>
    <t>ella</t>
  </si>
  <si>
    <t>spende</t>
  </si>
  <si>
    <t>julius</t>
  </si>
  <si>
    <t>mumm</t>
  </si>
  <si>
    <t>gans</t>
  </si>
  <si>
    <t>leuchten</t>
  </si>
  <si>
    <t>alien</t>
  </si>
  <si>
    <t>dom</t>
  </si>
  <si>
    <t>geriet</t>
  </si>
  <si>
    <t>unterzeichnet</t>
  </si>
  <si>
    <t>operationen</t>
  </si>
  <si>
    <t>schütteln</t>
  </si>
  <si>
    <t>vermissten</t>
  </si>
  <si>
    <t>angespannt</t>
  </si>
  <si>
    <t>folgenden</t>
  </si>
  <si>
    <t>fantastische</t>
  </si>
  <si>
    <t>fies</t>
  </si>
  <si>
    <t>warp</t>
  </si>
  <si>
    <t>heilt</t>
  </si>
  <si>
    <t>auswirkungen</t>
  </si>
  <si>
    <t>geschlecht</t>
  </si>
  <si>
    <t>buchhalter</t>
  </si>
  <si>
    <t>drache</t>
  </si>
  <si>
    <t>computerlogbuch</t>
  </si>
  <si>
    <t>deuten</t>
  </si>
  <si>
    <t>bildung</t>
  </si>
  <si>
    <t>aufbewahrt</t>
  </si>
  <si>
    <t>persönlicher</t>
  </si>
  <si>
    <t>erpresst</t>
  </si>
  <si>
    <t>sang</t>
  </si>
  <si>
    <t>hinbringen</t>
  </si>
  <si>
    <t>amerikanischer</t>
  </si>
  <si>
    <t>üble</t>
  </si>
  <si>
    <t>einfaches</t>
  </si>
  <si>
    <t>angesetzt</t>
  </si>
  <si>
    <t>mmm</t>
  </si>
  <si>
    <t>hudson</t>
  </si>
  <si>
    <t>josef</t>
  </si>
  <si>
    <t>reagan</t>
  </si>
  <si>
    <t>volltreffer</t>
  </si>
  <si>
    <t>jonah</t>
  </si>
  <si>
    <t>totaler</t>
  </si>
  <si>
    <t>robinson</t>
  </si>
  <si>
    <t>zustößt</t>
  </si>
  <si>
    <t>herrschaft</t>
  </si>
  <si>
    <t>verhören</t>
  </si>
  <si>
    <t>unverzüglich</t>
  </si>
  <si>
    <t>christina</t>
  </si>
  <si>
    <t>bemüht</t>
  </si>
  <si>
    <t>aufgefunden</t>
  </si>
  <si>
    <t>unfähig</t>
  </si>
  <si>
    <t>stellten</t>
  </si>
  <si>
    <t>mi</t>
  </si>
  <si>
    <t>ursprünglich</t>
  </si>
  <si>
    <t>distanz</t>
  </si>
  <si>
    <t>rufus</t>
  </si>
  <si>
    <t>verheimlichen</t>
  </si>
  <si>
    <t>verstorben</t>
  </si>
  <si>
    <t>göttern</t>
  </si>
  <si>
    <t>hunden</t>
  </si>
  <si>
    <t>letztens</t>
  </si>
  <si>
    <t>jasper</t>
  </si>
  <si>
    <t>napoleon</t>
  </si>
  <si>
    <t>joshua</t>
  </si>
  <si>
    <t>billigen</t>
  </si>
  <si>
    <t>verschont</t>
  </si>
  <si>
    <t>rendezvous</t>
  </si>
  <si>
    <t>empfehlung</t>
  </si>
  <si>
    <t>handgelenk</t>
  </si>
  <si>
    <t>boten</t>
  </si>
  <si>
    <t>unterzeichnen</t>
  </si>
  <si>
    <t>belasten</t>
  </si>
  <si>
    <t>speziellen</t>
  </si>
  <si>
    <t>literatur</t>
  </si>
  <si>
    <t>landete</t>
  </si>
  <si>
    <t>gelangt</t>
  </si>
  <si>
    <t>cooler</t>
  </si>
  <si>
    <t>quer</t>
  </si>
  <si>
    <t>satelliten</t>
  </si>
  <si>
    <t>triff</t>
  </si>
  <si>
    <t>analysieren</t>
  </si>
  <si>
    <t>zuhälter</t>
  </si>
  <si>
    <t>zutiefst</t>
  </si>
  <si>
    <t>geleitet</t>
  </si>
  <si>
    <t>schlachten</t>
  </si>
  <si>
    <t>angestellte</t>
  </si>
  <si>
    <t>gestalten</t>
  </si>
  <si>
    <t>köpfen</t>
  </si>
  <si>
    <t>stipendium</t>
  </si>
  <si>
    <t>illegale</t>
  </si>
  <si>
    <t>vergiften</t>
  </si>
  <si>
    <t>here</t>
  </si>
  <si>
    <t>feiert</t>
  </si>
  <si>
    <t>bewundern</t>
  </si>
  <si>
    <t>herbert</t>
  </si>
  <si>
    <t>furchtbaren</t>
  </si>
  <si>
    <t>hüfte</t>
  </si>
  <si>
    <t>involviert</t>
  </si>
  <si>
    <t>wurf</t>
  </si>
  <si>
    <t>maschinenraum</t>
  </si>
  <si>
    <t>inspiration</t>
  </si>
  <si>
    <t>ohio</t>
  </si>
  <si>
    <t>samen</t>
  </si>
  <si>
    <t>hinterhalt</t>
  </si>
  <si>
    <t>gewahrsam</t>
  </si>
  <si>
    <t>schweres</t>
  </si>
  <si>
    <t>einatmen</t>
  </si>
  <si>
    <t>zurückhalten</t>
  </si>
  <si>
    <t>schlampen</t>
  </si>
  <si>
    <t>parfüm</t>
  </si>
  <si>
    <t>präsidentin</t>
  </si>
  <si>
    <t>abe</t>
  </si>
  <si>
    <t>entlassung</t>
  </si>
  <si>
    <t>todesstrafe</t>
  </si>
  <si>
    <t>ausgebrochen</t>
  </si>
  <si>
    <t>wegfahren</t>
  </si>
  <si>
    <t>sultan</t>
  </si>
  <si>
    <t>hauch</t>
  </si>
  <si>
    <t>abstellen</t>
  </si>
  <si>
    <t>pornos</t>
  </si>
  <si>
    <t>erklärte</t>
  </si>
  <si>
    <t>produzieren</t>
  </si>
  <si>
    <t>müller</t>
  </si>
  <si>
    <t>gehängt</t>
  </si>
  <si>
    <t>weinte</t>
  </si>
  <si>
    <t>routine</t>
  </si>
  <si>
    <t>merci</t>
  </si>
  <si>
    <t>nellie</t>
  </si>
  <si>
    <t>xander</t>
  </si>
  <si>
    <t>schneid</t>
  </si>
  <si>
    <t>kluge</t>
  </si>
  <si>
    <t>heart</t>
  </si>
  <si>
    <t>ländern</t>
  </si>
  <si>
    <t>bevorzuge</t>
  </si>
  <si>
    <t>ctu</t>
  </si>
  <si>
    <t>umkreis</t>
  </si>
  <si>
    <t>beschwerden</t>
  </si>
  <si>
    <t>teufels</t>
  </si>
  <si>
    <t>brooke</t>
  </si>
  <si>
    <t>genehmigt</t>
  </si>
  <si>
    <t>bildern</t>
  </si>
  <si>
    <t>scheißen</t>
  </si>
  <si>
    <t>schenkte</t>
  </si>
  <si>
    <t>erschlagen</t>
  </si>
  <si>
    <t>irland</t>
  </si>
  <si>
    <t>yard</t>
  </si>
  <si>
    <t>journalisten</t>
  </si>
  <si>
    <t>fände</t>
  </si>
  <si>
    <t>zurückkomme</t>
  </si>
  <si>
    <t>ärmel</t>
  </si>
  <si>
    <t>fließen</t>
  </si>
  <si>
    <t>arabisch</t>
  </si>
  <si>
    <t>verfolge</t>
  </si>
  <si>
    <t>juckt</t>
  </si>
  <si>
    <t>männliche</t>
  </si>
  <si>
    <t>klingonen</t>
  </si>
  <si>
    <t>zerrissen</t>
  </si>
  <si>
    <t>tausch</t>
  </si>
  <si>
    <t>schlaganfall</t>
  </si>
  <si>
    <t>johannes</t>
  </si>
  <si>
    <t>popcorn</t>
  </si>
  <si>
    <t>gärtner</t>
  </si>
  <si>
    <t>bläst</t>
  </si>
  <si>
    <t>jet</t>
  </si>
  <si>
    <t>chester</t>
  </si>
  <si>
    <t>garantie</t>
  </si>
  <si>
    <t>ändere</t>
  </si>
  <si>
    <t>jessie</t>
  </si>
  <si>
    <t>anstand</t>
  </si>
  <si>
    <t>power</t>
  </si>
  <si>
    <t>junkie</t>
  </si>
  <si>
    <t>vati</t>
  </si>
  <si>
    <t>topf</t>
  </si>
  <si>
    <t>packe</t>
  </si>
  <si>
    <t>knöpfe</t>
  </si>
  <si>
    <t>aussehe</t>
  </si>
  <si>
    <t>verabschiedet</t>
  </si>
  <si>
    <t>bedürfnis</t>
  </si>
  <si>
    <t>nähen</t>
  </si>
  <si>
    <t>sprecher</t>
  </si>
  <si>
    <t>chemie</t>
  </si>
  <si>
    <t>hinweisen</t>
  </si>
  <si>
    <t>stumm</t>
  </si>
  <si>
    <t>zusammenhalten</t>
  </si>
  <si>
    <t>geradezu</t>
  </si>
  <si>
    <t>mitzunehmen</t>
  </si>
  <si>
    <t>weite</t>
  </si>
  <si>
    <t>lori</t>
  </si>
  <si>
    <t>rippen</t>
  </si>
  <si>
    <t>kühl</t>
  </si>
  <si>
    <t>dahinten</t>
  </si>
  <si>
    <t>techniker</t>
  </si>
  <si>
    <t>abel</t>
  </si>
  <si>
    <t>betet</t>
  </si>
  <si>
    <t>beachten</t>
  </si>
  <si>
    <t>baute</t>
  </si>
  <si>
    <t>bonjour</t>
  </si>
  <si>
    <t>schecks</t>
  </si>
  <si>
    <t>ausgabe</t>
  </si>
  <si>
    <t>boyd</t>
  </si>
  <si>
    <t>vermasseln</t>
  </si>
  <si>
    <t>nötige</t>
  </si>
  <si>
    <t>südlich</t>
  </si>
  <si>
    <t>gramm</t>
  </si>
  <si>
    <t>laken</t>
  </si>
  <si>
    <t>bildet</t>
  </si>
  <si>
    <t>bewahre</t>
  </si>
  <si>
    <t>leises</t>
  </si>
  <si>
    <t>g.</t>
  </si>
  <si>
    <t>lastwagen</t>
  </si>
  <si>
    <t>kritik</t>
  </si>
  <si>
    <t>stürzte</t>
  </si>
  <si>
    <t>behält</t>
  </si>
  <si>
    <t>sofern</t>
  </si>
  <si>
    <t>vermisste</t>
  </si>
  <si>
    <t>entsetzlich</t>
  </si>
  <si>
    <t>francine</t>
  </si>
  <si>
    <t>ermittler</t>
  </si>
  <si>
    <t>nikki</t>
  </si>
  <si>
    <t>aufgestanden</t>
  </si>
  <si>
    <t>fälschung</t>
  </si>
  <si>
    <t>visiontext</t>
  </si>
  <si>
    <t>abschnitt</t>
  </si>
  <si>
    <t>hausarrest</t>
  </si>
  <si>
    <t>sensibel</t>
  </si>
  <si>
    <t>album</t>
  </si>
  <si>
    <t>lebewesen</t>
  </si>
  <si>
    <t>lösegeld</t>
  </si>
  <si>
    <t>verwechselt</t>
  </si>
  <si>
    <t>prügeln</t>
  </si>
  <si>
    <t>regnen</t>
  </si>
  <si>
    <t>weichen</t>
  </si>
  <si>
    <t>point</t>
  </si>
  <si>
    <t>pussy</t>
  </si>
  <si>
    <t>anvertrauen</t>
  </si>
  <si>
    <t>ollie</t>
  </si>
  <si>
    <t>kuppel</t>
  </si>
  <si>
    <t>verließen</t>
  </si>
  <si>
    <t>jakob</t>
  </si>
  <si>
    <t>besuchte</t>
  </si>
  <si>
    <t>gewerkschaft</t>
  </si>
  <si>
    <t>herhören</t>
  </si>
  <si>
    <t>vorbeigekommen</t>
  </si>
  <si>
    <t>stärken</t>
  </si>
  <si>
    <t>hinzu</t>
  </si>
  <si>
    <t>wrack</t>
  </si>
  <si>
    <t>knarren</t>
  </si>
  <si>
    <t>treibstoff</t>
  </si>
  <si>
    <t>signale</t>
  </si>
  <si>
    <t>nachkommen</t>
  </si>
  <si>
    <t>hoppla</t>
  </si>
  <si>
    <t>verborgen</t>
  </si>
  <si>
    <t>belegt</t>
  </si>
  <si>
    <t>babylon</t>
  </si>
  <si>
    <t>waisenhaus</t>
  </si>
  <si>
    <t>brasilien</t>
  </si>
  <si>
    <t>bitteschön</t>
  </si>
  <si>
    <t>wurmloch</t>
  </si>
  <si>
    <t>alters</t>
  </si>
  <si>
    <t>deb</t>
  </si>
  <si>
    <t>fee</t>
  </si>
  <si>
    <t>milton</t>
  </si>
  <si>
    <t>quarantäne</t>
  </si>
  <si>
    <t>kommunisten</t>
  </si>
  <si>
    <t>stiftung</t>
  </si>
  <si>
    <t>milo</t>
  </si>
  <si>
    <t>gestapo</t>
  </si>
  <si>
    <t>verreisen</t>
  </si>
  <si>
    <t>halleluja</t>
  </si>
  <si>
    <t>süchtig</t>
  </si>
  <si>
    <t>jammern</t>
  </si>
  <si>
    <t>hofft</t>
  </si>
  <si>
    <t>wertvolle</t>
  </si>
  <si>
    <t>maulwurf</t>
  </si>
  <si>
    <t>konflikt</t>
  </si>
  <si>
    <t>turnier</t>
  </si>
  <si>
    <t>gebacken</t>
  </si>
  <si>
    <t>rauszufinden</t>
  </si>
  <si>
    <t>taube</t>
  </si>
  <si>
    <t>mais</t>
  </si>
  <si>
    <t>nüsse</t>
  </si>
  <si>
    <t>trieb</t>
  </si>
  <si>
    <t>eigenschaften</t>
  </si>
  <si>
    <t>feder</t>
  </si>
  <si>
    <t>sänger</t>
  </si>
  <si>
    <t>elias</t>
  </si>
  <si>
    <t>dessert</t>
  </si>
  <si>
    <t>rathaus</t>
  </si>
  <si>
    <t>drohungen</t>
  </si>
  <si>
    <t>bewirken</t>
  </si>
  <si>
    <t>mörderin</t>
  </si>
  <si>
    <t>u</t>
  </si>
  <si>
    <t>edith</t>
  </si>
  <si>
    <t>wanne</t>
  </si>
  <si>
    <t>durchkommen</t>
  </si>
  <si>
    <t>reid</t>
  </si>
  <si>
    <t>mandy</t>
  </si>
  <si>
    <t>vertraute</t>
  </si>
  <si>
    <t>schätzt</t>
  </si>
  <si>
    <t>freuden</t>
  </si>
  <si>
    <t>dauer</t>
  </si>
  <si>
    <t>regt</t>
  </si>
  <si>
    <t>verbessert</t>
  </si>
  <si>
    <t>unerwartet</t>
  </si>
  <si>
    <t>drogendealer</t>
  </si>
  <si>
    <t>gefährlichen</t>
  </si>
  <si>
    <t>fach</t>
  </si>
  <si>
    <t>verdanke</t>
  </si>
  <si>
    <t>wohnungen</t>
  </si>
  <si>
    <t>commissioner</t>
  </si>
  <si>
    <t>cross</t>
  </si>
  <si>
    <t>kragen</t>
  </si>
  <si>
    <t>schwachen</t>
  </si>
  <si>
    <t>mercedes</t>
  </si>
  <si>
    <t>klirren</t>
  </si>
  <si>
    <t>valentinstag</t>
  </si>
  <si>
    <t>anstelle</t>
  </si>
  <si>
    <t>plane</t>
  </si>
  <si>
    <t>reizende</t>
  </si>
  <si>
    <t>höheren</t>
  </si>
  <si>
    <t>markiert</t>
  </si>
  <si>
    <t>ehrenwort</t>
  </si>
  <si>
    <t>cheers</t>
  </si>
  <si>
    <t>schlamm</t>
  </si>
  <si>
    <t>wälder</t>
  </si>
  <si>
    <t>diner</t>
  </si>
  <si>
    <t>handlung</t>
  </si>
  <si>
    <t>costa</t>
  </si>
  <si>
    <t>versauen</t>
  </si>
  <si>
    <t>klassiker</t>
  </si>
  <si>
    <t>stange</t>
  </si>
  <si>
    <t>empfohlen</t>
  </si>
  <si>
    <t>cynthia</t>
  </si>
  <si>
    <t>gaby</t>
  </si>
  <si>
    <t>rauswerfen</t>
  </si>
  <si>
    <t>mechaniker</t>
  </si>
  <si>
    <t>beichten</t>
  </si>
  <si>
    <t>abkürzung</t>
  </si>
  <si>
    <t>professionell</t>
  </si>
  <si>
    <t>begräbnis</t>
  </si>
  <si>
    <t>verführen</t>
  </si>
  <si>
    <t>meinerseits</t>
  </si>
  <si>
    <t>valerie</t>
  </si>
  <si>
    <t>françois</t>
  </si>
  <si>
    <t>magischen</t>
  </si>
  <si>
    <t>ellis</t>
  </si>
  <si>
    <t>dienstmädchen</t>
  </si>
  <si>
    <t>chirurg</t>
  </si>
  <si>
    <t>wal</t>
  </si>
  <si>
    <t>paare</t>
  </si>
  <si>
    <t>center</t>
  </si>
  <si>
    <t>sähe</t>
  </si>
  <si>
    <t>aufgemacht</t>
  </si>
  <si>
    <t>leide</t>
  </si>
  <si>
    <t>amüsant</t>
  </si>
  <si>
    <t>obersten</t>
  </si>
  <si>
    <t>fletcher</t>
  </si>
  <si>
    <t>gerührt</t>
  </si>
  <si>
    <t>schwänze</t>
  </si>
  <si>
    <t>chff00ff</t>
  </si>
  <si>
    <t>note</t>
  </si>
  <si>
    <t>datei</t>
  </si>
  <si>
    <t>zugleich</t>
  </si>
  <si>
    <t>nackte</t>
  </si>
  <si>
    <t>doppelten</t>
  </si>
  <si>
    <t>bewundert</t>
  </si>
  <si>
    <t>dimension</t>
  </si>
  <si>
    <t>quere</t>
  </si>
  <si>
    <t>wecker</t>
  </si>
  <si>
    <t>entstanden</t>
  </si>
  <si>
    <t>kreischen</t>
  </si>
  <si>
    <t>vivian</t>
  </si>
  <si>
    <t>läden</t>
  </si>
  <si>
    <t>ios</t>
  </si>
  <si>
    <t>lobby</t>
  </si>
  <si>
    <t>umgezogen</t>
  </si>
  <si>
    <t>angeklagte</t>
  </si>
  <si>
    <t>perlen</t>
  </si>
  <si>
    <t>schwulen</t>
  </si>
  <si>
    <t>dutzende</t>
  </si>
  <si>
    <t>simmons</t>
  </si>
  <si>
    <t>aufgezogen</t>
  </si>
  <si>
    <t>campus</t>
  </si>
  <si>
    <t>herd</t>
  </si>
  <si>
    <t>hospital</t>
  </si>
  <si>
    <t>leichtes</t>
  </si>
  <si>
    <t>rich</t>
  </si>
  <si>
    <t>gegrüßt</t>
  </si>
  <si>
    <t>aufsicht</t>
  </si>
  <si>
    <t>hündchen</t>
  </si>
  <si>
    <t>gegenstand</t>
  </si>
  <si>
    <t>tageslicht</t>
  </si>
  <si>
    <t>emotionale</t>
  </si>
  <si>
    <t>clean</t>
  </si>
  <si>
    <t>cassie</t>
  </si>
  <si>
    <t>sünder</t>
  </si>
  <si>
    <t>beträgt</t>
  </si>
  <si>
    <t>wunderschönes</t>
  </si>
  <si>
    <t>schickst</t>
  </si>
  <si>
    <t>weiblichen</t>
  </si>
  <si>
    <t>rauszuholen</t>
  </si>
  <si>
    <t>kapier</t>
  </si>
  <si>
    <t>rausgeholt</t>
  </si>
  <si>
    <t>entworfen</t>
  </si>
  <si>
    <t>eingenommen</t>
  </si>
  <si>
    <t>daphne</t>
  </si>
  <si>
    <t>mochten</t>
  </si>
  <si>
    <t>köchin</t>
  </si>
  <si>
    <t>willi</t>
  </si>
  <si>
    <t>beichte</t>
  </si>
  <si>
    <t>seven</t>
  </si>
  <si>
    <t>marina</t>
  </si>
  <si>
    <t>ausliefern</t>
  </si>
  <si>
    <t>perfektes</t>
  </si>
  <si>
    <t>glücklichen</t>
  </si>
  <si>
    <t>wodurch</t>
  </si>
  <si>
    <t>entsprechend</t>
  </si>
  <si>
    <t>umher</t>
  </si>
  <si>
    <t>erica</t>
  </si>
  <si>
    <t>wurst</t>
  </si>
  <si>
    <t>notiz</t>
  </si>
  <si>
    <t>vorsprechen</t>
  </si>
  <si>
    <t>bekannter</t>
  </si>
  <si>
    <t>antrieb</t>
  </si>
  <si>
    <t>zwerge</t>
  </si>
  <si>
    <t>trösten</t>
  </si>
  <si>
    <t>armut</t>
  </si>
  <si>
    <t>verbannt</t>
  </si>
  <si>
    <t>parade</t>
  </si>
  <si>
    <t>konzentriere</t>
  </si>
  <si>
    <t>angefahren</t>
  </si>
  <si>
    <t>2-mal</t>
  </si>
  <si>
    <t>kindisch</t>
  </si>
  <si>
    <t>krüppel</t>
  </si>
  <si>
    <t>kreisen</t>
  </si>
  <si>
    <t>bestrafung</t>
  </si>
  <si>
    <t>araber</t>
  </si>
  <si>
    <t>klebt</t>
  </si>
  <si>
    <t>perücke</t>
  </si>
  <si>
    <t>gemma</t>
  </si>
  <si>
    <t>hummer</t>
  </si>
  <si>
    <t>se</t>
  </si>
  <si>
    <t>june</t>
  </si>
  <si>
    <t>wimmert</t>
  </si>
  <si>
    <t>drittel</t>
  </si>
  <si>
    <t>budget</t>
  </si>
  <si>
    <t>lieferwagen</t>
  </si>
  <si>
    <t>shannon</t>
  </si>
  <si>
    <t>zurückgebracht</t>
  </si>
  <si>
    <t>verschwiegen</t>
  </si>
  <si>
    <t>drang</t>
  </si>
  <si>
    <t>redeten</t>
  </si>
  <si>
    <t>chi</t>
  </si>
  <si>
    <t>herzukommen</t>
  </si>
  <si>
    <t>anhängen</t>
  </si>
  <si>
    <t>einsame</t>
  </si>
  <si>
    <t>wu</t>
  </si>
  <si>
    <t>wraith</t>
  </si>
  <si>
    <t>erwartete</t>
  </si>
  <si>
    <t>tierarzt</t>
  </si>
  <si>
    <t>cousins</t>
  </si>
  <si>
    <t>zudem</t>
  </si>
  <si>
    <t>sturz</t>
  </si>
  <si>
    <t>rusty</t>
  </si>
  <si>
    <t>untergehen</t>
  </si>
  <si>
    <t>gelang</t>
  </si>
  <si>
    <t>wasch</t>
  </si>
  <si>
    <t>schmutzigen</t>
  </si>
  <si>
    <t>abkommen</t>
  </si>
  <si>
    <t>tänzer</t>
  </si>
  <si>
    <t>dürften</t>
  </si>
  <si>
    <t>erstatten</t>
  </si>
  <si>
    <t>verarbeiten</t>
  </si>
  <si>
    <t>verfügbar</t>
  </si>
  <si>
    <t>autobahn</t>
  </si>
  <si>
    <t>mandant</t>
  </si>
  <si>
    <t>clubs</t>
  </si>
  <si>
    <t>lukas</t>
  </si>
  <si>
    <t>widmen</t>
  </si>
  <si>
    <t>sprichwort</t>
  </si>
  <si>
    <t>hierfür</t>
  </si>
  <si>
    <t>vergeltung</t>
  </si>
  <si>
    <t>hardy</t>
  </si>
  <si>
    <t>gekleidet</t>
  </si>
  <si>
    <t>fotografiert</t>
  </si>
  <si>
    <t>knallen</t>
  </si>
  <si>
    <t>wichtigeres</t>
  </si>
  <si>
    <t>immerzu</t>
  </si>
  <si>
    <t>schuldgefühle</t>
  </si>
  <si>
    <t>schnurrbart</t>
  </si>
  <si>
    <t>genügen</t>
  </si>
  <si>
    <t>rumlaufen</t>
  </si>
  <si>
    <t>brötchen</t>
  </si>
  <si>
    <t>flut</t>
  </si>
  <si>
    <t>haushalt</t>
  </si>
  <si>
    <t>angelo</t>
  </si>
  <si>
    <t>cleveland</t>
  </si>
  <si>
    <t>ministerium</t>
  </si>
  <si>
    <t>aufgestellt</t>
  </si>
  <si>
    <t>est</t>
  </si>
  <si>
    <t>anker</t>
  </si>
  <si>
    <t>wang</t>
  </si>
  <si>
    <t>qual</t>
  </si>
  <si>
    <t>rauschen</t>
  </si>
  <si>
    <t>debatte</t>
  </si>
  <si>
    <t>informant</t>
  </si>
  <si>
    <t>masse</t>
  </si>
  <si>
    <t>insekten</t>
  </si>
  <si>
    <t>lud</t>
  </si>
  <si>
    <t>glotzt</t>
  </si>
  <si>
    <t>rückseite</t>
  </si>
  <si>
    <t>spezialität</t>
  </si>
  <si>
    <t>schimmer</t>
  </si>
  <si>
    <t>mordfall</t>
  </si>
  <si>
    <t>verbieten</t>
  </si>
  <si>
    <t>terrorist</t>
  </si>
  <si>
    <t>sirenen</t>
  </si>
  <si>
    <t>theorien</t>
  </si>
  <si>
    <t>kichern</t>
  </si>
  <si>
    <t>positive</t>
  </si>
  <si>
    <t>gestresst</t>
  </si>
  <si>
    <t>korea</t>
  </si>
  <si>
    <t>zeitschrift</t>
  </si>
  <si>
    <t>wildnis</t>
  </si>
  <si>
    <t>s.h.i.e.l.d.</t>
  </si>
  <si>
    <t>menschlicher</t>
  </si>
  <si>
    <t>schlamassel</t>
  </si>
  <si>
    <t>behindert</t>
  </si>
  <si>
    <t>überbringen</t>
  </si>
  <si>
    <t>reingezogen</t>
  </si>
  <si>
    <t>mitzuteilen</t>
  </si>
  <si>
    <t>zurückkam</t>
  </si>
  <si>
    <t>abstimmung</t>
  </si>
  <si>
    <t>dritt</t>
  </si>
  <si>
    <t>senat</t>
  </si>
  <si>
    <t>mittags</t>
  </si>
  <si>
    <t>marshal</t>
  </si>
  <si>
    <t>bridge</t>
  </si>
  <si>
    <t>price</t>
  </si>
  <si>
    <t>raucht</t>
  </si>
  <si>
    <t>veranstalten</t>
  </si>
  <si>
    <t>jahreszeit</t>
  </si>
  <si>
    <t>zusätzliche</t>
  </si>
  <si>
    <t>want</t>
  </si>
  <si>
    <t>drucken</t>
  </si>
  <si>
    <t>segel</t>
  </si>
  <si>
    <t>crowley</t>
  </si>
  <si>
    <t>bezahlte</t>
  </si>
  <si>
    <t>überflüssig</t>
  </si>
  <si>
    <t>taschentuch</t>
  </si>
  <si>
    <t>square</t>
  </si>
  <si>
    <t>rockmusik</t>
  </si>
  <si>
    <t>beschleunigen</t>
  </si>
  <si>
    <t>wählte</t>
  </si>
  <si>
    <t>lustiger</t>
  </si>
  <si>
    <t>marian</t>
  </si>
  <si>
    <t>glocken</t>
  </si>
  <si>
    <t>tennis</t>
  </si>
  <si>
    <t>seither</t>
  </si>
  <si>
    <t>christen</t>
  </si>
  <si>
    <t>überqueren</t>
  </si>
  <si>
    <t>kreuzung</t>
  </si>
  <si>
    <t>häusern</t>
  </si>
  <si>
    <t>weiche</t>
  </si>
  <si>
    <t>trudy</t>
  </si>
  <si>
    <t>punkten</t>
  </si>
  <si>
    <t>henderson</t>
  </si>
  <si>
    <t>verpasse</t>
  </si>
  <si>
    <t>potter</t>
  </si>
  <si>
    <t>reinlegen</t>
  </si>
  <si>
    <t>jeep</t>
  </si>
  <si>
    <t>gefilmt</t>
  </si>
  <si>
    <t>hamilton</t>
  </si>
  <si>
    <t>bucht</t>
  </si>
  <si>
    <t>bildschirm</t>
  </si>
  <si>
    <t>saufen</t>
  </si>
  <si>
    <t>gehackt</t>
  </si>
  <si>
    <t>eminenz</t>
  </si>
  <si>
    <t>mailbox</t>
  </si>
  <si>
    <t>münchen</t>
  </si>
  <si>
    <t>erschoss</t>
  </si>
  <si>
    <t>jenkins</t>
  </si>
  <si>
    <t>attentat</t>
  </si>
  <si>
    <t>garrett</t>
  </si>
  <si>
    <t>verschwendung</t>
  </si>
  <si>
    <t>bemerkte</t>
  </si>
  <si>
    <t>miesen</t>
  </si>
  <si>
    <t>zischen</t>
  </si>
  <si>
    <t>helf</t>
  </si>
  <si>
    <t>geschirr</t>
  </si>
  <si>
    <t>ähnlichkeit</t>
  </si>
  <si>
    <t>feiglinge</t>
  </si>
  <si>
    <t>spass</t>
  </si>
  <si>
    <t>lächelt</t>
  </si>
  <si>
    <t>klaut</t>
  </si>
  <si>
    <t>setzten</t>
  </si>
  <si>
    <t>bon</t>
  </si>
  <si>
    <t>entwischt</t>
  </si>
  <si>
    <t>rauchst</t>
  </si>
  <si>
    <t>masken</t>
  </si>
  <si>
    <t>schwimmt</t>
  </si>
  <si>
    <t>ausgezeichnete</t>
  </si>
  <si>
    <t>vorname</t>
  </si>
  <si>
    <t>schwitzen</t>
  </si>
  <si>
    <t>ginger</t>
  </si>
  <si>
    <t>bourbon</t>
  </si>
  <si>
    <t>haust</t>
  </si>
  <si>
    <t>befand</t>
  </si>
  <si>
    <t>lacey</t>
  </si>
  <si>
    <t>elefant</t>
  </si>
  <si>
    <t>annähernd</t>
  </si>
  <si>
    <t>gewebe</t>
  </si>
  <si>
    <t>unterschätzt</t>
  </si>
  <si>
    <t>sternzeit</t>
  </si>
  <si>
    <t>wachte</t>
  </si>
  <si>
    <t>barbie</t>
  </si>
  <si>
    <t>eichhörnchen</t>
  </si>
  <si>
    <t>zerbrechen</t>
  </si>
  <si>
    <t>poker</t>
  </si>
  <si>
    <t>wechsel</t>
  </si>
  <si>
    <t>lesbe</t>
  </si>
  <si>
    <t>cordelia</t>
  </si>
  <si>
    <t>konten</t>
  </si>
  <si>
    <t>schleichen</t>
  </si>
  <si>
    <t>strasse</t>
  </si>
  <si>
    <t>höschen</t>
  </si>
  <si>
    <t>jüngsten</t>
  </si>
  <si>
    <t>niedrig</t>
  </si>
  <si>
    <t>sonja</t>
  </si>
  <si>
    <t>klimaanlage</t>
  </si>
  <si>
    <t>vulkan</t>
  </si>
  <si>
    <t>thea</t>
  </si>
  <si>
    <t>anbetracht</t>
  </si>
  <si>
    <t>lesbisch</t>
  </si>
  <si>
    <t>cristina</t>
  </si>
  <si>
    <t>platziert</t>
  </si>
  <si>
    <t>abgrund</t>
  </si>
  <si>
    <t>zeichnungen</t>
  </si>
  <si>
    <t>sinken</t>
  </si>
  <si>
    <t>hamburg</t>
  </si>
  <si>
    <t>trauern</t>
  </si>
  <si>
    <t>abreise</t>
  </si>
  <si>
    <t>dates</t>
  </si>
  <si>
    <t>bette</t>
  </si>
  <si>
    <t>klemmt</t>
  </si>
  <si>
    <t>ansehe</t>
  </si>
  <si>
    <t>lin</t>
  </si>
  <si>
    <t>passend</t>
  </si>
  <si>
    <t>sidney</t>
  </si>
  <si>
    <t>mittagspause</t>
  </si>
  <si>
    <t>wettkampf</t>
  </si>
  <si>
    <t>verschluckt</t>
  </si>
  <si>
    <t>limo</t>
  </si>
  <si>
    <t>erhebt</t>
  </si>
  <si>
    <t>beneide</t>
  </si>
  <si>
    <t>beschwerde</t>
  </si>
  <si>
    <t>erregen</t>
  </si>
  <si>
    <t>überwältigt</t>
  </si>
  <si>
    <t>turtle</t>
  </si>
  <si>
    <t>nypd</t>
  </si>
  <si>
    <t>benannt</t>
  </si>
  <si>
    <t>begrüßt</t>
  </si>
  <si>
    <t>trommeln</t>
  </si>
  <si>
    <t>burns</t>
  </si>
  <si>
    <t>hayes</t>
  </si>
  <si>
    <t>fortsetzen</t>
  </si>
  <si>
    <t>geplatzt</t>
  </si>
  <si>
    <t>pan</t>
  </si>
  <si>
    <t>mildred</t>
  </si>
  <si>
    <t>erschieße</t>
  </si>
  <si>
    <t>locke</t>
  </si>
  <si>
    <t>nachnamen</t>
  </si>
  <si>
    <t>anpassen</t>
  </si>
  <si>
    <t>altmodisch</t>
  </si>
  <si>
    <t>teurer</t>
  </si>
  <si>
    <t>feuerzeug</t>
  </si>
  <si>
    <t>trau</t>
  </si>
  <si>
    <t>serienmörder</t>
  </si>
  <si>
    <t>georges</t>
  </si>
  <si>
    <t>dr</t>
  </si>
  <si>
    <t>durchgegangen</t>
  </si>
  <si>
    <t>beseitigt</t>
  </si>
  <si>
    <t>alkoholiker</t>
  </si>
  <si>
    <t>laßt</t>
  </si>
  <si>
    <t>ganzem</t>
  </si>
  <si>
    <t>elemente</t>
  </si>
  <si>
    <t>feinden</t>
  </si>
  <si>
    <t>rückweg</t>
  </si>
  <si>
    <t>amelia</t>
  </si>
  <si>
    <t>abigail</t>
  </si>
  <si>
    <t>heimweg</t>
  </si>
  <si>
    <t>menschlichkeit</t>
  </si>
  <si>
    <t>signora</t>
  </si>
  <si>
    <t>geheimnisvolle</t>
  </si>
  <si>
    <t>mcgee</t>
  </si>
  <si>
    <t>befolgt</t>
  </si>
  <si>
    <t>abreisen</t>
  </si>
  <si>
    <t>premiere</t>
  </si>
  <si>
    <t>schwingen</t>
  </si>
  <si>
    <t>initiative</t>
  </si>
  <si>
    <t>from</t>
  </si>
  <si>
    <t>felicity</t>
  </si>
  <si>
    <t>sexuellen</t>
  </si>
  <si>
    <t>geschäftsführer</t>
  </si>
  <si>
    <t>telefone</t>
  </si>
  <si>
    <t>peterson</t>
  </si>
  <si>
    <t>strafzettel</t>
  </si>
  <si>
    <t>gelobt</t>
  </si>
  <si>
    <t>uniformen</t>
  </si>
  <si>
    <t>beschissener</t>
  </si>
  <si>
    <t>pulver</t>
  </si>
  <si>
    <t>welpen</t>
  </si>
  <si>
    <t>angesprochen</t>
  </si>
  <si>
    <t>kung</t>
  </si>
  <si>
    <t>angenehme</t>
  </si>
  <si>
    <t>kostüme</t>
  </si>
  <si>
    <t>nachmittags</t>
  </si>
  <si>
    <t>lebewohl</t>
  </si>
  <si>
    <t>reporterin</t>
  </si>
  <si>
    <t>crystal</t>
  </si>
  <si>
    <t>nikita</t>
  </si>
  <si>
    <t>vorwand</t>
  </si>
  <si>
    <t>genervt</t>
  </si>
  <si>
    <t>kreditkarten</t>
  </si>
  <si>
    <t>durstig</t>
  </si>
  <si>
    <t>eintreffen</t>
  </si>
  <si>
    <t>nationalen</t>
  </si>
  <si>
    <t>mitteln</t>
  </si>
  <si>
    <t>trauma</t>
  </si>
  <si>
    <t>beobachtung</t>
  </si>
  <si>
    <t>aufhält</t>
  </si>
  <si>
    <t>dergleichen</t>
  </si>
  <si>
    <t>erwacht</t>
  </si>
  <si>
    <t>schlaft</t>
  </si>
  <si>
    <t>lebenslauf</t>
  </si>
  <si>
    <t>anrufbeantworter</t>
  </si>
  <si>
    <t>feiner</t>
  </si>
  <si>
    <t>verschoben</t>
  </si>
  <si>
    <t>zumachen</t>
  </si>
  <si>
    <t>relativ</t>
  </si>
  <si>
    <t>wes</t>
  </si>
  <si>
    <t>rücksicht</t>
  </si>
  <si>
    <t>lamm</t>
  </si>
  <si>
    <t>pier</t>
  </si>
  <si>
    <t>widersprechen</t>
  </si>
  <si>
    <t>erwische</t>
  </si>
  <si>
    <t>dachboden</t>
  </si>
  <si>
    <t>bradley</t>
  </si>
  <si>
    <t>keinesfalls</t>
  </si>
  <si>
    <t>duck</t>
  </si>
  <si>
    <t>bislang</t>
  </si>
  <si>
    <t>retter</t>
  </si>
  <si>
    <t>transportieren</t>
  </si>
  <si>
    <t>anrief</t>
  </si>
  <si>
    <t>aufpasst</t>
  </si>
  <si>
    <t>braune</t>
  </si>
  <si>
    <t>spontan</t>
  </si>
  <si>
    <t>prächtig</t>
  </si>
  <si>
    <t>galactica</t>
  </si>
  <si>
    <t>verreist</t>
  </si>
  <si>
    <t>jahrhunderten</t>
  </si>
  <si>
    <t>pullover</t>
  </si>
  <si>
    <t>ansprechen</t>
  </si>
  <si>
    <t>frischer</t>
  </si>
  <si>
    <t>queens</t>
  </si>
  <si>
    <t>moon</t>
  </si>
  <si>
    <t>spitzel</t>
  </si>
  <si>
    <t>schnellste</t>
  </si>
  <si>
    <t>bemühungen</t>
  </si>
  <si>
    <t>dreckiger</t>
  </si>
  <si>
    <t>büros</t>
  </si>
  <si>
    <t>unfälle</t>
  </si>
  <si>
    <t>beamte</t>
  </si>
  <si>
    <t>angeschlossen</t>
  </si>
  <si>
    <t>unterschiedliche</t>
  </si>
  <si>
    <t>kluger</t>
  </si>
  <si>
    <t>stürmen</t>
  </si>
  <si>
    <t>jedi</t>
  </si>
  <si>
    <t>begreife</t>
  </si>
  <si>
    <t>fersen</t>
  </si>
  <si>
    <t>vorbereitungen</t>
  </si>
  <si>
    <t>fortfahren</t>
  </si>
  <si>
    <t>produzent</t>
  </si>
  <si>
    <t>zwischenfall</t>
  </si>
  <si>
    <t>zurückgezogen</t>
  </si>
  <si>
    <t>autsch</t>
  </si>
  <si>
    <t>ivy</t>
  </si>
  <si>
    <t>riesiger</t>
  </si>
  <si>
    <t>vorhänge</t>
  </si>
  <si>
    <t>pflege</t>
  </si>
  <si>
    <t>rauslassen</t>
  </si>
  <si>
    <t>kermit</t>
  </si>
  <si>
    <t>golden</t>
  </si>
  <si>
    <t>nachforschungen</t>
  </si>
  <si>
    <t>erfahre</t>
  </si>
  <si>
    <t>kanzler</t>
  </si>
  <si>
    <t>jin</t>
  </si>
  <si>
    <t>stößt</t>
  </si>
  <si>
    <t>austin</t>
  </si>
  <si>
    <t>sahne</t>
  </si>
  <si>
    <t>binde</t>
  </si>
  <si>
    <t>zwiebeln</t>
  </si>
  <si>
    <t>schlitten</t>
  </si>
  <si>
    <t>jahrhunderte</t>
  </si>
  <si>
    <t>talente</t>
  </si>
  <si>
    <t>läßt</t>
  </si>
  <si>
    <t>rennst</t>
  </si>
  <si>
    <t>kay</t>
  </si>
  <si>
    <t>erbarmen</t>
  </si>
  <si>
    <t>verkünden</t>
  </si>
  <si>
    <t>vorgestern</t>
  </si>
  <si>
    <t>betreiben</t>
  </si>
  <si>
    <t>starsky</t>
  </si>
  <si>
    <t>mindeste</t>
  </si>
  <si>
    <t>mimi</t>
  </si>
  <si>
    <t>andrews</t>
  </si>
  <si>
    <t>singst</t>
  </si>
  <si>
    <t>einsätze</t>
  </si>
  <si>
    <t>nötigen</t>
  </si>
  <si>
    <t>egon</t>
  </si>
  <si>
    <t>bemerkenswert</t>
  </si>
  <si>
    <t>warmes</t>
  </si>
  <si>
    <t>dinosaurier</t>
  </si>
  <si>
    <t>wahrscheinlichkeit</t>
  </si>
  <si>
    <t>worin</t>
  </si>
  <si>
    <t>rabbi</t>
  </si>
  <si>
    <t>nachfrage</t>
  </si>
  <si>
    <t>unwohl</t>
  </si>
  <si>
    <t>pony</t>
  </si>
  <si>
    <t>materie</t>
  </si>
  <si>
    <t>verpisst</t>
  </si>
  <si>
    <t>leuchtet</t>
  </si>
  <si>
    <t>wehtut</t>
  </si>
  <si>
    <t>unterwelt</t>
  </si>
  <si>
    <t>irrt</t>
  </si>
  <si>
    <t>prüfungen</t>
  </si>
  <si>
    <t>vertrieben</t>
  </si>
  <si>
    <t>haustür</t>
  </si>
  <si>
    <t>neuigkeit</t>
  </si>
  <si>
    <t>gereicht</t>
  </si>
  <si>
    <t>weigert</t>
  </si>
  <si>
    <t>semester</t>
  </si>
  <si>
    <t>unternommen</t>
  </si>
  <si>
    <t>gespart</t>
  </si>
  <si>
    <t>geerbt</t>
  </si>
  <si>
    <t>starbuck</t>
  </si>
  <si>
    <t>glanz</t>
  </si>
  <si>
    <t>fähre</t>
  </si>
  <si>
    <t>betäubt</t>
  </si>
  <si>
    <t>arrogant</t>
  </si>
  <si>
    <t>ausgeliefert</t>
  </si>
  <si>
    <t>gästen</t>
  </si>
  <si>
    <t>holland</t>
  </si>
  <si>
    <t>zuzusehen</t>
  </si>
  <si>
    <t>fotograf</t>
  </si>
  <si>
    <t>eigentümer</t>
  </si>
  <si>
    <t>hinkriegen</t>
  </si>
  <si>
    <t>speed</t>
  </si>
  <si>
    <t>realistisch</t>
  </si>
  <si>
    <t>vaughn</t>
  </si>
  <si>
    <t>kindergarten</t>
  </si>
  <si>
    <t>riesiges</t>
  </si>
  <si>
    <t>pub</t>
  </si>
  <si>
    <t>bedrückt</t>
  </si>
  <si>
    <t>streitet</t>
  </si>
  <si>
    <t>deckt</t>
  </si>
  <si>
    <t>kassette</t>
  </si>
  <si>
    <t>mack</t>
  </si>
  <si>
    <t>arrow</t>
  </si>
  <si>
    <t>vergebe</t>
  </si>
  <si>
    <t>said</t>
  </si>
  <si>
    <t>fish</t>
  </si>
  <si>
    <t>kandidat</t>
  </si>
  <si>
    <t>klempner</t>
  </si>
  <si>
    <t>blaues</t>
  </si>
  <si>
    <t>ängste</t>
  </si>
  <si>
    <t>litt</t>
  </si>
  <si>
    <t>verliebte</t>
  </si>
  <si>
    <t>befahl</t>
  </si>
  <si>
    <t>spaghetti</t>
  </si>
  <si>
    <t>franzose</t>
  </si>
  <si>
    <t>dunkler</t>
  </si>
  <si>
    <t>zukünftigen</t>
  </si>
  <si>
    <t>anzubieten</t>
  </si>
  <si>
    <t>gesendet</t>
  </si>
  <si>
    <t>tobias</t>
  </si>
  <si>
    <t>schlauch</t>
  </si>
  <si>
    <t>einstein</t>
  </si>
  <si>
    <t>gelähmt</t>
  </si>
  <si>
    <t>grillen</t>
  </si>
  <si>
    <t>landschaft</t>
  </si>
  <si>
    <t>funktion</t>
  </si>
  <si>
    <t>anonym</t>
  </si>
  <si>
    <t>albträume</t>
  </si>
  <si>
    <t>träum</t>
  </si>
  <si>
    <t>facebook</t>
  </si>
  <si>
    <t>mh</t>
  </si>
  <si>
    <t>veranstaltung</t>
  </si>
  <si>
    <t>mount</t>
  </si>
  <si>
    <t>verpflichtungen</t>
  </si>
  <si>
    <t>sinclair</t>
  </si>
  <si>
    <t>rue</t>
  </si>
  <si>
    <t>schülerin</t>
  </si>
  <si>
    <t>innerlich</t>
  </si>
  <si>
    <t>künstlerin</t>
  </si>
  <si>
    <t>madrid</t>
  </si>
  <si>
    <t>schöpfer</t>
  </si>
  <si>
    <t>regiert</t>
  </si>
  <si>
    <t>aufschreiben</t>
  </si>
  <si>
    <t>erleichterung</t>
  </si>
  <si>
    <t>ava</t>
  </si>
  <si>
    <t>auktion</t>
  </si>
  <si>
    <t>regal</t>
  </si>
  <si>
    <t>fakt</t>
  </si>
  <si>
    <t>christi</t>
  </si>
  <si>
    <t>niveau</t>
  </si>
  <si>
    <t>fahndung</t>
  </si>
  <si>
    <t>friede</t>
  </si>
  <si>
    <t>erlitten</t>
  </si>
  <si>
    <t>mathematik</t>
  </si>
  <si>
    <t>nasa</t>
  </si>
  <si>
    <t>bittest</t>
  </si>
  <si>
    <t>psycho</t>
  </si>
  <si>
    <t>matratze</t>
  </si>
  <si>
    <t>tretet</t>
  </si>
  <si>
    <t>mordwaffe</t>
  </si>
  <si>
    <t>finanzielle</t>
  </si>
  <si>
    <t>bänder</t>
  </si>
  <si>
    <t>detectives</t>
  </si>
  <si>
    <t>wieviele</t>
  </si>
  <si>
    <t>undercover</t>
  </si>
  <si>
    <t>herzustellen</t>
  </si>
  <si>
    <t>arbeitgeber</t>
  </si>
  <si>
    <t>werkzeuge</t>
  </si>
  <si>
    <t>frankenstein</t>
  </si>
  <si>
    <t>beruhigungsmittel</t>
  </si>
  <si>
    <t>ingrid</t>
  </si>
  <si>
    <t>coulson</t>
  </si>
  <si>
    <t>trugen</t>
  </si>
  <si>
    <t>kurzfristig</t>
  </si>
  <si>
    <t>spannungsvolle</t>
  </si>
  <si>
    <t>clayton</t>
  </si>
  <si>
    <t>kämpften</t>
  </si>
  <si>
    <t>erlangen</t>
  </si>
  <si>
    <t>weltall</t>
  </si>
  <si>
    <t>nanu</t>
  </si>
  <si>
    <t>vertuschen</t>
  </si>
  <si>
    <t>weckt</t>
  </si>
  <si>
    <t>gewagt</t>
  </si>
  <si>
    <t>nieren</t>
  </si>
  <si>
    <t>zinsen</t>
  </si>
  <si>
    <t>hutch</t>
  </si>
  <si>
    <t>einpacken</t>
  </si>
  <si>
    <t>monty</t>
  </si>
  <si>
    <t>ballon</t>
  </si>
  <si>
    <t>verflixt</t>
  </si>
  <si>
    <t>herkam</t>
  </si>
  <si>
    <t>rudel</t>
  </si>
  <si>
    <t>gregory</t>
  </si>
  <si>
    <t>horizont</t>
  </si>
  <si>
    <t>sofia</t>
  </si>
  <si>
    <t>durften</t>
  </si>
  <si>
    <t>zusätzlich</t>
  </si>
  <si>
    <t>dekan</t>
  </si>
  <si>
    <t>verträge</t>
  </si>
  <si>
    <t>umzug</t>
  </si>
  <si>
    <t>brady</t>
  </si>
  <si>
    <t>sängerin</t>
  </si>
  <si>
    <t>wäldern</t>
  </si>
  <si>
    <t>darstellen</t>
  </si>
  <si>
    <t>limousine</t>
  </si>
  <si>
    <t>fracht</t>
  </si>
  <si>
    <t>zurückzukommen</t>
  </si>
  <si>
    <t>morty</t>
  </si>
  <si>
    <t>gedenken</t>
  </si>
  <si>
    <t>aufgeschrieben</t>
  </si>
  <si>
    <t>handlungen</t>
  </si>
  <si>
    <t>struktur</t>
  </si>
  <si>
    <t>kerker</t>
  </si>
  <si>
    <t>aufzupassen</t>
  </si>
  <si>
    <t>hüten</t>
  </si>
  <si>
    <t>christ</t>
  </si>
  <si>
    <t>unverschämt</t>
  </si>
  <si>
    <t>durchschaut</t>
  </si>
  <si>
    <t>mögt</t>
  </si>
  <si>
    <t>nachname</t>
  </si>
  <si>
    <t>händchen</t>
  </si>
  <si>
    <t>calvin</t>
  </si>
  <si>
    <t>birne</t>
  </si>
  <si>
    <t>vorgesehen</t>
  </si>
  <si>
    <t>gnädig</t>
  </si>
  <si>
    <t>nachgesehen</t>
  </si>
  <si>
    <t>predigt</t>
  </si>
  <si>
    <t>versehentlich</t>
  </si>
  <si>
    <t>schwerter</t>
  </si>
  <si>
    <t>erwiesen</t>
  </si>
  <si>
    <t>software</t>
  </si>
  <si>
    <t>einschlagen</t>
  </si>
  <si>
    <t>schiebt</t>
  </si>
  <si>
    <t>geahnt</t>
  </si>
  <si>
    <t>tätig</t>
  </si>
  <si>
    <t>abgestürzt</t>
  </si>
  <si>
    <t>eingriff</t>
  </si>
  <si>
    <t>politisch</t>
  </si>
  <si>
    <t>gewöhnliche</t>
  </si>
  <si>
    <t>stärkste</t>
  </si>
  <si>
    <t>zuflucht</t>
  </si>
  <si>
    <t>generator</t>
  </si>
  <si>
    <t>union</t>
  </si>
  <si>
    <t>raven</t>
  </si>
  <si>
    <t>ungeduldig</t>
  </si>
  <si>
    <t>unklar</t>
  </si>
  <si>
    <t>suspendiert</t>
  </si>
  <si>
    <t>arbeitsplatz</t>
  </si>
  <si>
    <t>treppen</t>
  </si>
  <si>
    <t>matty</t>
  </si>
  <si>
    <t>vereinen</t>
  </si>
  <si>
    <t>bruch</t>
  </si>
  <si>
    <t>metern</t>
  </si>
  <si>
    <t>fällst</t>
  </si>
  <si>
    <t>unruhig</t>
  </si>
  <si>
    <t>schlechteste</t>
  </si>
  <si>
    <t>platzt</t>
  </si>
  <si>
    <t>plastik</t>
  </si>
  <si>
    <t>abgerissen</t>
  </si>
  <si>
    <t>halber</t>
  </si>
  <si>
    <t>anvertraut</t>
  </si>
  <si>
    <t>leder</t>
  </si>
  <si>
    <t>ausser</t>
  </si>
  <si>
    <t>verfehlt</t>
  </si>
  <si>
    <t>verehrte</t>
  </si>
  <si>
    <t>schmutz</t>
  </si>
  <si>
    <t>aufzuspüren</t>
  </si>
  <si>
    <t>stühle</t>
  </si>
  <si>
    <t>rausbringen</t>
  </si>
  <si>
    <t>komitee</t>
  </si>
  <si>
    <t>mamas</t>
  </si>
  <si>
    <t>klarkommen</t>
  </si>
  <si>
    <t>propheten</t>
  </si>
  <si>
    <t>durchsage</t>
  </si>
  <si>
    <t>flora</t>
  </si>
  <si>
    <t>stiefvater</t>
  </si>
  <si>
    <t>grimm</t>
  </si>
  <si>
    <t>lolle</t>
  </si>
  <si>
    <t>faith</t>
  </si>
  <si>
    <t>auftreiben</t>
  </si>
  <si>
    <t>ernie</t>
  </si>
  <si>
    <t>nationen</t>
  </si>
  <si>
    <t>ausgaben</t>
  </si>
  <si>
    <t>secret</t>
  </si>
  <si>
    <t>käpt</t>
  </si>
  <si>
    <t>rauskriegen</t>
  </si>
  <si>
    <t>entstand</t>
  </si>
  <si>
    <t>alarmstufe</t>
  </si>
  <si>
    <t>übersetzen</t>
  </si>
  <si>
    <t>griechenland</t>
  </si>
  <si>
    <t>rüstung</t>
  </si>
  <si>
    <t>attentäter</t>
  </si>
  <si>
    <t>tauben</t>
  </si>
  <si>
    <t>gewohnheit</t>
  </si>
  <si>
    <t>mieses</t>
  </si>
  <si>
    <t>kindermädchen</t>
  </si>
  <si>
    <t>brenda</t>
  </si>
  <si>
    <t>nervst</t>
  </si>
  <si>
    <t>japanische</t>
  </si>
  <si>
    <t>bitch</t>
  </si>
  <si>
    <t>nsa</t>
  </si>
  <si>
    <t>werner</t>
  </si>
  <si>
    <t>beinhaltet</t>
  </si>
  <si>
    <t>donuts</t>
  </si>
  <si>
    <t>abgefeuert</t>
  </si>
  <si>
    <t>luther</t>
  </si>
  <si>
    <t>davonkommen</t>
  </si>
  <si>
    <t>godzilla</t>
  </si>
  <si>
    <t>hinzufügen</t>
  </si>
  <si>
    <t>dreier</t>
  </si>
  <si>
    <t>werwolf</t>
  </si>
  <si>
    <t>denver</t>
  </si>
  <si>
    <t>hebe</t>
  </si>
  <si>
    <t>ehrgeiz</t>
  </si>
  <si>
    <t>aufenthaltsort</t>
  </si>
  <si>
    <t>hinreißend</t>
  </si>
  <si>
    <t>gruß</t>
  </si>
  <si>
    <t>borgia</t>
  </si>
  <si>
    <t>howie</t>
  </si>
  <si>
    <t>mckay</t>
  </si>
  <si>
    <t>dj</t>
  </si>
  <si>
    <t>nu</t>
  </si>
  <si>
    <t>zeichnung</t>
  </si>
  <si>
    <t>geige</t>
  </si>
  <si>
    <t>fortsetzung</t>
  </si>
  <si>
    <t>kotzt</t>
  </si>
  <si>
    <t>glückstag</t>
  </si>
  <si>
    <t>japanisch</t>
  </si>
  <si>
    <t>archiv</t>
  </si>
  <si>
    <t>einholen</t>
  </si>
  <si>
    <t>bush</t>
  </si>
  <si>
    <t>raushalten</t>
  </si>
  <si>
    <t>verheimlicht</t>
  </si>
  <si>
    <t>hacker</t>
  </si>
  <si>
    <t>hingabe</t>
  </si>
  <si>
    <t>uhren</t>
  </si>
  <si>
    <t>cyril</t>
  </si>
  <si>
    <t>erobert</t>
  </si>
  <si>
    <t>bandit</t>
  </si>
  <si>
    <t>linien</t>
  </si>
  <si>
    <t>umzugehen</t>
  </si>
  <si>
    <t>roberto</t>
  </si>
  <si>
    <t>vornamen</t>
  </si>
  <si>
    <t>tessa</t>
  </si>
  <si>
    <t>nerv</t>
  </si>
  <si>
    <t>berührung</t>
  </si>
  <si>
    <t>ergreift</t>
  </si>
  <si>
    <t>sattel</t>
  </si>
  <si>
    <t>gelangweilt</t>
  </si>
  <si>
    <t>intakt</t>
  </si>
  <si>
    <t>isabella</t>
  </si>
  <si>
    <t>poesie</t>
  </si>
  <si>
    <t>pflegen</t>
  </si>
  <si>
    <t>belastet</t>
  </si>
  <si>
    <t>reinlassen</t>
  </si>
  <si>
    <t>yen</t>
  </si>
  <si>
    <t>geprügelt</t>
  </si>
  <si>
    <t>perspektive</t>
  </si>
  <si>
    <t>schreist</t>
  </si>
  <si>
    <t>sperma</t>
  </si>
  <si>
    <t>hingelegt</t>
  </si>
  <si>
    <t>wildes</t>
  </si>
  <si>
    <t>begreifst</t>
  </si>
  <si>
    <t>marcie</t>
  </si>
  <si>
    <t>ii</t>
  </si>
  <si>
    <t>metropolis</t>
  </si>
  <si>
    <t>schildkröte</t>
  </si>
  <si>
    <t>umzingelt</t>
  </si>
  <si>
    <t>buddha</t>
  </si>
  <si>
    <t>bonus</t>
  </si>
  <si>
    <t>wagst</t>
  </si>
  <si>
    <t>spucken</t>
  </si>
  <si>
    <t>einlassen</t>
  </si>
  <si>
    <t>günstig</t>
  </si>
  <si>
    <t>yu</t>
  </si>
  <si>
    <t>lebenslänglich</t>
  </si>
  <si>
    <t>sloane</t>
  </si>
  <si>
    <t>präzise</t>
  </si>
  <si>
    <t>bilde</t>
  </si>
  <si>
    <t>sorgerecht</t>
  </si>
  <si>
    <t>blinde</t>
  </si>
  <si>
    <t>gebot</t>
  </si>
  <si>
    <t>p</t>
  </si>
  <si>
    <t>zurückzahlen</t>
  </si>
  <si>
    <t>ameisen</t>
  </si>
  <si>
    <t>verleihen</t>
  </si>
  <si>
    <t>bearbeitet</t>
  </si>
  <si>
    <t>riker</t>
  </si>
  <si>
    <t>deckel</t>
  </si>
  <si>
    <t>theresa</t>
  </si>
  <si>
    <t>pentagon</t>
  </si>
  <si>
    <t>frechheit</t>
  </si>
  <si>
    <t>sinkt</t>
  </si>
  <si>
    <t>gastfreundschaft</t>
  </si>
  <si>
    <t>enthalten</t>
  </si>
  <si>
    <t>schwamm</t>
  </si>
  <si>
    <t>glückliches</t>
  </si>
  <si>
    <t>sperrt</t>
  </si>
  <si>
    <t>cliff</t>
  </si>
  <si>
    <t>healey</t>
  </si>
  <si>
    <t>container</t>
  </si>
  <si>
    <t>aufsetzen</t>
  </si>
  <si>
    <t>erhielten</t>
  </si>
  <si>
    <t>ermöglicht</t>
  </si>
  <si>
    <t>erstellen</t>
  </si>
  <si>
    <t>cesare</t>
  </si>
  <si>
    <t>rausgeschmissen</t>
  </si>
  <si>
    <t>vorgefallen</t>
  </si>
  <si>
    <t>herbringen</t>
  </si>
  <si>
    <t>freiwillige</t>
  </si>
  <si>
    <t>korrigieren</t>
  </si>
  <si>
    <t>leichnam</t>
  </si>
  <si>
    <t>negative</t>
  </si>
  <si>
    <t>never</t>
  </si>
  <si>
    <t>schwebt</t>
  </si>
  <si>
    <t>vorsichtiger</t>
  </si>
  <si>
    <t>pilze</t>
  </si>
  <si>
    <t>kürzer</t>
  </si>
  <si>
    <t>bezahl</t>
  </si>
  <si>
    <t>behältst</t>
  </si>
  <si>
    <t>erfüllung</t>
  </si>
  <si>
    <t>verbündeten</t>
  </si>
  <si>
    <t>achtet</t>
  </si>
  <si>
    <t>meiden</t>
  </si>
  <si>
    <t>ansichten</t>
  </si>
  <si>
    <t>isoliert</t>
  </si>
  <si>
    <t>ausschlag</t>
  </si>
  <si>
    <t>fünfzehn</t>
  </si>
  <si>
    <t>aufruhr</t>
  </si>
  <si>
    <t>felder</t>
  </si>
  <si>
    <t>make</t>
  </si>
  <si>
    <t>gesunde</t>
  </si>
  <si>
    <t>toiletten</t>
  </si>
  <si>
    <t>schwierigen</t>
  </si>
  <si>
    <t>crawford</t>
  </si>
  <si>
    <t>quittung</t>
  </si>
  <si>
    <t>portal</t>
  </si>
  <si>
    <t>gesetzes</t>
  </si>
  <si>
    <t>großeltern</t>
  </si>
  <si>
    <t>mo</t>
  </si>
  <si>
    <t>investition</t>
  </si>
  <si>
    <t>raj</t>
  </si>
  <si>
    <t>schweiß</t>
  </si>
  <si>
    <t>selbstvertrauen</t>
  </si>
  <si>
    <t>geschluckt</t>
  </si>
  <si>
    <t>sendet</t>
  </si>
  <si>
    <t>aufgehängt</t>
  </si>
  <si>
    <t>susie</t>
  </si>
  <si>
    <t>taschenlampe</t>
  </si>
  <si>
    <t>saint</t>
  </si>
  <si>
    <t>justiz</t>
  </si>
  <si>
    <t>jägerin</t>
  </si>
  <si>
    <t>heer</t>
  </si>
  <si>
    <t>neapel</t>
  </si>
  <si>
    <t>illegalen</t>
  </si>
  <si>
    <t>schuft</t>
  </si>
  <si>
    <t>k.o.</t>
  </si>
  <si>
    <t>rückt</t>
  </si>
  <si>
    <t>drohte</t>
  </si>
  <si>
    <t>scheiss</t>
  </si>
  <si>
    <t>zurückkehrt</t>
  </si>
  <si>
    <t>verlangst</t>
  </si>
  <si>
    <t>zünden</t>
  </si>
  <si>
    <t>ärgert</t>
  </si>
  <si>
    <t>großteil</t>
  </si>
  <si>
    <t>instrument</t>
  </si>
  <si>
    <t>codes</t>
  </si>
  <si>
    <t>herzogin</t>
  </si>
  <si>
    <t>bumsen</t>
  </si>
  <si>
    <t>aktivität</t>
  </si>
  <si>
    <t>entwickelte</t>
  </si>
  <si>
    <t>ronald</t>
  </si>
  <si>
    <t>gegenmittel</t>
  </si>
  <si>
    <t>reiches</t>
  </si>
  <si>
    <t>sheridan</t>
  </si>
  <si>
    <t>taktik</t>
  </si>
  <si>
    <t>studien</t>
  </si>
  <si>
    <t>dramatisch</t>
  </si>
  <si>
    <t>potenzial</t>
  </si>
  <si>
    <t>anpassung</t>
  </si>
  <si>
    <t>jugendliche</t>
  </si>
  <si>
    <t>ass</t>
  </si>
  <si>
    <t>zerstörte</t>
  </si>
  <si>
    <t>clowns</t>
  </si>
  <si>
    <t>professionelle</t>
  </si>
  <si>
    <t>verlorenen</t>
  </si>
  <si>
    <t>gelingen</t>
  </si>
  <si>
    <t>militärische</t>
  </si>
  <si>
    <t>atlanta</t>
  </si>
  <si>
    <t>richards</t>
  </si>
  <si>
    <t>ausgenutzt</t>
  </si>
  <si>
    <t>maestro</t>
  </si>
  <si>
    <t>brooks</t>
  </si>
  <si>
    <t>freies</t>
  </si>
  <si>
    <t>cheryl</t>
  </si>
  <si>
    <t>gier</t>
  </si>
  <si>
    <t>insbesondere</t>
  </si>
  <si>
    <t>überzeugung</t>
  </si>
  <si>
    <t>angemeldet</t>
  </si>
  <si>
    <t>winzige</t>
  </si>
  <si>
    <t>vorstellungen</t>
  </si>
  <si>
    <t>massaker</t>
  </si>
  <si>
    <t>gail</t>
  </si>
  <si>
    <t>ausdenken</t>
  </si>
  <si>
    <t>auspacken</t>
  </si>
  <si>
    <t>heizung</t>
  </si>
  <si>
    <t>haley</t>
  </si>
  <si>
    <t>magnus</t>
  </si>
  <si>
    <t>mußte</t>
  </si>
  <si>
    <t>erzähler</t>
  </si>
  <si>
    <t>kolonie</t>
  </si>
  <si>
    <t>gps</t>
  </si>
  <si>
    <t>girls</t>
  </si>
  <si>
    <t>gerichtssaal</t>
  </si>
  <si>
    <t>donnerwetter</t>
  </si>
  <si>
    <t>studentin</t>
  </si>
  <si>
    <t>greta</t>
  </si>
  <si>
    <t>tickt</t>
  </si>
  <si>
    <t>räumt</t>
  </si>
  <si>
    <t>boom</t>
  </si>
  <si>
    <t>miriam</t>
  </si>
  <si>
    <t>gesichtet</t>
  </si>
  <si>
    <t>kleben</t>
  </si>
  <si>
    <t>zuzuhören</t>
  </si>
  <si>
    <t>ritt</t>
  </si>
  <si>
    <t>bauten</t>
  </si>
  <si>
    <t>abgeschaltet</t>
  </si>
  <si>
    <t>atlantic</t>
  </si>
  <si>
    <t>marquis</t>
  </si>
  <si>
    <t>teich</t>
  </si>
  <si>
    <t>raubüberfall</t>
  </si>
  <si>
    <t>duell</t>
  </si>
  <si>
    <t>keuchen</t>
  </si>
  <si>
    <t>chirurgen</t>
  </si>
  <si>
    <t>señorita</t>
  </si>
  <si>
    <t>wange</t>
  </si>
  <si>
    <t>auszuschalten</t>
  </si>
  <si>
    <t>wiedergutmachen</t>
  </si>
  <si>
    <t>k.</t>
  </si>
  <si>
    <t>vorbereitung</t>
  </si>
  <si>
    <t>geile</t>
  </si>
  <si>
    <t>kranker</t>
  </si>
  <si>
    <t>festplatte</t>
  </si>
  <si>
    <t>stoß</t>
  </si>
  <si>
    <t>stieß</t>
  </si>
  <si>
    <t>eingreifen</t>
  </si>
  <si>
    <t>portland</t>
  </si>
  <si>
    <t>enorm</t>
  </si>
  <si>
    <t>aufsuchen</t>
  </si>
  <si>
    <t>verzichte</t>
  </si>
  <si>
    <t>sichtbar</t>
  </si>
  <si>
    <t>pässe</t>
  </si>
  <si>
    <t>vorschrift</t>
  </si>
  <si>
    <t>gehör</t>
  </si>
  <si>
    <t>jedermann</t>
  </si>
  <si>
    <t>genieß</t>
  </si>
  <si>
    <t>irgendjemanden</t>
  </si>
  <si>
    <t>ups</t>
  </si>
  <si>
    <t>substanz</t>
  </si>
  <si>
    <t>amsterdam</t>
  </si>
  <si>
    <t>arbeitszimmer</t>
  </si>
  <si>
    <t>notwehr</t>
  </si>
  <si>
    <t>patrouille</t>
  </si>
  <si>
    <t>gewitter</t>
  </si>
  <si>
    <t>dax</t>
  </si>
  <si>
    <t>zeigten</t>
  </si>
  <si>
    <t>klappern</t>
  </si>
  <si>
    <t>schmetterling</t>
  </si>
  <si>
    <t>sarge</t>
  </si>
  <si>
    <t>preston</t>
  </si>
  <si>
    <t>förmlich</t>
  </si>
  <si>
    <t>celia</t>
  </si>
  <si>
    <t>tammy</t>
  </si>
  <si>
    <t>enger</t>
  </si>
  <si>
    <t>piep</t>
  </si>
  <si>
    <t>ausgetauscht</t>
  </si>
  <si>
    <t>baustelle</t>
  </si>
  <si>
    <t>bewirkt</t>
  </si>
  <si>
    <t>brennan</t>
  </si>
  <si>
    <t>pratt</t>
  </si>
  <si>
    <t>gerochen</t>
  </si>
  <si>
    <t>meintest</t>
  </si>
  <si>
    <t>wusstet</t>
  </si>
  <si>
    <t>broadway</t>
  </si>
  <si>
    <t>drehst</t>
  </si>
  <si>
    <t>martini</t>
  </si>
  <si>
    <t>starrt</t>
  </si>
  <si>
    <t>austauschen</t>
  </si>
  <si>
    <t>janice</t>
  </si>
  <si>
    <t>schnellen</t>
  </si>
  <si>
    <t>beerdigt</t>
  </si>
  <si>
    <t>sozialen</t>
  </si>
  <si>
    <t>angerührt</t>
  </si>
  <si>
    <t>say</t>
  </si>
  <si>
    <t>verläuft</t>
  </si>
  <si>
    <t>abschlussball</t>
  </si>
  <si>
    <t>medaille</t>
  </si>
  <si>
    <t>vielmehr</t>
  </si>
  <si>
    <t>anschluss</t>
  </si>
  <si>
    <t>anzünden</t>
  </si>
  <si>
    <t>wunderschöner</t>
  </si>
  <si>
    <t>naht</t>
  </si>
  <si>
    <t>handtücher</t>
  </si>
  <si>
    <t>basierend</t>
  </si>
  <si>
    <t>perfekter</t>
  </si>
  <si>
    <t>ungewöhnliche</t>
  </si>
  <si>
    <t>international</t>
  </si>
  <si>
    <t>mistkerle</t>
  </si>
  <si>
    <t>vizepräsident</t>
  </si>
  <si>
    <t>brichst</t>
  </si>
  <si>
    <t>abgelegt</t>
  </si>
  <si>
    <t>halluzinationen</t>
  </si>
  <si>
    <t>festnahme</t>
  </si>
  <si>
    <t>steph</t>
  </si>
  <si>
    <t>pirat</t>
  </si>
  <si>
    <t>umwelt</t>
  </si>
  <si>
    <t>axel</t>
  </si>
  <si>
    <t>butch</t>
  </si>
  <si>
    <t>teilweise</t>
  </si>
  <si>
    <t>verfickte</t>
  </si>
  <si>
    <t>dat</t>
  </si>
  <si>
    <t>bearbeiten</t>
  </si>
  <si>
    <t>fetter</t>
  </si>
  <si>
    <t>natürlichen</t>
  </si>
  <si>
    <t>ausgestellt</t>
  </si>
  <si>
    <t>wendet</t>
  </si>
  <si>
    <t>gewöhnlicher</t>
  </si>
  <si>
    <t>lavon</t>
  </si>
  <si>
    <t>springe</t>
  </si>
  <si>
    <t>gingst</t>
  </si>
  <si>
    <t>änderungen</t>
  </si>
  <si>
    <t>orbit</t>
  </si>
  <si>
    <t>kapsel</t>
  </si>
  <si>
    <t>unbewaffnet</t>
  </si>
  <si>
    <t>internat</t>
  </si>
  <si>
    <t>zeile</t>
  </si>
  <si>
    <t>mühle</t>
  </si>
  <si>
    <t>zeitalter</t>
  </si>
  <si>
    <t>gabst</t>
  </si>
  <si>
    <t>neger</t>
  </si>
  <si>
    <t>prediger</t>
  </si>
  <si>
    <t>schwache</t>
  </si>
  <si>
    <t>minen</t>
  </si>
  <si>
    <t>paulie</t>
  </si>
  <si>
    <t>geheimes</t>
  </si>
  <si>
    <t>sessel</t>
  </si>
  <si>
    <t>wegbringen</t>
  </si>
  <si>
    <t>shepherd</t>
  </si>
  <si>
    <t>weiterhelfen</t>
  </si>
  <si>
    <t>verpflichtung</t>
  </si>
  <si>
    <t>baten</t>
  </si>
  <si>
    <t>geparkt</t>
  </si>
  <si>
    <t>gerichtsmediziner</t>
  </si>
  <si>
    <t>anita</t>
  </si>
  <si>
    <t>zurückkommst</t>
  </si>
  <si>
    <t>bluse</t>
  </si>
  <si>
    <t>reines</t>
  </si>
  <si>
    <t>gegenleistung</t>
  </si>
  <si>
    <t>jaffa</t>
  </si>
  <si>
    <t>gemeinsames</t>
  </si>
  <si>
    <t>japanischen</t>
  </si>
  <si>
    <t>kehre</t>
  </si>
  <si>
    <t>helfer</t>
  </si>
  <si>
    <t>aufstieg</t>
  </si>
  <si>
    <t>entkommt</t>
  </si>
  <si>
    <t>partie</t>
  </si>
  <si>
    <t>lächle</t>
  </si>
  <si>
    <t>verdeckt</t>
  </si>
  <si>
    <t>abfall</t>
  </si>
  <si>
    <t>hauptrolle</t>
  </si>
  <si>
    <t>lilly</t>
  </si>
  <si>
    <t>tarzan</t>
  </si>
  <si>
    <t>klingel</t>
  </si>
  <si>
    <t>jens</t>
  </si>
  <si>
    <t>flirten</t>
  </si>
  <si>
    <t>spanier</t>
  </si>
  <si>
    <t>taxifahrer</t>
  </si>
  <si>
    <t>länge</t>
  </si>
  <si>
    <t>träumst</t>
  </si>
  <si>
    <t>tausenden</t>
  </si>
  <si>
    <t>blockieren</t>
  </si>
  <si>
    <t>darcy</t>
  </si>
  <si>
    <t>ausschließen</t>
  </si>
  <si>
    <t>kiki</t>
  </si>
  <si>
    <t>wechselt</t>
  </si>
  <si>
    <t>erforschen</t>
  </si>
  <si>
    <t>scanner</t>
  </si>
  <si>
    <t>eisenbahn</t>
  </si>
  <si>
    <t>rumsitzen</t>
  </si>
  <si>
    <t>munter</t>
  </si>
  <si>
    <t>zugesehen</t>
  </si>
  <si>
    <t>karma</t>
  </si>
  <si>
    <t>tristan</t>
  </si>
  <si>
    <t>stückchen</t>
  </si>
  <si>
    <t>provinz</t>
  </si>
  <si>
    <t>mitgemacht</t>
  </si>
  <si>
    <t>yvonne</t>
  </si>
  <si>
    <t>pärchen</t>
  </si>
  <si>
    <t>kritisch</t>
  </si>
  <si>
    <t>peters</t>
  </si>
  <si>
    <t>suzanne</t>
  </si>
  <si>
    <t>gesunden</t>
  </si>
  <si>
    <t>finanziert</t>
  </si>
  <si>
    <t>elektrizität</t>
  </si>
  <si>
    <t>busen</t>
  </si>
  <si>
    <t>erlebnis</t>
  </si>
  <si>
    <t>mccoy</t>
  </si>
  <si>
    <t>vaterland</t>
  </si>
  <si>
    <t>bitter</t>
  </si>
  <si>
    <t>schleier</t>
  </si>
  <si>
    <t>notarzt</t>
  </si>
  <si>
    <t>stattfindet</t>
  </si>
  <si>
    <t>hervorragende</t>
  </si>
  <si>
    <t>krimineller</t>
  </si>
  <si>
    <t>durchatmen</t>
  </si>
  <si>
    <t>stopfen</t>
  </si>
  <si>
    <t>übergabe</t>
  </si>
  <si>
    <t>monatelang</t>
  </si>
  <si>
    <t>beeile</t>
  </si>
  <si>
    <t>harley</t>
  </si>
  <si>
    <t>unterschreibe</t>
  </si>
  <si>
    <t>effekt</t>
  </si>
  <si>
    <t>einlegen</t>
  </si>
  <si>
    <t>verwirrung</t>
  </si>
  <si>
    <t>überschritten</t>
  </si>
  <si>
    <t>where</t>
  </si>
  <si>
    <t>instrumente</t>
  </si>
  <si>
    <t>mailand</t>
  </si>
  <si>
    <t>belassen</t>
  </si>
  <si>
    <t>latein</t>
  </si>
  <si>
    <t>caine</t>
  </si>
  <si>
    <t>großartiges</t>
  </si>
  <si>
    <t>billie</t>
  </si>
  <si>
    <t>grundlage</t>
  </si>
  <si>
    <t>reihenfolge</t>
  </si>
  <si>
    <t>körperliche</t>
  </si>
  <si>
    <t>würmer</t>
  </si>
  <si>
    <t>arena</t>
  </si>
  <si>
    <t>mexico</t>
  </si>
  <si>
    <t>hong</t>
  </si>
  <si>
    <t>ballett</t>
  </si>
  <si>
    <t>luder</t>
  </si>
  <si>
    <t>gerald</t>
  </si>
  <si>
    <t>werke</t>
  </si>
  <si>
    <t>bullshit</t>
  </si>
  <si>
    <t>mae</t>
  </si>
  <si>
    <t>verfolgung</t>
  </si>
  <si>
    <t>lizzie</t>
  </si>
  <si>
    <t>männlichen</t>
  </si>
  <si>
    <t>exemplar</t>
  </si>
  <si>
    <t>bedauerlich</t>
  </si>
  <si>
    <t>blinden</t>
  </si>
  <si>
    <t>jage</t>
  </si>
  <si>
    <t>cd</t>
  </si>
  <si>
    <t>honey</t>
  </si>
  <si>
    <t>finanzieren</t>
  </si>
  <si>
    <t>anstalt</t>
  </si>
  <si>
    <t>vorbeischauen</t>
  </si>
  <si>
    <t>v.</t>
  </si>
  <si>
    <t>pakt</t>
  </si>
  <si>
    <t>damm</t>
  </si>
  <si>
    <t>laser</t>
  </si>
  <si>
    <t>gustav</t>
  </si>
  <si>
    <t>einsamen</t>
  </si>
  <si>
    <t>derart</t>
  </si>
  <si>
    <t>unteren</t>
  </si>
  <si>
    <t>versammeln</t>
  </si>
  <si>
    <t>behörde</t>
  </si>
  <si>
    <t>info</t>
  </si>
  <si>
    <t>beckett</t>
  </si>
  <si>
    <t>gedeckt</t>
  </si>
  <si>
    <t>köter</t>
  </si>
  <si>
    <t>positionen</t>
  </si>
  <si>
    <t>vertrete</t>
  </si>
  <si>
    <t>kirby</t>
  </si>
  <si>
    <t>vergewaltigen</t>
  </si>
  <si>
    <t>chemikalien</t>
  </si>
  <si>
    <t>verwechseln</t>
  </si>
  <si>
    <t>helle</t>
  </si>
  <si>
    <t>vergrößern</t>
  </si>
  <si>
    <t>anhaben</t>
  </si>
  <si>
    <t>tuvok</t>
  </si>
  <si>
    <t>angepisst</t>
  </si>
  <si>
    <t>ida</t>
  </si>
  <si>
    <t>mississippi</t>
  </si>
  <si>
    <t>unterschlupf</t>
  </si>
  <si>
    <t>hemden</t>
  </si>
  <si>
    <t>besen</t>
  </si>
  <si>
    <t>herkomme</t>
  </si>
  <si>
    <t>ließe</t>
  </si>
  <si>
    <t>jazz</t>
  </si>
  <si>
    <t>eilt</t>
  </si>
  <si>
    <t>candy</t>
  </si>
  <si>
    <t>vorwerfen</t>
  </si>
  <si>
    <t>plans</t>
  </si>
  <si>
    <t>il</t>
  </si>
  <si>
    <t>abzuhalten</t>
  </si>
  <si>
    <t>odo</t>
  </si>
  <si>
    <t>tugend</t>
  </si>
  <si>
    <t>fürsten</t>
  </si>
  <si>
    <t>neuanfang</t>
  </si>
  <si>
    <t>drängt</t>
  </si>
  <si>
    <t>verweigern</t>
  </si>
  <si>
    <t>töne</t>
  </si>
  <si>
    <t>patricia</t>
  </si>
  <si>
    <t>maureen</t>
  </si>
  <si>
    <t>staates</t>
  </si>
  <si>
    <t>anordnung</t>
  </si>
  <si>
    <t>orchester</t>
  </si>
  <si>
    <t>senf</t>
  </si>
  <si>
    <t>qualen</t>
  </si>
  <si>
    <t>verwaltung</t>
  </si>
  <si>
    <t>übertreibst</t>
  </si>
  <si>
    <t>anonymen</t>
  </si>
  <si>
    <t>galt</t>
  </si>
  <si>
    <t>ver</t>
  </si>
  <si>
    <t>scherzen</t>
  </si>
  <si>
    <t>ausgeflippt</t>
  </si>
  <si>
    <t>modern</t>
  </si>
  <si>
    <t>schwiegersohn</t>
  </si>
  <si>
    <t>getränk</t>
  </si>
  <si>
    <t>hörer</t>
  </si>
  <si>
    <t>finanzen</t>
  </si>
  <si>
    <t>bang</t>
  </si>
  <si>
    <t>colorado</t>
  </si>
  <si>
    <t>vernünftige</t>
  </si>
  <si>
    <t>verteidiger</t>
  </si>
  <si>
    <t>rupert</t>
  </si>
  <si>
    <t>verbirgt</t>
  </si>
  <si>
    <t>ähnliche</t>
  </si>
  <si>
    <t>bevorzugen</t>
  </si>
  <si>
    <t>bea</t>
  </si>
  <si>
    <t>hindurch</t>
  </si>
  <si>
    <t>eigentliche</t>
  </si>
  <si>
    <t>belästigung</t>
  </si>
  <si>
    <t>seltene</t>
  </si>
  <si>
    <t>mysteriöse</t>
  </si>
  <si>
    <t>vorsitzende</t>
  </si>
  <si>
    <t>anzüge</t>
  </si>
  <si>
    <t>haue</t>
  </si>
  <si>
    <t>häh</t>
  </si>
  <si>
    <t>feuert</t>
  </si>
  <si>
    <t>vorausgesetzt</t>
  </si>
  <si>
    <t>profitieren</t>
  </si>
  <si>
    <t>sabine</t>
  </si>
  <si>
    <t>kaltes</t>
  </si>
  <si>
    <t>eingedrungen</t>
  </si>
  <si>
    <t>huch</t>
  </si>
  <si>
    <t>creek</t>
  </si>
  <si>
    <t>vorläufig</t>
  </si>
  <si>
    <t>canyon</t>
  </si>
  <si>
    <t>adern</t>
  </si>
  <si>
    <t>mordkommission</t>
  </si>
  <si>
    <t>schnattert</t>
  </si>
  <si>
    <t>baxter</t>
  </si>
  <si>
    <t>piepsen</t>
  </si>
  <si>
    <t>benutz</t>
  </si>
  <si>
    <t>chelsea</t>
  </si>
  <si>
    <t>dämliche</t>
  </si>
  <si>
    <t>erkältung</t>
  </si>
  <si>
    <t>belohnt</t>
  </si>
  <si>
    <t>grinsen</t>
  </si>
  <si>
    <t>bund</t>
  </si>
  <si>
    <t>gestochen</t>
  </si>
  <si>
    <t>katharina</t>
  </si>
  <si>
    <t>moms</t>
  </si>
  <si>
    <t>provozieren</t>
  </si>
  <si>
    <t>geschmeichelt</t>
  </si>
  <si>
    <t>anrichten</t>
  </si>
  <si>
    <t>letztlich</t>
  </si>
  <si>
    <t>gehirnerschütterung</t>
  </si>
  <si>
    <t>lehnen</t>
  </si>
  <si>
    <t>geknackt</t>
  </si>
  <si>
    <t>partnerschaft</t>
  </si>
  <si>
    <t>eingeschaltet</t>
  </si>
  <si>
    <t>whitney</t>
  </si>
  <si>
    <t>skye</t>
  </si>
  <si>
    <t>gestohlenen</t>
  </si>
  <si>
    <t>aufhörst</t>
  </si>
  <si>
    <t>tagelang</t>
  </si>
  <si>
    <t>oswald</t>
  </si>
  <si>
    <t>scofield</t>
  </si>
  <si>
    <t>unterscheidet</t>
  </si>
  <si>
    <t>begleiter</t>
  </si>
  <si>
    <t>margot</t>
  </si>
  <si>
    <t>ober</t>
  </si>
  <si>
    <t>tödlichen</t>
  </si>
  <si>
    <t>apokalypse</t>
  </si>
  <si>
    <t>k.i.t.t.</t>
  </si>
  <si>
    <t>much</t>
  </si>
  <si>
    <t>knabe</t>
  </si>
  <si>
    <t>montgomery</t>
  </si>
  <si>
    <t>eingebildet</t>
  </si>
  <si>
    <t>berühmter</t>
  </si>
  <si>
    <t>reihen</t>
  </si>
  <si>
    <t>schwindler</t>
  </si>
  <si>
    <t>verarschst</t>
  </si>
  <si>
    <t>maß</t>
  </si>
  <si>
    <t>rechtsanwalt</t>
  </si>
  <si>
    <t>geritten</t>
  </si>
  <si>
    <t>romantik</t>
  </si>
  <si>
    <t>net</t>
  </si>
  <si>
    <t>räder</t>
  </si>
  <si>
    <t>nanny</t>
  </si>
  <si>
    <t>betsy</t>
  </si>
  <si>
    <t>erklärungen</t>
  </si>
  <si>
    <t>haushälterin</t>
  </si>
  <si>
    <t>gütig</t>
  </si>
  <si>
    <t>privatdetektiv</t>
  </si>
  <si>
    <t>rumhängen</t>
  </si>
  <si>
    <t>ansteckend</t>
  </si>
  <si>
    <t>marcy</t>
  </si>
  <si>
    <t>anstoßen</t>
  </si>
  <si>
    <t>michaels</t>
  </si>
  <si>
    <t>gefüttert</t>
  </si>
  <si>
    <t>nackten</t>
  </si>
  <si>
    <t>nervig</t>
  </si>
  <si>
    <t>neuem</t>
  </si>
  <si>
    <t>sheppard</t>
  </si>
  <si>
    <t>geistig</t>
  </si>
  <si>
    <t>niedergeschlagen</t>
  </si>
  <si>
    <t>nicolas</t>
  </si>
  <si>
    <t>herumlaufen</t>
  </si>
  <si>
    <t>einmalige</t>
  </si>
  <si>
    <t>verstößt</t>
  </si>
  <si>
    <t>ähnelt</t>
  </si>
  <si>
    <t>morphium</t>
  </si>
  <si>
    <t>tool</t>
  </si>
  <si>
    <t>bote</t>
  </si>
  <si>
    <t>monitor</t>
  </si>
  <si>
    <t>kooperation</t>
  </si>
  <si>
    <t>schwerkraft</t>
  </si>
  <si>
    <t>abgewiesen</t>
  </si>
  <si>
    <t>auserwählt</t>
  </si>
  <si>
    <t>bedacht</t>
  </si>
  <si>
    <t>frucht</t>
  </si>
  <si>
    <t>phaser</t>
  </si>
  <si>
    <t>söldner</t>
  </si>
  <si>
    <t>taugt</t>
  </si>
  <si>
    <t>dalton</t>
  </si>
  <si>
    <t>objekte</t>
  </si>
  <si>
    <t>pulli</t>
  </si>
  <si>
    <t>ärzten</t>
  </si>
  <si>
    <t>kiefer</t>
  </si>
  <si>
    <t>aufwecken</t>
  </si>
  <si>
    <t>angemacht</t>
  </si>
  <si>
    <t>klugscheißer</t>
  </si>
  <si>
    <t>zaubern</t>
  </si>
  <si>
    <t>gabel</t>
  </si>
  <si>
    <t>engagieren</t>
  </si>
  <si>
    <t>funktionierte</t>
  </si>
  <si>
    <t>gross</t>
  </si>
  <si>
    <t>schwächer</t>
  </si>
  <si>
    <t>empfindest</t>
  </si>
  <si>
    <t>führ</t>
  </si>
  <si>
    <t>ernsthafte</t>
  </si>
  <si>
    <t>vermitteln</t>
  </si>
  <si>
    <t>einzusetzen</t>
  </si>
  <si>
    <t>andreas</t>
  </si>
  <si>
    <t>hughes</t>
  </si>
  <si>
    <t>jenen</t>
  </si>
  <si>
    <t>nonnen</t>
  </si>
  <si>
    <t>vorgehensweise</t>
  </si>
  <si>
    <t>wat</t>
  </si>
  <si>
    <t>spender</t>
  </si>
  <si>
    <t>val</t>
  </si>
  <si>
    <t>company</t>
  </si>
  <si>
    <t>blauer</t>
  </si>
  <si>
    <t>rasiert</t>
  </si>
  <si>
    <t>vergebt</t>
  </si>
  <si>
    <t>mayday</t>
  </si>
  <si>
    <t>venus</t>
  </si>
  <si>
    <t>verhafte</t>
  </si>
  <si>
    <t>steigst</t>
  </si>
  <si>
    <t>identisch</t>
  </si>
  <si>
    <t>bange</t>
  </si>
  <si>
    <t>bekämpft</t>
  </si>
  <si>
    <t>jep</t>
  </si>
  <si>
    <t>gastgeber</t>
  </si>
  <si>
    <t>innenstadt</t>
  </si>
  <si>
    <t>mitbewohnerin</t>
  </si>
  <si>
    <t>papas</t>
  </si>
  <si>
    <t>schwindelig</t>
  </si>
  <si>
    <t>dc</t>
  </si>
  <si>
    <t>ratschlag</t>
  </si>
  <si>
    <t>scham</t>
  </si>
  <si>
    <t>intensiv</t>
  </si>
  <si>
    <t>amigo</t>
  </si>
  <si>
    <t>louie</t>
  </si>
  <si>
    <t>defekt</t>
  </si>
  <si>
    <t>beziehen</t>
  </si>
  <si>
    <t>or</t>
  </si>
  <si>
    <t>talentiert</t>
  </si>
  <si>
    <t>bridget</t>
  </si>
  <si>
    <t>gretchen</t>
  </si>
  <si>
    <t>angezeigt</t>
  </si>
  <si>
    <t>schaufel</t>
  </si>
  <si>
    <t>erschüttert</t>
  </si>
  <si>
    <t>reingefallen</t>
  </si>
  <si>
    <t>vetter</t>
  </si>
  <si>
    <t>braunen</t>
  </si>
  <si>
    <t>boys</t>
  </si>
  <si>
    <t>bestechen</t>
  </si>
  <si>
    <t>rücksitz</t>
  </si>
  <si>
    <t>sicherzustellen</t>
  </si>
  <si>
    <t>verärgern</t>
  </si>
  <si>
    <t>magier</t>
  </si>
  <si>
    <t>management</t>
  </si>
  <si>
    <t>eröffnung</t>
  </si>
  <si>
    <t>grill</t>
  </si>
  <si>
    <t>schiffen</t>
  </si>
  <si>
    <t>passte</t>
  </si>
  <si>
    <t>deacon</t>
  </si>
  <si>
    <t>chefs</t>
  </si>
  <si>
    <t>verbinde</t>
  </si>
  <si>
    <t>würfel</t>
  </si>
  <si>
    <t>physik</t>
  </si>
  <si>
    <t>dosen</t>
  </si>
  <si>
    <t>grove</t>
  </si>
  <si>
    <t>champ</t>
  </si>
  <si>
    <t>möchtet</t>
  </si>
  <si>
    <t>porno</t>
  </si>
  <si>
    <t>absoluter</t>
  </si>
  <si>
    <t>stadion</t>
  </si>
  <si>
    <t>abgeschossen</t>
  </si>
  <si>
    <t>streben</t>
  </si>
  <si>
    <t>durchstehen</t>
  </si>
  <si>
    <t>beging</t>
  </si>
  <si>
    <t>streik</t>
  </si>
  <si>
    <t>weiterfahren</t>
  </si>
  <si>
    <t>ramon</t>
  </si>
  <si>
    <t>tipps</t>
  </si>
  <si>
    <t>sweet</t>
  </si>
  <si>
    <t>hinsehen</t>
  </si>
  <si>
    <t>isabel</t>
  </si>
  <si>
    <t>starte</t>
  </si>
  <si>
    <t>plätzchen</t>
  </si>
  <si>
    <t>magazine</t>
  </si>
  <si>
    <t>wanda</t>
  </si>
  <si>
    <t>beruht</t>
  </si>
  <si>
    <t>ragnar</t>
  </si>
  <si>
    <t>korruption</t>
  </si>
  <si>
    <t>wimmelt</t>
  </si>
  <si>
    <t>hook</t>
  </si>
  <si>
    <t>lux</t>
  </si>
  <si>
    <t>abgestellt</t>
  </si>
  <si>
    <t>liefere</t>
  </si>
  <si>
    <t>anschließend</t>
  </si>
  <si>
    <t>grube</t>
  </si>
  <si>
    <t>mei</t>
  </si>
  <si>
    <t>flieht</t>
  </si>
  <si>
    <t>schriftlich</t>
  </si>
  <si>
    <t>kamerad</t>
  </si>
  <si>
    <t>irrelevant</t>
  </si>
  <si>
    <t>ironisch</t>
  </si>
  <si>
    <t>herab</t>
  </si>
  <si>
    <t>friedrich</t>
  </si>
  <si>
    <t>stier</t>
  </si>
  <si>
    <t>entschluss</t>
  </si>
  <si>
    <t>gescheitert</t>
  </si>
  <si>
    <t>begrüße</t>
  </si>
  <si>
    <t>kitt</t>
  </si>
  <si>
    <t>desaster</t>
  </si>
  <si>
    <t>wachsam</t>
  </si>
  <si>
    <t>startklar</t>
  </si>
  <si>
    <t>gutmachen</t>
  </si>
  <si>
    <t>log</t>
  </si>
  <si>
    <t>luca</t>
  </si>
  <si>
    <t>hypothek</t>
  </si>
  <si>
    <t>anhand</t>
  </si>
  <si>
    <t>schlagzeilen</t>
  </si>
  <si>
    <t>auslöser</t>
  </si>
  <si>
    <t>gaius</t>
  </si>
  <si>
    <t>kündigung</t>
  </si>
  <si>
    <t>atlantis</t>
  </si>
  <si>
    <t>entzug</t>
  </si>
  <si>
    <t>server</t>
  </si>
  <si>
    <t>adele</t>
  </si>
  <si>
    <t>leibwächter</t>
  </si>
  <si>
    <t>abzulenken</t>
  </si>
  <si>
    <t>angeben</t>
  </si>
  <si>
    <t>abknallen</t>
  </si>
  <si>
    <t>schuldigen</t>
  </si>
  <si>
    <t>thor</t>
  </si>
  <si>
    <t>erschrocken</t>
  </si>
  <si>
    <t>lehrte</t>
  </si>
  <si>
    <t>häschen</t>
  </si>
  <si>
    <t>daily</t>
  </si>
  <si>
    <t>handschuh</t>
  </si>
  <si>
    <t>seide</t>
  </si>
  <si>
    <t>bewaffnete</t>
  </si>
  <si>
    <t>caesar</t>
  </si>
  <si>
    <t>sklavin</t>
  </si>
  <si>
    <t>leinwand</t>
  </si>
  <si>
    <t>erzählten</t>
  </si>
  <si>
    <t>geguckt</t>
  </si>
  <si>
    <t>georgie</t>
  </si>
  <si>
    <t>stimmts</t>
  </si>
  <si>
    <t>brendan</t>
  </si>
  <si>
    <t>leichten</t>
  </si>
  <si>
    <t>phillips</t>
  </si>
  <si>
    <t>pistolen</t>
  </si>
  <si>
    <t>verbringst</t>
  </si>
  <si>
    <t>scannen</t>
  </si>
  <si>
    <t>richmond</t>
  </si>
  <si>
    <t>klatschen</t>
  </si>
  <si>
    <t>städten</t>
  </si>
  <si>
    <t>ohrringe</t>
  </si>
  <si>
    <t>präsentation</t>
  </si>
  <si>
    <t>gotham</t>
  </si>
  <si>
    <t>häuschen</t>
  </si>
  <si>
    <t>vermittlung</t>
  </si>
  <si>
    <t>zahnbürste</t>
  </si>
  <si>
    <t>feinen</t>
  </si>
  <si>
    <t>blei</t>
  </si>
  <si>
    <t>gönnen</t>
  </si>
  <si>
    <t>schlugen</t>
  </si>
  <si>
    <t>sprüche</t>
  </si>
  <si>
    <t>erreichbar</t>
  </si>
  <si>
    <t>scheißdreck</t>
  </si>
  <si>
    <t>kerlen</t>
  </si>
  <si>
    <t>zuverlässig</t>
  </si>
  <si>
    <t>sasha</t>
  </si>
  <si>
    <t>aufprall</t>
  </si>
  <si>
    <t>stewart</t>
  </si>
  <si>
    <t>hochzeiten</t>
  </si>
  <si>
    <t>aneinander</t>
  </si>
  <si>
    <t>vorwurf</t>
  </si>
  <si>
    <t>gehörten</t>
  </si>
  <si>
    <t>ausflippen</t>
  </si>
  <si>
    <t>kehrte</t>
  </si>
  <si>
    <t>sonntags</t>
  </si>
  <si>
    <t>cyrus</t>
  </si>
  <si>
    <t>garde</t>
  </si>
  <si>
    <t>sonde</t>
  </si>
  <si>
    <t>blutungen</t>
  </si>
  <si>
    <t>roosevelt</t>
  </si>
  <si>
    <t>flüchtlinge</t>
  </si>
  <si>
    <t>unterhose</t>
  </si>
  <si>
    <t>scotland</t>
  </si>
  <si>
    <t>instrumentalmusik</t>
  </si>
  <si>
    <t>becca</t>
  </si>
  <si>
    <t>heldin</t>
  </si>
  <si>
    <t>geschmeckt</t>
  </si>
  <si>
    <t>rod</t>
  </si>
  <si>
    <t>unterstütze</t>
  </si>
  <si>
    <t>schluchzen</t>
  </si>
  <si>
    <t>säcke</t>
  </si>
  <si>
    <t>psychopath</t>
  </si>
  <si>
    <t>madonna</t>
  </si>
  <si>
    <t>bezeugen</t>
  </si>
  <si>
    <t>massage</t>
  </si>
  <si>
    <t>geschmissen</t>
  </si>
  <si>
    <t>pudding</t>
  </si>
  <si>
    <t>einzuladen</t>
  </si>
  <si>
    <t>meldete</t>
  </si>
  <si>
    <t>ecken</t>
  </si>
  <si>
    <t>bedrohen</t>
  </si>
  <si>
    <t>lulu</t>
  </si>
  <si>
    <t>lichtjahre</t>
  </si>
  <si>
    <t>line</t>
  </si>
  <si>
    <t>schweig</t>
  </si>
  <si>
    <t>zwecklos</t>
  </si>
  <si>
    <t>teilnehmer</t>
  </si>
  <si>
    <t>charley</t>
  </si>
  <si>
    <t>langeweile</t>
  </si>
  <si>
    <t>offiziellen</t>
  </si>
  <si>
    <t>rudi</t>
  </si>
  <si>
    <t>verzeihe</t>
  </si>
  <si>
    <t>hässlichen</t>
  </si>
  <si>
    <t>gewidmet</t>
  </si>
  <si>
    <t>tabak</t>
  </si>
  <si>
    <t>ernannt</t>
  </si>
  <si>
    <t>übler</t>
  </si>
  <si>
    <t>sandwiches</t>
  </si>
  <si>
    <t>adoptieren</t>
  </si>
  <si>
    <t>geistern</t>
  </si>
  <si>
    <t>sheriffs</t>
  </si>
  <si>
    <t>vorgesetzter</t>
  </si>
  <si>
    <t>kodex</t>
  </si>
  <si>
    <t>südamerika</t>
  </si>
  <si>
    <t>kostete</t>
  </si>
  <si>
    <t>verführt</t>
  </si>
  <si>
    <t>schonen</t>
  </si>
  <si>
    <t>pauline</t>
  </si>
  <si>
    <t>machtlos</t>
  </si>
  <si>
    <t>einsehen</t>
  </si>
  <si>
    <t>mythos</t>
  </si>
  <si>
    <t>verantworten</t>
  </si>
  <si>
    <t>ausschließlich</t>
  </si>
  <si>
    <t>ahh</t>
  </si>
  <si>
    <t>pamela</t>
  </si>
  <si>
    <t>geschäften</t>
  </si>
  <si>
    <t>zurückbekommen</t>
  </si>
  <si>
    <t>anrufst</t>
  </si>
  <si>
    <t>marihuana</t>
  </si>
  <si>
    <t>mithalten</t>
  </si>
  <si>
    <t>lebenszeichen</t>
  </si>
  <si>
    <t>woody</t>
  </si>
  <si>
    <t>anmachen</t>
  </si>
  <si>
    <t>sklaverei</t>
  </si>
  <si>
    <t>haustier</t>
  </si>
  <si>
    <t>inseln</t>
  </si>
  <si>
    <t>ohh</t>
  </si>
  <si>
    <t>stützpunkt</t>
  </si>
  <si>
    <t>trennt</t>
  </si>
  <si>
    <t>gesichtsausdruck</t>
  </si>
  <si>
    <t>andré</t>
  </si>
  <si>
    <t>gesunken</t>
  </si>
  <si>
    <t>fernbedienung</t>
  </si>
  <si>
    <t>verstärkt</t>
  </si>
  <si>
    <t>fã</t>
  </si>
  <si>
    <t>markus</t>
  </si>
  <si>
    <t>element</t>
  </si>
  <si>
    <t>sterling</t>
  </si>
  <si>
    <t>olga</t>
  </si>
  <si>
    <t>verlegenheit</t>
  </si>
  <si>
    <t>metro</t>
  </si>
  <si>
    <t>bruderschaft</t>
  </si>
  <si>
    <t>probiere</t>
  </si>
  <si>
    <t>wiederum</t>
  </si>
  <si>
    <t>bereitschaft</t>
  </si>
  <si>
    <t>chet</t>
  </si>
  <si>
    <t>börse</t>
  </si>
  <si>
    <t>aufsatz</t>
  </si>
  <si>
    <t>untergrund</t>
  </si>
  <si>
    <t>versiegelt</t>
  </si>
  <si>
    <t>gegenstände</t>
  </si>
  <si>
    <t>gebildet</t>
  </si>
  <si>
    <t>rast</t>
  </si>
  <si>
    <t>regiment</t>
  </si>
  <si>
    <t>kostenlos</t>
  </si>
  <si>
    <t>ausschuss</t>
  </si>
  <si>
    <t>dvd</t>
  </si>
  <si>
    <t>gesprengt</t>
  </si>
  <si>
    <t>ausweise</t>
  </si>
  <si>
    <t>allan</t>
  </si>
  <si>
    <t>feindliche</t>
  </si>
  <si>
    <t>irina</t>
  </si>
  <si>
    <t>feldwebel</t>
  </si>
  <si>
    <t>zerbricht</t>
  </si>
  <si>
    <t>lenkt</t>
  </si>
  <si>
    <t>durchdrehen</t>
  </si>
  <si>
    <t>ausgelassen</t>
  </si>
  <si>
    <t>kramer</t>
  </si>
  <si>
    <t>tango</t>
  </si>
  <si>
    <t>respektlos</t>
  </si>
  <si>
    <t>stripperin</t>
  </si>
  <si>
    <t>hengst</t>
  </si>
  <si>
    <t>schwanzlutscher</t>
  </si>
  <si>
    <t>löse</t>
  </si>
  <si>
    <t>banane</t>
  </si>
  <si>
    <t>bloss</t>
  </si>
  <si>
    <t>gavin</t>
  </si>
  <si>
    <t>skinner</t>
  </si>
  <si>
    <t>schurken</t>
  </si>
  <si>
    <t>wäscht</t>
  </si>
  <si>
    <t>daraufhin</t>
  </si>
  <si>
    <t>nico</t>
  </si>
  <si>
    <t>walsh</t>
  </si>
  <si>
    <t>geschäftspartner</t>
  </si>
  <si>
    <t>weggefahren</t>
  </si>
  <si>
    <t>psychologie</t>
  </si>
  <si>
    <t>zwing</t>
  </si>
  <si>
    <t>verständigen</t>
  </si>
  <si>
    <t>belastung</t>
  </si>
  <si>
    <t>bender</t>
  </si>
  <si>
    <t>bindung</t>
  </si>
  <si>
    <t>sherman</t>
  </si>
  <si>
    <t>umarmt</t>
  </si>
  <si>
    <t>entkam</t>
  </si>
  <si>
    <t>gespenst</t>
  </si>
  <si>
    <t>konntet</t>
  </si>
  <si>
    <t>menschenleben</t>
  </si>
  <si>
    <t>wurdet</t>
  </si>
  <si>
    <t>öde</t>
  </si>
  <si>
    <t>ursprung</t>
  </si>
  <si>
    <t>geputzt</t>
  </si>
  <si>
    <t>sektion</t>
  </si>
  <si>
    <t>schleppen</t>
  </si>
  <si>
    <t>erfassen</t>
  </si>
  <si>
    <t>terrasse</t>
  </si>
  <si>
    <t>wilhelm</t>
  </si>
  <si>
    <t>unbesorgt</t>
  </si>
  <si>
    <t>warteten</t>
  </si>
  <si>
    <t>eingereicht</t>
  </si>
  <si>
    <t>sekretär</t>
  </si>
  <si>
    <t>turk</t>
  </si>
  <si>
    <t>beruhigend</t>
  </si>
  <si>
    <t>angezündet</t>
  </si>
  <si>
    <t>verbrechens</t>
  </si>
  <si>
    <t>impuls</t>
  </si>
  <si>
    <t>voreilig</t>
  </si>
  <si>
    <t>peitsche</t>
  </si>
  <si>
    <t>griechen</t>
  </si>
  <si>
    <t>bennet</t>
  </si>
  <si>
    <t>installiert</t>
  </si>
  <si>
    <t>verlier</t>
  </si>
  <si>
    <t>rebellion</t>
  </si>
  <si>
    <t>karin</t>
  </si>
  <si>
    <t>seemann</t>
  </si>
  <si>
    <t>bones</t>
  </si>
  <si>
    <t>aufgeräumt</t>
  </si>
  <si>
    <t>verdiente</t>
  </si>
  <si>
    <t>elender</t>
  </si>
  <si>
    <t>sound</t>
  </si>
  <si>
    <t>absturz</t>
  </si>
  <si>
    <t>begleichen</t>
  </si>
  <si>
    <t>orgasmus</t>
  </si>
  <si>
    <t>toto</t>
  </si>
  <si>
    <t>vögelchen</t>
  </si>
  <si>
    <t>reinkommt</t>
  </si>
  <si>
    <t>renee</t>
  </si>
  <si>
    <t>benachrichtigen</t>
  </si>
  <si>
    <t>kavallerie</t>
  </si>
  <si>
    <t>allerseits</t>
  </si>
  <si>
    <t>übe</t>
  </si>
  <si>
    <t>constable</t>
  </si>
  <si>
    <t>weigern</t>
  </si>
  <si>
    <t>wirklichen</t>
  </si>
  <si>
    <t>aufträge</t>
  </si>
  <si>
    <t>beifall</t>
  </si>
  <si>
    <t>cents</t>
  </si>
  <si>
    <t>angehörigen</t>
  </si>
  <si>
    <t>damien</t>
  </si>
  <si>
    <t>resultat</t>
  </si>
  <si>
    <t>global</t>
  </si>
  <si>
    <t>pennsylvania</t>
  </si>
  <si>
    <t>warmen</t>
  </si>
  <si>
    <t>danielle</t>
  </si>
  <si>
    <t>verbiete</t>
  </si>
  <si>
    <t>entschuldigst</t>
  </si>
  <si>
    <t>wahlen</t>
  </si>
  <si>
    <t>aufziehen</t>
  </si>
  <si>
    <t>weitem</t>
  </si>
  <si>
    <t>verdreht</t>
  </si>
  <si>
    <t>powers</t>
  </si>
  <si>
    <t>vorschuss</t>
  </si>
  <si>
    <t>bananen</t>
  </si>
  <si>
    <t>dex</t>
  </si>
  <si>
    <t>schuf</t>
  </si>
  <si>
    <t>beschützer</t>
  </si>
  <si>
    <t>fuer</t>
  </si>
  <si>
    <t>wahrlich</t>
  </si>
  <si>
    <t>hüften</t>
  </si>
  <si>
    <t>q</t>
  </si>
  <si>
    <t>betrag</t>
  </si>
  <si>
    <t>hysterisch</t>
  </si>
  <si>
    <t>schwor</t>
  </si>
  <si>
    <t>schlägerei</t>
  </si>
  <si>
    <t>flogen</t>
  </si>
  <si>
    <t>bösewicht</t>
  </si>
  <si>
    <t>aufwachsen</t>
  </si>
  <si>
    <t>römischen</t>
  </si>
  <si>
    <t>carolina</t>
  </si>
  <si>
    <t>auszeichnung</t>
  </si>
  <si>
    <t>riskiere</t>
  </si>
  <si>
    <t>florence</t>
  </si>
  <si>
    <t>ermöglichen</t>
  </si>
  <si>
    <t>komiker</t>
  </si>
  <si>
    <t>auffallen</t>
  </si>
  <si>
    <t>eingegangen</t>
  </si>
  <si>
    <t>kondom</t>
  </si>
  <si>
    <t>besserung</t>
  </si>
  <si>
    <t>vinnie</t>
  </si>
  <si>
    <t>karton</t>
  </si>
  <si>
    <t>verspätet</t>
  </si>
  <si>
    <t>obhut</t>
  </si>
  <si>
    <t>aufführung</t>
  </si>
  <si>
    <t>fraß</t>
  </si>
  <si>
    <t>abfahrt</t>
  </si>
  <si>
    <t>hydra</t>
  </si>
  <si>
    <t>briefkasten</t>
  </si>
  <si>
    <t>häftling</t>
  </si>
  <si>
    <t>ezra</t>
  </si>
  <si>
    <t>kat</t>
  </si>
  <si>
    <t>unterschätzen</t>
  </si>
  <si>
    <t>sisko</t>
  </si>
  <si>
    <t>hausfrau</t>
  </si>
  <si>
    <t>hannes</t>
  </si>
  <si>
    <t>errichten</t>
  </si>
  <si>
    <t>stapel</t>
  </si>
  <si>
    <t>reparatur</t>
  </si>
  <si>
    <t>pike</t>
  </si>
  <si>
    <t>reste</t>
  </si>
  <si>
    <t>übereinstimmung</t>
  </si>
  <si>
    <t>entwurf</t>
  </si>
  <si>
    <t>shoppen</t>
  </si>
  <si>
    <t>anliegen</t>
  </si>
  <si>
    <t>täuschung</t>
  </si>
  <si>
    <t>doll</t>
  </si>
  <si>
    <t>eliminieren</t>
  </si>
  <si>
    <t>verstärken</t>
  </si>
  <si>
    <t>insassen</t>
  </si>
  <si>
    <t>mithilfe</t>
  </si>
  <si>
    <t>packung</t>
  </si>
  <si>
    <t>u.s.</t>
  </si>
  <si>
    <t>adressen</t>
  </si>
  <si>
    <t>kang</t>
  </si>
  <si>
    <t>themen</t>
  </si>
  <si>
    <t>aufteilen</t>
  </si>
  <si>
    <t>unberechenbar</t>
  </si>
  <si>
    <t>eingeschlagen</t>
  </si>
  <si>
    <t>verklagt</t>
  </si>
  <si>
    <t>drohne</t>
  </si>
  <si>
    <t>vage</t>
  </si>
  <si>
    <t>hindernis</t>
  </si>
  <si>
    <t>izzy</t>
  </si>
  <si>
    <t>qualifiziert</t>
  </si>
  <si>
    <t>solo</t>
  </si>
  <si>
    <t>gierig</t>
  </si>
  <si>
    <t>schreck</t>
  </si>
  <si>
    <t>verrotten</t>
  </si>
  <si>
    <t>integrität</t>
  </si>
  <si>
    <t>hinterkopf</t>
  </si>
  <si>
    <t>wundervollen</t>
  </si>
  <si>
    <t>lo</t>
  </si>
  <si>
    <t>lob</t>
  </si>
  <si>
    <t>verwirren</t>
  </si>
  <si>
    <t>allgemeinen</t>
  </si>
  <si>
    <t>frustriert</t>
  </si>
  <si>
    <t>ohnmacht</t>
  </si>
  <si>
    <t>autoschlüssel</t>
  </si>
  <si>
    <t>erfährst</t>
  </si>
  <si>
    <t>image</t>
  </si>
  <si>
    <t>grady</t>
  </si>
  <si>
    <t>people</t>
  </si>
  <si>
    <t>unheilvolle</t>
  </si>
  <si>
    <t>kapieren</t>
  </si>
  <si>
    <t>zigarren</t>
  </si>
  <si>
    <t>josé</t>
  </si>
  <si>
    <t>joint</t>
  </si>
  <si>
    <t>nachgehen</t>
  </si>
  <si>
    <t>gedrängt</t>
  </si>
  <si>
    <t>soziale</t>
  </si>
  <si>
    <t>diente</t>
  </si>
  <si>
    <t>vieler</t>
  </si>
  <si>
    <t>wissenschaftliche</t>
  </si>
  <si>
    <t>dastehen</t>
  </si>
  <si>
    <t>inmitten</t>
  </si>
  <si>
    <t>millie</t>
  </si>
  <si>
    <t>brannte</t>
  </si>
  <si>
    <t>mengen</t>
  </si>
  <si>
    <t>ausnahmsweise</t>
  </si>
  <si>
    <t>silvester</t>
  </si>
  <si>
    <t>berufen</t>
  </si>
  <si>
    <t>schließfach</t>
  </si>
  <si>
    <t>bunny</t>
  </si>
  <si>
    <t>kenneth</t>
  </si>
  <si>
    <t>tische</t>
  </si>
  <si>
    <t>wasche</t>
  </si>
  <si>
    <t>vase</t>
  </si>
  <si>
    <t>einhalten</t>
  </si>
  <si>
    <t>halfen</t>
  </si>
  <si>
    <t>übernahm</t>
  </si>
  <si>
    <t>millionär</t>
  </si>
  <si>
    <t>dreißig</t>
  </si>
  <si>
    <t>bernadette</t>
  </si>
  <si>
    <t>denjenigen</t>
  </si>
  <si>
    <t>begeisterung</t>
  </si>
  <si>
    <t>forscher</t>
  </si>
  <si>
    <t>begabt</t>
  </si>
  <si>
    <t>design</t>
  </si>
  <si>
    <t>matthews</t>
  </si>
  <si>
    <t>taufe</t>
  </si>
  <si>
    <t>entscheidend</t>
  </si>
  <si>
    <t>zurückhaben</t>
  </si>
  <si>
    <t>katrina</t>
  </si>
  <si>
    <t>nervensäge</t>
  </si>
  <si>
    <t>betritt</t>
  </si>
  <si>
    <t>rodrigo</t>
  </si>
  <si>
    <t>kuckuck</t>
  </si>
  <si>
    <t>veränderte</t>
  </si>
  <si>
    <t>vollbracht</t>
  </si>
  <si>
    <t>jeweils</t>
  </si>
  <si>
    <t>passende</t>
  </si>
  <si>
    <t>unabhängigkeit</t>
  </si>
  <si>
    <t>türe</t>
  </si>
  <si>
    <t>einbrechen</t>
  </si>
  <si>
    <t>folgst</t>
  </si>
  <si>
    <t>lücke</t>
  </si>
  <si>
    <t>jüngeren</t>
  </si>
  <si>
    <t>immobilien</t>
  </si>
  <si>
    <t>industries</t>
  </si>
  <si>
    <t>schwangere</t>
  </si>
  <si>
    <t>unfug</t>
  </si>
  <si>
    <t>weibchen</t>
  </si>
  <si>
    <t>ergriffen</t>
  </si>
  <si>
    <t>jahrestag</t>
  </si>
  <si>
    <t>oleson</t>
  </si>
  <si>
    <t>fry</t>
  </si>
  <si>
    <t>exzellent</t>
  </si>
  <si>
    <t>strahlen</t>
  </si>
  <si>
    <t>vorgenommen</t>
  </si>
  <si>
    <t>aufgezeichnet</t>
  </si>
  <si>
    <t>business</t>
  </si>
  <si>
    <t>depression</t>
  </si>
  <si>
    <t>privates</t>
  </si>
  <si>
    <t>streiche</t>
  </si>
  <si>
    <t>alaska</t>
  </si>
  <si>
    <t>frances</t>
  </si>
  <si>
    <t>wänden</t>
  </si>
  <si>
    <t>erwecken</t>
  </si>
  <si>
    <t>sawyer</t>
  </si>
  <si>
    <t>männchen</t>
  </si>
  <si>
    <t>senken</t>
  </si>
  <si>
    <t>otis</t>
  </si>
  <si>
    <t>spanische</t>
  </si>
  <si>
    <t>beamter</t>
  </si>
  <si>
    <t>kommission</t>
  </si>
  <si>
    <t>fünfzig</t>
  </si>
  <si>
    <t>gedemütigt</t>
  </si>
  <si>
    <t>gucke</t>
  </si>
  <si>
    <t>mehrheit</t>
  </si>
  <si>
    <t>teuren</t>
  </si>
  <si>
    <t>abreißen</t>
  </si>
  <si>
    <t>komödie</t>
  </si>
  <si>
    <t>gestehe</t>
  </si>
  <si>
    <t>außergewöhnliche</t>
  </si>
  <si>
    <t>hartes</t>
  </si>
  <si>
    <t>ausprobiert</t>
  </si>
  <si>
    <t>runterkommen</t>
  </si>
  <si>
    <t>tragt</t>
  </si>
  <si>
    <t>spart</t>
  </si>
  <si>
    <t>bälle</t>
  </si>
  <si>
    <t>fahrzeuge</t>
  </si>
  <si>
    <t>freya</t>
  </si>
  <si>
    <t>zähl</t>
  </si>
  <si>
    <t>verehrer</t>
  </si>
  <si>
    <t>strecken</t>
  </si>
  <si>
    <t>gegeneinander</t>
  </si>
  <si>
    <t>ausfüllen</t>
  </si>
  <si>
    <t>olive</t>
  </si>
  <si>
    <t>crazy</t>
  </si>
  <si>
    <t>vermächtnis</t>
  </si>
  <si>
    <t>beteiligung</t>
  </si>
  <si>
    <t>bengel</t>
  </si>
  <si>
    <t>p.</t>
  </si>
  <si>
    <t>gottverdammte</t>
  </si>
  <si>
    <t>winzigen</t>
  </si>
  <si>
    <t>nächten</t>
  </si>
  <si>
    <t>ätzend</t>
  </si>
  <si>
    <t>kapital</t>
  </si>
  <si>
    <t>attacke</t>
  </si>
  <si>
    <t>vorstellungsgespräch</t>
  </si>
  <si>
    <t>interessiere</t>
  </si>
  <si>
    <t>medium</t>
  </si>
  <si>
    <t>anwenden</t>
  </si>
  <si>
    <t>hamlet</t>
  </si>
  <si>
    <t>stockwerk</t>
  </si>
  <si>
    <t>krankenhäuser</t>
  </si>
  <si>
    <t>direkten</t>
  </si>
  <si>
    <t>benötige</t>
  </si>
  <si>
    <t>extreme</t>
  </si>
  <si>
    <t>einzeln</t>
  </si>
  <si>
    <t>traurigen</t>
  </si>
  <si>
    <t>aufwärmen</t>
  </si>
  <si>
    <t>auszugehen</t>
  </si>
  <si>
    <t>befreiung</t>
  </si>
  <si>
    <t>anzahlung</t>
  </si>
  <si>
    <t>jensen</t>
  </si>
  <si>
    <t>komplex</t>
  </si>
  <si>
    <t>alias</t>
  </si>
  <si>
    <t>grafen</t>
  </si>
  <si>
    <t>besaß</t>
  </si>
  <si>
    <t>sammle</t>
  </si>
  <si>
    <t>feiertage</t>
  </si>
  <si>
    <t>stinken</t>
  </si>
  <si>
    <t>franc</t>
  </si>
  <si>
    <t>neela</t>
  </si>
  <si>
    <t>freiem</t>
  </si>
  <si>
    <t>elektrischen</t>
  </si>
  <si>
    <t>zustoßen</t>
  </si>
  <si>
    <t>zerschlagen</t>
  </si>
  <si>
    <t>hupt</t>
  </si>
  <si>
    <t>italienische</t>
  </si>
  <si>
    <t>hingekriegt</t>
  </si>
  <si>
    <t>marseille</t>
  </si>
  <si>
    <t>columbia</t>
  </si>
  <si>
    <t>unterschiedlich</t>
  </si>
  <si>
    <t>godsey</t>
  </si>
  <si>
    <t>schichten</t>
  </si>
  <si>
    <t>zielperson</t>
  </si>
  <si>
    <t>kopenhagen</t>
  </si>
  <si>
    <t>furchtbares</t>
  </si>
  <si>
    <t>fürchtete</t>
  </si>
  <si>
    <t>passagier</t>
  </si>
  <si>
    <t>imperium</t>
  </si>
  <si>
    <t>möcht</t>
  </si>
  <si>
    <t>säufer</t>
  </si>
  <si>
    <t>verlasst</t>
  </si>
  <si>
    <t>weiser</t>
  </si>
  <si>
    <t>zurückzuholen</t>
  </si>
  <si>
    <t>cho</t>
  </si>
  <si>
    <t>mieter</t>
  </si>
  <si>
    <t>schlösser</t>
  </si>
  <si>
    <t>privileg</t>
  </si>
  <si>
    <t>kondome</t>
  </si>
  <si>
    <t>montana</t>
  </si>
  <si>
    <t>rührend</t>
  </si>
  <si>
    <t>stumme</t>
  </si>
  <si>
    <t>winde</t>
  </si>
  <si>
    <t>wirbel</t>
  </si>
  <si>
    <t>investoren</t>
  </si>
  <si>
    <t>kakao</t>
  </si>
  <si>
    <t>sadie</t>
  </si>
  <si>
    <t>ausgestiegen</t>
  </si>
  <si>
    <t>pisse</t>
  </si>
  <si>
    <t>lucifer</t>
  </si>
  <si>
    <t>thailand</t>
  </si>
  <si>
    <t>behälter</t>
  </si>
  <si>
    <t>beck</t>
  </si>
  <si>
    <t>scheußlich</t>
  </si>
  <si>
    <t>kurier</t>
  </si>
  <si>
    <t>abu</t>
  </si>
  <si>
    <t>decker</t>
  </si>
  <si>
    <t>gereizt</t>
  </si>
  <si>
    <t>fassung</t>
  </si>
  <si>
    <t>leitungen</t>
  </si>
  <si>
    <t>kaliber</t>
  </si>
  <si>
    <t>losgeht</t>
  </si>
  <si>
    <t>gemeine</t>
  </si>
  <si>
    <t>wochenlang</t>
  </si>
  <si>
    <t>zeilen</t>
  </si>
  <si>
    <t>granate</t>
  </si>
  <si>
    <t>morgengrauen</t>
  </si>
  <si>
    <t>kristall</t>
  </si>
  <si>
    <t>captains</t>
  </si>
  <si>
    <t>sky</t>
  </si>
  <si>
    <t>bürgerkrieg</t>
  </si>
  <si>
    <t>dulden</t>
  </si>
  <si>
    <t>abzuhauen</t>
  </si>
  <si>
    <t>sorgte</t>
  </si>
  <si>
    <t>verhandelt</t>
  </si>
  <si>
    <t>einwände</t>
  </si>
  <si>
    <t>lara</t>
  </si>
  <si>
    <t>unheil</t>
  </si>
  <si>
    <t>anteile</t>
  </si>
  <si>
    <t>wiege</t>
  </si>
  <si>
    <t>yankees</t>
  </si>
  <si>
    <t>herb</t>
  </si>
  <si>
    <t>freaks</t>
  </si>
  <si>
    <t>verbietet</t>
  </si>
  <si>
    <t>verwendung</t>
  </si>
  <si>
    <t>rauben</t>
  </si>
  <si>
    <t>cognac</t>
  </si>
  <si>
    <t>allgemein</t>
  </si>
  <si>
    <t>küsste</t>
  </si>
  <si>
    <t>unschuldiger</t>
  </si>
  <si>
    <t>evolution</t>
  </si>
  <si>
    <t>blas</t>
  </si>
  <si>
    <t>vulkanier</t>
  </si>
  <si>
    <t>inn</t>
  </si>
  <si>
    <t>gratulation</t>
  </si>
  <si>
    <t>marmelade</t>
  </si>
  <si>
    <t>becken</t>
  </si>
  <si>
    <t>eden</t>
  </si>
  <si>
    <t>hingegen</t>
  </si>
  <si>
    <t>quält</t>
  </si>
  <si>
    <t>spartacus</t>
  </si>
  <si>
    <t>unversehrt</t>
  </si>
  <si>
    <t>gering</t>
  </si>
  <si>
    <t>janeway</t>
  </si>
  <si>
    <t>voilà</t>
  </si>
  <si>
    <t>jüngere</t>
  </si>
  <si>
    <t>mächte</t>
  </si>
  <si>
    <t>floyd</t>
  </si>
  <si>
    <t>sechsten</t>
  </si>
  <si>
    <t>produzenten</t>
  </si>
  <si>
    <t>rektor</t>
  </si>
  <si>
    <t>zitrone</t>
  </si>
  <si>
    <t>störungen</t>
  </si>
  <si>
    <t>reichte</t>
  </si>
  <si>
    <t>kreativ</t>
  </si>
  <si>
    <t>höhlen</t>
  </si>
  <si>
    <t>winchester</t>
  </si>
  <si>
    <t>bianca</t>
  </si>
  <si>
    <t>willis</t>
  </si>
  <si>
    <t>quark</t>
  </si>
  <si>
    <t>zigeuner</t>
  </si>
  <si>
    <t>schnarchen</t>
  </si>
  <si>
    <t>dead</t>
  </si>
  <si>
    <t>ärgerlich</t>
  </si>
  <si>
    <t>angaben</t>
  </si>
  <si>
    <t>gibson</t>
  </si>
  <si>
    <t>chili</t>
  </si>
  <si>
    <t>diskretion</t>
  </si>
  <si>
    <t>armstrong</t>
  </si>
  <si>
    <t>unterhosen</t>
  </si>
  <si>
    <t>erforderlich</t>
  </si>
  <si>
    <t>cassidy</t>
  </si>
  <si>
    <t>auftauchte</t>
  </si>
  <si>
    <t>pascha</t>
  </si>
  <si>
    <t>aussetzen</t>
  </si>
  <si>
    <t>sentimental</t>
  </si>
  <si>
    <t>empfängt</t>
  </si>
  <si>
    <t>evakuierung</t>
  </si>
  <si>
    <t>nebenwirkungen</t>
  </si>
  <si>
    <t>mccormick</t>
  </si>
  <si>
    <t>erstellt</t>
  </si>
  <si>
    <t>vernichtung</t>
  </si>
  <si>
    <t>idiotisch</t>
  </si>
  <si>
    <t>cocktail</t>
  </si>
  <si>
    <t>säubern</t>
  </si>
  <si>
    <t>behandelst</t>
  </si>
  <si>
    <t>eingepackt</t>
  </si>
  <si>
    <t>meisterwerk</t>
  </si>
  <si>
    <t>empfindet</t>
  </si>
  <si>
    <t>bestien</t>
  </si>
  <si>
    <t>unzählige</t>
  </si>
  <si>
    <t>einbringen</t>
  </si>
  <si>
    <t>darryl</t>
  </si>
  <si>
    <t>spitznamen</t>
  </si>
  <si>
    <t>smoking</t>
  </si>
  <si>
    <t>verschwende</t>
  </si>
  <si>
    <t>iron</t>
  </si>
  <si>
    <t>misstrauen</t>
  </si>
  <si>
    <t>spätestens</t>
  </si>
  <si>
    <t>chinese</t>
  </si>
  <si>
    <t>cash</t>
  </si>
  <si>
    <t>gilmore</t>
  </si>
  <si>
    <t>pfui</t>
  </si>
  <si>
    <t>zeugenstand</t>
  </si>
  <si>
    <t>gästezimmer</t>
  </si>
  <si>
    <t>abflug</t>
  </si>
  <si>
    <t>hungern</t>
  </si>
  <si>
    <t>verschwanden</t>
  </si>
  <si>
    <t>serum</t>
  </si>
  <si>
    <t>julio</t>
  </si>
  <si>
    <t>place</t>
  </si>
  <si>
    <t>phantasie</t>
  </si>
  <si>
    <t>therapeuten</t>
  </si>
  <si>
    <t>terror</t>
  </si>
  <si>
    <t>bedienung</t>
  </si>
  <si>
    <t>beugen</t>
  </si>
  <si>
    <t>trish</t>
  </si>
  <si>
    <t>elise</t>
  </si>
  <si>
    <t>verriegelt</t>
  </si>
  <si>
    <t>genäht</t>
  </si>
  <si>
    <t>spurensicherung</t>
  </si>
  <si>
    <t>falten</t>
  </si>
  <si>
    <t>saugen</t>
  </si>
  <si>
    <t>graue</t>
  </si>
  <si>
    <t>ehrlicher</t>
  </si>
  <si>
    <t>walden</t>
  </si>
  <si>
    <t>leichenhalle</t>
  </si>
  <si>
    <t>wärs</t>
  </si>
  <si>
    <t>fels</t>
  </si>
  <si>
    <t>bohren</t>
  </si>
  <si>
    <t>versteckten</t>
  </si>
  <si>
    <t>desmond</t>
  </si>
  <si>
    <t>notiert</t>
  </si>
  <si>
    <t>milliarde</t>
  </si>
  <si>
    <t>gebäudes</t>
  </si>
  <si>
    <t>pfadfinder</t>
  </si>
  <si>
    <t>gorilla</t>
  </si>
  <si>
    <t>roch</t>
  </si>
  <si>
    <t>caitlin</t>
  </si>
  <si>
    <t>kippen</t>
  </si>
  <si>
    <t>gleicht</t>
  </si>
  <si>
    <t>pflaster</t>
  </si>
  <si>
    <t>l.</t>
  </si>
  <si>
    <t>benutzten</t>
  </si>
  <si>
    <t>anzuziehen</t>
  </si>
  <si>
    <t>verlockend</t>
  </si>
  <si>
    <t>bryce</t>
  </si>
  <si>
    <t>ampel</t>
  </si>
  <si>
    <t>interpol</t>
  </si>
  <si>
    <t>dodge</t>
  </si>
  <si>
    <t>technische</t>
  </si>
  <si>
    <t>zimmerservice</t>
  </si>
  <si>
    <t>lu</t>
  </si>
  <si>
    <t>hirsch</t>
  </si>
  <si>
    <t>hayley</t>
  </si>
  <si>
    <t>verspricht</t>
  </si>
  <si>
    <t>lachend</t>
  </si>
  <si>
    <t>anständiger</t>
  </si>
  <si>
    <t>füllt</t>
  </si>
  <si>
    <t>geschätzt</t>
  </si>
  <si>
    <t>verbündete</t>
  </si>
  <si>
    <t>zuschauen</t>
  </si>
  <si>
    <t>abstimmen</t>
  </si>
  <si>
    <t>schwägerin</t>
  </si>
  <si>
    <t>cybill</t>
  </si>
  <si>
    <t>deaktivieren</t>
  </si>
  <si>
    <t>rück</t>
  </si>
  <si>
    <t>edmund</t>
  </si>
  <si>
    <t>drohnen</t>
  </si>
  <si>
    <t>begehrt</t>
  </si>
  <si>
    <t>gange</t>
  </si>
  <si>
    <t>sauerei</t>
  </si>
  <si>
    <t>portion</t>
  </si>
  <si>
    <t>beraubt</t>
  </si>
  <si>
    <t>constance</t>
  </si>
  <si>
    <t>bull</t>
  </si>
  <si>
    <t>jubelt</t>
  </si>
  <si>
    <t>jugendlichen</t>
  </si>
  <si>
    <t>bemerkung</t>
  </si>
  <si>
    <t>aids</t>
  </si>
  <si>
    <t>cate</t>
  </si>
  <si>
    <t>johann</t>
  </si>
  <si>
    <t>hingehört</t>
  </si>
  <si>
    <t>maryann</t>
  </si>
  <si>
    <t>halskette</t>
  </si>
  <si>
    <t>istanbul</t>
  </si>
  <si>
    <t>been</t>
  </si>
  <si>
    <t>beunruhigen</t>
  </si>
  <si>
    <t>scheren</t>
  </si>
  <si>
    <t>schweigt</t>
  </si>
  <si>
    <t>brei</t>
  </si>
  <si>
    <t>antwortete</t>
  </si>
  <si>
    <t>fäden</t>
  </si>
  <si>
    <t>coolen</t>
  </si>
  <si>
    <t>schämst</t>
  </si>
  <si>
    <t>mehl</t>
  </si>
  <si>
    <t>vollem</t>
  </si>
  <si>
    <t>aufgebrochen</t>
  </si>
  <si>
    <t>expedition</t>
  </si>
  <si>
    <t>änderung</t>
  </si>
  <si>
    <t>überwachungskameras</t>
  </si>
  <si>
    <t>derer</t>
  </si>
  <si>
    <t>blinder</t>
  </si>
  <si>
    <t>durchzuführen</t>
  </si>
  <si>
    <t>parlament</t>
  </si>
  <si>
    <t>direkte</t>
  </si>
  <si>
    <t>dawson</t>
  </si>
  <si>
    <t>tanya</t>
  </si>
  <si>
    <t>umfeld</t>
  </si>
  <si>
    <t>schrieben</t>
  </si>
  <si>
    <t>michigan</t>
  </si>
  <si>
    <t>auffliegen</t>
  </si>
  <si>
    <t>woman</t>
  </si>
  <si>
    <t>hergeschickt</t>
  </si>
  <si>
    <t>vormachen</t>
  </si>
  <si>
    <t>vorstrafen</t>
  </si>
  <si>
    <t>hingeht</t>
  </si>
  <si>
    <t>grauenvoll</t>
  </si>
  <si>
    <t>schwiegermutter</t>
  </si>
  <si>
    <t>lehrt</t>
  </si>
  <si>
    <t>langley</t>
  </si>
  <si>
    <t>erwürgt</t>
  </si>
  <si>
    <t>tassen</t>
  </si>
  <si>
    <t>seuche</t>
  </si>
  <si>
    <t>zauberspruch</t>
  </si>
  <si>
    <t>lucien</t>
  </si>
  <si>
    <t>läufer</t>
  </si>
  <si>
    <t>drive</t>
  </si>
  <si>
    <t>effektiv</t>
  </si>
  <si>
    <t>nord</t>
  </si>
  <si>
    <t>callie</t>
  </si>
  <si>
    <t>hu</t>
  </si>
  <si>
    <t>auskommen</t>
  </si>
  <si>
    <t>heitere</t>
  </si>
  <si>
    <t>jupiter</t>
  </si>
  <si>
    <t>nuss</t>
  </si>
  <si>
    <t>trauzeuge</t>
  </si>
  <si>
    <t>steinen</t>
  </si>
  <si>
    <t>puh</t>
  </si>
  <si>
    <t>österreich</t>
  </si>
  <si>
    <t>einkommen</t>
  </si>
  <si>
    <t>vereinigung</t>
  </si>
  <si>
    <t>mittelpunkt</t>
  </si>
  <si>
    <t>page</t>
  </si>
  <si>
    <t>andeuten</t>
  </si>
  <si>
    <t>helene</t>
  </si>
  <si>
    <t>unverständliche</t>
  </si>
  <si>
    <t>anschein</t>
  </si>
  <si>
    <t>höflichkeit</t>
  </si>
  <si>
    <t>aufzeichnung</t>
  </si>
  <si>
    <t>komplikationen</t>
  </si>
  <si>
    <t>aufsteigen</t>
  </si>
  <si>
    <t>gehorcht</t>
  </si>
  <si>
    <t>hollow</t>
  </si>
  <si>
    <t>gefällig</t>
  </si>
  <si>
    <t>schlicht</t>
  </si>
  <si>
    <t>ausgestattet</t>
  </si>
  <si>
    <t>reiße</t>
  </si>
  <si>
    <t>nachdenke</t>
  </si>
  <si>
    <t>parks</t>
  </si>
  <si>
    <t>anstrengen</t>
  </si>
  <si>
    <t>richterin</t>
  </si>
  <si>
    <t>bindet</t>
  </si>
  <si>
    <t>alternativen</t>
  </si>
  <si>
    <t>verabschiede</t>
  </si>
  <si>
    <t>vito</t>
  </si>
  <si>
    <t>abgeht</t>
  </si>
  <si>
    <t>dämlichen</t>
  </si>
  <si>
    <t>edie</t>
  </si>
  <si>
    <t>druckmittel</t>
  </si>
  <si>
    <t>schweben</t>
  </si>
  <si>
    <t>ankamen</t>
  </si>
  <si>
    <t>crack</t>
  </si>
  <si>
    <t>formular</t>
  </si>
  <si>
    <t>festzuhalten</t>
  </si>
  <si>
    <t>architekt</t>
  </si>
  <si>
    <t>runtergefallen</t>
  </si>
  <si>
    <t>eindringling</t>
  </si>
  <si>
    <t>wahlkampf</t>
  </si>
  <si>
    <t>country</t>
  </si>
  <si>
    <t>staunen</t>
  </si>
  <si>
    <t>lagern</t>
  </si>
  <si>
    <t>gewissermaßen</t>
  </si>
  <si>
    <t>sinnen</t>
  </si>
  <si>
    <t>verbraucht</t>
  </si>
  <si>
    <t>bremse</t>
  </si>
  <si>
    <t>idiotin</t>
  </si>
  <si>
    <t>gleichgültig</t>
  </si>
  <si>
    <t>gefangenschaft</t>
  </si>
  <si>
    <t>daktari</t>
  </si>
  <si>
    <t>russ</t>
  </si>
  <si>
    <t>westlich</t>
  </si>
  <si>
    <t>men</t>
  </si>
  <si>
    <t>nixon</t>
  </si>
  <si>
    <t>samt</t>
  </si>
  <si>
    <t>mail</t>
  </si>
  <si>
    <t>laurie</t>
  </si>
  <si>
    <t>vorhanden</t>
  </si>
  <si>
    <t>bestell</t>
  </si>
  <si>
    <t>klara</t>
  </si>
  <si>
    <t>only</t>
  </si>
  <si>
    <t>face</t>
  </si>
  <si>
    <t>hinbekommen</t>
  </si>
  <si>
    <t>adoption</t>
  </si>
  <si>
    <t>handelte</t>
  </si>
  <si>
    <t>verrätst</t>
  </si>
  <si>
    <t>hinterm</t>
  </si>
  <si>
    <t>rande</t>
  </si>
  <si>
    <t>break</t>
  </si>
  <si>
    <t>reinziehen</t>
  </si>
  <si>
    <t>zart</t>
  </si>
  <si>
    <t>ewigkeiten</t>
  </si>
  <si>
    <t>immunität</t>
  </si>
  <si>
    <t>eingelassen</t>
  </si>
  <si>
    <t>gewettet</t>
  </si>
  <si>
    <t>ergab</t>
  </si>
  <si>
    <t>ausgesagt</t>
  </si>
  <si>
    <t>studiere</t>
  </si>
  <si>
    <t>malt</t>
  </si>
  <si>
    <t>tonne</t>
  </si>
  <si>
    <t>regle</t>
  </si>
  <si>
    <t>borgen</t>
  </si>
  <si>
    <t>spezialeinheit</t>
  </si>
  <si>
    <t>behandle</t>
  </si>
  <si>
    <t>zerreißen</t>
  </si>
  <si>
    <t>hermann</t>
  </si>
  <si>
    <t>übergebe</t>
  </si>
  <si>
    <t>alma</t>
  </si>
  <si>
    <t>wanze</t>
  </si>
  <si>
    <t>zeugnis</t>
  </si>
  <si>
    <t>örtlichen</t>
  </si>
  <si>
    <t>phänomen</t>
  </si>
  <si>
    <t>umgeht</t>
  </si>
  <si>
    <t>weitaus</t>
  </si>
  <si>
    <t>polizeirevier</t>
  </si>
  <si>
    <t>öfters</t>
  </si>
  <si>
    <t>erreiche</t>
  </si>
  <si>
    <t>produkte</t>
  </si>
  <si>
    <t>misch</t>
  </si>
  <si>
    <t>beklagen</t>
  </si>
  <si>
    <t>schurke</t>
  </si>
  <si>
    <t>kleinere</t>
  </si>
  <si>
    <t>sonnenbrille</t>
  </si>
  <si>
    <t>strenge</t>
  </si>
  <si>
    <t>phantom</t>
  </si>
  <si>
    <t>verdoppeln</t>
  </si>
  <si>
    <t>zuzugeben</t>
  </si>
  <si>
    <t>titelseite</t>
  </si>
  <si>
    <t>schwiegervater</t>
  </si>
  <si>
    <t>abscheulich</t>
  </si>
  <si>
    <t>nigel</t>
  </si>
  <si>
    <t>kleinigkeiten</t>
  </si>
  <si>
    <t>kompass</t>
  </si>
  <si>
    <t>yoga</t>
  </si>
  <si>
    <t>elektrische</t>
  </si>
  <si>
    <t>gewirkt</t>
  </si>
  <si>
    <t>kaviar</t>
  </si>
  <si>
    <t>reiben</t>
  </si>
  <si>
    <t>plage</t>
  </si>
  <si>
    <t>erziehen</t>
  </si>
  <si>
    <t>bekäme</t>
  </si>
  <si>
    <t>streife</t>
  </si>
  <si>
    <t>erhoben</t>
  </si>
  <si>
    <t>analysiert</t>
  </si>
  <si>
    <t>norwegen</t>
  </si>
  <si>
    <t>kappe</t>
  </si>
  <si>
    <t>iran</t>
  </si>
  <si>
    <t>aufzustehen</t>
  </si>
  <si>
    <t>volles</t>
  </si>
  <si>
    <t>hebel</t>
  </si>
  <si>
    <t>urin</t>
  </si>
  <si>
    <t>iren</t>
  </si>
  <si>
    <t>triumph</t>
  </si>
  <si>
    <t>begrenzt</t>
  </si>
  <si>
    <t>ham</t>
  </si>
  <si>
    <t>gil</t>
  </si>
  <si>
    <t>streichhölzer</t>
  </si>
  <si>
    <t>martinez</t>
  </si>
  <si>
    <t>erscheinung</t>
  </si>
  <si>
    <t>neid</t>
  </si>
  <si>
    <t>tabu</t>
  </si>
  <si>
    <t>eyes</t>
  </si>
  <si>
    <t>berechnungen</t>
  </si>
  <si>
    <t>auskunft</t>
  </si>
  <si>
    <t>dänemark</t>
  </si>
  <si>
    <t>hintergangen</t>
  </si>
  <si>
    <t>flint</t>
  </si>
  <si>
    <t>patronen</t>
  </si>
  <si>
    <t>wiederkommt</t>
  </si>
  <si>
    <t>gefährliches</t>
  </si>
  <si>
    <t>erweitern</t>
  </si>
  <si>
    <t>bereut</t>
  </si>
  <si>
    <t>cherry</t>
  </si>
  <si>
    <t>ami</t>
  </si>
  <si>
    <t>won</t>
  </si>
  <si>
    <t>shh</t>
  </si>
  <si>
    <t>übernimm</t>
  </si>
  <si>
    <t>waffenstillstand</t>
  </si>
  <si>
    <t>banks</t>
  </si>
  <si>
    <t>sonia</t>
  </si>
  <si>
    <t>vorkommt</t>
  </si>
  <si>
    <t>astronauten</t>
  </si>
  <si>
    <t>virgil</t>
  </si>
  <si>
    <t>kreislauf</t>
  </si>
  <si>
    <t>nash</t>
  </si>
  <si>
    <t>richtungen</t>
  </si>
  <si>
    <t>sicherzugehen</t>
  </si>
  <si>
    <t>weggerannt</t>
  </si>
  <si>
    <t>widerfahren</t>
  </si>
  <si>
    <t>lebensunterhalt</t>
  </si>
  <si>
    <t>hintereinander</t>
  </si>
  <si>
    <t>dingern</t>
  </si>
  <si>
    <t>angreift</t>
  </si>
  <si>
    <t>ziegen</t>
  </si>
  <si>
    <t>außenseiter</t>
  </si>
  <si>
    <t>crockett</t>
  </si>
  <si>
    <t>nummernschild</t>
  </si>
  <si>
    <t>steuerbord</t>
  </si>
  <si>
    <t>leidenschaftlich</t>
  </si>
  <si>
    <t>autoren</t>
  </si>
  <si>
    <t>kümmerte</t>
  </si>
  <si>
    <t>auflösen</t>
  </si>
  <si>
    <t>quietscht</t>
  </si>
  <si>
    <t>gereinigt</t>
  </si>
  <si>
    <t>verschonen</t>
  </si>
  <si>
    <t>großgezogen</t>
  </si>
  <si>
    <t>backe</t>
  </si>
  <si>
    <t>mina</t>
  </si>
  <si>
    <t>cafeteria</t>
  </si>
  <si>
    <t>zusammenbleiben</t>
  </si>
  <si>
    <t>bekomm</t>
  </si>
  <si>
    <t>bedauere</t>
  </si>
  <si>
    <t>zugesagt</t>
  </si>
  <si>
    <t>jr</t>
  </si>
  <si>
    <t>fix</t>
  </si>
  <si>
    <t>schwur</t>
  </si>
  <si>
    <t>bewaffneten</t>
  </si>
  <si>
    <t>höchstpersönlich</t>
  </si>
  <si>
    <t>giovanni</t>
  </si>
  <si>
    <t>anrufer</t>
  </si>
  <si>
    <t>rutsch</t>
  </si>
  <si>
    <t>supergirl</t>
  </si>
  <si>
    <t>juliet</t>
  </si>
  <si>
    <t>blutbad</t>
  </si>
  <si>
    <t>bankrott</t>
  </si>
  <si>
    <t>bear</t>
  </si>
  <si>
    <t>bräute</t>
  </si>
  <si>
    <t>foreman</t>
  </si>
  <si>
    <t>losfahren</t>
  </si>
  <si>
    <t>atemzug</t>
  </si>
  <si>
    <t>legenden</t>
  </si>
  <si>
    <t>kopfgeld</t>
  </si>
  <si>
    <t>nadeln</t>
  </si>
  <si>
    <t>señora</t>
  </si>
  <si>
    <t>johns</t>
  </si>
  <si>
    <t>otaru</t>
  </si>
  <si>
    <t>nils</t>
  </si>
  <si>
    <t>papagei</t>
  </si>
  <si>
    <t>wärmer</t>
  </si>
  <si>
    <t>groll</t>
  </si>
  <si>
    <t>ketchup</t>
  </si>
  <si>
    <t>aktionen</t>
  </si>
  <si>
    <t>nahen</t>
  </si>
  <si>
    <t>gestolpert</t>
  </si>
  <si>
    <t>feiertag</t>
  </si>
  <si>
    <t>latte</t>
  </si>
  <si>
    <t>erwischte</t>
  </si>
  <si>
    <t>spitzname</t>
  </si>
  <si>
    <t>hardcastle</t>
  </si>
  <si>
    <t>senior</t>
  </si>
  <si>
    <t>weht</t>
  </si>
  <si>
    <t>verfolgte</t>
  </si>
  <si>
    <t>angeber</t>
  </si>
  <si>
    <t>befassen</t>
  </si>
  <si>
    <t>fantasien</t>
  </si>
  <si>
    <t>befreie</t>
  </si>
  <si>
    <t>einfangen</t>
  </si>
  <si>
    <t>prophet</t>
  </si>
  <si>
    <t>grundlos</t>
  </si>
  <si>
    <t>abzuschließen</t>
  </si>
  <si>
    <t>engen</t>
  </si>
  <si>
    <t>signor</t>
  </si>
  <si>
    <t>haha</t>
  </si>
  <si>
    <t>handwerk</t>
  </si>
  <si>
    <t>daddys</t>
  </si>
  <si>
    <t>schert</t>
  </si>
  <si>
    <t>lose</t>
  </si>
  <si>
    <t>verantwortlichen</t>
  </si>
  <si>
    <t>höchstwahrscheinlich</t>
  </si>
  <si>
    <t>pervers</t>
  </si>
  <si>
    <t>mitgeteilt</t>
  </si>
  <si>
    <t>interviews</t>
  </si>
  <si>
    <t>zugefügt</t>
  </si>
  <si>
    <t>vermieter</t>
  </si>
  <si>
    <t>aßen</t>
  </si>
  <si>
    <t>truhe</t>
  </si>
  <si>
    <t>moralische</t>
  </si>
  <si>
    <t>blondine</t>
  </si>
  <si>
    <t>alvarez</t>
  </si>
  <si>
    <t>scheinwerfer</t>
  </si>
  <si>
    <t>bewege</t>
  </si>
  <si>
    <t>jap</t>
  </si>
  <si>
    <t>zugrunde</t>
  </si>
  <si>
    <t>mischt</t>
  </si>
  <si>
    <t>aufwachte</t>
  </si>
  <si>
    <t>abheben</t>
  </si>
  <si>
    <t>weiblich</t>
  </si>
  <si>
    <t>verfügt</t>
  </si>
  <si>
    <t>tippen</t>
  </si>
  <si>
    <t>buchhaltung</t>
  </si>
  <si>
    <t>beider</t>
  </si>
  <si>
    <t>buffalo</t>
  </si>
  <si>
    <t>fügen</t>
  </si>
  <si>
    <t>siebten</t>
  </si>
  <si>
    <t>befiehlt</t>
  </si>
  <si>
    <t>klickt</t>
  </si>
  <si>
    <t>dracula</t>
  </si>
  <si>
    <t>ermordete</t>
  </si>
  <si>
    <t>jura</t>
  </si>
  <si>
    <t>well</t>
  </si>
  <si>
    <t>einsamer</t>
  </si>
  <si>
    <t>perle</t>
  </si>
  <si>
    <t>lustiges</t>
  </si>
  <si>
    <t>künstliche</t>
  </si>
  <si>
    <t>cape</t>
  </si>
  <si>
    <t>außerordentlich</t>
  </si>
  <si>
    <t>falke</t>
  </si>
  <si>
    <t>klicken</t>
  </si>
  <si>
    <t>schwindlig</t>
  </si>
  <si>
    <t>hingebracht</t>
  </si>
  <si>
    <t>überstürzen</t>
  </si>
  <si>
    <t>reingelassen</t>
  </si>
  <si>
    <t>gattin</t>
  </si>
  <si>
    <t>östlich</t>
  </si>
  <si>
    <t>seins</t>
  </si>
  <si>
    <t>genauen</t>
  </si>
  <si>
    <t>wiegen</t>
  </si>
  <si>
    <t>labyrinth</t>
  </si>
  <si>
    <t>währenddessen</t>
  </si>
  <si>
    <t>töricht</t>
  </si>
  <si>
    <t>ausrauben</t>
  </si>
  <si>
    <t>lautlos</t>
  </si>
  <si>
    <t>zitat</t>
  </si>
  <si>
    <t>abgehalten</t>
  </si>
  <si>
    <t>hale</t>
  </si>
  <si>
    <t>zweier</t>
  </si>
  <si>
    <t>hingezogen</t>
  </si>
  <si>
    <t>ty</t>
  </si>
  <si>
    <t>unendliche</t>
  </si>
  <si>
    <t>antibiotika</t>
  </si>
  <si>
    <t>emil</t>
  </si>
  <si>
    <t>gehn</t>
  </si>
  <si>
    <t>häftlinge</t>
  </si>
  <si>
    <t>polizeichef</t>
  </si>
  <si>
    <t>psychiatrie</t>
  </si>
  <si>
    <t>übergeschnappt</t>
  </si>
  <si>
    <t>heuchler</t>
  </si>
  <si>
    <t>jerusalem</t>
  </si>
  <si>
    <t>immun</t>
  </si>
  <si>
    <t>temperament</t>
  </si>
  <si>
    <t>boulevard</t>
  </si>
  <si>
    <t>umhang</t>
  </si>
  <si>
    <t>zugeteilt</t>
  </si>
  <si>
    <t>alarmanlage</t>
  </si>
  <si>
    <t>trefft</t>
  </si>
  <si>
    <t>überfordert</t>
  </si>
  <si>
    <t>galgen</t>
  </si>
  <si>
    <t>hubert</t>
  </si>
  <si>
    <t>wegrennen</t>
  </si>
  <si>
    <t>stiles</t>
  </si>
  <si>
    <t>monte</t>
  </si>
  <si>
    <t>courtney</t>
  </si>
  <si>
    <t>filmstar</t>
  </si>
  <si>
    <t>verfügen</t>
  </si>
  <si>
    <t>aufwand</t>
  </si>
  <si>
    <t>interne</t>
  </si>
  <si>
    <t>klippe</t>
  </si>
  <si>
    <t>verurteilung</t>
  </si>
  <si>
    <t>umweg</t>
  </si>
  <si>
    <t>cisco</t>
  </si>
  <si>
    <t>einberufen</t>
  </si>
  <si>
    <t>evakuiert</t>
  </si>
  <si>
    <t>urteilsvermögen</t>
  </si>
  <si>
    <t>malone</t>
  </si>
  <si>
    <t>christy</t>
  </si>
  <si>
    <t>ablaufen</t>
  </si>
  <si>
    <t>einzugehen</t>
  </si>
  <si>
    <t>zwecke</t>
  </si>
  <si>
    <t>zeus</t>
  </si>
  <si>
    <t>simpel</t>
  </si>
  <si>
    <t>erfolgreiche</t>
  </si>
  <si>
    <t>impfstoff</t>
  </si>
  <si>
    <t>bestechung</t>
  </si>
  <si>
    <t>cruz</t>
  </si>
  <si>
    <t>weigere</t>
  </si>
  <si>
    <t>salvatore</t>
  </si>
  <si>
    <t>verschweigen</t>
  </si>
  <si>
    <t>verlauf</t>
  </si>
  <si>
    <t>aktuellen</t>
  </si>
  <si>
    <t>lampen</t>
  </si>
  <si>
    <t>trauriger</t>
  </si>
  <si>
    <t>empfunden</t>
  </si>
  <si>
    <t>journalistin</t>
  </si>
  <si>
    <t>endes</t>
  </si>
  <si>
    <t>kasino</t>
  </si>
  <si>
    <t>titus</t>
  </si>
  <si>
    <t>veranlasst</t>
  </si>
  <si>
    <t>sicherung</t>
  </si>
  <si>
    <t>fahrkarte</t>
  </si>
  <si>
    <t>fortgehen</t>
  </si>
  <si>
    <t>jared</t>
  </si>
  <si>
    <t>aufgeführt</t>
  </si>
  <si>
    <t>listen</t>
  </si>
  <si>
    <t>tiffany</t>
  </si>
  <si>
    <t>äußern</t>
  </si>
  <si>
    <t>adrenalin</t>
  </si>
  <si>
    <t>frühere</t>
  </si>
  <si>
    <t>missbrauch</t>
  </si>
  <si>
    <t>seminar</t>
  </si>
  <si>
    <t>drittens</t>
  </si>
  <si>
    <t>fernando</t>
  </si>
  <si>
    <t>biegen</t>
  </si>
  <si>
    <t>demonstration</t>
  </si>
  <si>
    <t>porsche</t>
  </si>
  <si>
    <t>deaktiviert</t>
  </si>
  <si>
    <t>vertritt</t>
  </si>
  <si>
    <t>erklärst</t>
  </si>
  <si>
    <t>liebevoll</t>
  </si>
  <si>
    <t>umgedreht</t>
  </si>
  <si>
    <t>konversation</t>
  </si>
  <si>
    <t>freundliche</t>
  </si>
  <si>
    <t>zurückverfolgen</t>
  </si>
  <si>
    <t>perverser</t>
  </si>
  <si>
    <t>madeline</t>
  </si>
  <si>
    <t>ausbrechen</t>
  </si>
  <si>
    <t>traurigkeit</t>
  </si>
  <si>
    <t>ming</t>
  </si>
  <si>
    <t>speisen</t>
  </si>
  <si>
    <t>verfallen</t>
  </si>
  <si>
    <t>gittern</t>
  </si>
  <si>
    <t>marks</t>
  </si>
  <si>
    <t>irrenhaus</t>
  </si>
  <si>
    <t>dance</t>
  </si>
  <si>
    <t>rechenschaft</t>
  </si>
  <si>
    <t>bloßen</t>
  </si>
  <si>
    <t>schwört</t>
  </si>
  <si>
    <t>verleiht</t>
  </si>
  <si>
    <t>henrik</t>
  </si>
  <si>
    <t>schlucht</t>
  </si>
  <si>
    <t>kauen</t>
  </si>
  <si>
    <t>five</t>
  </si>
  <si>
    <t>erwachen</t>
  </si>
  <si>
    <t>lichts</t>
  </si>
  <si>
    <t>clan</t>
  </si>
  <si>
    <t>rechne</t>
  </si>
  <si>
    <t>ungestört</t>
  </si>
  <si>
    <t>stationiert</t>
  </si>
  <si>
    <t>packst</t>
  </si>
  <si>
    <t>angewohnheit</t>
  </si>
  <si>
    <t>lyle</t>
  </si>
  <si>
    <t>sonnenlicht</t>
  </si>
  <si>
    <t>warfen</t>
  </si>
  <si>
    <t>darlehen</t>
  </si>
  <si>
    <t>scheidet</t>
  </si>
  <si>
    <t>josie</t>
  </si>
  <si>
    <t>gestimmt</t>
  </si>
  <si>
    <t>standard</t>
  </si>
  <si>
    <t>senatorin</t>
  </si>
  <si>
    <t>beethoven</t>
  </si>
  <si>
    <t>vormittag</t>
  </si>
  <si>
    <t>ratet</t>
  </si>
  <si>
    <t>johanna</t>
  </si>
  <si>
    <t>verarsch</t>
  </si>
  <si>
    <t>sushi</t>
  </si>
  <si>
    <t>auswählen</t>
  </si>
  <si>
    <t>strike</t>
  </si>
  <si>
    <t>geschwätz</t>
  </si>
  <si>
    <t>enorme</t>
  </si>
  <si>
    <t>kassieren</t>
  </si>
  <si>
    <t>biene</t>
  </si>
  <si>
    <t>leistet</t>
  </si>
  <si>
    <t>totes</t>
  </si>
  <si>
    <t>antwortest</t>
  </si>
  <si>
    <t>drittes</t>
  </si>
  <si>
    <t>bonbons</t>
  </si>
  <si>
    <t>gequält</t>
  </si>
  <si>
    <t>scharfen</t>
  </si>
  <si>
    <t>beheben</t>
  </si>
  <si>
    <t>beschluss</t>
  </si>
  <si>
    <t>ast</t>
  </si>
  <si>
    <t>hereinkommen</t>
  </si>
  <si>
    <t>erschrickt</t>
  </si>
  <si>
    <t>away</t>
  </si>
  <si>
    <t>drückst</t>
  </si>
  <si>
    <t>schmerzmittel</t>
  </si>
  <si>
    <t>lappen</t>
  </si>
  <si>
    <t>zurückzubringen</t>
  </si>
  <si>
    <t>unruhe</t>
  </si>
  <si>
    <t>kommandanten</t>
  </si>
  <si>
    <t>fliegende</t>
  </si>
  <si>
    <t>aria</t>
  </si>
  <si>
    <t>nutzte</t>
  </si>
  <si>
    <t>direktorin</t>
  </si>
  <si>
    <t>ich-ich</t>
  </si>
  <si>
    <t>puste</t>
  </si>
  <si>
    <t>täuscht</t>
  </si>
  <si>
    <t>änderst</t>
  </si>
  <si>
    <t>chow</t>
  </si>
  <si>
    <t>gabrielle</t>
  </si>
  <si>
    <t>atombombe</t>
  </si>
  <si>
    <t>türken</t>
  </si>
  <si>
    <t>missverstanden</t>
  </si>
  <si>
    <t>nels</t>
  </si>
  <si>
    <t>unterdrückt</t>
  </si>
  <si>
    <t>ausmaß</t>
  </si>
  <si>
    <t>made</t>
  </si>
  <si>
    <t>manuskript</t>
  </si>
  <si>
    <t>annika</t>
  </si>
  <si>
    <t>hallöchen</t>
  </si>
  <si>
    <t>ct</t>
  </si>
  <si>
    <t>freigegeben</t>
  </si>
  <si>
    <t>blutgruppe</t>
  </si>
  <si>
    <t>schliefen</t>
  </si>
  <si>
    <t>symbole</t>
  </si>
  <si>
    <t>ausdrücklich</t>
  </si>
  <si>
    <t>reduzieren</t>
  </si>
  <si>
    <t>ungeschickt</t>
  </si>
  <si>
    <t>vermieten</t>
  </si>
  <si>
    <t>te</t>
  </si>
  <si>
    <t>beizubringen</t>
  </si>
  <si>
    <t>ausweichen</t>
  </si>
  <si>
    <t>leckt</t>
  </si>
  <si>
    <t>angucken</t>
  </si>
  <si>
    <t>gewissheit</t>
  </si>
  <si>
    <t>verbrennungen</t>
  </si>
  <si>
    <t>klarheit</t>
  </si>
  <si>
    <t>trittst</t>
  </si>
  <si>
    <t>diskutiert</t>
  </si>
  <si>
    <t>kratzt</t>
  </si>
  <si>
    <t>typische</t>
  </si>
  <si>
    <t>abdruck</t>
  </si>
  <si>
    <t>gelaunt</t>
  </si>
  <si>
    <t>bins</t>
  </si>
  <si>
    <t>einnahmen</t>
  </si>
  <si>
    <t>hawkins</t>
  </si>
  <si>
    <t>tell</t>
  </si>
  <si>
    <t>entdeckten</t>
  </si>
  <si>
    <t>zuversichtlich</t>
  </si>
  <si>
    <t>pumpen</t>
  </si>
  <si>
    <t>powell</t>
  </si>
  <si>
    <t>fettsack</t>
  </si>
  <si>
    <t>pfeile</t>
  </si>
  <si>
    <t>gewillt</t>
  </si>
  <si>
    <t>stinkst</t>
  </si>
  <si>
    <t>lebensformen</t>
  </si>
  <si>
    <t>immernoch</t>
  </si>
  <si>
    <t>cage</t>
  </si>
  <si>
    <t>betrinken</t>
  </si>
  <si>
    <t>tuck</t>
  </si>
  <si>
    <t>town</t>
  </si>
  <si>
    <t>carolyn</t>
  </si>
  <si>
    <t>zäh</t>
  </si>
  <si>
    <t>liu</t>
  </si>
  <si>
    <t>abgang</t>
  </si>
  <si>
    <t>auszudrücken</t>
  </si>
  <si>
    <t>fußboden</t>
  </si>
  <si>
    <t>gemeiner</t>
  </si>
  <si>
    <t>ernten</t>
  </si>
  <si>
    <t>imstande</t>
  </si>
  <si>
    <t>erfolgt</t>
  </si>
  <si>
    <t>wahrhaftig</t>
  </si>
  <si>
    <t>besessenheit</t>
  </si>
  <si>
    <t>schämt</t>
  </si>
  <si>
    <t>zurückgegeben</t>
  </si>
  <si>
    <t>lanze</t>
  </si>
  <si>
    <t>erleichtern</t>
  </si>
  <si>
    <t>springs</t>
  </si>
  <si>
    <t>stiefmutter</t>
  </si>
  <si>
    <t>verein</t>
  </si>
  <si>
    <t>yakuza</t>
  </si>
  <si>
    <t>nichtmal</t>
  </si>
  <si>
    <t>comics</t>
  </si>
  <si>
    <t>three</t>
  </si>
  <si>
    <t>metapher</t>
  </si>
  <si>
    <t>aufgeht</t>
  </si>
  <si>
    <t>maximal</t>
  </si>
  <si>
    <t>starr</t>
  </si>
  <si>
    <t>friss</t>
  </si>
  <si>
    <t>gehirns</t>
  </si>
  <si>
    <t>aufreißen</t>
  </si>
  <si>
    <t>lost</t>
  </si>
  <si>
    <t>razzia</t>
  </si>
  <si>
    <t>hellseher</t>
  </si>
  <si>
    <t>putzfrau</t>
  </si>
  <si>
    <t>wohlstand</t>
  </si>
  <si>
    <t>beatrice</t>
  </si>
  <si>
    <t>alberto</t>
  </si>
  <si>
    <t>holten</t>
  </si>
  <si>
    <t>spitzen</t>
  </si>
  <si>
    <t>poltern</t>
  </si>
  <si>
    <t>erfreuen</t>
  </si>
  <si>
    <t>daryl</t>
  </si>
  <si>
    <t>lunch</t>
  </si>
  <si>
    <t>tattoos</t>
  </si>
  <si>
    <t>bordell</t>
  </si>
  <si>
    <t>unterdrücken</t>
  </si>
  <si>
    <t>connecticut</t>
  </si>
  <si>
    <t>please</t>
  </si>
  <si>
    <t>straftat</t>
  </si>
  <si>
    <t>aktuelle</t>
  </si>
  <si>
    <t>dolly</t>
  </si>
  <si>
    <t>entzückt</t>
  </si>
  <si>
    <t>unterbrechung</t>
  </si>
  <si>
    <t>knox</t>
  </si>
  <si>
    <t>kochst</t>
  </si>
  <si>
    <t>zugeschlagen</t>
  </si>
  <si>
    <t>schülern</t>
  </si>
  <si>
    <t>darren</t>
  </si>
  <si>
    <t>ethel</t>
  </si>
  <si>
    <t>gebrauch</t>
  </si>
  <si>
    <t>gewehrt</t>
  </si>
  <si>
    <t>base</t>
  </si>
  <si>
    <t>räum</t>
  </si>
  <si>
    <t>köpfchen</t>
  </si>
  <si>
    <t>ruhigen</t>
  </si>
  <si>
    <t>weck</t>
  </si>
  <si>
    <t>anhört</t>
  </si>
  <si>
    <t>zusammenleben</t>
  </si>
  <si>
    <t>durcheinandergerede</t>
  </si>
  <si>
    <t>o.</t>
  </si>
  <si>
    <t>flynn</t>
  </si>
  <si>
    <t>bevorzugt</t>
  </si>
  <si>
    <t>horror</t>
  </si>
  <si>
    <t>dominic</t>
  </si>
  <si>
    <t>krug</t>
  </si>
  <si>
    <t>imitiert</t>
  </si>
  <si>
    <t>friedens</t>
  </si>
  <si>
    <t>tick</t>
  </si>
  <si>
    <t>spurlos</t>
  </si>
  <si>
    <t>mitgekommen</t>
  </si>
  <si>
    <t>reserve</t>
  </si>
  <si>
    <t>abbekommen</t>
  </si>
  <si>
    <t>wagner</t>
  </si>
  <si>
    <t>gardner</t>
  </si>
  <si>
    <t>langweilt</t>
  </si>
  <si>
    <t>benji</t>
  </si>
  <si>
    <t>kaisers</t>
  </si>
  <si>
    <t>norris</t>
  </si>
  <si>
    <t>schnelles</t>
  </si>
  <si>
    <t>kolonien</t>
  </si>
  <si>
    <t>errichtet</t>
  </si>
  <si>
    <t>mentor</t>
  </si>
  <si>
    <t>blues</t>
  </si>
  <si>
    <t>durchbrechen</t>
  </si>
  <si>
    <t>orson</t>
  </si>
  <si>
    <t>grüner</t>
  </si>
  <si>
    <t>lucie</t>
  </si>
  <si>
    <t>unzufrieden</t>
  </si>
  <si>
    <t>beschämt</t>
  </si>
  <si>
    <t>lästig</t>
  </si>
  <si>
    <t>spind</t>
  </si>
  <si>
    <t>übernachtet</t>
  </si>
  <si>
    <t>spanischen</t>
  </si>
  <si>
    <t>definition</t>
  </si>
  <si>
    <t>unordnung</t>
  </si>
  <si>
    <t>yuri</t>
  </si>
  <si>
    <t>mittendrin</t>
  </si>
  <si>
    <t>optimistisch</t>
  </si>
  <si>
    <t>sekte</t>
  </si>
  <si>
    <t>vergewaltiger</t>
  </si>
  <si>
    <t>geschockt</t>
  </si>
  <si>
    <t>gracie</t>
  </si>
  <si>
    <t>mikro</t>
  </si>
  <si>
    <t>verbrochen</t>
  </si>
  <si>
    <t>stünde</t>
  </si>
  <si>
    <t>beschlagnahmt</t>
  </si>
  <si>
    <t>madeleine</t>
  </si>
  <si>
    <t>einzelhaft</t>
  </si>
  <si>
    <t>bug</t>
  </si>
  <si>
    <t>italienischen</t>
  </si>
  <si>
    <t>frederick</t>
  </si>
  <si>
    <t>löste</t>
  </si>
  <si>
    <t>apachen</t>
  </si>
  <si>
    <t>spezialisten</t>
  </si>
  <si>
    <t>nazi</t>
  </si>
  <si>
    <t>tapferkeit</t>
  </si>
  <si>
    <t>zutaten</t>
  </si>
  <si>
    <t>unsichtbare</t>
  </si>
  <si>
    <t>zurückgerufen</t>
  </si>
  <si>
    <t>samstagabend</t>
  </si>
  <si>
    <t>unverständliches</t>
  </si>
  <si>
    <t>pesos</t>
  </si>
  <si>
    <t>ursprünglichen</t>
  </si>
  <si>
    <t>sol</t>
  </si>
  <si>
    <t>resultate</t>
  </si>
  <si>
    <t>r.</t>
  </si>
  <si>
    <t>alexis</t>
  </si>
  <si>
    <t>sende</t>
  </si>
  <si>
    <t>klientin</t>
  </si>
  <si>
    <t>sympathisch</t>
  </si>
  <si>
    <t>verwöhnt</t>
  </si>
  <si>
    <t>schiffs</t>
  </si>
  <si>
    <t>langweile</t>
  </si>
  <si>
    <t>bekanntschaft</t>
  </si>
  <si>
    <t>joggen</t>
  </si>
  <si>
    <t>rettest</t>
  </si>
  <si>
    <t>träger</t>
  </si>
  <si>
    <t>finanziell</t>
  </si>
  <si>
    <t>depressionen</t>
  </si>
  <si>
    <t>weitergeben</t>
  </si>
  <si>
    <t>schnecke</t>
  </si>
  <si>
    <t>gedruckt</t>
  </si>
  <si>
    <t>feindlichen</t>
  </si>
  <si>
    <t>rinder</t>
  </si>
  <si>
    <t>waisen</t>
  </si>
  <si>
    <t>chemische</t>
  </si>
  <si>
    <t>baust</t>
  </si>
  <si>
    <t>getraut</t>
  </si>
  <si>
    <t>zünder</t>
  </si>
  <si>
    <t>lachte</t>
  </si>
  <si>
    <t>haarschnitt</t>
  </si>
  <si>
    <t>schneewittchen</t>
  </si>
  <si>
    <t>gerry</t>
  </si>
  <si>
    <t>enten</t>
  </si>
  <si>
    <t>pariser</t>
  </si>
  <si>
    <t>einmalig</t>
  </si>
  <si>
    <t>vergeudet</t>
  </si>
  <si>
    <t>tomas</t>
  </si>
  <si>
    <t>depressiv</t>
  </si>
  <si>
    <t>comandante</t>
  </si>
  <si>
    <t>eingebrockt</t>
  </si>
  <si>
    <t>schreibmaschine</t>
  </si>
  <si>
    <t>selig</t>
  </si>
  <si>
    <t>entgangen</t>
  </si>
  <si>
    <t>gelohnt</t>
  </si>
  <si>
    <t>notizbuch</t>
  </si>
  <si>
    <t>wechselgeld</t>
  </si>
  <si>
    <t>starrst</t>
  </si>
  <si>
    <t>z.</t>
  </si>
  <si>
    <t>obdachlosen</t>
  </si>
  <si>
    <t>göttliche</t>
  </si>
  <si>
    <t>überlebte</t>
  </si>
  <si>
    <t>merkwürdiges</t>
  </si>
  <si>
    <t>frankreichs</t>
  </si>
  <si>
    <t>entziehen</t>
  </si>
  <si>
    <t>jacks</t>
  </si>
  <si>
    <t>gefällst</t>
  </si>
  <si>
    <t>hupe</t>
  </si>
  <si>
    <t>festland</t>
  </si>
  <si>
    <t>rückgrat</t>
  </si>
  <si>
    <t>schmuggeln</t>
  </si>
  <si>
    <t>knoblauch</t>
  </si>
  <si>
    <t>mörders</t>
  </si>
  <si>
    <t>motoren</t>
  </si>
  <si>
    <t>korridor</t>
  </si>
  <si>
    <t>sugar</t>
  </si>
  <si>
    <t>countdown</t>
  </si>
  <si>
    <t>socke</t>
  </si>
  <si>
    <t>bettler</t>
  </si>
  <si>
    <t>signore</t>
  </si>
  <si>
    <t>russe</t>
  </si>
  <si>
    <t>forge</t>
  </si>
  <si>
    <t>lopez</t>
  </si>
  <si>
    <t>salut</t>
  </si>
  <si>
    <t>ausfallen</t>
  </si>
  <si>
    <t>zeh</t>
  </si>
  <si>
    <t>freud</t>
  </si>
  <si>
    <t>äußeren</t>
  </si>
  <si>
    <t>grausame</t>
  </si>
  <si>
    <t>cooles</t>
  </si>
  <si>
    <t>bakterien</t>
  </si>
  <si>
    <t>olsen</t>
  </si>
  <si>
    <t>feindes</t>
  </si>
  <si>
    <t>rezeption</t>
  </si>
  <si>
    <t>erreichte</t>
  </si>
  <si>
    <t>dreizehn</t>
  </si>
  <si>
    <t>paolo</t>
  </si>
  <si>
    <t>anflug</t>
  </si>
  <si>
    <t>penelope</t>
  </si>
  <si>
    <t>sogenannten</t>
  </si>
  <si>
    <t>verschwendest</t>
  </si>
  <si>
    <t>donny</t>
  </si>
  <si>
    <t>zulassung</t>
  </si>
  <si>
    <t>abtreibung</t>
  </si>
  <si>
    <t>planung</t>
  </si>
  <si>
    <t>territorium</t>
  </si>
  <si>
    <t>pope</t>
  </si>
  <si>
    <t>portemonnaie</t>
  </si>
  <si>
    <t>affengeräusche</t>
  </si>
  <si>
    <t>improvisieren</t>
  </si>
  <si>
    <t>reinzukommen</t>
  </si>
  <si>
    <t>tanken</t>
  </si>
  <si>
    <t>einschüchtern</t>
  </si>
  <si>
    <t>explodierte</t>
  </si>
  <si>
    <t>schleife</t>
  </si>
  <si>
    <t>berechnen</t>
  </si>
  <si>
    <t>befördern</t>
  </si>
  <si>
    <t>newton</t>
  </si>
  <si>
    <t>aufgespürt</t>
  </si>
  <si>
    <t>streicheln</t>
  </si>
  <si>
    <t>speer</t>
  </si>
  <si>
    <t>reaktionen</t>
  </si>
  <si>
    <t>maxwell</t>
  </si>
  <si>
    <t>director</t>
  </si>
  <si>
    <t>erhöhe</t>
  </si>
  <si>
    <t>hinteren</t>
  </si>
  <si>
    <t>zusammengearbeitet</t>
  </si>
  <si>
    <t>hanson</t>
  </si>
  <si>
    <t>geschweige</t>
  </si>
  <si>
    <t>puff</t>
  </si>
  <si>
    <t>dämlicher</t>
  </si>
  <si>
    <t>ablauf</t>
  </si>
  <si>
    <t>rollt</t>
  </si>
  <si>
    <t>mikrofon</t>
  </si>
  <si>
    <t>verwundeten</t>
  </si>
  <si>
    <t>aufgewühlt</t>
  </si>
  <si>
    <t>luftwaffe</t>
  </si>
  <si>
    <t>wiese</t>
  </si>
  <si>
    <t>beschissenes</t>
  </si>
  <si>
    <t>verkleidung</t>
  </si>
  <si>
    <t>scarlett</t>
  </si>
  <si>
    <t>intensivstation</t>
  </si>
  <si>
    <t>schlinge</t>
  </si>
  <si>
    <t>mahlzeiten</t>
  </si>
  <si>
    <t>list</t>
  </si>
  <si>
    <t>handvoll</t>
  </si>
  <si>
    <t>lehnte</t>
  </si>
  <si>
    <t>stärksten</t>
  </si>
  <si>
    <t>beweisstück</t>
  </si>
  <si>
    <t>pretty</t>
  </si>
  <si>
    <t>einzigartige</t>
  </si>
  <si>
    <t>gehirne</t>
  </si>
  <si>
    <t>pfeffer</t>
  </si>
  <si>
    <t>nachgeben</t>
  </si>
  <si>
    <t>pittsburgh</t>
  </si>
  <si>
    <t>stadium</t>
  </si>
  <si>
    <t>stritten</t>
  </si>
  <si>
    <t>stau</t>
  </si>
  <si>
    <t>unsterblichkeit</t>
  </si>
  <si>
    <t>karev</t>
  </si>
  <si>
    <t>ginny</t>
  </si>
  <si>
    <t>wiehern</t>
  </si>
  <si>
    <t>erkenntnis</t>
  </si>
  <si>
    <t>erweckt</t>
  </si>
  <si>
    <t>kategorie</t>
  </si>
  <si>
    <t>überwältigend</t>
  </si>
  <si>
    <t>underwood</t>
  </si>
  <si>
    <t>neelix</t>
  </si>
  <si>
    <t>explosionen</t>
  </si>
  <si>
    <t>telefonzelle</t>
  </si>
  <si>
    <t>plaza</t>
  </si>
  <si>
    <t>verschließen</t>
  </si>
  <si>
    <t>angesagt</t>
  </si>
  <si>
    <t>western</t>
  </si>
  <si>
    <t>absatz</t>
  </si>
  <si>
    <t>beschreibt</t>
  </si>
  <si>
    <t>lern</t>
  </si>
  <si>
    <t>main</t>
  </si>
  <si>
    <t>lehne</t>
  </si>
  <si>
    <t>easy</t>
  </si>
  <si>
    <t>buße</t>
  </si>
  <si>
    <t>fehlende</t>
  </si>
  <si>
    <t>anständigen</t>
  </si>
  <si>
    <t>häufiger</t>
  </si>
  <si>
    <t>buh</t>
  </si>
  <si>
    <t>anfängst</t>
  </si>
  <si>
    <t>fandest</t>
  </si>
  <si>
    <t>jaja</t>
  </si>
  <si>
    <t>giftig</t>
  </si>
  <si>
    <t>rausch</t>
  </si>
  <si>
    <t>jarvis</t>
  </si>
  <si>
    <t>hochwürden</t>
  </si>
  <si>
    <t>schnecken</t>
  </si>
  <si>
    <t>einheimischen</t>
  </si>
  <si>
    <t>unmögliche</t>
  </si>
  <si>
    <t>weaver</t>
  </si>
  <si>
    <t>freilassung</t>
  </si>
  <si>
    <t>sonderbar</t>
  </si>
  <si>
    <t>fassade</t>
  </si>
  <si>
    <t>scharfschützen</t>
  </si>
  <si>
    <t>anfrage</t>
  </si>
  <si>
    <t>bewegte</t>
  </si>
  <si>
    <t>ex-mann</t>
  </si>
  <si>
    <t>fotografen</t>
  </si>
  <si>
    <t>monika</t>
  </si>
  <si>
    <t>cardassianer</t>
  </si>
  <si>
    <t>solide</t>
  </si>
  <si>
    <t>ansiehst</t>
  </si>
  <si>
    <t>freitagabend</t>
  </si>
  <si>
    <t>legten</t>
  </si>
  <si>
    <t>klatsch</t>
  </si>
  <si>
    <t>dewey</t>
  </si>
  <si>
    <t>schicksals</t>
  </si>
  <si>
    <t>hartnäckig</t>
  </si>
  <si>
    <t>bars</t>
  </si>
  <si>
    <t>paddy</t>
  </si>
  <si>
    <t>sofortige</t>
  </si>
  <si>
    <t>küstenwache</t>
  </si>
  <si>
    <t>entsetzt</t>
  </si>
  <si>
    <t>moe</t>
  </si>
  <si>
    <t>edle</t>
  </si>
  <si>
    <t>unbemerkt</t>
  </si>
  <si>
    <t>religiöse</t>
  </si>
  <si>
    <t>scheiben</t>
  </si>
  <si>
    <t>plänen</t>
  </si>
  <si>
    <t>schleifen</t>
  </si>
  <si>
    <t>wundervoller</t>
  </si>
  <si>
    <t>mozart</t>
  </si>
  <si>
    <t>shelly</t>
  </si>
  <si>
    <t>deprimierend</t>
  </si>
  <si>
    <t>onkels</t>
  </si>
  <si>
    <t>jade</t>
  </si>
  <si>
    <t>pol</t>
  </si>
  <si>
    <t>bedankt</t>
  </si>
  <si>
    <t>fi</t>
  </si>
  <si>
    <t>harmonie</t>
  </si>
  <si>
    <t>alexandra</t>
  </si>
  <si>
    <t>jacqueline</t>
  </si>
  <si>
    <t>kelch</t>
  </si>
  <si>
    <t>reddington</t>
  </si>
  <si>
    <t>hüter</t>
  </si>
  <si>
    <t>jetzigen</t>
  </si>
  <si>
    <t>buchen</t>
  </si>
  <si>
    <t>leiste</t>
  </si>
  <si>
    <t>dee</t>
  </si>
  <si>
    <t>aufgeklärt</t>
  </si>
  <si>
    <t>kurzes</t>
  </si>
  <si>
    <t>außenministerium</t>
  </si>
  <si>
    <t>wheeler</t>
  </si>
  <si>
    <t>adios</t>
  </si>
  <si>
    <t>arrest</t>
  </si>
  <si>
    <t>oxford</t>
  </si>
  <si>
    <t>lebensform</t>
  </si>
  <si>
    <t>clint</t>
  </si>
  <si>
    <t>anfasst</t>
  </si>
  <si>
    <t>veranstaltet</t>
  </si>
  <si>
    <t>umstellt</t>
  </si>
  <si>
    <t>bezieht</t>
  </si>
  <si>
    <t>besetzung</t>
  </si>
  <si>
    <t>murdock</t>
  </si>
  <si>
    <t>cut</t>
  </si>
  <si>
    <t>kriminell</t>
  </si>
  <si>
    <t>praktikum</t>
  </si>
  <si>
    <t>grossen</t>
  </si>
  <si>
    <t>angebote</t>
  </si>
  <si>
    <t>märtyrer</t>
  </si>
  <si>
    <t>blutest</t>
  </si>
  <si>
    <t>anfange</t>
  </si>
  <si>
    <t>kick</t>
  </si>
  <si>
    <t>paß</t>
  </si>
  <si>
    <t>bogg</t>
  </si>
  <si>
    <t>tapferen</t>
  </si>
  <si>
    <t>haupt</t>
  </si>
  <si>
    <t>nachtschicht</t>
  </si>
  <si>
    <t>gebrochene</t>
  </si>
  <si>
    <t>klebeband</t>
  </si>
  <si>
    <t>metzger</t>
  </si>
  <si>
    <t>marlene</t>
  </si>
  <si>
    <t>gewöhnlichen</t>
  </si>
  <si>
    <t>umarme</t>
  </si>
  <si>
    <t>philipp</t>
  </si>
  <si>
    <t>leistungen</t>
  </si>
  <si>
    <t>dankt</t>
  </si>
  <si>
    <t>fitzgerald</t>
  </si>
  <si>
    <t>lesben</t>
  </si>
  <si>
    <t>ehering</t>
  </si>
  <si>
    <t>uno</t>
  </si>
  <si>
    <t>strauss</t>
  </si>
  <si>
    <t>großbritannien</t>
  </si>
  <si>
    <t>armeen</t>
  </si>
  <si>
    <t>aufsehen</t>
  </si>
  <si>
    <t>heu</t>
  </si>
  <si>
    <t>schwarm</t>
  </si>
  <si>
    <t>ziemlicher</t>
  </si>
  <si>
    <t>eule</t>
  </si>
  <si>
    <t>mitteilung</t>
  </si>
  <si>
    <t>aufgerissen</t>
  </si>
  <si>
    <t>sätze</t>
  </si>
  <si>
    <t>gottverdammten</t>
  </si>
  <si>
    <t>gelockt</t>
  </si>
  <si>
    <t>erwägung</t>
  </si>
  <si>
    <t>langsame</t>
  </si>
  <si>
    <t>keen</t>
  </si>
  <si>
    <t>gunst</t>
  </si>
  <si>
    <t>bann</t>
  </si>
  <si>
    <t>leichenschauhaus</t>
  </si>
  <si>
    <t>widersetzen</t>
  </si>
  <si>
    <t>geflüchtet</t>
  </si>
  <si>
    <t>therapeut</t>
  </si>
  <si>
    <t>abdrücken</t>
  </si>
  <si>
    <t>hingehst</t>
  </si>
  <si>
    <t>lokale</t>
  </si>
  <si>
    <t>edlen</t>
  </si>
  <si>
    <t>dialog</t>
  </si>
  <si>
    <t>kaputte</t>
  </si>
  <si>
    <t>susanne</t>
  </si>
  <si>
    <t>tokyo</t>
  </si>
  <si>
    <t>lordschaft</t>
  </si>
  <si>
    <t>zuhört</t>
  </si>
  <si>
    <t>finanziellen</t>
  </si>
  <si>
    <t>camelot</t>
  </si>
  <si>
    <t>bäckerei</t>
  </si>
  <si>
    <t>gehauen</t>
  </si>
  <si>
    <t>ziemliche</t>
  </si>
  <si>
    <t>bronx</t>
  </si>
  <si>
    <t>originell</t>
  </si>
  <si>
    <t>sicherheitssystem</t>
  </si>
  <si>
    <t>elektronische</t>
  </si>
  <si>
    <t>twilight</t>
  </si>
  <si>
    <t>glaubens</t>
  </si>
  <si>
    <t>charlene</t>
  </si>
  <si>
    <t>nahezu</t>
  </si>
  <si>
    <t>sichtkontakt</t>
  </si>
  <si>
    <t>strafen</t>
  </si>
  <si>
    <t>gehorsam</t>
  </si>
  <si>
    <t>sportler</t>
  </si>
  <si>
    <t>mutiger</t>
  </si>
  <si>
    <t>becker</t>
  </si>
  <si>
    <t>det</t>
  </si>
  <si>
    <t>saga</t>
  </si>
  <si>
    <t>ski</t>
  </si>
  <si>
    <t>entgeht</t>
  </si>
  <si>
    <t>abläuft</t>
  </si>
  <si>
    <t>timothy</t>
  </si>
  <si>
    <t>beschwingte</t>
  </si>
  <si>
    <t>lindsay</t>
  </si>
  <si>
    <t>aufklärung</t>
  </si>
  <si>
    <t>phantastisch</t>
  </si>
  <si>
    <t>zane</t>
  </si>
  <si>
    <t>eigen</t>
  </si>
  <si>
    <t>haven</t>
  </si>
  <si>
    <t>gracias</t>
  </si>
  <si>
    <t>justine</t>
  </si>
  <si>
    <t>blonden</t>
  </si>
  <si>
    <t>kobra</t>
  </si>
  <si>
    <t>beantragen</t>
  </si>
  <si>
    <t>muscheln</t>
  </si>
  <si>
    <t>spot</t>
  </si>
  <si>
    <t>bewerbung</t>
  </si>
  <si>
    <t>biologische</t>
  </si>
  <si>
    <t>raffiniert</t>
  </si>
  <si>
    <t>protest</t>
  </si>
  <si>
    <t>texte</t>
  </si>
  <si>
    <t>kapiere</t>
  </si>
  <si>
    <t>linus</t>
  </si>
  <si>
    <t>panne</t>
  </si>
  <si>
    <t>willens</t>
  </si>
  <si>
    <t>argentinien</t>
  </si>
  <si>
    <t>bissen</t>
  </si>
  <si>
    <t>abbiegen</t>
  </si>
  <si>
    <t>harbor</t>
  </si>
  <si>
    <t>fernen</t>
  </si>
  <si>
    <t>versäumt</t>
  </si>
  <si>
    <t>frühe</t>
  </si>
  <si>
    <t>rohre</t>
  </si>
  <si>
    <t>packte</t>
  </si>
  <si>
    <t>zeitmaschine</t>
  </si>
  <si>
    <t>weiterzumachen</t>
  </si>
  <si>
    <t>beiß</t>
  </si>
  <si>
    <t>kleinsten</t>
  </si>
  <si>
    <t>verzögerung</t>
  </si>
  <si>
    <t>sprit</t>
  </si>
  <si>
    <t>initialen</t>
  </si>
  <si>
    <t>ansprache</t>
  </si>
  <si>
    <t>recherchiert</t>
  </si>
  <si>
    <t>malley</t>
  </si>
  <si>
    <t>erfuhren</t>
  </si>
  <si>
    <t>ja.</t>
  </si>
  <si>
    <t>zahlte</t>
  </si>
  <si>
    <t>eingebaut</t>
  </si>
  <si>
    <t>offener</t>
  </si>
  <si>
    <t>geheimnisvoll</t>
  </si>
  <si>
    <t>geschöpf</t>
  </si>
  <si>
    <t>unangebracht</t>
  </si>
  <si>
    <t>schlüsse</t>
  </si>
  <si>
    <t>eingefangen</t>
  </si>
  <si>
    <t>halts</t>
  </si>
  <si>
    <t>bewährungshelfer</t>
  </si>
  <si>
    <t>folgten</t>
  </si>
  <si>
    <t>erhebe</t>
  </si>
  <si>
    <t>brenner</t>
  </si>
  <si>
    <t>surfen</t>
  </si>
  <si>
    <t>hintergehen</t>
  </si>
  <si>
    <t>hörner</t>
  </si>
  <si>
    <t>fürchtest</t>
  </si>
  <si>
    <t>reaktor</t>
  </si>
  <si>
    <t>run</t>
  </si>
  <si>
    <t>zweieinhalb</t>
  </si>
  <si>
    <t>gebrochenen</t>
  </si>
  <si>
    <t>ansage</t>
  </si>
  <si>
    <t>kompromiss</t>
  </si>
  <si>
    <t>abzeichen</t>
  </si>
  <si>
    <t>mehrfach</t>
  </si>
  <si>
    <t>dolores</t>
  </si>
  <si>
    <t>cox</t>
  </si>
  <si>
    <t>zielt</t>
  </si>
  <si>
    <t>vorlesung</t>
  </si>
  <si>
    <t>gesamtes</t>
  </si>
  <si>
    <t>berechnet</t>
  </si>
  <si>
    <t>römische</t>
  </si>
  <si>
    <t>auffällig</t>
  </si>
  <si>
    <t>lenkrad</t>
  </si>
  <si>
    <t>engagement</t>
  </si>
  <si>
    <t>amerikanerin</t>
  </si>
  <si>
    <t>harlem</t>
  </si>
  <si>
    <t>jose</t>
  </si>
  <si>
    <t>chakotay</t>
  </si>
  <si>
    <t>fernzuhalten</t>
  </si>
  <si>
    <t>gründer</t>
  </si>
  <si>
    <t>technischen</t>
  </si>
  <si>
    <t>hassan</t>
  </si>
  <si>
    <t>eingeweide</t>
  </si>
  <si>
    <t>verschickt</t>
  </si>
  <si>
    <t>studierte</t>
  </si>
  <si>
    <t>industrie</t>
  </si>
  <si>
    <t>frühjahr</t>
  </si>
  <si>
    <t>heiligabend</t>
  </si>
  <si>
    <t>stellvertreter</t>
  </si>
  <si>
    <t>unvorstellbar</t>
  </si>
  <si>
    <t>sichert</t>
  </si>
  <si>
    <t>scheißt</t>
  </si>
  <si>
    <t>space</t>
  </si>
  <si>
    <t>zweifle</t>
  </si>
  <si>
    <t>verbrannte</t>
  </si>
  <si>
    <t>hähnchen</t>
  </si>
  <si>
    <t>ren</t>
  </si>
  <si>
    <t>exfrau</t>
  </si>
  <si>
    <t>kulturen</t>
  </si>
  <si>
    <t>ehrgeizig</t>
  </si>
  <si>
    <t>anmelden</t>
  </si>
  <si>
    <t>bewegst</t>
  </si>
  <si>
    <t>verschüttet</t>
  </si>
  <si>
    <t>whirlpool</t>
  </si>
  <si>
    <t>atmung</t>
  </si>
  <si>
    <t>kaltblütig</t>
  </si>
  <si>
    <t>handwerker</t>
  </si>
  <si>
    <t>kurse</t>
  </si>
  <si>
    <t>griffen</t>
  </si>
  <si>
    <t>unangenehme</t>
  </si>
  <si>
    <t>ausstellen</t>
  </si>
  <si>
    <t>andernfalls</t>
  </si>
  <si>
    <t>sonderlich</t>
  </si>
  <si>
    <t>angefühlt</t>
  </si>
  <si>
    <t>prag</t>
  </si>
  <si>
    <t>frösche</t>
  </si>
  <si>
    <t>herausfand</t>
  </si>
  <si>
    <t>vega</t>
  </si>
  <si>
    <t>vance</t>
  </si>
  <si>
    <t>zärtlich</t>
  </si>
  <si>
    <t>doe</t>
  </si>
  <si>
    <t>jüdischen</t>
  </si>
  <si>
    <t>steuerung</t>
  </si>
  <si>
    <t>zeitschriften</t>
  </si>
  <si>
    <t>verbockt</t>
  </si>
  <si>
    <t>gewaltige</t>
  </si>
  <si>
    <t>genesung</t>
  </si>
  <si>
    <t>auftraggeber</t>
  </si>
  <si>
    <t>wanna</t>
  </si>
  <si>
    <t>abgehört</t>
  </si>
  <si>
    <t>oregon</t>
  </si>
  <si>
    <t>gecheckt</t>
  </si>
  <si>
    <t>zusammenbruch</t>
  </si>
  <si>
    <t>beachtet</t>
  </si>
  <si>
    <t>united</t>
  </si>
  <si>
    <t>cowboys</t>
  </si>
  <si>
    <t>pumpe</t>
  </si>
  <si>
    <t>eagle</t>
  </si>
  <si>
    <t>logbuch</t>
  </si>
  <si>
    <t>irgendwem</t>
  </si>
  <si>
    <t>ausgenommen</t>
  </si>
  <si>
    <t>churchill</t>
  </si>
  <si>
    <t>rankommen</t>
  </si>
  <si>
    <t>relevant</t>
  </si>
  <si>
    <t>t-shirts</t>
  </si>
  <si>
    <t>besuchst</t>
  </si>
  <si>
    <t>tiefsten</t>
  </si>
  <si>
    <t>einbildung</t>
  </si>
  <si>
    <t>instabil</t>
  </si>
  <si>
    <t>fühlten</t>
  </si>
  <si>
    <t>hr</t>
  </si>
  <si>
    <t>transportiert</t>
  </si>
  <si>
    <t>mönche</t>
  </si>
  <si>
    <t>lina</t>
  </si>
  <si>
    <t>riggs</t>
  </si>
  <si>
    <t>stacy</t>
  </si>
  <si>
    <t>beschuss</t>
  </si>
  <si>
    <t>fledermaus</t>
  </si>
  <si>
    <t>segnen</t>
  </si>
  <si>
    <t>stattgefunden</t>
  </si>
  <si>
    <t>nell</t>
  </si>
  <si>
    <t>lebeau</t>
  </si>
  <si>
    <t>krallen</t>
  </si>
  <si>
    <t>moss</t>
  </si>
  <si>
    <t>kgb</t>
  </si>
  <si>
    <t>romantischen</t>
  </si>
  <si>
    <t>blutig</t>
  </si>
  <si>
    <t>alliierten</t>
  </si>
  <si>
    <t>mara</t>
  </si>
  <si>
    <t>oberflächlich</t>
  </si>
  <si>
    <t>sanders</t>
  </si>
  <si>
    <t>hicks</t>
  </si>
  <si>
    <t>ostern</t>
  </si>
  <si>
    <t>orangensaft</t>
  </si>
  <si>
    <t>unbekannter</t>
  </si>
  <si>
    <t>thornton</t>
  </si>
  <si>
    <t>ausgerutscht</t>
  </si>
  <si>
    <t>aurora</t>
  </si>
  <si>
    <t>freundlicher</t>
  </si>
  <si>
    <t>exil</t>
  </si>
  <si>
    <t>clary</t>
  </si>
  <si>
    <t>blog</t>
  </si>
  <si>
    <t>schmelzen</t>
  </si>
  <si>
    <t>mysteriösen</t>
  </si>
  <si>
    <t>überwunden</t>
  </si>
  <si>
    <t>erdbeeren</t>
  </si>
  <si>
    <t>ära</t>
  </si>
  <si>
    <t>eingefroren</t>
  </si>
  <si>
    <t>großzügigkeit</t>
  </si>
  <si>
    <t>einreichen</t>
  </si>
  <si>
    <t>anderswo</t>
  </si>
  <si>
    <t>seinetwegen</t>
  </si>
  <si>
    <t>ferguson</t>
  </si>
  <si>
    <t>zwilling</t>
  </si>
  <si>
    <t>deppen</t>
  </si>
  <si>
    <t>verlangte</t>
  </si>
  <si>
    <t>genf</t>
  </si>
  <si>
    <t>trophäe</t>
  </si>
  <si>
    <t>lucia</t>
  </si>
  <si>
    <t>wisch</t>
  </si>
  <si>
    <t>reduziert</t>
  </si>
  <si>
    <t>ernährt</t>
  </si>
  <si>
    <t>irgendjemandem</t>
  </si>
  <si>
    <t>kaiserin</t>
  </si>
  <si>
    <t>koste</t>
  </si>
  <si>
    <t>reiste</t>
  </si>
  <si>
    <t>lucrezia</t>
  </si>
  <si>
    <t>therapeutin</t>
  </si>
  <si>
    <t>pfanne</t>
  </si>
  <si>
    <t>komma</t>
  </si>
  <si>
    <t>stillhalten</t>
  </si>
  <si>
    <t>freundlichkeit</t>
  </si>
  <si>
    <t>stockholm</t>
  </si>
  <si>
    <t>informiere</t>
  </si>
  <si>
    <t>konsul</t>
  </si>
  <si>
    <t>dante</t>
  </si>
  <si>
    <t>gänge</t>
  </si>
  <si>
    <t>irgendwen</t>
  </si>
  <si>
    <t>unerhört</t>
  </si>
  <si>
    <t>deutlicher</t>
  </si>
  <si>
    <t>bomber</t>
  </si>
  <si>
    <t>ausgeliehen</t>
  </si>
  <si>
    <t>drehten</t>
  </si>
  <si>
    <t>prostitution</t>
  </si>
  <si>
    <t>inoffiziell</t>
  </si>
  <si>
    <t>motherfucker</t>
  </si>
  <si>
    <t>glücklichste</t>
  </si>
  <si>
    <t>erschreckend</t>
  </si>
  <si>
    <t>isolieren</t>
  </si>
  <si>
    <t>flugplatz</t>
  </si>
  <si>
    <t>friedliche</t>
  </si>
  <si>
    <t>lachs</t>
  </si>
  <si>
    <t>furchtbarer</t>
  </si>
  <si>
    <t>erkältet</t>
  </si>
  <si>
    <t>boyle</t>
  </si>
  <si>
    <t>nadine</t>
  </si>
  <si>
    <t>slim</t>
  </si>
  <si>
    <t>angestellter</t>
  </si>
  <si>
    <t>anomalie</t>
  </si>
  <si>
    <t>bestimme</t>
  </si>
  <si>
    <t>off</t>
  </si>
  <si>
    <t>provoziert</t>
  </si>
  <si>
    <t>siehe</t>
  </si>
  <si>
    <t>aufbewahren</t>
  </si>
  <si>
    <t>diamant</t>
  </si>
  <si>
    <t>herauskommen</t>
  </si>
  <si>
    <t>poster</t>
  </si>
  <si>
    <t>gräber</t>
  </si>
  <si>
    <t>savage</t>
  </si>
  <si>
    <t>heh</t>
  </si>
  <si>
    <t>jedesmal</t>
  </si>
  <si>
    <t>bajor</t>
  </si>
  <si>
    <t>angepasst</t>
  </si>
  <si>
    <t>strick</t>
  </si>
  <si>
    <t>übertreib</t>
  </si>
  <si>
    <t>schweinchen</t>
  </si>
  <si>
    <t>herbei</t>
  </si>
  <si>
    <t>ahnte</t>
  </si>
  <si>
    <t>dirk</t>
  </si>
  <si>
    <t>bewältigen</t>
  </si>
  <si>
    <t>fläschchen</t>
  </si>
  <si>
    <t>sams</t>
  </si>
  <si>
    <t>kotze</t>
  </si>
  <si>
    <t>übt</t>
  </si>
  <si>
    <t>lupe</t>
  </si>
  <si>
    <t>stanford</t>
  </si>
  <si>
    <t>davonlaufen</t>
  </si>
  <si>
    <t>klima</t>
  </si>
  <si>
    <t>zerstöre</t>
  </si>
  <si>
    <t>jerome</t>
  </si>
  <si>
    <t>schöpfung</t>
  </si>
  <si>
    <t>befriedigen</t>
  </si>
  <si>
    <t>schossen</t>
  </si>
  <si>
    <t>soul</t>
  </si>
  <si>
    <t>verschlafen</t>
  </si>
  <si>
    <t>indiana</t>
  </si>
  <si>
    <t>putzt</t>
  </si>
  <si>
    <t>verdoppelt</t>
  </si>
  <si>
    <t>entschuldigungen</t>
  </si>
  <si>
    <t>inakzeptabel</t>
  </si>
  <si>
    <t>prioritäten</t>
  </si>
  <si>
    <t>bryan</t>
  </si>
  <si>
    <t>dominion</t>
  </si>
  <si>
    <t>jem</t>
  </si>
  <si>
    <t>karate</t>
  </si>
  <si>
    <t>unterschreib</t>
  </si>
  <si>
    <t>clinton</t>
  </si>
  <si>
    <t>louisiana</t>
  </si>
  <si>
    <t>fat</t>
  </si>
  <si>
    <t>f.</t>
  </si>
  <si>
    <t>kampfes</t>
  </si>
  <si>
    <t>grades</t>
  </si>
  <si>
    <t>komplizierte</t>
  </si>
  <si>
    <t>j.d.</t>
  </si>
  <si>
    <t>waise</t>
  </si>
  <si>
    <t>alain</t>
  </si>
  <si>
    <t>würdigen</t>
  </si>
  <si>
    <t>vorrat</t>
  </si>
  <si>
    <t>trocknen</t>
  </si>
  <si>
    <t>entfernte</t>
  </si>
  <si>
    <t>katja</t>
  </si>
  <si>
    <t>bücherei</t>
  </si>
  <si>
    <t>fallschirm</t>
  </si>
  <si>
    <t>laurent</t>
  </si>
  <si>
    <t>fusion</t>
  </si>
  <si>
    <t>frachter</t>
  </si>
  <si>
    <t>komplize</t>
  </si>
  <si>
    <t>haie</t>
  </si>
  <si>
    <t>witzbold</t>
  </si>
  <si>
    <t>drecksarbeit</t>
  </si>
  <si>
    <t>schiedsrichter</t>
  </si>
  <si>
    <t>spezialisiert</t>
  </si>
  <si>
    <t>innern</t>
  </si>
  <si>
    <t>verschlüsselt</t>
  </si>
  <si>
    <t>chirurgie</t>
  </si>
  <si>
    <t>chff409b</t>
  </si>
  <si>
    <t>hüpfen</t>
  </si>
  <si>
    <t>festzustellen</t>
  </si>
  <si>
    <t>harlan</t>
  </si>
  <si>
    <t>gerichts</t>
  </si>
  <si>
    <t>matrosen</t>
  </si>
  <si>
    <t>schweinerei</t>
  </si>
  <si>
    <t>schnarcht</t>
  </si>
  <si>
    <t>anzuhören</t>
  </si>
  <si>
    <t>überprüf</t>
  </si>
  <si>
    <t>überprüfung</t>
  </si>
  <si>
    <t>florenz</t>
  </si>
  <si>
    <t>blanche</t>
  </si>
  <si>
    <t>maddie</t>
  </si>
  <si>
    <t>getauscht</t>
  </si>
  <si>
    <t>verübt</t>
  </si>
  <si>
    <t>blutige</t>
  </si>
  <si>
    <t>galaxien</t>
  </si>
  <si>
    <t>antiquitäten</t>
  </si>
  <si>
    <t>wandert</t>
  </si>
  <si>
    <t>hormone</t>
  </si>
  <si>
    <t>homo</t>
  </si>
  <si>
    <t>slade</t>
  </si>
  <si>
    <t>chapman</t>
  </si>
  <si>
    <t>nachschub</t>
  </si>
  <si>
    <t>america</t>
  </si>
  <si>
    <t>zerbrechlich</t>
  </si>
  <si>
    <t>palm</t>
  </si>
  <si>
    <t>basta</t>
  </si>
  <si>
    <t>riese</t>
  </si>
  <si>
    <t>brenne</t>
  </si>
  <si>
    <t>sticht</t>
  </si>
  <si>
    <t>hang</t>
  </si>
  <si>
    <t>leser</t>
  </si>
  <si>
    <t>zurückbleiben</t>
  </si>
  <si>
    <t>woods</t>
  </si>
  <si>
    <t>prototyp</t>
  </si>
  <si>
    <t>wider</t>
  </si>
  <si>
    <t>liebenswürdig</t>
  </si>
  <si>
    <t>gewohnheiten</t>
  </si>
  <si>
    <t>säure</t>
  </si>
  <si>
    <t>chaotisch</t>
  </si>
  <si>
    <t>geschissen</t>
  </si>
  <si>
    <t>moran</t>
  </si>
  <si>
    <t>call</t>
  </si>
  <si>
    <t>besorgnis</t>
  </si>
  <si>
    <t>grundschule</t>
  </si>
  <si>
    <t>verheiratete</t>
  </si>
  <si>
    <t>aufruf</t>
  </si>
  <si>
    <t>sauce</t>
  </si>
  <si>
    <t>verwandter</t>
  </si>
  <si>
    <t>schwelle</t>
  </si>
  <si>
    <t>fröhliches</t>
  </si>
  <si>
    <t>mmh</t>
  </si>
  <si>
    <t>kühlen</t>
  </si>
  <si>
    <t>herrliche</t>
  </si>
  <si>
    <t>lächerliche</t>
  </si>
  <si>
    <t>lift</t>
  </si>
  <si>
    <t>angriffen</t>
  </si>
  <si>
    <t>zurückfahren</t>
  </si>
  <si>
    <t>dutch</t>
  </si>
  <si>
    <t>verschluss</t>
  </si>
  <si>
    <t>herzchen</t>
  </si>
  <si>
    <t>eineinhalb</t>
  </si>
  <si>
    <t>verbrachten</t>
  </si>
  <si>
    <t>igor</t>
  </si>
  <si>
    <t>besetzen</t>
  </si>
  <si>
    <t>sexueller</t>
  </si>
  <si>
    <t>spaßig</t>
  </si>
  <si>
    <t>kreuzen</t>
  </si>
  <si>
    <t>yep</t>
  </si>
  <si>
    <t>intuition</t>
  </si>
  <si>
    <t>terrorismus</t>
  </si>
  <si>
    <t>traditionen</t>
  </si>
  <si>
    <t>game</t>
  </si>
  <si>
    <t>lad</t>
  </si>
  <si>
    <t>vorgetäuscht</t>
  </si>
  <si>
    <t>satellit</t>
  </si>
  <si>
    <t>lehnt</t>
  </si>
  <si>
    <t>samson</t>
  </si>
  <si>
    <t>verhungere</t>
  </si>
  <si>
    <t>unterrichte</t>
  </si>
  <si>
    <t>burton</t>
  </si>
  <si>
    <t>link</t>
  </si>
  <si>
    <t>schiefgehen</t>
  </si>
  <si>
    <t>pyjama</t>
  </si>
  <si>
    <t>verurteile</t>
  </si>
  <si>
    <t>wachtmeister</t>
  </si>
  <si>
    <t>dunkles</t>
  </si>
  <si>
    <t>abgeschlachtet</t>
  </si>
  <si>
    <t>tätowierung</t>
  </si>
  <si>
    <t>ansprüche</t>
  </si>
  <si>
    <t>erleiden</t>
  </si>
  <si>
    <t>ruinen</t>
  </si>
  <si>
    <t>reife</t>
  </si>
  <si>
    <t>kommenden</t>
  </si>
  <si>
    <t>hoffman</t>
  </si>
  <si>
    <t>verstummt</t>
  </si>
  <si>
    <t>panama</t>
  </si>
  <si>
    <t>staubsauger</t>
  </si>
  <si>
    <t>projekte</t>
  </si>
  <si>
    <t>kopieren</t>
  </si>
  <si>
    <t>unters</t>
  </si>
  <si>
    <t>begeht</t>
  </si>
  <si>
    <t>vorurteile</t>
  </si>
  <si>
    <t>militärischen</t>
  </si>
  <si>
    <t>prüfe</t>
  </si>
  <si>
    <t>verpissen</t>
  </si>
  <si>
    <t>edler</t>
  </si>
  <si>
    <t>tablett</t>
  </si>
  <si>
    <t>geblasen</t>
  </si>
  <si>
    <t>hergeholt</t>
  </si>
  <si>
    <t>beratung</t>
  </si>
  <si>
    <t>rabatt</t>
  </si>
  <si>
    <t>renne</t>
  </si>
  <si>
    <t>behaltet</t>
  </si>
  <si>
    <t>tapferer</t>
  </si>
  <si>
    <t>offenbarung</t>
  </si>
  <si>
    <t>wegkommen</t>
  </si>
  <si>
    <t>verabreden</t>
  </si>
  <si>
    <t>motive</t>
  </si>
  <si>
    <t>unannehmlichkeiten</t>
  </si>
  <si>
    <t>village</t>
  </si>
  <si>
    <t>späten</t>
  </si>
  <si>
    <t>verfickten</t>
  </si>
  <si>
    <t>argumente</t>
  </si>
  <si>
    <t>behauptete</t>
  </si>
  <si>
    <t>wertvolles</t>
  </si>
  <si>
    <t>niki</t>
  </si>
  <si>
    <t>fehlern</t>
  </si>
  <si>
    <t>abendbrot</t>
  </si>
  <si>
    <t>putz</t>
  </si>
  <si>
    <t>übermitteln</t>
  </si>
  <si>
    <t>spielplatz</t>
  </si>
  <si>
    <t>gutachten</t>
  </si>
  <si>
    <t>auszusehen</t>
  </si>
  <si>
    <t>wiehert</t>
  </si>
  <si>
    <t>basil</t>
  </si>
  <si>
    <t>spezielles</t>
  </si>
  <si>
    <t>flüchtigen</t>
  </si>
  <si>
    <t>dringt</t>
  </si>
  <si>
    <t>verkraften</t>
  </si>
  <si>
    <t>unglaublichen</t>
  </si>
  <si>
    <t>endlos</t>
  </si>
  <si>
    <t>kritiker</t>
  </si>
  <si>
    <t>schwuler</t>
  </si>
  <si>
    <t>hob</t>
  </si>
  <si>
    <t>pfleger</t>
  </si>
  <si>
    <t>klarmachen</t>
  </si>
  <si>
    <t>dermaßen</t>
  </si>
  <si>
    <t>benson</t>
  </si>
  <si>
    <t>hindert</t>
  </si>
  <si>
    <t>gespendet</t>
  </si>
  <si>
    <t>lire</t>
  </si>
  <si>
    <t>erstaunliche</t>
  </si>
  <si>
    <t>gummi</t>
  </si>
  <si>
    <t>patterson</t>
  </si>
  <si>
    <t>zicke</t>
  </si>
  <si>
    <t>begreift</t>
  </si>
  <si>
    <t>marionette</t>
  </si>
  <si>
    <t>backbord</t>
  </si>
  <si>
    <t>benehmt</t>
  </si>
  <si>
    <t>buenos</t>
  </si>
  <si>
    <t>erwähnten</t>
  </si>
  <si>
    <t>gestohlene</t>
  </si>
  <si>
    <t>medaillon</t>
  </si>
  <si>
    <t>streifenwagen</t>
  </si>
  <si>
    <t>pascal</t>
  </si>
  <si>
    <t>romanze</t>
  </si>
  <si>
    <t>shelley</t>
  </si>
  <si>
    <t>fluchen</t>
  </si>
  <si>
    <t>javier</t>
  </si>
  <si>
    <t>untergebracht</t>
  </si>
  <si>
    <t>kahn</t>
  </si>
  <si>
    <t>scht</t>
  </si>
  <si>
    <t>ehemänner</t>
  </si>
  <si>
    <t>erfinder</t>
  </si>
  <si>
    <t>kraftfeld</t>
  </si>
  <si>
    <t>unbesiegbar</t>
  </si>
  <si>
    <t>niete</t>
  </si>
  <si>
    <t>horst</t>
  </si>
  <si>
    <t>beinah</t>
  </si>
  <si>
    <t>schwing</t>
  </si>
  <si>
    <t>schneit</t>
  </si>
  <si>
    <t>versenkt</t>
  </si>
  <si>
    <t>wärest</t>
  </si>
  <si>
    <t>erika</t>
  </si>
  <si>
    <t>brücken</t>
  </si>
  <si>
    <t>toi</t>
  </si>
  <si>
    <t>stromausfall</t>
  </si>
  <si>
    <t>zielscheibe</t>
  </si>
  <si>
    <t>überschreiten</t>
  </si>
  <si>
    <t>bird</t>
  </si>
  <si>
    <t>eingejagt</t>
  </si>
  <si>
    <t>lt.</t>
  </si>
  <si>
    <t>que</t>
  </si>
  <si>
    <t>versenken</t>
  </si>
  <si>
    <t>fördern</t>
  </si>
  <si>
    <t>kundin</t>
  </si>
  <si>
    <t>enzo</t>
  </si>
  <si>
    <t>portier</t>
  </si>
  <si>
    <t>riech</t>
  </si>
  <si>
    <t>beobachter</t>
  </si>
  <si>
    <t>beerdigen</t>
  </si>
  <si>
    <t>su</t>
  </si>
  <si>
    <t>entscheidende</t>
  </si>
  <si>
    <t>zeugs</t>
  </si>
  <si>
    <t>lorraine</t>
  </si>
  <si>
    <t>auszusprechen</t>
  </si>
  <si>
    <t>gerard</t>
  </si>
  <si>
    <t>dani</t>
  </si>
  <si>
    <t>zoom</t>
  </si>
  <si>
    <t>brillante</t>
  </si>
  <si>
    <t>our</t>
  </si>
  <si>
    <t>einfahrt</t>
  </si>
  <si>
    <t>emotionalen</t>
  </si>
  <si>
    <t>kommentare</t>
  </si>
  <si>
    <t>brachen</t>
  </si>
  <si>
    <t>parfum</t>
  </si>
  <si>
    <t>roms</t>
  </si>
  <si>
    <t>durchschnitt</t>
  </si>
  <si>
    <t>glücksspiel</t>
  </si>
  <si>
    <t>geburtstagsparty</t>
  </si>
  <si>
    <t>cadillac</t>
  </si>
  <si>
    <t>herausgestellt</t>
  </si>
  <si>
    <t>beeinträchtigt</t>
  </si>
  <si>
    <t>feel</t>
  </si>
  <si>
    <t>spiels</t>
  </si>
  <si>
    <t>hinnehmen</t>
  </si>
  <si>
    <t>eingetragen</t>
  </si>
  <si>
    <t>sprünge</t>
  </si>
  <si>
    <t>joker</t>
  </si>
  <si>
    <t>torpedos</t>
  </si>
  <si>
    <t>belegen</t>
  </si>
  <si>
    <t>xavier</t>
  </si>
  <si>
    <t>belgien</t>
  </si>
  <si>
    <t>rouge</t>
  </si>
  <si>
    <t>darius</t>
  </si>
  <si>
    <t>hypnose</t>
  </si>
  <si>
    <t>konfrontiert</t>
  </si>
  <si>
    <t>gezielt</t>
  </si>
  <si>
    <t>schauspielern</t>
  </si>
  <si>
    <t>murmeln</t>
  </si>
  <si>
    <t>ultimative</t>
  </si>
  <si>
    <t>weggeschickt</t>
  </si>
  <si>
    <t>regierungen</t>
  </si>
  <si>
    <t>erdnüsse</t>
  </si>
  <si>
    <t>missy</t>
  </si>
  <si>
    <t>spritztour</t>
  </si>
  <si>
    <t>kopfgeldjäger</t>
  </si>
  <si>
    <t>einladungen</t>
  </si>
  <si>
    <t>kleidern</t>
  </si>
  <si>
    <t>mm-hm</t>
  </si>
  <si>
    <t>chicken</t>
  </si>
  <si>
    <t>hawk</t>
  </si>
  <si>
    <t>quarterback</t>
  </si>
  <si>
    <t>glatze</t>
  </si>
  <si>
    <t>systems</t>
  </si>
  <si>
    <t>vergeblich</t>
  </si>
  <si>
    <t>mäuschen</t>
  </si>
  <si>
    <t>eingeliefert</t>
  </si>
  <si>
    <t>entschlüsseln</t>
  </si>
  <si>
    <t>kerlchen</t>
  </si>
  <si>
    <t>unentschieden</t>
  </si>
  <si>
    <t>ausverkauft</t>
  </si>
  <si>
    <t>viermal</t>
  </si>
  <si>
    <t>fargo</t>
  </si>
  <si>
    <t>zugenommen</t>
  </si>
  <si>
    <t>völker</t>
  </si>
  <si>
    <t>migräne</t>
  </si>
  <si>
    <t>eddy</t>
  </si>
  <si>
    <t>double</t>
  </si>
  <si>
    <t>rothaarige</t>
  </si>
  <si>
    <t>memphis</t>
  </si>
  <si>
    <t>aufgetragen</t>
  </si>
  <si>
    <t>runtergehen</t>
  </si>
  <si>
    <t>seen</t>
  </si>
  <si>
    <t>amnesie</t>
  </si>
  <si>
    <t>einzustellen</t>
  </si>
  <si>
    <t>bedeutest</t>
  </si>
  <si>
    <t>steaks</t>
  </si>
  <si>
    <t>empfänger</t>
  </si>
  <si>
    <t>telefonbuch</t>
  </si>
  <si>
    <t>massen</t>
  </si>
  <si>
    <t>vorführung</t>
  </si>
  <si>
    <t>cheese</t>
  </si>
  <si>
    <t>angefordert</t>
  </si>
  <si>
    <t>royce</t>
  </si>
  <si>
    <t>heinz</t>
  </si>
  <si>
    <t>hexerei</t>
  </si>
  <si>
    <t>sündenbock</t>
  </si>
  <si>
    <t>asien</t>
  </si>
  <si>
    <t>kopiert</t>
  </si>
  <si>
    <t>astronaut</t>
  </si>
  <si>
    <t>eindringlinge</t>
  </si>
  <si>
    <t>verhältst</t>
  </si>
  <si>
    <t>bosse</t>
  </si>
  <si>
    <t>abzugeben</t>
  </si>
  <si>
    <t>ice</t>
  </si>
  <si>
    <t>genetisch</t>
  </si>
  <si>
    <t>anständiges</t>
  </si>
  <si>
    <t>lächelst</t>
  </si>
  <si>
    <t>davina</t>
  </si>
  <si>
    <t>wochenenden</t>
  </si>
  <si>
    <t>augenbrauen</t>
  </si>
  <si>
    <t>kauften</t>
  </si>
  <si>
    <t>unverändert</t>
  </si>
  <si>
    <t>fickst</t>
  </si>
  <si>
    <t>schleicht</t>
  </si>
  <si>
    <t>unterbewusstsein</t>
  </si>
  <si>
    <t>nat</t>
  </si>
  <si>
    <t>sehne</t>
  </si>
  <si>
    <t>schilling</t>
  </si>
  <si>
    <t>schluß</t>
  </si>
  <si>
    <t>kundschaft</t>
  </si>
  <si>
    <t>verschrieben</t>
  </si>
  <si>
    <t>entfliehen</t>
  </si>
  <si>
    <t>bestohlen</t>
  </si>
  <si>
    <t>klick</t>
  </si>
  <si>
    <t>heiliges</t>
  </si>
  <si>
    <t>verstopft</t>
  </si>
  <si>
    <t>kürbis</t>
  </si>
  <si>
    <t>kröte</t>
  </si>
  <si>
    <t>demütigen</t>
  </si>
  <si>
    <t>grausamkeit</t>
  </si>
  <si>
    <t>makler</t>
  </si>
  <si>
    <t>ausgerastet</t>
  </si>
  <si>
    <t>geräumt</t>
  </si>
  <si>
    <t>kalb</t>
  </si>
  <si>
    <t>santiago</t>
  </si>
  <si>
    <t>schnur</t>
  </si>
  <si>
    <t>garth</t>
  </si>
  <si>
    <t>len</t>
  </si>
  <si>
    <t>foundation</t>
  </si>
  <si>
    <t>death</t>
  </si>
  <si>
    <t>kaputten</t>
  </si>
  <si>
    <t>rüberkommen</t>
  </si>
  <si>
    <t>senor</t>
  </si>
  <si>
    <t>teilte</t>
  </si>
  <si>
    <t>einleiten</t>
  </si>
  <si>
    <t>gelder</t>
  </si>
  <si>
    <t>lizzy</t>
  </si>
  <si>
    <t>kommandeur</t>
  </si>
  <si>
    <t>demonstrieren</t>
  </si>
  <si>
    <t>vereinbaren</t>
  </si>
  <si>
    <t>tranken</t>
  </si>
  <si>
    <t>copyright</t>
  </si>
  <si>
    <t>ursula</t>
  </si>
  <si>
    <t>mitgekriegt</t>
  </si>
  <si>
    <t>perkins</t>
  </si>
  <si>
    <t>kakerlaken</t>
  </si>
  <si>
    <t>durchdacht</t>
  </si>
  <si>
    <t>westlichen</t>
  </si>
  <si>
    <t>waschmaschine</t>
  </si>
  <si>
    <t>shorts</t>
  </si>
  <si>
    <t>sehn</t>
  </si>
  <si>
    <t>dora</t>
  </si>
  <si>
    <t>vatikan</t>
  </si>
  <si>
    <t>ausgänge</t>
  </si>
  <si>
    <t>sausen</t>
  </si>
  <si>
    <t>moralisch</t>
  </si>
  <si>
    <t>krönung</t>
  </si>
  <si>
    <t>instinkte</t>
  </si>
  <si>
    <t>hü</t>
  </si>
  <si>
    <t>vernon</t>
  </si>
  <si>
    <t>hierhergekommen</t>
  </si>
  <si>
    <t>büffel</t>
  </si>
  <si>
    <t>geborene</t>
  </si>
  <si>
    <t>ausgebucht</t>
  </si>
  <si>
    <t>mitkommst</t>
  </si>
  <si>
    <t>irrsinn</t>
  </si>
  <si>
    <t>unterhalb</t>
  </si>
  <si>
    <t>tok</t>
  </si>
  <si>
    <t>vors</t>
  </si>
  <si>
    <t>jackett</t>
  </si>
  <si>
    <t>geraubt</t>
  </si>
  <si>
    <t>schwitzt</t>
  </si>
  <si>
    <t>ständer</t>
  </si>
  <si>
    <t>lot</t>
  </si>
  <si>
    <t>luna</t>
  </si>
  <si>
    <t>rolf</t>
  </si>
  <si>
    <t>hingefallen</t>
  </si>
  <si>
    <t>kessel</t>
  </si>
  <si>
    <t>jorge</t>
  </si>
  <si>
    <t>waffeln</t>
  </si>
  <si>
    <t>korrupt</t>
  </si>
  <si>
    <t>freiwilligen</t>
  </si>
  <si>
    <t>kartell</t>
  </si>
  <si>
    <t>ba</t>
  </si>
  <si>
    <t>kentucky</t>
  </si>
  <si>
    <t>nevada</t>
  </si>
  <si>
    <t>cap</t>
  </si>
  <si>
    <t>illinois</t>
  </si>
  <si>
    <t>wies</t>
  </si>
  <si>
    <t>trainiere</t>
  </si>
  <si>
    <t>bloom</t>
  </si>
  <si>
    <t>kreise</t>
  </si>
  <si>
    <t>raquel</t>
  </si>
  <si>
    <t>eiscreme</t>
  </si>
  <si>
    <t>heimweh</t>
  </si>
  <si>
    <t>four</t>
  </si>
  <si>
    <t>entschärfen</t>
  </si>
  <si>
    <t>spionin</t>
  </si>
  <si>
    <t>behielt</t>
  </si>
  <si>
    <t>einstecken</t>
  </si>
  <si>
    <t>franco</t>
  </si>
  <si>
    <t>wiedergeboren</t>
  </si>
  <si>
    <t>festgelegt</t>
  </si>
  <si>
    <t>wähler</t>
  </si>
  <si>
    <t>bürde</t>
  </si>
  <si>
    <t>models</t>
  </si>
  <si>
    <t>besorgte</t>
  </si>
  <si>
    <t>fetzen</t>
  </si>
  <si>
    <t>blute</t>
  </si>
  <si>
    <t>leidest</t>
  </si>
  <si>
    <t>blood</t>
  </si>
  <si>
    <t>shanghai</t>
  </si>
  <si>
    <t>trent</t>
  </si>
  <si>
    <t>brüssel</t>
  </si>
  <si>
    <t>vorgeschichte</t>
  </si>
  <si>
    <t>ninja</t>
  </si>
  <si>
    <t>großvaters</t>
  </si>
  <si>
    <t>sabrina</t>
  </si>
  <si>
    <t>rausschmeißen</t>
  </si>
  <si>
    <t>verleger</t>
  </si>
  <si>
    <t>genetische</t>
  </si>
  <si>
    <t>säge</t>
  </si>
  <si>
    <t>ansatz</t>
  </si>
  <si>
    <t>erlitt</t>
  </si>
  <si>
    <t>darstellt</t>
  </si>
  <si>
    <t>wohlauf</t>
  </si>
  <si>
    <t>allmächtiger</t>
  </si>
  <si>
    <t>mochtest</t>
  </si>
  <si>
    <t>verrecken</t>
  </si>
  <si>
    <t>verstoß</t>
  </si>
  <si>
    <t>weston</t>
  </si>
  <si>
    <t>treppenhaus</t>
  </si>
  <si>
    <t>leland</t>
  </si>
  <si>
    <t>notieren</t>
  </si>
  <si>
    <t>erwidern</t>
  </si>
  <si>
    <t>speicher</t>
  </si>
  <si>
    <t>rauskommst</t>
  </si>
  <si>
    <t>springfield</t>
  </si>
  <si>
    <t>sunny</t>
  </si>
  <si>
    <t>lokalisieren</t>
  </si>
  <si>
    <t>spence</t>
  </si>
  <si>
    <t>wangen</t>
  </si>
  <si>
    <t>aubrey</t>
  </si>
  <si>
    <t>periode</t>
  </si>
  <si>
    <t>beschatten</t>
  </si>
  <si>
    <t>höchster</t>
  </si>
  <si>
    <t>luc</t>
  </si>
  <si>
    <t>gehirnwäsche</t>
  </si>
  <si>
    <t>brothers</t>
  </si>
  <si>
    <t>stalker</t>
  </si>
  <si>
    <t>gleis</t>
  </si>
  <si>
    <t>erdnussbutter</t>
  </si>
  <si>
    <t>gallagher</t>
  </si>
  <si>
    <t>arnie</t>
  </si>
  <si>
    <t>antut</t>
  </si>
  <si>
    <t>wohnten</t>
  </si>
  <si>
    <t>nachschauen</t>
  </si>
  <si>
    <t>breite</t>
  </si>
  <si>
    <t>dot</t>
  </si>
  <si>
    <t>gespeichert</t>
  </si>
  <si>
    <t>verkleiden</t>
  </si>
  <si>
    <t>grauenhaft</t>
  </si>
  <si>
    <t>beobachtete</t>
  </si>
  <si>
    <t>wegzulaufen</t>
  </si>
  <si>
    <t>wiederfinden</t>
  </si>
  <si>
    <t>sinnvoll</t>
  </si>
  <si>
    <t>englands</t>
  </si>
  <si>
    <t>ostküste</t>
  </si>
  <si>
    <t>historischen</t>
  </si>
  <si>
    <t>scheich</t>
  </si>
  <si>
    <t>reparaturen</t>
  </si>
  <si>
    <t>ähnlichen</t>
  </si>
  <si>
    <t>aufgeschlitzt</t>
  </si>
  <si>
    <t>sanchez</t>
  </si>
  <si>
    <t>stecker</t>
  </si>
  <si>
    <t>republikaner</t>
  </si>
  <si>
    <t>gottesdienst</t>
  </si>
  <si>
    <t>weis</t>
  </si>
  <si>
    <t>charly</t>
  </si>
  <si>
    <t>türkei</t>
  </si>
  <si>
    <t>vollständige</t>
  </si>
  <si>
    <t>gebieter</t>
  </si>
  <si>
    <t>amerikanern</t>
  </si>
  <si>
    <t>schmutziges</t>
  </si>
  <si>
    <t>intelligente</t>
  </si>
  <si>
    <t>getauft</t>
  </si>
  <si>
    <t>soda</t>
  </si>
  <si>
    <t>einsatzbereit</t>
  </si>
  <si>
    <t>verliehen</t>
  </si>
  <si>
    <t>beton</t>
  </si>
  <si>
    <t>ausreichen</t>
  </si>
  <si>
    <t>untersuche</t>
  </si>
  <si>
    <t>robbins</t>
  </si>
  <si>
    <t>sabotage</t>
  </si>
  <si>
    <t>konsulat</t>
  </si>
  <si>
    <t>marta</t>
  </si>
  <si>
    <t>nimmer</t>
  </si>
  <si>
    <t>aufgeflogen</t>
  </si>
  <si>
    <t>ballons</t>
  </si>
  <si>
    <t>geburtstagsgeschenk</t>
  </si>
  <si>
    <t>micki</t>
  </si>
  <si>
    <t>fleming</t>
  </si>
  <si>
    <t>rotwein</t>
  </si>
  <si>
    <t>wagens</t>
  </si>
  <si>
    <t>blutes</t>
  </si>
  <si>
    <t>tausendmal</t>
  </si>
  <si>
    <t>fuller</t>
  </si>
  <si>
    <t>trab</t>
  </si>
  <si>
    <t>great</t>
  </si>
  <si>
    <t>hetero</t>
  </si>
  <si>
    <t>äußere</t>
  </si>
  <si>
    <t>gatten</t>
  </si>
  <si>
    <t>verlassenen</t>
  </si>
  <si>
    <t>sauberen</t>
  </si>
  <si>
    <t>berechtigt</t>
  </si>
  <si>
    <t>gunsten</t>
  </si>
  <si>
    <t>gefrühstückt</t>
  </si>
  <si>
    <t>trockenen</t>
  </si>
  <si>
    <t>taschengeld</t>
  </si>
  <si>
    <t>gespenster</t>
  </si>
  <si>
    <t>robby</t>
  </si>
  <si>
    <t>schenkel</t>
  </si>
  <si>
    <t>herzanfall</t>
  </si>
  <si>
    <t>downtown</t>
  </si>
  <si>
    <t>wirbelsäule</t>
  </si>
  <si>
    <t>curt</t>
  </si>
  <si>
    <t>genuss</t>
  </si>
  <si>
    <t>flyer</t>
  </si>
  <si>
    <t>reservierung</t>
  </si>
  <si>
    <t>gelübde</t>
  </si>
  <si>
    <t>dreien</t>
  </si>
  <si>
    <t>blutigen</t>
  </si>
  <si>
    <t>carroll</t>
  </si>
  <si>
    <t>notwendigkeit</t>
  </si>
  <si>
    <t>ichs</t>
  </si>
  <si>
    <t>rover</t>
  </si>
  <si>
    <t>rücksichtslos</t>
  </si>
  <si>
    <t>malik</t>
  </si>
  <si>
    <t>korn</t>
  </si>
  <si>
    <t>vermutungen</t>
  </si>
  <si>
    <t>dwight</t>
  </si>
  <si>
    <t>fülle</t>
  </si>
  <si>
    <t>walzer</t>
  </si>
  <si>
    <t>verstört</t>
  </si>
  <si>
    <t>zahlung</t>
  </si>
  <si>
    <t>fürsorge</t>
  </si>
  <si>
    <t>inspektion</t>
  </si>
  <si>
    <t>kennenlernte</t>
  </si>
  <si>
    <t>sauberes</t>
  </si>
  <si>
    <t>amulett</t>
  </si>
  <si>
    <t>neuerdings</t>
  </si>
  <si>
    <t>zusteht</t>
  </si>
  <si>
    <t>remington</t>
  </si>
  <si>
    <t>überholt</t>
  </si>
  <si>
    <t>vergossen</t>
  </si>
  <si>
    <t>wörtlich</t>
  </si>
  <si>
    <t>bereust</t>
  </si>
  <si>
    <t>platzieren</t>
  </si>
  <si>
    <t>parteien</t>
  </si>
  <si>
    <t>kontinent</t>
  </si>
  <si>
    <t>schweinehund</t>
  </si>
  <si>
    <t>university</t>
  </si>
  <si>
    <t>wachs</t>
  </si>
  <si>
    <t>eintrag</t>
  </si>
  <si>
    <t>lindern</t>
  </si>
  <si>
    <t>straßenseite</t>
  </si>
  <si>
    <t>geniale</t>
  </si>
  <si>
    <t>untertitelung</t>
  </si>
  <si>
    <t>hinstellen</t>
  </si>
  <si>
    <t>angekündigt</t>
  </si>
  <si>
    <t>meyer</t>
  </si>
  <si>
    <t>erfand</t>
  </si>
  <si>
    <t>treuer</t>
  </si>
  <si>
    <t>entsprechen</t>
  </si>
  <si>
    <t>aufladen</t>
  </si>
  <si>
    <t>blüht</t>
  </si>
  <si>
    <t>beule</t>
  </si>
  <si>
    <t>katz</t>
  </si>
  <si>
    <t>church</t>
  </si>
  <si>
    <t>sprachlos</t>
  </si>
  <si>
    <t>scan</t>
  </si>
  <si>
    <t>düster</t>
  </si>
  <si>
    <t>manuela</t>
  </si>
  <si>
    <t>emmett</t>
  </si>
  <si>
    <t>i.</t>
  </si>
  <si>
    <t>logische</t>
  </si>
  <si>
    <t>tapfere</t>
  </si>
  <si>
    <t>joghurt</t>
  </si>
  <si>
    <t>barrett</t>
  </si>
  <si>
    <t>biologie</t>
  </si>
  <si>
    <t>anwälten</t>
  </si>
  <si>
    <t>geschäftliches</t>
  </si>
  <si>
    <t>ellbogen</t>
  </si>
  <si>
    <t>widersetzt</t>
  </si>
  <si>
    <t>meth</t>
  </si>
  <si>
    <t>geklopft</t>
  </si>
  <si>
    <t>wright</t>
  </si>
  <si>
    <t>begrüßung</t>
  </si>
  <si>
    <t>steckten</t>
  </si>
  <si>
    <t>dauerhaft</t>
  </si>
  <si>
    <t>steuert</t>
  </si>
  <si>
    <t>windel</t>
  </si>
  <si>
    <t>älterer</t>
  </si>
  <si>
    <t>greife</t>
  </si>
  <si>
    <t>jeremiah</t>
  </si>
  <si>
    <t>blüte</t>
  </si>
  <si>
    <t>ehen</t>
  </si>
  <si>
    <t>repariere</t>
  </si>
  <si>
    <t>irving</t>
  </si>
  <si>
    <t>docks</t>
  </si>
  <si>
    <t>warnte</t>
  </si>
  <si>
    <t>überarbeitet</t>
  </si>
  <si>
    <t>jagte</t>
  </si>
  <si>
    <t>dörfer</t>
  </si>
  <si>
    <t>ungefährlich</t>
  </si>
  <si>
    <t>webber</t>
  </si>
  <si>
    <t>versorgung</t>
  </si>
  <si>
    <t>angenehmer</t>
  </si>
  <si>
    <t>wohler</t>
  </si>
  <si>
    <t>trey</t>
  </si>
  <si>
    <t>leila</t>
  </si>
  <si>
    <t>granaten</t>
  </si>
  <si>
    <t>verstreut</t>
  </si>
  <si>
    <t>spuckt</t>
  </si>
  <si>
    <t>deep</t>
  </si>
  <si>
    <t>bagdad</t>
  </si>
  <si>
    <t>wale</t>
  </si>
  <si>
    <t>tagesanbruch</t>
  </si>
  <si>
    <t>subbed</t>
  </si>
  <si>
    <t>interessierst</t>
  </si>
  <si>
    <t>franks</t>
  </si>
  <si>
    <t>berührte</t>
  </si>
  <si>
    <t>polizeiarbeit</t>
  </si>
  <si>
    <t>interessierte</t>
  </si>
  <si>
    <t>stottert</t>
  </si>
  <si>
    <t>beworben</t>
  </si>
  <si>
    <t>vorziehen</t>
  </si>
  <si>
    <t>türglocke</t>
  </si>
  <si>
    <t>kompletten</t>
  </si>
  <si>
    <t>abgeriegelt</t>
  </si>
  <si>
    <t>fenstern</t>
  </si>
  <si>
    <t>weilchen</t>
  </si>
  <si>
    <t>cary</t>
  </si>
  <si>
    <t>klammern</t>
  </si>
  <si>
    <t>ruck</t>
  </si>
  <si>
    <t>drückte</t>
  </si>
  <si>
    <t>beitragen</t>
  </si>
  <si>
    <t>offenes</t>
  </si>
  <si>
    <t>plündern</t>
  </si>
  <si>
    <t>wikinger</t>
  </si>
  <si>
    <t>abserviert</t>
  </si>
  <si>
    <t>gebührt</t>
  </si>
  <si>
    <t>padre</t>
  </si>
  <si>
    <t>geklingelt</t>
  </si>
  <si>
    <t>beschränkt</t>
  </si>
  <si>
    <t>betäuben</t>
  </si>
  <si>
    <t>nigga</t>
  </si>
  <si>
    <t>frankfurt</t>
  </si>
  <si>
    <t>prof.</t>
  </si>
  <si>
    <t>antiker</t>
  </si>
  <si>
    <t>mikrowelle</t>
  </si>
  <si>
    <t>herkommst</t>
  </si>
  <si>
    <t>ernster</t>
  </si>
  <si>
    <t>umgekommen</t>
  </si>
  <si>
    <t>coup</t>
  </si>
  <si>
    <t>mülleimer</t>
  </si>
  <si>
    <t>definieren</t>
  </si>
  <si>
    <t>malibu</t>
  </si>
  <si>
    <t>entwickelten</t>
  </si>
  <si>
    <t>buzz</t>
  </si>
  <si>
    <t>getrennte</t>
  </si>
  <si>
    <t>ausüben</t>
  </si>
  <si>
    <t>manöver</t>
  </si>
  <si>
    <t>verlängern</t>
  </si>
  <si>
    <t>schauspiel</t>
  </si>
  <si>
    <t>verehrt</t>
  </si>
  <si>
    <t>vers</t>
  </si>
  <si>
    <t>wag</t>
  </si>
  <si>
    <t>schenkst</t>
  </si>
  <si>
    <t>getreide</t>
  </si>
  <si>
    <t>empire</t>
  </si>
  <si>
    <t>zac</t>
  </si>
  <si>
    <t>sicherste</t>
  </si>
  <si>
    <t>fehlenden</t>
  </si>
  <si>
    <t>dummerchen</t>
  </si>
  <si>
    <t>bleistift</t>
  </si>
  <si>
    <t>wissens</t>
  </si>
  <si>
    <t>alejandro</t>
  </si>
  <si>
    <t>gänsehaut</t>
  </si>
  <si>
    <t>w.</t>
  </si>
  <si>
    <t>zurücknehmen</t>
  </si>
  <si>
    <t>magisch</t>
  </si>
  <si>
    <t>jungfrauen</t>
  </si>
  <si>
    <t>trommel</t>
  </si>
  <si>
    <t>ereignissen</t>
  </si>
  <si>
    <t>ahoi</t>
  </si>
  <si>
    <t>freundlichen</t>
  </si>
  <si>
    <t>üblen</t>
  </si>
  <si>
    <t>gebrannt</t>
  </si>
  <si>
    <t>verkündet</t>
  </si>
  <si>
    <t>skipper</t>
  </si>
  <si>
    <t>bestelle</t>
  </si>
  <si>
    <t>logo</t>
  </si>
  <si>
    <t>vitamine</t>
  </si>
  <si>
    <t>lover</t>
  </si>
  <si>
    <t>flachgelegt</t>
  </si>
  <si>
    <t>leroy</t>
  </si>
  <si>
    <t>abgesucht</t>
  </si>
  <si>
    <t>verblutet</t>
  </si>
  <si>
    <t>gerüchten</t>
  </si>
  <si>
    <t>örtliche</t>
  </si>
  <si>
    <t>verpfiffen</t>
  </si>
  <si>
    <t>rosalie</t>
  </si>
  <si>
    <t>wegzukommen</t>
  </si>
  <si>
    <t>express</t>
  </si>
  <si>
    <t>mitzukommen</t>
  </si>
  <si>
    <t>berühre</t>
  </si>
  <si>
    <t>blutvergießen</t>
  </si>
  <si>
    <t>weigerte</t>
  </si>
  <si>
    <t>puzzle</t>
  </si>
  <si>
    <t>diaz</t>
  </si>
  <si>
    <t>pure</t>
  </si>
  <si>
    <t>erwähne</t>
  </si>
  <si>
    <t>faulen</t>
  </si>
  <si>
    <t>gesündigt</t>
  </si>
  <si>
    <t>picasso</t>
  </si>
  <si>
    <t>streitkräfte</t>
  </si>
  <si>
    <t>flügeln</t>
  </si>
  <si>
    <t>bedeutungslos</t>
  </si>
  <si>
    <t>sperre</t>
  </si>
  <si>
    <t>psychopathen</t>
  </si>
  <si>
    <t>pfiff</t>
  </si>
  <si>
    <t>abgeordneter</t>
  </si>
  <si>
    <t>kritisieren</t>
  </si>
  <si>
    <t>krankes</t>
  </si>
  <si>
    <t>jüdische</t>
  </si>
  <si>
    <t>zornig</t>
  </si>
  <si>
    <t>briefen</t>
  </si>
  <si>
    <t>lili</t>
  </si>
  <si>
    <t>heiratsantrag</t>
  </si>
  <si>
    <t>ole</t>
  </si>
  <si>
    <t>gießen</t>
  </si>
  <si>
    <t>bestochen</t>
  </si>
  <si>
    <t>beweismaterial</t>
  </si>
  <si>
    <t>coleman</t>
  </si>
  <si>
    <t>religiös</t>
  </si>
  <si>
    <t>vermittelt</t>
  </si>
  <si>
    <t>arche</t>
  </si>
  <si>
    <t>elite</t>
  </si>
  <si>
    <t>fliegenden</t>
  </si>
  <si>
    <t>motiviert</t>
  </si>
  <si>
    <t>medikamenten</t>
  </si>
  <si>
    <t>schlank</t>
  </si>
  <si>
    <t>lorenzo</t>
  </si>
  <si>
    <t>befugnis</t>
  </si>
  <si>
    <t>lockhart</t>
  </si>
  <si>
    <t>johan</t>
  </si>
  <si>
    <t>regst</t>
  </si>
  <si>
    <t>beau</t>
  </si>
  <si>
    <t>fettes</t>
  </si>
  <si>
    <t>verhext</t>
  </si>
  <si>
    <t>todesurteil</t>
  </si>
  <si>
    <t>kaiserliche</t>
  </si>
  <si>
    <t>besorgst</t>
  </si>
  <si>
    <t>forschungen</t>
  </si>
  <si>
    <t>allie</t>
  </si>
  <si>
    <t>auszuziehen</t>
  </si>
  <si>
    <t>rutscht</t>
  </si>
  <si>
    <t>entwischen</t>
  </si>
  <si>
    <t>ringen</t>
  </si>
  <si>
    <t>ausgetrickst</t>
  </si>
  <si>
    <t>creme</t>
  </si>
  <si>
    <t>auszugeben</t>
  </si>
  <si>
    <t>clive</t>
  </si>
  <si>
    <t>why</t>
  </si>
  <si>
    <t>zurückzugeben</t>
  </si>
  <si>
    <t>fährte</t>
  </si>
  <si>
    <t>barbaren</t>
  </si>
  <si>
    <t>verzaubert</t>
  </si>
  <si>
    <t>coop</t>
  </si>
  <si>
    <t>interessanten</t>
  </si>
  <si>
    <t>rudern</t>
  </si>
  <si>
    <t>kriegte</t>
  </si>
  <si>
    <t>überquert</t>
  </si>
  <si>
    <t>ergangen</t>
  </si>
  <si>
    <t>neigen</t>
  </si>
  <si>
    <t>coco</t>
  </si>
  <si>
    <t>untergeht</t>
  </si>
  <si>
    <t>kunstwerk</t>
  </si>
  <si>
    <t>bodyguard</t>
  </si>
  <si>
    <t>behinderung</t>
  </si>
  <si>
    <t>blühen</t>
  </si>
  <si>
    <t>dünne</t>
  </si>
  <si>
    <t>kamm</t>
  </si>
  <si>
    <t>verwandlung</t>
  </si>
  <si>
    <t>hunderten</t>
  </si>
  <si>
    <t>antike</t>
  </si>
  <si>
    <t>warner</t>
  </si>
  <si>
    <t>pelz</t>
  </si>
  <si>
    <t>3-mal</t>
  </si>
  <si>
    <t>jemandes</t>
  </si>
  <si>
    <t>regenbogen</t>
  </si>
  <si>
    <t>zitieren</t>
  </si>
  <si>
    <t>verursachte</t>
  </si>
  <si>
    <t>zürich</t>
  </si>
  <si>
    <t>kippe</t>
  </si>
  <si>
    <t>blamieren</t>
  </si>
  <si>
    <t>chinatown</t>
  </si>
  <si>
    <t>programme</t>
  </si>
  <si>
    <t>nottingham</t>
  </si>
  <si>
    <t>pate</t>
  </si>
  <si>
    <t>inszeniert</t>
  </si>
  <si>
    <t>vorenthalten</t>
  </si>
  <si>
    <t>freigabe</t>
  </si>
  <si>
    <t>beidem</t>
  </si>
  <si>
    <t>differenzen</t>
  </si>
  <si>
    <t>außergewöhnliches</t>
  </si>
  <si>
    <t>beteiligten</t>
  </si>
  <si>
    <t>neville</t>
  </si>
  <si>
    <t>springer</t>
  </si>
  <si>
    <t>angus</t>
  </si>
  <si>
    <t>grosser</t>
  </si>
  <si>
    <t>übungen</t>
  </si>
  <si>
    <t>mittelalter</t>
  </si>
  <si>
    <t>skript</t>
  </si>
  <si>
    <t>simulation</t>
  </si>
  <si>
    <t>stockwerke</t>
  </si>
  <si>
    <t>strahl</t>
  </si>
  <si>
    <t>circa</t>
  </si>
  <si>
    <t>überlässt</t>
  </si>
  <si>
    <t>bye-bye</t>
  </si>
  <si>
    <t>starling</t>
  </si>
  <si>
    <t>feng</t>
  </si>
  <si>
    <t>geschadet</t>
  </si>
  <si>
    <t>geldbeutel</t>
  </si>
  <si>
    <t>obere</t>
  </si>
  <si>
    <t>glücksbringer</t>
  </si>
  <si>
    <t>adolf</t>
  </si>
  <si>
    <t>fowler</t>
  </si>
  <si>
    <t>spitz</t>
  </si>
  <si>
    <t>vargas</t>
  </si>
  <si>
    <t>motivation</t>
  </si>
  <si>
    <t>abwesend</t>
  </si>
  <si>
    <t>gunnar</t>
  </si>
  <si>
    <t>viper</t>
  </si>
  <si>
    <t>zerquetscht</t>
  </si>
  <si>
    <t>stetson</t>
  </si>
  <si>
    <t>pisser</t>
  </si>
  <si>
    <t>konferenzraum</t>
  </si>
  <si>
    <t>declan</t>
  </si>
  <si>
    <t>weitergegeben</t>
  </si>
  <si>
    <t>malte</t>
  </si>
  <si>
    <t>draufgehen</t>
  </si>
  <si>
    <t>davey</t>
  </si>
  <si>
    <t>beteiligen</t>
  </si>
  <si>
    <t>whoo</t>
  </si>
  <si>
    <t>castiel</t>
  </si>
  <si>
    <t>unverschämtheit</t>
  </si>
  <si>
    <t>plattform</t>
  </si>
  <si>
    <t>mexikanischen</t>
  </si>
  <si>
    <t>phyllis</t>
  </si>
  <si>
    <t>bündnis</t>
  </si>
  <si>
    <t>kripo</t>
  </si>
  <si>
    <t>benachrichtigt</t>
  </si>
  <si>
    <t>beunruhigend</t>
  </si>
  <si>
    <t>vernachlässigt</t>
  </si>
  <si>
    <t>europas</t>
  </si>
  <si>
    <t>schnellsten</t>
  </si>
  <si>
    <t>küken</t>
  </si>
  <si>
    <t>could</t>
  </si>
  <si>
    <t>yacht</t>
  </si>
  <si>
    <t>feines</t>
  </si>
  <si>
    <t>kutscher</t>
  </si>
  <si>
    <t>lagerraum</t>
  </si>
  <si>
    <t>parasiten</t>
  </si>
  <si>
    <t>erhalte</t>
  </si>
  <si>
    <t>landest</t>
  </si>
  <si>
    <t>olaf</t>
  </si>
  <si>
    <t>ferrari</t>
  </si>
  <si>
    <t>spieß</t>
  </si>
  <si>
    <t>blickt</t>
  </si>
  <si>
    <t>helga</t>
  </si>
  <si>
    <t>bluebell</t>
  </si>
  <si>
    <t>give</t>
  </si>
  <si>
    <t>stalag</t>
  </si>
  <si>
    <t>knete</t>
  </si>
  <si>
    <t>ripper</t>
  </si>
  <si>
    <t>wissenschaftlichen</t>
  </si>
  <si>
    <t>leeres</t>
  </si>
  <si>
    <t>demnach</t>
  </si>
  <si>
    <t>really</t>
  </si>
  <si>
    <t>planänderung</t>
  </si>
  <si>
    <t>hinkommen</t>
  </si>
  <si>
    <t>leichtsinnig</t>
  </si>
  <si>
    <t>dreckiges</t>
  </si>
  <si>
    <t>jennings</t>
  </si>
  <si>
    <t>zufälligerweise</t>
  </si>
  <si>
    <t>verpasste</t>
  </si>
  <si>
    <t>gesetzen</t>
  </si>
  <si>
    <t>aufseher</t>
  </si>
  <si>
    <t>geheimer</t>
  </si>
  <si>
    <t>jugendamt</t>
  </si>
  <si>
    <t>horde</t>
  </si>
  <si>
    <t>reisende</t>
  </si>
  <si>
    <t>darwin</t>
  </si>
  <si>
    <t>schmetterlinge</t>
  </si>
  <si>
    <t>sehnen</t>
  </si>
  <si>
    <t>geschmiert</t>
  </si>
  <si>
    <t>buchanan</t>
  </si>
  <si>
    <t>mutige</t>
  </si>
  <si>
    <t>doppelgänger</t>
  </si>
  <si>
    <t>treff</t>
  </si>
  <si>
    <t>kinderzimmer</t>
  </si>
  <si>
    <t>stacey</t>
  </si>
  <si>
    <t>vorführen</t>
  </si>
  <si>
    <t>gesindel</t>
  </si>
  <si>
    <t>vorwarnung</t>
  </si>
  <si>
    <t>astrid</t>
  </si>
  <si>
    <t>wählerisch</t>
  </si>
  <si>
    <t>beschleunigt</t>
  </si>
  <si>
    <t>charleston</t>
  </si>
  <si>
    <t>einschätzung</t>
  </si>
  <si>
    <t>best</t>
  </si>
  <si>
    <t>vorspielen</t>
  </si>
  <si>
    <t>dorfbewohner</t>
  </si>
  <si>
    <t>superheld</t>
  </si>
  <si>
    <t>stationen</t>
  </si>
  <si>
    <t>beihilfe</t>
  </si>
  <si>
    <t>erlöst</t>
  </si>
  <si>
    <t>unkraut</t>
  </si>
  <si>
    <t>flüchtig</t>
  </si>
  <si>
    <t>renovieren</t>
  </si>
  <si>
    <t>verheirateten</t>
  </si>
  <si>
    <t>pearson</t>
  </si>
  <si>
    <t>stützen</t>
  </si>
  <si>
    <t>nachweisen</t>
  </si>
  <si>
    <t>sierra</t>
  </si>
  <si>
    <t>forbes</t>
  </si>
  <si>
    <t>ruinierst</t>
  </si>
  <si>
    <t>kaplan</t>
  </si>
  <si>
    <t>pepper</t>
  </si>
  <si>
    <t>ms</t>
  </si>
  <si>
    <t>then</t>
  </si>
  <si>
    <t>auszusagen</t>
  </si>
  <si>
    <t>elfen</t>
  </si>
  <si>
    <t>ehepaar</t>
  </si>
  <si>
    <t>objektiv</t>
  </si>
  <si>
    <t>spür</t>
  </si>
  <si>
    <t>gefordert</t>
  </si>
  <si>
    <t>zumute</t>
  </si>
  <si>
    <t>vorliebe</t>
  </si>
  <si>
    <t>kathryn</t>
  </si>
  <si>
    <t>iwan</t>
  </si>
  <si>
    <t>about</t>
  </si>
  <si>
    <t>denny</t>
  </si>
  <si>
    <t>durchgebrannt</t>
  </si>
  <si>
    <t>planst</t>
  </si>
  <si>
    <t>paranoia</t>
  </si>
  <si>
    <t>ai</t>
  </si>
  <si>
    <t>zivilisationen</t>
  </si>
  <si>
    <t>vous</t>
  </si>
  <si>
    <t>abfeuern</t>
  </si>
  <si>
    <t>erstmals</t>
  </si>
  <si>
    <t>seufzen</t>
  </si>
  <si>
    <t>verübeln</t>
  </si>
  <si>
    <t>erleuchtung</t>
  </si>
  <si>
    <t>erfolgreicher</t>
  </si>
  <si>
    <t>schäm</t>
  </si>
  <si>
    <t>irgendwoher</t>
  </si>
  <si>
    <t>unterhalt</t>
  </si>
  <si>
    <t>vormund</t>
  </si>
  <si>
    <t>kommunist</t>
  </si>
  <si>
    <t>hobbs</t>
  </si>
  <si>
    <t>draper</t>
  </si>
  <si>
    <t>murmelt</t>
  </si>
  <si>
    <t>wohle</t>
  </si>
  <si>
    <t>hinterlasse</t>
  </si>
  <si>
    <t>wundervolles</t>
  </si>
  <si>
    <t>feuerwehrmann</t>
  </si>
  <si>
    <t>kopfhörer</t>
  </si>
  <si>
    <t>austern</t>
  </si>
  <si>
    <t>juwel</t>
  </si>
  <si>
    <t>abgefangen</t>
  </si>
  <si>
    <t>zugreifen</t>
  </si>
  <si>
    <t>musical</t>
  </si>
  <si>
    <t>charming</t>
  </si>
  <si>
    <t>delphine</t>
  </si>
  <si>
    <t>webster</t>
  </si>
  <si>
    <t>wiener</t>
  </si>
  <si>
    <t>griechischen</t>
  </si>
  <si>
    <t>gemahl</t>
  </si>
  <si>
    <t>appartement</t>
  </si>
  <si>
    <t>sekt</t>
  </si>
  <si>
    <t>zerstörten</t>
  </si>
  <si>
    <t>entschädigung</t>
  </si>
  <si>
    <t>reiz</t>
  </si>
  <si>
    <t>längere</t>
  </si>
  <si>
    <t>expertin</t>
  </si>
  <si>
    <t>via</t>
  </si>
  <si>
    <t>uhm</t>
  </si>
  <si>
    <t>d.h.</t>
  </si>
  <si>
    <t>handle</t>
  </si>
  <si>
    <t>palace</t>
  </si>
  <si>
    <t>gatte</t>
  </si>
  <si>
    <t>brummt</t>
  </si>
  <si>
    <t>schriften</t>
  </si>
  <si>
    <t>überblick</t>
  </si>
  <si>
    <t>keep</t>
  </si>
  <si>
    <t>lebensstil</t>
  </si>
  <si>
    <t>eingetreten</t>
  </si>
  <si>
    <t>vertauscht</t>
  </si>
  <si>
    <t>weltmeister</t>
  </si>
  <si>
    <t>unterschiede</t>
  </si>
  <si>
    <t>wesentliche</t>
  </si>
  <si>
    <t>deals</t>
  </si>
  <si>
    <t>gemischt</t>
  </si>
  <si>
    <t>gruft</t>
  </si>
  <si>
    <t>steigern</t>
  </si>
  <si>
    <t>handbuch</t>
  </si>
  <si>
    <t>savannah</t>
  </si>
  <si>
    <t>too</t>
  </si>
  <si>
    <t>maine</t>
  </si>
  <si>
    <t>heirateten</t>
  </si>
  <si>
    <t>lutschen</t>
  </si>
  <si>
    <t>milde</t>
  </si>
  <si>
    <t>formulare</t>
  </si>
  <si>
    <t>perfektion</t>
  </si>
  <si>
    <t>haufenweise</t>
  </si>
  <si>
    <t>scheppern</t>
  </si>
  <si>
    <t>dollars</t>
  </si>
  <si>
    <t>wissenschaftlich</t>
  </si>
  <si>
    <t>walters</t>
  </si>
  <si>
    <t>jessi</t>
  </si>
  <si>
    <t>buben</t>
  </si>
  <si>
    <t>kaufhaus</t>
  </si>
  <si>
    <t>erweist</t>
  </si>
  <si>
    <t>zusammengebrochen</t>
  </si>
  <si>
    <t>fakultät</t>
  </si>
  <si>
    <t>leitete</t>
  </si>
  <si>
    <t>möpse</t>
  </si>
  <si>
    <t>überfällig</t>
  </si>
  <si>
    <t>luzifer</t>
  </si>
  <si>
    <t>beantragt</t>
  </si>
  <si>
    <t>präsentiere</t>
  </si>
  <si>
    <t>französischer</t>
  </si>
  <si>
    <t>lokalen</t>
  </si>
  <si>
    <t>dringende</t>
  </si>
  <si>
    <t>empfand</t>
  </si>
  <si>
    <t>angestarrt</t>
  </si>
  <si>
    <t>schlagzeile</t>
  </si>
  <si>
    <t>genies</t>
  </si>
  <si>
    <t>moira</t>
  </si>
  <si>
    <t>genannten</t>
  </si>
  <si>
    <t>kacken</t>
  </si>
  <si>
    <t>streichholz</t>
  </si>
  <si>
    <t>favorit</t>
  </si>
  <si>
    <t>gnädiger</t>
  </si>
  <si>
    <t>hold</t>
  </si>
  <si>
    <t>verwalter</t>
  </si>
  <si>
    <t>forderung</t>
  </si>
  <si>
    <t>ehefrauen</t>
  </si>
  <si>
    <t>heft</t>
  </si>
  <si>
    <t>banner</t>
  </si>
  <si>
    <t>erwürgen</t>
  </si>
  <si>
    <t>tragische</t>
  </si>
  <si>
    <t>rechter</t>
  </si>
  <si>
    <t>organismus</t>
  </si>
  <si>
    <t>potential</t>
  </si>
  <si>
    <t>schnellstens</t>
  </si>
  <si>
    <t>zurechtkommen</t>
  </si>
  <si>
    <t>kontrolliere</t>
  </si>
  <si>
    <t>veranlassen</t>
  </si>
  <si>
    <t>hingehe</t>
  </si>
  <si>
    <t>vorladung</t>
  </si>
  <si>
    <t>himmlisch</t>
  </si>
  <si>
    <t>sowjetunion</t>
  </si>
  <si>
    <t>verheilt</t>
  </si>
  <si>
    <t>sicheres</t>
  </si>
  <si>
    <t>misshandelt</t>
  </si>
  <si>
    <t>unterbringen</t>
  </si>
  <si>
    <t>erlösen</t>
  </si>
  <si>
    <t>abgereist</t>
  </si>
  <si>
    <t>lebensversicherung</t>
  </si>
  <si>
    <t>part</t>
  </si>
  <si>
    <t>meisterschaft</t>
  </si>
  <si>
    <t>kantine</t>
  </si>
  <si>
    <t>bürgermeisters</t>
  </si>
  <si>
    <t>aufgeweckt</t>
  </si>
  <si>
    <t>erkunden</t>
  </si>
  <si>
    <t>verwundbar</t>
  </si>
  <si>
    <t>zufügen</t>
  </si>
  <si>
    <t>gekonnt</t>
  </si>
  <si>
    <t>erbaut</t>
  </si>
  <si>
    <t>almosen</t>
  </si>
  <si>
    <t>sagtet</t>
  </si>
  <si>
    <t>memo</t>
  </si>
  <si>
    <t>beleidigend</t>
  </si>
  <si>
    <t>vergnügt</t>
  </si>
  <si>
    <t>abgebrannt</t>
  </si>
  <si>
    <t>wischen</t>
  </si>
  <si>
    <t>geistige</t>
  </si>
  <si>
    <t>rückendeckung</t>
  </si>
  <si>
    <t>mcdonald</t>
  </si>
  <si>
    <t>agents</t>
  </si>
  <si>
    <t>haustiere</t>
  </si>
  <si>
    <t>geeinigt</t>
  </si>
  <si>
    <t>hansen</t>
  </si>
  <si>
    <t>penthouse</t>
  </si>
  <si>
    <t>cassandra</t>
  </si>
  <si>
    <t>brauchtest</t>
  </si>
  <si>
    <t>masche</t>
  </si>
  <si>
    <t>vampiren</t>
  </si>
  <si>
    <t>montreal</t>
  </si>
  <si>
    <t>angenehmen</t>
  </si>
  <si>
    <t>dope</t>
  </si>
  <si>
    <t>serge</t>
  </si>
  <si>
    <t>beladen</t>
  </si>
  <si>
    <t>abliefern</t>
  </si>
  <si>
    <t>erhofft</t>
  </si>
  <si>
    <t>rauskomme</t>
  </si>
  <si>
    <t>sterblichen</t>
  </si>
  <si>
    <t>esszimmer</t>
  </si>
  <si>
    <t>sabotieren</t>
  </si>
  <si>
    <t>stalin</t>
  </si>
  <si>
    <t>minnie</t>
  </si>
  <si>
    <t>außenwelt</t>
  </si>
  <si>
    <t>ignoriere</t>
  </si>
  <si>
    <t>patriot</t>
  </si>
  <si>
    <t>vögelt</t>
  </si>
  <si>
    <t>gehaltserhöhung</t>
  </si>
  <si>
    <t>everett</t>
  </si>
  <si>
    <t>ss</t>
  </si>
  <si>
    <t>verblüffend</t>
  </si>
  <si>
    <t>ferdinand</t>
  </si>
  <si>
    <t>erlaubte</t>
  </si>
  <si>
    <t>sitzungen</t>
  </si>
  <si>
    <t>erbsen</t>
  </si>
  <si>
    <t>gangs</t>
  </si>
  <si>
    <t>kreuzfahrt</t>
  </si>
  <si>
    <t>schilder</t>
  </si>
  <si>
    <t>servus</t>
  </si>
  <si>
    <t>klon</t>
  </si>
  <si>
    <t>chcyan</t>
  </si>
  <si>
    <t>dea</t>
  </si>
  <si>
    <t>illusionen</t>
  </si>
  <si>
    <t>augenzeugen</t>
  </si>
  <si>
    <t>ärztliche</t>
  </si>
  <si>
    <t>krypton</t>
  </si>
  <si>
    <t>einsetzt</t>
  </si>
  <si>
    <t>would</t>
  </si>
  <si>
    <t>homeland</t>
  </si>
  <si>
    <t>kläre</t>
  </si>
  <si>
    <t>auszuführen</t>
  </si>
  <si>
    <t>triebwerke</t>
  </si>
  <si>
    <t>verabreicht</t>
  </si>
  <si>
    <t>app</t>
  </si>
  <si>
    <t>lisbon</t>
  </si>
  <si>
    <t>anerkannt</t>
  </si>
  <si>
    <t>cobb</t>
  </si>
  <si>
    <t>ko</t>
  </si>
  <si>
    <t>aufbringen</t>
  </si>
  <si>
    <t>anstarren</t>
  </si>
  <si>
    <t>emilio</t>
  </si>
  <si>
    <t>zimmern</t>
  </si>
  <si>
    <t>briggs</t>
  </si>
  <si>
    <t>katholisch</t>
  </si>
  <si>
    <t>barcelona</t>
  </si>
  <si>
    <t>seile</t>
  </si>
  <si>
    <t>schacht</t>
  </si>
  <si>
    <t>luisa</t>
  </si>
  <si>
    <t>geiler</t>
  </si>
  <si>
    <t>wachstum</t>
  </si>
  <si>
    <t>donut</t>
  </si>
  <si>
    <t>zufriedenheit</t>
  </si>
  <si>
    <t>wood</t>
  </si>
  <si>
    <t>weide</t>
  </si>
  <si>
    <t>vicki</t>
  </si>
  <si>
    <t>bowling</t>
  </si>
  <si>
    <t>lawson</t>
  </si>
  <si>
    <t>beitreten</t>
  </si>
  <si>
    <t>ekel</t>
  </si>
  <si>
    <t>physisch</t>
  </si>
  <si>
    <t>maße</t>
  </si>
  <si>
    <t>gewundert</t>
  </si>
  <si>
    <t>roller</t>
  </si>
  <si>
    <t>st</t>
  </si>
  <si>
    <t>speisekarte</t>
  </si>
  <si>
    <t>zurückschicken</t>
  </si>
  <si>
    <t>enthüllen</t>
  </si>
  <si>
    <t>bescheidenheit</t>
  </si>
  <si>
    <t>verbrenne</t>
  </si>
  <si>
    <t>übersee</t>
  </si>
  <si>
    <t>jesu</t>
  </si>
  <si>
    <t>ori</t>
  </si>
  <si>
    <t>londoner</t>
  </si>
  <si>
    <t>hinhalten</t>
  </si>
  <si>
    <t>trauriges</t>
  </si>
  <si>
    <t>orangen</t>
  </si>
  <si>
    <t>schutzengel</t>
  </si>
  <si>
    <t>yankee</t>
  </si>
  <si>
    <t>bewerben</t>
  </si>
  <si>
    <t>weizen</t>
  </si>
  <si>
    <t>gips</t>
  </si>
  <si>
    <t>siedlung</t>
  </si>
  <si>
    <t>eigenschaft</t>
  </si>
  <si>
    <t>kröten</t>
  </si>
  <si>
    <t>geweiht</t>
  </si>
  <si>
    <t>hochzeitsreise</t>
  </si>
  <si>
    <t>jace</t>
  </si>
  <si>
    <t>sayid</t>
  </si>
  <si>
    <t>wahrhaft</t>
  </si>
  <si>
    <t>preisen</t>
  </si>
  <si>
    <t>betreibt</t>
  </si>
  <si>
    <t>höllisch</t>
  </si>
  <si>
    <t>überreichen</t>
  </si>
  <si>
    <t>piggy</t>
  </si>
  <si>
    <t>ching</t>
  </si>
  <si>
    <t>elternteil</t>
  </si>
  <si>
    <t>ay</t>
  </si>
  <si>
    <t>fallenlassen</t>
  </si>
  <si>
    <t>medizinisches</t>
  </si>
  <si>
    <t>barrow</t>
  </si>
  <si>
    <t>swan</t>
  </si>
  <si>
    <t>skalpell</t>
  </si>
  <si>
    <t>abmarsch</t>
  </si>
  <si>
    <t>verteidige</t>
  </si>
  <si>
    <t>floß</t>
  </si>
  <si>
    <t>geistigen</t>
  </si>
  <si>
    <t>tournee</t>
  </si>
  <si>
    <t>entzündet</t>
  </si>
  <si>
    <t>porträt</t>
  </si>
  <si>
    <t>angeschrien</t>
  </si>
  <si>
    <t>seavers</t>
  </si>
  <si>
    <t>sauberer</t>
  </si>
  <si>
    <t>asyl</t>
  </si>
  <si>
    <t>verachten</t>
  </si>
  <si>
    <t>passenden</t>
  </si>
  <si>
    <t>jenes</t>
  </si>
  <si>
    <t>schockierend</t>
  </si>
  <si>
    <t>eliot</t>
  </si>
  <si>
    <t>plötzliche</t>
  </si>
  <si>
    <t>saloon</t>
  </si>
  <si>
    <t>ausatmen</t>
  </si>
  <si>
    <t>ops</t>
  </si>
  <si>
    <t>vorgelesen</t>
  </si>
  <si>
    <t>atelier</t>
  </si>
  <si>
    <t>bessern</t>
  </si>
  <si>
    <t>yuki</t>
  </si>
  <si>
    <t>rafael</t>
  </si>
  <si>
    <t>tyson</t>
  </si>
  <si>
    <t>league</t>
  </si>
  <si>
    <t>spucke</t>
  </si>
  <si>
    <t>seymour</t>
  </si>
  <si>
    <t>unglaubliches</t>
  </si>
  <si>
    <t>pinguin</t>
  </si>
  <si>
    <t>lords</t>
  </si>
  <si>
    <t>festival</t>
  </si>
  <si>
    <t>notar</t>
  </si>
  <si>
    <t>sterbenden</t>
  </si>
  <si>
    <t>anfühlen</t>
  </si>
  <si>
    <t>durchschauen</t>
  </si>
  <si>
    <t>cheeseburger</t>
  </si>
  <si>
    <t>schlappschwanz</t>
  </si>
  <si>
    <t>lapd</t>
  </si>
  <si>
    <t>täten</t>
  </si>
  <si>
    <t>strümpfe</t>
  </si>
  <si>
    <t>usw.</t>
  </si>
  <si>
    <t>holden</t>
  </si>
  <si>
    <t>cookie</t>
  </si>
  <si>
    <t>kräuter</t>
  </si>
  <si>
    <t>ade</t>
  </si>
  <si>
    <t>kleinstadt</t>
  </si>
  <si>
    <t>markieren</t>
  </si>
  <si>
    <t>sd-6</t>
  </si>
  <si>
    <t>justizministerium</t>
  </si>
  <si>
    <t>verborgenen</t>
  </si>
  <si>
    <t>harald</t>
  </si>
  <si>
    <t>offenbart</t>
  </si>
  <si>
    <t>abfindung</t>
  </si>
  <si>
    <t>surren</t>
  </si>
  <si>
    <t>hausarbeit</t>
  </si>
  <si>
    <t>lautete</t>
  </si>
  <si>
    <t>cocktails</t>
  </si>
  <si>
    <t>nervenzusammenbruch</t>
  </si>
  <si>
    <t>vierzig</t>
  </si>
  <si>
    <t>waschbecken</t>
  </si>
  <si>
    <t>dümmste</t>
  </si>
  <si>
    <t>abseits</t>
  </si>
  <si>
    <t>francesca</t>
  </si>
  <si>
    <t>szenario</t>
  </si>
  <si>
    <t>rip</t>
  </si>
  <si>
    <t>jahrgang</t>
  </si>
  <si>
    <t>haube</t>
  </si>
  <si>
    <t>claus</t>
  </si>
  <si>
    <t>anschnallen</t>
  </si>
  <si>
    <t>flöte</t>
  </si>
  <si>
    <t>störst</t>
  </si>
  <si>
    <t>stücken</t>
  </si>
  <si>
    <t>room</t>
  </si>
  <si>
    <t>verfolgst</t>
  </si>
  <si>
    <t>russischer</t>
  </si>
  <si>
    <t>lambert</t>
  </si>
  <si>
    <t>verwende</t>
  </si>
  <si>
    <t>jeb</t>
  </si>
  <si>
    <t>eskorte</t>
  </si>
  <si>
    <t>fehl</t>
  </si>
  <si>
    <t>gebumst</t>
  </si>
  <si>
    <t>feen</t>
  </si>
  <si>
    <t>solomon</t>
  </si>
  <si>
    <t>alberne</t>
  </si>
  <si>
    <t>nippel</t>
  </si>
  <si>
    <t>balken</t>
  </si>
  <si>
    <t>cheerleader</t>
  </si>
  <si>
    <t>pc</t>
  </si>
  <si>
    <t>dranbleiben</t>
  </si>
  <si>
    <t>acker</t>
  </si>
  <si>
    <t>medizinisch</t>
  </si>
  <si>
    <t>zusammenreißen</t>
  </si>
  <si>
    <t>bekloppt</t>
  </si>
  <si>
    <t>takt</t>
  </si>
  <si>
    <t>vollbringen</t>
  </si>
  <si>
    <t>menü</t>
  </si>
  <si>
    <t>wiedergutmachung</t>
  </si>
  <si>
    <t>pasta</t>
  </si>
  <si>
    <t>schlimmere</t>
  </si>
  <si>
    <t>edna</t>
  </si>
  <si>
    <t>reyes</t>
  </si>
  <si>
    <t>andersrum</t>
  </si>
  <si>
    <t>frieren</t>
  </si>
  <si>
    <t>unverletzt</t>
  </si>
  <si>
    <t>langweilige</t>
  </si>
  <si>
    <t>treib</t>
  </si>
  <si>
    <t>genehmigen</t>
  </si>
  <si>
    <t>kluges</t>
  </si>
  <si>
    <t>mutters</t>
  </si>
  <si>
    <t>barton</t>
  </si>
  <si>
    <t>schmilzt</t>
  </si>
  <si>
    <t>stinksauer</t>
  </si>
  <si>
    <t>schwesterchen</t>
  </si>
  <si>
    <t>psychologische</t>
  </si>
  <si>
    <t>befunden</t>
  </si>
  <si>
    <t>clare</t>
  </si>
  <si>
    <t>neigt</t>
  </si>
  <si>
    <t>hebamme</t>
  </si>
  <si>
    <t>verteidigungsministerium</t>
  </si>
  <si>
    <t>tau</t>
  </si>
  <si>
    <t>schwarzmarkt</t>
  </si>
  <si>
    <t>vollendet</t>
  </si>
  <si>
    <t>ausgehalten</t>
  </si>
  <si>
    <t>akku</t>
  </si>
  <si>
    <t>inder</t>
  </si>
  <si>
    <t>lächerlichen</t>
  </si>
  <si>
    <t>vortäuschen</t>
  </si>
  <si>
    <t>hetzen</t>
  </si>
  <si>
    <t>vorgeben</t>
  </si>
  <si>
    <t>trennten</t>
  </si>
  <si>
    <t>saunders</t>
  </si>
  <si>
    <t>sterbt</t>
  </si>
  <si>
    <t>tollste</t>
  </si>
  <si>
    <t>verträgt</t>
  </si>
  <si>
    <t>unmittelbar</t>
  </si>
  <si>
    <t>erhängt</t>
  </si>
  <si>
    <t>hinab</t>
  </si>
  <si>
    <t>ausserdem</t>
  </si>
  <si>
    <t>albernen</t>
  </si>
  <si>
    <t>grässlich</t>
  </si>
  <si>
    <t>aufgibt</t>
  </si>
  <si>
    <t>legion</t>
  </si>
  <si>
    <t>dimitri</t>
  </si>
  <si>
    <t>gekränkt</t>
  </si>
  <si>
    <t>gelegenheiten</t>
  </si>
  <si>
    <t>beabsichtigt</t>
  </si>
  <si>
    <t>kostenlose</t>
  </si>
  <si>
    <t>nachvollziehen</t>
  </si>
  <si>
    <t>alltag</t>
  </si>
  <si>
    <t>gebadet</t>
  </si>
  <si>
    <t>einwandfrei</t>
  </si>
  <si>
    <t>zusammengeschlagen</t>
  </si>
  <si>
    <t>schlampig</t>
  </si>
  <si>
    <t>glückwünsche</t>
  </si>
  <si>
    <t>shadow</t>
  </si>
  <si>
    <t>alabama</t>
  </si>
  <si>
    <t>attraktive</t>
  </si>
  <si>
    <t>umbrachte</t>
  </si>
  <si>
    <t>kolumbien</t>
  </si>
  <si>
    <t>forrest</t>
  </si>
  <si>
    <t>zurückzubekommen</t>
  </si>
  <si>
    <t>fitnessstudio</t>
  </si>
  <si>
    <t>item</t>
  </si>
  <si>
    <t>zelten</t>
  </si>
  <si>
    <t>behaupte</t>
  </si>
  <si>
    <t>wichtigere</t>
  </si>
  <si>
    <t>freiraum</t>
  </si>
  <si>
    <t>verjagt</t>
  </si>
  <si>
    <t>crusher</t>
  </si>
  <si>
    <t>prometheus</t>
  </si>
  <si>
    <t>schmoren</t>
  </si>
  <si>
    <t>komplimente</t>
  </si>
  <si>
    <t>mahl</t>
  </si>
  <si>
    <t>fässer</t>
  </si>
  <si>
    <t>schluckt</t>
  </si>
  <si>
    <t>oklahoma</t>
  </si>
  <si>
    <t>schaufeln</t>
  </si>
  <si>
    <t>krokodil</t>
  </si>
  <si>
    <t>botschaften</t>
  </si>
  <si>
    <t>music</t>
  </si>
  <si>
    <t>hola</t>
  </si>
  <si>
    <t>ehrlichen</t>
  </si>
  <si>
    <t>auslassen</t>
  </si>
  <si>
    <t>unpassend</t>
  </si>
  <si>
    <t>ausgegraben</t>
  </si>
  <si>
    <t>bellamy</t>
  </si>
  <si>
    <t>auszusetzen</t>
  </si>
  <si>
    <t>übergang</t>
  </si>
  <si>
    <t>turbo</t>
  </si>
  <si>
    <t>addison</t>
  </si>
  <si>
    <t>ankündigung</t>
  </si>
  <si>
    <t>gewöhn</t>
  </si>
  <si>
    <t>silvia</t>
  </si>
  <si>
    <t>burkhalter</t>
  </si>
  <si>
    <t>religiösen</t>
  </si>
  <si>
    <t>selbstverteidigung</t>
  </si>
  <si>
    <t>storm</t>
  </si>
  <si>
    <t>angesteckt</t>
  </si>
  <si>
    <t>bedauerlicherweise</t>
  </si>
  <si>
    <t>auserwählte</t>
  </si>
  <si>
    <t>pipi</t>
  </si>
  <si>
    <t>eliminiert</t>
  </si>
  <si>
    <t>leah</t>
  </si>
  <si>
    <t>sitte</t>
  </si>
  <si>
    <t>rene</t>
  </si>
  <si>
    <t>tate</t>
  </si>
  <si>
    <t>byron</t>
  </si>
  <si>
    <t>philly</t>
  </si>
  <si>
    <t>erlaubst</t>
  </si>
  <si>
    <t>cohen</t>
  </si>
  <si>
    <t>größtenteils</t>
  </si>
  <si>
    <t>darstellung</t>
  </si>
  <si>
    <t>stattgegeben</t>
  </si>
  <si>
    <t>reißverschluss</t>
  </si>
  <si>
    <t>entschlossenheit</t>
  </si>
  <si>
    <t>seltenen</t>
  </si>
  <si>
    <t>kameramann</t>
  </si>
  <si>
    <t>cuddy</t>
  </si>
  <si>
    <t>rekruten</t>
  </si>
  <si>
    <t>eingeweiht</t>
  </si>
  <si>
    <t>esteban</t>
  </si>
  <si>
    <t>aufgehen</t>
  </si>
  <si>
    <t>glied</t>
  </si>
  <si>
    <t>zusammenkommen</t>
  </si>
  <si>
    <t>wechsle</t>
  </si>
  <si>
    <t>kolumne</t>
  </si>
  <si>
    <t>betrunkenen</t>
  </si>
  <si>
    <t>abende</t>
  </si>
  <si>
    <t>schlaue</t>
  </si>
  <si>
    <t>minnesota</t>
  </si>
  <si>
    <t>aziz</t>
  </si>
  <si>
    <t>streite</t>
  </si>
  <si>
    <t>zustande</t>
  </si>
  <si>
    <t>sg-1</t>
  </si>
  <si>
    <t>maryland</t>
  </si>
  <si>
    <t>abschlagen</t>
  </si>
  <si>
    <t>lockt</t>
  </si>
  <si>
    <t>lungenentzündung</t>
  </si>
  <si>
    <t>spülen</t>
  </si>
  <si>
    <t>ricardo</t>
  </si>
  <si>
    <t>psychisch</t>
  </si>
  <si>
    <t>schwänzen</t>
  </si>
  <si>
    <t>meckern</t>
  </si>
  <si>
    <t>zebra</t>
  </si>
  <si>
    <t>sogenannte</t>
  </si>
  <si>
    <t>missionen</t>
  </si>
  <si>
    <t>hausmädchen</t>
  </si>
  <si>
    <t>dogs</t>
  </si>
  <si>
    <t>wales</t>
  </si>
  <si>
    <t>vorgänger</t>
  </si>
  <si>
    <t>eingeleitet</t>
  </si>
  <si>
    <t>rumgemacht</t>
  </si>
  <si>
    <t>trauben</t>
  </si>
  <si>
    <t>auszulöschen</t>
  </si>
  <si>
    <t>boomer</t>
  </si>
  <si>
    <t>läge</t>
  </si>
  <si>
    <t>löscht</t>
  </si>
  <si>
    <t>tasha</t>
  </si>
  <si>
    <t>landstreicher</t>
  </si>
  <si>
    <t>rechtmäßig</t>
  </si>
  <si>
    <t>jahrzehnten</t>
  </si>
  <si>
    <t>psychologen</t>
  </si>
  <si>
    <t>massive</t>
  </si>
  <si>
    <t>mustafa</t>
  </si>
  <si>
    <t>della</t>
  </si>
  <si>
    <t>nathalie</t>
  </si>
  <si>
    <t>flanke</t>
  </si>
  <si>
    <t>lyla</t>
  </si>
  <si>
    <t>ersparnisse</t>
  </si>
  <si>
    <t>einzumischen</t>
  </si>
  <si>
    <t>dillon</t>
  </si>
  <si>
    <t>joanna</t>
  </si>
  <si>
    <t>treuen</t>
  </si>
  <si>
    <t>frist</t>
  </si>
  <si>
    <t>tonight</t>
  </si>
  <si>
    <t>südafrika</t>
  </si>
  <si>
    <t>brigitte</t>
  </si>
  <si>
    <t>boone</t>
  </si>
  <si>
    <t>teilzunehmen</t>
  </si>
  <si>
    <t>scher</t>
  </si>
  <si>
    <t>heights</t>
  </si>
  <si>
    <t>widerrede</t>
  </si>
  <si>
    <t>übernahme</t>
  </si>
  <si>
    <t>snacks</t>
  </si>
  <si>
    <t>ernährung</t>
  </si>
  <si>
    <t>vorfälle</t>
  </si>
  <si>
    <t>wahnvorstellungen</t>
  </si>
  <si>
    <t>schnappe</t>
  </si>
  <si>
    <t>bequemer</t>
  </si>
  <si>
    <t>popmusik</t>
  </si>
  <si>
    <t>hoden</t>
  </si>
  <si>
    <t>aufdringlich</t>
  </si>
  <si>
    <t>staatsanwältin</t>
  </si>
  <si>
    <t>abstoßend</t>
  </si>
  <si>
    <t>bataillon</t>
  </si>
  <si>
    <t>japp</t>
  </si>
  <si>
    <t>energiequelle</t>
  </si>
  <si>
    <t>springst</t>
  </si>
  <si>
    <t>widerspruch</t>
  </si>
  <si>
    <t>wehr</t>
  </si>
  <si>
    <t>free</t>
  </si>
  <si>
    <t>betrunkene</t>
  </si>
  <si>
    <t>geschubst</t>
  </si>
  <si>
    <t>machs</t>
  </si>
  <si>
    <t>griechisch</t>
  </si>
  <si>
    <t>ungarn</t>
  </si>
  <si>
    <t>pscht</t>
  </si>
  <si>
    <t>homosexuell</t>
  </si>
  <si>
    <t>aufregende</t>
  </si>
  <si>
    <t>diabetes</t>
  </si>
  <si>
    <t>schnieft</t>
  </si>
  <si>
    <t>verbittert</t>
  </si>
  <si>
    <t>spüle</t>
  </si>
  <si>
    <t>tanzte</t>
  </si>
  <si>
    <t>herausforderungen</t>
  </si>
  <si>
    <t>nachsitzen</t>
  </si>
  <si>
    <t>lebensgefahr</t>
  </si>
  <si>
    <t>übergehen</t>
  </si>
  <si>
    <t>wortes</t>
  </si>
  <si>
    <t>nein.</t>
  </si>
  <si>
    <t>agency</t>
  </si>
  <si>
    <t>nebeneinander</t>
  </si>
  <si>
    <t>gladys</t>
  </si>
  <si>
    <t>sammler</t>
  </si>
  <si>
    <t>schnall</t>
  </si>
  <si>
    <t>historische</t>
  </si>
  <si>
    <t>moralischen</t>
  </si>
  <si>
    <t>bmw</t>
  </si>
  <si>
    <t>verwüstet</t>
  </si>
  <si>
    <t>grabstein</t>
  </si>
  <si>
    <t>reh</t>
  </si>
  <si>
    <t>präsenz</t>
  </si>
  <si>
    <t>erkundigt</t>
  </si>
  <si>
    <t>angegeben</t>
  </si>
  <si>
    <t>wahrnehmung</t>
  </si>
  <si>
    <t>gepflegt</t>
  </si>
  <si>
    <t>hautfarbe</t>
  </si>
  <si>
    <t>büchse</t>
  </si>
  <si>
    <t>newkirk</t>
  </si>
  <si>
    <t>abfangen</t>
  </si>
  <si>
    <t>geschwächt</t>
  </si>
  <si>
    <t>betreffen</t>
  </si>
  <si>
    <t>vice</t>
  </si>
  <si>
    <t>automaten</t>
  </si>
  <si>
    <t>zugerichtet</t>
  </si>
  <si>
    <t>öffnung</t>
  </si>
  <si>
    <t>muffins</t>
  </si>
  <si>
    <t>heikel</t>
  </si>
  <si>
    <t>visitenkarte</t>
  </si>
  <si>
    <t>stifte</t>
  </si>
  <si>
    <t>betrat</t>
  </si>
  <si>
    <t>allmächtigen</t>
  </si>
  <si>
    <t>jahrzehnte</t>
  </si>
  <si>
    <t>rebekah</t>
  </si>
  <si>
    <t>odysseus</t>
  </si>
  <si>
    <t>schöneres</t>
  </si>
  <si>
    <t>geschlossenen</t>
  </si>
  <si>
    <t>gewickelt</t>
  </si>
  <si>
    <t>leopold</t>
  </si>
  <si>
    <t>karren</t>
  </si>
  <si>
    <t>chin</t>
  </si>
  <si>
    <t>recherche</t>
  </si>
  <si>
    <t>erhört</t>
  </si>
  <si>
    <t>frustrierend</t>
  </si>
  <si>
    <t>erlöse</t>
  </si>
  <si>
    <t>forderte</t>
  </si>
  <si>
    <t>uber</t>
  </si>
  <si>
    <t>anleitung</t>
  </si>
  <si>
    <t>cover</t>
  </si>
  <si>
    <t>vergiß</t>
  </si>
  <si>
    <t>durchreise</t>
  </si>
  <si>
    <t>sechste</t>
  </si>
  <si>
    <t>begehren</t>
  </si>
  <si>
    <t>abtreten</t>
  </si>
  <si>
    <t>massachusetts</t>
  </si>
  <si>
    <t>slip</t>
  </si>
  <si>
    <t>mustang</t>
  </si>
  <si>
    <t>handlanger</t>
  </si>
  <si>
    <t>winters</t>
  </si>
  <si>
    <t>zeke</t>
  </si>
  <si>
    <t>some</t>
  </si>
  <si>
    <t>tröstet</t>
  </si>
  <si>
    <t>bemühe</t>
  </si>
  <si>
    <t>bluff</t>
  </si>
  <si>
    <t>untreu</t>
  </si>
  <si>
    <t>lmmer</t>
  </si>
  <si>
    <t>odin</t>
  </si>
  <si>
    <t>verhalte</t>
  </si>
  <si>
    <t>teilhaben</t>
  </si>
  <si>
    <t>klartext</t>
  </si>
  <si>
    <t>liebenswert</t>
  </si>
  <si>
    <t>jackpot</t>
  </si>
  <si>
    <t>gebären</t>
  </si>
  <si>
    <t>aufstellung</t>
  </si>
  <si>
    <t>lippe</t>
  </si>
  <si>
    <t>baba</t>
  </si>
  <si>
    <t>lillian</t>
  </si>
  <si>
    <t>morgana</t>
  </si>
  <si>
    <t>mallory</t>
  </si>
  <si>
    <t>guttun</t>
  </si>
  <si>
    <t>chung</t>
  </si>
  <si>
    <t>diene</t>
  </si>
  <si>
    <t>siege</t>
  </si>
  <si>
    <t>entzogen</t>
  </si>
  <si>
    <t>smallville</t>
  </si>
  <si>
    <t>pazifik</t>
  </si>
  <si>
    <t>vordertür</t>
  </si>
  <si>
    <t>angefleht</t>
  </si>
  <si>
    <t>denkmal</t>
  </si>
  <si>
    <t>panther</t>
  </si>
  <si>
    <t>anzuschließen</t>
  </si>
  <si>
    <t>nördlichen</t>
  </si>
  <si>
    <t>schrauben</t>
  </si>
  <si>
    <t>ticken</t>
  </si>
  <si>
    <t>junggeselle</t>
  </si>
  <si>
    <t>ertränken</t>
  </si>
  <si>
    <t>manning</t>
  </si>
  <si>
    <t>schickes</t>
  </si>
  <si>
    <t>gänzlich</t>
  </si>
  <si>
    <t>verfehlen</t>
  </si>
  <si>
    <t>lieferanten</t>
  </si>
  <si>
    <t>hopkins</t>
  </si>
  <si>
    <t>leih</t>
  </si>
  <si>
    <t>carlton</t>
  </si>
  <si>
    <t>mother</t>
  </si>
  <si>
    <t>unerwartete</t>
  </si>
  <si>
    <t>halsband</t>
  </si>
  <si>
    <t>strömung</t>
  </si>
  <si>
    <t>beweismittel</t>
  </si>
  <si>
    <t>petrus</t>
  </si>
  <si>
    <t>geborgen</t>
  </si>
  <si>
    <t>bien</t>
  </si>
  <si>
    <t>pfennig</t>
  </si>
  <si>
    <t>einfall</t>
  </si>
  <si>
    <t>auferstehen</t>
  </si>
  <si>
    <t>erfolgreichen</t>
  </si>
  <si>
    <t>krähen</t>
  </si>
  <si>
    <t>abgekriegt</t>
  </si>
  <si>
    <t>wertvoller</t>
  </si>
  <si>
    <t>gefürchtet</t>
  </si>
  <si>
    <t>verfluchtes</t>
  </si>
  <si>
    <t>witzige</t>
  </si>
  <si>
    <t>orlando</t>
  </si>
  <si>
    <t>marschiert</t>
  </si>
  <si>
    <t>heftige</t>
  </si>
  <si>
    <t>umfallen</t>
  </si>
  <si>
    <t>gebiete</t>
  </si>
  <si>
    <t>leckeres</t>
  </si>
  <si>
    <t>rumstehen</t>
  </si>
  <si>
    <t>aufregendes</t>
  </si>
  <si>
    <t>gefäß</t>
  </si>
  <si>
    <t>garden</t>
  </si>
  <si>
    <t>anwesenden</t>
  </si>
  <si>
    <t>bedien</t>
  </si>
  <si>
    <t>around</t>
  </si>
  <si>
    <t>herzstillstand</t>
  </si>
  <si>
    <t>betrieben</t>
  </si>
  <si>
    <t>wahnsinniger</t>
  </si>
  <si>
    <t>bestellte</t>
  </si>
  <si>
    <t>artig</t>
  </si>
  <si>
    <t>publicity</t>
  </si>
  <si>
    <t>iq</t>
  </si>
  <si>
    <t>pas</t>
  </si>
  <si>
    <t>bevorsteht</t>
  </si>
  <si>
    <t>polieren</t>
  </si>
  <si>
    <t>diebin</t>
  </si>
  <si>
    <t>verzerrt</t>
  </si>
  <si>
    <t>reinheit</t>
  </si>
  <si>
    <t>anrühren</t>
  </si>
  <si>
    <t>tornado</t>
  </si>
  <si>
    <t>stör</t>
  </si>
  <si>
    <t>demütigung</t>
  </si>
  <si>
    <t>detektive</t>
  </si>
  <si>
    <t>überspringen</t>
  </si>
  <si>
    <t>kapuze</t>
  </si>
  <si>
    <t>britta</t>
  </si>
  <si>
    <t>kostbare</t>
  </si>
  <si>
    <t>fund</t>
  </si>
  <si>
    <t>repräsentiert</t>
  </si>
  <si>
    <t>sulu</t>
  </si>
  <si>
    <t>höhen</t>
  </si>
  <si>
    <t>zahlreiche</t>
  </si>
  <si>
    <t>gewand</t>
  </si>
  <si>
    <t>einspringen</t>
  </si>
  <si>
    <t>ungeziefer</t>
  </si>
  <si>
    <t>buches</t>
  </si>
  <si>
    <t>wdr</t>
  </si>
  <si>
    <t>beat</t>
  </si>
  <si>
    <t>verpackt</t>
  </si>
  <si>
    <t>islam</t>
  </si>
  <si>
    <t>mobile</t>
  </si>
  <si>
    <t>brennenden</t>
  </si>
  <si>
    <t>family</t>
  </si>
  <si>
    <t>einjagen</t>
  </si>
  <si>
    <t>lime</t>
  </si>
  <si>
    <t>franky</t>
  </si>
  <si>
    <t>kohl</t>
  </si>
  <si>
    <t>momenten</t>
  </si>
  <si>
    <t>bangkok</t>
  </si>
  <si>
    <t>erneuern</t>
  </si>
  <si>
    <t>kindchen</t>
  </si>
  <si>
    <t>bum</t>
  </si>
  <si>
    <t>betonen</t>
  </si>
  <si>
    <t>officers</t>
  </si>
  <si>
    <t>alldem</t>
  </si>
  <si>
    <t>verstorbene</t>
  </si>
  <si>
    <t>corey</t>
  </si>
  <si>
    <t>spezialist</t>
  </si>
  <si>
    <t>füttere</t>
  </si>
  <si>
    <t>bliebe</t>
  </si>
  <si>
    <t>darsteller</t>
  </si>
  <si>
    <t>proviant</t>
  </si>
  <si>
    <t>chu</t>
  </si>
  <si>
    <t>gesichtern</t>
  </si>
  <si>
    <t>versprachen</t>
  </si>
  <si>
    <t>ferkel</t>
  </si>
  <si>
    <t>ka</t>
  </si>
  <si>
    <t>klischee</t>
  </si>
  <si>
    <t>orakel</t>
  </si>
  <si>
    <t>dude</t>
  </si>
  <si>
    <t>ficke</t>
  </si>
  <si>
    <t>übertroffen</t>
  </si>
  <si>
    <t>anfingen</t>
  </si>
  <si>
    <t>verwöhnen</t>
  </si>
  <si>
    <t>gaston</t>
  </si>
  <si>
    <t>moriarty</t>
  </si>
  <si>
    <t>effizient</t>
  </si>
  <si>
    <t>eitelkeit</t>
  </si>
  <si>
    <t>unruhen</t>
  </si>
  <si>
    <t>selma</t>
  </si>
  <si>
    <t>escobar</t>
  </si>
  <si>
    <t>klappte</t>
  </si>
  <si>
    <t>marx</t>
  </si>
  <si>
    <t>hazel</t>
  </si>
  <si>
    <t>ausgangssperre</t>
  </si>
  <si>
    <t>bestätige</t>
  </si>
  <si>
    <t>kühler</t>
  </si>
  <si>
    <t>adama</t>
  </si>
  <si>
    <t>eintrifft</t>
  </si>
  <si>
    <t>revoir</t>
  </si>
  <si>
    <t>anheuern</t>
  </si>
  <si>
    <t>versetzung</t>
  </si>
  <si>
    <t>gleicher</t>
  </si>
  <si>
    <t>zündung</t>
  </si>
  <si>
    <t>eingeführt</t>
  </si>
  <si>
    <t>riskierst</t>
  </si>
  <si>
    <t>bestreiten</t>
  </si>
  <si>
    <t>jahrmarkt</t>
  </si>
  <si>
    <t>gebote</t>
  </si>
  <si>
    <t>aufgegessen</t>
  </si>
  <si>
    <t>abed</t>
  </si>
  <si>
    <t>therese</t>
  </si>
  <si>
    <t>armselig</t>
  </si>
  <si>
    <t>größerer</t>
  </si>
  <si>
    <t>knaller</t>
  </si>
  <si>
    <t>aquarium</t>
  </si>
  <si>
    <t>reservieren</t>
  </si>
  <si>
    <t>wasserfall</t>
  </si>
  <si>
    <t>ständige</t>
  </si>
  <si>
    <t>davongekommen</t>
  </si>
  <si>
    <t>aushelfen</t>
  </si>
  <si>
    <t>knaben</t>
  </si>
  <si>
    <t>aufgesetzt</t>
  </si>
  <si>
    <t>spare</t>
  </si>
  <si>
    <t>halblang</t>
  </si>
  <si>
    <t>lest</t>
  </si>
  <si>
    <t>spielfeld</t>
  </si>
  <si>
    <t>repräsentieren</t>
  </si>
  <si>
    <t>strohsack</t>
  </si>
  <si>
    <t>bademantel</t>
  </si>
  <si>
    <t>trupp</t>
  </si>
  <si>
    <t>schießpulver</t>
  </si>
  <si>
    <t>mindy</t>
  </si>
  <si>
    <t>hochzeitsgeschenk</t>
  </si>
  <si>
    <t>behindern</t>
  </si>
  <si>
    <t>romulaner</t>
  </si>
  <si>
    <t>wölfen</t>
  </si>
  <si>
    <t>fantastischen</t>
  </si>
  <si>
    <t>flüge</t>
  </si>
  <si>
    <t>zerfetzt</t>
  </si>
  <si>
    <t>peyton</t>
  </si>
  <si>
    <t>umgehauen</t>
  </si>
  <si>
    <t>postkarte</t>
  </si>
  <si>
    <t>millimeter</t>
  </si>
  <si>
    <t>babysitten</t>
  </si>
  <si>
    <t>lotte</t>
  </si>
  <si>
    <t>ehrenhaft</t>
  </si>
  <si>
    <t>einzunehmen</t>
  </si>
  <si>
    <t>schaum</t>
  </si>
  <si>
    <t>chambers</t>
  </si>
  <si>
    <t>loft</t>
  </si>
  <si>
    <t>eintopf</t>
  </si>
  <si>
    <t>pickel</t>
  </si>
  <si>
    <t>hauptstraße</t>
  </si>
  <si>
    <t>hürrem</t>
  </si>
  <si>
    <t>benennen</t>
  </si>
  <si>
    <t>bösartig</t>
  </si>
  <si>
    <t>anführen</t>
  </si>
  <si>
    <t>unglückliche</t>
  </si>
  <si>
    <t>zange</t>
  </si>
  <si>
    <t>bäcker</t>
  </si>
  <si>
    <t>völliger</t>
  </si>
  <si>
    <t>reisenden</t>
  </si>
  <si>
    <t>perverse</t>
  </si>
  <si>
    <t>gespür</t>
  </si>
  <si>
    <t>aktenkoffer</t>
  </si>
  <si>
    <t>erfülle</t>
  </si>
  <si>
    <t>zubereitet</t>
  </si>
  <si>
    <t>heissen</t>
  </si>
  <si>
    <t>erdboden</t>
  </si>
  <si>
    <t>hüa</t>
  </si>
  <si>
    <t>reinbringen</t>
  </si>
  <si>
    <t>vorbestraft</t>
  </si>
  <si>
    <t>saures</t>
  </si>
  <si>
    <t>erfolge</t>
  </si>
  <si>
    <t>zeichnet</t>
  </si>
  <si>
    <t>schrottplatz</t>
  </si>
  <si>
    <t>examen</t>
  </si>
  <si>
    <t>herzliches</t>
  </si>
  <si>
    <t>beben</t>
  </si>
  <si>
    <t>wehrt</t>
  </si>
  <si>
    <t>kanister</t>
  </si>
  <si>
    <t>meinungen</t>
  </si>
  <si>
    <t>bobo</t>
  </si>
  <si>
    <t>ebenen</t>
  </si>
  <si>
    <t>omen</t>
  </si>
  <si>
    <t>tresen</t>
  </si>
  <si>
    <t>alpträume</t>
  </si>
  <si>
    <t>very</t>
  </si>
  <si>
    <t>linker</t>
  </si>
  <si>
    <t>oberleutnant</t>
  </si>
  <si>
    <t>exklusiv</t>
  </si>
  <si>
    <t>stolze</t>
  </si>
  <si>
    <t>zusätzlichen</t>
  </si>
  <si>
    <t>evie</t>
  </si>
  <si>
    <t>missachtet</t>
  </si>
  <si>
    <t>abgehängt</t>
  </si>
  <si>
    <t>diskussionen</t>
  </si>
  <si>
    <t>mccarthy</t>
  </si>
  <si>
    <t>marple</t>
  </si>
  <si>
    <t>dublin</t>
  </si>
  <si>
    <t>konvoi</t>
  </si>
  <si>
    <t>einrichtungen</t>
  </si>
  <si>
    <t>untertanen</t>
  </si>
  <si>
    <t>gerechten</t>
  </si>
  <si>
    <t>brent</t>
  </si>
  <si>
    <t>kilometern</t>
  </si>
  <si>
    <t>gemessen</t>
  </si>
  <si>
    <t>fußstapfen</t>
  </si>
  <si>
    <t>anya</t>
  </si>
  <si>
    <t>toaster</t>
  </si>
  <si>
    <t>bekennen</t>
  </si>
  <si>
    <t>strange</t>
  </si>
  <si>
    <t>nacheinander</t>
  </si>
  <si>
    <t>dinozzo</t>
  </si>
  <si>
    <t>brandstiftung</t>
  </si>
  <si>
    <t>lachten</t>
  </si>
  <si>
    <t>referenzen</t>
  </si>
  <si>
    <t>tai</t>
  </si>
  <si>
    <t>bürgermeisterin</t>
  </si>
  <si>
    <t>honorar</t>
  </si>
  <si>
    <t>erfrischend</t>
  </si>
  <si>
    <t>launisch</t>
  </si>
  <si>
    <t>rekrutiert</t>
  </si>
  <si>
    <t>fabriken</t>
  </si>
  <si>
    <t>premier</t>
  </si>
  <si>
    <t>terrence</t>
  </si>
  <si>
    <t>öffnest</t>
  </si>
  <si>
    <t>überlegst</t>
  </si>
  <si>
    <t>wendung</t>
  </si>
  <si>
    <t>gilles</t>
  </si>
  <si>
    <t>vorsitzenden</t>
  </si>
  <si>
    <t>staatliche</t>
  </si>
  <si>
    <t>verfasst</t>
  </si>
  <si>
    <t>uhtred</t>
  </si>
  <si>
    <t>pakistan</t>
  </si>
  <si>
    <t>schreiend</t>
  </si>
  <si>
    <t>weiterarbeiten</t>
  </si>
  <si>
    <t>durchfall</t>
  </si>
  <si>
    <t>verlief</t>
  </si>
  <si>
    <t>vernünftiger</t>
  </si>
  <si>
    <t>entsorgen</t>
  </si>
  <si>
    <t>definiert</t>
  </si>
  <si>
    <t>hässliches</t>
  </si>
  <si>
    <t>zündet</t>
  </si>
  <si>
    <t>verschlingen</t>
  </si>
  <si>
    <t>board</t>
  </si>
  <si>
    <t>schwan</t>
  </si>
  <si>
    <t>souvenir</t>
  </si>
  <si>
    <t>undankbar</t>
  </si>
  <si>
    <t>sequenz</t>
  </si>
  <si>
    <t>weges</t>
  </si>
  <si>
    <t>erworben</t>
  </si>
  <si>
    <t>konnen</t>
  </si>
  <si>
    <t>salem</t>
  </si>
  <si>
    <t>griechische</t>
  </si>
  <si>
    <t>harmon</t>
  </si>
  <si>
    <t>erholung</t>
  </si>
  <si>
    <t>kontrollraum</t>
  </si>
  <si>
    <t>trockene</t>
  </si>
  <si>
    <t>raphael</t>
  </si>
  <si>
    <t>rutschen</t>
  </si>
  <si>
    <t>liebenden</t>
  </si>
  <si>
    <t>studios</t>
  </si>
  <si>
    <t>artillerie</t>
  </si>
  <si>
    <t>hämmern</t>
  </si>
  <si>
    <t>obdachlose</t>
  </si>
  <si>
    <t>abfahren</t>
  </si>
  <si>
    <t>realen</t>
  </si>
  <si>
    <t>adel</t>
  </si>
  <si>
    <t>kracht</t>
  </si>
  <si>
    <t>kuscheln</t>
  </si>
  <si>
    <t>geschoben</t>
  </si>
  <si>
    <t>püppchen</t>
  </si>
  <si>
    <t>vorhatte</t>
  </si>
  <si>
    <t>dringen</t>
  </si>
  <si>
    <t>brutale</t>
  </si>
  <si>
    <t>cece</t>
  </si>
  <si>
    <t>arschgesicht</t>
  </si>
  <si>
    <t>muffin</t>
  </si>
  <si>
    <t>offenbaren</t>
  </si>
  <si>
    <t>again</t>
  </si>
  <si>
    <t>head</t>
  </si>
  <si>
    <t>carly</t>
  </si>
  <si>
    <t>naturtalent</t>
  </si>
  <si>
    <t>streber</t>
  </si>
  <si>
    <t>mill</t>
  </si>
  <si>
    <t>margo</t>
  </si>
  <si>
    <t>entfernten</t>
  </si>
  <si>
    <t>schnüffeln</t>
  </si>
  <si>
    <t>aufführen</t>
  </si>
  <si>
    <t>winken</t>
  </si>
  <si>
    <t>rivalen</t>
  </si>
  <si>
    <t>revanchieren</t>
  </si>
  <si>
    <t>hässlicher</t>
  </si>
  <si>
    <t>rené</t>
  </si>
  <si>
    <t>gewisses</t>
  </si>
  <si>
    <t>anakin</t>
  </si>
  <si>
    <t>ermutigt</t>
  </si>
  <si>
    <t>abfinden</t>
  </si>
  <si>
    <t>dark</t>
  </si>
  <si>
    <t>truman</t>
  </si>
  <si>
    <t>eiche</t>
  </si>
  <si>
    <t>schubsen</t>
  </si>
  <si>
    <t>marguerite</t>
  </si>
  <si>
    <t>newman</t>
  </si>
  <si>
    <t>brüsten</t>
  </si>
  <si>
    <t>paco</t>
  </si>
  <si>
    <t>schwingt</t>
  </si>
  <si>
    <t>espresso</t>
  </si>
  <si>
    <t>mabel</t>
  </si>
  <si>
    <t>wahnsinnige</t>
  </si>
  <si>
    <t>geachtet</t>
  </si>
  <si>
    <t>ahnt</t>
  </si>
  <si>
    <t>zwitschern</t>
  </si>
  <si>
    <t>wiederhergestellt</t>
  </si>
  <si>
    <t>brecht</t>
  </si>
  <si>
    <t>computern</t>
  </si>
  <si>
    <t>has</t>
  </si>
  <si>
    <t>blamiert</t>
  </si>
  <si>
    <t>anbringen</t>
  </si>
  <si>
    <t>spatz</t>
  </si>
  <si>
    <t>anschreien</t>
  </si>
  <si>
    <t>versprechungen</t>
  </si>
  <si>
    <t>zauberhaft</t>
  </si>
  <si>
    <t>krümel</t>
  </si>
  <si>
    <t>einzelgänger</t>
  </si>
  <si>
    <t>liebende</t>
  </si>
  <si>
    <t>medizinischer</t>
  </si>
  <si>
    <t>wackeln</t>
  </si>
  <si>
    <t>season</t>
  </si>
  <si>
    <t>interviewen</t>
  </si>
  <si>
    <t>wiederherstellen</t>
  </si>
  <si>
    <t>dummköpfe</t>
  </si>
  <si>
    <t>kostbar</t>
  </si>
  <si>
    <t>mumie</t>
  </si>
  <si>
    <t>kittel</t>
  </si>
  <si>
    <t>kapitulation</t>
  </si>
  <si>
    <t>woraus</t>
  </si>
  <si>
    <t>verzichtet</t>
  </si>
  <si>
    <t>schmied</t>
  </si>
  <si>
    <t>donnern</t>
  </si>
  <si>
    <t>lightman</t>
  </si>
  <si>
    <t>monique</t>
  </si>
  <si>
    <t>him</t>
  </si>
  <si>
    <t>hiro</t>
  </si>
  <si>
    <t>ave</t>
  </si>
  <si>
    <t>schmieren</t>
  </si>
  <si>
    <t>lilli</t>
  </si>
  <si>
    <t>hara</t>
  </si>
  <si>
    <t>einfachste</t>
  </si>
  <si>
    <t>missouri</t>
  </si>
  <si>
    <t>herrlicher</t>
  </si>
  <si>
    <t>lennox</t>
  </si>
  <si>
    <t>mandantin</t>
  </si>
  <si>
    <t>herrlichen</t>
  </si>
  <si>
    <t>darm</t>
  </si>
  <si>
    <t>barb</t>
  </si>
  <si>
    <t>ranzukommen</t>
  </si>
  <si>
    <t>überwiesen</t>
  </si>
  <si>
    <t>identifizierung</t>
  </si>
  <si>
    <t>kev</t>
  </si>
  <si>
    <t>jungfer</t>
  </si>
  <si>
    <t>talbot</t>
  </si>
  <si>
    <t>schonmal</t>
  </si>
  <si>
    <t>barbecue</t>
  </si>
  <si>
    <t>banker</t>
  </si>
  <si>
    <t>geschäftliche</t>
  </si>
  <si>
    <t>melinda</t>
  </si>
  <si>
    <t>imbiss</t>
  </si>
  <si>
    <t>vibriert</t>
  </si>
  <si>
    <t>davies</t>
  </si>
  <si>
    <t>wegschicken</t>
  </si>
  <si>
    <t>karotten</t>
  </si>
  <si>
    <t>delaney</t>
  </si>
  <si>
    <t>durchgefallen</t>
  </si>
  <si>
    <t>stolzer</t>
  </si>
  <si>
    <t>festlegen</t>
  </si>
  <si>
    <t>strahlt</t>
  </si>
  <si>
    <t>arroganz</t>
  </si>
  <si>
    <t>hã</t>
  </si>
  <si>
    <t>disneyland</t>
  </si>
  <si>
    <t>geoffrey</t>
  </si>
  <si>
    <t>verletzlich</t>
  </si>
  <si>
    <t>gregor</t>
  </si>
  <si>
    <t>pegasus</t>
  </si>
  <si>
    <t>wegzunehmen</t>
  </si>
  <si>
    <t>port</t>
  </si>
  <si>
    <t>stabilisieren</t>
  </si>
  <si>
    <t>morrison</t>
  </si>
  <si>
    <t>tschüß</t>
  </si>
  <si>
    <t>mexikanische</t>
  </si>
  <si>
    <t>indizien</t>
  </si>
  <si>
    <t>gmbh</t>
  </si>
  <si>
    <t>dilemma</t>
  </si>
  <si>
    <t>telefonklingeln</t>
  </si>
  <si>
    <t>rückstand</t>
  </si>
  <si>
    <t>hinrichten</t>
  </si>
  <si>
    <t>ausgestorben</t>
  </si>
  <si>
    <t>sponsor</t>
  </si>
  <si>
    <t>ariel</t>
  </si>
  <si>
    <t>durchsuchung</t>
  </si>
  <si>
    <t>allgemeine</t>
  </si>
  <si>
    <t>theodore</t>
  </si>
  <si>
    <t>higgins</t>
  </si>
  <si>
    <t>züchten</t>
  </si>
  <si>
    <t>altmodische</t>
  </si>
  <si>
    <t>marokko</t>
  </si>
  <si>
    <t>vergibt</t>
  </si>
  <si>
    <t>pflücken</t>
  </si>
  <si>
    <t>grimes</t>
  </si>
  <si>
    <t>ramirez</t>
  </si>
  <si>
    <t>verdirbt</t>
  </si>
  <si>
    <t>morton</t>
  </si>
  <si>
    <t>gärten</t>
  </si>
  <si>
    <t>nachdenkt</t>
  </si>
  <si>
    <t>marko</t>
  </si>
  <si>
    <t>joes</t>
  </si>
  <si>
    <t>kirchen</t>
  </si>
  <si>
    <t>verständigt</t>
  </si>
  <si>
    <t>lustigen</t>
  </si>
  <si>
    <t>tanzmusik</t>
  </si>
  <si>
    <t>chemo</t>
  </si>
  <si>
    <t>restliche</t>
  </si>
  <si>
    <t>wohlergehen</t>
  </si>
  <si>
    <t>vielversprechend</t>
  </si>
  <si>
    <t>verriet</t>
  </si>
  <si>
    <t>pur</t>
  </si>
  <si>
    <t>fingernägel</t>
  </si>
  <si>
    <t>aschenbecher</t>
  </si>
  <si>
    <t>tong</t>
  </si>
  <si>
    <t>eye</t>
  </si>
  <si>
    <t>wisconsin</t>
  </si>
  <si>
    <t>undeutlich</t>
  </si>
  <si>
    <t>mancher</t>
  </si>
  <si>
    <t>langweiligen</t>
  </si>
  <si>
    <t>gefalle</t>
  </si>
  <si>
    <t>fundament</t>
  </si>
  <si>
    <t>friere</t>
  </si>
  <si>
    <t>stellvertretender</t>
  </si>
  <si>
    <t>tennessee</t>
  </si>
  <si>
    <t>stanton</t>
  </si>
  <si>
    <t>bartowski</t>
  </si>
  <si>
    <t>hologramm</t>
  </si>
  <si>
    <t>erhöhte</t>
  </si>
  <si>
    <t>klassenzimmer</t>
  </si>
  <si>
    <t>nachholen</t>
  </si>
  <si>
    <t>bojack</t>
  </si>
  <si>
    <t>schnitte</t>
  </si>
  <si>
    <t>nachsichtig</t>
  </si>
  <si>
    <t>ace</t>
  </si>
  <si>
    <t>zufälle</t>
  </si>
  <si>
    <t>leihe</t>
  </si>
  <si>
    <t>verwandelte</t>
  </si>
  <si>
    <t>liebesleben</t>
  </si>
  <si>
    <t>geduscht</t>
  </si>
  <si>
    <t>dunham</t>
  </si>
  <si>
    <t>every</t>
  </si>
  <si>
    <t>tüchtig</t>
  </si>
  <si>
    <t>stehende</t>
  </si>
  <si>
    <t>bereiche</t>
  </si>
  <si>
    <t>vorgang</t>
  </si>
  <si>
    <t>wütender</t>
  </si>
  <si>
    <t>oh-oh</t>
  </si>
  <si>
    <t>noel</t>
  </si>
  <si>
    <t>vanille</t>
  </si>
  <si>
    <t>busse</t>
  </si>
  <si>
    <t>geschütze</t>
  </si>
  <si>
    <t>jüdin</t>
  </si>
  <si>
    <t>enthüllt</t>
  </si>
  <si>
    <t>geringer</t>
  </si>
  <si>
    <t>stroh</t>
  </si>
  <si>
    <t>eintauschen</t>
  </si>
  <si>
    <t>gekidnappt</t>
  </si>
  <si>
    <t>generäle</t>
  </si>
  <si>
    <t>winnetou</t>
  </si>
  <si>
    <t>wehzutun</t>
  </si>
  <si>
    <t>think</t>
  </si>
  <si>
    <t>court</t>
  </si>
  <si>
    <t>chinesisches</t>
  </si>
  <si>
    <t>nelly</t>
  </si>
  <si>
    <t>walking</t>
  </si>
  <si>
    <t>wiedergeburt</t>
  </si>
  <si>
    <t>artefakt</t>
  </si>
  <si>
    <t>wiedererkennen</t>
  </si>
  <si>
    <t>riegel</t>
  </si>
  <si>
    <t>ausnahmen</t>
  </si>
  <si>
    <t>künstlich</t>
  </si>
  <si>
    <t>exempel</t>
  </si>
  <si>
    <t>brich</t>
  </si>
  <si>
    <t>hinsichtlich</t>
  </si>
  <si>
    <t>oprah</t>
  </si>
  <si>
    <t>gegraben</t>
  </si>
  <si>
    <t>untertauchen</t>
  </si>
  <si>
    <t>entwerfen</t>
  </si>
  <si>
    <t>schuldige</t>
  </si>
  <si>
    <t>athen</t>
  </si>
  <si>
    <t>zittert</t>
  </si>
  <si>
    <t>herauf</t>
  </si>
  <si>
    <t>stellungnahme</t>
  </si>
  <si>
    <t>judas</t>
  </si>
  <si>
    <t>mrt</t>
  </si>
  <si>
    <t>blüten</t>
  </si>
  <si>
    <t>erlassen</t>
  </si>
  <si>
    <t>gale</t>
  </si>
  <si>
    <t>teuerste</t>
  </si>
  <si>
    <t>nachthemd</t>
  </si>
  <si>
    <t>schusswunde</t>
  </si>
  <si>
    <t>ausfahrt</t>
  </si>
  <si>
    <t>aiden</t>
  </si>
  <si>
    <t>amateur</t>
  </si>
  <si>
    <t>hei</t>
  </si>
  <si>
    <t>decks</t>
  </si>
  <si>
    <t>debra</t>
  </si>
  <si>
    <t>faule</t>
  </si>
  <si>
    <t>nova</t>
  </si>
  <si>
    <t>problems</t>
  </si>
  <si>
    <t>omi</t>
  </si>
  <si>
    <t>nachtclub</t>
  </si>
  <si>
    <t>telefonat</t>
  </si>
  <si>
    <t>männlicher</t>
  </si>
  <si>
    <t>geschmacklos</t>
  </si>
  <si>
    <t>internen</t>
  </si>
  <si>
    <t>utah</t>
  </si>
  <si>
    <t>kriegsgericht</t>
  </si>
  <si>
    <t>buster</t>
  </si>
  <si>
    <t>mathilde</t>
  </si>
  <si>
    <t>herrlichkeit</t>
  </si>
  <si>
    <t>befestigt</t>
  </si>
  <si>
    <t>shampoo</t>
  </si>
  <si>
    <t>elende</t>
  </si>
  <si>
    <t>griffith</t>
  </si>
  <si>
    <t>fun</t>
  </si>
  <si>
    <t>einhorn</t>
  </si>
  <si>
    <t>hochzeitsnacht</t>
  </si>
  <si>
    <t>unwiderstehlich</t>
  </si>
  <si>
    <t>umlaufbahn</t>
  </si>
  <si>
    <t>balance</t>
  </si>
  <si>
    <t>splitter</t>
  </si>
  <si>
    <t>hinzugehen</t>
  </si>
  <si>
    <t>muppet</t>
  </si>
  <si>
    <t>prüft</t>
  </si>
  <si>
    <t>fixiert</t>
  </si>
  <si>
    <t>betrunkener</t>
  </si>
  <si>
    <t>audienz</t>
  </si>
  <si>
    <t>auseinandersetzung</t>
  </si>
  <si>
    <t>verjagen</t>
  </si>
  <si>
    <t>gezweifelt</t>
  </si>
  <si>
    <t>zehnmal</t>
  </si>
  <si>
    <t>jasmine</t>
  </si>
  <si>
    <t>zerstörer</t>
  </si>
  <si>
    <t>treibe</t>
  </si>
  <si>
    <t>geknallt</t>
  </si>
  <si>
    <t>eingeben</t>
  </si>
  <si>
    <t>stick</t>
  </si>
  <si>
    <t>tauchst</t>
  </si>
  <si>
    <t>vegetarier</t>
  </si>
  <si>
    <t>epidemie</t>
  </si>
  <si>
    <t>zhang</t>
  </si>
  <si>
    <t>betrügst</t>
  </si>
  <si>
    <t>wurzel</t>
  </si>
  <si>
    <t>positiven</t>
  </si>
  <si>
    <t>frequenzen</t>
  </si>
  <si>
    <t>ertappt</t>
  </si>
  <si>
    <t>seltener</t>
  </si>
  <si>
    <t>perversen</t>
  </si>
  <si>
    <t>fairer</t>
  </si>
  <si>
    <t>avatar</t>
  </si>
  <si>
    <t>überweisen</t>
  </si>
  <si>
    <t>dulde</t>
  </si>
  <si>
    <t>sybil</t>
  </si>
  <si>
    <t>glaubwürdig</t>
  </si>
  <si>
    <t>grazie</t>
  </si>
  <si>
    <t>außerirdischer</t>
  </si>
  <si>
    <t>bikini</t>
  </si>
  <si>
    <t>furz</t>
  </si>
  <si>
    <t>zerreißt</t>
  </si>
  <si>
    <t>manchester</t>
  </si>
  <si>
    <t>rummachen</t>
  </si>
  <si>
    <t>vorliegen</t>
  </si>
  <si>
    <t>gong</t>
  </si>
  <si>
    <t>bereitmachen</t>
  </si>
  <si>
    <t>ruben</t>
  </si>
  <si>
    <t>einstweilige</t>
  </si>
  <si>
    <t>kairo</t>
  </si>
  <si>
    <t>cappuccino</t>
  </si>
  <si>
    <t>verwischen</t>
  </si>
  <si>
    <t>ansetzen</t>
  </si>
  <si>
    <t>anzutun</t>
  </si>
  <si>
    <t>superhelden</t>
  </si>
  <si>
    <t>bewunderung</t>
  </si>
  <si>
    <t>raumschiffs</t>
  </si>
  <si>
    <t>skip</t>
  </si>
  <si>
    <t>ada</t>
  </si>
  <si>
    <t>cutler</t>
  </si>
  <si>
    <t>hip</t>
  </si>
  <si>
    <t>überwältigen</t>
  </si>
  <si>
    <t>reinkam</t>
  </si>
  <si>
    <t>kaserne</t>
  </si>
  <si>
    <t>bedanke</t>
  </si>
  <si>
    <t>bezahlten</t>
  </si>
  <si>
    <t>dubois</t>
  </si>
  <si>
    <t>trompete</t>
  </si>
  <si>
    <t>regelt</t>
  </si>
  <si>
    <t>europäischen</t>
  </si>
  <si>
    <t>berliner</t>
  </si>
  <si>
    <t>schrotflinte</t>
  </si>
  <si>
    <t>erzielen</t>
  </si>
  <si>
    <t>kanalisation</t>
  </si>
  <si>
    <t>case</t>
  </si>
  <si>
    <t>stämme</t>
  </si>
  <si>
    <t>rumpeln</t>
  </si>
  <si>
    <t>umhauen</t>
  </si>
  <si>
    <t>barmherzigkeit</t>
  </si>
  <si>
    <t>webseite</t>
  </si>
  <si>
    <t>verachtung</t>
  </si>
  <si>
    <t>zylinder</t>
  </si>
  <si>
    <t>erbitte</t>
  </si>
  <si>
    <t>provision</t>
  </si>
  <si>
    <t>disco</t>
  </si>
  <si>
    <t>jeglicher</t>
  </si>
  <si>
    <t>zerstörst</t>
  </si>
  <si>
    <t>mira</t>
  </si>
  <si>
    <t>ost</t>
  </si>
  <si>
    <t>meuterei</t>
  </si>
  <si>
    <t>ähneln</t>
  </si>
  <si>
    <t>großziehen</t>
  </si>
  <si>
    <t>ferengi</t>
  </si>
  <si>
    <t>nachteil</t>
  </si>
  <si>
    <t>alzheimer</t>
  </si>
  <si>
    <t>anstrengung</t>
  </si>
  <si>
    <t>elliott</t>
  </si>
  <si>
    <t>fackel</t>
  </si>
  <si>
    <t>ununterbrochen</t>
  </si>
  <si>
    <t>abt</t>
  </si>
  <si>
    <t>ermordeten</t>
  </si>
  <si>
    <t>beurteilung</t>
  </si>
  <si>
    <t>milt</t>
  </si>
  <si>
    <t>zügen</t>
  </si>
  <si>
    <t>dämmerung</t>
  </si>
  <si>
    <t>befriedigt</t>
  </si>
  <si>
    <t>zarte</t>
  </si>
  <si>
    <t>rechnet</t>
  </si>
  <si>
    <t>flusses</t>
  </si>
  <si>
    <t>losgegangen</t>
  </si>
  <si>
    <t>amateure</t>
  </si>
  <si>
    <t>angriffs</t>
  </si>
  <si>
    <t>attackiert</t>
  </si>
  <si>
    <t>verzweifelte</t>
  </si>
  <si>
    <t>eingeholt</t>
  </si>
  <si>
    <t>munster</t>
  </si>
  <si>
    <t>lasagne</t>
  </si>
  <si>
    <t>fehlfunktion</t>
  </si>
  <si>
    <t>dino</t>
  </si>
  <si>
    <t>verkauften</t>
  </si>
  <si>
    <t>meistern</t>
  </si>
  <si>
    <t>lumpen</t>
  </si>
  <si>
    <t>heck</t>
  </si>
  <si>
    <t>trucks</t>
  </si>
  <si>
    <t>bing</t>
  </si>
  <si>
    <t>eingebracht</t>
  </si>
  <si>
    <t>angemessene</t>
  </si>
  <si>
    <t>sultanin</t>
  </si>
  <si>
    <t>burrows</t>
  </si>
  <si>
    <t>installieren</t>
  </si>
  <si>
    <t>lst</t>
  </si>
  <si>
    <t>terri</t>
  </si>
  <si>
    <t>gefälschte</t>
  </si>
  <si>
    <t>herkules</t>
  </si>
  <si>
    <t>brave</t>
  </si>
  <si>
    <t>selbstsüchtig</t>
  </si>
  <si>
    <t>billard</t>
  </si>
  <si>
    <t>subjekt</t>
  </si>
  <si>
    <t>fairen</t>
  </si>
  <si>
    <t>sarkasmus</t>
  </si>
  <si>
    <t>melvin</t>
  </si>
  <si>
    <t>fax</t>
  </si>
  <si>
    <t>omega</t>
  </si>
  <si>
    <t>putze</t>
  </si>
  <si>
    <t>traumhaft</t>
  </si>
  <si>
    <t>enttäuschend</t>
  </si>
  <si>
    <t>meldungen</t>
  </si>
  <si>
    <t>std.</t>
  </si>
  <si>
    <t>rivers</t>
  </si>
  <si>
    <t>erzbischof</t>
  </si>
  <si>
    <t>obdachlos</t>
  </si>
  <si>
    <t>field</t>
  </si>
  <si>
    <t>schafften</t>
  </si>
  <si>
    <t>meilenweit</t>
  </si>
  <si>
    <t>vermont</t>
  </si>
  <si>
    <t>chloé</t>
  </si>
  <si>
    <t>geschlechtsverkehr</t>
  </si>
  <si>
    <t>teyla</t>
  </si>
  <si>
    <t>anfälle</t>
  </si>
  <si>
    <t>hodgins</t>
  </si>
  <si>
    <t>halbwegs</t>
  </si>
  <si>
    <t>gemurmel</t>
  </si>
  <si>
    <t>glass</t>
  </si>
  <si>
    <t>politischer</t>
  </si>
  <si>
    <t>anubis</t>
  </si>
  <si>
    <t>tanzfläche</t>
  </si>
  <si>
    <t>ertränkt</t>
  </si>
  <si>
    <t>vorsingen</t>
  </si>
  <si>
    <t>matrix</t>
  </si>
  <si>
    <t>positives</t>
  </si>
  <si>
    <t>jahrzehnt</t>
  </si>
  <si>
    <t>friert</t>
  </si>
  <si>
    <t>silbernen</t>
  </si>
  <si>
    <t>gästeliste</t>
  </si>
  <si>
    <t>weggetreten</t>
  </si>
  <si>
    <t>schnabel</t>
  </si>
  <si>
    <t>musketiere</t>
  </si>
  <si>
    <t>mystic</t>
  </si>
  <si>
    <t>josephine</t>
  </si>
  <si>
    <t>gerichte</t>
  </si>
  <si>
    <t>stichwort</t>
  </si>
  <si>
    <t>insgeheim</t>
  </si>
  <si>
    <t>hello</t>
  </si>
  <si>
    <t>stahlen</t>
  </si>
  <si>
    <t>protestieren</t>
  </si>
  <si>
    <t>schlaftabletten</t>
  </si>
  <si>
    <t>aussichten</t>
  </si>
  <si>
    <t>kartoffel</t>
  </si>
  <si>
    <t>davids</t>
  </si>
  <si>
    <t>talisman</t>
  </si>
  <si>
    <t>blendend</t>
  </si>
  <si>
    <t>mohammed</t>
  </si>
  <si>
    <t>bi</t>
  </si>
  <si>
    <t>videospiele</t>
  </si>
  <si>
    <t>chico</t>
  </si>
  <si>
    <t>fire</t>
  </si>
  <si>
    <t>auszahlen</t>
  </si>
  <si>
    <t>kriminalität</t>
  </si>
  <si>
    <t>jed</t>
  </si>
  <si>
    <t>testergebnisse</t>
  </si>
  <si>
    <t>mächtigste</t>
  </si>
  <si>
    <t>verschlagen</t>
  </si>
  <si>
    <t>kaufmann</t>
  </si>
  <si>
    <t>geschwängert</t>
  </si>
  <si>
    <t>bezogen</t>
  </si>
  <si>
    <t>maddy</t>
  </si>
  <si>
    <t>teures</t>
  </si>
  <si>
    <t>behandelte</t>
  </si>
  <si>
    <t>ready</t>
  </si>
  <si>
    <t>france</t>
  </si>
  <si>
    <t>need</t>
  </si>
  <si>
    <t>yuan</t>
  </si>
  <si>
    <t>kung-fu</t>
  </si>
  <si>
    <t>nachsicht</t>
  </si>
  <si>
    <t>juanita</t>
  </si>
  <si>
    <t>dag</t>
  </si>
  <si>
    <t>freute</t>
  </si>
  <si>
    <t>schnallen</t>
  </si>
  <si>
    <t>verfügbaren</t>
  </si>
  <si>
    <t>donnergrollen</t>
  </si>
  <si>
    <t>körperlichen</t>
  </si>
  <si>
    <t>plante</t>
  </si>
  <si>
    <t>berücksichtigen</t>
  </si>
  <si>
    <t>fiese</t>
  </si>
  <si>
    <t>gell</t>
  </si>
  <si>
    <t>geärgert</t>
  </si>
  <si>
    <t>lotto</t>
  </si>
  <si>
    <t>entspannung</t>
  </si>
  <si>
    <t>aidan</t>
  </si>
  <si>
    <t>skelett</t>
  </si>
  <si>
    <t>flüsse</t>
  </si>
  <si>
    <t>anonyme</t>
  </si>
  <si>
    <t>finanzierung</t>
  </si>
  <si>
    <t>unterschreibt</t>
  </si>
  <si>
    <t>angsthase</t>
  </si>
  <si>
    <t>tablette</t>
  </si>
  <si>
    <t>befugt</t>
  </si>
  <si>
    <t>aufm</t>
  </si>
  <si>
    <t>messias</t>
  </si>
  <si>
    <t>tötung</t>
  </si>
  <si>
    <t>durchschneiden</t>
  </si>
  <si>
    <t>träumer</t>
  </si>
  <si>
    <t>gosse</t>
  </si>
  <si>
    <t>greer</t>
  </si>
  <si>
    <t>rain</t>
  </si>
  <si>
    <t>artagnan</t>
  </si>
  <si>
    <t>colleen</t>
  </si>
  <si>
    <t>sensation</t>
  </si>
  <si>
    <t>verschenken</t>
  </si>
  <si>
    <t>liberty</t>
  </si>
  <si>
    <t>ausgraben</t>
  </si>
  <si>
    <t>nobel</t>
  </si>
  <si>
    <t>identitäten</t>
  </si>
  <si>
    <t>glaubwürdigkeit</t>
  </si>
  <si>
    <t>aufwachst</t>
  </si>
  <si>
    <t>überlebe</t>
  </si>
  <si>
    <t>bildest</t>
  </si>
  <si>
    <t>abschießen</t>
  </si>
  <si>
    <t>hillary</t>
  </si>
  <si>
    <t>globale</t>
  </si>
  <si>
    <t>zulegen</t>
  </si>
  <si>
    <t>vorspiel</t>
  </si>
  <si>
    <t>scheu</t>
  </si>
  <si>
    <t>ps</t>
  </si>
  <si>
    <t>beschert</t>
  </si>
  <si>
    <t>randolph</t>
  </si>
  <si>
    <t>vorstelle</t>
  </si>
  <si>
    <t>renoviert</t>
  </si>
  <si>
    <t>freigesprochen</t>
  </si>
  <si>
    <t>fäuste</t>
  </si>
  <si>
    <t>ehrt</t>
  </si>
  <si>
    <t>zitiere</t>
  </si>
  <si>
    <t>redaktion</t>
  </si>
  <si>
    <t>santos</t>
  </si>
  <si>
    <t>imperator</t>
  </si>
  <si>
    <t>demo</t>
  </si>
  <si>
    <t>vollenden</t>
  </si>
  <si>
    <t>einsicht</t>
  </si>
  <si>
    <t>bankkonto</t>
  </si>
  <si>
    <t>drecksau</t>
  </si>
  <si>
    <t>gesandt</t>
  </si>
  <si>
    <t>aufzuwachen</t>
  </si>
  <si>
    <t>fegefeuer</t>
  </si>
  <si>
    <t>kämpf</t>
  </si>
  <si>
    <t>einverständnis</t>
  </si>
  <si>
    <t>his</t>
  </si>
  <si>
    <t>persönlichkeiten</t>
  </si>
  <si>
    <t>horace</t>
  </si>
  <si>
    <t>wolfgang</t>
  </si>
  <si>
    <t>wonder</t>
  </si>
  <si>
    <t>jüdisch</t>
  </si>
  <si>
    <t>vermehren</t>
  </si>
  <si>
    <t>traktor</t>
  </si>
  <si>
    <t>muriel</t>
  </si>
  <si>
    <t>pepe</t>
  </si>
  <si>
    <t>versöhnen</t>
  </si>
  <si>
    <t>bewundernswert</t>
  </si>
  <si>
    <t>french</t>
  </si>
  <si>
    <t>nikolaus</t>
  </si>
  <si>
    <t>durchdringen</t>
  </si>
  <si>
    <t>dusty</t>
  </si>
  <si>
    <t>bewerten</t>
  </si>
  <si>
    <t>kassiert</t>
  </si>
  <si>
    <t>formation</t>
  </si>
  <si>
    <t>gomez</t>
  </si>
  <si>
    <t>angeschlagen</t>
  </si>
  <si>
    <t>nucky</t>
  </si>
  <si>
    <t>sichtweite</t>
  </si>
  <si>
    <t>manipulation</t>
  </si>
  <si>
    <t>starrte</t>
  </si>
  <si>
    <t>meetings</t>
  </si>
  <si>
    <t>ch34faf9</t>
  </si>
  <si>
    <t>shows</t>
  </si>
  <si>
    <t>vereinten</t>
  </si>
  <si>
    <t>spielverderber</t>
  </si>
  <si>
    <t>weckst</t>
  </si>
  <si>
    <t>dickes</t>
  </si>
  <si>
    <t>buchstabieren</t>
  </si>
  <si>
    <t>zeitraum</t>
  </si>
  <si>
    <t>indianern</t>
  </si>
  <si>
    <t>anklopfen</t>
  </si>
  <si>
    <t>abgeknallt</t>
  </si>
  <si>
    <t>serviette</t>
  </si>
  <si>
    <t>füttert</t>
  </si>
  <si>
    <t>schmeichelhaft</t>
  </si>
  <si>
    <t>pyramide</t>
  </si>
  <si>
    <t>belohnen</t>
  </si>
  <si>
    <t>ananas</t>
  </si>
  <si>
    <t>herausfordern</t>
  </si>
  <si>
    <t>gesiegt</t>
  </si>
  <si>
    <t>merkwürdigen</t>
  </si>
  <si>
    <t>jacht</t>
  </si>
  <si>
    <t>brewster</t>
  </si>
  <si>
    <t>ultraschall</t>
  </si>
  <si>
    <t>weihnachtsbaum</t>
  </si>
  <si>
    <t>verpass</t>
  </si>
  <si>
    <t>feuers</t>
  </si>
  <si>
    <t>selbstmitleid</t>
  </si>
  <si>
    <t>unterschiedlichen</t>
  </si>
  <si>
    <t>jagst</t>
  </si>
  <si>
    <t>unterbreche</t>
  </si>
  <si>
    <t>abstreiten</t>
  </si>
  <si>
    <t>hochziehen</t>
  </si>
  <si>
    <t>französin</t>
  </si>
  <si>
    <t>untereinander</t>
  </si>
  <si>
    <t>google</t>
  </si>
  <si>
    <t>stempel</t>
  </si>
  <si>
    <t>romantisches</t>
  </si>
  <si>
    <t>cook</t>
  </si>
  <si>
    <t>rezepte</t>
  </si>
  <si>
    <t>sylvester</t>
  </si>
  <si>
    <t>erweitert</t>
  </si>
  <si>
    <t>asthma</t>
  </si>
  <si>
    <t>viecher</t>
  </si>
  <si>
    <t>thorpe</t>
  </si>
  <si>
    <t>ungewöhnlichen</t>
  </si>
  <si>
    <t>grausamen</t>
  </si>
  <si>
    <t>privilegien</t>
  </si>
  <si>
    <t>weihnachtsgeschenk</t>
  </si>
  <si>
    <t>karussell</t>
  </si>
  <si>
    <t>ältester</t>
  </si>
  <si>
    <t>hindernisse</t>
  </si>
  <si>
    <t>entferne</t>
  </si>
  <si>
    <t>sags</t>
  </si>
  <si>
    <t>vorrang</t>
  </si>
  <si>
    <t>körperteile</t>
  </si>
  <si>
    <t>scharfschütze</t>
  </si>
  <si>
    <t>obama</t>
  </si>
  <si>
    <t>vorkehrungen</t>
  </si>
  <si>
    <t>franck</t>
  </si>
  <si>
    <t>camilla</t>
  </si>
  <si>
    <t>hamptons</t>
  </si>
  <si>
    <t>abhören</t>
  </si>
  <si>
    <t>akzeptabel</t>
  </si>
  <si>
    <t>unsichtbaren</t>
  </si>
  <si>
    <t>entführte</t>
  </si>
  <si>
    <t>dragon</t>
  </si>
  <si>
    <t>lieferungen</t>
  </si>
  <si>
    <t>buy</t>
  </si>
  <si>
    <t>carver</t>
  </si>
  <si>
    <t>direkter</t>
  </si>
  <si>
    <t>vorgeworfen</t>
  </si>
  <si>
    <t>grundsätzlich</t>
  </si>
  <si>
    <t>lagerfeuer</t>
  </si>
  <si>
    <t>kleineren</t>
  </si>
  <si>
    <t>showtime</t>
  </si>
  <si>
    <t>gamera</t>
  </si>
  <si>
    <t>beistehen</t>
  </si>
  <si>
    <t>degen</t>
  </si>
  <si>
    <t>peking</t>
  </si>
  <si>
    <t>yan</t>
  </si>
  <si>
    <t>verbot</t>
  </si>
  <si>
    <t>punk</t>
  </si>
  <si>
    <t>herrschte</t>
  </si>
  <si>
    <t>zugemacht</t>
  </si>
  <si>
    <t>intim</t>
  </si>
  <si>
    <t>übertreibt</t>
  </si>
  <si>
    <t>wimmern</t>
  </si>
  <si>
    <t>flüchtling</t>
  </si>
  <si>
    <t>wirke</t>
  </si>
  <si>
    <t>gegengift</t>
  </si>
  <si>
    <t>cupcakes</t>
  </si>
  <si>
    <t>schuften</t>
  </si>
  <si>
    <t>strauß</t>
  </si>
  <si>
    <t>gesundes</t>
  </si>
  <si>
    <t>aspekt</t>
  </si>
  <si>
    <t>ex-freund</t>
  </si>
  <si>
    <t>beeren</t>
  </si>
  <si>
    <t>rückzieher</t>
  </si>
  <si>
    <t>prime</t>
  </si>
  <si>
    <t>rosemary</t>
  </si>
  <si>
    <t>unfreundlich</t>
  </si>
  <si>
    <t>anzuschauen</t>
  </si>
  <si>
    <t>verachtet</t>
  </si>
  <si>
    <t>dell</t>
  </si>
  <si>
    <t>baronin</t>
  </si>
  <si>
    <t>sons</t>
  </si>
  <si>
    <t>piepton</t>
  </si>
  <si>
    <t>dagelassen</t>
  </si>
  <si>
    <t>kalter</t>
  </si>
  <si>
    <t>kitzelt</t>
  </si>
  <si>
    <t>übelkeit</t>
  </si>
  <si>
    <t>rauskam</t>
  </si>
  <si>
    <t>minimum</t>
  </si>
  <si>
    <t>niesen</t>
  </si>
  <si>
    <t>kal-el</t>
  </si>
  <si>
    <t>siebte</t>
  </si>
  <si>
    <t>anzulügen</t>
  </si>
  <si>
    <t>denker</t>
  </si>
  <si>
    <t>ag</t>
  </si>
  <si>
    <t>viert</t>
  </si>
  <si>
    <t>auferstanden</t>
  </si>
  <si>
    <t>tantchen</t>
  </si>
  <si>
    <t>siegt</t>
  </si>
  <si>
    <t>meldest</t>
  </si>
  <si>
    <t>tiefes</t>
  </si>
  <si>
    <t>vertrauten</t>
  </si>
  <si>
    <t>vollidioten</t>
  </si>
  <si>
    <t>meeres</t>
  </si>
  <si>
    <t>getarnt</t>
  </si>
  <si>
    <t>stellvertretende</t>
  </si>
  <si>
    <t>upper</t>
  </si>
  <si>
    <t>trinker</t>
  </si>
  <si>
    <t>ungeachtet</t>
  </si>
  <si>
    <t>ungerechtigkeit</t>
  </si>
  <si>
    <t>sergei</t>
  </si>
  <si>
    <t>nassen</t>
  </si>
  <si>
    <t>walnut</t>
  </si>
  <si>
    <t>lauern</t>
  </si>
  <si>
    <t>glotzen</t>
  </si>
  <si>
    <t>darhk</t>
  </si>
  <si>
    <t>erstattet</t>
  </si>
  <si>
    <t>breitet</t>
  </si>
  <si>
    <t>noble</t>
  </si>
  <si>
    <t>rush</t>
  </si>
  <si>
    <t>sí</t>
  </si>
  <si>
    <t>gebrochenes</t>
  </si>
  <si>
    <t>mamma</t>
  </si>
  <si>
    <t>vermietet</t>
  </si>
  <si>
    <t>gebraten</t>
  </si>
  <si>
    <t>zeitlang</t>
  </si>
  <si>
    <t>cambridge</t>
  </si>
  <si>
    <t>überglücklich</t>
  </si>
  <si>
    <t>aaah</t>
  </si>
  <si>
    <t>werten</t>
  </si>
  <si>
    <t>iowa</t>
  </si>
  <si>
    <t>realisiert</t>
  </si>
  <si>
    <t>tardis</t>
  </si>
  <si>
    <t>jacobs</t>
  </si>
  <si>
    <t>ungelegen</t>
  </si>
  <si>
    <t>erlebe</t>
  </si>
  <si>
    <t>primitiv</t>
  </si>
  <si>
    <t>apophis</t>
  </si>
  <si>
    <t>lindsey</t>
  </si>
  <si>
    <t>buffet</t>
  </si>
  <si>
    <t>aufgegangen</t>
  </si>
  <si>
    <t>erlebte</t>
  </si>
  <si>
    <t>verschwommen</t>
  </si>
  <si>
    <t>ich-</t>
  </si>
  <si>
    <t>spielsachen</t>
  </si>
  <si>
    <t>geschmuggelt</t>
  </si>
  <si>
    <t>tyrann</t>
  </si>
  <si>
    <t>verbesserung</t>
  </si>
  <si>
    <t>karneval</t>
  </si>
  <si>
    <t>briefmarken</t>
  </si>
  <si>
    <t>ufo</t>
  </si>
  <si>
    <t>milan</t>
  </si>
  <si>
    <t>filter</t>
  </si>
  <si>
    <t>beatles</t>
  </si>
  <si>
    <t>zischt</t>
  </si>
  <si>
    <t>durchsetzen</t>
  </si>
  <si>
    <t>lauert</t>
  </si>
  <si>
    <t>reitest</t>
  </si>
  <si>
    <t>bestätigte</t>
  </si>
  <si>
    <t>gehorche</t>
  </si>
  <si>
    <t>durchgang</t>
  </si>
  <si>
    <t>endlose</t>
  </si>
  <si>
    <t>ridge</t>
  </si>
  <si>
    <t>zauberhafte</t>
  </si>
  <si>
    <t>angehörige</t>
  </si>
  <si>
    <t>illegales</t>
  </si>
  <si>
    <t>heile</t>
  </si>
  <si>
    <t>palme</t>
  </si>
  <si>
    <t>organisierte</t>
  </si>
  <si>
    <t>lucille</t>
  </si>
  <si>
    <t>todeszeitpunkt</t>
  </si>
  <si>
    <t>geiste</t>
  </si>
  <si>
    <t>befinde</t>
  </si>
  <si>
    <t>gemahlin</t>
  </si>
  <si>
    <t>agieren</t>
  </si>
  <si>
    <t>besteigen</t>
  </si>
  <si>
    <t>tanja</t>
  </si>
  <si>
    <t>größtes</t>
  </si>
  <si>
    <t>touchdown</t>
  </si>
  <si>
    <t>paaren</t>
  </si>
  <si>
    <t>scans</t>
  </si>
  <si>
    <t>rausgekriegt</t>
  </si>
  <si>
    <t>vierzehn</t>
  </si>
  <si>
    <t>vermischt</t>
  </si>
  <si>
    <t>rausbekommen</t>
  </si>
  <si>
    <t>weicht</t>
  </si>
  <si>
    <t>unübersetztes</t>
  </si>
  <si>
    <t>bergab</t>
  </si>
  <si>
    <t>schraube</t>
  </si>
  <si>
    <t>cortez</t>
  </si>
  <si>
    <t>aufschneiden</t>
  </si>
  <si>
    <t>grundgütiger</t>
  </si>
  <si>
    <t>erdgeschoss</t>
  </si>
  <si>
    <t>ordnen</t>
  </si>
  <si>
    <t>miliz</t>
  </si>
  <si>
    <t>erfordern</t>
  </si>
  <si>
    <t>zig</t>
  </si>
  <si>
    <t>gurken</t>
  </si>
  <si>
    <t>viertelstunde</t>
  </si>
  <si>
    <t>tech</t>
  </si>
  <si>
    <t>demut</t>
  </si>
  <si>
    <t>amis</t>
  </si>
  <si>
    <t>oberin</t>
  </si>
  <si>
    <t>geizig</t>
  </si>
  <si>
    <t>diamond</t>
  </si>
  <si>
    <t>aussehend</t>
  </si>
  <si>
    <t>raubt</t>
  </si>
  <si>
    <t>skeptisch</t>
  </si>
  <si>
    <t>erich</t>
  </si>
  <si>
    <t>todesfälle</t>
  </si>
  <si>
    <t>göttlich</t>
  </si>
  <si>
    <t>absitzen</t>
  </si>
  <si>
    <t>konflikte</t>
  </si>
  <si>
    <t>schmeiße</t>
  </si>
  <si>
    <t>visum</t>
  </si>
  <si>
    <t>mücken</t>
  </si>
  <si>
    <t>ansah</t>
  </si>
  <si>
    <t>romane</t>
  </si>
  <si>
    <t>gral</t>
  </si>
  <si>
    <t>aufgefordert</t>
  </si>
  <si>
    <t>channing</t>
  </si>
  <si>
    <t>unglücklichen</t>
  </si>
  <si>
    <t>verlag</t>
  </si>
  <si>
    <t>schnaubt</t>
  </si>
  <si>
    <t>saubermachen</t>
  </si>
  <si>
    <t>niko</t>
  </si>
  <si>
    <t>symptom</t>
  </si>
  <si>
    <t>beschossen</t>
  </si>
  <si>
    <t>princeton</t>
  </si>
  <si>
    <t>flüchtige</t>
  </si>
  <si>
    <t>geschick</t>
  </si>
  <si>
    <t>täubchen</t>
  </si>
  <si>
    <t>familienmitglied</t>
  </si>
  <si>
    <t>zügel</t>
  </si>
  <si>
    <t>strömen</t>
  </si>
  <si>
    <t>bestehst</t>
  </si>
  <si>
    <t>zurückgeholt</t>
  </si>
  <si>
    <t>abrechnung</t>
  </si>
  <si>
    <t>schiessen</t>
  </si>
  <si>
    <t>finanzamt</t>
  </si>
  <si>
    <t>rampenlicht</t>
  </si>
  <si>
    <t>geschleppt</t>
  </si>
  <si>
    <t>peilsender</t>
  </si>
  <si>
    <t>through</t>
  </si>
  <si>
    <t>yin</t>
  </si>
  <si>
    <t>gasthaus</t>
  </si>
  <si>
    <t>elle</t>
  </si>
  <si>
    <t>zucken</t>
  </si>
  <si>
    <t>pennen</t>
  </si>
  <si>
    <t>volltrottel</t>
  </si>
  <si>
    <t>atemberaubend</t>
  </si>
  <si>
    <t>gisborne</t>
  </si>
  <si>
    <t>hayden</t>
  </si>
  <si>
    <t>stiegen</t>
  </si>
  <si>
    <t>gewaltigen</t>
  </si>
  <si>
    <t>verwirklichen</t>
  </si>
  <si>
    <t>physische</t>
  </si>
  <si>
    <t>spiegelbild</t>
  </si>
  <si>
    <t>vin</t>
  </si>
  <si>
    <t>parrish</t>
  </si>
  <si>
    <t>sexualität</t>
  </si>
  <si>
    <t>herzlos</t>
  </si>
  <si>
    <t>remy</t>
  </si>
  <si>
    <t>kosmos</t>
  </si>
  <si>
    <t>pakete</t>
  </si>
  <si>
    <t>eliza</t>
  </si>
  <si>
    <t>herkamen</t>
  </si>
  <si>
    <t>norton</t>
  </si>
  <si>
    <t>gino</t>
  </si>
  <si>
    <t>anbietet</t>
  </si>
  <si>
    <t>singapur</t>
  </si>
  <si>
    <t>wã</t>
  </si>
  <si>
    <t>kommode</t>
  </si>
  <si>
    <t>einzudringen</t>
  </si>
  <si>
    <t>terminal</t>
  </si>
  <si>
    <t>verdrängen</t>
  </si>
  <si>
    <t>endstation</t>
  </si>
  <si>
    <t>betreuer</t>
  </si>
  <si>
    <t>alarmbereitschaft</t>
  </si>
  <si>
    <t>erkenntnisse</t>
  </si>
  <si>
    <t>neuling</t>
  </si>
  <si>
    <t>verehrter</t>
  </si>
  <si>
    <t>troll</t>
  </si>
  <si>
    <t>buchmacher</t>
  </si>
  <si>
    <t>betete</t>
  </si>
  <si>
    <t>pflegte</t>
  </si>
  <si>
    <t>rhonda</t>
  </si>
  <si>
    <t>sicherheitschef</t>
  </si>
  <si>
    <t>thunfisch</t>
  </si>
  <si>
    <t>würgt</t>
  </si>
  <si>
    <t>capitaine</t>
  </si>
  <si>
    <t>verringern</t>
  </si>
  <si>
    <t>conway</t>
  </si>
  <si>
    <t>geschöpfe</t>
  </si>
  <si>
    <t>vlad</t>
  </si>
  <si>
    <t>intelligenter</t>
  </si>
  <si>
    <t>klügste</t>
  </si>
  <si>
    <t>eigenhändig</t>
  </si>
  <si>
    <t>sperr</t>
  </si>
  <si>
    <t>nachfragen</t>
  </si>
  <si>
    <t>merkwürdiger</t>
  </si>
  <si>
    <t>schlapp</t>
  </si>
  <si>
    <t>dreharbeiten</t>
  </si>
  <si>
    <t>mittels</t>
  </si>
  <si>
    <t>notfalls</t>
  </si>
  <si>
    <t>wärmen</t>
  </si>
  <si>
    <t>spannungen</t>
  </si>
  <si>
    <t>verehren</t>
  </si>
  <si>
    <t>felicia</t>
  </si>
  <si>
    <t>verabredungen</t>
  </si>
  <si>
    <t>lösungen</t>
  </si>
  <si>
    <t>gutaussehend</t>
  </si>
  <si>
    <t>brachtest</t>
  </si>
  <si>
    <t>feuchten</t>
  </si>
  <si>
    <t>angelina</t>
  </si>
  <si>
    <t>pokal</t>
  </si>
  <si>
    <t>prämie</t>
  </si>
  <si>
    <t>herauskommt</t>
  </si>
  <si>
    <t>leiterin</t>
  </si>
  <si>
    <t>muse</t>
  </si>
  <si>
    <t>verdächtiges</t>
  </si>
  <si>
    <t>dreist</t>
  </si>
  <si>
    <t>ess</t>
  </si>
  <si>
    <t>rumpf</t>
  </si>
  <si>
    <t>knarrt</t>
  </si>
  <si>
    <t>wandte</t>
  </si>
  <si>
    <t>überwachungskamera</t>
  </si>
  <si>
    <t>wanderer</t>
  </si>
  <si>
    <t>gepinkelt</t>
  </si>
  <si>
    <t>abholt</t>
  </si>
  <si>
    <t>wiederholung</t>
  </si>
  <si>
    <t>hofften</t>
  </si>
  <si>
    <t>playboy</t>
  </si>
  <si>
    <t>hoffst</t>
  </si>
  <si>
    <t>verhungert</t>
  </si>
  <si>
    <t>tang</t>
  </si>
  <si>
    <t>unbezahlbar</t>
  </si>
  <si>
    <t>finster</t>
  </si>
  <si>
    <t>shin</t>
  </si>
  <si>
    <t>huhu</t>
  </si>
  <si>
    <t>kamel</t>
  </si>
  <si>
    <t>rumliegen</t>
  </si>
  <si>
    <t>petra</t>
  </si>
  <si>
    <t>superstar</t>
  </si>
  <si>
    <t>fünfmal</t>
  </si>
  <si>
    <t>abwenden</t>
  </si>
  <si>
    <t>bauernhof</t>
  </si>
  <si>
    <t>kopfweh</t>
  </si>
  <si>
    <t>strengen</t>
  </si>
  <si>
    <t>melone</t>
  </si>
  <si>
    <t>wundere</t>
  </si>
  <si>
    <t>prozedur</t>
  </si>
  <si>
    <t>psyche</t>
  </si>
  <si>
    <t>heimgehen</t>
  </si>
  <si>
    <t>freundschaften</t>
  </si>
  <si>
    <t>loben</t>
  </si>
  <si>
    <t>coolste</t>
  </si>
  <si>
    <t>ohrring</t>
  </si>
  <si>
    <t>handynummer</t>
  </si>
  <si>
    <t>architektur</t>
  </si>
  <si>
    <t>ungeschehen</t>
  </si>
  <si>
    <t>jt</t>
  </si>
  <si>
    <t>vergangene</t>
  </si>
  <si>
    <t>lädst</t>
  </si>
  <si>
    <t>rassistisch</t>
  </si>
  <si>
    <t>neugierde</t>
  </si>
  <si>
    <t>magda</t>
  </si>
  <si>
    <t>ausgefüllt</t>
  </si>
  <si>
    <t>nahmst</t>
  </si>
  <si>
    <t>limit</t>
  </si>
  <si>
    <t>anzufassen</t>
  </si>
  <si>
    <t>sibirien</t>
  </si>
  <si>
    <t>männlichkeit</t>
  </si>
  <si>
    <t>law</t>
  </si>
  <si>
    <t>liza</t>
  </si>
  <si>
    <t>flicken</t>
  </si>
  <si>
    <t>geheult</t>
  </si>
  <si>
    <t>wohnmobil</t>
  </si>
  <si>
    <t>überallhin</t>
  </si>
  <si>
    <t>scherben</t>
  </si>
  <si>
    <t>ineinander</t>
  </si>
  <si>
    <t>exzellente</t>
  </si>
  <si>
    <t>trümmer</t>
  </si>
  <si>
    <t>blutprobe</t>
  </si>
  <si>
    <t>schiefgeht</t>
  </si>
  <si>
    <t>dong</t>
  </si>
  <si>
    <t>lockerer</t>
  </si>
  <si>
    <t>cafe</t>
  </si>
  <si>
    <t>gerichtsmedizin</t>
  </si>
  <si>
    <t>son</t>
  </si>
  <si>
    <t>ahmed</t>
  </si>
  <si>
    <t>gedankt</t>
  </si>
  <si>
    <t>salazar</t>
  </si>
  <si>
    <t>mad</t>
  </si>
  <si>
    <t>fingerabdruck</t>
  </si>
  <si>
    <t>schokoriegel</t>
  </si>
  <si>
    <t>spionieren</t>
  </si>
  <si>
    <t>reservat</t>
  </si>
  <si>
    <t>selbstachtung</t>
  </si>
  <si>
    <t>einreden</t>
  </si>
  <si>
    <t>mandeln</t>
  </si>
  <si>
    <t>laterne</t>
  </si>
  <si>
    <t>schreiber</t>
  </si>
  <si>
    <t>stay</t>
  </si>
  <si>
    <t>weir</t>
  </si>
  <si>
    <t>unvermeidlich</t>
  </si>
  <si>
    <t>schürze</t>
  </si>
  <si>
    <t>juice</t>
  </si>
  <si>
    <t>reagierte</t>
  </si>
  <si>
    <t>jaguar</t>
  </si>
  <si>
    <t>bezaubernde</t>
  </si>
  <si>
    <t>weggezogen</t>
  </si>
  <si>
    <t>cecil</t>
  </si>
  <si>
    <t>verarbeitet</t>
  </si>
  <si>
    <t>x.</t>
  </si>
  <si>
    <t>individuum</t>
  </si>
  <si>
    <t>moretti</t>
  </si>
  <si>
    <t>lynch</t>
  </si>
  <si>
    <t>zünde</t>
  </si>
  <si>
    <t>rangers</t>
  </si>
  <si>
    <t>entsorgt</t>
  </si>
  <si>
    <t>abhängt</t>
  </si>
  <si>
    <t>telefoniere</t>
  </si>
  <si>
    <t>institution</t>
  </si>
  <si>
    <t>geringe</t>
  </si>
  <si>
    <t>duftet</t>
  </si>
  <si>
    <t>lebensende</t>
  </si>
  <si>
    <t>ernsten</t>
  </si>
  <si>
    <t>hämmert</t>
  </si>
  <si>
    <t>erschuf</t>
  </si>
  <si>
    <t>edel</t>
  </si>
  <si>
    <t>temple</t>
  </si>
  <si>
    <t>hocken</t>
  </si>
  <si>
    <t>dienerin</t>
  </si>
  <si>
    <t>tripp</t>
  </si>
  <si>
    <t>organ</t>
  </si>
  <si>
    <t>brunch</t>
  </si>
  <si>
    <t>mort</t>
  </si>
  <si>
    <t>ex-freundin</t>
  </si>
  <si>
    <t>psychische</t>
  </si>
  <si>
    <t>amor</t>
  </si>
  <si>
    <t>glory</t>
  </si>
  <si>
    <t>abschiedsbrief</t>
  </si>
  <si>
    <t>abwehr</t>
  </si>
  <si>
    <t>eigenem</t>
  </si>
  <si>
    <t>oberhaupt</t>
  </si>
  <si>
    <t>moschee</t>
  </si>
  <si>
    <t>us-regierung</t>
  </si>
  <si>
    <t>zerlegt</t>
  </si>
  <si>
    <t>behutsam</t>
  </si>
  <si>
    <t>zweig</t>
  </si>
  <si>
    <t>hundertprozentig</t>
  </si>
  <si>
    <t>timings</t>
  </si>
  <si>
    <t>muttermal</t>
  </si>
  <si>
    <t>schwiegertochter</t>
  </si>
  <si>
    <t>fremdes</t>
  </si>
  <si>
    <t>tribut</t>
  </si>
  <si>
    <t>poet</t>
  </si>
  <si>
    <t>gesteht</t>
  </si>
  <si>
    <t>blockade</t>
  </si>
  <si>
    <t>zurückgeschickt</t>
  </si>
  <si>
    <t>kollektion</t>
  </si>
  <si>
    <t>sauna</t>
  </si>
  <si>
    <t>wachst</t>
  </si>
  <si>
    <t>geburtsurkunde</t>
  </si>
  <si>
    <t>traditionelle</t>
  </si>
  <si>
    <t>gespritzt</t>
  </si>
  <si>
    <t>stillgestanden</t>
  </si>
  <si>
    <t>erfrieren</t>
  </si>
  <si>
    <t>lea</t>
  </si>
  <si>
    <t>libby</t>
  </si>
  <si>
    <t>ghost</t>
  </si>
  <si>
    <t>gerammt</t>
  </si>
  <si>
    <t>kendra</t>
  </si>
  <si>
    <t>gegriffen</t>
  </si>
  <si>
    <t>rayburn</t>
  </si>
  <si>
    <t>orion</t>
  </si>
  <si>
    <t>modelle</t>
  </si>
  <si>
    <t>i-ich</t>
  </si>
  <si>
    <t>schnappte</t>
  </si>
  <si>
    <t>schwefel</t>
  </si>
  <si>
    <t>gekotzt</t>
  </si>
  <si>
    <t>angestrengt</t>
  </si>
  <si>
    <t>stärkere</t>
  </si>
  <si>
    <t>protokolle</t>
  </si>
  <si>
    <t>klarzustellen</t>
  </si>
  <si>
    <t>yards</t>
  </si>
  <si>
    <t>nordpol</t>
  </si>
  <si>
    <t>eclair</t>
  </si>
  <si>
    <t>rechtlich</t>
  </si>
  <si>
    <t>mülltonne</t>
  </si>
  <si>
    <t>auferstehung</t>
  </si>
  <si>
    <t>ablassen</t>
  </si>
  <si>
    <t>leiht</t>
  </si>
  <si>
    <t>angeführt</t>
  </si>
  <si>
    <t>begabung</t>
  </si>
  <si>
    <t>ruhiges</t>
  </si>
  <si>
    <t>reno</t>
  </si>
  <si>
    <t>pilger</t>
  </si>
  <si>
    <t>möse</t>
  </si>
  <si>
    <t>übernatürliche</t>
  </si>
  <si>
    <t>specter</t>
  </si>
  <si>
    <t>bezwingen</t>
  </si>
  <si>
    <t>kendall</t>
  </si>
  <si>
    <t>anzieht</t>
  </si>
  <si>
    <t>amerikanisches</t>
  </si>
  <si>
    <t>hockey</t>
  </si>
  <si>
    <t>missachtung</t>
  </si>
  <si>
    <t>va</t>
  </si>
  <si>
    <t>simple</t>
  </si>
  <si>
    <t>ausbilder</t>
  </si>
  <si>
    <t>hoover</t>
  </si>
  <si>
    <t>anerkennen</t>
  </si>
  <si>
    <t>kälter</t>
  </si>
  <si>
    <t>kenntnisse</t>
  </si>
  <si>
    <t>augenblicke</t>
  </si>
  <si>
    <t>marcello</t>
  </si>
  <si>
    <t>arbeitstag</t>
  </si>
  <si>
    <t>hergeben</t>
  </si>
  <si>
    <t>falcon</t>
  </si>
  <si>
    <t>typischer</t>
  </si>
  <si>
    <t>choi</t>
  </si>
  <si>
    <t>siedler</t>
  </si>
  <si>
    <t>bestehlen</t>
  </si>
  <si>
    <t>gezeugt</t>
  </si>
  <si>
    <t>fälschen</t>
  </si>
  <si>
    <t>cromwell</t>
  </si>
  <si>
    <t>callahan</t>
  </si>
  <si>
    <t>pole</t>
  </si>
  <si>
    <t>hellen</t>
  </si>
  <si>
    <t>clarissa</t>
  </si>
  <si>
    <t>leckere</t>
  </si>
  <si>
    <t>nana</t>
  </si>
  <si>
    <t>anzulegen</t>
  </si>
  <si>
    <t>ahsoka</t>
  </si>
  <si>
    <t>schnüffelt</t>
  </si>
  <si>
    <t>untergetaucht</t>
  </si>
  <si>
    <t>intersect</t>
  </si>
  <si>
    <t>abzunehmen</t>
  </si>
  <si>
    <t>apotheker</t>
  </si>
  <si>
    <t>dock</t>
  </si>
  <si>
    <t>scylla</t>
  </si>
  <si>
    <t>hobbys</t>
  </si>
  <si>
    <t>mitgespielt</t>
  </si>
  <si>
    <t>elenden</t>
  </si>
  <si>
    <t>oliven</t>
  </si>
  <si>
    <t>flinte</t>
  </si>
  <si>
    <t>gitarrenmusik</t>
  </si>
  <si>
    <t>geoff</t>
  </si>
  <si>
    <t>morning</t>
  </si>
  <si>
    <t>deo</t>
  </si>
  <si>
    <t>geweigert</t>
  </si>
  <si>
    <t>schmuggler</t>
  </si>
  <si>
    <t>scooter</t>
  </si>
  <si>
    <t>myers</t>
  </si>
  <si>
    <t>key</t>
  </si>
  <si>
    <t>aufbau</t>
  </si>
  <si>
    <t>alphonse</t>
  </si>
  <si>
    <t>ram</t>
  </si>
  <si>
    <t>hélène</t>
  </si>
  <si>
    <t>nebraska</t>
  </si>
  <si>
    <t>waschlappen</t>
  </si>
  <si>
    <t>einwanderer</t>
  </si>
  <si>
    <t>erzielt</t>
  </si>
  <si>
    <t>mg</t>
  </si>
  <si>
    <t>badeanzug</t>
  </si>
  <si>
    <t>dünner</t>
  </si>
  <si>
    <t>faire</t>
  </si>
  <si>
    <t>temperaturen</t>
  </si>
  <si>
    <t>erklingt</t>
  </si>
  <si>
    <t>capitán</t>
  </si>
  <si>
    <t>mucks</t>
  </si>
  <si>
    <t>vulgär</t>
  </si>
  <si>
    <t>unterwerfen</t>
  </si>
  <si>
    <t>must</t>
  </si>
  <si>
    <t>campen</t>
  </si>
  <si>
    <t>werwölfe</t>
  </si>
  <si>
    <t>schwerste</t>
  </si>
  <si>
    <t>dakota</t>
  </si>
  <si>
    <t>bordeaux</t>
  </si>
  <si>
    <t>ungünstig</t>
  </si>
  <si>
    <t>dargestellt</t>
  </si>
  <si>
    <t>komplexe</t>
  </si>
  <si>
    <t>zimmermädchen</t>
  </si>
  <si>
    <t>abgeordneten</t>
  </si>
  <si>
    <t>leihst</t>
  </si>
  <si>
    <t>thorne</t>
  </si>
  <si>
    <t>geradewegs</t>
  </si>
  <si>
    <t>aufgedeckt</t>
  </si>
  <si>
    <t>beschimpft</t>
  </si>
  <si>
    <t>gebäck</t>
  </si>
  <si>
    <t>mitfahrgelegenheit</t>
  </si>
  <si>
    <t>patrik</t>
  </si>
  <si>
    <t>diplom</t>
  </si>
  <si>
    <t>marys</t>
  </si>
  <si>
    <t>kandidieren</t>
  </si>
  <si>
    <t>einführen</t>
  </si>
  <si>
    <t>sharp</t>
  </si>
  <si>
    <t>opium</t>
  </si>
  <si>
    <t>bedenke</t>
  </si>
  <si>
    <t>verspielt</t>
  </si>
  <si>
    <t>grabe</t>
  </si>
  <si>
    <t>mieze</t>
  </si>
  <si>
    <t>ursprüngliche</t>
  </si>
  <si>
    <t>fahrkarten</t>
  </si>
  <si>
    <t>summers</t>
  </si>
  <si>
    <t>reinstecken</t>
  </si>
  <si>
    <t>syd</t>
  </si>
  <si>
    <t>aufzutauchen</t>
  </si>
  <si>
    <t>neunten</t>
  </si>
  <si>
    <t>widerliche</t>
  </si>
  <si>
    <t>kupfer</t>
  </si>
  <si>
    <t>lacher</t>
  </si>
  <si>
    <t>antenne</t>
  </si>
  <si>
    <t>aufessen</t>
  </si>
  <si>
    <t>filmtiger</t>
  </si>
  <si>
    <t>klärt</t>
  </si>
  <si>
    <t>casting</t>
  </si>
  <si>
    <t>selbstständig</t>
  </si>
  <si>
    <t>brillanter</t>
  </si>
  <si>
    <t>spendieren</t>
  </si>
  <si>
    <t>snake</t>
  </si>
  <si>
    <t>kings</t>
  </si>
  <si>
    <t>order</t>
  </si>
  <si>
    <t>kleiden</t>
  </si>
  <si>
    <t>cheng</t>
  </si>
  <si>
    <t>autorin</t>
  </si>
  <si>
    <t>privater</t>
  </si>
  <si>
    <t>anzupassen</t>
  </si>
  <si>
    <t>bezeichnung</t>
  </si>
  <si>
    <t>wahnsinnigen</t>
  </si>
  <si>
    <t>leuchtturm</t>
  </si>
  <si>
    <t>läuse</t>
  </si>
  <si>
    <t>aufgeteilt</t>
  </si>
  <si>
    <t>kabinett</t>
  </si>
  <si>
    <t>hopper</t>
  </si>
  <si>
    <t>grüßt</t>
  </si>
  <si>
    <t>verkabelt</t>
  </si>
  <si>
    <t>hingen</t>
  </si>
  <si>
    <t>ungestraft</t>
  </si>
  <si>
    <t>auffahrt</t>
  </si>
  <si>
    <t>auffressen</t>
  </si>
  <si>
    <t>katholischen</t>
  </si>
  <si>
    <t>wing</t>
  </si>
  <si>
    <t>zusammenbrechen</t>
  </si>
  <si>
    <t>gerechte</t>
  </si>
  <si>
    <t>ausblick</t>
  </si>
  <si>
    <t>aufzuklären</t>
  </si>
  <si>
    <t>berühmtheit</t>
  </si>
  <si>
    <t>handschuhfach</t>
  </si>
  <si>
    <t>nathaniel</t>
  </si>
  <si>
    <t>scheißding</t>
  </si>
  <si>
    <t>verbluten</t>
  </si>
  <si>
    <t>kneifen</t>
  </si>
  <si>
    <t>versicherungen</t>
  </si>
  <si>
    <t>caldwell</t>
  </si>
  <si>
    <t>annimmt</t>
  </si>
  <si>
    <t>hineingezogen</t>
  </si>
  <si>
    <t>geortet</t>
  </si>
  <si>
    <t>klassentreffen</t>
  </si>
  <si>
    <t>müttern</t>
  </si>
  <si>
    <t>myrtle</t>
  </si>
  <si>
    <t>längste</t>
  </si>
  <si>
    <t>update</t>
  </si>
  <si>
    <t>zitterst</t>
  </si>
  <si>
    <t>hektar</t>
  </si>
  <si>
    <t>altern</t>
  </si>
  <si>
    <t>berger</t>
  </si>
  <si>
    <t>miserabel</t>
  </si>
  <si>
    <t>affären</t>
  </si>
  <si>
    <t>profitiert</t>
  </si>
  <si>
    <t>katalog</t>
  </si>
  <si>
    <t>hurley</t>
  </si>
  <si>
    <t>scherzt</t>
  </si>
  <si>
    <t>schaukeln</t>
  </si>
  <si>
    <t>bauchschmerzen</t>
  </si>
  <si>
    <t>autorisiert</t>
  </si>
  <si>
    <t>absuchen</t>
  </si>
  <si>
    <t>mondes</t>
  </si>
  <si>
    <t>titanic</t>
  </si>
  <si>
    <t>together</t>
  </si>
  <si>
    <t>sabotiert</t>
  </si>
  <si>
    <t>entlasten</t>
  </si>
  <si>
    <t>mathias</t>
  </si>
  <si>
    <t>karibik</t>
  </si>
  <si>
    <t>regelrecht</t>
  </si>
  <si>
    <t>einfrieren</t>
  </si>
  <si>
    <t>deke</t>
  </si>
  <si>
    <t>bedeutend</t>
  </si>
  <si>
    <t>weiterziehen</t>
  </si>
  <si>
    <t>matte</t>
  </si>
  <si>
    <t>rampe</t>
  </si>
  <si>
    <t>waage</t>
  </si>
  <si>
    <t>ausgeruht</t>
  </si>
  <si>
    <t>corps</t>
  </si>
  <si>
    <t>tamara</t>
  </si>
  <si>
    <t>weggebracht</t>
  </si>
  <si>
    <t>unschuldiges</t>
  </si>
  <si>
    <t>erlangt</t>
  </si>
  <si>
    <t>aufzuräumen</t>
  </si>
  <si>
    <t>bemerkungen</t>
  </si>
  <si>
    <t>aktuell</t>
  </si>
  <si>
    <t>brocken</t>
  </si>
  <si>
    <t>tacos</t>
  </si>
  <si>
    <t>zahlungen</t>
  </si>
  <si>
    <t>machbar</t>
  </si>
  <si>
    <t>dream</t>
  </si>
  <si>
    <t>schwachköpfe</t>
  </si>
  <si>
    <t>apple</t>
  </si>
  <si>
    <t>kreuzzug</t>
  </si>
  <si>
    <t>stehle</t>
  </si>
  <si>
    <t>großmaul</t>
  </si>
  <si>
    <t>farbige</t>
  </si>
  <si>
    <t>elch</t>
  </si>
  <si>
    <t>beleuchtung</t>
  </si>
  <si>
    <t>zynisch</t>
  </si>
  <si>
    <t>bethany</t>
  </si>
  <si>
    <t>iv</t>
  </si>
  <si>
    <t>ausgelacht</t>
  </si>
  <si>
    <t>verkuppeln</t>
  </si>
  <si>
    <t>heimatstadt</t>
  </si>
  <si>
    <t>rocco</t>
  </si>
  <si>
    <t>schwaches</t>
  </si>
  <si>
    <t>salami</t>
  </si>
  <si>
    <t>hinterhof</t>
  </si>
  <si>
    <t>eingestiegen</t>
  </si>
  <si>
    <t>kompromisse</t>
  </si>
  <si>
    <t>vorstellungskraft</t>
  </si>
  <si>
    <t>beantrage</t>
  </si>
  <si>
    <t>kennenlernten</t>
  </si>
  <si>
    <t>bedrohlich</t>
  </si>
  <si>
    <t>chaplin</t>
  </si>
  <si>
    <t>j.j.</t>
  </si>
  <si>
    <t>knallhart</t>
  </si>
  <si>
    <t>übergibt</t>
  </si>
  <si>
    <t>wackelt</t>
  </si>
  <si>
    <t>kraftwerk</t>
  </si>
  <si>
    <t>lenk</t>
  </si>
  <si>
    <t>falken</t>
  </si>
  <si>
    <t>walten</t>
  </si>
  <si>
    <t>mitgift</t>
  </si>
  <si>
    <t>tätigen</t>
  </si>
  <si>
    <t>losgeworden</t>
  </si>
  <si>
    <t>hallen</t>
  </si>
  <si>
    <t>aktentasche</t>
  </si>
  <si>
    <t>zusammengestellt</t>
  </si>
  <si>
    <t>blinzeln</t>
  </si>
  <si>
    <t>greene</t>
  </si>
  <si>
    <t>wortwörtlich</t>
  </si>
  <si>
    <t>tresorraum</t>
  </si>
  <si>
    <t>zivilisiert</t>
  </si>
  <si>
    <t>amüsier</t>
  </si>
  <si>
    <t>ventil</t>
  </si>
  <si>
    <t>schlich</t>
  </si>
  <si>
    <t>patti</t>
  </si>
  <si>
    <t>erlöser</t>
  </si>
  <si>
    <t>even</t>
  </si>
  <si>
    <t>vergebens</t>
  </si>
  <si>
    <t>zaubertrank</t>
  </si>
  <si>
    <t>anschaut</t>
  </si>
  <si>
    <t>brise</t>
  </si>
  <si>
    <t>krishna</t>
  </si>
  <si>
    <t>ausländische</t>
  </si>
  <si>
    <t>husch</t>
  </si>
  <si>
    <t>crews</t>
  </si>
  <si>
    <t>ames</t>
  </si>
  <si>
    <t>unverantwortlich</t>
  </si>
  <si>
    <t>stabilisiert</t>
  </si>
  <si>
    <t>redakteur</t>
  </si>
  <si>
    <t>schwachstelle</t>
  </si>
  <si>
    <t>scharfes</t>
  </si>
  <si>
    <t>matrose</t>
  </si>
  <si>
    <t>wegzugehen</t>
  </si>
  <si>
    <t>chevy</t>
  </si>
  <si>
    <t>brutalen</t>
  </si>
  <si>
    <t>luigi</t>
  </si>
  <si>
    <t>glänzend</t>
  </si>
  <si>
    <t>überreagiert</t>
  </si>
  <si>
    <t>pimmel</t>
  </si>
  <si>
    <t>straßenrand</t>
  </si>
  <si>
    <t>junkies</t>
  </si>
  <si>
    <t>attraktiver</t>
  </si>
  <si>
    <t>ecstasy</t>
  </si>
  <si>
    <t>heimkommen</t>
  </si>
  <si>
    <t>talk</t>
  </si>
  <si>
    <t>frachtraum</t>
  </si>
  <si>
    <t>unangemessen</t>
  </si>
  <si>
    <t>heiss</t>
  </si>
  <si>
    <t>bombardiert</t>
  </si>
  <si>
    <t>bündel</t>
  </si>
  <si>
    <t>außenposten</t>
  </si>
  <si>
    <t>kitschig</t>
  </si>
  <si>
    <t>anschuldigung</t>
  </si>
  <si>
    <t>zeichne</t>
  </si>
  <si>
    <t>castro</t>
  </si>
  <si>
    <t>wanzen</t>
  </si>
  <si>
    <t>wichtigkeit</t>
  </si>
  <si>
    <t>willard</t>
  </si>
  <si>
    <t>spa</t>
  </si>
  <si>
    <t>juwelier</t>
  </si>
  <si>
    <t>mediziner</t>
  </si>
  <si>
    <t>vertretung</t>
  </si>
  <si>
    <t>umlauf</t>
  </si>
  <si>
    <t>sascha</t>
  </si>
  <si>
    <t>zurückverfolgt</t>
  </si>
  <si>
    <t>saugt</t>
  </si>
  <si>
    <t>spannungsgeladene</t>
  </si>
  <si>
    <t>prügelei</t>
  </si>
  <si>
    <t>zusammenziehen</t>
  </si>
  <si>
    <t>hochkommen</t>
  </si>
  <si>
    <t>besiegelt</t>
  </si>
  <si>
    <t>aufdecken</t>
  </si>
  <si>
    <t>mendez</t>
  </si>
  <si>
    <t>subtitles</t>
  </si>
  <si>
    <t>meere</t>
  </si>
  <si>
    <t>con</t>
  </si>
  <si>
    <t>schrein</t>
  </si>
  <si>
    <t>bedrohte</t>
  </si>
  <si>
    <t>counsellor</t>
  </si>
  <si>
    <t>faucht</t>
  </si>
  <si>
    <t>akira</t>
  </si>
  <si>
    <t>raylan</t>
  </si>
  <si>
    <t>schleim</t>
  </si>
  <si>
    <t>werf</t>
  </si>
  <si>
    <t>reizenden</t>
  </si>
  <si>
    <t>ausgezeichneter</t>
  </si>
  <si>
    <t>beherrschung</t>
  </si>
  <si>
    <t>röntgen</t>
  </si>
  <si>
    <t>knecht</t>
  </si>
  <si>
    <t>kaputtgemacht</t>
  </si>
  <si>
    <t>abgedreht</t>
  </si>
  <si>
    <t>sitten</t>
  </si>
  <si>
    <t>plakat</t>
  </si>
  <si>
    <t>ausdauer</t>
  </si>
  <si>
    <t>verabreichen</t>
  </si>
  <si>
    <t>gaul</t>
  </si>
  <si>
    <t>schiebe</t>
  </si>
  <si>
    <t>biber</t>
  </si>
  <si>
    <t>bub</t>
  </si>
  <si>
    <t>schlussfolgerung</t>
  </si>
  <si>
    <t>kamui</t>
  </si>
  <si>
    <t>gebieten</t>
  </si>
  <si>
    <t>hierlassen</t>
  </si>
  <si>
    <t>kanäle</t>
  </si>
  <si>
    <t>tschuldige</t>
  </si>
  <si>
    <t>blah</t>
  </si>
  <si>
    <t>hurensöhne</t>
  </si>
  <si>
    <t>abgestimmt</t>
  </si>
  <si>
    <t>twitter</t>
  </si>
  <si>
    <t>rausfindet</t>
  </si>
  <si>
    <t>zugabe</t>
  </si>
  <si>
    <t>barfuß</t>
  </si>
  <si>
    <t>flehen</t>
  </si>
  <si>
    <t>allergie</t>
  </si>
  <si>
    <t>roh</t>
  </si>
  <si>
    <t>geblendet</t>
  </si>
  <si>
    <t>mackenzie</t>
  </si>
  <si>
    <t>rücktritt</t>
  </si>
  <si>
    <t>abgekauft</t>
  </si>
  <si>
    <t>mische</t>
  </si>
  <si>
    <t>aufschlag</t>
  </si>
  <si>
    <t>aussehende</t>
  </si>
  <si>
    <t>landeten</t>
  </si>
  <si>
    <t>nützliches</t>
  </si>
  <si>
    <t>bombardieren</t>
  </si>
  <si>
    <t>polo</t>
  </si>
  <si>
    <t>kanne</t>
  </si>
  <si>
    <t>aufmuntern</t>
  </si>
  <si>
    <t>weinend</t>
  </si>
  <si>
    <t>beibehalten</t>
  </si>
  <si>
    <t>felipe</t>
  </si>
  <si>
    <t>hercule</t>
  </si>
  <si>
    <t>verleugnen</t>
  </si>
  <si>
    <t>eingeklemmt</t>
  </si>
  <si>
    <t>einkäufe</t>
  </si>
  <si>
    <t>0h</t>
  </si>
  <si>
    <t>movie</t>
  </si>
  <si>
    <t>amtes</t>
  </si>
  <si>
    <t>waldorf</t>
  </si>
  <si>
    <t>salt</t>
  </si>
  <si>
    <t>marjorie</t>
  </si>
  <si>
    <t>loszulassen</t>
  </si>
  <si>
    <t>duane</t>
  </si>
  <si>
    <t>spukt</t>
  </si>
  <si>
    <t>patsche</t>
  </si>
  <si>
    <t>einblick</t>
  </si>
  <si>
    <t>bestreitet</t>
  </si>
  <si>
    <t>merlyn</t>
  </si>
  <si>
    <t>vorlegen</t>
  </si>
  <si>
    <t>hochzeitskleid</t>
  </si>
  <si>
    <t>addy</t>
  </si>
  <si>
    <t>mitarbeitern</t>
  </si>
  <si>
    <t>holodeck</t>
  </si>
  <si>
    <t>genugtuung</t>
  </si>
  <si>
    <t>willoughby</t>
  </si>
  <si>
    <t>norm</t>
  </si>
  <si>
    <t>impulsiv</t>
  </si>
  <si>
    <t>allerbeste</t>
  </si>
  <si>
    <t>krämpfe</t>
  </si>
  <si>
    <t>werbespot</t>
  </si>
  <si>
    <t>feierlich</t>
  </si>
  <si>
    <t>gefängnisse</t>
  </si>
  <si>
    <t>beruhen</t>
  </si>
  <si>
    <t>allesamt</t>
  </si>
  <si>
    <t>open</t>
  </si>
  <si>
    <t>klappert</t>
  </si>
  <si>
    <t>heiden</t>
  </si>
  <si>
    <t>durchlaucht</t>
  </si>
  <si>
    <t>zar</t>
  </si>
  <si>
    <t>rabbit</t>
  </si>
  <si>
    <t>abgesperrt</t>
  </si>
  <si>
    <t>unsre</t>
  </si>
  <si>
    <t>stinkenden</t>
  </si>
  <si>
    <t>gerda</t>
  </si>
  <si>
    <t>parkt</t>
  </si>
  <si>
    <t>alfonso</t>
  </si>
  <si>
    <t>met</t>
  </si>
  <si>
    <t>betrübt</t>
  </si>
  <si>
    <t>ignorier</t>
  </si>
  <si>
    <t>deienn</t>
  </si>
  <si>
    <t>cleverer</t>
  </si>
  <si>
    <t>pfeif</t>
  </si>
  <si>
    <t>nachhilfe</t>
  </si>
  <si>
    <t>gerächt</t>
  </si>
  <si>
    <t>tracht</t>
  </si>
  <si>
    <t>dings</t>
  </si>
  <si>
    <t>gringo</t>
  </si>
  <si>
    <t>zunichte</t>
  </si>
  <si>
    <t>shake</t>
  </si>
  <si>
    <t>drogenhandel</t>
  </si>
  <si>
    <t>perez</t>
  </si>
  <si>
    <t>baracke</t>
  </si>
  <si>
    <t>mcqueen</t>
  </si>
  <si>
    <t>grunzen</t>
  </si>
  <si>
    <t>reinfall</t>
  </si>
  <si>
    <t>dickie</t>
  </si>
  <si>
    <t>oleg</t>
  </si>
  <si>
    <t>mitbürger</t>
  </si>
  <si>
    <t>netteste</t>
  </si>
  <si>
    <t>kräftiger</t>
  </si>
  <si>
    <t>lexi</t>
  </si>
  <si>
    <t>jämmerlich</t>
  </si>
  <si>
    <t>wecke</t>
  </si>
  <si>
    <t>einbauen</t>
  </si>
  <si>
    <t>kriecht</t>
  </si>
  <si>
    <t>problemlos</t>
  </si>
  <si>
    <t>lauschen</t>
  </si>
  <si>
    <t>lise</t>
  </si>
  <si>
    <t>ser</t>
  </si>
  <si>
    <t>mercy</t>
  </si>
  <si>
    <t>träne</t>
  </si>
  <si>
    <t>grunzt</t>
  </si>
  <si>
    <t>fuss</t>
  </si>
  <si>
    <t>politisches</t>
  </si>
  <si>
    <t>zimmermann</t>
  </si>
  <si>
    <t>almanzo</t>
  </si>
  <si>
    <t>gläschen</t>
  </si>
  <si>
    <t>unterhaltsam</t>
  </si>
  <si>
    <t>streck</t>
  </si>
  <si>
    <t>play</t>
  </si>
  <si>
    <t>kürzen</t>
  </si>
  <si>
    <t>devlin</t>
  </si>
  <si>
    <t>zitiert</t>
  </si>
  <si>
    <t>klassen</t>
  </si>
  <si>
    <t>skorpion</t>
  </si>
  <si>
    <t>mächtigsten</t>
  </si>
  <si>
    <t>gurt</t>
  </si>
  <si>
    <t>einigung</t>
  </si>
  <si>
    <t>dürre</t>
  </si>
  <si>
    <t>untere</t>
  </si>
  <si>
    <t>ärmste</t>
  </si>
  <si>
    <t>nine</t>
  </si>
  <si>
    <t>eingeschätzt</t>
  </si>
  <si>
    <t>befallen</t>
  </si>
  <si>
    <t>schmieden</t>
  </si>
  <si>
    <t>eingesteckt</t>
  </si>
  <si>
    <t>irischen</t>
  </si>
  <si>
    <t>tausche</t>
  </si>
  <si>
    <t>drucker</t>
  </si>
  <si>
    <t>hutchinson</t>
  </si>
  <si>
    <t>jährlich</t>
  </si>
  <si>
    <t>verwundete</t>
  </si>
  <si>
    <t>wandeln</t>
  </si>
  <si>
    <t>lagst</t>
  </si>
  <si>
    <t>qualitäten</t>
  </si>
  <si>
    <t>vertrauenswürdig</t>
  </si>
  <si>
    <t>zeb</t>
  </si>
  <si>
    <t>jonny</t>
  </si>
  <si>
    <t>kreuze</t>
  </si>
  <si>
    <t>massieren</t>
  </si>
  <si>
    <t>transporterraum</t>
  </si>
  <si>
    <t>kar</t>
  </si>
  <si>
    <t>gleichung</t>
  </si>
  <si>
    <t>reimt</t>
  </si>
  <si>
    <t>sympathie</t>
  </si>
  <si>
    <t>südlichen</t>
  </si>
  <si>
    <t>nachlässig</t>
  </si>
  <si>
    <t>gage</t>
  </si>
  <si>
    <t>ausgerichtet</t>
  </si>
  <si>
    <t>inspirieren</t>
  </si>
  <si>
    <t>militärs</t>
  </si>
  <si>
    <t>peru</t>
  </si>
  <si>
    <t>rädern</t>
  </si>
  <si>
    <t>gefroren</t>
  </si>
  <si>
    <t>schotten</t>
  </si>
  <si>
    <t>alfredo</t>
  </si>
  <si>
    <t>durchgekommen</t>
  </si>
  <si>
    <t>verschlungen</t>
  </si>
  <si>
    <t>begegnete</t>
  </si>
  <si>
    <t>zwinge</t>
  </si>
  <si>
    <t>fügt</t>
  </si>
  <si>
    <t>youtube</t>
  </si>
  <si>
    <t>wiedererkannt</t>
  </si>
  <si>
    <t>einklang</t>
  </si>
  <si>
    <t>leopard</t>
  </si>
  <si>
    <t>zukommt</t>
  </si>
  <si>
    <t>hälst</t>
  </si>
  <si>
    <t>benedict</t>
  </si>
  <si>
    <t>shaolin</t>
  </si>
  <si>
    <t>reingegangen</t>
  </si>
  <si>
    <t>signatur</t>
  </si>
  <si>
    <t>unbedeutend</t>
  </si>
  <si>
    <t>hinterzimmer</t>
  </si>
  <si>
    <t>einführung</t>
  </si>
  <si>
    <t>henrys</t>
  </si>
  <si>
    <t>skala</t>
  </si>
  <si>
    <t>leidtun</t>
  </si>
  <si>
    <t>poppy</t>
  </si>
  <si>
    <t>hohem</t>
  </si>
  <si>
    <t>röhre</t>
  </si>
  <si>
    <t>pilz</t>
  </si>
  <si>
    <t>mutanten</t>
  </si>
  <si>
    <t>beklaut</t>
  </si>
  <si>
    <t>totschlag</t>
  </si>
  <si>
    <t>existiere</t>
  </si>
  <si>
    <t>vorzüge</t>
  </si>
  <si>
    <t>erwerben</t>
  </si>
  <si>
    <t>auftritte</t>
  </si>
  <si>
    <t>control</t>
  </si>
  <si>
    <t>ausrasten</t>
  </si>
  <si>
    <t>gewendet</t>
  </si>
  <si>
    <t>abwaschen</t>
  </si>
  <si>
    <t>rodeo</t>
  </si>
  <si>
    <t>billiges</t>
  </si>
  <si>
    <t>abwärts</t>
  </si>
  <si>
    <t>gefallenen</t>
  </si>
  <si>
    <t>aufschub</t>
  </si>
  <si>
    <t>clem</t>
  </si>
  <si>
    <t>anhalter</t>
  </si>
  <si>
    <t>jammert</t>
  </si>
  <si>
    <t>geschwollen</t>
  </si>
  <si>
    <t>zuhörer</t>
  </si>
  <si>
    <t>andrej</t>
  </si>
  <si>
    <t>alarmiert</t>
  </si>
  <si>
    <t>wendell</t>
  </si>
  <si>
    <t>gerichtshof</t>
  </si>
  <si>
    <t>vorhabe</t>
  </si>
  <si>
    <t>rituale</t>
  </si>
  <si>
    <t>faszinierende</t>
  </si>
  <si>
    <t>versuchs</t>
  </si>
  <si>
    <t>lyndsey</t>
  </si>
  <si>
    <t>schlafanzug</t>
  </si>
  <si>
    <t>vernünftigen</t>
  </si>
  <si>
    <t>hinterlasst</t>
  </si>
  <si>
    <t>todesangst</t>
  </si>
  <si>
    <t>klassischen</t>
  </si>
  <si>
    <t>ehrengast</t>
  </si>
  <si>
    <t>magic</t>
  </si>
  <si>
    <t>zahltag</t>
  </si>
  <si>
    <t>hübscheste</t>
  </si>
  <si>
    <t>cello</t>
  </si>
  <si>
    <t>bestürzt</t>
  </si>
  <si>
    <t>widerspricht</t>
  </si>
  <si>
    <t>überzogen</t>
  </si>
  <si>
    <t>zehnten</t>
  </si>
  <si>
    <t>sea</t>
  </si>
  <si>
    <t>launen</t>
  </si>
  <si>
    <t>snack</t>
  </si>
  <si>
    <t>aj</t>
  </si>
  <si>
    <t>casa</t>
  </si>
  <si>
    <t>kreide</t>
  </si>
  <si>
    <t>lyon</t>
  </si>
  <si>
    <t>hack</t>
  </si>
  <si>
    <t>fisk</t>
  </si>
  <si>
    <t>rennbahn</t>
  </si>
  <si>
    <t>trunkenheit</t>
  </si>
  <si>
    <t>allemal</t>
  </si>
  <si>
    <t>hergebeten</t>
  </si>
  <si>
    <t>geschäftsreise</t>
  </si>
  <si>
    <t>pine</t>
  </si>
  <si>
    <t>krankenschwestern</t>
  </si>
  <si>
    <t>teilten</t>
  </si>
  <si>
    <t>vertuscht</t>
  </si>
  <si>
    <t>mitmenschen</t>
  </si>
  <si>
    <t>vorzüglich</t>
  </si>
  <si>
    <t>lokalisiert</t>
  </si>
  <si>
    <t>beieinander</t>
  </si>
  <si>
    <t>reingesteckt</t>
  </si>
  <si>
    <t>brüderchen</t>
  </si>
  <si>
    <t>wiederkomme</t>
  </si>
  <si>
    <t>anmut</t>
  </si>
  <si>
    <t>traute</t>
  </si>
  <si>
    <t>geordi</t>
  </si>
  <si>
    <t>abstürzen</t>
  </si>
  <si>
    <t>unschlagbar</t>
  </si>
  <si>
    <t>nan</t>
  </si>
  <si>
    <t>anmerken</t>
  </si>
  <si>
    <t>angels</t>
  </si>
  <si>
    <t>alvin</t>
  </si>
  <si>
    <t>connors</t>
  </si>
  <si>
    <t>zivilist</t>
  </si>
  <si>
    <t>lebwohl</t>
  </si>
  <si>
    <t>altersheim</t>
  </si>
  <si>
    <t>riff</t>
  </si>
  <si>
    <t>oberschenkel</t>
  </si>
  <si>
    <t>missbrauchen</t>
  </si>
  <si>
    <t>unvernünftig</t>
  </si>
  <si>
    <t>pastete</t>
  </si>
  <si>
    <t>schwächling</t>
  </si>
  <si>
    <t>ermutigen</t>
  </si>
  <si>
    <t>rausgegangen</t>
  </si>
  <si>
    <t>happen</t>
  </si>
  <si>
    <t>geflirtet</t>
  </si>
  <si>
    <t>reale</t>
  </si>
  <si>
    <t>hergezogen</t>
  </si>
  <si>
    <t>enormen</t>
  </si>
  <si>
    <t>achterbahn</t>
  </si>
  <si>
    <t>niedergebrannt</t>
  </si>
  <si>
    <t>spalt</t>
  </si>
  <si>
    <t>parkhaus</t>
  </si>
  <si>
    <t>wesentlichen</t>
  </si>
  <si>
    <t>hamster</t>
  </si>
  <si>
    <t>unternehmer</t>
  </si>
  <si>
    <t>retteten</t>
  </si>
  <si>
    <t>gezerrt</t>
  </si>
  <si>
    <t>casanova</t>
  </si>
  <si>
    <t>aufgeladen</t>
  </si>
  <si>
    <t>aufwuchs</t>
  </si>
  <si>
    <t>panisch</t>
  </si>
  <si>
    <t>machine</t>
  </si>
  <si>
    <t>glänzen</t>
  </si>
  <si>
    <t>ordentliche</t>
  </si>
  <si>
    <t>mördern</t>
  </si>
  <si>
    <t>atlantik</t>
  </si>
  <si>
    <t>verkorkst</t>
  </si>
  <si>
    <t>ladyschaft</t>
  </si>
  <si>
    <t>pinsel</t>
  </si>
  <si>
    <t>por</t>
  </si>
  <si>
    <t>wählst</t>
  </si>
  <si>
    <t>koffein</t>
  </si>
  <si>
    <t>kol</t>
  </si>
  <si>
    <t>verteidigst</t>
  </si>
  <si>
    <t>perversling</t>
  </si>
  <si>
    <t>lücken</t>
  </si>
  <si>
    <t>einigermaßen</t>
  </si>
  <si>
    <t>gesunder</t>
  </si>
  <si>
    <t>che</t>
  </si>
  <si>
    <t>schwörst</t>
  </si>
  <si>
    <t>türsteher</t>
  </si>
  <si>
    <t>guillaume</t>
  </si>
  <si>
    <t>boah</t>
  </si>
  <si>
    <t>stiche</t>
  </si>
  <si>
    <t>schneesturm</t>
  </si>
  <si>
    <t>rausziehen</t>
  </si>
  <si>
    <t>luka</t>
  </si>
  <si>
    <t>gesteuert</t>
  </si>
  <si>
    <t>pubertät</t>
  </si>
  <si>
    <t>aufkommen</t>
  </si>
  <si>
    <t>sykes</t>
  </si>
  <si>
    <t>theke</t>
  </si>
  <si>
    <t>meerjungfrau</t>
  </si>
  <si>
    <t>ausgibt</t>
  </si>
  <si>
    <t>propaganda</t>
  </si>
  <si>
    <t>tüten</t>
  </si>
  <si>
    <t>ausländischen</t>
  </si>
  <si>
    <t>ingenieure</t>
  </si>
  <si>
    <t>unterhielten</t>
  </si>
  <si>
    <t>zod</t>
  </si>
  <si>
    <t>schwierigste</t>
  </si>
  <si>
    <t>maja</t>
  </si>
  <si>
    <t>lehrling</t>
  </si>
  <si>
    <t>bam</t>
  </si>
  <si>
    <t>aufwache</t>
  </si>
  <si>
    <t>krater</t>
  </si>
  <si>
    <t>vorbeigehen</t>
  </si>
  <si>
    <t>bahamas</t>
  </si>
  <si>
    <t>marschall</t>
  </si>
  <si>
    <t>funktionen</t>
  </si>
  <si>
    <t>nero</t>
  </si>
  <si>
    <t>comic</t>
  </si>
  <si>
    <t>grande</t>
  </si>
  <si>
    <t>dümmer</t>
  </si>
  <si>
    <t>aufregender</t>
  </si>
  <si>
    <t>schwimmbad</t>
  </si>
  <si>
    <t>alledem</t>
  </si>
  <si>
    <t>pfahl</t>
  </si>
  <si>
    <t>wellington</t>
  </si>
  <si>
    <t>ringo</t>
  </si>
  <si>
    <t>pracht</t>
  </si>
  <si>
    <t>etagen</t>
  </si>
  <si>
    <t>lsd</t>
  </si>
  <si>
    <t>j.r.</t>
  </si>
  <si>
    <t>urkunde</t>
  </si>
  <si>
    <t>rummel</t>
  </si>
  <si>
    <t>fackeln</t>
  </si>
  <si>
    <t>urgroßvater</t>
  </si>
  <si>
    <t>darbietung</t>
  </si>
  <si>
    <t>tierisch</t>
  </si>
  <si>
    <t>kathleen</t>
  </si>
  <si>
    <t>ain</t>
  </si>
  <si>
    <t>kartons</t>
  </si>
  <si>
    <t>neige</t>
  </si>
  <si>
    <t>kirschen</t>
  </si>
  <si>
    <t>maschinengewehr</t>
  </si>
  <si>
    <t>poe</t>
  </si>
  <si>
    <t>rodriguez</t>
  </si>
  <si>
    <t>blackout</t>
  </si>
  <si>
    <t>crawley</t>
  </si>
  <si>
    <t>gepasst</t>
  </si>
  <si>
    <t>feigen</t>
  </si>
  <si>
    <t>mitgliedern</t>
  </si>
  <si>
    <t>wertvollen</t>
  </si>
  <si>
    <t>späher</t>
  </si>
  <si>
    <t>meisters</t>
  </si>
  <si>
    <t>beecher</t>
  </si>
  <si>
    <t>hypothetisch</t>
  </si>
  <si>
    <t>god</t>
  </si>
  <si>
    <t>rice</t>
  </si>
  <si>
    <t>brother</t>
  </si>
  <si>
    <t>ansager</t>
  </si>
  <si>
    <t>going</t>
  </si>
  <si>
    <t>kaputtmachen</t>
  </si>
  <si>
    <t>hampton</t>
  </si>
  <si>
    <t>versperrt</t>
  </si>
  <si>
    <t>offenheit</t>
  </si>
  <si>
    <t>pferdchen</t>
  </si>
  <si>
    <t>janine</t>
  </si>
  <si>
    <t>rannten</t>
  </si>
  <si>
    <t>emerson</t>
  </si>
  <si>
    <t>niedriger</t>
  </si>
  <si>
    <t>rausnehmen</t>
  </si>
  <si>
    <t>linkshänder</t>
  </si>
  <si>
    <t>wickeln</t>
  </si>
  <si>
    <t>wütende</t>
  </si>
  <si>
    <t>lieblingsessen</t>
  </si>
  <si>
    <t>t.j.</t>
  </si>
  <si>
    <t>exemplare</t>
  </si>
  <si>
    <t>handyklingeln</t>
  </si>
  <si>
    <t>ehrenwerte</t>
  </si>
  <si>
    <t>centauri</t>
  </si>
  <si>
    <t>miez</t>
  </si>
  <si>
    <t>micah</t>
  </si>
  <si>
    <t>zerbrach</t>
  </si>
  <si>
    <t>verzeihst</t>
  </si>
  <si>
    <t>schwacher</t>
  </si>
  <si>
    <t>watts</t>
  </si>
  <si>
    <t>skulptur</t>
  </si>
  <si>
    <t>jedermanns</t>
  </si>
  <si>
    <t>völlige</t>
  </si>
  <si>
    <t>unterdrückung</t>
  </si>
  <si>
    <t>gebüsch</t>
  </si>
  <si>
    <t>fucking</t>
  </si>
  <si>
    <t>magd</t>
  </si>
  <si>
    <t>schultag</t>
  </si>
  <si>
    <t>dion</t>
  </si>
  <si>
    <t>bbc</t>
  </si>
  <si>
    <t>reha</t>
  </si>
  <si>
    <t>taucher</t>
  </si>
  <si>
    <t>biologischen</t>
  </si>
  <si>
    <t>dummerweise</t>
  </si>
  <si>
    <t>mikes</t>
  </si>
  <si>
    <t>guido</t>
  </si>
  <si>
    <t>lexie</t>
  </si>
  <si>
    <t>rabe</t>
  </si>
  <si>
    <t>entwürfe</t>
  </si>
  <si>
    <t>landwirtschaft</t>
  </si>
  <si>
    <t>unbequem</t>
  </si>
  <si>
    <t>flippt</t>
  </si>
  <si>
    <t>malerei</t>
  </si>
  <si>
    <t>gewässer</t>
  </si>
  <si>
    <t>bubba</t>
  </si>
  <si>
    <t>krumm</t>
  </si>
  <si>
    <t>überlastet</t>
  </si>
  <si>
    <t>scheißkerle</t>
  </si>
  <si>
    <t>haute</t>
  </si>
  <si>
    <t>selbstzerstörung</t>
  </si>
  <si>
    <t>eisernen</t>
  </si>
  <si>
    <t>smiley</t>
  </si>
  <si>
    <t>amüsierst</t>
  </si>
  <si>
    <t>casper</t>
  </si>
  <si>
    <t>plätzen</t>
  </si>
  <si>
    <t>tropft</t>
  </si>
  <si>
    <t>mc</t>
  </si>
  <si>
    <t>katholische</t>
  </si>
  <si>
    <t>andi</t>
  </si>
  <si>
    <t>manuell</t>
  </si>
  <si>
    <t>vorarbeiter</t>
  </si>
  <si>
    <t>schubs</t>
  </si>
  <si>
    <t>benton</t>
  </si>
  <si>
    <t>verhelfen</t>
  </si>
  <si>
    <t>beschäftige</t>
  </si>
  <si>
    <t>zelte</t>
  </si>
  <si>
    <t>neigung</t>
  </si>
  <si>
    <t>giulia</t>
  </si>
  <si>
    <t>raoul</t>
  </si>
  <si>
    <t>schweigepflicht</t>
  </si>
  <si>
    <t>pokern</t>
  </si>
  <si>
    <t>miau</t>
  </si>
  <si>
    <t>spionage</t>
  </si>
  <si>
    <t>begeistern</t>
  </si>
  <si>
    <t>fertiggemacht</t>
  </si>
  <si>
    <t>markierung</t>
  </si>
  <si>
    <t>ying</t>
  </si>
  <si>
    <t>krähe</t>
  </si>
  <si>
    <t>carmine</t>
  </si>
  <si>
    <t>marquez</t>
  </si>
  <si>
    <t>knüppel</t>
  </si>
  <si>
    <t>eintragen</t>
  </si>
  <si>
    <t>alfie</t>
  </si>
  <si>
    <t>spritzt</t>
  </si>
  <si>
    <t>kaff</t>
  </si>
  <si>
    <t>rausgelassen</t>
  </si>
  <si>
    <t>strohhalm</t>
  </si>
  <si>
    <t>recherchen</t>
  </si>
  <si>
    <t>gleichmäßig</t>
  </si>
  <si>
    <t>j.t.</t>
  </si>
  <si>
    <t>aura</t>
  </si>
  <si>
    <t>automatische</t>
  </si>
  <si>
    <t>bumst</t>
  </si>
  <si>
    <t>gig</t>
  </si>
  <si>
    <t>arterie</t>
  </si>
  <si>
    <t>lecter</t>
  </si>
  <si>
    <t>blondie</t>
  </si>
  <si>
    <t>verfolgten</t>
  </si>
  <si>
    <t>durchlaufen</t>
  </si>
  <si>
    <t>grobe</t>
  </si>
  <si>
    <t>zauberhaften</t>
  </si>
  <si>
    <t>gelächelt</t>
  </si>
  <si>
    <t>cockpit</t>
  </si>
  <si>
    <t>vollmacht</t>
  </si>
  <si>
    <t>dixie</t>
  </si>
  <si>
    <t>gekratzt</t>
  </si>
  <si>
    <t>beta</t>
  </si>
  <si>
    <t>respektvoll</t>
  </si>
  <si>
    <t>hard</t>
  </si>
  <si>
    <t>professioneller</t>
  </si>
  <si>
    <t>prostituierten</t>
  </si>
  <si>
    <t>gefährten</t>
  </si>
  <si>
    <t>entbehren</t>
  </si>
  <si>
    <t>jungfräulichkeit</t>
  </si>
  <si>
    <t>täglichen</t>
  </si>
  <si>
    <t>unterhalte</t>
  </si>
  <si>
    <t>korsak</t>
  </si>
  <si>
    <t>rockstar</t>
  </si>
  <si>
    <t>verdrängt</t>
  </si>
  <si>
    <t>zement</t>
  </si>
  <si>
    <t>verschone</t>
  </si>
  <si>
    <t>ewiges</t>
  </si>
  <si>
    <t>untersagt</t>
  </si>
  <si>
    <t>staatlichen</t>
  </si>
  <si>
    <t>tubbs</t>
  </si>
  <si>
    <t>visage</t>
  </si>
  <si>
    <t>schlüpfen</t>
  </si>
  <si>
    <t>jag</t>
  </si>
  <si>
    <t>umgibt</t>
  </si>
  <si>
    <t>konrad</t>
  </si>
  <si>
    <t>beschäftigung</t>
  </si>
  <si>
    <t>eingeborenen</t>
  </si>
  <si>
    <t>heikle</t>
  </si>
  <si>
    <t>standhalten</t>
  </si>
  <si>
    <t>reilly</t>
  </si>
  <si>
    <t>aufschrei</t>
  </si>
  <si>
    <t>vermag</t>
  </si>
  <si>
    <t>schnürsenkel</t>
  </si>
  <si>
    <t>rettungswagen</t>
  </si>
  <si>
    <t>gala</t>
  </si>
  <si>
    <t>schwuchteln</t>
  </si>
  <si>
    <t>memorial</t>
  </si>
  <si>
    <t>auffällt</t>
  </si>
  <si>
    <t>gewöhne</t>
  </si>
  <si>
    <t>übersteigt</t>
  </si>
  <si>
    <t>mutigen</t>
  </si>
  <si>
    <t>scheiterhaufen</t>
  </si>
  <si>
    <t>permanent</t>
  </si>
  <si>
    <t>machtest</t>
  </si>
  <si>
    <t>kã</t>
  </si>
  <si>
    <t>kulissen</t>
  </si>
  <si>
    <t>psychiatrische</t>
  </si>
  <si>
    <t>armand</t>
  </si>
  <si>
    <t>zusammensetzen</t>
  </si>
  <si>
    <t>offizieller</t>
  </si>
  <si>
    <t>eingehalten</t>
  </si>
  <si>
    <t>oakland</t>
  </si>
  <si>
    <t>glücks</t>
  </si>
  <si>
    <t>crichton</t>
  </si>
  <si>
    <t>wink</t>
  </si>
  <si>
    <t>jacky</t>
  </si>
  <si>
    <t>überlebst</t>
  </si>
  <si>
    <t>radius</t>
  </si>
  <si>
    <t>nachwuchs</t>
  </si>
  <si>
    <t>winselt</t>
  </si>
  <si>
    <t>natürlicher</t>
  </si>
  <si>
    <t>kristen</t>
  </si>
  <si>
    <t>risse</t>
  </si>
  <si>
    <t>stewardess</t>
  </si>
  <si>
    <t>babies</t>
  </si>
  <si>
    <t>geschenken</t>
  </si>
  <si>
    <t>labs</t>
  </si>
  <si>
    <t>gefreiter</t>
  </si>
  <si>
    <t>dirty</t>
  </si>
  <si>
    <t>full</t>
  </si>
  <si>
    <t>garfield</t>
  </si>
  <si>
    <t>endlosen</t>
  </si>
  <si>
    <t>erfolglos</t>
  </si>
  <si>
    <t>destiny</t>
  </si>
  <si>
    <t>pharao</t>
  </si>
  <si>
    <t>knutschen</t>
  </si>
  <si>
    <t>rechtmäßigen</t>
  </si>
  <si>
    <t>sutter</t>
  </si>
  <si>
    <t>liebesgeschichte</t>
  </si>
  <si>
    <t>notfälle</t>
  </si>
  <si>
    <t>stiften</t>
  </si>
  <si>
    <t>buchladen</t>
  </si>
  <si>
    <t>abbie</t>
  </si>
  <si>
    <t>superkräfte</t>
  </si>
  <si>
    <t>erhobenen</t>
  </si>
  <si>
    <t>gefälschten</t>
  </si>
  <si>
    <t>bewaffneter</t>
  </si>
  <si>
    <t>architekten</t>
  </si>
  <si>
    <t>geformt</t>
  </si>
  <si>
    <t>tourist</t>
  </si>
  <si>
    <t>delia</t>
  </si>
  <si>
    <t>predigen</t>
  </si>
  <si>
    <t>tonic</t>
  </si>
  <si>
    <t>eingefädelt</t>
  </si>
  <si>
    <t>geronimo</t>
  </si>
  <si>
    <t>titan</t>
  </si>
  <si>
    <t>faktor</t>
  </si>
  <si>
    <t>untersuchte</t>
  </si>
  <si>
    <t>hieße</t>
  </si>
  <si>
    <t>ig</t>
  </si>
  <si>
    <t>stiel</t>
  </si>
  <si>
    <t>galaxis</t>
  </si>
  <si>
    <t>erzwingen</t>
  </si>
  <si>
    <t>channel</t>
  </si>
  <si>
    <t>unternehmens</t>
  </si>
  <si>
    <t>puerto</t>
  </si>
  <si>
    <t>herausholen</t>
  </si>
  <si>
    <t>tatwaffe</t>
  </si>
  <si>
    <t>mall</t>
  </si>
  <si>
    <t>offensive</t>
  </si>
  <si>
    <t>behauptung</t>
  </si>
  <si>
    <t>sehnt</t>
  </si>
  <si>
    <t>mã</t>
  </si>
  <si>
    <t>tippe</t>
  </si>
  <si>
    <t>solang</t>
  </si>
  <si>
    <t>schmeicheln</t>
  </si>
  <si>
    <t>unterstellen</t>
  </si>
  <si>
    <t>überzeugte</t>
  </si>
  <si>
    <t>mitarbeiterin</t>
  </si>
  <si>
    <t>wegziehen</t>
  </si>
  <si>
    <t>zärtlichkeit</t>
  </si>
  <si>
    <t>hacke</t>
  </si>
  <si>
    <t>bescheuerte</t>
  </si>
  <si>
    <t>geisteskrank</t>
  </si>
  <si>
    <t>wahrnehmen</t>
  </si>
  <si>
    <t>aufnimmt</t>
  </si>
  <si>
    <t>nothing</t>
  </si>
  <si>
    <t>präsidium</t>
  </si>
  <si>
    <t>bewerber</t>
  </si>
  <si>
    <t>spirituelle</t>
  </si>
  <si>
    <t>fröhlichen</t>
  </si>
  <si>
    <t>spannen</t>
  </si>
  <si>
    <t>behauptest</t>
  </si>
  <si>
    <t>klettert</t>
  </si>
  <si>
    <t>unterschriften</t>
  </si>
  <si>
    <t>ferner</t>
  </si>
  <si>
    <t>sowjets</t>
  </si>
  <si>
    <t>arztes</t>
  </si>
  <si>
    <t>eduard</t>
  </si>
  <si>
    <t>durchmachst</t>
  </si>
  <si>
    <t>yi</t>
  </si>
  <si>
    <t>blank</t>
  </si>
  <si>
    <t>tanten</t>
  </si>
  <si>
    <t>lohnen</t>
  </si>
  <si>
    <t>verhauen</t>
  </si>
  <si>
    <t>macy</t>
  </si>
  <si>
    <t>enterprises</t>
  </si>
  <si>
    <t>anstellt</t>
  </si>
  <si>
    <t>erwachte</t>
  </si>
  <si>
    <t>erkundigen</t>
  </si>
  <si>
    <t>programmieren</t>
  </si>
  <si>
    <t>fanatiker</t>
  </si>
  <si>
    <t>gillian</t>
  </si>
  <si>
    <t>bohrer</t>
  </si>
  <si>
    <t>festes</t>
  </si>
  <si>
    <t>pralinen</t>
  </si>
  <si>
    <t>haste</t>
  </si>
  <si>
    <t>sully</t>
  </si>
  <si>
    <t>beistand</t>
  </si>
  <si>
    <t>suzy</t>
  </si>
  <si>
    <t>hackfleisch</t>
  </si>
  <si>
    <t>olle</t>
  </si>
  <si>
    <t>verlobungsring</t>
  </si>
  <si>
    <t>spielregeln</t>
  </si>
  <si>
    <t>compton</t>
  </si>
  <si>
    <t>widerling</t>
  </si>
  <si>
    <t>wäscherei</t>
  </si>
  <si>
    <t>psychologe</t>
  </si>
  <si>
    <t>samstags</t>
  </si>
  <si>
    <t>anhält</t>
  </si>
  <si>
    <t>anprobieren</t>
  </si>
  <si>
    <t>maskottchen</t>
  </si>
  <si>
    <t>auschwitz</t>
  </si>
  <si>
    <t>alarmieren</t>
  </si>
  <si>
    <t>insekt</t>
  </si>
  <si>
    <t>verräterin</t>
  </si>
  <si>
    <t>farce</t>
  </si>
  <si>
    <t>martine</t>
  </si>
  <si>
    <t>micky</t>
  </si>
  <si>
    <t>mixer</t>
  </si>
  <si>
    <t>berücksichtigt</t>
  </si>
  <si>
    <t>mer</t>
  </si>
  <si>
    <t>bibi</t>
  </si>
  <si>
    <t>krankenhauses</t>
  </si>
  <si>
    <t>söhnen</t>
  </si>
  <si>
    <t>nasen</t>
  </si>
  <si>
    <t>parasit</t>
  </si>
  <si>
    <t>absoluten</t>
  </si>
  <si>
    <t>niklaus</t>
  </si>
  <si>
    <t>recherchieren</t>
  </si>
  <si>
    <t>katholiken</t>
  </si>
  <si>
    <t>annehme</t>
  </si>
  <si>
    <t>eingestehen</t>
  </si>
  <si>
    <t>dasein</t>
  </si>
  <si>
    <t>unterkriegen</t>
  </si>
  <si>
    <t>entnehmen</t>
  </si>
  <si>
    <t>lorelei</t>
  </si>
  <si>
    <t>misty</t>
  </si>
  <si>
    <t>leela</t>
  </si>
  <si>
    <t>blitze</t>
  </si>
  <si>
    <t>notwendige</t>
  </si>
  <si>
    <t>westküste</t>
  </si>
  <si>
    <t>grossartig</t>
  </si>
  <si>
    <t>loge</t>
  </si>
  <si>
    <t>verwechslung</t>
  </si>
  <si>
    <t>bashir</t>
  </si>
  <si>
    <t>aufgetreten</t>
  </si>
  <si>
    <t>tragischen</t>
  </si>
  <si>
    <t>bonbon</t>
  </si>
  <si>
    <t>ghetto</t>
  </si>
  <si>
    <t>arlene</t>
  </si>
  <si>
    <t>piano</t>
  </si>
  <si>
    <t>stattfand</t>
  </si>
  <si>
    <t>lebendige</t>
  </si>
  <si>
    <t>lonnie</t>
  </si>
  <si>
    <t>sanfter</t>
  </si>
  <si>
    <t>rascheln</t>
  </si>
  <si>
    <t>zugänglich</t>
  </si>
  <si>
    <t>bloody</t>
  </si>
  <si>
    <t>bankier</t>
  </si>
  <si>
    <t>tyrannei</t>
  </si>
  <si>
    <t>udo</t>
  </si>
  <si>
    <t>stinker</t>
  </si>
  <si>
    <t>lächelte</t>
  </si>
  <si>
    <t>versäumen</t>
  </si>
  <si>
    <t>romantischer</t>
  </si>
  <si>
    <t>verzieht</t>
  </si>
  <si>
    <t>viv</t>
  </si>
  <si>
    <t>ohrfeige</t>
  </si>
  <si>
    <t>gewaltsam</t>
  </si>
  <si>
    <t>quatscht</t>
  </si>
  <si>
    <t>gretel</t>
  </si>
  <si>
    <t>kobold</t>
  </si>
  <si>
    <t>befehlshaber</t>
  </si>
  <si>
    <t>wilkes</t>
  </si>
  <si>
    <t>eiserne</t>
  </si>
  <si>
    <t>dachtet</t>
  </si>
  <si>
    <t>kerls</t>
  </si>
  <si>
    <t>beisammen</t>
  </si>
  <si>
    <t>würgen</t>
  </si>
  <si>
    <t>unteroffizier</t>
  </si>
  <si>
    <t>reagierst</t>
  </si>
  <si>
    <t>pusten</t>
  </si>
  <si>
    <t>befolge</t>
  </si>
  <si>
    <t>these</t>
  </si>
  <si>
    <t>überschätzt</t>
  </si>
  <si>
    <t>überführen</t>
  </si>
  <si>
    <t>hineingehen</t>
  </si>
  <si>
    <t>hinführen</t>
  </si>
  <si>
    <t>fledermäuse</t>
  </si>
  <si>
    <t>reizt</t>
  </si>
  <si>
    <t>bankräuber</t>
  </si>
  <si>
    <t>body</t>
  </si>
  <si>
    <t>beleidigungen</t>
  </si>
  <si>
    <t>vorspeise</t>
  </si>
  <si>
    <t>toronto</t>
  </si>
  <si>
    <t>umbringe</t>
  </si>
  <si>
    <t>sofortiger</t>
  </si>
  <si>
    <t>müllcontainer</t>
  </si>
  <si>
    <t>tomate</t>
  </si>
  <si>
    <t>exekution</t>
  </si>
  <si>
    <t>sirup</t>
  </si>
  <si>
    <t>unabhängige</t>
  </si>
  <si>
    <t>hallelujah</t>
  </si>
  <si>
    <t>glänzt</t>
  </si>
  <si>
    <t>besagen</t>
  </si>
  <si>
    <t>konfrontation</t>
  </si>
  <si>
    <t>aussterben</t>
  </si>
  <si>
    <t>ausstattung</t>
  </si>
  <si>
    <t>fotografie</t>
  </si>
  <si>
    <t>nationalgarde</t>
  </si>
  <si>
    <t>aufhöre</t>
  </si>
  <si>
    <t>morddezernat</t>
  </si>
  <si>
    <t>schweinefleisch</t>
  </si>
  <si>
    <t>six</t>
  </si>
  <si>
    <t>yoko</t>
  </si>
  <si>
    <t>reizen</t>
  </si>
  <si>
    <t>brutaler</t>
  </si>
  <si>
    <t>urteile</t>
  </si>
  <si>
    <t>empfehlungen</t>
  </si>
  <si>
    <t>cheyenne</t>
  </si>
  <si>
    <t>pippi</t>
  </si>
  <si>
    <t>irische</t>
  </si>
  <si>
    <t>bäh</t>
  </si>
  <si>
    <t>gouverneurs</t>
  </si>
  <si>
    <t>eifer</t>
  </si>
  <si>
    <t>mutation</t>
  </si>
  <si>
    <t>mittlere</t>
  </si>
  <si>
    <t>vornehm</t>
  </si>
  <si>
    <t>spekulation</t>
  </si>
  <si>
    <t>weiblicher</t>
  </si>
  <si>
    <t>defiant</t>
  </si>
  <si>
    <t>ch</t>
  </si>
  <si>
    <t>antlitz</t>
  </si>
  <si>
    <t>gunn</t>
  </si>
  <si>
    <t>offensichtliche</t>
  </si>
  <si>
    <t>bekamst</t>
  </si>
  <si>
    <t>wilbur</t>
  </si>
  <si>
    <t>außergewöhnlichen</t>
  </si>
  <si>
    <t>wallander</t>
  </si>
  <si>
    <t>cds</t>
  </si>
  <si>
    <t>erwägen</t>
  </si>
  <si>
    <t>zerquetschen</t>
  </si>
  <si>
    <t>antat</t>
  </si>
  <si>
    <t>u.</t>
  </si>
  <si>
    <t>aufzutreiben</t>
  </si>
  <si>
    <t>lenke</t>
  </si>
  <si>
    <t>flott</t>
  </si>
  <si>
    <t>vortreten</t>
  </si>
  <si>
    <t>helles</t>
  </si>
  <si>
    <t>sake</t>
  </si>
  <si>
    <t>trauung</t>
  </si>
  <si>
    <t>leitende</t>
  </si>
  <si>
    <t>beiße</t>
  </si>
  <si>
    <t>erspar</t>
  </si>
  <si>
    <t>unbekanntes</t>
  </si>
  <si>
    <t>technologien</t>
  </si>
  <si>
    <t>columbus</t>
  </si>
  <si>
    <t>landsleute</t>
  </si>
  <si>
    <t>englischer</t>
  </si>
  <si>
    <t>lieh</t>
  </si>
  <si>
    <t>wucht</t>
  </si>
  <si>
    <t>abblasen</t>
  </si>
  <si>
    <t>abi</t>
  </si>
  <si>
    <t>corinne</t>
  </si>
  <si>
    <t>tobi</t>
  </si>
  <si>
    <t>vergießen</t>
  </si>
  <si>
    <t>ale</t>
  </si>
  <si>
    <t>aktiviere</t>
  </si>
  <si>
    <t>lebendigem</t>
  </si>
  <si>
    <t>tin</t>
  </si>
  <si>
    <t>leidtut</t>
  </si>
  <si>
    <t>zulässt</t>
  </si>
  <si>
    <t>bescheidenen</t>
  </si>
  <si>
    <t>mühen</t>
  </si>
  <si>
    <t>verkäuferin</t>
  </si>
  <si>
    <t>wiedergesehen</t>
  </si>
  <si>
    <t>eistee</t>
  </si>
  <si>
    <t>entführten</t>
  </si>
  <si>
    <t>klippen</t>
  </si>
  <si>
    <t>riemen</t>
  </si>
  <si>
    <t>ungesund</t>
  </si>
  <si>
    <t>herausgefordert</t>
  </si>
  <si>
    <t>peace</t>
  </si>
  <si>
    <t>abgehoben</t>
  </si>
  <si>
    <t>beklagt</t>
  </si>
  <si>
    <t>bietest</t>
  </si>
  <si>
    <t>erläutern</t>
  </si>
  <si>
    <t>beerdigungen</t>
  </si>
  <si>
    <t>hung</t>
  </si>
  <si>
    <t>jaime</t>
  </si>
  <si>
    <t>cotton</t>
  </si>
  <si>
    <t>wegging</t>
  </si>
  <si>
    <t>himmlische</t>
  </si>
  <si>
    <t>stabilität</t>
  </si>
  <si>
    <t>ungehorsam</t>
  </si>
  <si>
    <t>wuchsen</t>
  </si>
  <si>
    <t>kamt</t>
  </si>
  <si>
    <t>dumpfbacke</t>
  </si>
  <si>
    <t>samaritan</t>
  </si>
  <si>
    <t>dorfes</t>
  </si>
  <si>
    <t>jepp</t>
  </si>
  <si>
    <t>unmoralisch</t>
  </si>
  <si>
    <t>schlafenszeit</t>
  </si>
  <si>
    <t>durchgezogen</t>
  </si>
  <si>
    <t>schlaumeier</t>
  </si>
  <si>
    <t>klassisch</t>
  </si>
  <si>
    <t>dash</t>
  </si>
  <si>
    <t>wißt</t>
  </si>
  <si>
    <t>margarita</t>
  </si>
  <si>
    <t>herausfinde</t>
  </si>
  <si>
    <t>umstimmen</t>
  </si>
  <si>
    <t>schlossen</t>
  </si>
  <si>
    <t>wegschaffen</t>
  </si>
  <si>
    <t>abteil</t>
  </si>
  <si>
    <t>unverzeihlich</t>
  </si>
  <si>
    <t>augenblicklich</t>
  </si>
  <si>
    <t>fesselt</t>
  </si>
  <si>
    <t>sforza</t>
  </si>
  <si>
    <t>trümmern</t>
  </si>
  <si>
    <t>bürgersteig</t>
  </si>
  <si>
    <t>dunn</t>
  </si>
  <si>
    <t>infanterie</t>
  </si>
  <si>
    <t>süßeste</t>
  </si>
  <si>
    <t>kakerlake</t>
  </si>
  <si>
    <t>beeindruckende</t>
  </si>
  <si>
    <t>zertrümmert</t>
  </si>
  <si>
    <t>liebeskummer</t>
  </si>
  <si>
    <t>endgültige</t>
  </si>
  <si>
    <t>übertreffen</t>
  </si>
  <si>
    <t>valium</t>
  </si>
  <si>
    <t>schnellstmöglich</t>
  </si>
  <si>
    <t>bedecken</t>
  </si>
  <si>
    <t>gnadenlos</t>
  </si>
  <si>
    <t>titelmusik</t>
  </si>
  <si>
    <t>begierde</t>
  </si>
  <si>
    <t>syrien</t>
  </si>
  <si>
    <t>hmmm</t>
  </si>
  <si>
    <t>zurückschlagen</t>
  </si>
  <si>
    <t>negativen</t>
  </si>
  <si>
    <t>believe</t>
  </si>
  <si>
    <t>zirkel</t>
  </si>
  <si>
    <t>werben</t>
  </si>
  <si>
    <t>gemüt</t>
  </si>
  <si>
    <t>taxis</t>
  </si>
  <si>
    <t>sunshine</t>
  </si>
  <si>
    <t>basteln</t>
  </si>
  <si>
    <t>beinbruch</t>
  </si>
  <si>
    <t>rückschlag</t>
  </si>
  <si>
    <t>feigheit</t>
  </si>
  <si>
    <t>verspäten</t>
  </si>
  <si>
    <t>aires</t>
  </si>
  <si>
    <t>genetischen</t>
  </si>
  <si>
    <t>leinen</t>
  </si>
  <si>
    <t>abspielen</t>
  </si>
  <si>
    <t>fahrerflucht</t>
  </si>
  <si>
    <t>enthielt</t>
  </si>
  <si>
    <t>wohnheim</t>
  </si>
  <si>
    <t>sylvie</t>
  </si>
  <si>
    <t>papieren</t>
  </si>
  <si>
    <t>überlebten</t>
  </si>
  <si>
    <t>steroide</t>
  </si>
  <si>
    <t>formulieren</t>
  </si>
  <si>
    <t>labil</t>
  </si>
  <si>
    <t>geheimhaltung</t>
  </si>
  <si>
    <t>zusammenzuarbeiten</t>
  </si>
  <si>
    <t>chemischen</t>
  </si>
  <si>
    <t>wählten</t>
  </si>
  <si>
    <t>herausbekommen</t>
  </si>
  <si>
    <t>vorderen</t>
  </si>
  <si>
    <t>bestenfalls</t>
  </si>
  <si>
    <t>bluffen</t>
  </si>
  <si>
    <t>fingerabdrücken</t>
  </si>
  <si>
    <t>erinner</t>
  </si>
  <si>
    <t>schraubenzieher</t>
  </si>
  <si>
    <t>abbringen</t>
  </si>
  <si>
    <t>stütze</t>
  </si>
  <si>
    <t>anja</t>
  </si>
  <si>
    <t>halunke</t>
  </si>
  <si>
    <t>gunther</t>
  </si>
  <si>
    <t>prellungen</t>
  </si>
  <si>
    <t>klettere</t>
  </si>
  <si>
    <t>schmerzlos</t>
  </si>
  <si>
    <t>high-school</t>
  </si>
  <si>
    <t>verwandle</t>
  </si>
  <si>
    <t>verständnisvoll</t>
  </si>
  <si>
    <t>rossi</t>
  </si>
  <si>
    <t>annette</t>
  </si>
  <si>
    <t>zahnpasta</t>
  </si>
  <si>
    <t>stach</t>
  </si>
  <si>
    <t>80er</t>
  </si>
  <si>
    <t>gefährlichste</t>
  </si>
  <si>
    <t>tagesordnung</t>
  </si>
  <si>
    <t>kalorien</t>
  </si>
  <si>
    <t>aufgedreht</t>
  </si>
  <si>
    <t>ire</t>
  </si>
  <si>
    <t>verklemmt</t>
  </si>
  <si>
    <t>prescott</t>
  </si>
  <si>
    <t>hügeln</t>
  </si>
  <si>
    <t>durchbrochen</t>
  </si>
  <si>
    <t>rechner</t>
  </si>
  <si>
    <t>schimmel</t>
  </si>
  <si>
    <t>seaquest</t>
  </si>
  <si>
    <t>hotdogs</t>
  </si>
  <si>
    <t>komplott</t>
  </si>
  <si>
    <t>jana</t>
  </si>
  <si>
    <t>vögelst</t>
  </si>
  <si>
    <t>vernichte</t>
  </si>
  <si>
    <t>taille</t>
  </si>
  <si>
    <t>abkaufen</t>
  </si>
  <si>
    <t>täusche</t>
  </si>
  <si>
    <t>totalen</t>
  </si>
  <si>
    <t>geburtstage</t>
  </si>
  <si>
    <t>tonband</t>
  </si>
  <si>
    <t>grundlagen</t>
  </si>
  <si>
    <t>monstern</t>
  </si>
  <si>
    <t>gerechtfertigt</t>
  </si>
  <si>
    <t>telefonate</t>
  </si>
  <si>
    <t>weitersuchen</t>
  </si>
  <si>
    <t>hinzugefügt</t>
  </si>
  <si>
    <t>erwidert</t>
  </si>
  <si>
    <t>säule</t>
  </si>
  <si>
    <t>foul</t>
  </si>
  <si>
    <t>dänen</t>
  </si>
  <si>
    <t>hintereingang</t>
  </si>
  <si>
    <t>marcia</t>
  </si>
  <si>
    <t>jeanette</t>
  </si>
  <si>
    <t>hurrikan</t>
  </si>
  <si>
    <t>trump</t>
  </si>
  <si>
    <t>antiken</t>
  </si>
  <si>
    <t>corporation</t>
  </si>
  <si>
    <t>zauberstab</t>
  </si>
  <si>
    <t>verschlechtert</t>
  </si>
  <si>
    <t>teleskop</t>
  </si>
  <si>
    <t>torrente</t>
  </si>
  <si>
    <t>verlangsamen</t>
  </si>
  <si>
    <t>glänzende</t>
  </si>
  <si>
    <t>verabscheue</t>
  </si>
  <si>
    <t>schachzug</t>
  </si>
  <si>
    <t>zuversicht</t>
  </si>
  <si>
    <t>fluchtweg</t>
  </si>
  <si>
    <t>ertrag</t>
  </si>
  <si>
    <t>hui</t>
  </si>
  <si>
    <t>taverne</t>
  </si>
  <si>
    <t>luftschleuse</t>
  </si>
  <si>
    <t>gefühlvolle</t>
  </si>
  <si>
    <t>überlasst</t>
  </si>
  <si>
    <t>skywalker</t>
  </si>
  <si>
    <t>moor</t>
  </si>
  <si>
    <t>elektriker</t>
  </si>
  <si>
    <t>genitalien</t>
  </si>
  <si>
    <t>ausbreiten</t>
  </si>
  <si>
    <t>stones</t>
  </si>
  <si>
    <t>binnen</t>
  </si>
  <si>
    <t>rechtfertigt</t>
  </si>
  <si>
    <t>elanna</t>
  </si>
  <si>
    <t>anheben</t>
  </si>
  <si>
    <t>runterholen</t>
  </si>
  <si>
    <t>schweige</t>
  </si>
  <si>
    <t>preisgeben</t>
  </si>
  <si>
    <t>bernardo</t>
  </si>
  <si>
    <t>dottie</t>
  </si>
  <si>
    <t>ahnst</t>
  </si>
  <si>
    <t>falk</t>
  </si>
  <si>
    <t>burnett</t>
  </si>
  <si>
    <t>everybody</t>
  </si>
  <si>
    <t>bizarr</t>
  </si>
  <si>
    <t>fraser</t>
  </si>
  <si>
    <t>aspekte</t>
  </si>
  <si>
    <t>ramón</t>
  </si>
  <si>
    <t>schummeln</t>
  </si>
  <si>
    <t>toren</t>
  </si>
  <si>
    <t>unsern</t>
  </si>
  <si>
    <t>gemeinen</t>
  </si>
  <si>
    <t>vernommen</t>
  </si>
  <si>
    <t>satans</t>
  </si>
  <si>
    <t>pudel</t>
  </si>
  <si>
    <t>wandel</t>
  </si>
  <si>
    <t>fötus</t>
  </si>
  <si>
    <t>umbringst</t>
  </si>
  <si>
    <t>seoul</t>
  </si>
  <si>
    <t>halluzination</t>
  </si>
  <si>
    <t>rekrutieren</t>
  </si>
  <si>
    <t>stamme</t>
  </si>
  <si>
    <t>fokus</t>
  </si>
  <si>
    <t>kreative</t>
  </si>
  <si>
    <t>neujahr</t>
  </si>
  <si>
    <t>dünnen</t>
  </si>
  <si>
    <t>patrioten</t>
  </si>
  <si>
    <t>bowlen</t>
  </si>
  <si>
    <t>replikatoren</t>
  </si>
  <si>
    <t>roberta</t>
  </si>
  <si>
    <t>krepieren</t>
  </si>
  <si>
    <t>schnupfen</t>
  </si>
  <si>
    <t>toms</t>
  </si>
  <si>
    <t>verdauen</t>
  </si>
  <si>
    <t>muschis</t>
  </si>
  <si>
    <t>magisches</t>
  </si>
  <si>
    <t>bares</t>
  </si>
  <si>
    <t>zeitreisen</t>
  </si>
  <si>
    <t>stande</t>
  </si>
  <si>
    <t>schlafmittel</t>
  </si>
  <si>
    <t>tölpel</t>
  </si>
  <si>
    <t>vierter</t>
  </si>
  <si>
    <t>zeitlinie</t>
  </si>
  <si>
    <t>had</t>
  </si>
  <si>
    <t>stolpern</t>
  </si>
  <si>
    <t>enkelkinder</t>
  </si>
  <si>
    <t>verdeckte</t>
  </si>
  <si>
    <t>richtete</t>
  </si>
  <si>
    <t>urne</t>
  </si>
  <si>
    <t>hollis</t>
  </si>
  <si>
    <t>verheimlichst</t>
  </si>
  <si>
    <t>nerd</t>
  </si>
  <si>
    <t>generals</t>
  </si>
  <si>
    <t>ekg</t>
  </si>
  <si>
    <t>durchzuziehen</t>
  </si>
  <si>
    <t>geregnet</t>
  </si>
  <si>
    <t>ausschlafen</t>
  </si>
  <si>
    <t>alpen</t>
  </si>
  <si>
    <t>pence</t>
  </si>
  <si>
    <t>kinderwagen</t>
  </si>
  <si>
    <t>ladet</t>
  </si>
  <si>
    <t>ungezogen</t>
  </si>
  <si>
    <t>revanche</t>
  </si>
  <si>
    <t>mika</t>
  </si>
  <si>
    <t>tiny</t>
  </si>
  <si>
    <t>weismachen</t>
  </si>
  <si>
    <t>zukünftiger</t>
  </si>
  <si>
    <t>mamie</t>
  </si>
  <si>
    <t>cause</t>
  </si>
  <si>
    <t>verhältnisse</t>
  </si>
  <si>
    <t>rubel</t>
  </si>
  <si>
    <t>baumwolle</t>
  </si>
  <si>
    <t>erniedrigt</t>
  </si>
  <si>
    <t>warpantrieb</t>
  </si>
  <si>
    <t>moderner</t>
  </si>
  <si>
    <t>ramona</t>
  </si>
  <si>
    <t>manu</t>
  </si>
  <si>
    <t>zählst</t>
  </si>
  <si>
    <t>vogelgezwitscher</t>
  </si>
  <si>
    <t>studierst</t>
  </si>
  <si>
    <t>spalten</t>
  </si>
  <si>
    <t>mcgill</t>
  </si>
  <si>
    <t>asgard</t>
  </si>
  <si>
    <t>außenminister</t>
  </si>
  <si>
    <t>angedeutet</t>
  </si>
  <si>
    <t>gurke</t>
  </si>
  <si>
    <t>zelda</t>
  </si>
  <si>
    <t>dominique</t>
  </si>
  <si>
    <t>lucius</t>
  </si>
  <si>
    <t>were</t>
  </si>
  <si>
    <t>verpfeifen</t>
  </si>
  <si>
    <t>auslachen</t>
  </si>
  <si>
    <t>lebenswerk</t>
  </si>
  <si>
    <t>demokraten</t>
  </si>
  <si>
    <t>kaiserlichen</t>
  </si>
  <si>
    <t>ncis</t>
  </si>
  <si>
    <t>quoten</t>
  </si>
  <si>
    <t>geheimnissen</t>
  </si>
  <si>
    <t>freitags</t>
  </si>
  <si>
    <t>ganoven</t>
  </si>
  <si>
    <t>tanzten</t>
  </si>
  <si>
    <t>einlässt</t>
  </si>
  <si>
    <t>taktische</t>
  </si>
  <si>
    <t>aufkreuzen</t>
  </si>
  <si>
    <t>existierte</t>
  </si>
  <si>
    <t>cardassia</t>
  </si>
  <si>
    <t>zittere</t>
  </si>
  <si>
    <t>havanna</t>
  </si>
  <si>
    <t>vertreibt</t>
  </si>
  <si>
    <t>anspruchsvoll</t>
  </si>
  <si>
    <t>beendete</t>
  </si>
  <si>
    <t>rocken</t>
  </si>
  <si>
    <t>rubin</t>
  </si>
  <si>
    <t>darla</t>
  </si>
  <si>
    <t>hinwegkommen</t>
  </si>
  <si>
    <t>mind</t>
  </si>
  <si>
    <t>erbin</t>
  </si>
  <si>
    <t>winkt</t>
  </si>
  <si>
    <t>internationaler</t>
  </si>
  <si>
    <t>umzulegen</t>
  </si>
  <si>
    <t>brandt</t>
  </si>
  <si>
    <t>nageln</t>
  </si>
  <si>
    <t>denkbar</t>
  </si>
  <si>
    <t>lilith</t>
  </si>
  <si>
    <t>ausweisen</t>
  </si>
  <si>
    <t>mayo</t>
  </si>
  <si>
    <t>türkisch</t>
  </si>
  <si>
    <t>erbarme</t>
  </si>
  <si>
    <t>hinterwäldler</t>
  </si>
  <si>
    <t>göttlichen</t>
  </si>
  <si>
    <t>gequatsche</t>
  </si>
  <si>
    <t>lowell</t>
  </si>
  <si>
    <t>fonds</t>
  </si>
  <si>
    <t>aufgeschlossen</t>
  </si>
  <si>
    <t>foley</t>
  </si>
  <si>
    <t>welpe</t>
  </si>
  <si>
    <t>töchtern</t>
  </si>
  <si>
    <t>abzulehnen</t>
  </si>
  <si>
    <t>hastig</t>
  </si>
  <si>
    <t>pi</t>
  </si>
  <si>
    <t>bürgern</t>
  </si>
  <si>
    <t>polizeisirene</t>
  </si>
  <si>
    <t>anführerin</t>
  </si>
  <si>
    <t>zählte</t>
  </si>
  <si>
    <t>beschmutzt</t>
  </si>
  <si>
    <t>zubereiten</t>
  </si>
  <si>
    <t>vorschein</t>
  </si>
  <si>
    <t>pacific</t>
  </si>
  <si>
    <t>tyrannen</t>
  </si>
  <si>
    <t>trockner</t>
  </si>
  <si>
    <t>kommandozentrale</t>
  </si>
  <si>
    <t>verzögern</t>
  </si>
  <si>
    <t>candace</t>
  </si>
  <si>
    <t>tollwut</t>
  </si>
  <si>
    <t>hilton</t>
  </si>
  <si>
    <t>kes</t>
  </si>
  <si>
    <t>freigesetzt</t>
  </si>
  <si>
    <t>lehn</t>
  </si>
  <si>
    <t>erreichten</t>
  </si>
  <si>
    <t>obelix</t>
  </si>
  <si>
    <t>befriedigung</t>
  </si>
  <si>
    <t>omas</t>
  </si>
  <si>
    <t>edwin</t>
  </si>
  <si>
    <t>janey</t>
  </si>
  <si>
    <t>ufos</t>
  </si>
  <si>
    <t>höhenangst</t>
  </si>
  <si>
    <t>grinst</t>
  </si>
  <si>
    <t>nikolai</t>
  </si>
  <si>
    <t>alexandre</t>
  </si>
  <si>
    <t>wahrscheinlicher</t>
  </si>
  <si>
    <t>partnern</t>
  </si>
  <si>
    <t>joanne</t>
  </si>
  <si>
    <t>sicherheitsvorkehrungen</t>
  </si>
  <si>
    <t>sammelte</t>
  </si>
  <si>
    <t>gallier</t>
  </si>
  <si>
    <t>reichsten</t>
  </si>
  <si>
    <t>ungemütlich</t>
  </si>
  <si>
    <t>pinguine</t>
  </si>
  <si>
    <t>ledig</t>
  </si>
  <si>
    <t>angestiftet</t>
  </si>
  <si>
    <t>demonstranten</t>
  </si>
  <si>
    <t>sorten</t>
  </si>
  <si>
    <t>ever</t>
  </si>
  <si>
    <t>wiesel</t>
  </si>
  <si>
    <t>ambitionen</t>
  </si>
  <si>
    <t>verhaftungen</t>
  </si>
  <si>
    <t>obendrein</t>
  </si>
  <si>
    <t>heftiger</t>
  </si>
  <si>
    <t>räuspern</t>
  </si>
  <si>
    <t>verbrannten</t>
  </si>
  <si>
    <t>irritiert</t>
  </si>
  <si>
    <t>hotdog</t>
  </si>
  <si>
    <t>marken</t>
  </si>
  <si>
    <t>gérard</t>
  </si>
  <si>
    <t>stute</t>
  </si>
  <si>
    <t>neutral</t>
  </si>
  <si>
    <t>begnadigung</t>
  </si>
  <si>
    <t>taiwan</t>
  </si>
  <si>
    <t>ni</t>
  </si>
  <si>
    <t>heiterem</t>
  </si>
  <si>
    <t>krankenversicherung</t>
  </si>
  <si>
    <t>abschuss</t>
  </si>
  <si>
    <t>umsatz</t>
  </si>
  <si>
    <t>milz</t>
  </si>
  <si>
    <t>pandora</t>
  </si>
  <si>
    <t>verschenkt</t>
  </si>
  <si>
    <t>kompletter</t>
  </si>
  <si>
    <t>transfer</t>
  </si>
  <si>
    <t>pflegeheim</t>
  </si>
  <si>
    <t>inneres</t>
  </si>
  <si>
    <t>teste</t>
  </si>
  <si>
    <t>evil</t>
  </si>
  <si>
    <t>finsteren</t>
  </si>
  <si>
    <t>loretta</t>
  </si>
  <si>
    <t>unprofessionell</t>
  </si>
  <si>
    <t>jamaika</t>
  </si>
  <si>
    <t>pilar</t>
  </si>
  <si>
    <t>syphilis</t>
  </si>
  <si>
    <t>georgina</t>
  </si>
  <si>
    <t>letztem</t>
  </si>
  <si>
    <t>simms</t>
  </si>
  <si>
    <t>hervorragender</t>
  </si>
  <si>
    <t>small</t>
  </si>
  <si>
    <t>verzweifelten</t>
  </si>
  <si>
    <t>sonnensystem</t>
  </si>
  <si>
    <t>widerrufen</t>
  </si>
  <si>
    <t>durchmacht</t>
  </si>
  <si>
    <t>warschau</t>
  </si>
  <si>
    <t>jean-luc</t>
  </si>
  <si>
    <t>ping</t>
  </si>
  <si>
    <t>losgelassen</t>
  </si>
  <si>
    <t>verlängert</t>
  </si>
  <si>
    <t>bee</t>
  </si>
  <si>
    <t>feinsten</t>
  </si>
  <si>
    <t>feldern</t>
  </si>
  <si>
    <t>vergewissern</t>
  </si>
  <si>
    <t>moderator</t>
  </si>
  <si>
    <t>romero</t>
  </si>
  <si>
    <t>entlastet</t>
  </si>
  <si>
    <t>quote</t>
  </si>
  <si>
    <t>furchtlos</t>
  </si>
  <si>
    <t>dahlia</t>
  </si>
  <si>
    <t>pupillen</t>
  </si>
  <si>
    <t>kommunismus</t>
  </si>
  <si>
    <t>wissenschaftlerin</t>
  </si>
  <si>
    <t>kristalle</t>
  </si>
  <si>
    <t>absender</t>
  </si>
  <si>
    <t>abgekommen</t>
  </si>
  <si>
    <t>lasen</t>
  </si>
  <si>
    <t>austragen</t>
  </si>
  <si>
    <t>polizeiwache</t>
  </si>
  <si>
    <t>nizza</t>
  </si>
  <si>
    <t>cedric</t>
  </si>
  <si>
    <t>mietvertrag</t>
  </si>
  <si>
    <t>sleepy</t>
  </si>
  <si>
    <t>gonzo</t>
  </si>
  <si>
    <t>anstecken</t>
  </si>
  <si>
    <t>krampf</t>
  </si>
  <si>
    <t>waffenhändler</t>
  </si>
  <si>
    <t>amerikanisch</t>
  </si>
  <si>
    <t>bushaltestelle</t>
  </si>
  <si>
    <t>erstklassige</t>
  </si>
  <si>
    <t>turnhalle</t>
  </si>
  <si>
    <t>erniedrigend</t>
  </si>
  <si>
    <t>untergraben</t>
  </si>
  <si>
    <t>trauerfeier</t>
  </si>
  <si>
    <t>unglaublicher</t>
  </si>
  <si>
    <t>schusslinie</t>
  </si>
  <si>
    <t>buckingham</t>
  </si>
  <si>
    <t>mondlicht</t>
  </si>
  <si>
    <t>waldes</t>
  </si>
  <si>
    <t>verkrampft</t>
  </si>
  <si>
    <t>injiziert</t>
  </si>
  <si>
    <t>count</t>
  </si>
  <si>
    <t>anzusprechen</t>
  </si>
  <si>
    <t>eröffne</t>
  </si>
  <si>
    <t>akzeptierst</t>
  </si>
  <si>
    <t>gestand</t>
  </si>
  <si>
    <t>theaterstück</t>
  </si>
  <si>
    <t>budapest</t>
  </si>
  <si>
    <t>mitzubringen</t>
  </si>
  <si>
    <t>belagerung</t>
  </si>
  <si>
    <t>statistiken</t>
  </si>
  <si>
    <t>zweien</t>
  </si>
  <si>
    <t>anstrengungen</t>
  </si>
  <si>
    <t>hochstapler</t>
  </si>
  <si>
    <t>praktizieren</t>
  </si>
  <si>
    <t>abschlussfeier</t>
  </si>
  <si>
    <t>isolation</t>
  </si>
  <si>
    <t>schmiere</t>
  </si>
  <si>
    <t>konkurrenten</t>
  </si>
  <si>
    <t>nelle</t>
  </si>
  <si>
    <t>verantwortliche</t>
  </si>
  <si>
    <t>sonnen</t>
  </si>
  <si>
    <t>durchgeschnitten</t>
  </si>
  <si>
    <t>sankt</t>
  </si>
  <si>
    <t>nichtsnutz</t>
  </si>
  <si>
    <t>vorbeikommt</t>
  </si>
  <si>
    <t>kooperiert</t>
  </si>
  <si>
    <t>lausige</t>
  </si>
  <si>
    <t>disney</t>
  </si>
  <si>
    <t>nachtigall</t>
  </si>
  <si>
    <t>starre</t>
  </si>
  <si>
    <t>unternimmt</t>
  </si>
  <si>
    <t>besitzerin</t>
  </si>
  <si>
    <t>linkes</t>
  </si>
  <si>
    <t>sortieren</t>
  </si>
  <si>
    <t>kel</t>
  </si>
  <si>
    <t>drähte</t>
  </si>
  <si>
    <t>äffchen</t>
  </si>
  <si>
    <t>ergehen</t>
  </si>
  <si>
    <t>dreieck</t>
  </si>
  <si>
    <t>dünger</t>
  </si>
  <si>
    <t>tätigkeit</t>
  </si>
  <si>
    <t>mitzumachen</t>
  </si>
  <si>
    <t>essig</t>
  </si>
  <si>
    <t>lung</t>
  </si>
  <si>
    <t>bess</t>
  </si>
  <si>
    <t>angehängt</t>
  </si>
  <si>
    <t>schneidest</t>
  </si>
  <si>
    <t>unterstellt</t>
  </si>
  <si>
    <t>stressig</t>
  </si>
  <si>
    <t>weißwein</t>
  </si>
  <si>
    <t>ewing</t>
  </si>
  <si>
    <t>dorn</t>
  </si>
  <si>
    <t>nachtrag</t>
  </si>
  <si>
    <t>kästchen</t>
  </si>
  <si>
    <t>maximum</t>
  </si>
  <si>
    <t>ständigen</t>
  </si>
  <si>
    <t>wörterbuch</t>
  </si>
  <si>
    <t>deborah</t>
  </si>
  <si>
    <t>wolfe</t>
  </si>
  <si>
    <t>sowjetischen</t>
  </si>
  <si>
    <t>ablenkungsmanöver</t>
  </si>
  <si>
    <t>engsten</t>
  </si>
  <si>
    <t>beigetreten</t>
  </si>
  <si>
    <t>second</t>
  </si>
  <si>
    <t>tasten</t>
  </si>
  <si>
    <t>gepostet</t>
  </si>
  <si>
    <t>ro</t>
  </si>
  <si>
    <t>tatest</t>
  </si>
  <si>
    <t>aufgesucht</t>
  </si>
  <si>
    <t>brennende</t>
  </si>
  <si>
    <t>ugh</t>
  </si>
  <si>
    <t>chemiker</t>
  </si>
  <si>
    <t>gestrigen</t>
  </si>
  <si>
    <t>shepard</t>
  </si>
  <si>
    <t>joanie</t>
  </si>
  <si>
    <t>schaukel</t>
  </si>
  <si>
    <t>twist</t>
  </si>
  <si>
    <t>brock</t>
  </si>
  <si>
    <t>minderjährig</t>
  </si>
  <si>
    <t>anmarsch</t>
  </si>
  <si>
    <t>melbourne</t>
  </si>
  <si>
    <t>abartig</t>
  </si>
  <si>
    <t>rücksichtsvoll</t>
  </si>
  <si>
    <t>hündin</t>
  </si>
  <si>
    <t>unterlegen</t>
  </si>
  <si>
    <t>doppelter</t>
  </si>
  <si>
    <t>fabelhafte</t>
  </si>
  <si>
    <t>einzubrechen</t>
  </si>
  <si>
    <t>heftigen</t>
  </si>
  <si>
    <t>langweiler</t>
  </si>
  <si>
    <t>göre</t>
  </si>
  <si>
    <t>richtlinien</t>
  </si>
  <si>
    <t>ruin</t>
  </si>
  <si>
    <t>blickwinkel</t>
  </si>
  <si>
    <t>glücklichsten</t>
  </si>
  <si>
    <t>ausgepackt</t>
  </si>
  <si>
    <t>decknamen</t>
  </si>
  <si>
    <t>maxime</t>
  </si>
  <si>
    <t>bescheuerten</t>
  </si>
  <si>
    <t>materialien</t>
  </si>
  <si>
    <t>franken</t>
  </si>
  <si>
    <t>leoparden</t>
  </si>
  <si>
    <t>enttäusche</t>
  </si>
  <si>
    <t>weitermachst</t>
  </si>
  <si>
    <t>beurteilt</t>
  </si>
  <si>
    <t>üblicherweise</t>
  </si>
  <si>
    <t>beanspruchen</t>
  </si>
  <si>
    <t>hm-hm</t>
  </si>
  <si>
    <t>geldbörse</t>
  </si>
  <si>
    <t>jor-el</t>
  </si>
  <si>
    <t>maddox</t>
  </si>
  <si>
    <t>untreue</t>
  </si>
  <si>
    <t>cutter</t>
  </si>
  <si>
    <t>letzt</t>
  </si>
  <si>
    <t>clans</t>
  </si>
  <si>
    <t>maman</t>
  </si>
  <si>
    <t>abwasch</t>
  </si>
  <si>
    <t>klaute</t>
  </si>
  <si>
    <t>milliardär</t>
  </si>
  <si>
    <t>taste</t>
  </si>
  <si>
    <t>event</t>
  </si>
  <si>
    <t>verkraftet</t>
  </si>
  <si>
    <t>wameru</t>
  </si>
  <si>
    <t>emilie</t>
  </si>
  <si>
    <t>rammen</t>
  </si>
  <si>
    <t>besichtigen</t>
  </si>
  <si>
    <t>kanns</t>
  </si>
  <si>
    <t>70ern</t>
  </si>
  <si>
    <t>denis</t>
  </si>
  <si>
    <t>marissa</t>
  </si>
  <si>
    <t>muskel</t>
  </si>
  <si>
    <t>bedauert</t>
  </si>
  <si>
    <t>aussagt</t>
  </si>
  <si>
    <t>merkten</t>
  </si>
  <si>
    <t>baldwin</t>
  </si>
  <si>
    <t>arbeitern</t>
  </si>
  <si>
    <t>hebräisch</t>
  </si>
  <si>
    <t>dietrich</t>
  </si>
  <si>
    <t>wessex</t>
  </si>
  <si>
    <t>auflösung</t>
  </si>
  <si>
    <t>angelica</t>
  </si>
  <si>
    <t>ambulanz</t>
  </si>
  <si>
    <t>ereignet</t>
  </si>
  <si>
    <t>ten</t>
  </si>
  <si>
    <t>niklas</t>
  </si>
  <si>
    <t>zurückgeblieben</t>
  </si>
  <si>
    <t>wiedersehe</t>
  </si>
  <si>
    <t>erreichst</t>
  </si>
  <si>
    <t>erträgt</t>
  </si>
  <si>
    <t>dev</t>
  </si>
  <si>
    <t>sportwagen</t>
  </si>
  <si>
    <t>makellos</t>
  </si>
  <si>
    <t>engeln</t>
  </si>
  <si>
    <t>gabby</t>
  </si>
  <si>
    <t>rindfleisch</t>
  </si>
  <si>
    <t>koran</t>
  </si>
  <si>
    <t>gebäuden</t>
  </si>
  <si>
    <t>tobt</t>
  </si>
  <si>
    <t>charlies</t>
  </si>
  <si>
    <t>folgendermaßen</t>
  </si>
  <si>
    <t>leukämie</t>
  </si>
  <si>
    <t>cleo</t>
  </si>
  <si>
    <t>körpern</t>
  </si>
  <si>
    <t>archibald</t>
  </si>
  <si>
    <t>geilen</t>
  </si>
  <si>
    <t>lau</t>
  </si>
  <si>
    <t>frieda</t>
  </si>
  <si>
    <t>gekrochen</t>
  </si>
  <si>
    <t>oslo</t>
  </si>
  <si>
    <t>jericho</t>
  </si>
  <si>
    <t>dane</t>
  </si>
  <si>
    <t>helllichten</t>
  </si>
  <si>
    <t>hochverrat</t>
  </si>
  <si>
    <t>hege</t>
  </si>
  <si>
    <t>drängeln</t>
  </si>
  <si>
    <t>olympia</t>
  </si>
  <si>
    <t>wund</t>
  </si>
  <si>
    <t>paßt</t>
  </si>
  <si>
    <t>verschleppt</t>
  </si>
  <si>
    <t>pot</t>
  </si>
  <si>
    <t>öi</t>
  </si>
  <si>
    <t>ablehnung</t>
  </si>
  <si>
    <t>gekillt</t>
  </si>
  <si>
    <t>banden</t>
  </si>
  <si>
    <t>zuhörst</t>
  </si>
  <si>
    <t>cosima</t>
  </si>
  <si>
    <t>abwischen</t>
  </si>
  <si>
    <t>erwähnst</t>
  </si>
  <si>
    <t>dobbs</t>
  </si>
  <si>
    <t>towers</t>
  </si>
  <si>
    <t>hats</t>
  </si>
  <si>
    <t>ringt</t>
  </si>
  <si>
    <t>curry</t>
  </si>
  <si>
    <t>tödlicher</t>
  </si>
  <si>
    <t>portugal</t>
  </si>
  <si>
    <t>verschollen</t>
  </si>
  <si>
    <t>sizilien</t>
  </si>
  <si>
    <t>winziges</t>
  </si>
  <si>
    <t>verbündet</t>
  </si>
  <si>
    <t>beschränken</t>
  </si>
  <si>
    <t>vash</t>
  </si>
  <si>
    <t>edison</t>
  </si>
  <si>
    <t>ausging</t>
  </si>
  <si>
    <t>once</t>
  </si>
  <si>
    <t>gläubigen</t>
  </si>
  <si>
    <t>bemerkenswerte</t>
  </si>
  <si>
    <t>heiter</t>
  </si>
  <si>
    <t>statement</t>
  </si>
  <si>
    <t>schmücken</t>
  </si>
  <si>
    <t>teilst</t>
  </si>
  <si>
    <t>überlegung</t>
  </si>
  <si>
    <t>schob</t>
  </si>
  <si>
    <t>weber</t>
  </si>
  <si>
    <t>festmahl</t>
  </si>
  <si>
    <t>weggesperrt</t>
  </si>
  <si>
    <t>stiehlst</t>
  </si>
  <si>
    <t>sommers</t>
  </si>
  <si>
    <t>schachmatt</t>
  </si>
  <si>
    <t>terminkalender</t>
  </si>
  <si>
    <t>wagte</t>
  </si>
  <si>
    <t>kiss</t>
  </si>
  <si>
    <t>hexer</t>
  </si>
  <si>
    <t>knistern</t>
  </si>
  <si>
    <t>cahill</t>
  </si>
  <si>
    <t>mayer</t>
  </si>
  <si>
    <t>ausgerüstet</t>
  </si>
  <si>
    <t>zurückhaltend</t>
  </si>
  <si>
    <t>bowman</t>
  </si>
  <si>
    <t>gänse</t>
  </si>
  <si>
    <t>schutt</t>
  </si>
  <si>
    <t>pinky</t>
  </si>
  <si>
    <t>strafbar</t>
  </si>
  <si>
    <t>hawks</t>
  </si>
  <si>
    <t>fröhlicher</t>
  </si>
  <si>
    <t>marathon</t>
  </si>
  <si>
    <t>klone</t>
  </si>
  <si>
    <t>funke</t>
  </si>
  <si>
    <t>ziemliches</t>
  </si>
  <si>
    <t>80ern</t>
  </si>
  <si>
    <t>geheiligt</t>
  </si>
  <si>
    <t>kryptonit</t>
  </si>
  <si>
    <t>hypothese</t>
  </si>
  <si>
    <t>polizeibericht</t>
  </si>
  <si>
    <t>marcos</t>
  </si>
  <si>
    <t>lebenslang</t>
  </si>
  <si>
    <t>istja</t>
  </si>
  <si>
    <t>sprachst</t>
  </si>
  <si>
    <t>porzellan</t>
  </si>
  <si>
    <t>saat</t>
  </si>
  <si>
    <t>signorina</t>
  </si>
  <si>
    <t>grandios</t>
  </si>
  <si>
    <t>entladen</t>
  </si>
  <si>
    <t>verliebe</t>
  </si>
  <si>
    <t>weibt</t>
  </si>
  <si>
    <t>auftragskiller</t>
  </si>
  <si>
    <t>nachdenkst</t>
  </si>
  <si>
    <t>anfordern</t>
  </si>
  <si>
    <t>heisse</t>
  </si>
  <si>
    <t>handhaben</t>
  </si>
  <si>
    <t>slater</t>
  </si>
  <si>
    <t>oi</t>
  </si>
  <si>
    <t>curly</t>
  </si>
  <si>
    <t>appell</t>
  </si>
  <si>
    <t>geheimnisvollen</t>
  </si>
  <si>
    <t>erwarteten</t>
  </si>
  <si>
    <t>fe</t>
  </si>
  <si>
    <t>aberglaube</t>
  </si>
  <si>
    <t>wechselte</t>
  </si>
  <si>
    <t>mdr</t>
  </si>
  <si>
    <t>mao</t>
  </si>
  <si>
    <t>erfreulich</t>
  </si>
  <si>
    <t>essex</t>
  </si>
  <si>
    <t>bestandteil</t>
  </si>
  <si>
    <t>vi</t>
  </si>
  <si>
    <t>demütigend</t>
  </si>
  <si>
    <t>isis</t>
  </si>
  <si>
    <t>überholen</t>
  </si>
  <si>
    <t>abgeordnete</t>
  </si>
  <si>
    <t>verliebten</t>
  </si>
  <si>
    <t>thing</t>
  </si>
  <si>
    <t>beschwören</t>
  </si>
  <si>
    <t>diverse</t>
  </si>
  <si>
    <t>zuteil</t>
  </si>
  <si>
    <t>vorschreiben</t>
  </si>
  <si>
    <t>künstlichen</t>
  </si>
  <si>
    <t>graysons</t>
  </si>
  <si>
    <t>hütten</t>
  </si>
  <si>
    <t>kante</t>
  </si>
  <si>
    <t>gesetzeshüter</t>
  </si>
  <si>
    <t>kenji</t>
  </si>
  <si>
    <t>vorsichtsmaßnahme</t>
  </si>
  <si>
    <t>beneiden</t>
  </si>
  <si>
    <t>pitt</t>
  </si>
  <si>
    <t>schlagzeug</t>
  </si>
  <si>
    <t>zwangen</t>
  </si>
  <si>
    <t>laufbahn</t>
  </si>
  <si>
    <t>rippchen</t>
  </si>
  <si>
    <t>physischen</t>
  </si>
  <si>
    <t>kleiderschrank</t>
  </si>
  <si>
    <t>beglichen</t>
  </si>
  <si>
    <t>zusagen</t>
  </si>
  <si>
    <t>saigon</t>
  </si>
  <si>
    <t>gebrüll</t>
  </si>
  <si>
    <t>statuen</t>
  </si>
  <si>
    <t>taugen</t>
  </si>
  <si>
    <t>uwe</t>
  </si>
  <si>
    <t>hinführt</t>
  </si>
  <si>
    <t>carlotta</t>
  </si>
  <si>
    <t>tschau</t>
  </si>
  <si>
    <t>magdalena</t>
  </si>
  <si>
    <t>herüber</t>
  </si>
  <si>
    <t>diesbezüglich</t>
  </si>
  <si>
    <t>isobel</t>
  </si>
  <si>
    <t>jamal</t>
  </si>
  <si>
    <t>erfindungen</t>
  </si>
  <si>
    <t>alaric</t>
  </si>
  <si>
    <t>statistik</t>
  </si>
  <si>
    <t>always</t>
  </si>
  <si>
    <t>teils</t>
  </si>
  <si>
    <t>lorna</t>
  </si>
  <si>
    <t>didi</t>
  </si>
  <si>
    <t>rauscht</t>
  </si>
  <si>
    <t>susi</t>
  </si>
  <si>
    <t>personalabteilung</t>
  </si>
  <si>
    <t>mitkomme</t>
  </si>
  <si>
    <t>taliban</t>
  </si>
  <si>
    <t>vorgekommen</t>
  </si>
  <si>
    <t>kreuzt</t>
  </si>
  <si>
    <t>trauert</t>
  </si>
  <si>
    <t>beschließt</t>
  </si>
  <si>
    <t>beschuldigte</t>
  </si>
  <si>
    <t>zurückzuziehen</t>
  </si>
  <si>
    <t>nachgeforscht</t>
  </si>
  <si>
    <t>brech</t>
  </si>
  <si>
    <t>kriminalpolizei</t>
  </si>
  <si>
    <t>britischer</t>
  </si>
  <si>
    <t>lees</t>
  </si>
  <si>
    <t>ernest</t>
  </si>
  <si>
    <t>marv</t>
  </si>
  <si>
    <t>klopapier</t>
  </si>
  <si>
    <t>tauchten</t>
  </si>
  <si>
    <t>gültig</t>
  </si>
  <si>
    <t>eduardo</t>
  </si>
  <si>
    <t>versohlen</t>
  </si>
  <si>
    <t>überfälle</t>
  </si>
  <si>
    <t>wiedergutzumachen</t>
  </si>
  <si>
    <t>missachten</t>
  </si>
  <si>
    <t>charmante</t>
  </si>
  <si>
    <t>zugewiesen</t>
  </si>
  <si>
    <t>befanden</t>
  </si>
  <si>
    <t>gisburne</t>
  </si>
  <si>
    <t>huang</t>
  </si>
  <si>
    <t>geschehe</t>
  </si>
  <si>
    <t>traten</t>
  </si>
  <si>
    <t>doreen</t>
  </si>
  <si>
    <t>checkt</t>
  </si>
  <si>
    <t>zaum</t>
  </si>
  <si>
    <t>immunsystem</t>
  </si>
  <si>
    <t>nägeln</t>
  </si>
  <si>
    <t>veteranen</t>
  </si>
  <si>
    <t>telefonnummern</t>
  </si>
  <si>
    <t>elton</t>
  </si>
  <si>
    <t>authentisch</t>
  </si>
  <si>
    <t>lüften</t>
  </si>
  <si>
    <t>betrog</t>
  </si>
  <si>
    <t>weiterführen</t>
  </si>
  <si>
    <t>vorrücken</t>
  </si>
  <si>
    <t>moody</t>
  </si>
  <si>
    <t>weiterreden</t>
  </si>
  <si>
    <t>sarkastisch</t>
  </si>
  <si>
    <t>hangar</t>
  </si>
  <si>
    <t>raste</t>
  </si>
  <si>
    <t>einmischung</t>
  </si>
  <si>
    <t>schuljahr</t>
  </si>
  <si>
    <t>löchern</t>
  </si>
  <si>
    <t>kraut</t>
  </si>
  <si>
    <t>lebhaft</t>
  </si>
  <si>
    <t>verlaub</t>
  </si>
  <si>
    <t>erwartung</t>
  </si>
  <si>
    <t>diesel</t>
  </si>
  <si>
    <t>françoise</t>
  </si>
  <si>
    <t>nachlass</t>
  </si>
  <si>
    <t>garrison</t>
  </si>
  <si>
    <t>sanatorium</t>
  </si>
  <si>
    <t>uncool</t>
  </si>
  <si>
    <t>romantiker</t>
  </si>
  <si>
    <t>einweihen</t>
  </si>
  <si>
    <t>feiere</t>
  </si>
  <si>
    <t>allerersten</t>
  </si>
  <si>
    <t>fayed</t>
  </si>
  <si>
    <t>mails</t>
  </si>
  <si>
    <t>verheiraten</t>
  </si>
  <si>
    <t>abbott</t>
  </si>
  <si>
    <t>shorty</t>
  </si>
  <si>
    <t>überlegte</t>
  </si>
  <si>
    <t>gezögert</t>
  </si>
  <si>
    <t>konfrontieren</t>
  </si>
  <si>
    <t>aussehender</t>
  </si>
  <si>
    <t>donnelly</t>
  </si>
  <si>
    <t>angetreten</t>
  </si>
  <si>
    <t>roscoe</t>
  </si>
  <si>
    <t>überführt</t>
  </si>
  <si>
    <t>bankett</t>
  </si>
  <si>
    <t>beachte</t>
  </si>
  <si>
    <t>bereinigen</t>
  </si>
  <si>
    <t>kritischen</t>
  </si>
  <si>
    <t>cloud</t>
  </si>
  <si>
    <t>aktiven</t>
  </si>
  <si>
    <t>jojo</t>
  </si>
  <si>
    <t>friedlichen</t>
  </si>
  <si>
    <t>grantham</t>
  </si>
  <si>
    <t>carpenter</t>
  </si>
  <si>
    <t>himmlischen</t>
  </si>
  <si>
    <t>wegbleiben</t>
  </si>
  <si>
    <t>lump</t>
  </si>
  <si>
    <t>öffentliches</t>
  </si>
  <si>
    <t>geburtstagskind</t>
  </si>
  <si>
    <t>verbotene</t>
  </si>
  <si>
    <t>wirklicher</t>
  </si>
  <si>
    <t>rider</t>
  </si>
  <si>
    <t>drehung</t>
  </si>
  <si>
    <t>einzelner</t>
  </si>
  <si>
    <t>olivier</t>
  </si>
  <si>
    <t>lafayette</t>
  </si>
  <si>
    <t>serienkiller</t>
  </si>
  <si>
    <t>wiederherzustellen</t>
  </si>
  <si>
    <t>schwersten</t>
  </si>
  <si>
    <t>gefährlichsten</t>
  </si>
  <si>
    <t>spektakel</t>
  </si>
  <si>
    <t>beherrsche</t>
  </si>
  <si>
    <t>regenschirm</t>
  </si>
  <si>
    <t>flossen</t>
  </si>
  <si>
    <t>beabsichtige</t>
  </si>
  <si>
    <t>durchsehen</t>
  </si>
  <si>
    <t>begründung</t>
  </si>
  <si>
    <t>dieter</t>
  </si>
  <si>
    <t>grenzt</t>
  </si>
  <si>
    <t>telefonisch</t>
  </si>
  <si>
    <t>waschbär</t>
  </si>
  <si>
    <t>christliche</t>
  </si>
  <si>
    <t>gesäubert</t>
  </si>
  <si>
    <t>algerien</t>
  </si>
  <si>
    <t>dolmetscher</t>
  </si>
  <si>
    <t>sichtweise</t>
  </si>
  <si>
    <t>kurzschluss</t>
  </si>
  <si>
    <t>bedeutende</t>
  </si>
  <si>
    <t>amüsiere</t>
  </si>
  <si>
    <t>europäische</t>
  </si>
  <si>
    <t>verspottet</t>
  </si>
  <si>
    <t>gleiten</t>
  </si>
  <si>
    <t>assistieren</t>
  </si>
  <si>
    <t>ehebruch</t>
  </si>
  <si>
    <t>berkeley</t>
  </si>
  <si>
    <t>fauler</t>
  </si>
  <si>
    <t>güter</t>
  </si>
  <si>
    <t>haiti</t>
  </si>
  <si>
    <t>aufschlagen</t>
  </si>
  <si>
    <t>zwangsläufig</t>
  </si>
  <si>
    <t>teilnahme</t>
  </si>
  <si>
    <t>something</t>
  </si>
  <si>
    <t>gläubiger</t>
  </si>
  <si>
    <t>empört</t>
  </si>
  <si>
    <t>unberührt</t>
  </si>
  <si>
    <t>vorhersagen</t>
  </si>
  <si>
    <t>lutz</t>
  </si>
  <si>
    <t>hiesigen</t>
  </si>
  <si>
    <t>hailey</t>
  </si>
  <si>
    <t>singh</t>
  </si>
  <si>
    <t>verblüfft</t>
  </si>
  <si>
    <t>flugzeugen</t>
  </si>
  <si>
    <t>golfplatz</t>
  </si>
  <si>
    <t>birgt</t>
  </si>
  <si>
    <t>führende</t>
  </si>
  <si>
    <t>härteste</t>
  </si>
  <si>
    <t>building</t>
  </si>
  <si>
    <t>eitel</t>
  </si>
  <si>
    <t>mücke</t>
  </si>
  <si>
    <t>stärkeres</t>
  </si>
  <si>
    <t>ungläubigen</t>
  </si>
  <si>
    <t>geklettert</t>
  </si>
  <si>
    <t>injektion</t>
  </si>
  <si>
    <t>partikel</t>
  </si>
  <si>
    <t>jun</t>
  </si>
  <si>
    <t>moreno</t>
  </si>
  <si>
    <t>quantico</t>
  </si>
  <si>
    <t>pyramiden</t>
  </si>
  <si>
    <t>hackbraten</t>
  </si>
  <si>
    <t>kopfkissen</t>
  </si>
  <si>
    <t>quadranten</t>
  </si>
  <si>
    <t>verschicken</t>
  </si>
  <si>
    <t>schimpfen</t>
  </si>
  <si>
    <t>water</t>
  </si>
  <si>
    <t>moin</t>
  </si>
  <si>
    <t>streiken</t>
  </si>
  <si>
    <t>staatsbürger</t>
  </si>
  <si>
    <t>östlichen</t>
  </si>
  <si>
    <t>maximale</t>
  </si>
  <si>
    <t>währung</t>
  </si>
  <si>
    <t>samir</t>
  </si>
  <si>
    <t>dreckschwein</t>
  </si>
  <si>
    <t>abschleppen</t>
  </si>
  <si>
    <t>lorne</t>
  </si>
  <si>
    <t>tauscht</t>
  </si>
  <si>
    <t>jubiläum</t>
  </si>
  <si>
    <t>tanaka</t>
  </si>
  <si>
    <t>verschweigst</t>
  </si>
  <si>
    <t>hofe</t>
  </si>
  <si>
    <t>q.</t>
  </si>
  <si>
    <t>philosoph</t>
  </si>
  <si>
    <t>durchqueren</t>
  </si>
  <si>
    <t>insider</t>
  </si>
  <si>
    <t>freizulassen</t>
  </si>
  <si>
    <t>marlowe</t>
  </si>
  <si>
    <t>brillanten</t>
  </si>
  <si>
    <t>yates</t>
  </si>
  <si>
    <t>eroberung</t>
  </si>
  <si>
    <t>eingeredet</t>
  </si>
  <si>
    <t>verseucht</t>
  </si>
  <si>
    <t>unlogisch</t>
  </si>
  <si>
    <t>vorherigen</t>
  </si>
  <si>
    <t>uralte</t>
  </si>
  <si>
    <t>selbstbewusstsein</t>
  </si>
  <si>
    <t>müsli</t>
  </si>
  <si>
    <t>musstet</t>
  </si>
  <si>
    <t>buckel</t>
  </si>
  <si>
    <t>vogelscheuche</t>
  </si>
  <si>
    <t>normandie</t>
  </si>
  <si>
    <t>feuchte</t>
  </si>
  <si>
    <t>bundesagenten</t>
  </si>
  <si>
    <t>begleitest</t>
  </si>
  <si>
    <t>rächt</t>
  </si>
  <si>
    <t>gassi</t>
  </si>
  <si>
    <t>tito</t>
  </si>
  <si>
    <t>florrick</t>
  </si>
  <si>
    <t>fohlen</t>
  </si>
  <si>
    <t>ehm</t>
  </si>
  <si>
    <t>hitlers</t>
  </si>
  <si>
    <t>dekoration</t>
  </si>
  <si>
    <t>französisches</t>
  </si>
  <si>
    <t>whitey</t>
  </si>
  <si>
    <t>geheimwaffe</t>
  </si>
  <si>
    <t>patsy</t>
  </si>
  <si>
    <t>schikaniert</t>
  </si>
  <si>
    <t>peabody</t>
  </si>
  <si>
    <t>niest</t>
  </si>
  <si>
    <t>flehte</t>
  </si>
  <si>
    <t>manch</t>
  </si>
  <si>
    <t>wahn</t>
  </si>
  <si>
    <t>bügeln</t>
  </si>
  <si>
    <t>entsichert</t>
  </si>
  <si>
    <t>jeglichen</t>
  </si>
  <si>
    <t>nicht.</t>
  </si>
  <si>
    <t>überprüfte</t>
  </si>
  <si>
    <t>kassetten</t>
  </si>
  <si>
    <t>futsch</t>
  </si>
  <si>
    <t>ähnlicher</t>
  </si>
  <si>
    <t>roxy</t>
  </si>
  <si>
    <t>unvorsichtig</t>
  </si>
  <si>
    <t>them</t>
  </si>
  <si>
    <t>sprengt</t>
  </si>
  <si>
    <t>hour</t>
  </si>
  <si>
    <t>erledigst</t>
  </si>
  <si>
    <t>klugen</t>
  </si>
  <si>
    <t>aggression</t>
  </si>
  <si>
    <t>früherer</t>
  </si>
  <si>
    <t>pietro</t>
  </si>
  <si>
    <t>marius</t>
  </si>
  <si>
    <t>viva</t>
  </si>
  <si>
    <t>auskennt</t>
  </si>
  <si>
    <t>weibern</t>
  </si>
  <si>
    <t>hegen</t>
  </si>
  <si>
    <t>designer</t>
  </si>
  <si>
    <t>goliath</t>
  </si>
  <si>
    <t>flüssig</t>
  </si>
  <si>
    <t>aufgerufen</t>
  </si>
  <si>
    <t>herausstellt</t>
  </si>
  <si>
    <t>no.</t>
  </si>
  <si>
    <t>leckeren</t>
  </si>
  <si>
    <t>formalität</t>
  </si>
  <si>
    <t>breiten</t>
  </si>
  <si>
    <t>abwerfen</t>
  </si>
  <si>
    <t>nervensystem</t>
  </si>
  <si>
    <t>versöhnung</t>
  </si>
  <si>
    <t>instruktionen</t>
  </si>
  <si>
    <t>kalle</t>
  </si>
  <si>
    <t>ya</t>
  </si>
  <si>
    <t>großstadt</t>
  </si>
  <si>
    <t>füge</t>
  </si>
  <si>
    <t>schleppt</t>
  </si>
  <si>
    <t>formalitäten</t>
  </si>
  <si>
    <t>droiden</t>
  </si>
  <si>
    <t>klassischer</t>
  </si>
  <si>
    <t>louisa</t>
  </si>
  <si>
    <t>cosmo</t>
  </si>
  <si>
    <t>hingefahren</t>
  </si>
  <si>
    <t>aufschlitzen</t>
  </si>
  <si>
    <t>lutsch</t>
  </si>
  <si>
    <t>ultimatum</t>
  </si>
  <si>
    <t>nachhause</t>
  </si>
  <si>
    <t>vorzeitig</t>
  </si>
  <si>
    <t>natasha</t>
  </si>
  <si>
    <t>physiker</t>
  </si>
  <si>
    <t>ochse</t>
  </si>
  <si>
    <t>genannte</t>
  </si>
  <si>
    <t>francesco</t>
  </si>
  <si>
    <t>erfindet</t>
  </si>
  <si>
    <t>freigeben</t>
  </si>
  <si>
    <t>stimmst</t>
  </si>
  <si>
    <t>inne</t>
  </si>
  <si>
    <t>absolutes</t>
  </si>
  <si>
    <t>erschöpfung</t>
  </si>
  <si>
    <t>zerschmettert</t>
  </si>
  <si>
    <t>schweinen</t>
  </si>
  <si>
    <t>eindrucksvoll</t>
  </si>
  <si>
    <t>behüte</t>
  </si>
  <si>
    <t>ersticke</t>
  </si>
  <si>
    <t>nino</t>
  </si>
  <si>
    <t>abdecken</t>
  </si>
  <si>
    <t>besorgungen</t>
  </si>
  <si>
    <t>gebärmutter</t>
  </si>
  <si>
    <t>fußspuren</t>
  </si>
  <si>
    <t>nasse</t>
  </si>
  <si>
    <t>poliert</t>
  </si>
  <si>
    <t>ch4040ff</t>
  </si>
  <si>
    <t>kill</t>
  </si>
  <si>
    <t>verwandtschaft</t>
  </si>
  <si>
    <t>einzusperren</t>
  </si>
  <si>
    <t>dokumentation</t>
  </si>
  <si>
    <t>distanziert</t>
  </si>
  <si>
    <t>intimität</t>
  </si>
  <si>
    <t>dringender</t>
  </si>
  <si>
    <t>selbstsicher</t>
  </si>
  <si>
    <t>dickköpfig</t>
  </si>
  <si>
    <t>verbündeter</t>
  </si>
  <si>
    <t>kanadier</t>
  </si>
  <si>
    <t>mineralwasser</t>
  </si>
  <si>
    <t>minderjährigen</t>
  </si>
  <si>
    <t>neusten</t>
  </si>
  <si>
    <t>father</t>
  </si>
  <si>
    <t>vertrieb</t>
  </si>
  <si>
    <t>christlichen</t>
  </si>
  <si>
    <t>vizepräsidenten</t>
  </si>
  <si>
    <t>castillo</t>
  </si>
  <si>
    <t>russel</t>
  </si>
  <si>
    <t>dumpfer</t>
  </si>
  <si>
    <t>bestellungen</t>
  </si>
  <si>
    <t>ahhh</t>
  </si>
  <si>
    <t>selbstbewusst</t>
  </si>
  <si>
    <t>autotür</t>
  </si>
  <si>
    <t>diplomatie</t>
  </si>
  <si>
    <t>blufft</t>
  </si>
  <si>
    <t>schräge</t>
  </si>
  <si>
    <t>zuständigkeit</t>
  </si>
  <si>
    <t>geschüttelt</t>
  </si>
  <si>
    <t>hoyt</t>
  </si>
  <si>
    <t>fiktion</t>
  </si>
  <si>
    <t>erforscht</t>
  </si>
  <si>
    <t>steifen</t>
  </si>
  <si>
    <t>gay</t>
  </si>
  <si>
    <t>duffy</t>
  </si>
  <si>
    <t>britney</t>
  </si>
  <si>
    <t>simpsons</t>
  </si>
  <si>
    <t>yvette</t>
  </si>
  <si>
    <t>besteck</t>
  </si>
  <si>
    <t>gründete</t>
  </si>
  <si>
    <t>überflutet</t>
  </si>
  <si>
    <t>phelps</t>
  </si>
  <si>
    <t>parat</t>
  </si>
  <si>
    <t>erfolgen</t>
  </si>
  <si>
    <t>abbild</t>
  </si>
  <si>
    <t>wiedergeben</t>
  </si>
  <si>
    <t>klumpen</t>
  </si>
  <si>
    <t>fußabdrücke</t>
  </si>
  <si>
    <t>traditionell</t>
  </si>
  <si>
    <t>anzuhalten</t>
  </si>
  <si>
    <t>stiller</t>
  </si>
  <si>
    <t>glöckchen</t>
  </si>
  <si>
    <t>gandhi</t>
  </si>
  <si>
    <t>manfred</t>
  </si>
  <si>
    <t>bisherigen</t>
  </si>
  <si>
    <t>ratlos</t>
  </si>
  <si>
    <t>maniküre</t>
  </si>
  <si>
    <t>kohlen</t>
  </si>
  <si>
    <t>rasend</t>
  </si>
  <si>
    <t>rhodes</t>
  </si>
  <si>
    <t>weihnacht</t>
  </si>
  <si>
    <t>kehr</t>
  </si>
  <si>
    <t>christie</t>
  </si>
  <si>
    <t>sechzehn</t>
  </si>
  <si>
    <t>zerren</t>
  </si>
  <si>
    <t>webb</t>
  </si>
  <si>
    <t>gläubig</t>
  </si>
  <si>
    <t>abbruch</t>
  </si>
  <si>
    <t>motorräder</t>
  </si>
  <si>
    <t>schliesst</t>
  </si>
  <si>
    <t>geschworene</t>
  </si>
  <si>
    <t>herzfrequenz</t>
  </si>
  <si>
    <t>mads</t>
  </si>
  <si>
    <t>ewiger</t>
  </si>
  <si>
    <t>beschrieb</t>
  </si>
  <si>
    <t>cain</t>
  </si>
  <si>
    <t>iii</t>
  </si>
  <si>
    <t>agatha</t>
  </si>
  <si>
    <t>loomis</t>
  </si>
  <si>
    <t>beauty</t>
  </si>
  <si>
    <t>landebahn</t>
  </si>
  <si>
    <t>kimberly</t>
  </si>
  <si>
    <t>herrliches</t>
  </si>
  <si>
    <t>machete</t>
  </si>
  <si>
    <t>längsten</t>
  </si>
  <si>
    <t>alphabet</t>
  </si>
  <si>
    <t>peinliche</t>
  </si>
  <si>
    <t>einschätzen</t>
  </si>
  <si>
    <t>abgesprochen</t>
  </si>
  <si>
    <t>geländer</t>
  </si>
  <si>
    <t>courage</t>
  </si>
  <si>
    <t>vieren</t>
  </si>
  <si>
    <t>bahnsteig</t>
  </si>
  <si>
    <t>jault</t>
  </si>
  <si>
    <t>falles</t>
  </si>
  <si>
    <t>raul</t>
  </si>
  <si>
    <t>wah</t>
  </si>
  <si>
    <t>gallo</t>
  </si>
  <si>
    <t>mussen</t>
  </si>
  <si>
    <t>barriere</t>
  </si>
  <si>
    <t>dotty</t>
  </si>
  <si>
    <t>kräftigen</t>
  </si>
  <si>
    <t>abzulegen</t>
  </si>
  <si>
    <t>konstruiert</t>
  </si>
  <si>
    <t>schwimm</t>
  </si>
  <si>
    <t>dimensionen</t>
  </si>
  <si>
    <t>psychologin</t>
  </si>
  <si>
    <t>kontrollen</t>
  </si>
  <si>
    <t>lhm</t>
  </si>
  <si>
    <t>geprägt</t>
  </si>
  <si>
    <t>geschäftlichen</t>
  </si>
  <si>
    <t>rückfall</t>
  </si>
  <si>
    <t>killen</t>
  </si>
  <si>
    <t>einlösen</t>
  </si>
  <si>
    <t>asteroiden</t>
  </si>
  <si>
    <t>schluckauf</t>
  </si>
  <si>
    <t>derartige</t>
  </si>
  <si>
    <t>schwedisch</t>
  </si>
  <si>
    <t>monsignore</t>
  </si>
  <si>
    <t>doggett</t>
  </si>
  <si>
    <t>erstechen</t>
  </si>
  <si>
    <t>torpedo</t>
  </si>
  <si>
    <t>widerlichen</t>
  </si>
  <si>
    <t>abfluss</t>
  </si>
  <si>
    <t>waisenkind</t>
  </si>
  <si>
    <t>durant</t>
  </si>
  <si>
    <t>jucken</t>
  </si>
  <si>
    <t>beschafft</t>
  </si>
  <si>
    <t>veröffentlichung</t>
  </si>
  <si>
    <t>impulse</t>
  </si>
  <si>
    <t>geschämt</t>
  </si>
  <si>
    <t>stillstand</t>
  </si>
  <si>
    <t>rooster</t>
  </si>
  <si>
    <t>entlarven</t>
  </si>
  <si>
    <t>verschwundenen</t>
  </si>
  <si>
    <t>einweisen</t>
  </si>
  <si>
    <t>bands</t>
  </si>
  <si>
    <t>dienstags</t>
  </si>
  <si>
    <t>klaust</t>
  </si>
  <si>
    <t>schwieriges</t>
  </si>
  <si>
    <t>spektakulär</t>
  </si>
  <si>
    <t>hilary</t>
  </si>
  <si>
    <t>kurven</t>
  </si>
  <si>
    <t>shop</t>
  </si>
  <si>
    <t>beigetragen</t>
  </si>
  <si>
    <t>suv</t>
  </si>
  <si>
    <t>russo</t>
  </si>
  <si>
    <t>kitzeln</t>
  </si>
  <si>
    <t>abgeschleppt</t>
  </si>
  <si>
    <t>schicker</t>
  </si>
  <si>
    <t>techniken</t>
  </si>
  <si>
    <t>abladen</t>
  </si>
  <si>
    <t>sicherheitsleute</t>
  </si>
  <si>
    <t>glückssträhne</t>
  </si>
  <si>
    <t>chefkoch</t>
  </si>
  <si>
    <t>garvey</t>
  </si>
  <si>
    <t>gemetzel</t>
  </si>
  <si>
    <t>unmengen</t>
  </si>
  <si>
    <t>plädieren</t>
  </si>
  <si>
    <t>lebensmüde</t>
  </si>
  <si>
    <t>merkmale</t>
  </si>
  <si>
    <t>gräbt</t>
  </si>
  <si>
    <t>einzigartigen</t>
  </si>
  <si>
    <t>nähte</t>
  </si>
  <si>
    <t>erwin</t>
  </si>
  <si>
    <t>ocean</t>
  </si>
  <si>
    <t>digital</t>
  </si>
  <si>
    <t>speichern</t>
  </si>
  <si>
    <t>hoffnungsloser</t>
  </si>
  <si>
    <t>vergingen</t>
  </si>
  <si>
    <t>omaha</t>
  </si>
  <si>
    <t>schub</t>
  </si>
  <si>
    <t>abschreiben</t>
  </si>
  <si>
    <t>törtchen</t>
  </si>
  <si>
    <t>vorsitz</t>
  </si>
  <si>
    <t>reflexe</t>
  </si>
  <si>
    <t>freilich</t>
  </si>
  <si>
    <t>blenden</t>
  </si>
  <si>
    <t>feindselig</t>
  </si>
  <si>
    <t>einsammeln</t>
  </si>
  <si>
    <t>singer</t>
  </si>
  <si>
    <t>leni</t>
  </si>
  <si>
    <t>übertrifft</t>
  </si>
  <si>
    <t>trübsal</t>
  </si>
  <si>
    <t>verbannen</t>
  </si>
  <si>
    <t>postbote</t>
  </si>
  <si>
    <t>harmlose</t>
  </si>
  <si>
    <t>milligramm</t>
  </si>
  <si>
    <t>krabben</t>
  </si>
  <si>
    <t>schamlos</t>
  </si>
  <si>
    <t>carlisle</t>
  </si>
  <si>
    <t>sims</t>
  </si>
  <si>
    <t>wau</t>
  </si>
  <si>
    <t>townsend</t>
  </si>
  <si>
    <t>gerieten</t>
  </si>
  <si>
    <t>reklame</t>
  </si>
  <si>
    <t>verstümmelt</t>
  </si>
  <si>
    <t>hippie</t>
  </si>
  <si>
    <t>marshmallows</t>
  </si>
  <si>
    <t>orry</t>
  </si>
  <si>
    <t>paprika</t>
  </si>
  <si>
    <t>krasse</t>
  </si>
  <si>
    <t>crixus</t>
  </si>
  <si>
    <t>gertrude</t>
  </si>
  <si>
    <t>westliche</t>
  </si>
  <si>
    <t>stuntman</t>
  </si>
  <si>
    <t>meute</t>
  </si>
  <si>
    <t>vererbt</t>
  </si>
  <si>
    <t>70er</t>
  </si>
  <si>
    <t>knackt</t>
  </si>
  <si>
    <t>inspirierend</t>
  </si>
  <si>
    <t>schildern</t>
  </si>
  <si>
    <t>steiner</t>
  </si>
  <si>
    <t>kreieren</t>
  </si>
  <si>
    <t>genaues</t>
  </si>
  <si>
    <t>wohlfühlen</t>
  </si>
  <si>
    <t>ripley</t>
  </si>
  <si>
    <t>achse</t>
  </si>
  <si>
    <t>idol</t>
  </si>
  <si>
    <t>stiefeln</t>
  </si>
  <si>
    <t>auserwählten</t>
  </si>
  <si>
    <t>sergej</t>
  </si>
  <si>
    <t>skyler</t>
  </si>
  <si>
    <t>engelchen</t>
  </si>
  <si>
    <t>komet</t>
  </si>
  <si>
    <t>schlaues</t>
  </si>
  <si>
    <t>sicherheitsmaßnahmen</t>
  </si>
  <si>
    <t>thai</t>
  </si>
  <si>
    <t>überlisten</t>
  </si>
  <si>
    <t>helmut</t>
  </si>
  <si>
    <t>schiebst</t>
  </si>
  <si>
    <t>verfickter</t>
  </si>
  <si>
    <t>briefträger</t>
  </si>
  <si>
    <t>benedikt</t>
  </si>
  <si>
    <t>professoren</t>
  </si>
  <si>
    <t>mondschein</t>
  </si>
  <si>
    <t>flohen</t>
  </si>
  <si>
    <t>westens</t>
  </si>
  <si>
    <t>kredite</t>
  </si>
  <si>
    <t>haftstrafe</t>
  </si>
  <si>
    <t>ii.</t>
  </si>
  <si>
    <t>cabrio</t>
  </si>
  <si>
    <t>darby</t>
  </si>
  <si>
    <t>press</t>
  </si>
  <si>
    <t>garibaidi</t>
  </si>
  <si>
    <t>selina</t>
  </si>
  <si>
    <t>weckte</t>
  </si>
  <si>
    <t>gesprächig</t>
  </si>
  <si>
    <t>viren</t>
  </si>
  <si>
    <t>zehner</t>
  </si>
  <si>
    <t>polizeifunk</t>
  </si>
  <si>
    <t>sporen</t>
  </si>
  <si>
    <t>dahintersteckt</t>
  </si>
  <si>
    <t>getriebe</t>
  </si>
  <si>
    <t>wiesen</t>
  </si>
  <si>
    <t>pausen</t>
  </si>
  <si>
    <t>hero</t>
  </si>
  <si>
    <t>gottverdammter</t>
  </si>
  <si>
    <t>müßt</t>
  </si>
  <si>
    <t>eingegeben</t>
  </si>
  <si>
    <t>voodoo</t>
  </si>
  <si>
    <t>angeblichen</t>
  </si>
  <si>
    <t>exmann</t>
  </si>
  <si>
    <t>alistair</t>
  </si>
  <si>
    <t>trainierst</t>
  </si>
  <si>
    <t>ausgleich</t>
  </si>
  <si>
    <t>fiesen</t>
  </si>
  <si>
    <t>ernesto</t>
  </si>
  <si>
    <t>holiday</t>
  </si>
  <si>
    <t>verdrehen</t>
  </si>
  <si>
    <t>flachlegen</t>
  </si>
  <si>
    <t>dienstmarke</t>
  </si>
  <si>
    <t>eilen</t>
  </si>
  <si>
    <t>ehevertrag</t>
  </si>
  <si>
    <t>pflegt</t>
  </si>
  <si>
    <t>schüttelt</t>
  </si>
  <si>
    <t>hereinspaziert</t>
  </si>
  <si>
    <t>lhres</t>
  </si>
  <si>
    <t>ilona</t>
  </si>
  <si>
    <t>geplündert</t>
  </si>
  <si>
    <t>stig</t>
  </si>
  <si>
    <t>fusco</t>
  </si>
  <si>
    <t>nicken</t>
  </si>
  <si>
    <t>elmer</t>
  </si>
  <si>
    <t>antust</t>
  </si>
  <si>
    <t>erbärmliche</t>
  </si>
  <si>
    <t>sek</t>
  </si>
  <si>
    <t>mundwerk</t>
  </si>
  <si>
    <t>stephan</t>
  </si>
  <si>
    <t>lieferte</t>
  </si>
  <si>
    <t>feuerlöscher</t>
  </si>
  <si>
    <t>kran</t>
  </si>
  <si>
    <t>verwiesen</t>
  </si>
  <si>
    <t>schwitze</t>
  </si>
  <si>
    <t>trailer</t>
  </si>
  <si>
    <t>konfisziert</t>
  </si>
  <si>
    <t>bristow</t>
  </si>
  <si>
    <t>kreativität</t>
  </si>
  <si>
    <t>kombiniert</t>
  </si>
  <si>
    <t>kooperativ</t>
  </si>
  <si>
    <t>clifford</t>
  </si>
  <si>
    <t>pie</t>
  </si>
  <si>
    <t>niederbrennen</t>
  </si>
  <si>
    <t>soprano</t>
  </si>
  <si>
    <t>enthusiasmus</t>
  </si>
  <si>
    <t>rizzoli</t>
  </si>
  <si>
    <t>pernell</t>
  </si>
  <si>
    <t>genoss</t>
  </si>
  <si>
    <t>jugendlicher</t>
  </si>
  <si>
    <t>kolonne</t>
  </si>
  <si>
    <t>leonardo</t>
  </si>
  <si>
    <t>herstellung</t>
  </si>
  <si>
    <t>gewehren</t>
  </si>
  <si>
    <t>klopfte</t>
  </si>
  <si>
    <t>lama</t>
  </si>
  <si>
    <t>earp</t>
  </si>
  <si>
    <t>stammbaum</t>
  </si>
  <si>
    <t>schachteln</t>
  </si>
  <si>
    <t>eigentlichen</t>
  </si>
  <si>
    <t>brutus</t>
  </si>
  <si>
    <t>korrupten</t>
  </si>
  <si>
    <t>mast</t>
  </si>
  <si>
    <t>lehmann</t>
  </si>
  <si>
    <t>spesen</t>
  </si>
  <si>
    <t>eingewiesen</t>
  </si>
  <si>
    <t>schränke</t>
  </si>
  <si>
    <t>sensationell</t>
  </si>
  <si>
    <t>malst</t>
  </si>
  <si>
    <t>ausgelegt</t>
  </si>
  <si>
    <t>terminplan</t>
  </si>
  <si>
    <t>shrimps</t>
  </si>
  <si>
    <t>belehren</t>
  </si>
  <si>
    <t>nobody</t>
  </si>
  <si>
    <t>ertrinkt</t>
  </si>
  <si>
    <t>ernennen</t>
  </si>
  <si>
    <t>adalind</t>
  </si>
  <si>
    <t>umsetzen</t>
  </si>
  <si>
    <t>hackt</t>
  </si>
  <si>
    <t>goodman</t>
  </si>
  <si>
    <t>heimzahlen</t>
  </si>
  <si>
    <t>unzertrennlich</t>
  </si>
  <si>
    <t>biester</t>
  </si>
  <si>
    <t>dynamische</t>
  </si>
  <si>
    <t>unanständig</t>
  </si>
  <si>
    <t>dudley</t>
  </si>
  <si>
    <t>generell</t>
  </si>
  <si>
    <t>touren</t>
  </si>
  <si>
    <t>baltar</t>
  </si>
  <si>
    <t>reingebracht</t>
  </si>
  <si>
    <t>artefakte</t>
  </si>
  <si>
    <t>bedeute</t>
  </si>
  <si>
    <t>fürchterliche</t>
  </si>
  <si>
    <t>apfelkuchen</t>
  </si>
  <si>
    <t>befund</t>
  </si>
  <si>
    <t>straßensperren</t>
  </si>
  <si>
    <t>fehlgeburt</t>
  </si>
  <si>
    <t>diagnostiziert</t>
  </si>
  <si>
    <t>anarchie</t>
  </si>
  <si>
    <t>wisse</t>
  </si>
  <si>
    <t>kahl</t>
  </si>
  <si>
    <t>sangen</t>
  </si>
  <si>
    <t>schöpfen</t>
  </si>
  <si>
    <t>journal</t>
  </si>
  <si>
    <t>berta</t>
  </si>
  <si>
    <t>mitnimmt</t>
  </si>
  <si>
    <t>aufrichtigkeit</t>
  </si>
  <si>
    <t>cullen</t>
  </si>
  <si>
    <t>martins</t>
  </si>
  <si>
    <t>ohrfeigen</t>
  </si>
  <si>
    <t>ergebe</t>
  </si>
  <si>
    <t>auszusuchen</t>
  </si>
  <si>
    <t>aufmacht</t>
  </si>
  <si>
    <t>tierheim</t>
  </si>
  <si>
    <t>dalli</t>
  </si>
  <si>
    <t>abgeschickt</t>
  </si>
  <si>
    <t>postamt</t>
  </si>
  <si>
    <t>anfragen</t>
  </si>
  <si>
    <t>nachtwächter</t>
  </si>
  <si>
    <t>beirut</t>
  </si>
  <si>
    <t>anlagen</t>
  </si>
  <si>
    <t>spielzeuge</t>
  </si>
  <si>
    <t>greifst</t>
  </si>
  <si>
    <t>mitkommt</t>
  </si>
  <si>
    <t>mcmanus</t>
  </si>
  <si>
    <t>schauspielerei</t>
  </si>
  <si>
    <t>verdenken</t>
  </si>
  <si>
    <t>schiefgelaufen</t>
  </si>
  <si>
    <t>schlechtesten</t>
  </si>
  <si>
    <t>stoße</t>
  </si>
  <si>
    <t>mummy</t>
  </si>
  <si>
    <t>drecksloch</t>
  </si>
  <si>
    <t>überlaufen</t>
  </si>
  <si>
    <t>stürmisch</t>
  </si>
  <si>
    <t>betäubung</t>
  </si>
  <si>
    <t>ritz</t>
  </si>
  <si>
    <t>lolita</t>
  </si>
  <si>
    <t>sandte</t>
  </si>
  <si>
    <t>infizierten</t>
  </si>
  <si>
    <t>downton</t>
  </si>
  <si>
    <t>zumal</t>
  </si>
  <si>
    <t>bloßstellen</t>
  </si>
  <si>
    <t>hingehören</t>
  </si>
  <si>
    <t>mercer</t>
  </si>
  <si>
    <t>befasst</t>
  </si>
  <si>
    <t>kühn</t>
  </si>
  <si>
    <t>vorgezogen</t>
  </si>
  <si>
    <t>verschwitzt</t>
  </si>
  <si>
    <t>konstantin</t>
  </si>
  <si>
    <t>pager</t>
  </si>
  <si>
    <t>petersburg</t>
  </si>
  <si>
    <t>öffentlicher</t>
  </si>
  <si>
    <t>morales</t>
  </si>
  <si>
    <t>pfand</t>
  </si>
  <si>
    <t>geschäftsleute</t>
  </si>
  <si>
    <t>jocelyn</t>
  </si>
  <si>
    <t>trüben</t>
  </si>
  <si>
    <t>misst</t>
  </si>
  <si>
    <t>vortragen</t>
  </si>
  <si>
    <t>ausstrahlung</t>
  </si>
  <si>
    <t>geehrte</t>
  </si>
  <si>
    <t>lew</t>
  </si>
  <si>
    <t>garnison</t>
  </si>
  <si>
    <t>ausgeglichen</t>
  </si>
  <si>
    <t>annabelle</t>
  </si>
  <si>
    <t>malmö</t>
  </si>
  <si>
    <t>hendrix</t>
  </si>
  <si>
    <t>till</t>
  </si>
  <si>
    <t>diebstahls</t>
  </si>
  <si>
    <t>untröstlich</t>
  </si>
  <si>
    <t>checke</t>
  </si>
  <si>
    <t>stammte</t>
  </si>
  <si>
    <t>owens</t>
  </si>
  <si>
    <t>angelus</t>
  </si>
  <si>
    <t>touch</t>
  </si>
  <si>
    <t>streuner</t>
  </si>
  <si>
    <t>toro</t>
  </si>
  <si>
    <t>beautiful</t>
  </si>
  <si>
    <t>kostprobe</t>
  </si>
  <si>
    <t>aufholen</t>
  </si>
  <si>
    <t>etliche</t>
  </si>
  <si>
    <t>angetrieben</t>
  </si>
  <si>
    <t>dina</t>
  </si>
  <si>
    <t>festzunehmen</t>
  </si>
  <si>
    <t>einschließen</t>
  </si>
  <si>
    <t>undichte</t>
  </si>
  <si>
    <t>meld</t>
  </si>
  <si>
    <t>mangelt</t>
  </si>
  <si>
    <t>entspanne</t>
  </si>
  <si>
    <t>irdischen</t>
  </si>
  <si>
    <t>bahnen</t>
  </si>
  <si>
    <t>gewöhnliches</t>
  </si>
  <si>
    <t>simons</t>
  </si>
  <si>
    <t>praktische</t>
  </si>
  <si>
    <t>sutton</t>
  </si>
  <si>
    <t>aufrechterhalten</t>
  </si>
  <si>
    <t>ertrank</t>
  </si>
  <si>
    <t>trompeten</t>
  </si>
  <si>
    <t>verlassene</t>
  </si>
  <si>
    <t>suzie</t>
  </si>
  <si>
    <t>flöhe</t>
  </si>
  <si>
    <t>nicks</t>
  </si>
  <si>
    <t>verunsichert</t>
  </si>
  <si>
    <t>getätigt</t>
  </si>
  <si>
    <t>kostbaren</t>
  </si>
  <si>
    <t>kniet</t>
  </si>
  <si>
    <t>ber</t>
  </si>
  <si>
    <t>rübe</t>
  </si>
  <si>
    <t>senatoren</t>
  </si>
  <si>
    <t>vickie</t>
  </si>
  <si>
    <t>verachte</t>
  </si>
  <si>
    <t>abzuziehen</t>
  </si>
  <si>
    <t>hilfssheriff</t>
  </si>
  <si>
    <t>spielraum</t>
  </si>
  <si>
    <t>herbestellt</t>
  </si>
  <si>
    <t>unterschrieb</t>
  </si>
  <si>
    <t>peck</t>
  </si>
  <si>
    <t>teri</t>
  </si>
  <si>
    <t>jimbo</t>
  </si>
  <si>
    <t>langgeht</t>
  </si>
  <si>
    <t>memoiren</t>
  </si>
  <si>
    <t>verfluche</t>
  </si>
  <si>
    <t>sportlich</t>
  </si>
  <si>
    <t>verklage</t>
  </si>
  <si>
    <t>augustus</t>
  </si>
  <si>
    <t>wiedergefunden</t>
  </si>
  <si>
    <t>sa</t>
  </si>
  <si>
    <t>cuina</t>
  </si>
  <si>
    <t>lem</t>
  </si>
  <si>
    <t>hersteller</t>
  </si>
  <si>
    <t>mio</t>
  </si>
  <si>
    <t>heul</t>
  </si>
  <si>
    <t>versiegeln</t>
  </si>
  <si>
    <t>gro</t>
  </si>
  <si>
    <t>abstammung</t>
  </si>
  <si>
    <t>rechtes</t>
  </si>
  <si>
    <t>anschläge</t>
  </si>
  <si>
    <t>silberne</t>
  </si>
  <si>
    <t>abführen</t>
  </si>
  <si>
    <t>koreaner</t>
  </si>
  <si>
    <t>anwendung</t>
  </si>
  <si>
    <t>erspare</t>
  </si>
  <si>
    <t>tree</t>
  </si>
  <si>
    <t>spekulationen</t>
  </si>
  <si>
    <t>zurückgehalten</t>
  </si>
  <si>
    <t>vorbeifahren</t>
  </si>
  <si>
    <t>cara</t>
  </si>
  <si>
    <t>vorstellbar</t>
  </si>
  <si>
    <t>vorstellt</t>
  </si>
  <si>
    <t>mürrisch</t>
  </si>
  <si>
    <t>usb-stick</t>
  </si>
  <si>
    <t>nachlassen</t>
  </si>
  <si>
    <t>topper</t>
  </si>
  <si>
    <t>kreuzworträtsel</t>
  </si>
  <si>
    <t>fritten</t>
  </si>
  <si>
    <t>cold</t>
  </si>
  <si>
    <t>absperrung</t>
  </si>
  <si>
    <t>masters</t>
  </si>
  <si>
    <t>adrien</t>
  </si>
  <si>
    <t>betrüge</t>
  </si>
  <si>
    <t>redensart</t>
  </si>
  <si>
    <t>abhält</t>
  </si>
  <si>
    <t>schwellung</t>
  </si>
  <si>
    <t>isak</t>
  </si>
  <si>
    <t>erneuert</t>
  </si>
  <si>
    <t>salbe</t>
  </si>
  <si>
    <t>rates</t>
  </si>
  <si>
    <t>nullen</t>
  </si>
  <si>
    <t>schuldete</t>
  </si>
  <si>
    <t>beschattet</t>
  </si>
  <si>
    <t>pferderennen</t>
  </si>
  <si>
    <t>übertreibe</t>
  </si>
  <si>
    <t>indische</t>
  </si>
  <si>
    <t>kämst</t>
  </si>
  <si>
    <t>rauszukriegen</t>
  </si>
  <si>
    <t>fine</t>
  </si>
  <si>
    <t>umgesehen</t>
  </si>
  <si>
    <t>abhaut</t>
  </si>
  <si>
    <t>hundes</t>
  </si>
  <si>
    <t>shay-zee</t>
  </si>
  <si>
    <t>vermittler</t>
  </si>
  <si>
    <t>gewandt</t>
  </si>
  <si>
    <t>offline</t>
  </si>
  <si>
    <t>versaust</t>
  </si>
  <si>
    <t>auffassung</t>
  </si>
  <si>
    <t>hosentasche</t>
  </si>
  <si>
    <t>lazarus</t>
  </si>
  <si>
    <t>brigade</t>
  </si>
  <si>
    <t>zuschauern</t>
  </si>
  <si>
    <t>ausführung</t>
  </si>
  <si>
    <t>mob</t>
  </si>
  <si>
    <t>mystische</t>
  </si>
  <si>
    <t>illegaler</t>
  </si>
  <si>
    <t>überzeugungen</t>
  </si>
  <si>
    <t>maden</t>
  </si>
  <si>
    <t>leuchte</t>
  </si>
  <si>
    <t>beschlagnahmen</t>
  </si>
  <si>
    <t>bewilligt</t>
  </si>
  <si>
    <t>uh-huh</t>
  </si>
  <si>
    <t>ashton</t>
  </si>
  <si>
    <t>macho</t>
  </si>
  <si>
    <t>gliedmaßen</t>
  </si>
  <si>
    <t>mysterium</t>
  </si>
  <si>
    <t>bluttest</t>
  </si>
  <si>
    <t>heimfahren</t>
  </si>
  <si>
    <t>infizieren</t>
  </si>
  <si>
    <t>lehrern</t>
  </si>
  <si>
    <t>baseballschläger</t>
  </si>
  <si>
    <t>aufgibst</t>
  </si>
  <si>
    <t>füll</t>
  </si>
  <si>
    <t>bentley</t>
  </si>
  <si>
    <t>conny</t>
  </si>
  <si>
    <t>fließend</t>
  </si>
  <si>
    <t>co</t>
  </si>
  <si>
    <t>dornröschen</t>
  </si>
  <si>
    <t>gescannt</t>
  </si>
  <si>
    <t>sonya</t>
  </si>
  <si>
    <t>geäußert</t>
  </si>
  <si>
    <t>doofe</t>
  </si>
  <si>
    <t>optimismus</t>
  </si>
  <si>
    <t>regan</t>
  </si>
  <si>
    <t>ochsen</t>
  </si>
  <si>
    <t>marlboro</t>
  </si>
  <si>
    <t>unterschreibst</t>
  </si>
  <si>
    <t>ländereien</t>
  </si>
  <si>
    <t>brustkorb</t>
  </si>
  <si>
    <t>bayern</t>
  </si>
  <si>
    <t>volt</t>
  </si>
  <si>
    <t>buchstabe</t>
  </si>
  <si>
    <t>nichols</t>
  </si>
  <si>
    <t>michele</t>
  </si>
  <si>
    <t>capone</t>
  </si>
  <si>
    <t>ausschnitt</t>
  </si>
  <si>
    <t>ukraine</t>
  </si>
  <si>
    <t>anfertigen</t>
  </si>
  <si>
    <t>seelenklempner</t>
  </si>
  <si>
    <t>ausdrucksweise</t>
  </si>
  <si>
    <t>monkey</t>
  </si>
  <si>
    <t>arznei</t>
  </si>
  <si>
    <t>omelett</t>
  </si>
  <si>
    <t>atlas</t>
  </si>
  <si>
    <t>maxine</t>
  </si>
  <si>
    <t>geschlossene</t>
  </si>
  <si>
    <t>abkühlen</t>
  </si>
  <si>
    <t>food</t>
  </si>
  <si>
    <t>arne</t>
  </si>
  <si>
    <t>mayonnaise</t>
  </si>
  <si>
    <t>überträgt</t>
  </si>
  <si>
    <t>zeugt</t>
  </si>
  <si>
    <t>einwilligung</t>
  </si>
  <si>
    <t>entlarvt</t>
  </si>
  <si>
    <t>gebühren</t>
  </si>
  <si>
    <t>dinah</t>
  </si>
  <si>
    <t>seufzer</t>
  </si>
  <si>
    <t>lösche</t>
  </si>
  <si>
    <t>unzucht</t>
  </si>
  <si>
    <t>geschätzte</t>
  </si>
  <si>
    <t>manolo</t>
  </si>
  <si>
    <t>aufgebraucht</t>
  </si>
  <si>
    <t>baracken</t>
  </si>
  <si>
    <t>celeste</t>
  </si>
  <si>
    <t>umgefallen</t>
  </si>
  <si>
    <t>rennfahrer</t>
  </si>
  <si>
    <t>gerichtsbeschluss</t>
  </si>
  <si>
    <t>eingelegt</t>
  </si>
  <si>
    <t>verehrten</t>
  </si>
  <si>
    <t>einwanderungsbehörde</t>
  </si>
  <si>
    <t>rudolph</t>
  </si>
  <si>
    <t>fernglas</t>
  </si>
  <si>
    <t>venezuela</t>
  </si>
  <si>
    <t>verschuldet</t>
  </si>
  <si>
    <t>klaue</t>
  </si>
  <si>
    <t>roth</t>
  </si>
  <si>
    <t>stoffe</t>
  </si>
  <si>
    <t>pocken</t>
  </si>
  <si>
    <t>mam</t>
  </si>
  <si>
    <t>investitionen</t>
  </si>
  <si>
    <t>unendlichen</t>
  </si>
  <si>
    <t>shogun</t>
  </si>
  <si>
    <t>style</t>
  </si>
  <si>
    <t>belfast</t>
  </si>
  <si>
    <t>abergläubisch</t>
  </si>
  <si>
    <t>hühnern</t>
  </si>
  <si>
    <t>umkommen</t>
  </si>
  <si>
    <t>kommandos</t>
  </si>
  <si>
    <t>trance</t>
  </si>
  <si>
    <t>lebensweise</t>
  </si>
  <si>
    <t>zwingst</t>
  </si>
  <si>
    <t>ehrfurcht</t>
  </si>
  <si>
    <t>timer</t>
  </si>
  <si>
    <t>velma</t>
  </si>
  <si>
    <t>freiheiten</t>
  </si>
  <si>
    <t>hinterhältig</t>
  </si>
  <si>
    <t>konzerte</t>
  </si>
  <si>
    <t>ungültig</t>
  </si>
  <si>
    <t>verklingt</t>
  </si>
  <si>
    <t>gestopft</t>
  </si>
  <si>
    <t>riet</t>
  </si>
  <si>
    <t>verbeugen</t>
  </si>
  <si>
    <t>hilda</t>
  </si>
  <si>
    <t>erheblich</t>
  </si>
  <si>
    <t>vergess</t>
  </si>
  <si>
    <t>verarsche</t>
  </si>
  <si>
    <t>inge</t>
  </si>
  <si>
    <t>rosinen</t>
  </si>
  <si>
    <t>chirurgin</t>
  </si>
  <si>
    <t>better</t>
  </si>
  <si>
    <t>giftige</t>
  </si>
  <si>
    <t>blaine</t>
  </si>
  <si>
    <t>ramsey</t>
  </si>
  <si>
    <t>reagiere</t>
  </si>
  <si>
    <t>rasmus</t>
  </si>
  <si>
    <t>solis</t>
  </si>
  <si>
    <t>rassist</t>
  </si>
  <si>
    <t>erfinde</t>
  </si>
  <si>
    <t>auszuschließen</t>
  </si>
  <si>
    <t>katrin</t>
  </si>
  <si>
    <t>schlitz</t>
  </si>
  <si>
    <t>chucky</t>
  </si>
  <si>
    <t>comeback</t>
  </si>
  <si>
    <t>liess</t>
  </si>
  <si>
    <t>glorreichen</t>
  </si>
  <si>
    <t>formuliert</t>
  </si>
  <si>
    <t>danvers</t>
  </si>
  <si>
    <t>genesen</t>
  </si>
  <si>
    <t>dunbar</t>
  </si>
  <si>
    <t>derzeitigen</t>
  </si>
  <si>
    <t>losgeschickt</t>
  </si>
  <si>
    <t>menschenverstand</t>
  </si>
  <si>
    <t>ui</t>
  </si>
  <si>
    <t>klares</t>
  </si>
  <si>
    <t>toleranz</t>
  </si>
  <si>
    <t>vielerlei</t>
  </si>
  <si>
    <t>fachmann</t>
  </si>
  <si>
    <t>hap</t>
  </si>
  <si>
    <t>bettchen</t>
  </si>
  <si>
    <t>teilgenommen</t>
  </si>
  <si>
    <t>härte</t>
  </si>
  <si>
    <t>zurückgewinnen</t>
  </si>
  <si>
    <t>did</t>
  </si>
  <si>
    <t>gepflanzt</t>
  </si>
  <si>
    <t>bacon</t>
  </si>
  <si>
    <t>hintere</t>
  </si>
  <si>
    <t>sterbliche</t>
  </si>
  <si>
    <t>traktorstrahl</t>
  </si>
  <si>
    <t>schäbig</t>
  </si>
  <si>
    <t>ciro</t>
  </si>
  <si>
    <t>gruselige</t>
  </si>
  <si>
    <t>estelle</t>
  </si>
  <si>
    <t>morgigen</t>
  </si>
  <si>
    <t>turbulenzen</t>
  </si>
  <si>
    <t>hunderter</t>
  </si>
  <si>
    <t>champions</t>
  </si>
  <si>
    <t>kontaktlinsen</t>
  </si>
  <si>
    <t>milady</t>
  </si>
  <si>
    <t>legionen</t>
  </si>
  <si>
    <t>waltons</t>
  </si>
  <si>
    <t>collier</t>
  </si>
  <si>
    <t>aussichtslos</t>
  </si>
  <si>
    <t>register</t>
  </si>
  <si>
    <t>bohne</t>
  </si>
  <si>
    <t>kjeld</t>
  </si>
  <si>
    <t>ebenbürtig</t>
  </si>
  <si>
    <t>geehrter</t>
  </si>
  <si>
    <t>verpflegung</t>
  </si>
  <si>
    <t>rotschopf</t>
  </si>
  <si>
    <t>zusieht</t>
  </si>
  <si>
    <t>herausstellte</t>
  </si>
  <si>
    <t>klarzukommen</t>
  </si>
  <si>
    <t>venen</t>
  </si>
  <si>
    <t>zickig</t>
  </si>
  <si>
    <t>whitman</t>
  </si>
  <si>
    <t>bertram</t>
  </si>
  <si>
    <t>booten</t>
  </si>
  <si>
    <t>flugzeugabsturz</t>
  </si>
  <si>
    <t>spalte</t>
  </si>
  <si>
    <t>erkannten</t>
  </si>
  <si>
    <t>überweisung</t>
  </si>
  <si>
    <t>flexibel</t>
  </si>
  <si>
    <t>kovac</t>
  </si>
  <si>
    <t>witwer</t>
  </si>
  <si>
    <t>haltestelle</t>
  </si>
  <si>
    <t>bauunternehmer</t>
  </si>
  <si>
    <t>zaren</t>
  </si>
  <si>
    <t>diktator</t>
  </si>
  <si>
    <t>gutzumachen</t>
  </si>
  <si>
    <t>losging</t>
  </si>
  <si>
    <t>fingernägeln</t>
  </si>
  <si>
    <t>rutschte</t>
  </si>
  <si>
    <t>veilchen</t>
  </si>
  <si>
    <t>baze</t>
  </si>
  <si>
    <t>sparks</t>
  </si>
  <si>
    <t>braddock</t>
  </si>
  <si>
    <t>steigert</t>
  </si>
  <si>
    <t>vernehmung</t>
  </si>
  <si>
    <t>porthos</t>
  </si>
  <si>
    <t>mäntel</t>
  </si>
  <si>
    <t>grausamer</t>
  </si>
  <si>
    <t>aufwärts</t>
  </si>
  <si>
    <t>gezündet</t>
  </si>
  <si>
    <t>hypnotisiert</t>
  </si>
  <si>
    <t>entscheidenden</t>
  </si>
  <si>
    <t>steil</t>
  </si>
  <si>
    <t>rassen</t>
  </si>
  <si>
    <t>bowl</t>
  </si>
  <si>
    <t>lightning</t>
  </si>
  <si>
    <t>landesweit</t>
  </si>
  <si>
    <t>plakate</t>
  </si>
  <si>
    <t>karo</t>
  </si>
  <si>
    <t>närrin</t>
  </si>
  <si>
    <t>umfang</t>
  </si>
  <si>
    <t>slogan</t>
  </si>
  <si>
    <t>sportsfreund</t>
  </si>
  <si>
    <t>feldmarschall</t>
  </si>
  <si>
    <t>moose</t>
  </si>
  <si>
    <t>vollgas</t>
  </si>
  <si>
    <t>vertrauliche</t>
  </si>
  <si>
    <t>zahnfee</t>
  </si>
  <si>
    <t>goldenes</t>
  </si>
  <si>
    <t>badehose</t>
  </si>
  <si>
    <t>gao</t>
  </si>
  <si>
    <t>jumper</t>
  </si>
  <si>
    <t>scheitert</t>
  </si>
  <si>
    <t>storys</t>
  </si>
  <si>
    <t>servietten</t>
  </si>
  <si>
    <t>warnt</t>
  </si>
  <si>
    <t>geysir</t>
  </si>
  <si>
    <t>großzuziehen</t>
  </si>
  <si>
    <t>vorgelegt</t>
  </si>
  <si>
    <t>darlene</t>
  </si>
  <si>
    <t>plantage</t>
  </si>
  <si>
    <t>diplomatische</t>
  </si>
  <si>
    <t>0k</t>
  </si>
  <si>
    <t>arms</t>
  </si>
  <si>
    <t>besaufen</t>
  </si>
  <si>
    <t>aufkleber</t>
  </si>
  <si>
    <t>plagen</t>
  </si>
  <si>
    <t>unfalls</t>
  </si>
  <si>
    <t>angeguckt</t>
  </si>
  <si>
    <t>verurteilten</t>
  </si>
  <si>
    <t>auszuhalten</t>
  </si>
  <si>
    <t>austrinken</t>
  </si>
  <si>
    <t>kontext</t>
  </si>
  <si>
    <t>versuchskaninchen</t>
  </si>
  <si>
    <t>days</t>
  </si>
  <si>
    <t>vinci</t>
  </si>
  <si>
    <t>stürme</t>
  </si>
  <si>
    <t>zweifelt</t>
  </si>
  <si>
    <t>flugticket</t>
  </si>
  <si>
    <t>herausgeber</t>
  </si>
  <si>
    <t>vorträge</t>
  </si>
  <si>
    <t>einzelkind</t>
  </si>
  <si>
    <t>liebevolle</t>
  </si>
  <si>
    <t>klär</t>
  </si>
  <si>
    <t>gehetzt</t>
  </si>
  <si>
    <t>raubtier</t>
  </si>
  <si>
    <t>flohmarkt</t>
  </si>
  <si>
    <t>nam</t>
  </si>
  <si>
    <t>bauchgefühl</t>
  </si>
  <si>
    <t>kompromittiert</t>
  </si>
  <si>
    <t>kokosnuss</t>
  </si>
  <si>
    <t>todesfall</t>
  </si>
  <si>
    <t>wilkins</t>
  </si>
  <si>
    <t>paradise</t>
  </si>
  <si>
    <t>bürste</t>
  </si>
  <si>
    <t>b.a.</t>
  </si>
  <si>
    <t>zerlegen</t>
  </si>
  <si>
    <t>rasten</t>
  </si>
  <si>
    <t>sexleben</t>
  </si>
  <si>
    <t>taco</t>
  </si>
  <si>
    <t>dieben</t>
  </si>
  <si>
    <t>unnötige</t>
  </si>
  <si>
    <t>ärgere</t>
  </si>
  <si>
    <t>verzug</t>
  </si>
  <si>
    <t>afrikanische</t>
  </si>
  <si>
    <t>punsch</t>
  </si>
  <si>
    <t>lebenszeit</t>
  </si>
  <si>
    <t>junggesellen</t>
  </si>
  <si>
    <t>indischen</t>
  </si>
  <si>
    <t>dröhnen</t>
  </si>
  <si>
    <t>philippinen</t>
  </si>
  <si>
    <t>lutscher</t>
  </si>
  <si>
    <t>flugbahn</t>
  </si>
  <si>
    <t>rica</t>
  </si>
  <si>
    <t>vorbeibringen</t>
  </si>
  <si>
    <t>binford</t>
  </si>
  <si>
    <t>freizeichen</t>
  </si>
  <si>
    <t>livia</t>
  </si>
  <si>
    <t>wartezimmer</t>
  </si>
  <si>
    <t>brote</t>
  </si>
  <si>
    <t>zurückgegangen</t>
  </si>
  <si>
    <t>tolerieren</t>
  </si>
  <si>
    <t>professionellen</t>
  </si>
  <si>
    <t>momo</t>
  </si>
  <si>
    <t>fälschungen</t>
  </si>
  <si>
    <t>schriftliche</t>
  </si>
  <si>
    <t>rippe</t>
  </si>
  <si>
    <t>hinschicken</t>
  </si>
  <si>
    <t>schwimmer</t>
  </si>
  <si>
    <t>holger</t>
  </si>
  <si>
    <t>things</t>
  </si>
  <si>
    <t>kritisiert</t>
  </si>
  <si>
    <t>festsitzen</t>
  </si>
  <si>
    <t>dynastie</t>
  </si>
  <si>
    <t>geliebtes</t>
  </si>
  <si>
    <t>leibe</t>
  </si>
  <si>
    <t>kylie</t>
  </si>
  <si>
    <t>taufen</t>
  </si>
  <si>
    <t>anstieg</t>
  </si>
  <si>
    <t>abgeworfen</t>
  </si>
  <si>
    <t>wanderte</t>
  </si>
  <si>
    <t>bereitete</t>
  </si>
  <si>
    <t>grauer</t>
  </si>
  <si>
    <t>enrique</t>
  </si>
  <si>
    <t>neuseeland</t>
  </si>
  <si>
    <t>platze</t>
  </si>
  <si>
    <t>cami</t>
  </si>
  <si>
    <t>narkose</t>
  </si>
  <si>
    <t>zielobjekt</t>
  </si>
  <si>
    <t>trieben</t>
  </si>
  <si>
    <t>zurückhaltung</t>
  </si>
  <si>
    <t>kollabiert</t>
  </si>
  <si>
    <t>organisationen</t>
  </si>
  <si>
    <t>führenden</t>
  </si>
  <si>
    <t>untätig</t>
  </si>
  <si>
    <t>hagen</t>
  </si>
  <si>
    <t>tägliche</t>
  </si>
  <si>
    <t>shan</t>
  </si>
  <si>
    <t>ronny</t>
  </si>
  <si>
    <t>geschnallt</t>
  </si>
  <si>
    <t>lava</t>
  </si>
  <si>
    <t>amigos</t>
  </si>
  <si>
    <t>passendes</t>
  </si>
  <si>
    <t>verging</t>
  </si>
  <si>
    <t>hej</t>
  </si>
  <si>
    <t>getue</t>
  </si>
  <si>
    <t>möglicher</t>
  </si>
  <si>
    <t>rutsche</t>
  </si>
  <si>
    <t>wilderer</t>
  </si>
  <si>
    <t>sergio</t>
  </si>
  <si>
    <t>mappe</t>
  </si>
  <si>
    <t>bekämen</t>
  </si>
  <si>
    <t>redner</t>
  </si>
  <si>
    <t>betreffend</t>
  </si>
  <si>
    <t>fieser</t>
  </si>
  <si>
    <t>scooby</t>
  </si>
  <si>
    <t>pisst</t>
  </si>
  <si>
    <t>problematisch</t>
  </si>
  <si>
    <t>entwendet</t>
  </si>
  <si>
    <t>wortwahl</t>
  </si>
  <si>
    <t>athos</t>
  </si>
  <si>
    <t>verstaucht</t>
  </si>
  <si>
    <t>reginald</t>
  </si>
  <si>
    <t>thank</t>
  </si>
  <si>
    <t>hardman</t>
  </si>
  <si>
    <t>vertan</t>
  </si>
  <si>
    <t>miaut</t>
  </si>
  <si>
    <t>videospiel</t>
  </si>
  <si>
    <t>anschaffen</t>
  </si>
  <si>
    <t>pointe</t>
  </si>
  <si>
    <t>firewall</t>
  </si>
  <si>
    <t>geschwommen</t>
  </si>
  <si>
    <t>wassers</t>
  </si>
  <si>
    <t>vernehmen</t>
  </si>
  <si>
    <t>beschließen</t>
  </si>
  <si>
    <t>branch</t>
  </si>
  <si>
    <t>schiller</t>
  </si>
  <si>
    <t>abriegeln</t>
  </si>
  <si>
    <t>vernünftiges</t>
  </si>
  <si>
    <t>kowalski</t>
  </si>
  <si>
    <t>knappe</t>
  </si>
  <si>
    <t>austricksen</t>
  </si>
  <si>
    <t>zugetraut</t>
  </si>
  <si>
    <t>artus</t>
  </si>
  <si>
    <t>durchtrennt</t>
  </si>
  <si>
    <t>moslem</t>
  </si>
  <si>
    <t>abgebogen</t>
  </si>
  <si>
    <t>lieblingsfarbe</t>
  </si>
  <si>
    <t>visuelle</t>
  </si>
  <si>
    <t>harding</t>
  </si>
  <si>
    <t>gewährleisten</t>
  </si>
  <si>
    <t>überraschte</t>
  </si>
  <si>
    <t>beschwere</t>
  </si>
  <si>
    <t>orientierung</t>
  </si>
  <si>
    <t>erträumt</t>
  </si>
  <si>
    <t>günther</t>
  </si>
  <si>
    <t>arrangement</t>
  </si>
  <si>
    <t>brownies</t>
  </si>
  <si>
    <t>ceo</t>
  </si>
  <si>
    <t>ergebt</t>
  </si>
  <si>
    <t>betest</t>
  </si>
  <si>
    <t>lümmel</t>
  </si>
  <si>
    <t>biologisch</t>
  </si>
  <si>
    <t>ducken</t>
  </si>
  <si>
    <t>hebst</t>
  </si>
  <si>
    <t>rassismus</t>
  </si>
  <si>
    <t>verleumdung</t>
  </si>
  <si>
    <t>vergaßen</t>
  </si>
  <si>
    <t>mini</t>
  </si>
  <si>
    <t>stacheldraht</t>
  </si>
  <si>
    <t>dubai</t>
  </si>
  <si>
    <t>widerlicher</t>
  </si>
  <si>
    <t>jethro</t>
  </si>
  <si>
    <t>milly</t>
  </si>
  <si>
    <t>luftraum</t>
  </si>
  <si>
    <t>aufheitern</t>
  </si>
  <si>
    <t>hochstetter</t>
  </si>
  <si>
    <t>schlechtem</t>
  </si>
  <si>
    <t>verwanzt</t>
  </si>
  <si>
    <t>lockwood</t>
  </si>
  <si>
    <t>eingerostet</t>
  </si>
  <si>
    <t>thad</t>
  </si>
  <si>
    <t>besuchten</t>
  </si>
  <si>
    <t>eingecheckt</t>
  </si>
  <si>
    <t>syndikat</t>
  </si>
  <si>
    <t>asse</t>
  </si>
  <si>
    <t>california</t>
  </si>
  <si>
    <t>bieg</t>
  </si>
  <si>
    <t>erhängen</t>
  </si>
  <si>
    <t>spider-man</t>
  </si>
  <si>
    <t>trinity</t>
  </si>
  <si>
    <t>plötzlichen</t>
  </si>
  <si>
    <t>weiden</t>
  </si>
  <si>
    <t>asiaten</t>
  </si>
  <si>
    <t>feuerkraft</t>
  </si>
  <si>
    <t>francois</t>
  </si>
  <si>
    <t>rivera</t>
  </si>
  <si>
    <t>crown</t>
  </si>
  <si>
    <t>livie</t>
  </si>
  <si>
    <t>schreiten</t>
  </si>
  <si>
    <t>beachtung</t>
  </si>
  <si>
    <t>aufzuheben</t>
  </si>
  <si>
    <t>schlückchen</t>
  </si>
  <si>
    <t>munde</t>
  </si>
  <si>
    <t>athena</t>
  </si>
  <si>
    <t>abgeliefert</t>
  </si>
  <si>
    <t>individuen</t>
  </si>
  <si>
    <t>steinbruch</t>
  </si>
  <si>
    <t>ausgehe</t>
  </si>
  <si>
    <t>planten</t>
  </si>
  <si>
    <t>aufregt</t>
  </si>
  <si>
    <t>meisterin</t>
  </si>
  <si>
    <t>kult</t>
  </si>
  <si>
    <t>brächte</t>
  </si>
  <si>
    <t>rentner</t>
  </si>
  <si>
    <t>familienmitglieder</t>
  </si>
  <si>
    <t>erstklassig</t>
  </si>
  <si>
    <t>dabeihaben</t>
  </si>
  <si>
    <t>speisesaal</t>
  </si>
  <si>
    <t>jacken</t>
  </si>
  <si>
    <t>bloße</t>
  </si>
  <si>
    <t>schinden</t>
  </si>
  <si>
    <t>bedrängt</t>
  </si>
  <si>
    <t>ahm</t>
  </si>
  <si>
    <t>schmuckstück</t>
  </si>
  <si>
    <t>meineid</t>
  </si>
  <si>
    <t>übergab</t>
  </si>
  <si>
    <t>verdammnis</t>
  </si>
  <si>
    <t>berichtete</t>
  </si>
  <si>
    <t>bogenschützen</t>
  </si>
  <si>
    <t>eingekauft</t>
  </si>
  <si>
    <t>brosche</t>
  </si>
  <si>
    <t>vertagt</t>
  </si>
  <si>
    <t>kwan</t>
  </si>
  <si>
    <t>verdienten</t>
  </si>
  <si>
    <t>zurückzugehen</t>
  </si>
  <si>
    <t>jawoll</t>
  </si>
  <si>
    <t>stinkende</t>
  </si>
  <si>
    <t>grübeln</t>
  </si>
  <si>
    <t>genialen</t>
  </si>
  <si>
    <t>vergrößert</t>
  </si>
  <si>
    <t>gesetzlich</t>
  </si>
  <si>
    <t>katy</t>
  </si>
  <si>
    <t>umleiten</t>
  </si>
  <si>
    <t>anziehend</t>
  </si>
  <si>
    <t>abstatten</t>
  </si>
  <si>
    <t>gewächshaus</t>
  </si>
  <si>
    <t>unwürdig</t>
  </si>
  <si>
    <t>mechanismus</t>
  </si>
  <si>
    <t>unzuverlässig</t>
  </si>
  <si>
    <t>monde</t>
  </si>
  <si>
    <t>tip</t>
  </si>
  <si>
    <t>pausenlos</t>
  </si>
  <si>
    <t>tan</t>
  </si>
  <si>
    <t>whiteywhiteman</t>
  </si>
  <si>
    <t>kehrten</t>
  </si>
  <si>
    <t>abgetrennt</t>
  </si>
  <si>
    <t>schlimmster</t>
  </si>
  <si>
    <t>normalität</t>
  </si>
  <si>
    <t>großzügige</t>
  </si>
  <si>
    <t>transplantation</t>
  </si>
  <si>
    <t>auszudenken</t>
  </si>
  <si>
    <t>etc.</t>
  </si>
  <si>
    <t>genialer</t>
  </si>
  <si>
    <t>orgie</t>
  </si>
  <si>
    <t>bruchteil</t>
  </si>
  <si>
    <t>entzückende</t>
  </si>
  <si>
    <t>cinderella</t>
  </si>
  <si>
    <t>schwingungen</t>
  </si>
  <si>
    <t>komfort</t>
  </si>
  <si>
    <t>fantastischer</t>
  </si>
  <si>
    <t>gone</t>
  </si>
  <si>
    <t>tj</t>
  </si>
  <si>
    <t>caprica</t>
  </si>
  <si>
    <t>verbrechern</t>
  </si>
  <si>
    <t>tagebücher</t>
  </si>
  <si>
    <t>healy</t>
  </si>
  <si>
    <t>bambi</t>
  </si>
  <si>
    <t>gigi</t>
  </si>
  <si>
    <t>mager</t>
  </si>
  <si>
    <t>stopf</t>
  </si>
  <si>
    <t>malaria</t>
  </si>
  <si>
    <t>allerletzte</t>
  </si>
  <si>
    <t>ader</t>
  </si>
  <si>
    <t>verwischt</t>
  </si>
  <si>
    <t>schleudern</t>
  </si>
  <si>
    <t>tahiti</t>
  </si>
  <si>
    <t>verschleiern</t>
  </si>
  <si>
    <t>hop</t>
  </si>
  <si>
    <t>skrupellos</t>
  </si>
  <si>
    <t>rausschaffen</t>
  </si>
  <si>
    <t>angebissen</t>
  </si>
  <si>
    <t>domino</t>
  </si>
  <si>
    <t>arsenal</t>
  </si>
  <si>
    <t>unerreichbar</t>
  </si>
  <si>
    <t>hocker</t>
  </si>
  <si>
    <t>zeitbombe</t>
  </si>
  <si>
    <t>raumschiffe</t>
  </si>
  <si>
    <t>niedrigen</t>
  </si>
  <si>
    <t>damentoilette</t>
  </si>
  <si>
    <t>purer</t>
  </si>
  <si>
    <t>anhaltspunkt</t>
  </si>
  <si>
    <t>gun</t>
  </si>
  <si>
    <t>witwen</t>
  </si>
  <si>
    <t>gesoffen</t>
  </si>
  <si>
    <t>derweil</t>
  </si>
  <si>
    <t>zeitvertreib</t>
  </si>
  <si>
    <t>meditation</t>
  </si>
  <si>
    <t>blassen</t>
  </si>
  <si>
    <t>kur</t>
  </si>
  <si>
    <t>prophezeiungen</t>
  </si>
  <si>
    <t>gemeinsamer</t>
  </si>
  <si>
    <t>thelma</t>
  </si>
  <si>
    <t>heuhaufen</t>
  </si>
  <si>
    <t>broschüre</t>
  </si>
  <si>
    <t>eingewickelt</t>
  </si>
  <si>
    <t>verlies</t>
  </si>
  <si>
    <t>kühen</t>
  </si>
  <si>
    <t>gerhard</t>
  </si>
  <si>
    <t>seltenes</t>
  </si>
  <si>
    <t>geiles</t>
  </si>
  <si>
    <t>ungewöhnlicher</t>
  </si>
  <si>
    <t>exakte</t>
  </si>
  <si>
    <t>cracker</t>
  </si>
  <si>
    <t>bürokratie</t>
  </si>
  <si>
    <t>windsor</t>
  </si>
  <si>
    <t>registrieren</t>
  </si>
  <si>
    <t>knüller</t>
  </si>
  <si>
    <t>pj</t>
  </si>
  <si>
    <t>kartenspiel</t>
  </si>
  <si>
    <t>joaquin</t>
  </si>
  <si>
    <t>lil</t>
  </si>
  <si>
    <t>halunken</t>
  </si>
  <si>
    <t>gesehene</t>
  </si>
  <si>
    <t>zeugenaussage</t>
  </si>
  <si>
    <t>erregung</t>
  </si>
  <si>
    <t>schubladen</t>
  </si>
  <si>
    <t>abgesichert</t>
  </si>
  <si>
    <t>holländer</t>
  </si>
  <si>
    <t>substanzen</t>
  </si>
  <si>
    <t>tori</t>
  </si>
  <si>
    <t>monarchie</t>
  </si>
  <si>
    <t>zweifelst</t>
  </si>
  <si>
    <t>angefertigt</t>
  </si>
  <si>
    <t>wills</t>
  </si>
  <si>
    <t>brautjungfer</t>
  </si>
  <si>
    <t>verpflichten</t>
  </si>
  <si>
    <t>ku</t>
  </si>
  <si>
    <t>auszeichnungen</t>
  </si>
  <si>
    <t>portugiesisch</t>
  </si>
  <si>
    <t>leerer</t>
  </si>
  <si>
    <t>ankämpfen</t>
  </si>
  <si>
    <t>anstellung</t>
  </si>
  <si>
    <t>plasma</t>
  </si>
  <si>
    <t>davenport</t>
  </si>
  <si>
    <t>geendet</t>
  </si>
  <si>
    <t>newark</t>
  </si>
  <si>
    <t>anfällig</t>
  </si>
  <si>
    <t>subtil</t>
  </si>
  <si>
    <t>marley</t>
  </si>
  <si>
    <t>abitur</t>
  </si>
  <si>
    <t>crash</t>
  </si>
  <si>
    <t>turnschuhe</t>
  </si>
  <si>
    <t>bedrohungen</t>
  </si>
  <si>
    <t>kinos</t>
  </si>
  <si>
    <t>auslöst</t>
  </si>
  <si>
    <t>octavia</t>
  </si>
  <si>
    <t>hierherkommen</t>
  </si>
  <si>
    <t>annas</t>
  </si>
  <si>
    <t>schminke</t>
  </si>
  <si>
    <t>schreckt</t>
  </si>
  <si>
    <t>gymnasium</t>
  </si>
  <si>
    <t>smitty</t>
  </si>
  <si>
    <t>pos</t>
  </si>
  <si>
    <t>schildkröten</t>
  </si>
  <si>
    <t>einstimmig</t>
  </si>
  <si>
    <t>gegrillt</t>
  </si>
  <si>
    <t>halbzeit</t>
  </si>
  <si>
    <t>kathedrale</t>
  </si>
  <si>
    <t>stürmt</t>
  </si>
  <si>
    <t>niedrige</t>
  </si>
  <si>
    <t>schwedische</t>
  </si>
  <si>
    <t>delfine</t>
  </si>
  <si>
    <t>ballast</t>
  </si>
  <si>
    <t>anziehungskraft</t>
  </si>
  <si>
    <t>schwede</t>
  </si>
  <si>
    <t>ursachen</t>
  </si>
  <si>
    <t>würfeln</t>
  </si>
  <si>
    <t>klingelte</t>
  </si>
  <si>
    <t>rudolf</t>
  </si>
  <si>
    <t>landkarte</t>
  </si>
  <si>
    <t>chantal</t>
  </si>
  <si>
    <t>ernenne</t>
  </si>
  <si>
    <t>schriftstellerin</t>
  </si>
  <si>
    <t>gianni</t>
  </si>
  <si>
    <t>unvorbereitet</t>
  </si>
  <si>
    <t>schwimme</t>
  </si>
  <si>
    <t>widme</t>
  </si>
  <si>
    <t>steuermann</t>
  </si>
  <si>
    <t>blade</t>
  </si>
  <si>
    <t>ignorierst</t>
  </si>
  <si>
    <t>ip</t>
  </si>
  <si>
    <t>alligator</t>
  </si>
  <si>
    <t>english</t>
  </si>
  <si>
    <t>wenns</t>
  </si>
  <si>
    <t>dialekt</t>
  </si>
  <si>
    <t>weggeht</t>
  </si>
  <si>
    <t>mysteriös</t>
  </si>
  <si>
    <t>heulst</t>
  </si>
  <si>
    <t>lip</t>
  </si>
  <si>
    <t>weglassen</t>
  </si>
  <si>
    <t>erbärmlichen</t>
  </si>
  <si>
    <t>sofie</t>
  </si>
  <si>
    <t>bertie</t>
  </si>
  <si>
    <t>zappeln</t>
  </si>
  <si>
    <t>postkarten</t>
  </si>
  <si>
    <t>frack</t>
  </si>
  <si>
    <t>aufpasser</t>
  </si>
  <si>
    <t>hinterfragen</t>
  </si>
  <si>
    <t>tätowiert</t>
  </si>
  <si>
    <t>abteilungen</t>
  </si>
  <si>
    <t>spekulieren</t>
  </si>
  <si>
    <t>interpretation</t>
  </si>
  <si>
    <t>geprobt</t>
  </si>
  <si>
    <t>zerfallen</t>
  </si>
  <si>
    <t>angelangt</t>
  </si>
  <si>
    <t>flattern</t>
  </si>
  <si>
    <t>umfasst</t>
  </si>
  <si>
    <t>office</t>
  </si>
  <si>
    <t>hermes</t>
  </si>
  <si>
    <t>schlips</t>
  </si>
  <si>
    <t>glühbirne</t>
  </si>
  <si>
    <t>übles</t>
  </si>
  <si>
    <t>meteoriten</t>
  </si>
  <si>
    <t>bernstein</t>
  </si>
  <si>
    <t>hektor</t>
  </si>
  <si>
    <t>kristina</t>
  </si>
  <si>
    <t>unsicherheit</t>
  </si>
  <si>
    <t>müdigkeit</t>
  </si>
  <si>
    <t>berges</t>
  </si>
  <si>
    <t>herumsitzen</t>
  </si>
  <si>
    <t>nicht-</t>
  </si>
  <si>
    <t>verstrickt</t>
  </si>
  <si>
    <t>daleks</t>
  </si>
  <si>
    <t>allmächtige</t>
  </si>
  <si>
    <t>lotus</t>
  </si>
  <si>
    <t>iii.</t>
  </si>
  <si>
    <t>cornflakes</t>
  </si>
  <si>
    <t>lounge</t>
  </si>
  <si>
    <t>düsseldorf</t>
  </si>
  <si>
    <t>betont</t>
  </si>
  <si>
    <t>bewertung</t>
  </si>
  <si>
    <t>melody</t>
  </si>
  <si>
    <t>faschisten</t>
  </si>
  <si>
    <t>grips</t>
  </si>
  <si>
    <t>abbey</t>
  </si>
  <si>
    <t>hirte</t>
  </si>
  <si>
    <t>monaco</t>
  </si>
  <si>
    <t>falschgeld</t>
  </si>
  <si>
    <t>verzweifeln</t>
  </si>
  <si>
    <t>uss</t>
  </si>
  <si>
    <t>erkrankung</t>
  </si>
  <si>
    <t>bediene</t>
  </si>
  <si>
    <t>auftauchst</t>
  </si>
  <si>
    <t>applaudieren</t>
  </si>
  <si>
    <t>geiger</t>
  </si>
  <si>
    <t>mme.</t>
  </si>
  <si>
    <t>belauscht</t>
  </si>
  <si>
    <t>nik</t>
  </si>
  <si>
    <t>geneigt</t>
  </si>
  <si>
    <t>drogenfahndung</t>
  </si>
  <si>
    <t>exorzismus</t>
  </si>
  <si>
    <t>umgeleitet</t>
  </si>
  <si>
    <t>paulo</t>
  </si>
  <si>
    <t>schleichst</t>
  </si>
  <si>
    <t>lagebericht</t>
  </si>
  <si>
    <t>überfüllt</t>
  </si>
  <si>
    <t>dent</t>
  </si>
  <si>
    <t>dacht</t>
  </si>
  <si>
    <t>gewähre</t>
  </si>
  <si>
    <t>unnatürlich</t>
  </si>
  <si>
    <t>türme</t>
  </si>
  <si>
    <t>rost</t>
  </si>
  <si>
    <t>murph</t>
  </si>
  <si>
    <t>suchtrupp</t>
  </si>
  <si>
    <t>geschnitzt</t>
  </si>
  <si>
    <t>lt</t>
  </si>
  <si>
    <t>troi</t>
  </si>
  <si>
    <t>spioniert</t>
  </si>
  <si>
    <t>brutalität</t>
  </si>
  <si>
    <t>airlines</t>
  </si>
  <si>
    <t>fänden</t>
  </si>
  <si>
    <t>warteliste</t>
  </si>
  <si>
    <t>sichergestellt</t>
  </si>
  <si>
    <t>fördert</t>
  </si>
  <si>
    <t>sagenhaft</t>
  </si>
  <si>
    <t>begnadigt</t>
  </si>
  <si>
    <t>sparky</t>
  </si>
  <si>
    <t>heimgesucht</t>
  </si>
  <si>
    <t>bescheißen</t>
  </si>
  <si>
    <t>ausdrücke</t>
  </si>
  <si>
    <t>pensioniert</t>
  </si>
  <si>
    <t>aufzuziehen</t>
  </si>
  <si>
    <t>feuerte</t>
  </si>
  <si>
    <t>asterix</t>
  </si>
  <si>
    <t>bells</t>
  </si>
  <si>
    <t>elektronik</t>
  </si>
  <si>
    <t>norfolk</t>
  </si>
  <si>
    <t>paloma</t>
  </si>
  <si>
    <t>fehlten</t>
  </si>
  <si>
    <t>aufhörte</t>
  </si>
  <si>
    <t>herzubringen</t>
  </si>
  <si>
    <t>lebensgeschichte</t>
  </si>
  <si>
    <t>ow</t>
  </si>
  <si>
    <t>funkstille</t>
  </si>
  <si>
    <t>popo</t>
  </si>
  <si>
    <t>revolutionär</t>
  </si>
  <si>
    <t>lebender</t>
  </si>
  <si>
    <t>verwehrt</t>
  </si>
  <si>
    <t>journalismus</t>
  </si>
  <si>
    <t>melken</t>
  </si>
  <si>
    <t>haarfarbe</t>
  </si>
  <si>
    <t>kidnapper</t>
  </si>
  <si>
    <t>siebzehn</t>
  </si>
  <si>
    <t>zusammenbricht</t>
  </si>
  <si>
    <t>ziegel</t>
  </si>
  <si>
    <t>put</t>
  </si>
  <si>
    <t>zimt</t>
  </si>
  <si>
    <t>anmeldung</t>
  </si>
  <si>
    <t>statuieren</t>
  </si>
  <si>
    <t>konnt</t>
  </si>
  <si>
    <t>fantastisches</t>
  </si>
  <si>
    <t>moslems</t>
  </si>
  <si>
    <t>kritiken</t>
  </si>
  <si>
    <t>pryce</t>
  </si>
  <si>
    <t>lektionen</t>
  </si>
  <si>
    <t>handumdrehen</t>
  </si>
  <si>
    <t>begegneten</t>
  </si>
  <si>
    <t>einfallsreich</t>
  </si>
  <si>
    <t>laufende</t>
  </si>
  <si>
    <t>fay</t>
  </si>
  <si>
    <t>kapitalismus</t>
  </si>
  <si>
    <t>verschlingt</t>
  </si>
  <si>
    <t>sacramento</t>
  </si>
  <si>
    <t>ju</t>
  </si>
  <si>
    <t>präzision</t>
  </si>
  <si>
    <t>geborgt</t>
  </si>
  <si>
    <t>reizendes</t>
  </si>
  <si>
    <t>einheimische</t>
  </si>
  <si>
    <t>toilettenpapier</t>
  </si>
  <si>
    <t>klotz</t>
  </si>
  <si>
    <t>obi-wan</t>
  </si>
  <si>
    <t>sardinen</t>
  </si>
  <si>
    <t>meadow</t>
  </si>
  <si>
    <t>siobhan</t>
  </si>
  <si>
    <t>academy</t>
  </si>
  <si>
    <t>zerstreut</t>
  </si>
  <si>
    <t>wegkommst</t>
  </si>
  <si>
    <t>weggeben</t>
  </si>
  <si>
    <t>kranz</t>
  </si>
  <si>
    <t>jewel</t>
  </si>
  <si>
    <t>doo</t>
  </si>
  <si>
    <t>abzuhängen</t>
  </si>
  <si>
    <t>spider</t>
  </si>
  <si>
    <t>poetisch</t>
  </si>
  <si>
    <t>hemmungen</t>
  </si>
  <si>
    <t>paulette</t>
  </si>
  <si>
    <t>allergien</t>
  </si>
  <si>
    <t>tränengas</t>
  </si>
  <si>
    <t>winn</t>
  </si>
  <si>
    <t>hattie</t>
  </si>
  <si>
    <t>koordinieren</t>
  </si>
  <si>
    <t>eingemischt</t>
  </si>
  <si>
    <t>religionen</t>
  </si>
  <si>
    <t>umfragen</t>
  </si>
  <si>
    <t>spiegeln</t>
  </si>
  <si>
    <t>oberhand</t>
  </si>
  <si>
    <t>crow</t>
  </si>
  <si>
    <t>strengt</t>
  </si>
  <si>
    <t>dunkelsten</t>
  </si>
  <si>
    <t>matilda</t>
  </si>
  <si>
    <t>vermöbelt</t>
  </si>
  <si>
    <t>überstürzt</t>
  </si>
  <si>
    <t>gestrandet</t>
  </si>
  <si>
    <t>reinigt</t>
  </si>
  <si>
    <t>herbie</t>
  </si>
  <si>
    <t>zhao</t>
  </si>
  <si>
    <t>beklemmende</t>
  </si>
  <si>
    <t>davongelaufen</t>
  </si>
  <si>
    <t>kupplung</t>
  </si>
  <si>
    <t>ketzer</t>
  </si>
  <si>
    <t>schnäppchen</t>
  </si>
  <si>
    <t>sherwood</t>
  </si>
  <si>
    <t>mix</t>
  </si>
  <si>
    <t>odessa</t>
  </si>
  <si>
    <t>intensiver</t>
  </si>
  <si>
    <t>distrikt</t>
  </si>
  <si>
    <t>strandhaus</t>
  </si>
  <si>
    <t>verschreiben</t>
  </si>
  <si>
    <t>trixie</t>
  </si>
  <si>
    <t>verse</t>
  </si>
  <si>
    <t>vorgibt</t>
  </si>
  <si>
    <t>heißeste</t>
  </si>
  <si>
    <t>judd</t>
  </si>
  <si>
    <t>priya</t>
  </si>
  <si>
    <t>balboa</t>
  </si>
  <si>
    <t>benno</t>
  </si>
  <si>
    <t>mutterschiff</t>
  </si>
  <si>
    <t>pöbel</t>
  </si>
  <si>
    <t>oberarzt</t>
  </si>
  <si>
    <t>ebay</t>
  </si>
  <si>
    <t>brummen</t>
  </si>
  <si>
    <t>geschlichen</t>
  </si>
  <si>
    <t>rau</t>
  </si>
  <si>
    <t>strang</t>
  </si>
  <si>
    <t>windschutzscheibe</t>
  </si>
  <si>
    <t>extremen</t>
  </si>
  <si>
    <t>niemandes</t>
  </si>
  <si>
    <t>trocknet</t>
  </si>
  <si>
    <t>pelle</t>
  </si>
  <si>
    <t>mariana</t>
  </si>
  <si>
    <t>scarecrow</t>
  </si>
  <si>
    <t>vinny</t>
  </si>
  <si>
    <t>primitive</t>
  </si>
  <si>
    <t>verbünden</t>
  </si>
  <si>
    <t>harrys</t>
  </si>
  <si>
    <t>rasiermesser</t>
  </si>
  <si>
    <t>hasch</t>
  </si>
  <si>
    <t>kiera</t>
  </si>
  <si>
    <t>dreckskerle</t>
  </si>
  <si>
    <t>faxen</t>
  </si>
  <si>
    <t>klonen</t>
  </si>
  <si>
    <t>volljährig</t>
  </si>
  <si>
    <t>wohltäter</t>
  </si>
  <si>
    <t>verpackung</t>
  </si>
  <si>
    <t>harmony</t>
  </si>
  <si>
    <t>globalen</t>
  </si>
  <si>
    <t>ange</t>
  </si>
  <si>
    <t>templeton</t>
  </si>
  <si>
    <t>bimbam</t>
  </si>
  <si>
    <t>voraussetzungen</t>
  </si>
  <si>
    <t>verfluchen</t>
  </si>
  <si>
    <t>natürliches</t>
  </si>
  <si>
    <t>selbstlos</t>
  </si>
  <si>
    <t>puder</t>
  </si>
  <si>
    <t>pierrot</t>
  </si>
  <si>
    <t>totales</t>
  </si>
  <si>
    <t>kündigt</t>
  </si>
  <si>
    <t>bosheit</t>
  </si>
  <si>
    <t>herpes</t>
  </si>
  <si>
    <t>bretter</t>
  </si>
  <si>
    <t>sprech</t>
  </si>
  <si>
    <t>brüche</t>
  </si>
  <si>
    <t>aas</t>
  </si>
  <si>
    <t>olympischen</t>
  </si>
  <si>
    <t>vergibst</t>
  </si>
  <si>
    <t>gutschein</t>
  </si>
  <si>
    <t>sommerferien</t>
  </si>
  <si>
    <t>jameson</t>
  </si>
  <si>
    <t>verehrung</t>
  </si>
  <si>
    <t>marlo</t>
  </si>
  <si>
    <t>erwünscht</t>
  </si>
  <si>
    <t>aktive</t>
  </si>
  <si>
    <t>ryans</t>
  </si>
  <si>
    <t>etienne</t>
  </si>
  <si>
    <t>shay</t>
  </si>
  <si>
    <t>wan</t>
  </si>
  <si>
    <t>engagierte</t>
  </si>
  <si>
    <t>uff</t>
  </si>
  <si>
    <t>jasmin</t>
  </si>
  <si>
    <t>alexandria</t>
  </si>
  <si>
    <t>psychologischen</t>
  </si>
  <si>
    <t>taft</t>
  </si>
  <si>
    <t>vorahnung</t>
  </si>
  <si>
    <t>kometen</t>
  </si>
  <si>
    <t>angekettet</t>
  </si>
  <si>
    <t>scottie</t>
  </si>
  <si>
    <t>schikanieren</t>
  </si>
  <si>
    <t>cecilia</t>
  </si>
  <si>
    <t>auffüllen</t>
  </si>
  <si>
    <t>bike</t>
  </si>
  <si>
    <t>behandlungen</t>
  </si>
  <si>
    <t>bean</t>
  </si>
  <si>
    <t>blinddarm</t>
  </si>
  <si>
    <t>spießer</t>
  </si>
  <si>
    <t>verschiedener</t>
  </si>
  <si>
    <t>whistler</t>
  </si>
  <si>
    <t>seekrank</t>
  </si>
  <si>
    <t>prozesses</t>
  </si>
  <si>
    <t>vern</t>
  </si>
  <si>
    <t>kasper</t>
  </si>
  <si>
    <t>phasen</t>
  </si>
  <si>
    <t>ungemein</t>
  </si>
  <si>
    <t>berauben</t>
  </si>
  <si>
    <t>jolly</t>
  </si>
  <si>
    <t>vorsätzlich</t>
  </si>
  <si>
    <t>zak</t>
  </si>
  <si>
    <t>verzögert</t>
  </si>
  <si>
    <t>geschäfts</t>
  </si>
  <si>
    <t>ordner</t>
  </si>
  <si>
    <t>unmenschlich</t>
  </si>
  <si>
    <t>söhnchen</t>
  </si>
  <si>
    <t>inquisition</t>
  </si>
  <si>
    <t>erlegen</t>
  </si>
  <si>
    <t>rübergehen</t>
  </si>
  <si>
    <t>hermine</t>
  </si>
  <si>
    <t>erschafft</t>
  </si>
  <si>
    <t>dealen</t>
  </si>
  <si>
    <t>eiffelturm</t>
  </si>
  <si>
    <t>trophäen</t>
  </si>
  <si>
    <t>baptiste</t>
  </si>
  <si>
    <t>society</t>
  </si>
  <si>
    <t>kriegsführung</t>
  </si>
  <si>
    <t>than</t>
  </si>
  <si>
    <t>entführungen</t>
  </si>
  <si>
    <t>tunte</t>
  </si>
  <si>
    <t>fbi-agent</t>
  </si>
  <si>
    <t>forest</t>
  </si>
  <si>
    <t>durchschnittlich</t>
  </si>
  <si>
    <t>schauten</t>
  </si>
  <si>
    <t>vergleiche</t>
  </si>
  <si>
    <t>geschmiedet</t>
  </si>
  <si>
    <t>superintendent</t>
  </si>
  <si>
    <t>mace</t>
  </si>
  <si>
    <t>mean</t>
  </si>
  <si>
    <t>verteidigungsminister</t>
  </si>
  <si>
    <t>anzutreten</t>
  </si>
  <si>
    <t>belästige</t>
  </si>
  <si>
    <t>beunruhigende</t>
  </si>
  <si>
    <t>fight</t>
  </si>
  <si>
    <t>label</t>
  </si>
  <si>
    <t>änderten</t>
  </si>
  <si>
    <t>cher</t>
  </si>
  <si>
    <t>fünfter</t>
  </si>
  <si>
    <t>berührst</t>
  </si>
  <si>
    <t>knacker</t>
  </si>
  <si>
    <t>derwisch</t>
  </si>
  <si>
    <t>gedulden</t>
  </si>
  <si>
    <t>favor</t>
  </si>
  <si>
    <t>zusammenbringen</t>
  </si>
  <si>
    <t>eiswürfel</t>
  </si>
  <si>
    <t>umstellen</t>
  </si>
  <si>
    <t>arbeitsplätze</t>
  </si>
  <si>
    <t>entnommen</t>
  </si>
  <si>
    <t>charlottesville</t>
  </si>
  <si>
    <t>sands</t>
  </si>
  <si>
    <t>anomalien</t>
  </si>
  <si>
    <t>hundegebell</t>
  </si>
  <si>
    <t>kusine</t>
  </si>
  <si>
    <t>stackhouse</t>
  </si>
  <si>
    <t>blähungen</t>
  </si>
  <si>
    <t>hinters</t>
  </si>
  <si>
    <t>aushandeln</t>
  </si>
  <si>
    <t>prise</t>
  </si>
  <si>
    <t>säße</t>
  </si>
  <si>
    <t>partners</t>
  </si>
  <si>
    <t>erbrechen</t>
  </si>
  <si>
    <t>ventilator</t>
  </si>
  <si>
    <t>eingestuft</t>
  </si>
  <si>
    <t>mikael</t>
  </si>
  <si>
    <t>fr</t>
  </si>
  <si>
    <t>sinnlose</t>
  </si>
  <si>
    <t>aufzuregen</t>
  </si>
  <si>
    <t>gigantische</t>
  </si>
  <si>
    <t>historiker</t>
  </si>
  <si>
    <t>verspotten</t>
  </si>
  <si>
    <t>verriegeln</t>
  </si>
  <si>
    <t>tonnenweise</t>
  </si>
  <si>
    <t>durchkommt</t>
  </si>
  <si>
    <t>angezapft</t>
  </si>
  <si>
    <t>lausiger</t>
  </si>
  <si>
    <t>filmemacher</t>
  </si>
  <si>
    <t>erleuchtet</t>
  </si>
  <si>
    <t>kombi</t>
  </si>
  <si>
    <t>gelagert</t>
  </si>
  <si>
    <t>gescheit</t>
  </si>
  <si>
    <t>yancy</t>
  </si>
  <si>
    <t>marshals</t>
  </si>
  <si>
    <t>cobra</t>
  </si>
  <si>
    <t>zäune</t>
  </si>
  <si>
    <t>judah</t>
  </si>
  <si>
    <t>feiger</t>
  </si>
  <si>
    <t>geblutet</t>
  </si>
  <si>
    <t>verrottet</t>
  </si>
  <si>
    <t>wünschten</t>
  </si>
  <si>
    <t>linc</t>
  </si>
  <si>
    <t>bitteren</t>
  </si>
  <si>
    <t>wicht</t>
  </si>
  <si>
    <t>hereingelegt</t>
  </si>
  <si>
    <t>eingeschüchtert</t>
  </si>
  <si>
    <t>kampfkunst</t>
  </si>
  <si>
    <t>nicki</t>
  </si>
  <si>
    <t>kappen</t>
  </si>
  <si>
    <t>zusammentun</t>
  </si>
  <si>
    <t>krokodile</t>
  </si>
  <si>
    <t>ta</t>
  </si>
  <si>
    <t>traumatisiert</t>
  </si>
  <si>
    <t>mythologie</t>
  </si>
  <si>
    <t>pauls</t>
  </si>
  <si>
    <t>schützling</t>
  </si>
  <si>
    <t>bel</t>
  </si>
  <si>
    <t>luise</t>
  </si>
  <si>
    <t>umstand</t>
  </si>
  <si>
    <t>hades</t>
  </si>
  <si>
    <t>carmela</t>
  </si>
  <si>
    <t>palästina</t>
  </si>
  <si>
    <t>zäher</t>
  </si>
  <si>
    <t>uralt</t>
  </si>
  <si>
    <t>geschmolzen</t>
  </si>
  <si>
    <t>pride</t>
  </si>
  <si>
    <t>erlegt</t>
  </si>
  <si>
    <t>hundertmal</t>
  </si>
  <si>
    <t>spinat</t>
  </si>
  <si>
    <t>tucson</t>
  </si>
  <si>
    <t>kost</t>
  </si>
  <si>
    <t>müßte</t>
  </si>
  <si>
    <t>pinocchio</t>
  </si>
  <si>
    <t>wyoming</t>
  </si>
  <si>
    <t>kanu</t>
  </si>
  <si>
    <t>vätern</t>
  </si>
  <si>
    <t>vorderseite</t>
  </si>
  <si>
    <t>rumänien</t>
  </si>
  <si>
    <t>horse</t>
  </si>
  <si>
    <t>kirchenglocken</t>
  </si>
  <si>
    <t>left</t>
  </si>
  <si>
    <t>kunstwerke</t>
  </si>
  <si>
    <t>ritchie</t>
  </si>
  <si>
    <t>strudel</t>
  </si>
  <si>
    <t>fünfer</t>
  </si>
  <si>
    <t>irrte</t>
  </si>
  <si>
    <t>vorsehung</t>
  </si>
  <si>
    <t>beil</t>
  </si>
  <si>
    <t>versessen</t>
  </si>
  <si>
    <t>antonia</t>
  </si>
  <si>
    <t>festnageln</t>
  </si>
  <si>
    <t>botschafterin</t>
  </si>
  <si>
    <t>branson</t>
  </si>
  <si>
    <t>realisieren</t>
  </si>
  <si>
    <t>originale</t>
  </si>
  <si>
    <t>zusammenstellen</t>
  </si>
  <si>
    <t>experimenten</t>
  </si>
  <si>
    <t>kleinlich</t>
  </si>
  <si>
    <t>erlebnisse</t>
  </si>
  <si>
    <t>gaines</t>
  </si>
  <si>
    <t>erbitten</t>
  </si>
  <si>
    <t>abteilungsleiter</t>
  </si>
  <si>
    <t>folglich</t>
  </si>
  <si>
    <t>ergeht</t>
  </si>
  <si>
    <t>hegt</t>
  </si>
  <si>
    <t>tiefpunkt</t>
  </si>
  <si>
    <t>verdecken</t>
  </si>
  <si>
    <t>klargemacht</t>
  </si>
  <si>
    <t>wohlhabend</t>
  </si>
  <si>
    <t>nachttisch</t>
  </si>
  <si>
    <t>maultier</t>
  </si>
  <si>
    <t>schimpft</t>
  </si>
  <si>
    <t>minderjährige</t>
  </si>
  <si>
    <t>bescheidene</t>
  </si>
  <si>
    <t>ängsten</t>
  </si>
  <si>
    <t>adriana</t>
  </si>
  <si>
    <t>geburtstagsfeier</t>
  </si>
  <si>
    <t>obgleich</t>
  </si>
  <si>
    <t>giraffe</t>
  </si>
  <si>
    <t>atmest</t>
  </si>
  <si>
    <t>einzulassen</t>
  </si>
  <si>
    <t>fegen</t>
  </si>
  <si>
    <t>schmutziger</t>
  </si>
  <si>
    <t>kollektiv</t>
  </si>
  <si>
    <t>ordentlichen</t>
  </si>
  <si>
    <t>entschlüsselt</t>
  </si>
  <si>
    <t>fauchen</t>
  </si>
  <si>
    <t>sank</t>
  </si>
  <si>
    <t>erfroren</t>
  </si>
  <si>
    <t>bunt</t>
  </si>
  <si>
    <t>russisches</t>
  </si>
  <si>
    <t>kräht</t>
  </si>
  <si>
    <t>lodge</t>
  </si>
  <si>
    <t>nachtragend</t>
  </si>
  <si>
    <t>rekonstruieren</t>
  </si>
  <si>
    <t>zuschlägt</t>
  </si>
  <si>
    <t>uralten</t>
  </si>
  <si>
    <t>nada</t>
  </si>
  <si>
    <t>geplaudert</t>
  </si>
  <si>
    <t>vollzogen</t>
  </si>
  <si>
    <t>aufzustellen</t>
  </si>
  <si>
    <t>futtern</t>
  </si>
  <si>
    <t>milwaukee</t>
  </si>
  <si>
    <t>sichersten</t>
  </si>
  <si>
    <t>schmiss</t>
  </si>
  <si>
    <t>abgeladen</t>
  </si>
  <si>
    <t>antarktis</t>
  </si>
  <si>
    <t>strenger</t>
  </si>
  <si>
    <t>blutbild</t>
  </si>
  <si>
    <t>beschimpfen</t>
  </si>
  <si>
    <t>zungen</t>
  </si>
  <si>
    <t>wetterbericht</t>
  </si>
  <si>
    <t>antoinette</t>
  </si>
  <si>
    <t>schwangeren</t>
  </si>
  <si>
    <t>dreieinhalb</t>
  </si>
  <si>
    <t>klagt</t>
  </si>
  <si>
    <t>larson</t>
  </si>
  <si>
    <t>berry</t>
  </si>
  <si>
    <t>verzehrt</t>
  </si>
  <si>
    <t>unfähigkeit</t>
  </si>
  <si>
    <t>vertrage</t>
  </si>
  <si>
    <t>boo</t>
  </si>
  <si>
    <t>fachgebiet</t>
  </si>
  <si>
    <t>bertha</t>
  </si>
  <si>
    <t>verurteilte</t>
  </si>
  <si>
    <t>lorbeeren</t>
  </si>
  <si>
    <t>nasenbluten</t>
  </si>
  <si>
    <t>ansatzweise</t>
  </si>
  <si>
    <t>chinesischer</t>
  </si>
  <si>
    <t>herablassend</t>
  </si>
  <si>
    <t>henning</t>
  </si>
  <si>
    <t>wütenden</t>
  </si>
  <si>
    <t>moos</t>
  </si>
  <si>
    <t>blickte</t>
  </si>
  <si>
    <t>uninteressant</t>
  </si>
  <si>
    <t>reizender</t>
  </si>
  <si>
    <t>fawlty</t>
  </si>
  <si>
    <t>gesellen</t>
  </si>
  <si>
    <t>hierzu</t>
  </si>
  <si>
    <t>göring</t>
  </si>
  <si>
    <t>carole</t>
  </si>
  <si>
    <t>verblasst</t>
  </si>
  <si>
    <t>gesünder</t>
  </si>
  <si>
    <t>annabeth</t>
  </si>
  <si>
    <t>sinatra</t>
  </si>
  <si>
    <t>hyde</t>
  </si>
  <si>
    <t>annalise</t>
  </si>
  <si>
    <t>teilchen</t>
  </si>
  <si>
    <t>fallon</t>
  </si>
  <si>
    <t>exotische</t>
  </si>
  <si>
    <t>hulk</t>
  </si>
  <si>
    <t>kieran</t>
  </si>
  <si>
    <t>chile</t>
  </si>
  <si>
    <t>paarmal</t>
  </si>
  <si>
    <t>funkkontakt</t>
  </si>
  <si>
    <t>automobil</t>
  </si>
  <si>
    <t>hipp</t>
  </si>
  <si>
    <t>langweilst</t>
  </si>
  <si>
    <t>marek</t>
  </si>
  <si>
    <t>maude</t>
  </si>
  <si>
    <t>hauptfach</t>
  </si>
  <si>
    <t>eu</t>
  </si>
  <si>
    <t>orgel</t>
  </si>
  <si>
    <t>hiergeblieben</t>
  </si>
  <si>
    <t>korrekte</t>
  </si>
  <si>
    <t>björn</t>
  </si>
  <si>
    <t>ersatzteile</t>
  </si>
  <si>
    <t>fasern</t>
  </si>
  <si>
    <t>vitamin</t>
  </si>
  <si>
    <t>quittungen</t>
  </si>
  <si>
    <t>ives</t>
  </si>
  <si>
    <t>einhundert</t>
  </si>
  <si>
    <t>brühe</t>
  </si>
  <si>
    <t>kreiert</t>
  </si>
  <si>
    <t>schutzhaft</t>
  </si>
  <si>
    <t>kauz</t>
  </si>
  <si>
    <t>stinktier</t>
  </si>
  <si>
    <t>sark</t>
  </si>
  <si>
    <t>geschlachtet</t>
  </si>
  <si>
    <t>sunset</t>
  </si>
  <si>
    <t>erfahrener</t>
  </si>
  <si>
    <t>diskette</t>
  </si>
  <si>
    <t>hingeschickt</t>
  </si>
  <si>
    <t>auszusteigen</t>
  </si>
  <si>
    <t>dus</t>
  </si>
  <si>
    <t>hadar</t>
  </si>
  <si>
    <t>concierge</t>
  </si>
  <si>
    <t>weglegen</t>
  </si>
  <si>
    <t>gäb</t>
  </si>
  <si>
    <t>gepflückt</t>
  </si>
  <si>
    <t>donnerstags</t>
  </si>
  <si>
    <t>neutralisiert</t>
  </si>
  <si>
    <t>vikaay</t>
  </si>
  <si>
    <t>tatenlos</t>
  </si>
  <si>
    <t>hochheben</t>
  </si>
  <si>
    <t>lancelot</t>
  </si>
  <si>
    <t>hetzt</t>
  </si>
  <si>
    <t>königinnen</t>
  </si>
  <si>
    <t>überbewertet</t>
  </si>
  <si>
    <t>unterfangen</t>
  </si>
  <si>
    <t>60ern</t>
  </si>
  <si>
    <t>außergewöhnlicher</t>
  </si>
  <si>
    <t>erteile</t>
  </si>
  <si>
    <t>kiffen</t>
  </si>
  <si>
    <t>gießt</t>
  </si>
  <si>
    <t>gefolge</t>
  </si>
  <si>
    <t>standhaft</t>
  </si>
  <si>
    <t>aufgeschnitten</t>
  </si>
  <si>
    <t>ddr</t>
  </si>
  <si>
    <t>flaschengeist</t>
  </si>
  <si>
    <t>familientreffen</t>
  </si>
  <si>
    <t>motorhaube</t>
  </si>
  <si>
    <t>bolton</t>
  </si>
  <si>
    <t>waters</t>
  </si>
  <si>
    <t>papstes</t>
  </si>
  <si>
    <t>anbauen</t>
  </si>
  <si>
    <t>care</t>
  </si>
  <si>
    <t>versau</t>
  </si>
  <si>
    <t>abgeschoben</t>
  </si>
  <si>
    <t>durchgesehen</t>
  </si>
  <si>
    <t>cdc</t>
  </si>
  <si>
    <t>dickens</t>
  </si>
  <si>
    <t>grollen</t>
  </si>
  <si>
    <t>linden</t>
  </si>
  <si>
    <t>käuflich</t>
  </si>
  <si>
    <t>schärfer</t>
  </si>
  <si>
    <t>heaven</t>
  </si>
  <si>
    <t>töpfe</t>
  </si>
  <si>
    <t>zyklus</t>
  </si>
  <si>
    <t>flirtet</t>
  </si>
  <si>
    <t>callen</t>
  </si>
  <si>
    <t>kelso</t>
  </si>
  <si>
    <t>witziger</t>
  </si>
  <si>
    <t>voreingenommen</t>
  </si>
  <si>
    <t>zugeht</t>
  </si>
  <si>
    <t>intrigen</t>
  </si>
  <si>
    <t>muschel</t>
  </si>
  <si>
    <t>ziellinie</t>
  </si>
  <si>
    <t>davy</t>
  </si>
  <si>
    <t>kränken</t>
  </si>
  <si>
    <t>reinzulegen</t>
  </si>
  <si>
    <t>hälften</t>
  </si>
  <si>
    <t>schütten</t>
  </si>
  <si>
    <t>zwischendurch</t>
  </si>
  <si>
    <t>shaun</t>
  </si>
  <si>
    <t>triade</t>
  </si>
  <si>
    <t>knöpfen</t>
  </si>
  <si>
    <t>losgefahren</t>
  </si>
  <si>
    <t>müsstet</t>
  </si>
  <si>
    <t>hufe</t>
  </si>
  <si>
    <t>jahrbuch</t>
  </si>
  <si>
    <t>gackern</t>
  </si>
  <si>
    <t>effizienz</t>
  </si>
  <si>
    <t>blutsauger</t>
  </si>
  <si>
    <t>salvador</t>
  </si>
  <si>
    <t>bundesstaat</t>
  </si>
  <si>
    <t>rambo</t>
  </si>
  <si>
    <t>abdul</t>
  </si>
  <si>
    <t>willa</t>
  </si>
  <si>
    <t>befestigen</t>
  </si>
  <si>
    <t>panda</t>
  </si>
  <si>
    <t>aufgefressen</t>
  </si>
  <si>
    <t>zuallererst</t>
  </si>
  <si>
    <t>weicheier</t>
  </si>
  <si>
    <t>bash</t>
  </si>
  <si>
    <t>spanner</t>
  </si>
  <si>
    <t>forever</t>
  </si>
  <si>
    <t>bewohnt</t>
  </si>
  <si>
    <t>mitmacht</t>
  </si>
  <si>
    <t>testet</t>
  </si>
  <si>
    <t>abneigung</t>
  </si>
  <si>
    <t>zisch</t>
  </si>
  <si>
    <t>tragödien</t>
  </si>
  <si>
    <t>hüpft</t>
  </si>
  <si>
    <t>emilys</t>
  </si>
  <si>
    <t>zufluchtsort</t>
  </si>
  <si>
    <t>kriegsschiff</t>
  </si>
  <si>
    <t>vorlage</t>
  </si>
  <si>
    <t>eingeteilt</t>
  </si>
  <si>
    <t>versohlt</t>
  </si>
  <si>
    <t>farrell</t>
  </si>
  <si>
    <t>rational</t>
  </si>
  <si>
    <t>nervenkitzel</t>
  </si>
  <si>
    <t>duzen</t>
  </si>
  <si>
    <t>zugehen</t>
  </si>
  <si>
    <t>oho</t>
  </si>
  <si>
    <t>wappen</t>
  </si>
  <si>
    <t>ausgebrannt</t>
  </si>
  <si>
    <t>straßenbahn</t>
  </si>
  <si>
    <t>geschuftet</t>
  </si>
  <si>
    <t>pfirsich</t>
  </si>
  <si>
    <t>prahlen</t>
  </si>
  <si>
    <t>nordkorea</t>
  </si>
  <si>
    <t>beschädigen</t>
  </si>
  <si>
    <t>ladungen</t>
  </si>
  <si>
    <t>renard</t>
  </si>
  <si>
    <t>fechten</t>
  </si>
  <si>
    <t>mari</t>
  </si>
  <si>
    <t>unbrauchbar</t>
  </si>
  <si>
    <t>losziehen</t>
  </si>
  <si>
    <t>wandelt</t>
  </si>
  <si>
    <t>bemitleiden</t>
  </si>
  <si>
    <t>lok</t>
  </si>
  <si>
    <t>endest</t>
  </si>
  <si>
    <t>bullock</t>
  </si>
  <si>
    <t>fortgeschritten</t>
  </si>
  <si>
    <t>trauzeugen</t>
  </si>
  <si>
    <t>vollständigen</t>
  </si>
  <si>
    <t>fortgesetzt</t>
  </si>
  <si>
    <t>wahrgenommen</t>
  </si>
  <si>
    <t>radikale</t>
  </si>
  <si>
    <t>afrikanischen</t>
  </si>
  <si>
    <t>busfahrer</t>
  </si>
  <si>
    <t>kubaner</t>
  </si>
  <si>
    <t>lagerhalle</t>
  </si>
  <si>
    <t>verfickt</t>
  </si>
  <si>
    <t>devil</t>
  </si>
  <si>
    <t>kris</t>
  </si>
  <si>
    <t>gisela</t>
  </si>
  <si>
    <t>ausführlich</t>
  </si>
  <si>
    <t>bertrand</t>
  </si>
  <si>
    <t>strikt</t>
  </si>
  <si>
    <t>assistenzarzt</t>
  </si>
  <si>
    <t>möwen</t>
  </si>
  <si>
    <t>cornelius</t>
  </si>
  <si>
    <t>sparsam</t>
  </si>
  <si>
    <t>lkws</t>
  </si>
  <si>
    <t>cesar</t>
  </si>
  <si>
    <t>wasserhahn</t>
  </si>
  <si>
    <t>totlachen</t>
  </si>
  <si>
    <t>mittwochs</t>
  </si>
  <si>
    <t>gedeihen</t>
  </si>
  <si>
    <t>nähren</t>
  </si>
  <si>
    <t>absätze</t>
  </si>
  <si>
    <t>nützliche</t>
  </si>
  <si>
    <t>luftangriff</t>
  </si>
  <si>
    <t>türkischen</t>
  </si>
  <si>
    <t>anatomie</t>
  </si>
  <si>
    <t>zugunsten</t>
  </si>
  <si>
    <t>carmichael</t>
  </si>
  <si>
    <t>genaugenommen</t>
  </si>
  <si>
    <t>filmmaterial</t>
  </si>
  <si>
    <t>fronten</t>
  </si>
  <si>
    <t>direktors</t>
  </si>
  <si>
    <t>word</t>
  </si>
  <si>
    <t>schlächter</t>
  </si>
  <si>
    <t>petty</t>
  </si>
  <si>
    <t>huggy</t>
  </si>
  <si>
    <t>oberkörper</t>
  </si>
  <si>
    <t>wasserdicht</t>
  </si>
  <si>
    <t>erpresser</t>
  </si>
  <si>
    <t>ambrose</t>
  </si>
  <si>
    <t>hohl</t>
  </si>
  <si>
    <t>verlangsamt</t>
  </si>
  <si>
    <t>vorbeizukommen</t>
  </si>
  <si>
    <t>zeitfenster</t>
  </si>
  <si>
    <t>haupteingang</t>
  </si>
  <si>
    <t>holzfäller</t>
  </si>
  <si>
    <t>anonymer</t>
  </si>
  <si>
    <t>abgedeckt</t>
  </si>
  <si>
    <t>clevere</t>
  </si>
  <si>
    <t>uran</t>
  </si>
  <si>
    <t>klammer</t>
  </si>
  <si>
    <t>hockt</t>
  </si>
  <si>
    <t>idealen</t>
  </si>
  <si>
    <t>chun</t>
  </si>
  <si>
    <t>pin</t>
  </si>
  <si>
    <t>vordringt</t>
  </si>
  <si>
    <t>stunt</t>
  </si>
  <si>
    <t>unsterblichen</t>
  </si>
  <si>
    <t>butters</t>
  </si>
  <si>
    <t>schrubben</t>
  </si>
  <si>
    <t>identifikation</t>
  </si>
  <si>
    <t>weiterspielen</t>
  </si>
  <si>
    <t>unwetter</t>
  </si>
  <si>
    <t>sarahs</t>
  </si>
  <si>
    <t>tänzerinnen</t>
  </si>
  <si>
    <t>tibet</t>
  </si>
  <si>
    <t>achtzehn</t>
  </si>
  <si>
    <t>eignet</t>
  </si>
  <si>
    <t>stabschef</t>
  </si>
  <si>
    <t>fabian</t>
  </si>
  <si>
    <t>swimmingpool</t>
  </si>
  <si>
    <t>fürstin</t>
  </si>
  <si>
    <t>überzeuge</t>
  </si>
  <si>
    <t>regnete</t>
  </si>
  <si>
    <t>ausgeräumt</t>
  </si>
  <si>
    <t>infusion</t>
  </si>
  <si>
    <t>schaufenster</t>
  </si>
  <si>
    <t>feindseligkeit</t>
  </si>
  <si>
    <t>aufrufen</t>
  </si>
  <si>
    <t>gewalttätige</t>
  </si>
  <si>
    <t>schimpansen</t>
  </si>
  <si>
    <t>email</t>
  </si>
  <si>
    <t>verrichten</t>
  </si>
  <si>
    <t>weilt</t>
  </si>
  <si>
    <t>science</t>
  </si>
  <si>
    <t>schritten</t>
  </si>
  <si>
    <t>bedingt</t>
  </si>
  <si>
    <t>veraltet</t>
  </si>
  <si>
    <t>brauner</t>
  </si>
  <si>
    <t>unterziehen</t>
  </si>
  <si>
    <t>capitol</t>
  </si>
  <si>
    <t>garak</t>
  </si>
  <si>
    <t>furchterregend</t>
  </si>
  <si>
    <t>ließt</t>
  </si>
  <si>
    <t>tk</t>
  </si>
  <si>
    <t>wolfram</t>
  </si>
  <si>
    <t>eindeutige</t>
  </si>
  <si>
    <t>einbrüche</t>
  </si>
  <si>
    <t>gorillas</t>
  </si>
  <si>
    <t>fields</t>
  </si>
  <si>
    <t>entzünden</t>
  </si>
  <si>
    <t>braunes</t>
  </si>
  <si>
    <t>albuquerque</t>
  </si>
  <si>
    <t>entkommst</t>
  </si>
  <si>
    <t>kläger</t>
  </si>
  <si>
    <t>rühre</t>
  </si>
  <si>
    <t>ethik</t>
  </si>
  <si>
    <t>vorsatz</t>
  </si>
  <si>
    <t>kultiviert</t>
  </si>
  <si>
    <t>penn</t>
  </si>
  <si>
    <t>schafen</t>
  </si>
  <si>
    <t>psychiatrischen</t>
  </si>
  <si>
    <t>fly</t>
  </si>
  <si>
    <t>genüge</t>
  </si>
  <si>
    <t>wings</t>
  </si>
  <si>
    <t>walk</t>
  </si>
  <si>
    <t>marktplatz</t>
  </si>
  <si>
    <t>undenkbar</t>
  </si>
  <si>
    <t>einstieg</t>
  </si>
  <si>
    <t>geköpft</t>
  </si>
  <si>
    <t>heldentaten</t>
  </si>
  <si>
    <t>feldzug</t>
  </si>
  <si>
    <t>tugenden</t>
  </si>
  <si>
    <t>fruchtbar</t>
  </si>
  <si>
    <t>kain</t>
  </si>
  <si>
    <t>seriennummer</t>
  </si>
  <si>
    <t>color</t>
  </si>
  <si>
    <t>klatscht</t>
  </si>
  <si>
    <t>gesprächen</t>
  </si>
  <si>
    <t>buckley</t>
  </si>
  <si>
    <t>ausbricht</t>
  </si>
  <si>
    <t>sträfling</t>
  </si>
  <si>
    <t>kontaktmann</t>
  </si>
  <si>
    <t>ludo</t>
  </si>
  <si>
    <t>trumpf</t>
  </si>
  <si>
    <t>streitereien</t>
  </si>
  <si>
    <t>barker</t>
  </si>
  <si>
    <t>schutzschild</t>
  </si>
  <si>
    <t>lebendiger</t>
  </si>
  <si>
    <t>überarbeitung</t>
  </si>
  <si>
    <t>lack</t>
  </si>
  <si>
    <t>halbem</t>
  </si>
  <si>
    <t>march</t>
  </si>
  <si>
    <t>erlernen</t>
  </si>
  <si>
    <t>leichtfertig</t>
  </si>
  <si>
    <t>gepriesen</t>
  </si>
  <si>
    <t>polnisch</t>
  </si>
  <si>
    <t>rhys</t>
  </si>
  <si>
    <t>schleunigst</t>
  </si>
  <si>
    <t>scout</t>
  </si>
  <si>
    <t>strahlend</t>
  </si>
  <si>
    <t>patrone</t>
  </si>
  <si>
    <t>informierte</t>
  </si>
  <si>
    <t>eifrig</t>
  </si>
  <si>
    <t>inhaftiert</t>
  </si>
  <si>
    <t>aufgegriffen</t>
  </si>
  <si>
    <t>verbotenen</t>
  </si>
  <si>
    <t>zarten</t>
  </si>
  <si>
    <t>misses</t>
  </si>
  <si>
    <t>nukleare</t>
  </si>
  <si>
    <t>silva</t>
  </si>
  <si>
    <t>verwarnung</t>
  </si>
  <si>
    <t>evidence</t>
  </si>
  <si>
    <t>dougie</t>
  </si>
  <si>
    <t>dazugehören</t>
  </si>
  <si>
    <t>marketing</t>
  </si>
  <si>
    <t>dichte</t>
  </si>
  <si>
    <t>into</t>
  </si>
  <si>
    <t>anfreunden</t>
  </si>
  <si>
    <t>halbbruder</t>
  </si>
  <si>
    <t>tausender</t>
  </si>
  <si>
    <t>dover</t>
  </si>
  <si>
    <t>isa</t>
  </si>
  <si>
    <t>rückruf</t>
  </si>
  <si>
    <t>leiseste</t>
  </si>
  <si>
    <t>jj</t>
  </si>
  <si>
    <t>biopsie</t>
  </si>
  <si>
    <t>henrietta</t>
  </si>
  <si>
    <t>allerhand</t>
  </si>
  <si>
    <t>protein</t>
  </si>
  <si>
    <t>zurückkehrte</t>
  </si>
  <si>
    <t>unecht</t>
  </si>
  <si>
    <t>verladen</t>
  </si>
  <si>
    <t>besonderem</t>
  </si>
  <si>
    <t>unterirdischen</t>
  </si>
  <si>
    <t>eigenartige</t>
  </si>
  <si>
    <t>act</t>
  </si>
  <si>
    <t>tex</t>
  </si>
  <si>
    <t>psychiaterin</t>
  </si>
  <si>
    <t>gespült</t>
  </si>
  <si>
    <t>übermittelt</t>
  </si>
  <si>
    <t>unterhaltungen</t>
  </si>
  <si>
    <t>infrastruktur</t>
  </si>
  <si>
    <t>heimliche</t>
  </si>
  <si>
    <t>mental</t>
  </si>
  <si>
    <t>pseudonym</t>
  </si>
  <si>
    <t>altem</t>
  </si>
  <si>
    <t>eingetauscht</t>
  </si>
  <si>
    <t>willkürlich</t>
  </si>
  <si>
    <t>flüsternd</t>
  </si>
  <si>
    <t>gastgeberin</t>
  </si>
  <si>
    <t>homie</t>
  </si>
  <si>
    <t>dringendes</t>
  </si>
  <si>
    <t>kongo</t>
  </si>
  <si>
    <t>verschlossenen</t>
  </si>
  <si>
    <t>rebell</t>
  </si>
  <si>
    <t>granny</t>
  </si>
  <si>
    <t>waldo</t>
  </si>
  <si>
    <t>aufgestiegen</t>
  </si>
  <si>
    <t>rausgezogen</t>
  </si>
  <si>
    <t>twin</t>
  </si>
  <si>
    <t>gedenkfeier</t>
  </si>
  <si>
    <t>princess</t>
  </si>
  <si>
    <t>frustration</t>
  </si>
  <si>
    <t>amme</t>
  </si>
  <si>
    <t>lehm</t>
  </si>
  <si>
    <t>ägypter</t>
  </si>
  <si>
    <t>friend</t>
  </si>
  <si>
    <t>trek</t>
  </si>
  <si>
    <t>hear</t>
  </si>
  <si>
    <t>spendet</t>
  </si>
  <si>
    <t>gegenwärtig</t>
  </si>
  <si>
    <t>arschlöchern</t>
  </si>
  <si>
    <t>insulin</t>
  </si>
  <si>
    <t>zeugenschutzprogramm</t>
  </si>
  <si>
    <t>dukaten</t>
  </si>
  <si>
    <t>woandershin</t>
  </si>
  <si>
    <t>komplizin</t>
  </si>
  <si>
    <t>brain</t>
  </si>
  <si>
    <t>coke</t>
  </si>
  <si>
    <t>transaktion</t>
  </si>
  <si>
    <t>praktikantin</t>
  </si>
  <si>
    <t>schmach</t>
  </si>
  <si>
    <t>schneemann</t>
  </si>
  <si>
    <t>tac</t>
  </si>
  <si>
    <t>spezialgebiet</t>
  </si>
  <si>
    <t>weihnachtsfest</t>
  </si>
  <si>
    <t>verkörpert</t>
  </si>
  <si>
    <t>schwesterherz</t>
  </si>
  <si>
    <t>langsamen</t>
  </si>
  <si>
    <t>mittelsmann</t>
  </si>
  <si>
    <t>umfrage</t>
  </si>
  <si>
    <t>maquis</t>
  </si>
  <si>
    <t>zitronen</t>
  </si>
  <si>
    <t>nuklearen</t>
  </si>
  <si>
    <t>zurückkehre</t>
  </si>
  <si>
    <t>variante</t>
  </si>
  <si>
    <t>michelangelo</t>
  </si>
  <si>
    <t>bronze</t>
  </si>
  <si>
    <t>kadetten</t>
  </si>
  <si>
    <t>ordentliches</t>
  </si>
  <si>
    <t>gefährtin</t>
  </si>
  <si>
    <t>ryder</t>
  </si>
  <si>
    <t>opposition</t>
  </si>
  <si>
    <t>missverstehen</t>
  </si>
  <si>
    <t>lieferant</t>
  </si>
  <si>
    <t>brünette</t>
  </si>
  <si>
    <t>rainer</t>
  </si>
  <si>
    <t>tastatur</t>
  </si>
  <si>
    <t>beansprucht</t>
  </si>
  <si>
    <t>nobelpreis</t>
  </si>
  <si>
    <t>hartley</t>
  </si>
  <si>
    <t>zügeln</t>
  </si>
  <si>
    <t>muirfield</t>
  </si>
  <si>
    <t>dorota</t>
  </si>
  <si>
    <t>ep</t>
  </si>
  <si>
    <t>viagra</t>
  </si>
  <si>
    <t>ziemlichen</t>
  </si>
  <si>
    <t>abgefackelt</t>
  </si>
  <si>
    <t>beispielsweise</t>
  </si>
  <si>
    <t>unklug</t>
  </si>
  <si>
    <t>nachtwache</t>
  </si>
  <si>
    <t>polnische</t>
  </si>
  <si>
    <t>olympiade</t>
  </si>
  <si>
    <t>veräppeln</t>
  </si>
  <si>
    <t>marmor</t>
  </si>
  <si>
    <t>versprecht</t>
  </si>
  <si>
    <t>größerem</t>
  </si>
  <si>
    <t>sachsen</t>
  </si>
  <si>
    <t>wichsen</t>
  </si>
  <si>
    <t>angelassen</t>
  </si>
  <si>
    <t>federal</t>
  </si>
  <si>
    <t>hits</t>
  </si>
  <si>
    <t>seiest</t>
  </si>
  <si>
    <t>mu</t>
  </si>
  <si>
    <t>wohn</t>
  </si>
  <si>
    <t>betreut</t>
  </si>
  <si>
    <t>turn</t>
  </si>
  <si>
    <t>jonesy</t>
  </si>
  <si>
    <t>verwendete</t>
  </si>
  <si>
    <t>eleganz</t>
  </si>
  <si>
    <t>hundefutter</t>
  </si>
  <si>
    <t>knicks</t>
  </si>
  <si>
    <t>graves</t>
  </si>
  <si>
    <t>ophelia</t>
  </si>
  <si>
    <t>alessandro</t>
  </si>
  <si>
    <t>gewannen</t>
  </si>
  <si>
    <t>aufzutreten</t>
  </si>
  <si>
    <t>eingeschränkt</t>
  </si>
  <si>
    <t>bürschchen</t>
  </si>
  <si>
    <t>schwebe</t>
  </si>
  <si>
    <t>gebirge</t>
  </si>
  <si>
    <t>hieb</t>
  </si>
  <si>
    <t>ernsthaften</t>
  </si>
  <si>
    <t>konsole</t>
  </si>
  <si>
    <t>puck</t>
  </si>
  <si>
    <t>einschenken</t>
  </si>
  <si>
    <t>bernd</t>
  </si>
  <si>
    <t>erlebst</t>
  </si>
  <si>
    <t>cavanaugh</t>
  </si>
  <si>
    <t>augenkontakt</t>
  </si>
  <si>
    <t>makkaroni</t>
  </si>
  <si>
    <t>teig</t>
  </si>
  <si>
    <t>traditionellen</t>
  </si>
  <si>
    <t>rausreißen</t>
  </si>
  <si>
    <t>autofahren</t>
  </si>
  <si>
    <t>neuste</t>
  </si>
  <si>
    <t>blondinen</t>
  </si>
  <si>
    <t>gorman</t>
  </si>
  <si>
    <t>amok</t>
  </si>
  <si>
    <t>abdrehen</t>
  </si>
  <si>
    <t>ausgerissen</t>
  </si>
  <si>
    <t>elektrisches</t>
  </si>
  <si>
    <t>unterzogen</t>
  </si>
  <si>
    <t>essens</t>
  </si>
  <si>
    <t>verlängerung</t>
  </si>
  <si>
    <t>kontaktperson</t>
  </si>
  <si>
    <t>50ern</t>
  </si>
  <si>
    <t>einfachsten</t>
  </si>
  <si>
    <t>unterlassen</t>
  </si>
  <si>
    <t>visa</t>
  </si>
  <si>
    <t>erkrankt</t>
  </si>
  <si>
    <t>enttarnt</t>
  </si>
  <si>
    <t>interpretieren</t>
  </si>
  <si>
    <t>scharfsinnig</t>
  </si>
  <si>
    <t>ungeheuerlich</t>
  </si>
  <si>
    <t>gutgehen</t>
  </si>
  <si>
    <t>plätschern</t>
  </si>
  <si>
    <t>hilfsbereit</t>
  </si>
  <si>
    <t>ramos</t>
  </si>
  <si>
    <t>fahnen</t>
  </si>
  <si>
    <t>kojoten</t>
  </si>
  <si>
    <t>farbigen</t>
  </si>
  <si>
    <t>umzuziehen</t>
  </si>
  <si>
    <t>abgesessen</t>
  </si>
  <si>
    <t>jets</t>
  </si>
  <si>
    <t>thatcher</t>
  </si>
  <si>
    <t>teppiche</t>
  </si>
  <si>
    <t>lässig</t>
  </si>
  <si>
    <t>erfrischung</t>
  </si>
  <si>
    <t>anordnungen</t>
  </si>
  <si>
    <t>lateinisch</t>
  </si>
  <si>
    <t>zugelegt</t>
  </si>
  <si>
    <t>härtesten</t>
  </si>
  <si>
    <t>keule</t>
  </si>
  <si>
    <t>teuflisch</t>
  </si>
  <si>
    <t>lichtung</t>
  </si>
  <si>
    <t>vergeigt</t>
  </si>
  <si>
    <t>künste</t>
  </si>
  <si>
    <t>mithelfen</t>
  </si>
  <si>
    <t>anderweitig</t>
  </si>
  <si>
    <t>blondes</t>
  </si>
  <si>
    <t>instinktiv</t>
  </si>
  <si>
    <t>weiches</t>
  </si>
  <si>
    <t>digitale</t>
  </si>
  <si>
    <t>inschrift</t>
  </si>
  <si>
    <t>freeman</t>
  </si>
  <si>
    <t>wissend</t>
  </si>
  <si>
    <t>störte</t>
  </si>
  <si>
    <t>zerstückelt</t>
  </si>
  <si>
    <t>lawine</t>
  </si>
  <si>
    <t>einzufangen</t>
  </si>
  <si>
    <t>verlässlich</t>
  </si>
  <si>
    <t>wogegen</t>
  </si>
  <si>
    <t>ausgesperrt</t>
  </si>
  <si>
    <t>gefärbt</t>
  </si>
  <si>
    <t>niederlassen</t>
  </si>
  <si>
    <t>sozial</t>
  </si>
  <si>
    <t>korrupte</t>
  </si>
  <si>
    <t>hosenscheißer</t>
  </si>
  <si>
    <t>konzern</t>
  </si>
  <si>
    <t>verächtlich</t>
  </si>
  <si>
    <t>bev</t>
  </si>
  <si>
    <t>armseligen</t>
  </si>
  <si>
    <t>ferienlager</t>
  </si>
  <si>
    <t>hybriden</t>
  </si>
  <si>
    <t>abschiedsgeschenk</t>
  </si>
  <si>
    <t>magnet</t>
  </si>
  <si>
    <t>einzuhalten</t>
  </si>
  <si>
    <t>hektisch</t>
  </si>
  <si>
    <t>bio</t>
  </si>
  <si>
    <t>organisiere</t>
  </si>
  <si>
    <t>antidepressiva</t>
  </si>
  <si>
    <t>zugedröhnt</t>
  </si>
  <si>
    <t>sohns</t>
  </si>
  <si>
    <t>unbeschreiblich</t>
  </si>
  <si>
    <t>oberteil</t>
  </si>
  <si>
    <t>separatisten</t>
  </si>
  <si>
    <t>kandidatur</t>
  </si>
  <si>
    <t>zehntausend</t>
  </si>
  <si>
    <t>legendären</t>
  </si>
  <si>
    <t>gonzales</t>
  </si>
  <si>
    <t>torchwood</t>
  </si>
  <si>
    <t>feuchtigkeit</t>
  </si>
  <si>
    <t>surrt</t>
  </si>
  <si>
    <t>dustin</t>
  </si>
  <si>
    <t>kleinkind</t>
  </si>
  <si>
    <t>kadaver</t>
  </si>
  <si>
    <t>milos</t>
  </si>
  <si>
    <t>kommuniziert</t>
  </si>
  <si>
    <t>alden</t>
  </si>
  <si>
    <t>grosses</t>
  </si>
  <si>
    <t>giorgio</t>
  </si>
  <si>
    <t>unsensibel</t>
  </si>
  <si>
    <t>widerwärtig</t>
  </si>
  <si>
    <t>unreif</t>
  </si>
  <si>
    <t>fortzusetzen</t>
  </si>
  <si>
    <t>missfällt</t>
  </si>
  <si>
    <t>reichste</t>
  </si>
  <si>
    <t>schnüffler</t>
  </si>
  <si>
    <t>beadle</t>
  </si>
  <si>
    <t>potenzielle</t>
  </si>
  <si>
    <t>gewerkschaften</t>
  </si>
  <si>
    <t>berufe</t>
  </si>
  <si>
    <t>hoff</t>
  </si>
  <si>
    <t>schliessen</t>
  </si>
  <si>
    <t>residenz</t>
  </si>
  <si>
    <t>weitergeleitet</t>
  </si>
  <si>
    <t>match</t>
  </si>
  <si>
    <t>lestrade</t>
  </si>
  <si>
    <t>preußen</t>
  </si>
  <si>
    <t>glaubhaft</t>
  </si>
  <si>
    <t>regime</t>
  </si>
  <si>
    <t>jüngster</t>
  </si>
  <si>
    <t>motors</t>
  </si>
  <si>
    <t>karaoke</t>
  </si>
  <si>
    <t>versailles</t>
  </si>
  <si>
    <t>spirituellen</t>
  </si>
  <si>
    <t>fbi-agenten</t>
  </si>
  <si>
    <t>filmt</t>
  </si>
  <si>
    <t>uther</t>
  </si>
  <si>
    <t>arabischen</t>
  </si>
  <si>
    <t>dai</t>
  </si>
  <si>
    <t>vista</t>
  </si>
  <si>
    <t>vorstadt</t>
  </si>
  <si>
    <t>bitt</t>
  </si>
  <si>
    <t>50er</t>
  </si>
  <si>
    <t>rhythmische</t>
  </si>
  <si>
    <t>süd</t>
  </si>
  <si>
    <t>gatsby</t>
  </si>
  <si>
    <t>spionierst</t>
  </si>
  <si>
    <t>isaiah</t>
  </si>
  <si>
    <t>wärmt</t>
  </si>
  <si>
    <t>zurückgewiesen</t>
  </si>
  <si>
    <t>aufzumachen</t>
  </si>
  <si>
    <t>hercules</t>
  </si>
  <si>
    <t>solidarität</t>
  </si>
  <si>
    <t>toleriert</t>
  </si>
  <si>
    <t>landhaus</t>
  </si>
  <si>
    <t>feueralarm</t>
  </si>
  <si>
    <t>vorrichtung</t>
  </si>
  <si>
    <t>deeks</t>
  </si>
  <si>
    <t>biff</t>
  </si>
  <si>
    <t>verstellen</t>
  </si>
  <si>
    <t>keating</t>
  </si>
  <si>
    <t>kyoto</t>
  </si>
  <si>
    <t>ungeeignet</t>
  </si>
  <si>
    <t>kinch</t>
  </si>
  <si>
    <t>erwählt</t>
  </si>
  <si>
    <t>abschlachten</t>
  </si>
  <si>
    <t>gelber</t>
  </si>
  <si>
    <t>ausspioniert</t>
  </si>
  <si>
    <t>hawthorne</t>
  </si>
  <si>
    <t>falcone</t>
  </si>
  <si>
    <t>rüpel</t>
  </si>
  <si>
    <t>schulmädchen</t>
  </si>
  <si>
    <t>raben</t>
  </si>
  <si>
    <t>frauenstimme</t>
  </si>
  <si>
    <t>move</t>
  </si>
  <si>
    <t>stärkt</t>
  </si>
  <si>
    <t>sterblich</t>
  </si>
  <si>
    <t>fächer</t>
  </si>
  <si>
    <t>dolan</t>
  </si>
  <si>
    <t>fluten</t>
  </si>
  <si>
    <t>bosch</t>
  </si>
  <si>
    <t>emotion</t>
  </si>
  <si>
    <t>munson</t>
  </si>
  <si>
    <t>chanel</t>
  </si>
  <si>
    <t>schusswaffen</t>
  </si>
  <si>
    <t>währt</t>
  </si>
  <si>
    <t>übereinstimmen</t>
  </si>
  <si>
    <t>hefte</t>
  </si>
  <si>
    <t>rückflug</t>
  </si>
  <si>
    <t>geburtsdatum</t>
  </si>
  <si>
    <t>colby</t>
  </si>
  <si>
    <t>reingetan</t>
  </si>
  <si>
    <t>nadja</t>
  </si>
  <si>
    <t>stokes</t>
  </si>
  <si>
    <t>ausgezahlt</t>
  </si>
  <si>
    <t>verfolger</t>
  </si>
  <si>
    <t>katastrophen</t>
  </si>
  <si>
    <t>furzen</t>
  </si>
  <si>
    <t>fläche</t>
  </si>
  <si>
    <t>lala</t>
  </si>
  <si>
    <t>diplomaten</t>
  </si>
  <si>
    <t>geschummelt</t>
  </si>
  <si>
    <t>gruber</t>
  </si>
  <si>
    <t>untergegangen</t>
  </si>
  <si>
    <t>floss</t>
  </si>
  <si>
    <t>bruchbude</t>
  </si>
  <si>
    <t>stumpf</t>
  </si>
  <si>
    <t>moby</t>
  </si>
  <si>
    <t>burkhardt</t>
  </si>
  <si>
    <t>pip</t>
  </si>
  <si>
    <t>masturbieren</t>
  </si>
  <si>
    <t>bolzen</t>
  </si>
  <si>
    <t>markierungen</t>
  </si>
  <si>
    <t>amara</t>
  </si>
  <si>
    <t>unordentlich</t>
  </si>
  <si>
    <t>verbrenn</t>
  </si>
  <si>
    <t>dokumentiert</t>
  </si>
  <si>
    <t>mehmet</t>
  </si>
  <si>
    <t>anwärter</t>
  </si>
  <si>
    <t>benahm</t>
  </si>
  <si>
    <t>kopfverletzung</t>
  </si>
  <si>
    <t>rausfahren</t>
  </si>
  <si>
    <t>today</t>
  </si>
  <si>
    <t>zivile</t>
  </si>
  <si>
    <t>weicher</t>
  </si>
  <si>
    <t>offizieren</t>
  </si>
  <si>
    <t>aufzeichnen</t>
  </si>
  <si>
    <t>stürze</t>
  </si>
  <si>
    <t>genesis</t>
  </si>
  <si>
    <t>hive</t>
  </si>
  <si>
    <t>heftiges</t>
  </si>
  <si>
    <t>nächstenliebe</t>
  </si>
  <si>
    <t>stereoanlage</t>
  </si>
  <si>
    <t>mueller</t>
  </si>
  <si>
    <t>durchkämmen</t>
  </si>
  <si>
    <t>filiale</t>
  </si>
  <si>
    <t>sampson</t>
  </si>
  <si>
    <t>generalstaatsanwalt</t>
  </si>
  <si>
    <t>neutralisieren</t>
  </si>
  <si>
    <t>rachen</t>
  </si>
  <si>
    <t>maid</t>
  </si>
  <si>
    <t>midnight</t>
  </si>
  <si>
    <t>nominiert</t>
  </si>
  <si>
    <t>verletze</t>
  </si>
  <si>
    <t>umgekippt</t>
  </si>
  <si>
    <t>jadzia</t>
  </si>
  <si>
    <t>opfert</t>
  </si>
  <si>
    <t>jean-louis</t>
  </si>
  <si>
    <t>hernandez</t>
  </si>
  <si>
    <t>färben</t>
  </si>
  <si>
    <t>infektionen</t>
  </si>
  <si>
    <t>übernatürlichen</t>
  </si>
  <si>
    <t>kündigte</t>
  </si>
  <si>
    <t>verzeichnet</t>
  </si>
  <si>
    <t>abtreiben</t>
  </si>
  <si>
    <t>yorks</t>
  </si>
  <si>
    <t>cha</t>
  </si>
  <si>
    <t>lesbische</t>
  </si>
  <si>
    <t>mcleod</t>
  </si>
  <si>
    <t>trask</t>
  </si>
  <si>
    <t>behinderte</t>
  </si>
  <si>
    <t>abscheuliche</t>
  </si>
  <si>
    <t>vorbeigefahren</t>
  </si>
  <si>
    <t>weiterleiten</t>
  </si>
  <si>
    <t>tracey</t>
  </si>
  <si>
    <t>trotzen</t>
  </si>
  <si>
    <t>erektion</t>
  </si>
  <si>
    <t>showbusiness</t>
  </si>
  <si>
    <t>dodo</t>
  </si>
  <si>
    <t>anträge</t>
  </si>
  <si>
    <t>geleckt</t>
  </si>
  <si>
    <t>wahrheiten</t>
  </si>
  <si>
    <t>forschen</t>
  </si>
  <si>
    <t>tropf</t>
  </si>
  <si>
    <t>hach</t>
  </si>
  <si>
    <t>osborne</t>
  </si>
  <si>
    <t>regale</t>
  </si>
  <si>
    <t>neustart</t>
  </si>
  <si>
    <t>moped</t>
  </si>
  <si>
    <t>adjutant</t>
  </si>
  <si>
    <t>tanks</t>
  </si>
  <si>
    <t>hinterausgang</t>
  </si>
  <si>
    <t>scratch77</t>
  </si>
  <si>
    <t>bauarbeiter</t>
  </si>
  <si>
    <t>valeria</t>
  </si>
  <si>
    <t>mitkriegen</t>
  </si>
  <si>
    <t>verstarb</t>
  </si>
  <si>
    <t>schlüpfer</t>
  </si>
  <si>
    <t>rauszugehen</t>
  </si>
  <si>
    <t>betäubungsmittel</t>
  </si>
  <si>
    <t>geleert</t>
  </si>
  <si>
    <t>exfreund</t>
  </si>
  <si>
    <t>prognose</t>
  </si>
  <si>
    <t>teilhaber</t>
  </si>
  <si>
    <t>passten</t>
  </si>
  <si>
    <t>veranstaltungen</t>
  </si>
  <si>
    <t>kannibalen</t>
  </si>
  <si>
    <t>lieg</t>
  </si>
  <si>
    <t>caffrey</t>
  </si>
  <si>
    <t>stewie</t>
  </si>
  <si>
    <t>strumpfhosen</t>
  </si>
  <si>
    <t>auslieferung</t>
  </si>
  <si>
    <t>führers</t>
  </si>
  <si>
    <t>inhaber</t>
  </si>
  <si>
    <t>oha</t>
  </si>
  <si>
    <t>aushilfe</t>
  </si>
  <si>
    <t>schnitten</t>
  </si>
  <si>
    <t>aufzudecken</t>
  </si>
  <si>
    <t>detonation</t>
  </si>
  <si>
    <t>opfere</t>
  </si>
  <si>
    <t>lan</t>
  </si>
  <si>
    <t>enkelkind</t>
  </si>
  <si>
    <t>auflage</t>
  </si>
  <si>
    <t>fiasko</t>
  </si>
  <si>
    <t>rolling</t>
  </si>
  <si>
    <t>gegenden</t>
  </si>
  <si>
    <t>verkriechen</t>
  </si>
  <si>
    <t>glockenläuten</t>
  </si>
  <si>
    <t>vasquez</t>
  </si>
  <si>
    <t>alkoholikerin</t>
  </si>
  <si>
    <t>kavalier</t>
  </si>
  <si>
    <t>zögert</t>
  </si>
  <si>
    <t>ferris</t>
  </si>
  <si>
    <t>nice</t>
  </si>
  <si>
    <t>auszuruhen</t>
  </si>
  <si>
    <t>hüpf</t>
  </si>
  <si>
    <t>liverpool</t>
  </si>
  <si>
    <t>herden</t>
  </si>
  <si>
    <t>shine</t>
  </si>
  <si>
    <t>säulen</t>
  </si>
  <si>
    <t>elegante</t>
  </si>
  <si>
    <t>athleten</t>
  </si>
  <si>
    <t>greenwich</t>
  </si>
  <si>
    <t>streckt</t>
  </si>
  <si>
    <t>warmer</t>
  </si>
  <si>
    <t>applaudiert</t>
  </si>
  <si>
    <t>abgedrückt</t>
  </si>
  <si>
    <t>schlussendlich</t>
  </si>
  <si>
    <t>revolutionäre</t>
  </si>
  <si>
    <t>ablösen</t>
  </si>
  <si>
    <t>siegfried</t>
  </si>
  <si>
    <t>trubel</t>
  </si>
  <si>
    <t>marionetten</t>
  </si>
  <si>
    <t>nutzten</t>
  </si>
  <si>
    <t>auswärts</t>
  </si>
  <si>
    <t>etikett</t>
  </si>
  <si>
    <t>teddybär</t>
  </si>
  <si>
    <t>haargenau</t>
  </si>
  <si>
    <t>ziva</t>
  </si>
  <si>
    <t>verstopfung</t>
  </si>
  <si>
    <t>katarina</t>
  </si>
  <si>
    <t>kochte</t>
  </si>
  <si>
    <t>mitarbeit</t>
  </si>
  <si>
    <t>goldener</t>
  </si>
  <si>
    <t>neutralen</t>
  </si>
  <si>
    <t>freche</t>
  </si>
  <si>
    <t>tommys</t>
  </si>
  <si>
    <t>kepner</t>
  </si>
  <si>
    <t>messieurs</t>
  </si>
  <si>
    <t>deanna</t>
  </si>
  <si>
    <t>asher</t>
  </si>
  <si>
    <t>miene</t>
  </si>
  <si>
    <t>elektronischen</t>
  </si>
  <si>
    <t>schmollen</t>
  </si>
  <si>
    <t>zofe</t>
  </si>
  <si>
    <t>stimmten</t>
  </si>
  <si>
    <t>zunehmend</t>
  </si>
  <si>
    <t>zauberin</t>
  </si>
  <si>
    <t>lastet</t>
  </si>
  <si>
    <t>drop</t>
  </si>
  <si>
    <t>goes</t>
  </si>
  <si>
    <t>rollo</t>
  </si>
  <si>
    <t>hießen</t>
  </si>
  <si>
    <t>muslime</t>
  </si>
  <si>
    <t>ernsthaftes</t>
  </si>
  <si>
    <t>unglücklicher</t>
  </si>
  <si>
    <t>sponsoren</t>
  </si>
  <si>
    <t>verschmelzen</t>
  </si>
  <si>
    <t>dasitzen</t>
  </si>
  <si>
    <t>steel</t>
  </si>
  <si>
    <t>sin</t>
  </si>
  <si>
    <t>coming</t>
  </si>
  <si>
    <t>rasenmäher</t>
  </si>
  <si>
    <t>kräftige</t>
  </si>
  <si>
    <t>moloch</t>
  </si>
  <si>
    <t>bureau</t>
  </si>
  <si>
    <t>aktie</t>
  </si>
  <si>
    <t>mi6</t>
  </si>
  <si>
    <t>after</t>
  </si>
  <si>
    <t>marsha</t>
  </si>
  <si>
    <t>mietwagen</t>
  </si>
  <si>
    <t>aufgelesen</t>
  </si>
  <si>
    <t>heimbringen</t>
  </si>
  <si>
    <t>liebliche</t>
  </si>
  <si>
    <t>frauchen</t>
  </si>
  <si>
    <t>entehrt</t>
  </si>
  <si>
    <t>beispiele</t>
  </si>
  <si>
    <t>constantine</t>
  </si>
  <si>
    <t>funkspruch</t>
  </si>
  <si>
    <t>konstant</t>
  </si>
  <si>
    <t>beizutreten</t>
  </si>
  <si>
    <t>plutonium</t>
  </si>
  <si>
    <t>rocks</t>
  </si>
  <si>
    <t>kobolde</t>
  </si>
  <si>
    <t>geläutet</t>
  </si>
  <si>
    <t>verhöre</t>
  </si>
  <si>
    <t>reize</t>
  </si>
  <si>
    <t>tratsch</t>
  </si>
  <si>
    <t>bilanz</t>
  </si>
  <si>
    <t>entwarf</t>
  </si>
  <si>
    <t>shrek</t>
  </si>
  <si>
    <t>wühlen</t>
  </si>
  <si>
    <t>kassierer</t>
  </si>
  <si>
    <t>konkret</t>
  </si>
  <si>
    <t>60er</t>
  </si>
  <si>
    <t>zepter</t>
  </si>
  <si>
    <t>mühsam</t>
  </si>
  <si>
    <t>habgier</t>
  </si>
  <si>
    <t>zusammenfassung</t>
  </si>
  <si>
    <t>gabi</t>
  </si>
  <si>
    <t>fluchtversuch</t>
  </si>
  <si>
    <t>gönn</t>
  </si>
  <si>
    <t>auszuliefern</t>
  </si>
  <si>
    <t>gebastelt</t>
  </si>
  <si>
    <t>other</t>
  </si>
  <si>
    <t>wohnsitz</t>
  </si>
  <si>
    <t>ilsa</t>
  </si>
  <si>
    <t>beginnst</t>
  </si>
  <si>
    <t>raufkommen</t>
  </si>
  <si>
    <t>granger</t>
  </si>
  <si>
    <t>deutsches</t>
  </si>
  <si>
    <t>gewaltiger</t>
  </si>
  <si>
    <t>experimentiert</t>
  </si>
  <si>
    <t>auszulösen</t>
  </si>
  <si>
    <t>zdf</t>
  </si>
  <si>
    <t>aufgeschlagen</t>
  </si>
  <si>
    <t>überraschungsparty</t>
  </si>
  <si>
    <t>privatschule</t>
  </si>
  <si>
    <t>lebhafte</t>
  </si>
  <si>
    <t>langweiliger</t>
  </si>
  <si>
    <t>kühle</t>
  </si>
  <si>
    <t>verführerisch</t>
  </si>
  <si>
    <t>belege</t>
  </si>
  <si>
    <t>betroffenen</t>
  </si>
  <si>
    <t>schlucke</t>
  </si>
  <si>
    <t>auszurauben</t>
  </si>
  <si>
    <t>geschwader</t>
  </si>
  <si>
    <t>krawatten</t>
  </si>
  <si>
    <t>linsen</t>
  </si>
  <si>
    <t>experimentieren</t>
  </si>
  <si>
    <t>davidson</t>
  </si>
  <si>
    <t>clique</t>
  </si>
  <si>
    <t>misserfolg</t>
  </si>
  <si>
    <t>auszunutzen</t>
  </si>
  <si>
    <t>terrain</t>
  </si>
  <si>
    <t>zeugenaussagen</t>
  </si>
  <si>
    <t>bubi</t>
  </si>
  <si>
    <t>ausschwärmen</t>
  </si>
  <si>
    <t>kleber</t>
  </si>
  <si>
    <t>anzuhängen</t>
  </si>
  <si>
    <t>opas</t>
  </si>
  <si>
    <t>harrington</t>
  </si>
  <si>
    <t>vermerkt</t>
  </si>
  <si>
    <t>salam</t>
  </si>
  <si>
    <t>tischen</t>
  </si>
  <si>
    <t>drankriegen</t>
  </si>
  <si>
    <t>sozialarbeiterin</t>
  </si>
  <si>
    <t>winden</t>
  </si>
  <si>
    <t>vorgeführt</t>
  </si>
  <si>
    <t>rege</t>
  </si>
  <si>
    <t>moi</t>
  </si>
  <si>
    <t>bösewichte</t>
  </si>
  <si>
    <t>martinis</t>
  </si>
  <si>
    <t>entbunden</t>
  </si>
  <si>
    <t>kampfgeist</t>
  </si>
  <si>
    <t>fozzie</t>
  </si>
  <si>
    <t>knusprig</t>
  </si>
  <si>
    <t>martina</t>
  </si>
  <si>
    <t>nervengas</t>
  </si>
  <si>
    <t>konkretes</t>
  </si>
  <si>
    <t>magischer</t>
  </si>
  <si>
    <t>ameise</t>
  </si>
  <si>
    <t>belinda</t>
  </si>
  <si>
    <t>eileen</t>
  </si>
  <si>
    <t>rotkäppchen</t>
  </si>
  <si>
    <t>schufen</t>
  </si>
  <si>
    <t>clemens</t>
  </si>
  <si>
    <t>schnelligkeit</t>
  </si>
  <si>
    <t>legendäre</t>
  </si>
  <si>
    <t>süss</t>
  </si>
  <si>
    <t>entkamen</t>
  </si>
  <si>
    <t>bowie</t>
  </si>
  <si>
    <t>zwiebel</t>
  </si>
  <si>
    <t>barlow</t>
  </si>
  <si>
    <t>investor</t>
  </si>
  <si>
    <t>montags</t>
  </si>
  <si>
    <t>diplomatischen</t>
  </si>
  <si>
    <t>erregend</t>
  </si>
  <si>
    <t>hauser</t>
  </si>
  <si>
    <t>polizeistation</t>
  </si>
  <si>
    <t>größen</t>
  </si>
  <si>
    <t>pr</t>
  </si>
  <si>
    <t>rhein</t>
  </si>
  <si>
    <t>streicht</t>
  </si>
  <si>
    <t>lebendigen</t>
  </si>
  <si>
    <t>sozialarbeiter</t>
  </si>
  <si>
    <t>nachzusehen</t>
  </si>
  <si>
    <t>brr</t>
  </si>
  <si>
    <t>entwicklungen</t>
  </si>
  <si>
    <t>tonys</t>
  </si>
  <si>
    <t>stromschlag</t>
  </si>
  <si>
    <t>portrait</t>
  </si>
  <si>
    <t>erstaunen</t>
  </si>
  <si>
    <t>gemeinsamkeiten</t>
  </si>
  <si>
    <t>reisebüro</t>
  </si>
  <si>
    <t>shaggy</t>
  </si>
  <si>
    <t>lexikon</t>
  </si>
  <si>
    <t>komplettes</t>
  </si>
  <si>
    <t>durchmesser</t>
  </si>
  <si>
    <t>oberhalb</t>
  </si>
  <si>
    <t>absorbiert</t>
  </si>
  <si>
    <t>melrose</t>
  </si>
  <si>
    <t>vladimir</t>
  </si>
  <si>
    <t>gamma</t>
  </si>
  <si>
    <t>edmond</t>
  </si>
  <si>
    <t>paso</t>
  </si>
  <si>
    <t>funkeln</t>
  </si>
  <si>
    <t>entziffern</t>
  </si>
  <si>
    <t>sucher</t>
  </si>
  <si>
    <t>schauplatz</t>
  </si>
  <si>
    <t>hokuspokus</t>
  </si>
  <si>
    <t>gesten</t>
  </si>
  <si>
    <t>fortführen</t>
  </si>
  <si>
    <t>vorigen</t>
  </si>
  <si>
    <t>krankenhäusern</t>
  </si>
  <si>
    <t>schuster</t>
  </si>
  <si>
    <t>geangelt</t>
  </si>
  <si>
    <t>mooney</t>
  </si>
  <si>
    <t>airport</t>
  </si>
  <si>
    <t>abgeschrieben</t>
  </si>
  <si>
    <t>flurs</t>
  </si>
  <si>
    <t>90ern</t>
  </si>
  <si>
    <t>schaffner</t>
  </si>
  <si>
    <t>quak</t>
  </si>
  <si>
    <t>trust</t>
  </si>
  <si>
    <t>dario</t>
  </si>
  <si>
    <t>unvollständig</t>
  </si>
  <si>
    <t>woodhouse</t>
  </si>
  <si>
    <t>darnell</t>
  </si>
  <si>
    <t>hexenmeister</t>
  </si>
  <si>
    <t>andauern</t>
  </si>
  <si>
    <t>ortiz</t>
  </si>
  <si>
    <t>zachary</t>
  </si>
  <si>
    <t>kammerjäger</t>
  </si>
  <si>
    <t>flugblätter</t>
  </si>
  <si>
    <t>dei</t>
  </si>
  <si>
    <t>vergleichbar</t>
  </si>
  <si>
    <t>storybrooke</t>
  </si>
  <si>
    <t>legale</t>
  </si>
  <si>
    <t>freeway</t>
  </si>
  <si>
    <t>carey</t>
  </si>
  <si>
    <t>klirrt</t>
  </si>
  <si>
    <t>statthalter</t>
  </si>
  <si>
    <t>kontaktiere</t>
  </si>
  <si>
    <t>mitgliedschaft</t>
  </si>
  <si>
    <t>lissabon</t>
  </si>
  <si>
    <t>blech</t>
  </si>
  <si>
    <t>busbahnhof</t>
  </si>
  <si>
    <t>bade</t>
  </si>
  <si>
    <t>ersuchen</t>
  </si>
  <si>
    <t>belügst</t>
  </si>
  <si>
    <t>finnland</t>
  </si>
  <si>
    <t>trolle</t>
  </si>
  <si>
    <t>werter</t>
  </si>
  <si>
    <t>einerseits</t>
  </si>
  <si>
    <t>jasons</t>
  </si>
  <si>
    <t>seriös</t>
  </si>
  <si>
    <t>skrupel</t>
  </si>
  <si>
    <t>stilvoll</t>
  </si>
  <si>
    <t>mcbride</t>
  </si>
  <si>
    <t>myself</t>
  </si>
  <si>
    <t>äußerlich</t>
  </si>
  <si>
    <t>sortiert</t>
  </si>
  <si>
    <t>rolls</t>
  </si>
  <si>
    <t>vorhergesagt</t>
  </si>
  <si>
    <t>bürgen</t>
  </si>
  <si>
    <t>lenore</t>
  </si>
  <si>
    <t>kandidatin</t>
  </si>
  <si>
    <t>kehrst</t>
  </si>
  <si>
    <t>schminken</t>
  </si>
  <si>
    <t>rausgerissen</t>
  </si>
  <si>
    <t>heldenhaft</t>
  </si>
  <si>
    <t>tücher</t>
  </si>
  <si>
    <t>abgeblasen</t>
  </si>
  <si>
    <t>röcke</t>
  </si>
  <si>
    <t>patrouillen</t>
  </si>
  <si>
    <t>chucks</t>
  </si>
  <si>
    <t>anziehung</t>
  </si>
  <si>
    <t>stangen</t>
  </si>
  <si>
    <t>entschärft</t>
  </si>
  <si>
    <t>imitieren</t>
  </si>
  <si>
    <t>ellenbogen</t>
  </si>
  <si>
    <t>flink</t>
  </si>
  <si>
    <t>trommelwirbel</t>
  </si>
  <si>
    <t>nance</t>
  </si>
  <si>
    <t>gedächtnisverlust</t>
  </si>
  <si>
    <t>novak</t>
  </si>
  <si>
    <t>weltuntergang</t>
  </si>
  <si>
    <t>anforderungen</t>
  </si>
  <si>
    <t>christophe</t>
  </si>
  <si>
    <t>stefano</t>
  </si>
  <si>
    <t>signieren</t>
  </si>
  <si>
    <t>troja</t>
  </si>
  <si>
    <t>nachladen</t>
  </si>
  <si>
    <t>wellenlänge</t>
  </si>
  <si>
    <t>hyperraum</t>
  </si>
  <si>
    <t>mentale</t>
  </si>
  <si>
    <t>notwendigen</t>
  </si>
  <si>
    <t>beeinträchtigen</t>
  </si>
  <si>
    <t>spott</t>
  </si>
  <si>
    <t>erniedrigen</t>
  </si>
  <si>
    <t>ronon</t>
  </si>
  <si>
    <t>forensik</t>
  </si>
  <si>
    <t>howdy</t>
  </si>
  <si>
    <t>feuere</t>
  </si>
  <si>
    <t>aushändigen</t>
  </si>
  <si>
    <t>baumhaus</t>
  </si>
  <si>
    <t>anflehen</t>
  </si>
  <si>
    <t>bewachung</t>
  </si>
  <si>
    <t>einstellungen</t>
  </si>
  <si>
    <t>raucher</t>
  </si>
  <si>
    <t>vergiftete</t>
  </si>
  <si>
    <t>reparier</t>
  </si>
  <si>
    <t>gurgel</t>
  </si>
  <si>
    <t>lilys</t>
  </si>
  <si>
    <t>einschreiben</t>
  </si>
  <si>
    <t>margie</t>
  </si>
  <si>
    <t>vorhersehbar</t>
  </si>
  <si>
    <t>hendricks</t>
  </si>
  <si>
    <t>mittelmeer</t>
  </si>
  <si>
    <t>atticus</t>
  </si>
  <si>
    <t>meditieren</t>
  </si>
  <si>
    <t>mendoza</t>
  </si>
  <si>
    <t>hardware</t>
  </si>
  <si>
    <t>pfirsiche</t>
  </si>
  <si>
    <t>jérôme</t>
  </si>
  <si>
    <t>psychologisch</t>
  </si>
  <si>
    <t>protestiere</t>
  </si>
  <si>
    <t>behoben</t>
  </si>
  <si>
    <t>dienststelle</t>
  </si>
  <si>
    <t>krusty</t>
  </si>
  <si>
    <t>anwaltskanzlei</t>
  </si>
  <si>
    <t>pinkelt</t>
  </si>
  <si>
    <t>gästehaus</t>
  </si>
  <si>
    <t>leigh</t>
  </si>
  <si>
    <t>stricken</t>
  </si>
  <si>
    <t>mathieu</t>
  </si>
  <si>
    <t>glatzkopf</t>
  </si>
  <si>
    <t>passage</t>
  </si>
  <si>
    <t>lotterie</t>
  </si>
  <si>
    <t>bereichen</t>
  </si>
  <si>
    <t>heuchelei</t>
  </si>
  <si>
    <t>herausforderer</t>
  </si>
  <si>
    <t>geiselnahme</t>
  </si>
  <si>
    <t>missgeburt</t>
  </si>
  <si>
    <t>mitnahm</t>
  </si>
  <si>
    <t>90er</t>
  </si>
  <si>
    <t>espen</t>
  </si>
  <si>
    <t>mischa</t>
  </si>
  <si>
    <t>programms</t>
  </si>
  <si>
    <t>dummchen</t>
  </si>
  <si>
    <t>titelbild</t>
  </si>
  <si>
    <t>abzuschalten</t>
  </si>
  <si>
    <t>ständiger</t>
  </si>
  <si>
    <t>pizzeria</t>
  </si>
  <si>
    <t>dämliches</t>
  </si>
  <si>
    <t>jagten</t>
  </si>
  <si>
    <t>rührei</t>
  </si>
  <si>
    <t>durchsuche</t>
  </si>
  <si>
    <t>horatio</t>
  </si>
  <si>
    <t>child</t>
  </si>
  <si>
    <t>leitender</t>
  </si>
  <si>
    <t>hare</t>
  </si>
  <si>
    <t>erfüllte</t>
  </si>
  <si>
    <t>wahrhaben</t>
  </si>
  <si>
    <t>atomwaffen</t>
  </si>
  <si>
    <t>unsterbliche</t>
  </si>
  <si>
    <t>catalina</t>
  </si>
  <si>
    <t>geschütz</t>
  </si>
  <si>
    <t>emile</t>
  </si>
  <si>
    <t>snyder</t>
  </si>
  <si>
    <t>aberglauben</t>
  </si>
  <si>
    <t>hergefahren</t>
  </si>
  <si>
    <t>betreuung</t>
  </si>
  <si>
    <t>navid</t>
  </si>
  <si>
    <t>innersten</t>
  </si>
  <si>
    <t>colette</t>
  </si>
  <si>
    <t>yorkshire</t>
  </si>
  <si>
    <t>kugelschreiber</t>
  </si>
  <si>
    <t>wahrsager</t>
  </si>
  <si>
    <t>winziger</t>
  </si>
  <si>
    <t>abschütteln</t>
  </si>
  <si>
    <t>lukes</t>
  </si>
  <si>
    <t>unerfahren</t>
  </si>
  <si>
    <t>übersteht</t>
  </si>
  <si>
    <t>günstiger</t>
  </si>
  <si>
    <t>homosexuelle</t>
  </si>
  <si>
    <t>reisepass</t>
  </si>
  <si>
    <t>medaillen</t>
  </si>
  <si>
    <t>erhältst</t>
  </si>
  <si>
    <t>juristische</t>
  </si>
  <si>
    <t>kreuzer</t>
  </si>
  <si>
    <t>lehrbuch</t>
  </si>
  <si>
    <t>befreite</t>
  </si>
  <si>
    <t>tel</t>
  </si>
  <si>
    <t>weinkeller</t>
  </si>
  <si>
    <t>reisender</t>
  </si>
  <si>
    <t>täuschst</t>
  </si>
  <si>
    <t>barmann</t>
  </si>
  <si>
    <t>blowjob</t>
  </si>
  <si>
    <t>schraubenschlüssel</t>
  </si>
  <si>
    <t>brautjungfern</t>
  </si>
  <si>
    <t>laberst</t>
  </si>
  <si>
    <t>trend</t>
  </si>
  <si>
    <t>gleichermaßen</t>
  </si>
  <si>
    <t>sexuelles</t>
  </si>
  <si>
    <t>steuerzahler</t>
  </si>
  <si>
    <t>zähmen</t>
  </si>
  <si>
    <t>wesens</t>
  </si>
  <si>
    <t>mächtiges</t>
  </si>
  <si>
    <t>münster</t>
  </si>
  <si>
    <t>zustimmt</t>
  </si>
  <si>
    <t>raumstation</t>
  </si>
  <si>
    <t>schmerzlich</t>
  </si>
  <si>
    <t>eignen</t>
  </si>
  <si>
    <t>hinzuzufügen</t>
  </si>
  <si>
    <t>laurence</t>
  </si>
  <si>
    <t>gewalttätigen</t>
  </si>
  <si>
    <t>robertson</t>
  </si>
  <si>
    <t>innenminister</t>
  </si>
  <si>
    <t>durchzusetzen</t>
  </si>
  <si>
    <t>taj</t>
  </si>
  <si>
    <t>winseln</t>
  </si>
  <si>
    <t>pflegeeltern</t>
  </si>
  <si>
    <t>kugelsichere</t>
  </si>
  <si>
    <t>lakaien</t>
  </si>
  <si>
    <t>juristischen</t>
  </si>
  <si>
    <t>vorort</t>
  </si>
  <si>
    <t>eddies</t>
  </si>
  <si>
    <t>einstürzen</t>
  </si>
  <si>
    <t>durchzustehen</t>
  </si>
  <si>
    <t>xiang</t>
  </si>
  <si>
    <t>verspannt</t>
  </si>
  <si>
    <t>asiatische</t>
  </si>
  <si>
    <t>diplomat</t>
  </si>
  <si>
    <t>koscher</t>
  </si>
  <si>
    <t>cristal</t>
  </si>
  <si>
    <t>todestag</t>
  </si>
  <si>
    <t>gag</t>
  </si>
  <si>
    <t>ausbilden</t>
  </si>
  <si>
    <t>schäfer</t>
  </si>
  <si>
    <t>brighton</t>
  </si>
  <si>
    <t>erscheine</t>
  </si>
  <si>
    <t>durchbrennen</t>
  </si>
  <si>
    <t>einzug</t>
  </si>
  <si>
    <t>betrügerin</t>
  </si>
  <si>
    <t>freiwilliger</t>
  </si>
  <si>
    <t>massiv</t>
  </si>
  <si>
    <t>zugucken</t>
  </si>
  <si>
    <t>skifahren</t>
  </si>
  <si>
    <t>hampshire</t>
  </si>
  <si>
    <t>kompetenz</t>
  </si>
  <si>
    <t>zerfällt</t>
  </si>
  <si>
    <t>help</t>
  </si>
  <si>
    <t>geordnet</t>
  </si>
  <si>
    <t>idiotischen</t>
  </si>
  <si>
    <t>einkauf</t>
  </si>
  <si>
    <t>prototypen</t>
  </si>
  <si>
    <t>katholik</t>
  </si>
  <si>
    <t>herrchen</t>
  </si>
  <si>
    <t>door</t>
  </si>
  <si>
    <t>requisiten</t>
  </si>
  <si>
    <t>conner</t>
  </si>
  <si>
    <t>versinken</t>
  </si>
  <si>
    <t>arroganter</t>
  </si>
  <si>
    <t>kerry</t>
  </si>
  <si>
    <t>särge</t>
  </si>
  <si>
    <t>clouseau</t>
  </si>
  <si>
    <t>aufwächst</t>
  </si>
  <si>
    <t>vermischen</t>
  </si>
  <si>
    <t>untoten</t>
  </si>
  <si>
    <t>fong</t>
  </si>
  <si>
    <t>gigantischen</t>
  </si>
  <si>
    <t>seltsamerweise</t>
  </si>
  <si>
    <t>schnappst</t>
  </si>
  <si>
    <t>sanften</t>
  </si>
  <si>
    <t>abwehren</t>
  </si>
  <si>
    <t>manns</t>
  </si>
  <si>
    <t>galen</t>
  </si>
  <si>
    <t>ts</t>
  </si>
  <si>
    <t>tonfall</t>
  </si>
  <si>
    <t>oberster</t>
  </si>
  <si>
    <t>blättern</t>
  </si>
  <si>
    <t>behinderten</t>
  </si>
  <si>
    <t>crème</t>
  </si>
  <si>
    <t>verschlimmert</t>
  </si>
  <si>
    <t>talentierte</t>
  </si>
  <si>
    <t>prison</t>
  </si>
  <si>
    <t>saustall</t>
  </si>
  <si>
    <t>existierst</t>
  </si>
  <si>
    <t>kera</t>
  </si>
  <si>
    <t>taggart</t>
  </si>
  <si>
    <t>vermacht</t>
  </si>
  <si>
    <t>freinehmen</t>
  </si>
  <si>
    <t>übersetzer</t>
  </si>
  <si>
    <t>erbärmlicher</t>
  </si>
  <si>
    <t>natascha</t>
  </si>
  <si>
    <t>ehrenwerter</t>
  </si>
  <si>
    <t>argh</t>
  </si>
  <si>
    <t>jock</t>
  </si>
  <si>
    <t>paulus</t>
  </si>
  <si>
    <t>allerbesten</t>
  </si>
  <si>
    <t>belieben</t>
  </si>
  <si>
    <t>absteigen</t>
  </si>
  <si>
    <t>vermieden</t>
  </si>
  <si>
    <t>jfk</t>
  </si>
  <si>
    <t>strassen</t>
  </si>
  <si>
    <t>fluges</t>
  </si>
  <si>
    <t>wegmachen</t>
  </si>
  <si>
    <t>flughäfen</t>
  </si>
  <si>
    <t>verfall</t>
  </si>
  <si>
    <t>aramis</t>
  </si>
  <si>
    <t>erniedrigung</t>
  </si>
  <si>
    <t>improvisiert</t>
  </si>
  <si>
    <t>ehrenmann</t>
  </si>
  <si>
    <t>klaps</t>
  </si>
  <si>
    <t>duran</t>
  </si>
  <si>
    <t>bums</t>
  </si>
  <si>
    <t>oberbefehlshaber</t>
  </si>
  <si>
    <t>cry</t>
  </si>
  <si>
    <t>kennenlernt</t>
  </si>
  <si>
    <t>kirsche</t>
  </si>
  <si>
    <t>neunte</t>
  </si>
  <si>
    <t>wildschwein</t>
  </si>
  <si>
    <t>waggon</t>
  </si>
  <si>
    <t>anmaßend</t>
  </si>
  <si>
    <t>card</t>
  </si>
  <si>
    <t>susanna</t>
  </si>
  <si>
    <t>nähere</t>
  </si>
  <si>
    <t>winnie</t>
  </si>
  <si>
    <t>ahab</t>
  </si>
  <si>
    <t>konkurrieren</t>
  </si>
  <si>
    <t>überfluss</t>
  </si>
  <si>
    <t>bradshaw</t>
  </si>
  <si>
    <t>anastasia</t>
  </si>
  <si>
    <t>entfachen</t>
  </si>
  <si>
    <t>handschlag</t>
  </si>
  <si>
    <t>farmen</t>
  </si>
  <si>
    <t>bekämpfe</t>
  </si>
  <si>
    <t>freedom</t>
  </si>
  <si>
    <t>lahme</t>
  </si>
  <si>
    <t>everything</t>
  </si>
  <si>
    <t>nachgefragt</t>
  </si>
  <si>
    <t>cabe</t>
  </si>
  <si>
    <t>teufelskerl</t>
  </si>
  <si>
    <t>auggie</t>
  </si>
  <si>
    <t>helium</t>
  </si>
  <si>
    <t>obduktion</t>
  </si>
  <si>
    <t>jarl</t>
  </si>
  <si>
    <t>europäer</t>
  </si>
  <si>
    <t>bucky</t>
  </si>
  <si>
    <t>faktoren</t>
  </si>
  <si>
    <t>amir</t>
  </si>
  <si>
    <t>nazir</t>
  </si>
  <si>
    <t>bagel</t>
  </si>
  <si>
    <t>wi</t>
  </si>
  <si>
    <t>rülpst</t>
  </si>
  <si>
    <t>prinzessinnen</t>
  </si>
  <si>
    <t>schema</t>
  </si>
  <si>
    <t>falschem</t>
  </si>
  <si>
    <t>rausgeflogen</t>
  </si>
  <si>
    <t>tijuana</t>
  </si>
  <si>
    <t>flaggen</t>
  </si>
  <si>
    <t>geimpft</t>
  </si>
  <si>
    <t>pfütze</t>
  </si>
  <si>
    <t>anzuwenden</t>
  </si>
  <si>
    <t>dokumenten</t>
  </si>
  <si>
    <t>hervorrufen</t>
  </si>
  <si>
    <t>exzentrisch</t>
  </si>
  <si>
    <t>eunice</t>
  </si>
  <si>
    <t>bedeutender</t>
  </si>
  <si>
    <t>kettensäge</t>
  </si>
  <si>
    <t>mortimer</t>
  </si>
  <si>
    <t>fusel</t>
  </si>
  <si>
    <t>chgreen</t>
  </si>
  <si>
    <t>stopft</t>
  </si>
  <si>
    <t>schätzung</t>
  </si>
  <si>
    <t>verwetten</t>
  </si>
  <si>
    <t>annahm</t>
  </si>
  <si>
    <t>missgeschick</t>
  </si>
  <si>
    <t>grieche</t>
  </si>
  <si>
    <t>hippies</t>
  </si>
  <si>
    <t>nordens</t>
  </si>
  <si>
    <t>spaziert</t>
  </si>
  <si>
    <t>knabbern</t>
  </si>
  <si>
    <t>alis</t>
  </si>
  <si>
    <t>reinschauen</t>
  </si>
  <si>
    <t>gegossen</t>
  </si>
  <si>
    <t>wogen</t>
  </si>
  <si>
    <t>irrenanstalt</t>
  </si>
  <si>
    <t>stehengeblieben</t>
  </si>
  <si>
    <t>earth</t>
  </si>
  <si>
    <t>unbehaglich</t>
  </si>
  <si>
    <t>wirkten</t>
  </si>
  <si>
    <t>goldmine</t>
  </si>
  <si>
    <t>berufliche</t>
  </si>
  <si>
    <t>community</t>
  </si>
  <si>
    <t>là</t>
  </si>
  <si>
    <t>gejammer</t>
  </si>
  <si>
    <t>arthritis</t>
  </si>
  <si>
    <t>einzutreten</t>
  </si>
  <si>
    <t>vorgespielt</t>
  </si>
  <si>
    <t>gewöhnst</t>
  </si>
  <si>
    <t>eingrenzen</t>
  </si>
  <si>
    <t>beehren</t>
  </si>
  <si>
    <t>königreichs</t>
  </si>
  <si>
    <t>tauche</t>
  </si>
  <si>
    <t>abweisen</t>
  </si>
  <si>
    <t>prior</t>
  </si>
  <si>
    <t>angewendet</t>
  </si>
  <si>
    <t>mandarin</t>
  </si>
  <si>
    <t>lisbeth</t>
  </si>
  <si>
    <t>spontane</t>
  </si>
  <si>
    <t>watkins</t>
  </si>
  <si>
    <t>seitlich</t>
  </si>
  <si>
    <t>raleigh</t>
  </si>
  <si>
    <t>trinkwasser</t>
  </si>
  <si>
    <t>scheißhaufen</t>
  </si>
  <si>
    <t>hütet</t>
  </si>
  <si>
    <t>verkehren</t>
  </si>
  <si>
    <t>bewunderer</t>
  </si>
  <si>
    <t>absage</t>
  </si>
  <si>
    <t>bedingungslos</t>
  </si>
  <si>
    <t>lüfte</t>
  </si>
  <si>
    <t>cornell</t>
  </si>
  <si>
    <t>vermutete</t>
  </si>
  <si>
    <t>dias</t>
  </si>
  <si>
    <t>gladiatoren</t>
  </si>
  <si>
    <t>kompetent</t>
  </si>
  <si>
    <t>stramm</t>
  </si>
  <si>
    <t>browning</t>
  </si>
  <si>
    <t>katastrophal</t>
  </si>
  <si>
    <t>viola</t>
  </si>
  <si>
    <t>divya</t>
  </si>
  <si>
    <t>mundgeruch</t>
  </si>
  <si>
    <t>leugne</t>
  </si>
  <si>
    <t>kratz</t>
  </si>
  <si>
    <t>navigator</t>
  </si>
  <si>
    <t>fahrgäste</t>
  </si>
  <si>
    <t>menschenmenge</t>
  </si>
  <si>
    <t>fehlschlag</t>
  </si>
  <si>
    <t>petersen</t>
  </si>
  <si>
    <t>ausgetrocknet</t>
  </si>
  <si>
    <t>vorlieben</t>
  </si>
  <si>
    <t>entdecke</t>
  </si>
  <si>
    <t>goldman</t>
  </si>
  <si>
    <t>heffernan</t>
  </si>
  <si>
    <t>sweeney</t>
  </si>
  <si>
    <t>rockfish</t>
  </si>
  <si>
    <t>gladiator</t>
  </si>
  <si>
    <t>zwillingsbruder</t>
  </si>
  <si>
    <t>vorläufige</t>
  </si>
  <si>
    <t>lore</t>
  </si>
  <si>
    <t>ahne</t>
  </si>
  <si>
    <t>gemeinheit</t>
  </si>
  <si>
    <t>louvre</t>
  </si>
  <si>
    <t>phlox</t>
  </si>
  <si>
    <t>schloß</t>
  </si>
  <si>
    <t>larkin</t>
  </si>
  <si>
    <t>widerfährt</t>
  </si>
  <si>
    <t>grundstücke</t>
  </si>
  <si>
    <t>weggegeben</t>
  </si>
  <si>
    <t>ankündigen</t>
  </si>
  <si>
    <t>loki</t>
  </si>
  <si>
    <t>müllhalde</t>
  </si>
  <si>
    <t>startete</t>
  </si>
  <si>
    <t>höheres</t>
  </si>
  <si>
    <t>cricket</t>
  </si>
  <si>
    <t>killarney</t>
  </si>
  <si>
    <t>küssten</t>
  </si>
  <si>
    <t>maßnahme</t>
  </si>
  <si>
    <t>paranormale</t>
  </si>
  <si>
    <t>franny</t>
  </si>
  <si>
    <t>einschlag</t>
  </si>
  <si>
    <t>reichtümer</t>
  </si>
  <si>
    <t>carters</t>
  </si>
  <si>
    <t>erdlinge</t>
  </si>
  <si>
    <t>ad</t>
  </si>
  <si>
    <t>durchfallen</t>
  </si>
  <si>
    <t>trockne</t>
  </si>
  <si>
    <t>macbeth</t>
  </si>
  <si>
    <t>aluminium</t>
  </si>
  <si>
    <t>raina</t>
  </si>
  <si>
    <t>mythen</t>
  </si>
  <si>
    <t>hochnehmen</t>
  </si>
  <si>
    <t>ausgangspunkt</t>
  </si>
  <si>
    <t>mausetot</t>
  </si>
  <si>
    <t>augenlicht</t>
  </si>
  <si>
    <t>implantat</t>
  </si>
  <si>
    <t>zweifelsohne</t>
  </si>
  <si>
    <t>leier</t>
  </si>
  <si>
    <t>dannys</t>
  </si>
  <si>
    <t>durchwühlt</t>
  </si>
  <si>
    <t>taktischen</t>
  </si>
  <si>
    <t>keiko</t>
  </si>
  <si>
    <t>minbari</t>
  </si>
  <si>
    <t>battle</t>
  </si>
  <si>
    <t>unerwartetes</t>
  </si>
  <si>
    <t>unserm</t>
  </si>
  <si>
    <t>spannender</t>
  </si>
  <si>
    <t>säbel</t>
  </si>
  <si>
    <t>finstere</t>
  </si>
  <si>
    <t>anreiz</t>
  </si>
  <si>
    <t>20er</t>
  </si>
  <si>
    <t>enthauptet</t>
  </si>
  <si>
    <t>krächzt</t>
  </si>
  <si>
    <t>pops</t>
  </si>
  <si>
    <t>lockern</t>
  </si>
  <si>
    <t>ausweichmanöver</t>
  </si>
  <si>
    <t>kippt</t>
  </si>
  <si>
    <t>leichenbeschauer</t>
  </si>
  <si>
    <t>primitiven</t>
  </si>
  <si>
    <t>nog</t>
  </si>
  <si>
    <t>algorithmus</t>
  </si>
  <si>
    <t>bändigen</t>
  </si>
  <si>
    <t>besitztümer</t>
  </si>
  <si>
    <t>adligen</t>
  </si>
  <si>
    <t>telefongesellschaft</t>
  </si>
  <si>
    <t>philosophen</t>
  </si>
  <si>
    <t>proctor</t>
  </si>
  <si>
    <t>ertrinke</t>
  </si>
  <si>
    <t>überbringe</t>
  </si>
  <si>
    <t>cinnamon</t>
  </si>
  <si>
    <t>abgehakt</t>
  </si>
  <si>
    <t>zutat</t>
  </si>
  <si>
    <t>überheblich</t>
  </si>
  <si>
    <t>japans</t>
  </si>
  <si>
    <t>getippt</t>
  </si>
  <si>
    <t>freundliches</t>
  </si>
  <si>
    <t>fluß</t>
  </si>
  <si>
    <t>arbeitszeit</t>
  </si>
  <si>
    <t>verdirbst</t>
  </si>
  <si>
    <t>wuff</t>
  </si>
  <si>
    <t>überfahrt</t>
  </si>
  <si>
    <t>damian</t>
  </si>
  <si>
    <t>gigantisch</t>
  </si>
  <si>
    <t>anpacken</t>
  </si>
  <si>
    <t>verreckt</t>
  </si>
  <si>
    <t>tarnen</t>
  </si>
  <si>
    <t>dhs</t>
  </si>
  <si>
    <t>kabelfernsehen</t>
  </si>
  <si>
    <t>kiew</t>
  </si>
  <si>
    <t>mitgehört</t>
  </si>
  <si>
    <t>ausstrecken</t>
  </si>
  <si>
    <t>ampulle</t>
  </si>
  <si>
    <t>autopsiebericht</t>
  </si>
  <si>
    <t>cecile</t>
  </si>
  <si>
    <t>umschalten</t>
  </si>
  <si>
    <t>myra</t>
  </si>
  <si>
    <t>korporal</t>
  </si>
  <si>
    <t>brandstifter</t>
  </si>
  <si>
    <t>sissi</t>
  </si>
  <si>
    <t>grotesk</t>
  </si>
  <si>
    <t>gill</t>
  </si>
  <si>
    <t>hochmut</t>
  </si>
  <si>
    <t>entdeckungen</t>
  </si>
  <si>
    <t>zwillingen</t>
  </si>
  <si>
    <t>ausnehmen</t>
  </si>
  <si>
    <t>aussprache</t>
  </si>
  <si>
    <t>anlegt</t>
  </si>
  <si>
    <t>käsekuchen</t>
  </si>
  <si>
    <t>hochgeht</t>
  </si>
  <si>
    <t>verrats</t>
  </si>
  <si>
    <t>winslow</t>
  </si>
  <si>
    <t>wilcox</t>
  </si>
  <si>
    <t>bestellst</t>
  </si>
  <si>
    <t>verlesen</t>
  </si>
  <si>
    <t>raunen</t>
  </si>
  <si>
    <t>ninjas</t>
  </si>
  <si>
    <t>kopfschuss</t>
  </si>
  <si>
    <t>körbe</t>
  </si>
  <si>
    <t>ferngespräch</t>
  </si>
  <si>
    <t>erkälten</t>
  </si>
  <si>
    <t>lockvogel</t>
  </si>
  <si>
    <t>handelst</t>
  </si>
  <si>
    <t>entzieht</t>
  </si>
  <si>
    <t>jingle</t>
  </si>
  <si>
    <t>dachs</t>
  </si>
  <si>
    <t>düsteren</t>
  </si>
  <si>
    <t>should</t>
  </si>
  <si>
    <t>wirtin</t>
  </si>
  <si>
    <t>voreiligen</t>
  </si>
  <si>
    <t>deutschlands</t>
  </si>
  <si>
    <t>gogh</t>
  </si>
  <si>
    <t>mj</t>
  </si>
  <si>
    <t>ausgehst</t>
  </si>
  <si>
    <t>reuben</t>
  </si>
  <si>
    <t>hingehörst</t>
  </si>
  <si>
    <t>harem</t>
  </si>
  <si>
    <t>quadrat</t>
  </si>
  <si>
    <t>krüger</t>
  </si>
  <si>
    <t>liebespaar</t>
  </si>
  <si>
    <t>rundgang</t>
  </si>
  <si>
    <t>aufgegabelt</t>
  </si>
  <si>
    <t>jahreszeiten</t>
  </si>
  <si>
    <t>wilma</t>
  </si>
  <si>
    <t>todsicher</t>
  </si>
  <si>
    <t>überrumpelt</t>
  </si>
  <si>
    <t>gespalten</t>
  </si>
  <si>
    <t>flippe</t>
  </si>
  <si>
    <t>groschen</t>
  </si>
  <si>
    <t>getragene</t>
  </si>
  <si>
    <t>türkische</t>
  </si>
  <si>
    <t>smart</t>
  </si>
  <si>
    <t>verwählt</t>
  </si>
  <si>
    <t>dubenko</t>
  </si>
  <si>
    <t>kenobi</t>
  </si>
  <si>
    <t>übereinkunft</t>
  </si>
  <si>
    <t>inside</t>
  </si>
  <si>
    <t>auszuprobieren</t>
  </si>
  <si>
    <t>vereinigen</t>
  </si>
  <si>
    <t>zögere</t>
  </si>
  <si>
    <t>israelis</t>
  </si>
  <si>
    <t>junggesellenabschied</t>
  </si>
  <si>
    <t>dancing</t>
  </si>
  <si>
    <t>verhaltens</t>
  </si>
  <si>
    <t>offensichtlichen</t>
  </si>
  <si>
    <t>schleppst</t>
  </si>
  <si>
    <t>gebühr</t>
  </si>
  <si>
    <t>verzogen</t>
  </si>
  <si>
    <t>idaho</t>
  </si>
  <si>
    <t>bezweifeln</t>
  </si>
  <si>
    <t>mateo</t>
  </si>
  <si>
    <t>makel</t>
  </si>
  <si>
    <t>gemeines</t>
  </si>
  <si>
    <t>museen</t>
  </si>
  <si>
    <t>fahrräder</t>
  </si>
  <si>
    <t>anzustarren</t>
  </si>
  <si>
    <t>klopfe</t>
  </si>
  <si>
    <t>warehouse</t>
  </si>
  <si>
    <t>clementine</t>
  </si>
  <si>
    <t>p.s.</t>
  </si>
  <si>
    <t>straßensperre</t>
  </si>
  <si>
    <t>absichern</t>
  </si>
  <si>
    <t>platzpatronen</t>
  </si>
  <si>
    <t>aufschließen</t>
  </si>
  <si>
    <t>vertrauter</t>
  </si>
  <si>
    <t>ballistik</t>
  </si>
  <si>
    <t>moleküle</t>
  </si>
  <si>
    <t>kadett</t>
  </si>
  <si>
    <t>reim</t>
  </si>
  <si>
    <t>anspielung</t>
  </si>
  <si>
    <t>spendiert</t>
  </si>
  <si>
    <t>gesundheitsamt</t>
  </si>
  <si>
    <t>lieferst</t>
  </si>
  <si>
    <t>heimatland</t>
  </si>
  <si>
    <t>feuerschutz</t>
  </si>
  <si>
    <t>stachel</t>
  </si>
  <si>
    <t>bemerkten</t>
  </si>
  <si>
    <t>india</t>
  </si>
  <si>
    <t>adressiert</t>
  </si>
  <si>
    <t>bankraub</t>
  </si>
  <si>
    <t>bedford</t>
  </si>
  <si>
    <t>widerlegen</t>
  </si>
  <si>
    <t>pfarrhaus</t>
  </si>
  <si>
    <t>nasser</t>
  </si>
  <si>
    <t>lebensjahr</t>
  </si>
  <si>
    <t>schönere</t>
  </si>
  <si>
    <t>verbrennung</t>
  </si>
  <si>
    <t>köln</t>
  </si>
  <si>
    <t>clennam</t>
  </si>
  <si>
    <t>favoriten</t>
  </si>
  <si>
    <t>brut</t>
  </si>
  <si>
    <t>gaststar</t>
  </si>
  <si>
    <t>matthias</t>
  </si>
  <si>
    <t>bittere</t>
  </si>
  <si>
    <t>kreuzverhör</t>
  </si>
  <si>
    <t>ortes</t>
  </si>
  <si>
    <t>aw</t>
  </si>
  <si>
    <t>nächtlichen</t>
  </si>
  <si>
    <t>verschließt</t>
  </si>
  <si>
    <t>stießen</t>
  </si>
  <si>
    <t>mätresse</t>
  </si>
  <si>
    <t>lebenskraft</t>
  </si>
  <si>
    <t>nagus</t>
  </si>
  <si>
    <t>lebrac</t>
  </si>
  <si>
    <t>nachdenklich</t>
  </si>
  <si>
    <t>messern</t>
  </si>
  <si>
    <t>pfeiffer</t>
  </si>
  <si>
    <t>dvds</t>
  </si>
  <si>
    <t>kurzsichtig</t>
  </si>
  <si>
    <t>horrorfilm</t>
  </si>
  <si>
    <t>fürsorglich</t>
  </si>
  <si>
    <t>schmal</t>
  </si>
  <si>
    <t>betragen</t>
  </si>
  <si>
    <t>custer</t>
  </si>
  <si>
    <t>weiterentwickelt</t>
  </si>
  <si>
    <t>vorlesungen</t>
  </si>
  <si>
    <t>beobachtest</t>
  </si>
  <si>
    <t>marnie</t>
  </si>
  <si>
    <t>büsche</t>
  </si>
  <si>
    <t>bettwäsche</t>
  </si>
  <si>
    <t>cove</t>
  </si>
  <si>
    <t>abenteurer</t>
  </si>
  <si>
    <t>area</t>
  </si>
  <si>
    <t>wirds</t>
  </si>
  <si>
    <t>einsen</t>
  </si>
  <si>
    <t>erstarrt</t>
  </si>
  <si>
    <t>schülerinnen</t>
  </si>
  <si>
    <t>dschinn</t>
  </si>
  <si>
    <t>abgespielt</t>
  </si>
  <si>
    <t>boogie</t>
  </si>
  <si>
    <t>reportage</t>
  </si>
  <si>
    <t>rosalee</t>
  </si>
  <si>
    <t>car</t>
  </si>
  <si>
    <t>überm</t>
  </si>
  <si>
    <t>glotze</t>
  </si>
  <si>
    <t>fotografin</t>
  </si>
  <si>
    <t>yellow</t>
  </si>
  <si>
    <t>segelt</t>
  </si>
  <si>
    <t>vicomedia</t>
  </si>
  <si>
    <t>umkleide</t>
  </si>
  <si>
    <t>runterlassen</t>
  </si>
  <si>
    <t>before</t>
  </si>
  <si>
    <t>lone</t>
  </si>
  <si>
    <t>röchelt</t>
  </si>
  <si>
    <t>denkweise</t>
  </si>
  <si>
    <t>cyborg</t>
  </si>
  <si>
    <t>lektüre</t>
  </si>
  <si>
    <t>jean-paul</t>
  </si>
  <si>
    <t>karat</t>
  </si>
  <si>
    <t>gordo</t>
  </si>
  <si>
    <t>ertrug</t>
  </si>
  <si>
    <t>türklopfen</t>
  </si>
  <si>
    <t>standest</t>
  </si>
  <si>
    <t>psychischen</t>
  </si>
  <si>
    <t>sensei</t>
  </si>
  <si>
    <t>unrechtes</t>
  </si>
  <si>
    <t>thronfolger</t>
  </si>
  <si>
    <t>vorschnell</t>
  </si>
  <si>
    <t>sinnlosen</t>
  </si>
  <si>
    <t>glut</t>
  </si>
  <si>
    <t>albany</t>
  </si>
  <si>
    <t>mitbringt</t>
  </si>
  <si>
    <t>geraden</t>
  </si>
  <si>
    <t>eröffnete</t>
  </si>
  <si>
    <t>skizze</t>
  </si>
  <si>
    <t>belügt</t>
  </si>
  <si>
    <t>herstellt</t>
  </si>
  <si>
    <t>forrester</t>
  </si>
  <si>
    <t>sendungen</t>
  </si>
  <si>
    <t>minneapolis</t>
  </si>
  <si>
    <t>dans</t>
  </si>
  <si>
    <t>dukat</t>
  </si>
  <si>
    <t>deserteur</t>
  </si>
  <si>
    <t>gleichheit</t>
  </si>
  <si>
    <t>goldfisch</t>
  </si>
  <si>
    <t>typischen</t>
  </si>
  <si>
    <t>entgegenkommen</t>
  </si>
  <si>
    <t>beobachtungen</t>
  </si>
  <si>
    <t>janie</t>
  </si>
  <si>
    <t>verschreckt</t>
  </si>
  <si>
    <t>gregson</t>
  </si>
  <si>
    <t>praktikanten</t>
  </si>
  <si>
    <t>globus</t>
  </si>
  <si>
    <t>venice</t>
  </si>
  <si>
    <t>bruderherz</t>
  </si>
  <si>
    <t>riviera</t>
  </si>
  <si>
    <t>stammes</t>
  </si>
  <si>
    <t>ungnade</t>
  </si>
  <si>
    <t>nemo</t>
  </si>
  <si>
    <t>delgado</t>
  </si>
  <si>
    <t>comedy</t>
  </si>
  <si>
    <t>lorenz</t>
  </si>
  <si>
    <t>tone</t>
  </si>
  <si>
    <t>festhält</t>
  </si>
  <si>
    <t>selbständig</t>
  </si>
  <si>
    <t>flüchtet</t>
  </si>
  <si>
    <t>konstruktion</t>
  </si>
  <si>
    <t>beschwöre</t>
  </si>
  <si>
    <t>nestor</t>
  </si>
  <si>
    <t>gefühllos</t>
  </si>
  <si>
    <t>kayla</t>
  </si>
  <si>
    <t>offenem</t>
  </si>
  <si>
    <t>quadratmeter</t>
  </si>
  <si>
    <t>cardassianischen</t>
  </si>
  <si>
    <t>ólafur</t>
  </si>
  <si>
    <t>starbucks</t>
  </si>
  <si>
    <t>notsignal</t>
  </si>
  <si>
    <t>patent</t>
  </si>
  <si>
    <t>sähen</t>
  </si>
  <si>
    <t>kleinem</t>
  </si>
  <si>
    <t>vielzahl</t>
  </si>
  <si>
    <t>programmierung</t>
  </si>
  <si>
    <t>künstlerische</t>
  </si>
  <si>
    <t>fulton</t>
  </si>
  <si>
    <t>attraktiven</t>
  </si>
  <si>
    <t>parallel</t>
  </si>
  <si>
    <t>roulette</t>
  </si>
  <si>
    <t>fremdsprache</t>
  </si>
  <si>
    <t>nachzugehen</t>
  </si>
  <si>
    <t>draufgänger</t>
  </si>
  <si>
    <t>herumliegen</t>
  </si>
  <si>
    <t>wandschrank</t>
  </si>
  <si>
    <t>sinneswandel</t>
  </si>
  <si>
    <t>blutverlust</t>
  </si>
  <si>
    <t>izzie</t>
  </si>
  <si>
    <t>bleich</t>
  </si>
  <si>
    <t>versunken</t>
  </si>
  <si>
    <t>hingestellt</t>
  </si>
  <si>
    <t>hunderttausende</t>
  </si>
  <si>
    <t>aufschlussreich</t>
  </si>
  <si>
    <t>fehlerhaft</t>
  </si>
  <si>
    <t>rainbow</t>
  </si>
  <si>
    <t>vergeude</t>
  </si>
  <si>
    <t>hah</t>
  </si>
  <si>
    <t>herrichten</t>
  </si>
  <si>
    <t>bryant</t>
  </si>
  <si>
    <t>bronson</t>
  </si>
  <si>
    <t>commodus</t>
  </si>
  <si>
    <t>innereien</t>
  </si>
  <si>
    <t>biker</t>
  </si>
  <si>
    <t>kopfüber</t>
  </si>
  <si>
    <t>essenz</t>
  </si>
  <si>
    <t>erzählung</t>
  </si>
  <si>
    <t>gepisst</t>
  </si>
  <si>
    <t>lügendetektor</t>
  </si>
  <si>
    <t>zusage</t>
  </si>
  <si>
    <t>orchestermusik</t>
  </si>
  <si>
    <t>spital</t>
  </si>
  <si>
    <t>senkt</t>
  </si>
  <si>
    <t>rowan</t>
  </si>
  <si>
    <t>briefmarke</t>
  </si>
  <si>
    <t>tadellos</t>
  </si>
  <si>
    <t>japanischer</t>
  </si>
  <si>
    <t>covenant</t>
  </si>
  <si>
    <t>jemma</t>
  </si>
  <si>
    <t>verkommen</t>
  </si>
  <si>
    <t>chemotherapie</t>
  </si>
  <si>
    <t>pennys</t>
  </si>
  <si>
    <t>greendale</t>
  </si>
  <si>
    <t>glänzenden</t>
  </si>
  <si>
    <t>cats</t>
  </si>
  <si>
    <t>auftragen</t>
  </si>
  <si>
    <t>heimkehr</t>
  </si>
  <si>
    <t>kriterien</t>
  </si>
  <si>
    <t>chowllye</t>
  </si>
  <si>
    <t>beschnitten</t>
  </si>
  <si>
    <t>demjenigen</t>
  </si>
  <si>
    <t>haas</t>
  </si>
  <si>
    <t>versagte</t>
  </si>
  <si>
    <t>toben</t>
  </si>
  <si>
    <t>laufbursche</t>
  </si>
  <si>
    <t>batiatus</t>
  </si>
  <si>
    <t>afrikaner</t>
  </si>
  <si>
    <t>aufbleiben</t>
  </si>
  <si>
    <t>bankkonten</t>
  </si>
  <si>
    <t>drohst</t>
  </si>
  <si>
    <t>kaiserschnitt</t>
  </si>
  <si>
    <t>taschentücher</t>
  </si>
  <si>
    <t>reily</t>
  </si>
  <si>
    <t>lakai</t>
  </si>
  <si>
    <t>friedensangebot</t>
  </si>
  <si>
    <t>überziehen</t>
  </si>
  <si>
    <t>ortega</t>
  </si>
  <si>
    <t>helme</t>
  </si>
  <si>
    <t>depot</t>
  </si>
  <si>
    <t>wick</t>
  </si>
  <si>
    <t>travers</t>
  </si>
  <si>
    <t>zurückdrehen</t>
  </si>
  <si>
    <t>geklebt</t>
  </si>
  <si>
    <t>tunnels</t>
  </si>
  <si>
    <t>windig</t>
  </si>
  <si>
    <t>aufgebe</t>
  </si>
  <si>
    <t>lieblingsfilm</t>
  </si>
  <si>
    <t>macdonald</t>
  </si>
  <si>
    <t>betreuen</t>
  </si>
  <si>
    <t>karotte</t>
  </si>
  <si>
    <t>zigeunerin</t>
  </si>
  <si>
    <t>vergaser</t>
  </si>
  <si>
    <t>rumläuft</t>
  </si>
  <si>
    <t>zweige</t>
  </si>
  <si>
    <t>allahs</t>
  </si>
  <si>
    <t>aimee</t>
  </si>
  <si>
    <t>ignacio</t>
  </si>
  <si>
    <t>gewerbe</t>
  </si>
  <si>
    <t>bao</t>
  </si>
  <si>
    <t>zufällige</t>
  </si>
  <si>
    <t>beschämend</t>
  </si>
  <si>
    <t>blossom</t>
  </si>
  <si>
    <t>wunderkind</t>
  </si>
  <si>
    <t>verteile</t>
  </si>
  <si>
    <t>rupfen</t>
  </si>
  <si>
    <t>alba</t>
  </si>
  <si>
    <t>reingeraten</t>
  </si>
  <si>
    <t>präsent</t>
  </si>
  <si>
    <t>vermieterin</t>
  </si>
  <si>
    <t>hörtest</t>
  </si>
  <si>
    <t>stoned</t>
  </si>
  <si>
    <t>labors</t>
  </si>
  <si>
    <t>fallengelassen</t>
  </si>
  <si>
    <t>einar</t>
  </si>
  <si>
    <t>dorian</t>
  </si>
  <si>
    <t>nato</t>
  </si>
  <si>
    <t>rausschneiden</t>
  </si>
  <si>
    <t>erbschaft</t>
  </si>
  <si>
    <t>rauschgift</t>
  </si>
  <si>
    <t>basieren</t>
  </si>
  <si>
    <t>vorsichtsmaßnahmen</t>
  </si>
  <si>
    <t>liang</t>
  </si>
  <si>
    <t>fromm</t>
  </si>
  <si>
    <t>aneurysma</t>
  </si>
  <si>
    <t>cnn</t>
  </si>
  <si>
    <t>unehrlich</t>
  </si>
  <si>
    <t>friedlicher</t>
  </si>
  <si>
    <t>joss</t>
  </si>
  <si>
    <t>aussehenden</t>
  </si>
  <si>
    <t>mikroskop</t>
  </si>
  <si>
    <t>berechnung</t>
  </si>
  <si>
    <t>krücken</t>
  </si>
  <si>
    <t>redewendung</t>
  </si>
  <si>
    <t>verantwortungslos</t>
  </si>
  <si>
    <t>richtest</t>
  </si>
  <si>
    <t>dreifache</t>
  </si>
  <si>
    <t>beauftragen</t>
  </si>
  <si>
    <t>unterhält</t>
  </si>
  <si>
    <t>rätselhaft</t>
  </si>
  <si>
    <t>wertschätzung</t>
  </si>
  <si>
    <t>lausigen</t>
  </si>
  <si>
    <t>missverständnisse</t>
  </si>
  <si>
    <t>weggehst</t>
  </si>
  <si>
    <t>geschminkt</t>
  </si>
  <si>
    <t>bezirksstaatsanwalt</t>
  </si>
  <si>
    <t>geldautomaten</t>
  </si>
  <si>
    <t>verhielt</t>
  </si>
  <si>
    <t>infiltriert</t>
  </si>
  <si>
    <t>kati</t>
  </si>
  <si>
    <t>gelaber</t>
  </si>
  <si>
    <t>pflegerin</t>
  </si>
  <si>
    <t>strolch</t>
  </si>
  <si>
    <t>ji</t>
  </si>
  <si>
    <t>gelehrter</t>
  </si>
  <si>
    <t>cheung</t>
  </si>
  <si>
    <t>beinhalten</t>
  </si>
  <si>
    <t>effekte</t>
  </si>
  <si>
    <t>eingelebt</t>
  </si>
  <si>
    <t>calder</t>
  </si>
  <si>
    <t>vandalismus</t>
  </si>
  <si>
    <t>andersherum</t>
  </si>
  <si>
    <t>fete</t>
  </si>
  <si>
    <t>sprühen</t>
  </si>
  <si>
    <t>kappa</t>
  </si>
  <si>
    <t>brandneu</t>
  </si>
  <si>
    <t>leichenwagen</t>
  </si>
  <si>
    <t>autohupe</t>
  </si>
  <si>
    <t>erhöre</t>
  </si>
  <si>
    <t>vorliegt</t>
  </si>
  <si>
    <t>ducky</t>
  </si>
  <si>
    <t>bajoraner</t>
  </si>
  <si>
    <t>inspizieren</t>
  </si>
  <si>
    <t>camper</t>
  </si>
  <si>
    <t>himmlischer</t>
  </si>
  <si>
    <t>butterfly</t>
  </si>
  <si>
    <t>tapete</t>
  </si>
  <si>
    <t>connell</t>
  </si>
  <si>
    <t>hasan</t>
  </si>
  <si>
    <t>saddam</t>
  </si>
  <si>
    <t>driscoll</t>
  </si>
  <si>
    <t>palmen</t>
  </si>
  <si>
    <t>kip</t>
  </si>
  <si>
    <t>enthüllung</t>
  </si>
  <si>
    <t>fontaine</t>
  </si>
  <si>
    <t>zusammengebracht</t>
  </si>
  <si>
    <t>stripperinnen</t>
  </si>
  <si>
    <t>rührst</t>
  </si>
  <si>
    <t>strömt</t>
  </si>
  <si>
    <t>rumpelstilzchen</t>
  </si>
  <si>
    <t>dreifach</t>
  </si>
  <si>
    <t>durchgehalten</t>
  </si>
  <si>
    <t>renata</t>
  </si>
  <si>
    <t>goldberg</t>
  </si>
  <si>
    <t>gaulle</t>
  </si>
  <si>
    <t>alone</t>
  </si>
  <si>
    <t>köche</t>
  </si>
  <si>
    <t>bessie</t>
  </si>
  <si>
    <t>ballerina</t>
  </si>
  <si>
    <t>johnsons</t>
  </si>
  <si>
    <t>gekrönt</t>
  </si>
  <si>
    <t>frisör</t>
  </si>
  <si>
    <t>landry</t>
  </si>
  <si>
    <t>geräten</t>
  </si>
  <si>
    <t>marquise</t>
  </si>
  <si>
    <t>groben</t>
  </si>
  <si>
    <t>massiven</t>
  </si>
  <si>
    <t>wurscht</t>
  </si>
  <si>
    <t>goodbye</t>
  </si>
  <si>
    <t>darzustellen</t>
  </si>
  <si>
    <t>öffneten</t>
  </si>
  <si>
    <t>künftig</t>
  </si>
  <si>
    <t>anbeten</t>
  </si>
  <si>
    <t>bodyguards</t>
  </si>
  <si>
    <t>ebenbild</t>
  </si>
  <si>
    <t>nachlässt</t>
  </si>
  <si>
    <t>clarkson</t>
  </si>
  <si>
    <t>stolperte</t>
  </si>
  <si>
    <t>gerichtsgebäude</t>
  </si>
  <si>
    <t>versuchter</t>
  </si>
  <si>
    <t>besuchszeit</t>
  </si>
  <si>
    <t>ernennung</t>
  </si>
  <si>
    <t>rausgenommen</t>
  </si>
  <si>
    <t>starks</t>
  </si>
  <si>
    <t>klingonische</t>
  </si>
  <si>
    <t>fasten</t>
  </si>
  <si>
    <t>behauptungen</t>
  </si>
  <si>
    <t>zuchthaus</t>
  </si>
  <si>
    <t>verwalten</t>
  </si>
  <si>
    <t>strafverfolgung</t>
  </si>
  <si>
    <t>glühen</t>
  </si>
  <si>
    <t>schüssen</t>
  </si>
  <si>
    <t>terminator</t>
  </si>
  <si>
    <t>millionäre</t>
  </si>
  <si>
    <t>charaktere</t>
  </si>
  <si>
    <t>kerngesund</t>
  </si>
  <si>
    <t>hilflosen</t>
  </si>
  <si>
    <t>reisten</t>
  </si>
  <si>
    <t>kleopatra</t>
  </si>
  <si>
    <t>füller</t>
  </si>
  <si>
    <t>filmstars</t>
  </si>
  <si>
    <t>lebenslange</t>
  </si>
  <si>
    <t>ausfällt</t>
  </si>
  <si>
    <t>mitschüler</t>
  </si>
  <si>
    <t>einfühlsam</t>
  </si>
  <si>
    <t>auszutauschen</t>
  </si>
  <si>
    <t>teuflische</t>
  </si>
  <si>
    <t>tube</t>
  </si>
  <si>
    <t>salsa</t>
  </si>
  <si>
    <t>elfenbein</t>
  </si>
  <si>
    <t>fury</t>
  </si>
  <si>
    <t>überzahl</t>
  </si>
  <si>
    <t>marias</t>
  </si>
  <si>
    <t>beruhigung</t>
  </si>
  <si>
    <t>anlassen</t>
  </si>
  <si>
    <t>medina</t>
  </si>
  <si>
    <t>vernarrt</t>
  </si>
  <si>
    <t>sämtlichen</t>
  </si>
  <si>
    <t>amos</t>
  </si>
  <si>
    <t>meteor</t>
  </si>
  <si>
    <t>pures</t>
  </si>
  <si>
    <t>weihnachtsfeier</t>
  </si>
  <si>
    <t>banküberfall</t>
  </si>
  <si>
    <t>geplanten</t>
  </si>
  <si>
    <t>äußersten</t>
  </si>
  <si>
    <t>versage</t>
  </si>
  <si>
    <t>entstellt</t>
  </si>
  <si>
    <t>ip-adresse</t>
  </si>
  <si>
    <t>pinkel</t>
  </si>
  <si>
    <t>winterfell</t>
  </si>
  <si>
    <t>pflegefamilie</t>
  </si>
  <si>
    <t>rekrut</t>
  </si>
  <si>
    <t>chefredakteur</t>
  </si>
  <si>
    <t>fasste</t>
  </si>
  <si>
    <t>goldie</t>
  </si>
  <si>
    <t>olson</t>
  </si>
  <si>
    <t>anwalts</t>
  </si>
  <si>
    <t>wettrennen</t>
  </si>
  <si>
    <t>molesley</t>
  </si>
  <si>
    <t>gemach</t>
  </si>
  <si>
    <t>klingelton</t>
  </si>
  <si>
    <t>unschädlich</t>
  </si>
  <si>
    <t>kontakten</t>
  </si>
  <si>
    <t>undicht</t>
  </si>
  <si>
    <t>zeitlich</t>
  </si>
  <si>
    <t>petze</t>
  </si>
  <si>
    <t>sowjetische</t>
  </si>
  <si>
    <t>bunte</t>
  </si>
  <si>
    <t>karla</t>
  </si>
  <si>
    <t>jaaa</t>
  </si>
  <si>
    <t>rasierer</t>
  </si>
  <si>
    <t>hygiene</t>
  </si>
  <si>
    <t>unterbinden</t>
  </si>
  <si>
    <t>elternhaus</t>
  </si>
  <si>
    <t>alyssa</t>
  </si>
  <si>
    <t>eingebuchtet</t>
  </si>
  <si>
    <t>kies</t>
  </si>
  <si>
    <t>längeren</t>
  </si>
  <si>
    <t>durchleben</t>
  </si>
  <si>
    <t>aufsitzen</t>
  </si>
  <si>
    <t>umzudrehen</t>
  </si>
  <si>
    <t>pah</t>
  </si>
  <si>
    <t>ergriff</t>
  </si>
  <si>
    <t>bildfläche</t>
  </si>
  <si>
    <t>lieblingslied</t>
  </si>
  <si>
    <t>vertrauens</t>
  </si>
  <si>
    <t>hobbes</t>
  </si>
  <si>
    <t>babysitterin</t>
  </si>
  <si>
    <t>godfrey</t>
  </si>
  <si>
    <t>wohlbefinden</t>
  </si>
  <si>
    <t>gekehrt</t>
  </si>
  <si>
    <t>prächtige</t>
  </si>
  <si>
    <t>ensemble</t>
  </si>
  <si>
    <t>bewerbungsgespräch</t>
  </si>
  <si>
    <t>aufbruch</t>
  </si>
  <si>
    <t>schlafmütze</t>
  </si>
  <si>
    <t>abgehen</t>
  </si>
  <si>
    <t>hetty</t>
  </si>
  <si>
    <t>unwissenheit</t>
  </si>
  <si>
    <t>offizielles</t>
  </si>
  <si>
    <t>senil</t>
  </si>
  <si>
    <t>vernachlässigen</t>
  </si>
  <si>
    <t>richters</t>
  </si>
  <si>
    <t>feiertagen</t>
  </si>
  <si>
    <t>doktortitel</t>
  </si>
  <si>
    <t>pd</t>
  </si>
  <si>
    <t>grünschnabel</t>
  </si>
  <si>
    <t>erträgst</t>
  </si>
  <si>
    <t>verschworen</t>
  </si>
  <si>
    <t>selbstwertgefühl</t>
  </si>
  <si>
    <t>übertreten</t>
  </si>
  <si>
    <t>cholera</t>
  </si>
  <si>
    <t>schulzeit</t>
  </si>
  <si>
    <t>shana</t>
  </si>
  <si>
    <t>rhett</t>
  </si>
  <si>
    <t>besiegte</t>
  </si>
  <si>
    <t>nahrungsmittel</t>
  </si>
  <si>
    <t>schriftrolle</t>
  </si>
  <si>
    <t>intus</t>
  </si>
  <si>
    <t>bono</t>
  </si>
  <si>
    <t>violette</t>
  </si>
  <si>
    <t>geleit</t>
  </si>
  <si>
    <t>aeryn</t>
  </si>
  <si>
    <t>intervention</t>
  </si>
  <si>
    <t>stolzen</t>
  </si>
  <si>
    <t>inszenierung</t>
  </si>
  <si>
    <t>automatik</t>
  </si>
  <si>
    <t>bewertet</t>
  </si>
  <si>
    <t>ridley</t>
  </si>
  <si>
    <t>bettlaken</t>
  </si>
  <si>
    <t>johnnie</t>
  </si>
  <si>
    <t>knut</t>
  </si>
  <si>
    <t>schauspielerinnen</t>
  </si>
  <si>
    <t>schlafsack</t>
  </si>
  <si>
    <t>abschleppwagen</t>
  </si>
  <si>
    <t>schläfrig</t>
  </si>
  <si>
    <t>verblassen</t>
  </si>
  <si>
    <t>wait</t>
  </si>
  <si>
    <t>selbstgespräche</t>
  </si>
  <si>
    <t>drogenhändler</t>
  </si>
  <si>
    <t>mayfield</t>
  </si>
  <si>
    <t>stockton</t>
  </si>
  <si>
    <t>festnahmen</t>
  </si>
  <si>
    <t>lock</t>
  </si>
  <si>
    <t>bey</t>
  </si>
  <si>
    <t>freudig</t>
  </si>
  <si>
    <t>flegel</t>
  </si>
  <si>
    <t>schornstein</t>
  </si>
  <si>
    <t>inventur</t>
  </si>
  <si>
    <t>beaumont</t>
  </si>
  <si>
    <t>empfiehlt</t>
  </si>
  <si>
    <t>reflex</t>
  </si>
  <si>
    <t>ist-</t>
  </si>
  <si>
    <t>schäbigen</t>
  </si>
  <si>
    <t>beleidigst</t>
  </si>
  <si>
    <t>implantate</t>
  </si>
  <si>
    <t>vorgarten</t>
  </si>
  <si>
    <t>kambodscha</t>
  </si>
  <si>
    <t>korken</t>
  </si>
  <si>
    <t>publik</t>
  </si>
  <si>
    <t>rauchte</t>
  </si>
  <si>
    <t>wirjetzt</t>
  </si>
  <si>
    <t>vergiftung</t>
  </si>
  <si>
    <t>halliwell</t>
  </si>
  <si>
    <t>tragischer</t>
  </si>
  <si>
    <t>lähmung</t>
  </si>
  <si>
    <t>barclay</t>
  </si>
  <si>
    <t>annabel</t>
  </si>
  <si>
    <t>identifizierte</t>
  </si>
  <si>
    <t>cem</t>
  </si>
  <si>
    <t>entfacht</t>
  </si>
  <si>
    <t>lauras</t>
  </si>
  <si>
    <t>hinterteil</t>
  </si>
  <si>
    <t>beugt</t>
  </si>
  <si>
    <t>gleise</t>
  </si>
  <si>
    <t>schwängern</t>
  </si>
  <si>
    <t>attila</t>
  </si>
  <si>
    <t>murtaugh</t>
  </si>
  <si>
    <t>verspüren</t>
  </si>
  <si>
    <t>privatjet</t>
  </si>
  <si>
    <t>polizeipräsident</t>
  </si>
  <si>
    <t>kapitulieren</t>
  </si>
  <si>
    <t>ck</t>
  </si>
  <si>
    <t>hemingway</t>
  </si>
  <si>
    <t>guatemala</t>
  </si>
  <si>
    <t>speichel</t>
  </si>
  <si>
    <t>radikal</t>
  </si>
  <si>
    <t>nachmachen</t>
  </si>
  <si>
    <t>jährlichen</t>
  </si>
  <si>
    <t>emir</t>
  </si>
  <si>
    <t>geschwür</t>
  </si>
  <si>
    <t>gewissenhaft</t>
  </si>
  <si>
    <t>organisierten</t>
  </si>
  <si>
    <t>lebendes</t>
  </si>
  <si>
    <t>gewichte</t>
  </si>
  <si>
    <t>späte</t>
  </si>
  <si>
    <t>stühlen</t>
  </si>
  <si>
    <t>nicaragua</t>
  </si>
  <si>
    <t>tape</t>
  </si>
  <si>
    <t>kennenlernst</t>
  </si>
  <si>
    <t>auszumachen</t>
  </si>
  <si>
    <t>fleischer</t>
  </si>
  <si>
    <t>pose</t>
  </si>
  <si>
    <t>telepathie</t>
  </si>
  <si>
    <t>schiefgegangen</t>
  </si>
  <si>
    <t>krümmen</t>
  </si>
  <si>
    <t>unruhestifter</t>
  </si>
  <si>
    <t>schlagsahne</t>
  </si>
  <si>
    <t>cincinnati</t>
  </si>
  <si>
    <t>schizophrenie</t>
  </si>
  <si>
    <t>arabische</t>
  </si>
  <si>
    <t>wäschst</t>
  </si>
  <si>
    <t>fist</t>
  </si>
  <si>
    <t>zustände</t>
  </si>
  <si>
    <t>mannomann</t>
  </si>
  <si>
    <t>jockey</t>
  </si>
  <si>
    <t>stärkeren</t>
  </si>
  <si>
    <t>solchem</t>
  </si>
  <si>
    <t>deckname</t>
  </si>
  <si>
    <t>gedämpft</t>
  </si>
  <si>
    <t>aushält</t>
  </si>
  <si>
    <t>populär</t>
  </si>
  <si>
    <t>montagmorgen</t>
  </si>
  <si>
    <t>verdankt</t>
  </si>
  <si>
    <t>füllung</t>
  </si>
  <si>
    <t>bela</t>
  </si>
  <si>
    <t>muhammad</t>
  </si>
  <si>
    <t>abweichung</t>
  </si>
  <si>
    <t>wegzuwerfen</t>
  </si>
  <si>
    <t>beliebter</t>
  </si>
  <si>
    <t>hoffmann</t>
  </si>
  <si>
    <t>angebunden</t>
  </si>
  <si>
    <t>sensible</t>
  </si>
  <si>
    <t>wirksam</t>
  </si>
  <si>
    <t>hinterlass</t>
  </si>
  <si>
    <t>hochschule</t>
  </si>
  <si>
    <t>bartholomew</t>
  </si>
  <si>
    <t>historisch</t>
  </si>
  <si>
    <t>förster</t>
  </si>
  <si>
    <t>low</t>
  </si>
  <si>
    <t>sicherheitsgründen</t>
  </si>
  <si>
    <t>patmore</t>
  </si>
  <si>
    <t>präfekt</t>
  </si>
  <si>
    <t>wortspiel</t>
  </si>
  <si>
    <t>quetschen</t>
  </si>
  <si>
    <t>terra</t>
  </si>
  <si>
    <t>alva</t>
  </si>
  <si>
    <t>verlangten</t>
  </si>
  <si>
    <t>nachhinein</t>
  </si>
  <si>
    <t>verfolgungsjagd</t>
  </si>
  <si>
    <t>durchlassen</t>
  </si>
  <si>
    <t>auskennen</t>
  </si>
  <si>
    <t>zuckerwatte</t>
  </si>
  <si>
    <t>wiedergekommen</t>
  </si>
  <si>
    <t>zugibt</t>
  </si>
  <si>
    <t>cao</t>
  </si>
  <si>
    <t>demütig</t>
  </si>
  <si>
    <t>saw</t>
  </si>
  <si>
    <t>komponist</t>
  </si>
  <si>
    <t>berühmteste</t>
  </si>
  <si>
    <t>emotionaler</t>
  </si>
  <si>
    <t>erschüttern</t>
  </si>
  <si>
    <t>daedalus</t>
  </si>
  <si>
    <t>snob</t>
  </si>
  <si>
    <t>tae</t>
  </si>
  <si>
    <t>zurückkamen</t>
  </si>
  <si>
    <t>grover</t>
  </si>
  <si>
    <t>rettungsboot</t>
  </si>
  <si>
    <t>levi</t>
  </si>
  <si>
    <t>politikern</t>
  </si>
  <si>
    <t>spritzer</t>
  </si>
  <si>
    <t>bevorstehenden</t>
  </si>
  <si>
    <t>blasphemie</t>
  </si>
  <si>
    <t>tintenfisch</t>
  </si>
  <si>
    <t>rocket</t>
  </si>
  <si>
    <t>garnicht</t>
  </si>
  <si>
    <t>gardinen</t>
  </si>
  <si>
    <t>umschauen</t>
  </si>
  <si>
    <t>web</t>
  </si>
  <si>
    <t>direktion</t>
  </si>
  <si>
    <t>intime</t>
  </si>
  <si>
    <t>unvergesslich</t>
  </si>
  <si>
    <t>birnen</t>
  </si>
  <si>
    <t>buche</t>
  </si>
  <si>
    <t>bierchen</t>
  </si>
  <si>
    <t>heiler</t>
  </si>
  <si>
    <t>sündigen</t>
  </si>
  <si>
    <t>gönne</t>
  </si>
  <si>
    <t>untergeschoss</t>
  </si>
  <si>
    <t>medizinmann</t>
  </si>
  <si>
    <t>friends</t>
  </si>
  <si>
    <t>auszureden</t>
  </si>
  <si>
    <t>schnalle</t>
  </si>
  <si>
    <t>kontrollierte</t>
  </si>
  <si>
    <t>frites</t>
  </si>
  <si>
    <t>skizzen</t>
  </si>
  <si>
    <t>jimmys</t>
  </si>
  <si>
    <t>geschwänzt</t>
  </si>
  <si>
    <t>verflixte</t>
  </si>
  <si>
    <t>regent</t>
  </si>
  <si>
    <t>hadley</t>
  </si>
  <si>
    <t>cartman</t>
  </si>
  <si>
    <t>verschlüsselte</t>
  </si>
  <si>
    <t>liebchen</t>
  </si>
  <si>
    <t>django</t>
  </si>
  <si>
    <t>matsch</t>
  </si>
  <si>
    <t>häfen</t>
  </si>
  <si>
    <t>lokomotive</t>
  </si>
  <si>
    <t>frohen</t>
  </si>
  <si>
    <t>erfahrene</t>
  </si>
  <si>
    <t>singles</t>
  </si>
  <si>
    <t>vorübergehende</t>
  </si>
  <si>
    <t>strukturen</t>
  </si>
  <si>
    <t>zen</t>
  </si>
  <si>
    <t>hybrid</t>
  </si>
  <si>
    <t>sprangen</t>
  </si>
  <si>
    <t>voss</t>
  </si>
  <si>
    <t>format</t>
  </si>
  <si>
    <t>emmet</t>
  </si>
  <si>
    <t>pickup</t>
  </si>
  <si>
    <t>dumpfes</t>
  </si>
  <si>
    <t>böden</t>
  </si>
  <si>
    <t>beliebteste</t>
  </si>
  <si>
    <t>zentralen</t>
  </si>
  <si>
    <t>petition</t>
  </si>
  <si>
    <t>silvio</t>
  </si>
  <si>
    <t>reinem</t>
  </si>
  <si>
    <t>besagte</t>
  </si>
  <si>
    <t>beauftragte</t>
  </si>
  <si>
    <t>überwache</t>
  </si>
  <si>
    <t>wähl</t>
  </si>
  <si>
    <t>leipzig</t>
  </si>
  <si>
    <t>lebzeiten</t>
  </si>
  <si>
    <t>donau</t>
  </si>
  <si>
    <t>interviewt</t>
  </si>
  <si>
    <t>brustwarzen</t>
  </si>
  <si>
    <t>sicherheitskameras</t>
  </si>
  <si>
    <t>trenne</t>
  </si>
  <si>
    <t>chevalier</t>
  </si>
  <si>
    <t>frust</t>
  </si>
  <si>
    <t>ertönen</t>
  </si>
  <si>
    <t>ableben</t>
  </si>
  <si>
    <t>kletterte</t>
  </si>
  <si>
    <t>camillo</t>
  </si>
  <si>
    <t>schlürfen</t>
  </si>
  <si>
    <t>wegfliegen</t>
  </si>
  <si>
    <t>hänsel</t>
  </si>
  <si>
    <t>radikalen</t>
  </si>
  <si>
    <t>schatzi</t>
  </si>
  <si>
    <t>zwo</t>
  </si>
  <si>
    <t>bennie</t>
  </si>
  <si>
    <t>ric</t>
  </si>
  <si>
    <t>künftigen</t>
  </si>
  <si>
    <t>passender</t>
  </si>
  <si>
    <t>shuttles</t>
  </si>
  <si>
    <t>gleiches</t>
  </si>
  <si>
    <t>parsons</t>
  </si>
  <si>
    <t>entertainment</t>
  </si>
  <si>
    <t>verbreitete</t>
  </si>
  <si>
    <t>nickel</t>
  </si>
  <si>
    <t>vorgemacht</t>
  </si>
  <si>
    <t>delegation</t>
  </si>
  <si>
    <t>laufend</t>
  </si>
  <si>
    <t>ignoranz</t>
  </si>
  <si>
    <t>christmas</t>
  </si>
  <si>
    <t>eloise</t>
  </si>
  <si>
    <t>müden</t>
  </si>
  <si>
    <t>rizzo</t>
  </si>
  <si>
    <t>patron</t>
  </si>
  <si>
    <t>markenzeichen</t>
  </si>
  <si>
    <t>wiederholte</t>
  </si>
  <si>
    <t>verbitte</t>
  </si>
  <si>
    <t>while</t>
  </si>
  <si>
    <t>wachposten</t>
  </si>
  <si>
    <t>sondereinheit</t>
  </si>
  <si>
    <t>verweilen</t>
  </si>
  <si>
    <t>dampfer</t>
  </si>
  <si>
    <t>portionen</t>
  </si>
  <si>
    <t>renovierung</t>
  </si>
  <si>
    <t>motivieren</t>
  </si>
  <si>
    <t>verhängt</t>
  </si>
  <si>
    <t>kirsten</t>
  </si>
  <si>
    <t>sodbrennen</t>
  </si>
  <si>
    <t>aufforderung</t>
  </si>
  <si>
    <t>wonne</t>
  </si>
  <si>
    <t>derrick</t>
  </si>
  <si>
    <t>ausgleichen</t>
  </si>
  <si>
    <t>totschlagen</t>
  </si>
  <si>
    <t>schlägen</t>
  </si>
  <si>
    <t>bobbi</t>
  </si>
  <si>
    <t>pförtner</t>
  </si>
  <si>
    <t>tiefstem</t>
  </si>
  <si>
    <t>erschwert</t>
  </si>
  <si>
    <t>rin</t>
  </si>
  <si>
    <t>claes</t>
  </si>
  <si>
    <t>kroch</t>
  </si>
  <si>
    <t>befürchtete</t>
  </si>
  <si>
    <t>ki</t>
  </si>
  <si>
    <t>modul</t>
  </si>
  <si>
    <t>crest</t>
  </si>
  <si>
    <t>lichtgeschwindigkeit</t>
  </si>
  <si>
    <t>district</t>
  </si>
  <si>
    <t>verheirateter</t>
  </si>
  <si>
    <t>chilton</t>
  </si>
  <si>
    <t>oak</t>
  </si>
  <si>
    <t>übermütig</t>
  </si>
  <si>
    <t>tofu</t>
  </si>
  <si>
    <t>anzugehen</t>
  </si>
  <si>
    <t>neutrale</t>
  </si>
  <si>
    <t>heulsuse</t>
  </si>
  <si>
    <t>mossad</t>
  </si>
  <si>
    <t>anrecht</t>
  </si>
  <si>
    <t>clifton</t>
  </si>
  <si>
    <t>polnischen</t>
  </si>
  <si>
    <t>dickkopf</t>
  </si>
  <si>
    <t>trauzeugin</t>
  </si>
  <si>
    <t>northern</t>
  </si>
  <si>
    <t>zweihundert</t>
  </si>
  <si>
    <t>stickstoff</t>
  </si>
  <si>
    <t>blitzen</t>
  </si>
  <si>
    <t>roxanne</t>
  </si>
  <si>
    <t>stube</t>
  </si>
  <si>
    <t>infizierte</t>
  </si>
  <si>
    <t>chevron</t>
  </si>
  <si>
    <t>katya</t>
  </si>
  <si>
    <t>dre</t>
  </si>
  <si>
    <t>dwayne</t>
  </si>
  <si>
    <t>schlumpf</t>
  </si>
  <si>
    <t>bundespolizei</t>
  </si>
  <si>
    <t>erwies</t>
  </si>
  <si>
    <t>gezüchtet</t>
  </si>
  <si>
    <t>aufdrängen</t>
  </si>
  <si>
    <t>anhaltspunkte</t>
  </si>
  <si>
    <t>hierüber</t>
  </si>
  <si>
    <t>ablehnt</t>
  </si>
  <si>
    <t>passierschein</t>
  </si>
  <si>
    <t>cécile</t>
  </si>
  <si>
    <t>eulen</t>
  </si>
  <si>
    <t>gewürze</t>
  </si>
  <si>
    <t>versionen</t>
  </si>
  <si>
    <t>startbereit</t>
  </si>
  <si>
    <t>kaffeemaschine</t>
  </si>
  <si>
    <t>rastet</t>
  </si>
  <si>
    <t>georgetown</t>
  </si>
  <si>
    <t>hobson</t>
  </si>
  <si>
    <t>landstraße</t>
  </si>
  <si>
    <t>lazarett</t>
  </si>
  <si>
    <t>eisenkraut</t>
  </si>
  <si>
    <t>thunder</t>
  </si>
  <si>
    <t>elin</t>
  </si>
  <si>
    <t>süsse</t>
  </si>
  <si>
    <t>gegenwärtigen</t>
  </si>
  <si>
    <t>monatlich</t>
  </si>
  <si>
    <t>cordy</t>
  </si>
  <si>
    <t>arabien</t>
  </si>
  <si>
    <t>unbestimmte</t>
  </si>
  <si>
    <t>fitch</t>
  </si>
  <si>
    <t>mathematiker</t>
  </si>
  <si>
    <t>machenschaften</t>
  </si>
  <si>
    <t>zuständigen</t>
  </si>
  <si>
    <t>armselige</t>
  </si>
  <si>
    <t>bekifft</t>
  </si>
  <si>
    <t>obdachloser</t>
  </si>
  <si>
    <t>antonius</t>
  </si>
  <si>
    <t>alibis</t>
  </si>
  <si>
    <t>teuflischen</t>
  </si>
  <si>
    <t>try</t>
  </si>
  <si>
    <t>bestrafe</t>
  </si>
  <si>
    <t>leugnet</t>
  </si>
  <si>
    <t>michaela</t>
  </si>
  <si>
    <t>chiefs</t>
  </si>
  <si>
    <t>weingut</t>
  </si>
  <si>
    <t>geistlichen</t>
  </si>
  <si>
    <t>schubert</t>
  </si>
  <si>
    <t>reibt</t>
  </si>
  <si>
    <t>ungeschützt</t>
  </si>
  <si>
    <t>adaption</t>
  </si>
  <si>
    <t>anspannung</t>
  </si>
  <si>
    <t>ha-ha</t>
  </si>
  <si>
    <t>hehler</t>
  </si>
  <si>
    <t>wirs</t>
  </si>
  <si>
    <t>shen</t>
  </si>
  <si>
    <t>armbrust</t>
  </si>
  <si>
    <t>widerliches</t>
  </si>
  <si>
    <t>aggressive</t>
  </si>
  <si>
    <t>tomorrow</t>
  </si>
  <si>
    <t>bugs</t>
  </si>
  <si>
    <t>gruseligen</t>
  </si>
  <si>
    <t>beleg</t>
  </si>
  <si>
    <t>autodiebstahl</t>
  </si>
  <si>
    <t>skitter</t>
  </si>
  <si>
    <t>ruhst</t>
  </si>
  <si>
    <t>glieder</t>
  </si>
  <si>
    <t>meldeten</t>
  </si>
  <si>
    <t>aii</t>
  </si>
  <si>
    <t>gespuckt</t>
  </si>
  <si>
    <t>narn</t>
  </si>
  <si>
    <t>herumläuft</t>
  </si>
  <si>
    <t>kostenlosen</t>
  </si>
  <si>
    <t>käfige</t>
  </si>
  <si>
    <t>maud</t>
  </si>
  <si>
    <t>eingangstür</t>
  </si>
  <si>
    <t>verweisen</t>
  </si>
  <si>
    <t>kandidiert</t>
  </si>
  <si>
    <t>infarkt</t>
  </si>
  <si>
    <t>tussis</t>
  </si>
  <si>
    <t>kaputtes</t>
  </si>
  <si>
    <t>nicola</t>
  </si>
  <si>
    <t>abbauen</t>
  </si>
  <si>
    <t>hausfrauen</t>
  </si>
  <si>
    <t>dichten</t>
  </si>
  <si>
    <t>exekutiert</t>
  </si>
  <si>
    <t>lösch</t>
  </si>
  <si>
    <t>detektei</t>
  </si>
  <si>
    <t>merle</t>
  </si>
  <si>
    <t>plagt</t>
  </si>
  <si>
    <t>avon</t>
  </si>
  <si>
    <t>egoismus</t>
  </si>
  <si>
    <t>ausgebreitet</t>
  </si>
  <si>
    <t>stéphane</t>
  </si>
  <si>
    <t>weigerst</t>
  </si>
  <si>
    <t>schockieren</t>
  </si>
  <si>
    <t>intensität</t>
  </si>
  <si>
    <t>stapeln</t>
  </si>
  <si>
    <t>überwiegend</t>
  </si>
  <si>
    <t>leave</t>
  </si>
  <si>
    <t>dickerchen</t>
  </si>
  <si>
    <t>ehrliches</t>
  </si>
  <si>
    <t>serviere</t>
  </si>
  <si>
    <t>kulturelle</t>
  </si>
  <si>
    <t>kenia</t>
  </si>
  <si>
    <t>carlson</t>
  </si>
  <si>
    <t>einzusteigen</t>
  </si>
  <si>
    <t>mahoney</t>
  </si>
  <si>
    <t>bezweifele</t>
  </si>
  <si>
    <t>geheimagent</t>
  </si>
  <si>
    <t>aida</t>
  </si>
  <si>
    <t>gebiss</t>
  </si>
  <si>
    <t>diktatur</t>
  </si>
  <si>
    <t>zimperlich</t>
  </si>
  <si>
    <t>städtischen</t>
  </si>
  <si>
    <t>videokamera</t>
  </si>
  <si>
    <t>steche</t>
  </si>
  <si>
    <t>symbolisiert</t>
  </si>
  <si>
    <t>holloway</t>
  </si>
  <si>
    <t>raptor</t>
  </si>
  <si>
    <t>schei</t>
  </si>
  <si>
    <t>arkansas</t>
  </si>
  <si>
    <t>polizeibeamter</t>
  </si>
  <si>
    <t>genützt</t>
  </si>
  <si>
    <t>transmitter</t>
  </si>
  <si>
    <t>taugenichts</t>
  </si>
  <si>
    <t>thorn</t>
  </si>
  <si>
    <t>speedy</t>
  </si>
  <si>
    <t>jürgen</t>
  </si>
  <si>
    <t>wiederbeleben</t>
  </si>
  <si>
    <t>ness</t>
  </si>
  <si>
    <t>vorgesetzte</t>
  </si>
  <si>
    <t>zugute</t>
  </si>
  <si>
    <t>befriedigend</t>
  </si>
  <si>
    <t>trade</t>
  </si>
  <si>
    <t>unterliegen</t>
  </si>
  <si>
    <t>abfackeln</t>
  </si>
  <si>
    <t>verschwundene</t>
  </si>
  <si>
    <t>éch</t>
  </si>
  <si>
    <t>versöhnt</t>
  </si>
  <si>
    <t>gequatscht</t>
  </si>
  <si>
    <t>fänd</t>
  </si>
  <si>
    <t>anmacht</t>
  </si>
  <si>
    <t>blutspuren</t>
  </si>
  <si>
    <t>nachteile</t>
  </si>
  <si>
    <t>rey</t>
  </si>
  <si>
    <t>henne</t>
  </si>
  <si>
    <t>instinkten</t>
  </si>
  <si>
    <t>gegners</t>
  </si>
  <si>
    <t>durchsuchungsbeschluss</t>
  </si>
  <si>
    <t>erhaben</t>
  </si>
  <si>
    <t>hinfort</t>
  </si>
  <si>
    <t>tad</t>
  </si>
  <si>
    <t>babs</t>
  </si>
  <si>
    <t>hatun</t>
  </si>
  <si>
    <t>syndrom</t>
  </si>
  <si>
    <t>schläfchen</t>
  </si>
  <si>
    <t>gewissensbisse</t>
  </si>
  <si>
    <t>hunderttausend</t>
  </si>
  <si>
    <t>idiotische</t>
  </si>
  <si>
    <t>gestillt</t>
  </si>
  <si>
    <t>tansy</t>
  </si>
  <si>
    <t>streuen</t>
  </si>
  <si>
    <t>zusammenpassen</t>
  </si>
  <si>
    <t>selbstmordversuch</t>
  </si>
  <si>
    <t>clarice</t>
  </si>
  <si>
    <t>glee</t>
  </si>
  <si>
    <t>ahmad</t>
  </si>
  <si>
    <t>rausgerutscht</t>
  </si>
  <si>
    <t>abgelöst</t>
  </si>
  <si>
    <t>aa</t>
  </si>
  <si>
    <t>amore</t>
  </si>
  <si>
    <t>röntgenbilder</t>
  </si>
  <si>
    <t>aufgetrieben</t>
  </si>
  <si>
    <t>vancouver</t>
  </si>
  <si>
    <t>unerwünscht</t>
  </si>
  <si>
    <t>popeye</t>
  </si>
  <si>
    <t>smalltalk</t>
  </si>
  <si>
    <t>inhumans</t>
  </si>
  <si>
    <t>hodge</t>
  </si>
  <si>
    <t>niederlagen</t>
  </si>
  <si>
    <t>latinum</t>
  </si>
  <si>
    <t>burrito</t>
  </si>
  <si>
    <t>seelenverwandte</t>
  </si>
  <si>
    <t>hausfriedensbruch</t>
  </si>
  <si>
    <t>putsch</t>
  </si>
  <si>
    <t>serling</t>
  </si>
  <si>
    <t>tao</t>
  </si>
  <si>
    <t>umarmungen</t>
  </si>
  <si>
    <t>states</t>
  </si>
  <si>
    <t>pavillon</t>
  </si>
  <si>
    <t>verirren</t>
  </si>
  <si>
    <t>jährliche</t>
  </si>
  <si>
    <t>willig</t>
  </si>
  <si>
    <t>börsenaufsicht</t>
  </si>
  <si>
    <t>gut.</t>
  </si>
  <si>
    <t>yusuf</t>
  </si>
  <si>
    <t>italienischer</t>
  </si>
  <si>
    <t>beschuldige</t>
  </si>
  <si>
    <t>angeschnallt</t>
  </si>
  <si>
    <t>sioux</t>
  </si>
  <si>
    <t>sägewerk</t>
  </si>
  <si>
    <t>bettina</t>
  </si>
  <si>
    <t>begrenzte</t>
  </si>
  <si>
    <t>zusammensein</t>
  </si>
  <si>
    <t>leibliche</t>
  </si>
  <si>
    <t>kommunistischen</t>
  </si>
  <si>
    <t>sabbat</t>
  </si>
  <si>
    <t>späße</t>
  </si>
  <si>
    <t>unterleib</t>
  </si>
  <si>
    <t>pfefferspray</t>
  </si>
  <si>
    <t>gegenseitigkeit</t>
  </si>
  <si>
    <t>jungchen</t>
  </si>
  <si>
    <t>bestseller</t>
  </si>
  <si>
    <t>bereitest</t>
  </si>
  <si>
    <t>parke</t>
  </si>
  <si>
    <t>gaia</t>
  </si>
  <si>
    <t>gestatte</t>
  </si>
  <si>
    <t>schleich</t>
  </si>
  <si>
    <t>unterbrich</t>
  </si>
  <si>
    <t>pfosten</t>
  </si>
  <si>
    <t>gertrud</t>
  </si>
  <si>
    <t>ekelig</t>
  </si>
  <si>
    <t>roge</t>
  </si>
  <si>
    <t>kolumbus</t>
  </si>
  <si>
    <t>wörtern</t>
  </si>
  <si>
    <t>abgehackt</t>
  </si>
  <si>
    <t>geschleudert</t>
  </si>
  <si>
    <t>holocaust</t>
  </si>
  <si>
    <t>gebenedeit</t>
  </si>
  <si>
    <t>kriegern</t>
  </si>
  <si>
    <t>atwood</t>
  </si>
  <si>
    <t>vereinigt</t>
  </si>
  <si>
    <t>klimpern</t>
  </si>
  <si>
    <t>geeignete</t>
  </si>
  <si>
    <t>unbewusst</t>
  </si>
  <si>
    <t>wusch</t>
  </si>
  <si>
    <t>losen</t>
  </si>
  <si>
    <t>fluggesellschaft</t>
  </si>
  <si>
    <t>clair</t>
  </si>
  <si>
    <t>genen</t>
  </si>
  <si>
    <t>hera</t>
  </si>
  <si>
    <t>einzuholen</t>
  </si>
  <si>
    <t>lebenserhaltung</t>
  </si>
  <si>
    <t>blaze</t>
  </si>
  <si>
    <t>entsprechende</t>
  </si>
  <si>
    <t>bettelt</t>
  </si>
  <si>
    <t>amtszeit</t>
  </si>
  <si>
    <t>schliesslich</t>
  </si>
  <si>
    <t>feierten</t>
  </si>
  <si>
    <t>monterey</t>
  </si>
  <si>
    <t>auswirken</t>
  </si>
  <si>
    <t>waschbären</t>
  </si>
  <si>
    <t>steward</t>
  </si>
  <si>
    <t>fei</t>
  </si>
  <si>
    <t>jeanie</t>
  </si>
  <si>
    <t>erhoffen</t>
  </si>
  <si>
    <t>iv.</t>
  </si>
  <si>
    <t>wirtshaus</t>
  </si>
  <si>
    <t>zollen</t>
  </si>
  <si>
    <t>erdrosselt</t>
  </si>
  <si>
    <t>elisa</t>
  </si>
  <si>
    <t>honolulu</t>
  </si>
  <si>
    <t>dienten</t>
  </si>
  <si>
    <t>dos</t>
  </si>
  <si>
    <t>wohltätigkeit</t>
  </si>
  <si>
    <t>augenblicken</t>
  </si>
  <si>
    <t>schillinger</t>
  </si>
  <si>
    <t>heide</t>
  </si>
  <si>
    <t>schämte</t>
  </si>
  <si>
    <t>geritzt</t>
  </si>
  <si>
    <t>eisenhower</t>
  </si>
  <si>
    <t>mäusen</t>
  </si>
  <si>
    <t>sozialamt</t>
  </si>
  <si>
    <t>krächzen</t>
  </si>
  <si>
    <t>clave</t>
  </si>
  <si>
    <t>arrangiere</t>
  </si>
  <si>
    <t>weisse</t>
  </si>
  <si>
    <t>verringert</t>
  </si>
  <si>
    <t>klapsmühle</t>
  </si>
  <si>
    <t>tosh</t>
  </si>
  <si>
    <t>coffee</t>
  </si>
  <si>
    <t>quarter</t>
  </si>
  <si>
    <t>nachfahren</t>
  </si>
  <si>
    <t>pferdes</t>
  </si>
  <si>
    <t>geschwiegen</t>
  </si>
  <si>
    <t>qui</t>
  </si>
  <si>
    <t>safari</t>
  </si>
  <si>
    <t>todmüde</t>
  </si>
  <si>
    <t>doktors</t>
  </si>
  <si>
    <t>inbegriffen</t>
  </si>
  <si>
    <t>vollzeit</t>
  </si>
  <si>
    <t>saturn</t>
  </si>
  <si>
    <t>rafe</t>
  </si>
  <si>
    <t>bane</t>
  </si>
  <si>
    <t>berühr</t>
  </si>
  <si>
    <t>wegsperren</t>
  </si>
  <si>
    <t>janes</t>
  </si>
  <si>
    <t>wachhund</t>
  </si>
  <si>
    <t>vorschule</t>
  </si>
  <si>
    <t>horne</t>
  </si>
  <si>
    <t>angetrauten</t>
  </si>
  <si>
    <t>heule</t>
  </si>
  <si>
    <t>gebettelt</t>
  </si>
  <si>
    <t>einwand</t>
  </si>
  <si>
    <t>woo</t>
  </si>
  <si>
    <t>argumentieren</t>
  </si>
  <si>
    <t>telefonierte</t>
  </si>
  <si>
    <t>aroma</t>
  </si>
  <si>
    <t>geller</t>
  </si>
  <si>
    <t>zirpen</t>
  </si>
  <si>
    <t>vorausgesagt</t>
  </si>
  <si>
    <t>protestanten</t>
  </si>
  <si>
    <t>masern</t>
  </si>
  <si>
    <t>gardens</t>
  </si>
  <si>
    <t>lion</t>
  </si>
  <si>
    <t>stichwunden</t>
  </si>
  <si>
    <t>hiroshi</t>
  </si>
  <si>
    <t>erdbeere</t>
  </si>
  <si>
    <t>marshalls</t>
  </si>
  <si>
    <t>beleidige</t>
  </si>
  <si>
    <t>schnattern</t>
  </si>
  <si>
    <t>copperfield</t>
  </si>
  <si>
    <t>treibende</t>
  </si>
  <si>
    <t>bzw.</t>
  </si>
  <si>
    <t>hämisch</t>
  </si>
  <si>
    <t>moritz</t>
  </si>
  <si>
    <t>auszieht</t>
  </si>
  <si>
    <t>glückseligkeit</t>
  </si>
  <si>
    <t>mischst</t>
  </si>
  <si>
    <t>historischer</t>
  </si>
  <si>
    <t>schwedischen</t>
  </si>
  <si>
    <t>disqualifiziert</t>
  </si>
  <si>
    <t>managerin</t>
  </si>
  <si>
    <t>schlaflosigkeit</t>
  </si>
  <si>
    <t>anbeißen</t>
  </si>
  <si>
    <t>wöchentlich</t>
  </si>
  <si>
    <t>anspricht</t>
  </si>
  <si>
    <t>sharona</t>
  </si>
  <si>
    <t>tea</t>
  </si>
  <si>
    <t>doña</t>
  </si>
  <si>
    <t>außenteam</t>
  </si>
  <si>
    <t>gieß</t>
  </si>
  <si>
    <t>flowers</t>
  </si>
  <si>
    <t>kämpferin</t>
  </si>
  <si>
    <t>zimmernummer</t>
  </si>
  <si>
    <t>castor</t>
  </si>
  <si>
    <t>chefarzt</t>
  </si>
  <si>
    <t>vakuum</t>
  </si>
  <si>
    <t>bret</t>
  </si>
  <si>
    <t>übernahmen</t>
  </si>
  <si>
    <t>abwechselnd</t>
  </si>
  <si>
    <t>garnichts</t>
  </si>
  <si>
    <t>fortan</t>
  </si>
  <si>
    <t>säen</t>
  </si>
  <si>
    <t>bekleidet</t>
  </si>
  <si>
    <t>geflüstert</t>
  </si>
  <si>
    <t>gespött</t>
  </si>
  <si>
    <t>drovers</t>
  </si>
  <si>
    <t>metal</t>
  </si>
  <si>
    <t>geschädigt</t>
  </si>
  <si>
    <t>memme</t>
  </si>
  <si>
    <t>wrestling</t>
  </si>
  <si>
    <t>organische</t>
  </si>
  <si>
    <t>bens</t>
  </si>
  <si>
    <t>enid</t>
  </si>
  <si>
    <t>ozeans</t>
  </si>
  <si>
    <t>vermessen</t>
  </si>
  <si>
    <t>abhängigkeit</t>
  </si>
  <si>
    <t>steg</t>
  </si>
  <si>
    <t>zuruck</t>
  </si>
  <si>
    <t>nützlicher</t>
  </si>
  <si>
    <t>dörfern</t>
  </si>
  <si>
    <t>kaktus</t>
  </si>
  <si>
    <t>abräumen</t>
  </si>
  <si>
    <t>krummen</t>
  </si>
  <si>
    <t>min.</t>
  </si>
  <si>
    <t>ruine</t>
  </si>
  <si>
    <t>mähen</t>
  </si>
  <si>
    <t>soho</t>
  </si>
  <si>
    <t>bolt</t>
  </si>
  <si>
    <t>sprechanlage</t>
  </si>
  <si>
    <t>einzuwenden</t>
  </si>
  <si>
    <t>verdrückt</t>
  </si>
  <si>
    <t>horoskop</t>
  </si>
  <si>
    <t>verspüre</t>
  </si>
  <si>
    <t>miauen</t>
  </si>
  <si>
    <t>irma</t>
  </si>
  <si>
    <t>skateboard</t>
  </si>
  <si>
    <t>arterien</t>
  </si>
  <si>
    <t>auffordern</t>
  </si>
  <si>
    <t>olé</t>
  </si>
  <si>
    <t>birkhoff</t>
  </si>
  <si>
    <t>grollt</t>
  </si>
  <si>
    <t>freundlicherweise</t>
  </si>
  <si>
    <t>erotische</t>
  </si>
  <si>
    <t>intelligenten</t>
  </si>
  <si>
    <t>alaikum</t>
  </si>
  <si>
    <t>costello</t>
  </si>
  <si>
    <t>kaputter</t>
  </si>
  <si>
    <t>purple</t>
  </si>
  <si>
    <t>erhob</t>
  </si>
  <si>
    <t>rar</t>
  </si>
  <si>
    <t>verbleib</t>
  </si>
  <si>
    <t>begriffe</t>
  </si>
  <si>
    <t>elektromagnetische</t>
  </si>
  <si>
    <t>ausrutscher</t>
  </si>
  <si>
    <t>arg</t>
  </si>
  <si>
    <t>agenda</t>
  </si>
  <si>
    <t>trennte</t>
  </si>
  <si>
    <t>vollkommene</t>
  </si>
  <si>
    <t>englisches</t>
  </si>
  <si>
    <t>forum</t>
  </si>
  <si>
    <t>hierzubleiben</t>
  </si>
  <si>
    <t>zuleide</t>
  </si>
  <si>
    <t>quo</t>
  </si>
  <si>
    <t>letzen</t>
  </si>
  <si>
    <t>aufkreuzt</t>
  </si>
  <si>
    <t>ergründen</t>
  </si>
  <si>
    <t>zahnseide</t>
  </si>
  <si>
    <t>brände</t>
  </si>
  <si>
    <t>japanern</t>
  </si>
  <si>
    <t>ziffern</t>
  </si>
  <si>
    <t>delfin</t>
  </si>
  <si>
    <t>mußten</t>
  </si>
  <si>
    <t>zwanziger</t>
  </si>
  <si>
    <t>lockere</t>
  </si>
  <si>
    <t>komponiert</t>
  </si>
  <si>
    <t>ipad</t>
  </si>
  <si>
    <t>linse</t>
  </si>
  <si>
    <t>eingesehen</t>
  </si>
  <si>
    <t>stellvertretenden</t>
  </si>
  <si>
    <t>wog</t>
  </si>
  <si>
    <t>ferngesehen</t>
  </si>
  <si>
    <t>genaueres</t>
  </si>
  <si>
    <t>ehrwürdige</t>
  </si>
  <si>
    <t>jang</t>
  </si>
  <si>
    <t>intellekt</t>
  </si>
  <si>
    <t>gestrickt</t>
  </si>
  <si>
    <t>nackter</t>
  </si>
  <si>
    <t>schmeichelt</t>
  </si>
  <si>
    <t>smokey</t>
  </si>
  <si>
    <t>essenszeit</t>
  </si>
  <si>
    <t>verdeckten</t>
  </si>
  <si>
    <t>another</t>
  </si>
  <si>
    <t>schwartz</t>
  </si>
  <si>
    <t>cannes</t>
  </si>
  <si>
    <t>bauarbeiten</t>
  </si>
  <si>
    <t>irrsinnig</t>
  </si>
  <si>
    <t>gehindert</t>
  </si>
  <si>
    <t>cid</t>
  </si>
  <si>
    <t>wexler</t>
  </si>
  <si>
    <t>crassus</t>
  </si>
  <si>
    <t>antikörper</t>
  </si>
  <si>
    <t>stellungen</t>
  </si>
  <si>
    <t>living</t>
  </si>
  <si>
    <t>unterliegt</t>
  </si>
  <si>
    <t>entfallen</t>
  </si>
  <si>
    <t>camden</t>
  </si>
  <si>
    <t>nil</t>
  </si>
  <si>
    <t>durchgestanden</t>
  </si>
  <si>
    <t>erlebten</t>
  </si>
  <si>
    <t>langt</t>
  </si>
  <si>
    <t>metallisches</t>
  </si>
  <si>
    <t>gesandten</t>
  </si>
  <si>
    <t>verwaltet</t>
  </si>
  <si>
    <t>rumzuhängen</t>
  </si>
  <si>
    <t>verbände</t>
  </si>
  <si>
    <t>pritchard</t>
  </si>
  <si>
    <t>florian</t>
  </si>
  <si>
    <t>stripclub</t>
  </si>
  <si>
    <t>unterschätze</t>
  </si>
  <si>
    <t>bediensteten</t>
  </si>
  <si>
    <t>schöpft</t>
  </si>
  <si>
    <t>amour</t>
  </si>
  <si>
    <t>regele</t>
  </si>
  <si>
    <t>lowry</t>
  </si>
  <si>
    <t>zusammensetzung</t>
  </si>
  <si>
    <t>hintergedanken</t>
  </si>
  <si>
    <t>intellektuellen</t>
  </si>
  <si>
    <t>dekorieren</t>
  </si>
  <si>
    <t>brandi</t>
  </si>
  <si>
    <t>religiöser</t>
  </si>
  <si>
    <t>minderheit</t>
  </si>
  <si>
    <t>strong</t>
  </si>
  <si>
    <t>string</t>
  </si>
  <si>
    <t>voraussetzung</t>
  </si>
  <si>
    <t>ruthie</t>
  </si>
  <si>
    <t>zoff</t>
  </si>
  <si>
    <t>shore</t>
  </si>
  <si>
    <t>scheusal</t>
  </si>
  <si>
    <t>hinterlegt</t>
  </si>
  <si>
    <t>zusammengekommen</t>
  </si>
  <si>
    <t>draufgegangen</t>
  </si>
  <si>
    <t>mans</t>
  </si>
  <si>
    <t>schnallt</t>
  </si>
  <si>
    <t>teen</t>
  </si>
  <si>
    <t>gesichtserkennung</t>
  </si>
  <si>
    <t>zeitreise</t>
  </si>
  <si>
    <t>begründet</t>
  </si>
  <si>
    <t>gestreift</t>
  </si>
  <si>
    <t>rourke</t>
  </si>
  <si>
    <t>ungewissheit</t>
  </si>
  <si>
    <t>zurückzuhalten</t>
  </si>
  <si>
    <t>anwesende</t>
  </si>
  <si>
    <t>harfe</t>
  </si>
  <si>
    <t>konzentrierst</t>
  </si>
  <si>
    <t>goldstücke</t>
  </si>
  <si>
    <t>macker</t>
  </si>
  <si>
    <t>tappen</t>
  </si>
  <si>
    <t>rechtmäßige</t>
  </si>
  <si>
    <t>durchzugehen</t>
  </si>
  <si>
    <t>bräuchtest</t>
  </si>
  <si>
    <t>doktoren</t>
  </si>
  <si>
    <t>effektiver</t>
  </si>
  <si>
    <t>runtergekommen</t>
  </si>
  <si>
    <t>herholen</t>
  </si>
  <si>
    <t>violine</t>
  </si>
  <si>
    <t>künftige</t>
  </si>
  <si>
    <t>fallt</t>
  </si>
  <si>
    <t>devereaux</t>
  </si>
  <si>
    <t>weitergemacht</t>
  </si>
  <si>
    <t>recep</t>
  </si>
  <si>
    <t>raja</t>
  </si>
  <si>
    <t>fortgegangen</t>
  </si>
  <si>
    <t>hide</t>
  </si>
  <si>
    <t>gutheißen</t>
  </si>
  <si>
    <t>kriegsheld</t>
  </si>
  <si>
    <t>ministerin</t>
  </si>
  <si>
    <t>vorwahl</t>
  </si>
  <si>
    <t>eroberer</t>
  </si>
  <si>
    <t>verführung</t>
  </si>
  <si>
    <t>wegschmeißen</t>
  </si>
  <si>
    <t>s.t.a.r.</t>
  </si>
  <si>
    <t>oberkommando</t>
  </si>
  <si>
    <t>vereinbarten</t>
  </si>
  <si>
    <t>verkackt</t>
  </si>
  <si>
    <t>hauptkommissar</t>
  </si>
  <si>
    <t>zellenblock</t>
  </si>
  <si>
    <t>füllte</t>
  </si>
  <si>
    <t>schlachter</t>
  </si>
  <si>
    <t>nabelschnur</t>
  </si>
  <si>
    <t>kritische</t>
  </si>
  <si>
    <t>jing</t>
  </si>
  <si>
    <t>unschön</t>
  </si>
  <si>
    <t>dauerhafte</t>
  </si>
  <si>
    <t>nieten</t>
  </si>
  <si>
    <t>ermessen</t>
  </si>
  <si>
    <t>jesses</t>
  </si>
  <si>
    <t>titte</t>
  </si>
  <si>
    <t>auslaufen</t>
  </si>
  <si>
    <t>erbt</t>
  </si>
  <si>
    <t>ohhh</t>
  </si>
  <si>
    <t>eingeschleust</t>
  </si>
  <si>
    <t>wegnimmt</t>
  </si>
  <si>
    <t>visite</t>
  </si>
  <si>
    <t>provokation</t>
  </si>
  <si>
    <t>gören</t>
  </si>
  <si>
    <t>spezieller</t>
  </si>
  <si>
    <t>lieblinge</t>
  </si>
  <si>
    <t>erwärmung</t>
  </si>
  <si>
    <t>waller</t>
  </si>
  <si>
    <t>justizminister</t>
  </si>
  <si>
    <t>sandalen</t>
  </si>
  <si>
    <t>zurückgelegt</t>
  </si>
  <si>
    <t>hineinziehen</t>
  </si>
  <si>
    <t>yves</t>
  </si>
  <si>
    <t>doppeltes</t>
  </si>
  <si>
    <t>schmarotzer</t>
  </si>
  <si>
    <t>frida</t>
  </si>
  <si>
    <t>massenhaft</t>
  </si>
  <si>
    <t>vorzutäuschen</t>
  </si>
  <si>
    <t>bohannon</t>
  </si>
  <si>
    <t>cochran</t>
  </si>
  <si>
    <t>showgeschäft</t>
  </si>
  <si>
    <t>amandas</t>
  </si>
  <si>
    <t>fredrik</t>
  </si>
  <si>
    <t>hochgeladen</t>
  </si>
  <si>
    <t>festessen</t>
  </si>
  <si>
    <t>gekürzt</t>
  </si>
  <si>
    <t>vergnügungspark</t>
  </si>
  <si>
    <t>gestaltet</t>
  </si>
  <si>
    <t>hardison</t>
  </si>
  <si>
    <t>anstoß</t>
  </si>
  <si>
    <t>generatoren</t>
  </si>
  <si>
    <t>mobiltelefon</t>
  </si>
  <si>
    <t>gustavo</t>
  </si>
  <si>
    <t>eingewilligt</t>
  </si>
  <si>
    <t>seeleute</t>
  </si>
  <si>
    <t>sättigung</t>
  </si>
  <si>
    <t>rütteln</t>
  </si>
  <si>
    <t>hinausgehen</t>
  </si>
  <si>
    <t>hiesige</t>
  </si>
  <si>
    <t>ergib</t>
  </si>
  <si>
    <t>bösartige</t>
  </si>
  <si>
    <t>bäng</t>
  </si>
  <si>
    <t>orpheus</t>
  </si>
  <si>
    <t>aufzulösen</t>
  </si>
  <si>
    <t>verstärker</t>
  </si>
  <si>
    <t>umkleideraum</t>
  </si>
  <si>
    <t>puzzles</t>
  </si>
  <si>
    <t>spießig</t>
  </si>
  <si>
    <t>sparrow</t>
  </si>
  <si>
    <t>großzügiger</t>
  </si>
  <si>
    <t>buchstabiert</t>
  </si>
  <si>
    <t>infiltrieren</t>
  </si>
  <si>
    <t>gaga</t>
  </si>
  <si>
    <t>miterleben</t>
  </si>
  <si>
    <t>aufsichtsrat</t>
  </si>
  <si>
    <t>salzwasser</t>
  </si>
  <si>
    <t>matheson</t>
  </si>
  <si>
    <t>colleges</t>
  </si>
  <si>
    <t>sana</t>
  </si>
  <si>
    <t>ralf</t>
  </si>
  <si>
    <t>schwärmen</t>
  </si>
  <si>
    <t>geleiten</t>
  </si>
  <si>
    <t>tach</t>
  </si>
  <si>
    <t>stehend</t>
  </si>
  <si>
    <t>schrotthaufen</t>
  </si>
  <si>
    <t>schneien</t>
  </si>
  <si>
    <t>trikot</t>
  </si>
  <si>
    <t>siehste</t>
  </si>
  <si>
    <t>gnädigste</t>
  </si>
  <si>
    <t>autogramme</t>
  </si>
  <si>
    <t>herauszufordern</t>
  </si>
  <si>
    <t>feeling</t>
  </si>
  <si>
    <t>suspendierung</t>
  </si>
  <si>
    <t>lasten</t>
  </si>
  <si>
    <t>triebwerk</t>
  </si>
  <si>
    <t>sold</t>
  </si>
  <si>
    <t>bowen</t>
  </si>
  <si>
    <t>kidnapping</t>
  </si>
  <si>
    <t>wartung</t>
  </si>
  <si>
    <t>endgültigen</t>
  </si>
  <si>
    <t>maskierte</t>
  </si>
  <si>
    <t>faulpelz</t>
  </si>
  <si>
    <t>spaßen</t>
  </si>
  <si>
    <t>gewässern</t>
  </si>
  <si>
    <t>katia</t>
  </si>
  <si>
    <t>marisa</t>
  </si>
  <si>
    <t>bellheim</t>
  </si>
  <si>
    <t>zusammengesetzt</t>
  </si>
  <si>
    <t>surfer</t>
  </si>
  <si>
    <t>abzuwarten</t>
  </si>
  <si>
    <t>geeigneten</t>
  </si>
  <si>
    <t>vorhersehen</t>
  </si>
  <si>
    <t>schwindet</t>
  </si>
  <si>
    <t>anschaue</t>
  </si>
  <si>
    <t>kittchen</t>
  </si>
  <si>
    <t>einsturz</t>
  </si>
  <si>
    <t>blöcke</t>
  </si>
  <si>
    <t>verehre</t>
  </si>
  <si>
    <t>flo</t>
  </si>
  <si>
    <t>verbreitung</t>
  </si>
  <si>
    <t>eidechse</t>
  </si>
  <si>
    <t>rays</t>
  </si>
  <si>
    <t>vertuschung</t>
  </si>
  <si>
    <t>wegkommt</t>
  </si>
  <si>
    <t>vollziehen</t>
  </si>
  <si>
    <t>übergelaufen</t>
  </si>
  <si>
    <t>durchsickern</t>
  </si>
  <si>
    <t>schädlich</t>
  </si>
  <si>
    <t>benehme</t>
  </si>
  <si>
    <t>jeher</t>
  </si>
  <si>
    <t>vorwarnen</t>
  </si>
  <si>
    <t>cheerleaderin</t>
  </si>
  <si>
    <t>durchschnittliche</t>
  </si>
  <si>
    <t>trager</t>
  </si>
  <si>
    <t>flores</t>
  </si>
  <si>
    <t>straftäter</t>
  </si>
  <si>
    <t>wußten</t>
  </si>
  <si>
    <t>amazonas</t>
  </si>
  <si>
    <t>gerichtsdiener</t>
  </si>
  <si>
    <t>konkrete</t>
  </si>
  <si>
    <t>breiter</t>
  </si>
  <si>
    <t>mata</t>
  </si>
  <si>
    <t>zaubertrick</t>
  </si>
  <si>
    <t>arbeitslosigkeit</t>
  </si>
  <si>
    <t>weihwasser</t>
  </si>
  <si>
    <t>krepiert</t>
  </si>
  <si>
    <t>willenskraft</t>
  </si>
  <si>
    <t>anrichtet</t>
  </si>
  <si>
    <t>zahm</t>
  </si>
  <si>
    <t>bartlett</t>
  </si>
  <si>
    <t>klebrig</t>
  </si>
  <si>
    <t>rumfahren</t>
  </si>
  <si>
    <t>abrechnen</t>
  </si>
  <si>
    <t>ausbluten</t>
  </si>
  <si>
    <t>records</t>
  </si>
  <si>
    <t>vo</t>
  </si>
  <si>
    <t>wörtchen</t>
  </si>
  <si>
    <t>faber</t>
  </si>
  <si>
    <t>nutzlose</t>
  </si>
  <si>
    <t>abnimmt</t>
  </si>
  <si>
    <t>allererste</t>
  </si>
  <si>
    <t>langfristig</t>
  </si>
  <si>
    <t>kessler</t>
  </si>
  <si>
    <t>pipeline</t>
  </si>
  <si>
    <t>predigten</t>
  </si>
  <si>
    <t>prügelt</t>
  </si>
  <si>
    <t>taler</t>
  </si>
  <si>
    <t>thermometer</t>
  </si>
  <si>
    <t>gehaltsliste</t>
  </si>
  <si>
    <t>feuerholz</t>
  </si>
  <si>
    <t>vulkanische</t>
  </si>
  <si>
    <t>verrückteste</t>
  </si>
  <si>
    <t>j.p.</t>
  </si>
  <si>
    <t>fruchtblase</t>
  </si>
  <si>
    <t>wehrlos</t>
  </si>
  <si>
    <t>nationalhymne</t>
  </si>
  <si>
    <t>mccabe</t>
  </si>
  <si>
    <t>durftest</t>
  </si>
  <si>
    <t>bindungen</t>
  </si>
  <si>
    <t>quartal</t>
  </si>
  <si>
    <t>kitchen</t>
  </si>
  <si>
    <t>leckerbissen</t>
  </si>
  <si>
    <t>beliebte</t>
  </si>
  <si>
    <t>guru</t>
  </si>
  <si>
    <t>rommel</t>
  </si>
  <si>
    <t>unabhängigen</t>
  </si>
  <si>
    <t>wirkliches</t>
  </si>
  <si>
    <t>hassten</t>
  </si>
  <si>
    <t>wegräumen</t>
  </si>
  <si>
    <t>klinische</t>
  </si>
  <si>
    <t>sees</t>
  </si>
  <si>
    <t>isles</t>
  </si>
  <si>
    <t>merrick</t>
  </si>
  <si>
    <t>wimper</t>
  </si>
  <si>
    <t>moreau</t>
  </si>
  <si>
    <t>minimal</t>
  </si>
  <si>
    <t>heimatschutz</t>
  </si>
  <si>
    <t>weiterlaufen</t>
  </si>
  <si>
    <t>partisanen</t>
  </si>
  <si>
    <t>İbrahim</t>
  </si>
  <si>
    <t>bourne</t>
  </si>
  <si>
    <t>mistvieh</t>
  </si>
  <si>
    <t>lundy</t>
  </si>
  <si>
    <t>kalinda</t>
  </si>
  <si>
    <t>zylon</t>
  </si>
  <si>
    <t>intellektuelle</t>
  </si>
  <si>
    <t>großzügiges</t>
  </si>
  <si>
    <t>riesenfehler</t>
  </si>
  <si>
    <t>ulrich</t>
  </si>
  <si>
    <t>pfote</t>
  </si>
  <si>
    <t>vornehme</t>
  </si>
  <si>
    <t>symbolisch</t>
  </si>
  <si>
    <t>berüchtigte</t>
  </si>
  <si>
    <t>lutscht</t>
  </si>
  <si>
    <t>reib</t>
  </si>
  <si>
    <t>divine</t>
  </si>
  <si>
    <t>rome</t>
  </si>
  <si>
    <t>schlafend</t>
  </si>
  <si>
    <t>mitnehme</t>
  </si>
  <si>
    <t>absaugen</t>
  </si>
  <si>
    <t>grundlegende</t>
  </si>
  <si>
    <t>untersuchungshaft</t>
  </si>
  <si>
    <t>gesimst</t>
  </si>
  <si>
    <t>jacksons</t>
  </si>
  <si>
    <t>scharfer</t>
  </si>
  <si>
    <t>gemischte</t>
  </si>
  <si>
    <t>nachgegeben</t>
  </si>
  <si>
    <t>klassisches</t>
  </si>
  <si>
    <t>klapse</t>
  </si>
  <si>
    <t>totenwache</t>
  </si>
  <si>
    <t>dreams</t>
  </si>
  <si>
    <t>schliche</t>
  </si>
  <si>
    <t>ausgespielt</t>
  </si>
  <si>
    <t>ungewiss</t>
  </si>
  <si>
    <t>feger</t>
  </si>
  <si>
    <t>äußeres</t>
  </si>
  <si>
    <t>giuseppe</t>
  </si>
  <si>
    <t>hauptdarsteller</t>
  </si>
  <si>
    <t>ungeduld</t>
  </si>
  <si>
    <t>glatter</t>
  </si>
  <si>
    <t>lieblich</t>
  </si>
  <si>
    <t>redding</t>
  </si>
  <si>
    <t>chekov</t>
  </si>
  <si>
    <t>ausbreitet</t>
  </si>
  <si>
    <t>eilmeldung</t>
  </si>
  <si>
    <t>menschenrechte</t>
  </si>
  <si>
    <t>ausgerottet</t>
  </si>
  <si>
    <t>häppchen</t>
  </si>
  <si>
    <t>verrücktheit</t>
  </si>
  <si>
    <t>hinterhältige</t>
  </si>
  <si>
    <t>schwerhörig</t>
  </si>
  <si>
    <t>chemikalie</t>
  </si>
  <si>
    <t>spieluhr</t>
  </si>
  <si>
    <t>übereinander</t>
  </si>
  <si>
    <t>empfehlungsschreiben</t>
  </si>
  <si>
    <t>verzweifelter</t>
  </si>
  <si>
    <t>malia</t>
  </si>
  <si>
    <t>zeitig</t>
  </si>
  <si>
    <t>gilligan</t>
  </si>
  <si>
    <t>hingeben</t>
  </si>
  <si>
    <t>abhaust</t>
  </si>
  <si>
    <t>rechtliche</t>
  </si>
  <si>
    <t>spaziergänge</t>
  </si>
  <si>
    <t>färbt</t>
  </si>
  <si>
    <t>statistisch</t>
  </si>
  <si>
    <t>schleimer</t>
  </si>
  <si>
    <t>aufzubrechen</t>
  </si>
  <si>
    <t>lederjacke</t>
  </si>
  <si>
    <t>mittagszeit</t>
  </si>
  <si>
    <t>zerotollerance</t>
  </si>
  <si>
    <t>lautstärke</t>
  </si>
  <si>
    <t>ermüdend</t>
  </si>
  <si>
    <t>gratuliert</t>
  </si>
  <si>
    <t>windpocken</t>
  </si>
  <si>
    <t>sternschnuppe</t>
  </si>
  <si>
    <t>bigfoot</t>
  </si>
  <si>
    <t>chateau</t>
  </si>
  <si>
    <t>postfach</t>
  </si>
  <si>
    <t>verfällt</t>
  </si>
  <si>
    <t>schaltete</t>
  </si>
  <si>
    <t>schleuse</t>
  </si>
  <si>
    <t>glatte</t>
  </si>
  <si>
    <t>kommende</t>
  </si>
  <si>
    <t>lavinia</t>
  </si>
  <si>
    <t>ehrenwerten</t>
  </si>
  <si>
    <t>joffrey</t>
  </si>
  <si>
    <t>feds</t>
  </si>
  <si>
    <t>hildy</t>
  </si>
  <si>
    <t>millers</t>
  </si>
  <si>
    <t>id</t>
  </si>
  <si>
    <t>prozesse</t>
  </si>
  <si>
    <t>abc</t>
  </si>
  <si>
    <t>geschüttet</t>
  </si>
  <si>
    <t>köstliche</t>
  </si>
  <si>
    <t>benötigte</t>
  </si>
  <si>
    <t>staten</t>
  </si>
  <si>
    <t>späteren</t>
  </si>
  <si>
    <t>plattenspieler</t>
  </si>
  <si>
    <t>wiederzufinden</t>
  </si>
  <si>
    <t>tripper</t>
  </si>
  <si>
    <t>bedeutenden</t>
  </si>
  <si>
    <t>staatssekretär</t>
  </si>
  <si>
    <t>übrige</t>
  </si>
  <si>
    <t>demenz</t>
  </si>
  <si>
    <t>wartezeit</t>
  </si>
  <si>
    <t>namensschild</t>
  </si>
  <si>
    <t>psychose</t>
  </si>
  <si>
    <t>lallt</t>
  </si>
  <si>
    <t>flemming</t>
  </si>
  <si>
    <t>verschlimmern</t>
  </si>
  <si>
    <t>kruste</t>
  </si>
  <si>
    <t>blutproben</t>
  </si>
  <si>
    <t>guerrero</t>
  </si>
  <si>
    <t>blinker</t>
  </si>
  <si>
    <t>alk</t>
  </si>
  <si>
    <t>diesjährigen</t>
  </si>
  <si>
    <t>verliebst</t>
  </si>
  <si>
    <t>jemen</t>
  </si>
  <si>
    <t>propeller</t>
  </si>
  <si>
    <t>abzusagen</t>
  </si>
  <si>
    <t>spendiere</t>
  </si>
  <si>
    <t>flachen</t>
  </si>
  <si>
    <t>begutachten</t>
  </si>
  <si>
    <t>empor</t>
  </si>
  <si>
    <t>santino</t>
  </si>
  <si>
    <t>garza</t>
  </si>
  <si>
    <t>bescheidener</t>
  </si>
  <si>
    <t>stützt</t>
  </si>
  <si>
    <t>lebensmittelvergiftung</t>
  </si>
  <si>
    <t>kanadischen</t>
  </si>
  <si>
    <t>orient</t>
  </si>
  <si>
    <t>vizepräsidentin</t>
  </si>
  <si>
    <t>netze</t>
  </si>
  <si>
    <t>hierbehalten</t>
  </si>
  <si>
    <t>unterbesetzt</t>
  </si>
  <si>
    <t>fleisches</t>
  </si>
  <si>
    <t>riskierte</t>
  </si>
  <si>
    <t>ehemals</t>
  </si>
  <si>
    <t>anzuschreien</t>
  </si>
  <si>
    <t>schiene</t>
  </si>
  <si>
    <t>vogue</t>
  </si>
  <si>
    <t>auseinandernehmen</t>
  </si>
  <si>
    <t>cruise</t>
  </si>
  <si>
    <t>merry</t>
  </si>
  <si>
    <t>selena</t>
  </si>
  <si>
    <t>einzuziehen</t>
  </si>
  <si>
    <t>trompetet</t>
  </si>
  <si>
    <t>schießereien</t>
  </si>
  <si>
    <t>una</t>
  </si>
  <si>
    <t>victory</t>
  </si>
  <si>
    <t>balg</t>
  </si>
  <si>
    <t>zeigefinger</t>
  </si>
  <si>
    <t>unterstehen</t>
  </si>
  <si>
    <t>waffel</t>
  </si>
  <si>
    <t>panikattacke</t>
  </si>
  <si>
    <t>eingeäschert</t>
  </si>
  <si>
    <t>kampflos</t>
  </si>
  <si>
    <t>genfer</t>
  </si>
  <si>
    <t>kato</t>
  </si>
  <si>
    <t>forensische</t>
  </si>
  <si>
    <t>unzerstörbar</t>
  </si>
  <si>
    <t>miterlebt</t>
  </si>
  <si>
    <t>kinderheim</t>
  </si>
  <si>
    <t>tyrell</t>
  </si>
  <si>
    <t>bethlehem</t>
  </si>
  <si>
    <t>schutzlos</t>
  </si>
  <si>
    <t>technisches</t>
  </si>
  <si>
    <t>tendenz</t>
  </si>
  <si>
    <t>siehts</t>
  </si>
  <si>
    <t>fürchteten</t>
  </si>
  <si>
    <t>uhura</t>
  </si>
  <si>
    <t>entschloss</t>
  </si>
  <si>
    <t>beruflichen</t>
  </si>
  <si>
    <t>muttertag</t>
  </si>
  <si>
    <t>orgelmusik</t>
  </si>
  <si>
    <t>aktionäre</t>
  </si>
  <si>
    <t>arthurs</t>
  </si>
  <si>
    <t>ausgewichen</t>
  </si>
  <si>
    <t>adebisi</t>
  </si>
  <si>
    <t>gotta</t>
  </si>
  <si>
    <t>minenfeld</t>
  </si>
  <si>
    <t>gewählte</t>
  </si>
  <si>
    <t>kilogramm</t>
  </si>
  <si>
    <t>paragraph</t>
  </si>
  <si>
    <t>irrational</t>
  </si>
  <si>
    <t>schulabschluss</t>
  </si>
  <si>
    <t>eureka</t>
  </si>
  <si>
    <t>ergaben</t>
  </si>
  <si>
    <t>ziggy</t>
  </si>
  <si>
    <t>sylar</t>
  </si>
  <si>
    <t>festgebunden</t>
  </si>
  <si>
    <t>gul</t>
  </si>
  <si>
    <t>zügig</t>
  </si>
  <si>
    <t>hochverrats</t>
  </si>
  <si>
    <t>schwebte</t>
  </si>
  <si>
    <t>seilen</t>
  </si>
  <si>
    <t>strip</t>
  </si>
  <si>
    <t>brokkoli</t>
  </si>
  <si>
    <t>ozzie</t>
  </si>
  <si>
    <t>salzig</t>
  </si>
  <si>
    <t>foyer</t>
  </si>
  <si>
    <t>feierst</t>
  </si>
  <si>
    <t>italienisches</t>
  </si>
  <si>
    <t>veränderten</t>
  </si>
  <si>
    <t>sippe</t>
  </si>
  <si>
    <t>unauffindbar</t>
  </si>
  <si>
    <t>knappen</t>
  </si>
  <si>
    <t>abblitzen</t>
  </si>
  <si>
    <t>ähh</t>
  </si>
  <si>
    <t>brautpaar</t>
  </si>
  <si>
    <t>veteran</t>
  </si>
  <si>
    <t>eskaliert</t>
  </si>
  <si>
    <t>unterredung</t>
  </si>
  <si>
    <t>zurückzugewinnen</t>
  </si>
  <si>
    <t>nagellack</t>
  </si>
  <si>
    <t>burn</t>
  </si>
  <si>
    <t>zehnte</t>
  </si>
  <si>
    <t>colton</t>
  </si>
  <si>
    <t>straftaten</t>
  </si>
  <si>
    <t>sies</t>
  </si>
  <si>
    <t>majid</t>
  </si>
  <si>
    <t>caputo</t>
  </si>
  <si>
    <t>krempel</t>
  </si>
  <si>
    <t>inga</t>
  </si>
  <si>
    <t>solls</t>
  </si>
  <si>
    <t>lelouch</t>
  </si>
  <si>
    <t>intensive</t>
  </si>
  <si>
    <t>wischt</t>
  </si>
  <si>
    <t>frischfleisch</t>
  </si>
  <si>
    <t>digger</t>
  </si>
  <si>
    <t>proteine</t>
  </si>
  <si>
    <t>storch</t>
  </si>
  <si>
    <t>sternzeichen</t>
  </si>
  <si>
    <t>terrorisiert</t>
  </si>
  <si>
    <t>marthe</t>
  </si>
  <si>
    <t>bridges</t>
  </si>
  <si>
    <t>elsie</t>
  </si>
  <si>
    <t>ruiz</t>
  </si>
  <si>
    <t>klarem</t>
  </si>
  <si>
    <t>kugelsicher</t>
  </si>
  <si>
    <t>klassenkameraden</t>
  </si>
  <si>
    <t>manson</t>
  </si>
  <si>
    <t>c4</t>
  </si>
  <si>
    <t>vorschau</t>
  </si>
  <si>
    <t>verbrennst</t>
  </si>
  <si>
    <t>zusammentreffen</t>
  </si>
  <si>
    <t>türmen</t>
  </si>
  <si>
    <t>dampfen</t>
  </si>
  <si>
    <t>beschmutzen</t>
  </si>
  <si>
    <t>risa</t>
  </si>
  <si>
    <t>signiert</t>
  </si>
  <si>
    <t>umzusetzen</t>
  </si>
  <si>
    <t>podium</t>
  </si>
  <si>
    <t>clovis</t>
  </si>
  <si>
    <t>margaux</t>
  </si>
  <si>
    <t>äußerste</t>
  </si>
  <si>
    <t>zurückzulassen</t>
  </si>
  <si>
    <t>verändere</t>
  </si>
  <si>
    <t>ergebnissen</t>
  </si>
  <si>
    <t>langweiliges</t>
  </si>
  <si>
    <t>goethe</t>
  </si>
  <si>
    <t>weii</t>
  </si>
  <si>
    <t>unternimm</t>
  </si>
  <si>
    <t>überrannt</t>
  </si>
  <si>
    <t>hysterie</t>
  </si>
  <si>
    <t>abspielt</t>
  </si>
  <si>
    <t>without</t>
  </si>
  <si>
    <t>klau</t>
  </si>
  <si>
    <t>menschenseele</t>
  </si>
  <si>
    <t>bewegend</t>
  </si>
  <si>
    <t>konsequenz</t>
  </si>
  <si>
    <t>aufgeregtes</t>
  </si>
  <si>
    <t>sicherungen</t>
  </si>
  <si>
    <t>nichtsdestotrotz</t>
  </si>
  <si>
    <t>tig</t>
  </si>
  <si>
    <t>inventar</t>
  </si>
  <si>
    <t>wegweiser</t>
  </si>
  <si>
    <t>zutrauen</t>
  </si>
  <si>
    <t>sinnvolles</t>
  </si>
  <si>
    <t>verborgene</t>
  </si>
  <si>
    <t>wissenschaftlern</t>
  </si>
  <si>
    <t>einzuschlafen</t>
  </si>
  <si>
    <t>kareem</t>
  </si>
  <si>
    <t>kommentieren</t>
  </si>
  <si>
    <t>inkompetent</t>
  </si>
  <si>
    <t>tätowieren</t>
  </si>
  <si>
    <t>tigers</t>
  </si>
  <si>
    <t>mets</t>
  </si>
  <si>
    <t>träge</t>
  </si>
  <si>
    <t>leiblichen</t>
  </si>
  <si>
    <t>anmache</t>
  </si>
  <si>
    <t>bedürfnissen</t>
  </si>
  <si>
    <t>tätowierungen</t>
  </si>
  <si>
    <t>reifer</t>
  </si>
  <si>
    <t>königlich</t>
  </si>
  <si>
    <t>zwinkern</t>
  </si>
  <si>
    <t>fußballspiel</t>
  </si>
  <si>
    <t>hamid</t>
  </si>
  <si>
    <t>laub</t>
  </si>
  <si>
    <t>dix</t>
  </si>
  <si>
    <t>reeves</t>
  </si>
  <si>
    <t>flipp</t>
  </si>
  <si>
    <t>auguste</t>
  </si>
  <si>
    <t>zivilisierte</t>
  </si>
  <si>
    <t>robe</t>
  </si>
  <si>
    <t>betrugs</t>
  </si>
  <si>
    <t>erhöhung</t>
  </si>
  <si>
    <t>verbundenen</t>
  </si>
  <si>
    <t>far</t>
  </si>
  <si>
    <t>clément</t>
  </si>
  <si>
    <t>boutique</t>
  </si>
  <si>
    <t>verlogene</t>
  </si>
  <si>
    <t>eintrittskarte</t>
  </si>
  <si>
    <t>braxton</t>
  </si>
  <si>
    <t>verfüge</t>
  </si>
  <si>
    <t>mordopfer</t>
  </si>
  <si>
    <t>lombard</t>
  </si>
  <si>
    <t>asa</t>
  </si>
  <si>
    <t>verspeist</t>
  </si>
  <si>
    <t>grösste</t>
  </si>
  <si>
    <t>quecksilber</t>
  </si>
  <si>
    <t>anzustellen</t>
  </si>
  <si>
    <t>hocherfreut</t>
  </si>
  <si>
    <t>pancakes</t>
  </si>
  <si>
    <t>duett</t>
  </si>
  <si>
    <t>jüngerer</t>
  </si>
  <si>
    <t>aufzusuchen</t>
  </si>
  <si>
    <t>digitalen</t>
  </si>
  <si>
    <t>flöten</t>
  </si>
  <si>
    <t>marla</t>
  </si>
  <si>
    <t>besetzten</t>
  </si>
  <si>
    <t>hungrige</t>
  </si>
  <si>
    <t>rach</t>
  </si>
  <si>
    <t>prominente</t>
  </si>
  <si>
    <t>aldo</t>
  </si>
  <si>
    <t>eingelöst</t>
  </si>
  <si>
    <t>hitchcock</t>
  </si>
  <si>
    <t>namaste</t>
  </si>
  <si>
    <t>rousseau</t>
  </si>
  <si>
    <t>organismen</t>
  </si>
  <si>
    <t>j.b.</t>
  </si>
  <si>
    <t>sonnenbrand</t>
  </si>
  <si>
    <t>ermittle</t>
  </si>
  <si>
    <t>kingsley</t>
  </si>
  <si>
    <t>brite</t>
  </si>
  <si>
    <t>sozialversicherungsnummer</t>
  </si>
  <si>
    <t>gasthof</t>
  </si>
  <si>
    <t>brenzlig</t>
  </si>
  <si>
    <t>batista</t>
  </si>
  <si>
    <t>ruiniere</t>
  </si>
  <si>
    <t>spritz</t>
  </si>
  <si>
    <t>nunmehr</t>
  </si>
  <si>
    <t>gerichtsverfahren</t>
  </si>
  <si>
    <t>empfing</t>
  </si>
  <si>
    <t>absurde</t>
  </si>
  <si>
    <t>liebesbrief</t>
  </si>
  <si>
    <t>mycroft</t>
  </si>
  <si>
    <t>schäfchen</t>
  </si>
  <si>
    <t>gelobe</t>
  </si>
  <si>
    <t>unterdrückten</t>
  </si>
  <si>
    <t>maßen</t>
  </si>
  <si>
    <t>geschlechts</t>
  </si>
  <si>
    <t>tribüne</t>
  </si>
  <si>
    <t>verzerrte</t>
  </si>
  <si>
    <t>kiosk</t>
  </si>
  <si>
    <t>root</t>
  </si>
  <si>
    <t>energisch</t>
  </si>
  <si>
    <t>geplagt</t>
  </si>
  <si>
    <t>row</t>
  </si>
  <si>
    <t>korrigiere</t>
  </si>
  <si>
    <t>magneten</t>
  </si>
  <si>
    <t>kriegten</t>
  </si>
  <si>
    <t>abrupt</t>
  </si>
  <si>
    <t>gewaltiges</t>
  </si>
  <si>
    <t>brewer</t>
  </si>
  <si>
    <t>radioaktivität</t>
  </si>
  <si>
    <t>verordnung</t>
  </si>
  <si>
    <t>waldemar</t>
  </si>
  <si>
    <t>chick</t>
  </si>
  <si>
    <t>südwesten</t>
  </si>
  <si>
    <t>beraterin</t>
  </si>
  <si>
    <t>vermögens</t>
  </si>
  <si>
    <t>münztelefon</t>
  </si>
  <si>
    <t>guthrie</t>
  </si>
  <si>
    <t>maklerin</t>
  </si>
  <si>
    <t>verwandelst</t>
  </si>
  <si>
    <t>weller</t>
  </si>
  <si>
    <t>sato</t>
  </si>
  <si>
    <t>gekettet</t>
  </si>
  <si>
    <t>lam</t>
  </si>
  <si>
    <t>inkompetenz</t>
  </si>
  <si>
    <t>entflohen</t>
  </si>
  <si>
    <t>angewandt</t>
  </si>
  <si>
    <t>bern</t>
  </si>
  <si>
    <t>ausgewiesen</t>
  </si>
  <si>
    <t>aviv</t>
  </si>
  <si>
    <t>glüht</t>
  </si>
  <si>
    <t>flüchtete</t>
  </si>
  <si>
    <t>wachdienst</t>
  </si>
  <si>
    <t>schießstand</t>
  </si>
  <si>
    <t>gedärme</t>
  </si>
  <si>
    <t>kreativen</t>
  </si>
  <si>
    <t>leia</t>
  </si>
  <si>
    <t>schüttel</t>
  </si>
  <si>
    <t>hecke</t>
  </si>
  <si>
    <t>maxim</t>
  </si>
  <si>
    <t>londo</t>
  </si>
  <si>
    <t>weinberg</t>
  </si>
  <si>
    <t>fitness</t>
  </si>
  <si>
    <t>aschenputtel</t>
  </si>
  <si>
    <t>nichtig</t>
  </si>
  <si>
    <t>sprengkopf</t>
  </si>
  <si>
    <t>sensibler</t>
  </si>
  <si>
    <t>referat</t>
  </si>
  <si>
    <t>abhacken</t>
  </si>
  <si>
    <t>blutkörperchen</t>
  </si>
  <si>
    <t>fortpflanzung</t>
  </si>
  <si>
    <t>casinos</t>
  </si>
  <si>
    <t>nnen</t>
  </si>
  <si>
    <t>verhörraum</t>
  </si>
  <si>
    <t>beziehungsweise</t>
  </si>
  <si>
    <t>bobbys</t>
  </si>
  <si>
    <t>sonnig</t>
  </si>
  <si>
    <t>bali</t>
  </si>
  <si>
    <t>rückfahrt</t>
  </si>
  <si>
    <t>schlosses</t>
  </si>
  <si>
    <t>durchlebt</t>
  </si>
  <si>
    <t>harker</t>
  </si>
  <si>
    <t>schlafengehen</t>
  </si>
  <si>
    <t>whitehall</t>
  </si>
  <si>
    <t>gebrochenem</t>
  </si>
  <si>
    <t>pond</t>
  </si>
  <si>
    <t>muh</t>
  </si>
  <si>
    <t>aktivierung</t>
  </si>
  <si>
    <t>wettstreit</t>
  </si>
  <si>
    <t>ausgearbeitet</t>
  </si>
  <si>
    <t>weather</t>
  </si>
  <si>
    <t>vorankommen</t>
  </si>
  <si>
    <t>deadline</t>
  </si>
  <si>
    <t>vorfinden</t>
  </si>
  <si>
    <t>cornelia</t>
  </si>
  <si>
    <t>reinhauen</t>
  </si>
  <si>
    <t>verlegung</t>
  </si>
  <si>
    <t>wahrsagerin</t>
  </si>
  <si>
    <t>gwendolyn</t>
  </si>
  <si>
    <t>unartig</t>
  </si>
  <si>
    <t>geburtsort</t>
  </si>
  <si>
    <t>sofortigen</t>
  </si>
  <si>
    <t>schwätzer</t>
  </si>
  <si>
    <t>leader</t>
  </si>
  <si>
    <t>königen</t>
  </si>
  <si>
    <t>wüßte</t>
  </si>
  <si>
    <t>alleingang</t>
  </si>
  <si>
    <t>phänomenal</t>
  </si>
  <si>
    <t>keeler</t>
  </si>
  <si>
    <t>ti</t>
  </si>
  <si>
    <t>krankenakte</t>
  </si>
  <si>
    <t>dobey</t>
  </si>
  <si>
    <t>swift</t>
  </si>
  <si>
    <t>45er</t>
  </si>
  <si>
    <t>rätseln</t>
  </si>
  <si>
    <t>gewinnerin</t>
  </si>
  <si>
    <t>schmiede</t>
  </si>
  <si>
    <t>seal</t>
  </si>
  <si>
    <t>gerutscht</t>
  </si>
  <si>
    <t>systematisch</t>
  </si>
  <si>
    <t>absteige</t>
  </si>
  <si>
    <t>nachzuholen</t>
  </si>
  <si>
    <t>xiao</t>
  </si>
  <si>
    <t>lexington</t>
  </si>
  <si>
    <t>witzfigur</t>
  </si>
  <si>
    <t>einschläfern</t>
  </si>
  <si>
    <t>erörtern</t>
  </si>
  <si>
    <t>bloßgestellt</t>
  </si>
  <si>
    <t>schweinestall</t>
  </si>
  <si>
    <t>versteigert</t>
  </si>
  <si>
    <t>tampa</t>
  </si>
  <si>
    <t>maßstab</t>
  </si>
  <si>
    <t>verstorbener</t>
  </si>
  <si>
    <t>belegschaft</t>
  </si>
  <si>
    <t>finley</t>
  </si>
  <si>
    <t>argo</t>
  </si>
  <si>
    <t>sunnydale</t>
  </si>
  <si>
    <t>grässliche</t>
  </si>
  <si>
    <t>scharade</t>
  </si>
  <si>
    <t>carr</t>
  </si>
  <si>
    <t>abzuschneiden</t>
  </si>
  <si>
    <t>runtergeholt</t>
  </si>
  <si>
    <t>körpertemperatur</t>
  </si>
  <si>
    <t>konzentrierte</t>
  </si>
  <si>
    <t>leif</t>
  </si>
  <si>
    <t>drenton</t>
  </si>
  <si>
    <t>privatbesitz</t>
  </si>
  <si>
    <t>totem</t>
  </si>
  <si>
    <t>untertreibung</t>
  </si>
  <si>
    <t>dazugehört</t>
  </si>
  <si>
    <t>abzüge</t>
  </si>
  <si>
    <t>schusswunden</t>
  </si>
  <si>
    <t>durchgeknallte</t>
  </si>
  <si>
    <t>lungenkrebs</t>
  </si>
  <si>
    <t>apartments</t>
  </si>
  <si>
    <t>leim</t>
  </si>
  <si>
    <t>beiträge</t>
  </si>
  <si>
    <t>gefälligkeit</t>
  </si>
  <si>
    <t>bärchen</t>
  </si>
  <si>
    <t>versetzte</t>
  </si>
  <si>
    <t>rohe</t>
  </si>
  <si>
    <t>aufsteht</t>
  </si>
  <si>
    <t>mesa</t>
  </si>
  <si>
    <t>regenmantel</t>
  </si>
  <si>
    <t>vorkommnisse</t>
  </si>
  <si>
    <t>jazzmusik</t>
  </si>
  <si>
    <t>arrangierte</t>
  </si>
  <si>
    <t>vader</t>
  </si>
  <si>
    <t>anzügen</t>
  </si>
  <si>
    <t>charmanten</t>
  </si>
  <si>
    <t>apostel</t>
  </si>
  <si>
    <t>unendlichkeit</t>
  </si>
  <si>
    <t>geldgeber</t>
  </si>
  <si>
    <t>biologischer</t>
  </si>
  <si>
    <t>kelvin</t>
  </si>
  <si>
    <t>synagoge</t>
  </si>
  <si>
    <t>shadowhunter</t>
  </si>
  <si>
    <t>stringer</t>
  </si>
  <si>
    <t>blendet</t>
  </si>
  <si>
    <t>entzündung</t>
  </si>
  <si>
    <t>erforschung</t>
  </si>
  <si>
    <t>berüchtigten</t>
  </si>
  <si>
    <t>cousinen</t>
  </si>
  <si>
    <t>konzerne</t>
  </si>
  <si>
    <t>untertasse</t>
  </si>
  <si>
    <t>schnitzel</t>
  </si>
  <si>
    <t>fehlgeschlagen</t>
  </si>
  <si>
    <t>erkaufen</t>
  </si>
  <si>
    <t>gangstern</t>
  </si>
  <si>
    <t>briareos</t>
  </si>
  <si>
    <t>hundesohn</t>
  </si>
  <si>
    <t>dableiben</t>
  </si>
  <si>
    <t>ml</t>
  </si>
  <si>
    <t>hierauf</t>
  </si>
  <si>
    <t>reichs</t>
  </si>
  <si>
    <t>kinderleicht</t>
  </si>
  <si>
    <t>atom</t>
  </si>
  <si>
    <t>bewunderte</t>
  </si>
  <si>
    <t>bedrängen</t>
  </si>
  <si>
    <t>unerwarteten</t>
  </si>
  <si>
    <t>dickschädel</t>
  </si>
  <si>
    <t>gesuchte</t>
  </si>
  <si>
    <t>ventura</t>
  </si>
  <si>
    <t>hahaha</t>
  </si>
  <si>
    <t>baumarkt</t>
  </si>
  <si>
    <t>blindheit</t>
  </si>
  <si>
    <t>melonen</t>
  </si>
  <si>
    <t>herald</t>
  </si>
  <si>
    <t>aggressiver</t>
  </si>
  <si>
    <t>gebohrt</t>
  </si>
  <si>
    <t>heiligtum</t>
  </si>
  <si>
    <t>samariter</t>
  </si>
  <si>
    <t>yay</t>
  </si>
  <si>
    <t>eingeht</t>
  </si>
  <si>
    <t>unantastbar</t>
  </si>
  <si>
    <t>wiederkommst</t>
  </si>
  <si>
    <t>hallt</t>
  </si>
  <si>
    <t>bra</t>
  </si>
  <si>
    <t>schwungvolle</t>
  </si>
  <si>
    <t>candice</t>
  </si>
  <si>
    <t>almeida</t>
  </si>
  <si>
    <t>pantoffeln</t>
  </si>
  <si>
    <t>frazier</t>
  </si>
  <si>
    <t>handgelenke</t>
  </si>
  <si>
    <t>verschweigt</t>
  </si>
  <si>
    <t>short</t>
  </si>
  <si>
    <t>gerate</t>
  </si>
  <si>
    <t>dramatischer</t>
  </si>
  <si>
    <t>frodo</t>
  </si>
  <si>
    <t>jüngling</t>
  </si>
  <si>
    <t>snart</t>
  </si>
  <si>
    <t>vorstrafenregister</t>
  </si>
  <si>
    <t>geschäftsfrau</t>
  </si>
  <si>
    <t>schufte</t>
  </si>
  <si>
    <t>stalingrad</t>
  </si>
  <si>
    <t>rissen</t>
  </si>
  <si>
    <t>metatron</t>
  </si>
  <si>
    <t>bekanntes</t>
  </si>
  <si>
    <t>überredete</t>
  </si>
  <si>
    <t>freimachen</t>
  </si>
  <si>
    <t>verona</t>
  </si>
  <si>
    <t>durchzukommen</t>
  </si>
  <si>
    <t>zahnstocher</t>
  </si>
  <si>
    <t>under</t>
  </si>
  <si>
    <t>doppel</t>
  </si>
  <si>
    <t>madge</t>
  </si>
  <si>
    <t>swing</t>
  </si>
  <si>
    <t>abgebissen</t>
  </si>
  <si>
    <t>stadtteil</t>
  </si>
  <si>
    <t>gifte</t>
  </si>
  <si>
    <t>ichabod</t>
  </si>
  <si>
    <t>betonung</t>
  </si>
  <si>
    <t>dringenden</t>
  </si>
  <si>
    <t>volkoff</t>
  </si>
  <si>
    <t>sporthalle</t>
  </si>
  <si>
    <t>sos</t>
  </si>
  <si>
    <t>übernehmt</t>
  </si>
  <si>
    <t>kopierer</t>
  </si>
  <si>
    <t>meinungsverschiedenheit</t>
  </si>
  <si>
    <t>baumeln</t>
  </si>
  <si>
    <t>aufgeschnappt</t>
  </si>
  <si>
    <t>unterzeichne</t>
  </si>
  <si>
    <t>betätigen</t>
  </si>
  <si>
    <t>erklärten</t>
  </si>
  <si>
    <t>übernachte</t>
  </si>
  <si>
    <t>wendepunkt</t>
  </si>
  <si>
    <t>kenner</t>
  </si>
  <si>
    <t>eskortieren</t>
  </si>
  <si>
    <t>angefreundet</t>
  </si>
  <si>
    <t>medizinstudium</t>
  </si>
  <si>
    <t>halbschwester</t>
  </si>
  <si>
    <t>praktiziert</t>
  </si>
  <si>
    <t>phantombild</t>
  </si>
  <si>
    <t>funktionsfähig</t>
  </si>
  <si>
    <t>katakomben</t>
  </si>
  <si>
    <t>klügsten</t>
  </si>
  <si>
    <t>tänze</t>
  </si>
  <si>
    <t>nutzung</t>
  </si>
  <si>
    <t>arbeitszeiten</t>
  </si>
  <si>
    <t>kanbei</t>
  </si>
  <si>
    <t>nationaler</t>
  </si>
  <si>
    <t>klan</t>
  </si>
  <si>
    <t>anordnen</t>
  </si>
  <si>
    <t>rechtfertigung</t>
  </si>
  <si>
    <t>frühestens</t>
  </si>
  <si>
    <t>gelangte</t>
  </si>
  <si>
    <t>wertvollste</t>
  </si>
  <si>
    <t>sachs</t>
  </si>
  <si>
    <t>gerüche</t>
  </si>
  <si>
    <t>takes</t>
  </si>
  <si>
    <t>großmeister</t>
  </si>
  <si>
    <t>arsen</t>
  </si>
  <si>
    <t>mordversuch</t>
  </si>
  <si>
    <t>unfruchtbar</t>
  </si>
  <si>
    <t>donnert</t>
  </si>
  <si>
    <t>symptomen</t>
  </si>
  <si>
    <t>effizienter</t>
  </si>
  <si>
    <t>humbert</t>
  </si>
  <si>
    <t>vonda</t>
  </si>
  <si>
    <t>aufmachst</t>
  </si>
  <si>
    <t>versinkt</t>
  </si>
  <si>
    <t>morgige</t>
  </si>
  <si>
    <t>energien</t>
  </si>
  <si>
    <t>tönen</t>
  </si>
  <si>
    <t>impotent</t>
  </si>
  <si>
    <t>polizeisirenen</t>
  </si>
  <si>
    <t>quill</t>
  </si>
  <si>
    <t>mordfälle</t>
  </si>
  <si>
    <t>houdini</t>
  </si>
  <si>
    <t>kulisse</t>
  </si>
  <si>
    <t>mundharmonika</t>
  </si>
  <si>
    <t>maschinengewehre</t>
  </si>
  <si>
    <t>zauberkraft</t>
  </si>
  <si>
    <t>anbeginn</t>
  </si>
  <si>
    <t>verfangen</t>
  </si>
  <si>
    <t>borden</t>
  </si>
  <si>
    <t>symbionten</t>
  </si>
  <si>
    <t>gedämpfte</t>
  </si>
  <si>
    <t>blutzucker</t>
  </si>
  <si>
    <t>mcnulty</t>
  </si>
  <si>
    <t>bräuche</t>
  </si>
  <si>
    <t>sonnenfinsternis</t>
  </si>
  <si>
    <t>vergessenheit</t>
  </si>
  <si>
    <t>margaritas</t>
  </si>
  <si>
    <t>mordnacht</t>
  </si>
  <si>
    <t>patenonkel</t>
  </si>
  <si>
    <t>vergeudest</t>
  </si>
  <si>
    <t>skynet</t>
  </si>
  <si>
    <t>dienstlich</t>
  </si>
  <si>
    <t>gerd</t>
  </si>
  <si>
    <t>strippen</t>
  </si>
  <si>
    <t>ägyptische</t>
  </si>
  <si>
    <t>motte</t>
  </si>
  <si>
    <t>fragezeichen</t>
  </si>
  <si>
    <t>rennstrecke</t>
  </si>
  <si>
    <t>ellison</t>
  </si>
  <si>
    <t>invisible</t>
  </si>
  <si>
    <t>perseus</t>
  </si>
  <si>
    <t>kolonisten</t>
  </si>
  <si>
    <t>autofahrer</t>
  </si>
  <si>
    <t>bahre</t>
  </si>
  <si>
    <t>grossmutter</t>
  </si>
  <si>
    <t>möglichstes</t>
  </si>
  <si>
    <t>vorzugehen</t>
  </si>
  <si>
    <t>gewandert</t>
  </si>
  <si>
    <t>luxemburg</t>
  </si>
  <si>
    <t>rausgeschnitten</t>
  </si>
  <si>
    <t>celine</t>
  </si>
  <si>
    <t>zugetragen</t>
  </si>
  <si>
    <t>klemmen</t>
  </si>
  <si>
    <t>schrien</t>
  </si>
  <si>
    <t>waffensysteme</t>
  </si>
  <si>
    <t>schar</t>
  </si>
  <si>
    <t>emails</t>
  </si>
  <si>
    <t>jean-pierre</t>
  </si>
  <si>
    <t>leidenschaften</t>
  </si>
  <si>
    <t>sketch</t>
  </si>
  <si>
    <t>hoshi</t>
  </si>
  <si>
    <t>samuels</t>
  </si>
  <si>
    <t>rolex</t>
  </si>
  <si>
    <t>windelweich</t>
  </si>
  <si>
    <t>zuwenden</t>
  </si>
  <si>
    <t>herankommen</t>
  </si>
  <si>
    <t>sgc</t>
  </si>
  <si>
    <t>bestatter</t>
  </si>
  <si>
    <t>relais</t>
  </si>
  <si>
    <t>cardiff</t>
  </si>
  <si>
    <t>schlingel</t>
  </si>
  <si>
    <t>meckert</t>
  </si>
  <si>
    <t>schlauen</t>
  </si>
  <si>
    <t>flüche</t>
  </si>
  <si>
    <t>annäherung</t>
  </si>
  <si>
    <t>ausverkauf</t>
  </si>
  <si>
    <t>morrow</t>
  </si>
  <si>
    <t>rings</t>
  </si>
  <si>
    <t>anatomy</t>
  </si>
  <si>
    <t>christoph</t>
  </si>
  <si>
    <t>respektierst</t>
  </si>
  <si>
    <t>ruinierte</t>
  </si>
  <si>
    <t>wohlfahrt</t>
  </si>
  <si>
    <t>frenchy</t>
  </si>
  <si>
    <t>mädchenname</t>
  </si>
  <si>
    <t>umtauschen</t>
  </si>
  <si>
    <t>dichtmachen</t>
  </si>
  <si>
    <t>jegliches</t>
  </si>
  <si>
    <t>ramses</t>
  </si>
  <si>
    <t>abscheulichen</t>
  </si>
  <si>
    <t>raubtiere</t>
  </si>
  <si>
    <t>newport</t>
  </si>
  <si>
    <t>ladenbesitzer</t>
  </si>
  <si>
    <t>umzukehren</t>
  </si>
  <si>
    <t>tieres</t>
  </si>
  <si>
    <t>tumult</t>
  </si>
  <si>
    <t>eintausend</t>
  </si>
  <si>
    <t>sterbende</t>
  </si>
  <si>
    <t>verloben</t>
  </si>
  <si>
    <t>belagert</t>
  </si>
  <si>
    <t>entfalten</t>
  </si>
  <si>
    <t>zehntel</t>
  </si>
  <si>
    <t>druiden</t>
  </si>
  <si>
    <t>begehre</t>
  </si>
  <si>
    <t>gelauscht</t>
  </si>
  <si>
    <t>bu</t>
  </si>
  <si>
    <t>arc</t>
  </si>
  <si>
    <t>sensor</t>
  </si>
  <si>
    <t>romain</t>
  </si>
  <si>
    <t>emilia</t>
  </si>
  <si>
    <t>wide</t>
  </si>
  <si>
    <t>inszenieren</t>
  </si>
  <si>
    <t>akzeptierte</t>
  </si>
  <si>
    <t>clancy</t>
  </si>
  <si>
    <t>geldwäsche</t>
  </si>
  <si>
    <t>wertsachen</t>
  </si>
  <si>
    <t>japsen</t>
  </si>
  <si>
    <t>ausreißer</t>
  </si>
  <si>
    <t>vorgeladen</t>
  </si>
  <si>
    <t>emmas</t>
  </si>
  <si>
    <t>anarchy</t>
  </si>
  <si>
    <t>staatsgefängnis</t>
  </si>
  <si>
    <t>casablanca</t>
  </si>
  <si>
    <t>ca</t>
  </si>
  <si>
    <t>bestimmst</t>
  </si>
  <si>
    <t>fäusten</t>
  </si>
  <si>
    <t>erloschen</t>
  </si>
  <si>
    <t>einchecken</t>
  </si>
  <si>
    <t>jaye</t>
  </si>
  <si>
    <t>übeltäter</t>
  </si>
  <si>
    <t>verteilung</t>
  </si>
  <si>
    <t>waverly</t>
  </si>
  <si>
    <t>aufrichtiges</t>
  </si>
  <si>
    <t>komponenten</t>
  </si>
  <si>
    <t>lesung</t>
  </si>
  <si>
    <t>diggle</t>
  </si>
  <si>
    <t>raines</t>
  </si>
  <si>
    <t>dempsey</t>
  </si>
  <si>
    <t>swann</t>
  </si>
  <si>
    <t>aufzuwachsen</t>
  </si>
  <si>
    <t>jr.</t>
  </si>
  <si>
    <t>feuerball</t>
  </si>
  <si>
    <t>autopilot</t>
  </si>
  <si>
    <t>barnum</t>
  </si>
  <si>
    <t>überlistet</t>
  </si>
  <si>
    <t>verdienste</t>
  </si>
  <si>
    <t>verstörend</t>
  </si>
  <si>
    <t>schaltkreise</t>
  </si>
  <si>
    <t>rhode</t>
  </si>
  <si>
    <t>straight</t>
  </si>
  <si>
    <t>heißesten</t>
  </si>
  <si>
    <t>pünktlichkeit</t>
  </si>
  <si>
    <t>dynamik</t>
  </si>
  <si>
    <t>schlafsaal</t>
  </si>
  <si>
    <t>verweht</t>
  </si>
  <si>
    <t>knochenmark</t>
  </si>
  <si>
    <t>dokumentieren</t>
  </si>
  <si>
    <t>enttäuschst</t>
  </si>
  <si>
    <t>hub</t>
  </si>
  <si>
    <t>häusliche</t>
  </si>
  <si>
    <t>ködern</t>
  </si>
  <si>
    <t>flugzeugs</t>
  </si>
  <si>
    <t>sub</t>
  </si>
  <si>
    <t>unterirdisch</t>
  </si>
  <si>
    <t>elvira</t>
  </si>
  <si>
    <t>genagelt</t>
  </si>
  <si>
    <t>universal</t>
  </si>
  <si>
    <t>egoist</t>
  </si>
  <si>
    <t>preisgeld</t>
  </si>
  <si>
    <t>gelehrten</t>
  </si>
  <si>
    <t>definiere</t>
  </si>
  <si>
    <t>unerlaubt</t>
  </si>
  <si>
    <t>ausgetrunken</t>
  </si>
  <si>
    <t>dresden</t>
  </si>
  <si>
    <t>a.j.</t>
  </si>
  <si>
    <t>absperren</t>
  </si>
  <si>
    <t>gia</t>
  </si>
  <si>
    <t>fliegender</t>
  </si>
  <si>
    <t>valencia</t>
  </si>
  <si>
    <t>lahmen</t>
  </si>
  <si>
    <t>absicherung</t>
  </si>
  <si>
    <t>oftmals</t>
  </si>
  <si>
    <t>pfiffe</t>
  </si>
  <si>
    <t>gekniffen</t>
  </si>
  <si>
    <t>ballard</t>
  </si>
  <si>
    <t>orchideen</t>
  </si>
  <si>
    <t>chino</t>
  </si>
  <si>
    <t>rausgeben</t>
  </si>
  <si>
    <t>early</t>
  </si>
  <si>
    <t>engländerin</t>
  </si>
  <si>
    <t>rausgebracht</t>
  </si>
  <si>
    <t>triaden</t>
  </si>
  <si>
    <t>dingsbums</t>
  </si>
  <si>
    <t>lebendiges</t>
  </si>
  <si>
    <t>begreif</t>
  </si>
  <si>
    <t>gründliche</t>
  </si>
  <si>
    <t>schrumpfen</t>
  </si>
  <si>
    <t>juliana</t>
  </si>
  <si>
    <t>königlicher</t>
  </si>
  <si>
    <t>dooley</t>
  </si>
  <si>
    <t>ausreißen</t>
  </si>
  <si>
    <t>sterblicher</t>
  </si>
  <si>
    <t>reifenspuren</t>
  </si>
  <si>
    <t>grille</t>
  </si>
  <si>
    <t>frierst</t>
  </si>
  <si>
    <t>barksdale</t>
  </si>
  <si>
    <t>potts</t>
  </si>
  <si>
    <t>edelsteine</t>
  </si>
  <si>
    <t>opie</t>
  </si>
  <si>
    <t>sturer</t>
  </si>
  <si>
    <t>nordamerika</t>
  </si>
  <si>
    <t>gründung</t>
  </si>
  <si>
    <t>fake</t>
  </si>
  <si>
    <t>bombenleger</t>
  </si>
  <si>
    <t>nordosten</t>
  </si>
  <si>
    <t>riverside</t>
  </si>
  <si>
    <t>sonnencreme</t>
  </si>
  <si>
    <t>besichtigung</t>
  </si>
  <si>
    <t>stillgelegt</t>
  </si>
  <si>
    <t>bora</t>
  </si>
  <si>
    <t>zahlreichen</t>
  </si>
  <si>
    <t>cleopatra</t>
  </si>
  <si>
    <t>opferte</t>
  </si>
  <si>
    <t>erlass</t>
  </si>
  <si>
    <t>watt</t>
  </si>
  <si>
    <t>verlernt</t>
  </si>
  <si>
    <t>schubst</t>
  </si>
  <si>
    <t>lampenfieber</t>
  </si>
  <si>
    <t>atf</t>
  </si>
  <si>
    <t>untersteht</t>
  </si>
  <si>
    <t>deutliche</t>
  </si>
  <si>
    <t>kleidet</t>
  </si>
  <si>
    <t>beträchtliche</t>
  </si>
  <si>
    <t>reibungslos</t>
  </si>
  <si>
    <t>fliesen</t>
  </si>
  <si>
    <t>pelzmantel</t>
  </si>
  <si>
    <t>shot</t>
  </si>
  <si>
    <t>codewort</t>
  </si>
  <si>
    <t>brenn</t>
  </si>
  <si>
    <t>mats</t>
  </si>
  <si>
    <t>eintraf</t>
  </si>
  <si>
    <t>vale</t>
  </si>
  <si>
    <t>gulden</t>
  </si>
  <si>
    <t>tollsten</t>
  </si>
  <si>
    <t>grundsatz</t>
  </si>
  <si>
    <t>prärie</t>
  </si>
  <si>
    <t>passagieren</t>
  </si>
  <si>
    <t>dehydriert</t>
  </si>
  <si>
    <t>giftigen</t>
  </si>
  <si>
    <t>dna-test</t>
  </si>
  <si>
    <t>allerlei</t>
  </si>
  <si>
    <t>blonder</t>
  </si>
  <si>
    <t>heizen</t>
  </si>
  <si>
    <t>panische</t>
  </si>
  <si>
    <t>flipper</t>
  </si>
  <si>
    <t>mumbai</t>
  </si>
  <si>
    <t>verhandle</t>
  </si>
  <si>
    <t>liebesbriefe</t>
  </si>
  <si>
    <t>abscheu</t>
  </si>
  <si>
    <t>crewe</t>
  </si>
  <si>
    <t>transaktionen</t>
  </si>
  <si>
    <t>sorgfalt</t>
  </si>
  <si>
    <t>einzurichten</t>
  </si>
  <si>
    <t>verkünde</t>
  </si>
  <si>
    <t>ausübung</t>
  </si>
  <si>
    <t>hungrigen</t>
  </si>
  <si>
    <t>else</t>
  </si>
  <si>
    <t>kanadische</t>
  </si>
  <si>
    <t>betrachtete</t>
  </si>
  <si>
    <t>ausbringen</t>
  </si>
  <si>
    <t>dornen</t>
  </si>
  <si>
    <t>mcnally</t>
  </si>
  <si>
    <t>zahnspange</t>
  </si>
  <si>
    <t>trainierte</t>
  </si>
  <si>
    <t>khalid</t>
  </si>
  <si>
    <t>sieges</t>
  </si>
  <si>
    <t>mathis</t>
  </si>
  <si>
    <t>einfiel</t>
  </si>
  <si>
    <t>stünden</t>
  </si>
  <si>
    <t>ignorant</t>
  </si>
  <si>
    <t>bewache</t>
  </si>
  <si>
    <t>col.</t>
  </si>
  <si>
    <t>wiley</t>
  </si>
  <si>
    <t>sancho</t>
  </si>
  <si>
    <t>paten</t>
  </si>
  <si>
    <t>furzt</t>
  </si>
  <si>
    <t>doofen</t>
  </si>
  <si>
    <t>rupien</t>
  </si>
  <si>
    <t>heimkommt</t>
  </si>
  <si>
    <t>getaucht</t>
  </si>
  <si>
    <t>probierst</t>
  </si>
  <si>
    <t>ehesten</t>
  </si>
  <si>
    <t>beeindruckender</t>
  </si>
  <si>
    <t>sozialhilfe</t>
  </si>
  <si>
    <t>phönix</t>
  </si>
  <si>
    <t>injizieren</t>
  </si>
  <si>
    <t>crunch</t>
  </si>
  <si>
    <t>absprache</t>
  </si>
  <si>
    <t>unzähligen</t>
  </si>
  <si>
    <t>verschlüsselung</t>
  </si>
  <si>
    <t>camping</t>
  </si>
  <si>
    <t>tratschen</t>
  </si>
  <si>
    <t>hereingekommen</t>
  </si>
  <si>
    <t>asiatischen</t>
  </si>
  <si>
    <t>spann</t>
  </si>
  <si>
    <t>stoßstange</t>
  </si>
  <si>
    <t>gesellschaftliche</t>
  </si>
  <si>
    <t>freiheitsstatue</t>
  </si>
  <si>
    <t>lehnst</t>
  </si>
  <si>
    <t>dolls</t>
  </si>
  <si>
    <t>trinkspruch</t>
  </si>
  <si>
    <t>lamb</t>
  </si>
  <si>
    <t>schläuche</t>
  </si>
  <si>
    <t>bemerke</t>
  </si>
  <si>
    <t>importiert</t>
  </si>
  <si>
    <t>tauschte</t>
  </si>
  <si>
    <t>totenschein</t>
  </si>
  <si>
    <t>gähnt</t>
  </si>
  <si>
    <t>analysen</t>
  </si>
  <si>
    <t>gelenkt</t>
  </si>
  <si>
    <t>sperrgebiet</t>
  </si>
  <si>
    <t>chrissy</t>
  </si>
  <si>
    <t>dancer</t>
  </si>
  <si>
    <t>christin</t>
  </si>
  <si>
    <t>codename</t>
  </si>
  <si>
    <t>shapiro</t>
  </si>
  <si>
    <t>kürzeren</t>
  </si>
  <si>
    <t>expandieren</t>
  </si>
  <si>
    <t>hingekommen</t>
  </si>
  <si>
    <t>leichtigkeit</t>
  </si>
  <si>
    <t>täters</t>
  </si>
  <si>
    <t>delaware</t>
  </si>
  <si>
    <t>wil</t>
  </si>
  <si>
    <t>juri</t>
  </si>
  <si>
    <t>berechtigte</t>
  </si>
  <si>
    <t>atombomben</t>
  </si>
  <si>
    <t>geschoss</t>
  </si>
  <si>
    <t>gebrochener</t>
  </si>
  <si>
    <t>detailliert</t>
  </si>
  <si>
    <t>zuwider</t>
  </si>
  <si>
    <t>duval</t>
  </si>
  <si>
    <t>erdenkliche</t>
  </si>
  <si>
    <t>ausspucken</t>
  </si>
  <si>
    <t>banal</t>
  </si>
  <si>
    <t>38er</t>
  </si>
  <si>
    <t>gehege</t>
  </si>
  <si>
    <t>angewidert</t>
  </si>
  <si>
    <t>besänftigen</t>
  </si>
  <si>
    <t>schlafende</t>
  </si>
  <si>
    <t>zivil</t>
  </si>
  <si>
    <t>odile</t>
  </si>
  <si>
    <t>unheilbar</t>
  </si>
  <si>
    <t>liberalen</t>
  </si>
  <si>
    <t>mass</t>
  </si>
  <si>
    <t>kombinieren</t>
  </si>
  <si>
    <t>projektor</t>
  </si>
  <si>
    <t>prominenten</t>
  </si>
  <si>
    <t>magistrat</t>
  </si>
  <si>
    <t>hinfliegen</t>
  </si>
  <si>
    <t>hauptverdächtige</t>
  </si>
  <si>
    <t>süleyman</t>
  </si>
  <si>
    <t>drumherum</t>
  </si>
  <si>
    <t>conde</t>
  </si>
  <si>
    <t>bagels</t>
  </si>
  <si>
    <t>globe</t>
  </si>
  <si>
    <t>ripped</t>
  </si>
  <si>
    <t>umgesetzt</t>
  </si>
  <si>
    <t>found</t>
  </si>
  <si>
    <t>stunts</t>
  </si>
  <si>
    <t>quälst</t>
  </si>
  <si>
    <t>zivilen</t>
  </si>
  <si>
    <t>überschwemmt</t>
  </si>
  <si>
    <t>verhafteten</t>
  </si>
  <si>
    <t>kompensieren</t>
  </si>
  <si>
    <t>stifler</t>
  </si>
  <si>
    <t>spatzen</t>
  </si>
  <si>
    <t>reinwaschen</t>
  </si>
  <si>
    <t>fairness</t>
  </si>
  <si>
    <t>wiederbelebt</t>
  </si>
  <si>
    <t>olivenöl</t>
  </si>
  <si>
    <t>stasi</t>
  </si>
  <si>
    <t>kamp</t>
  </si>
  <si>
    <t>verbannung</t>
  </si>
  <si>
    <t>sommerhaus</t>
  </si>
  <si>
    <t>motten</t>
  </si>
  <si>
    <t>sonnabend</t>
  </si>
  <si>
    <t>sacha</t>
  </si>
  <si>
    <t>äste</t>
  </si>
  <si>
    <t>vergöttert</t>
  </si>
  <si>
    <t>nachgelassen</t>
  </si>
  <si>
    <t>einsames</t>
  </si>
  <si>
    <t>flüssigkeiten</t>
  </si>
  <si>
    <t>mako</t>
  </si>
  <si>
    <t>howell</t>
  </si>
  <si>
    <t>achilles</t>
  </si>
  <si>
    <t>leitest</t>
  </si>
  <si>
    <t>begnügen</t>
  </si>
  <si>
    <t>weltfrieden</t>
  </si>
  <si>
    <t>gebügelt</t>
  </si>
  <si>
    <t>betraf</t>
  </si>
  <si>
    <t>schlüsselbein</t>
  </si>
  <si>
    <t>entsetzen</t>
  </si>
  <si>
    <t>gareth</t>
  </si>
  <si>
    <t>radiosender</t>
  </si>
  <si>
    <t>falte</t>
  </si>
  <si>
    <t>schleppe</t>
  </si>
  <si>
    <t>lilien</t>
  </si>
  <si>
    <t>sonar</t>
  </si>
  <si>
    <t>mitsamt</t>
  </si>
  <si>
    <t>albernes</t>
  </si>
  <si>
    <t>klingone</t>
  </si>
  <si>
    <t>verscheuchen</t>
  </si>
  <si>
    <t>beef</t>
  </si>
  <si>
    <t>chinas</t>
  </si>
  <si>
    <t>runternehmen</t>
  </si>
  <si>
    <t>überdrüssig</t>
  </si>
  <si>
    <t>zurückbringt</t>
  </si>
  <si>
    <t>heimlichen</t>
  </si>
  <si>
    <t>entlasse</t>
  </si>
  <si>
    <t>befleckt</t>
  </si>
  <si>
    <t>hochachtung</t>
  </si>
  <si>
    <t>themse</t>
  </si>
  <si>
    <t>sonderangebot</t>
  </si>
  <si>
    <t>runterziehen</t>
  </si>
  <si>
    <t>gestürmt</t>
  </si>
  <si>
    <t>rosenberg</t>
  </si>
  <si>
    <t>stephens</t>
  </si>
  <si>
    <t>prachtstück</t>
  </si>
  <si>
    <t>voraussagen</t>
  </si>
  <si>
    <t>celsius</t>
  </si>
  <si>
    <t>kerstin</t>
  </si>
  <si>
    <t>lebensretter</t>
  </si>
  <si>
    <t>assad</t>
  </si>
  <si>
    <t>vertieft</t>
  </si>
  <si>
    <t>wahnsinns</t>
  </si>
  <si>
    <t>lämmer</t>
  </si>
  <si>
    <t>plausibel</t>
  </si>
  <si>
    <t>eishockey</t>
  </si>
  <si>
    <t>prüde</t>
  </si>
  <si>
    <t>shredder</t>
  </si>
  <si>
    <t>frauenheld</t>
  </si>
  <si>
    <t>londons</t>
  </si>
  <si>
    <t>leistest</t>
  </si>
  <si>
    <t>anwohner</t>
  </si>
  <si>
    <t>wett</t>
  </si>
  <si>
    <t>wichita</t>
  </si>
  <si>
    <t>nutzlosen</t>
  </si>
  <si>
    <t>verzehren</t>
  </si>
  <si>
    <t>briefing</t>
  </si>
  <si>
    <t>rückenschmerzen</t>
  </si>
  <si>
    <t>pluto</t>
  </si>
  <si>
    <t>verkrochen</t>
  </si>
  <si>
    <t>stammelt</t>
  </si>
  <si>
    <t>ravi</t>
  </si>
  <si>
    <t>auspeitschen</t>
  </si>
  <si>
    <t>creed</t>
  </si>
  <si>
    <t>augenbinde</t>
  </si>
  <si>
    <t>one-night-stand</t>
  </si>
  <si>
    <t>schmeckte</t>
  </si>
  <si>
    <t>osaka</t>
  </si>
  <si>
    <t>bong</t>
  </si>
  <si>
    <t>tags</t>
  </si>
  <si>
    <t>osama</t>
  </si>
  <si>
    <t>nachos</t>
  </si>
  <si>
    <t>yourself</t>
  </si>
  <si>
    <t>anstrengenden</t>
  </si>
  <si>
    <t>verbarg</t>
  </si>
  <si>
    <t>harmloser</t>
  </si>
  <si>
    <t>lacy</t>
  </si>
  <si>
    <t>russin</t>
  </si>
  <si>
    <t>hochgenommen</t>
  </si>
  <si>
    <t>kribbeln</t>
  </si>
  <si>
    <t>krippe</t>
  </si>
  <si>
    <t>glorreiche</t>
  </si>
  <si>
    <t>pia</t>
  </si>
  <si>
    <t>sparta</t>
  </si>
  <si>
    <t>herumführen</t>
  </si>
  <si>
    <t>beuge</t>
  </si>
  <si>
    <t>geistreich</t>
  </si>
  <si>
    <t>räche</t>
  </si>
  <si>
    <t>arlington</t>
  </si>
  <si>
    <t>m-hm</t>
  </si>
  <si>
    <t>übst</t>
  </si>
  <si>
    <t>nordwesten</t>
  </si>
  <si>
    <t>schüttet</t>
  </si>
  <si>
    <t>entsprechenden</t>
  </si>
  <si>
    <t>weiterkommen</t>
  </si>
  <si>
    <t>schwertern</t>
  </si>
  <si>
    <t>fa</t>
  </si>
  <si>
    <t>boxt</t>
  </si>
  <si>
    <t>ausgetragen</t>
  </si>
  <si>
    <t>ipod</t>
  </si>
  <si>
    <t>laguerta</t>
  </si>
  <si>
    <t>unbeliebt</t>
  </si>
  <si>
    <t>belgier</t>
  </si>
  <si>
    <t>armbänder</t>
  </si>
  <si>
    <t>rettungsteam</t>
  </si>
  <si>
    <t>hering</t>
  </si>
  <si>
    <t>schlachthaus</t>
  </si>
  <si>
    <t>königreiche</t>
  </si>
  <si>
    <t>attraktion</t>
  </si>
  <si>
    <t>zugesetzt</t>
  </si>
  <si>
    <t>prüf</t>
  </si>
  <si>
    <t>fotografien</t>
  </si>
  <si>
    <t>schreckens</t>
  </si>
  <si>
    <t>versicherte</t>
  </si>
  <si>
    <t>oil</t>
  </si>
  <si>
    <t>reportern</t>
  </si>
  <si>
    <t>gleichgültigkeit</t>
  </si>
  <si>
    <t>beschuldigst</t>
  </si>
  <si>
    <t>mosby</t>
  </si>
  <si>
    <t>fidel</t>
  </si>
  <si>
    <t>neandertaler</t>
  </si>
  <si>
    <t>rudert</t>
  </si>
  <si>
    <t>jumbo</t>
  </si>
  <si>
    <t>roper</t>
  </si>
  <si>
    <t>reserven</t>
  </si>
  <si>
    <t>hingetan</t>
  </si>
  <si>
    <t>strategien</t>
  </si>
  <si>
    <t>spaßvogel</t>
  </si>
  <si>
    <t>übermäßig</t>
  </si>
  <si>
    <t>undankbarer</t>
  </si>
  <si>
    <t>karas</t>
  </si>
  <si>
    <t>schusswechsel</t>
  </si>
  <si>
    <t>circle</t>
  </si>
  <si>
    <t>vielem</t>
  </si>
  <si>
    <t>thierry</t>
  </si>
  <si>
    <t>gegoogelt</t>
  </si>
  <si>
    <t>deutete</t>
  </si>
  <si>
    <t>umgegangen</t>
  </si>
  <si>
    <t>ausspielen</t>
  </si>
  <si>
    <t>sägen</t>
  </si>
  <si>
    <t>emmy</t>
  </si>
  <si>
    <t>zola</t>
  </si>
  <si>
    <t>dilaurentis</t>
  </si>
  <si>
    <t>markham</t>
  </si>
  <si>
    <t>frisiert</t>
  </si>
  <si>
    <t>kontaminiert</t>
  </si>
  <si>
    <t>abgeschafft</t>
  </si>
  <si>
    <t>breeland</t>
  </si>
  <si>
    <t>vamos</t>
  </si>
  <si>
    <t>begierig</t>
  </si>
  <si>
    <t>running</t>
  </si>
  <si>
    <t>ratgeber</t>
  </si>
  <si>
    <t>sports</t>
  </si>
  <si>
    <t>eingestürzt</t>
  </si>
  <si>
    <t>goose</t>
  </si>
  <si>
    <t>kompliziertes</t>
  </si>
  <si>
    <t>märkte</t>
  </si>
  <si>
    <t>spielern</t>
  </si>
  <si>
    <t>flugtickets</t>
  </si>
  <si>
    <t>phryne</t>
  </si>
  <si>
    <t>qualvoll</t>
  </si>
  <si>
    <t>disko</t>
  </si>
  <si>
    <t>auflöst</t>
  </si>
  <si>
    <t>exotisch</t>
  </si>
  <si>
    <t>soziopath</t>
  </si>
  <si>
    <t>desert</t>
  </si>
  <si>
    <t>soso</t>
  </si>
  <si>
    <t>iggy</t>
  </si>
  <si>
    <t>fummel</t>
  </si>
  <si>
    <t>einwickeln</t>
  </si>
  <si>
    <t>waschraum</t>
  </si>
  <si>
    <t>birch</t>
  </si>
  <si>
    <t>ebbe</t>
  </si>
  <si>
    <t>stinke</t>
  </si>
  <si>
    <t>schälen</t>
  </si>
  <si>
    <t>wanderung</t>
  </si>
  <si>
    <t>schatulle</t>
  </si>
  <si>
    <t>einlädt</t>
  </si>
  <si>
    <t>vorhabt</t>
  </si>
  <si>
    <t>perücken</t>
  </si>
  <si>
    <t>magnum</t>
  </si>
  <si>
    <t>klicks</t>
  </si>
  <si>
    <t>bewaffnen</t>
  </si>
  <si>
    <t>myron</t>
  </si>
  <si>
    <t>comet</t>
  </si>
  <si>
    <t>mille</t>
  </si>
  <si>
    <t>säugling</t>
  </si>
  <si>
    <t>flüchtiger</t>
  </si>
  <si>
    <t>pfeifer</t>
  </si>
  <si>
    <t>leistete</t>
  </si>
  <si>
    <t>absolution</t>
  </si>
  <si>
    <t>tampons</t>
  </si>
  <si>
    <t>scheußliche</t>
  </si>
  <si>
    <t>stripper</t>
  </si>
  <si>
    <t>typhus</t>
  </si>
  <si>
    <t>calais</t>
  </si>
  <si>
    <t>rigsby</t>
  </si>
  <si>
    <t>gerollt</t>
  </si>
  <si>
    <t>gealtert</t>
  </si>
  <si>
    <t>vergewaltigte</t>
  </si>
  <si>
    <t>umgebaut</t>
  </si>
  <si>
    <t>doktorarbeit</t>
  </si>
  <si>
    <t>verbrauchen</t>
  </si>
  <si>
    <t>bistro</t>
  </si>
  <si>
    <t>ergreifend</t>
  </si>
  <si>
    <t>jeweiligen</t>
  </si>
  <si>
    <t>demokratischen</t>
  </si>
  <si>
    <t>sechzig</t>
  </si>
  <si>
    <t>campingplatz</t>
  </si>
  <si>
    <t>tierchen</t>
  </si>
  <si>
    <t>meier</t>
  </si>
  <si>
    <t>aufzureißen</t>
  </si>
  <si>
    <t>landon</t>
  </si>
  <si>
    <t>oger</t>
  </si>
  <si>
    <t>osiris</t>
  </si>
  <si>
    <t>aufgekreuzt</t>
  </si>
  <si>
    <t>watch</t>
  </si>
  <si>
    <t>cupcake</t>
  </si>
  <si>
    <t>gemieden</t>
  </si>
  <si>
    <t>crowder</t>
  </si>
  <si>
    <t>aufpasse</t>
  </si>
  <si>
    <t>passagierliste</t>
  </si>
  <si>
    <t>eingelocht</t>
  </si>
  <si>
    <t>irwin</t>
  </si>
  <si>
    <t>grenzenlos</t>
  </si>
  <si>
    <t>lourdes</t>
  </si>
  <si>
    <t>orientalische</t>
  </si>
  <si>
    <t>legendär</t>
  </si>
  <si>
    <t>konservativ</t>
  </si>
  <si>
    <t>trauere</t>
  </si>
  <si>
    <t>erstklassiger</t>
  </si>
  <si>
    <t>cup</t>
  </si>
  <si>
    <t>krumme</t>
  </si>
  <si>
    <t>ängstigen</t>
  </si>
  <si>
    <t>glühbirnen</t>
  </si>
  <si>
    <t>anlügst</t>
  </si>
  <si>
    <t>vicodin</t>
  </si>
  <si>
    <t>liebtest</t>
  </si>
  <si>
    <t>mülltonnen</t>
  </si>
  <si>
    <t>auszubrechen</t>
  </si>
  <si>
    <t>barren</t>
  </si>
  <si>
    <t>karel</t>
  </si>
  <si>
    <t>keil</t>
  </si>
  <si>
    <t>andrei</t>
  </si>
  <si>
    <t>witzen</t>
  </si>
  <si>
    <t>leary</t>
  </si>
  <si>
    <t>knirps</t>
  </si>
  <si>
    <t>rüben</t>
  </si>
  <si>
    <t>zahnschmerzen</t>
  </si>
  <si>
    <t>männliches</t>
  </si>
  <si>
    <t>orgasmen</t>
  </si>
  <si>
    <t>obszön</t>
  </si>
  <si>
    <t>postiert</t>
  </si>
  <si>
    <t>wiedervereinigung</t>
  </si>
  <si>
    <t>keane</t>
  </si>
  <si>
    <t>herausgekommen</t>
  </si>
  <si>
    <t>navigation</t>
  </si>
  <si>
    <t>ablenkungen</t>
  </si>
  <si>
    <t>konserven</t>
  </si>
  <si>
    <t>rausgeht</t>
  </si>
  <si>
    <t>heimgekommen</t>
  </si>
  <si>
    <t>bergman</t>
  </si>
  <si>
    <t>chronicle</t>
  </si>
  <si>
    <t>runterfahren</t>
  </si>
  <si>
    <t>verspürt</t>
  </si>
  <si>
    <t>korrespondenz</t>
  </si>
  <si>
    <t>dunphy</t>
  </si>
  <si>
    <t>einbuchten</t>
  </si>
  <si>
    <t>schuß</t>
  </si>
  <si>
    <t>dieu</t>
  </si>
  <si>
    <t>keyes</t>
  </si>
  <si>
    <t>lasset</t>
  </si>
  <si>
    <t>kommunion</t>
  </si>
  <si>
    <t>elektrisch</t>
  </si>
  <si>
    <t>dum</t>
  </si>
  <si>
    <t>abschiedskuss</t>
  </si>
  <si>
    <t>wissenschaftlicher</t>
  </si>
  <si>
    <t>marker</t>
  </si>
  <si>
    <t>fertigen</t>
  </si>
  <si>
    <t>gerechter</t>
  </si>
  <si>
    <t>lichtern</t>
  </si>
  <si>
    <t>getankt</t>
  </si>
  <si>
    <t>ratsam</t>
  </si>
  <si>
    <t>hiv</t>
  </si>
  <si>
    <t>beschämen</t>
  </si>
  <si>
    <t>marcellus</t>
  </si>
  <si>
    <t>jean-claude</t>
  </si>
  <si>
    <t>raumfahrt</t>
  </si>
  <si>
    <t>ferienhaus</t>
  </si>
  <si>
    <t>alexei</t>
  </si>
  <si>
    <t>stevenson</t>
  </si>
  <si>
    <t>erklingen</t>
  </si>
  <si>
    <t>bestimmter</t>
  </si>
  <si>
    <t>eigensinnig</t>
  </si>
  <si>
    <t>durchmache</t>
  </si>
  <si>
    <t>möwe</t>
  </si>
  <si>
    <t>durchnässt</t>
  </si>
  <si>
    <t>grundregeln</t>
  </si>
  <si>
    <t>empfahl</t>
  </si>
  <si>
    <t>carina</t>
  </si>
  <si>
    <t>rind</t>
  </si>
  <si>
    <t>leidenschaftliche</t>
  </si>
  <si>
    <t>umzingeln</t>
  </si>
  <si>
    <t>zugetan</t>
  </si>
  <si>
    <t>heimatwelt</t>
  </si>
  <si>
    <t>bienenstock</t>
  </si>
  <si>
    <t>verwechselst</t>
  </si>
  <si>
    <t>glühwürmchen</t>
  </si>
  <si>
    <t>teint</t>
  </si>
  <si>
    <t>corky</t>
  </si>
  <si>
    <t>drahtzieher</t>
  </si>
  <si>
    <t>sesshaft</t>
  </si>
  <si>
    <t>jörg</t>
  </si>
  <si>
    <t>berichterstattung</t>
  </si>
  <si>
    <t>cady</t>
  </si>
  <si>
    <t>überreicht</t>
  </si>
  <si>
    <t>durchgesetzt</t>
  </si>
  <si>
    <t>gebeichtet</t>
  </si>
  <si>
    <t>leeds</t>
  </si>
  <si>
    <t>vierteldollar</t>
  </si>
  <si>
    <t>fliehe</t>
  </si>
  <si>
    <t>testosteron</t>
  </si>
  <si>
    <t>mitnimmst</t>
  </si>
  <si>
    <t>klacks</t>
  </si>
  <si>
    <t>folgender</t>
  </si>
  <si>
    <t>begegne</t>
  </si>
  <si>
    <t>drastisch</t>
  </si>
  <si>
    <t>nebenzimmer</t>
  </si>
  <si>
    <t>sahara</t>
  </si>
  <si>
    <t>gaumen</t>
  </si>
  <si>
    <t>twain</t>
  </si>
  <si>
    <t>fae</t>
  </si>
  <si>
    <t>hervorragenden</t>
  </si>
  <si>
    <t>spray</t>
  </si>
  <si>
    <t>kannste</t>
  </si>
  <si>
    <t>kellys</t>
  </si>
  <si>
    <t>damaligen</t>
  </si>
  <si>
    <t>aron</t>
  </si>
  <si>
    <t>deponiert</t>
  </si>
  <si>
    <t>botwin</t>
  </si>
  <si>
    <t>ekstase</t>
  </si>
  <si>
    <t>raupe</t>
  </si>
  <si>
    <t>kruger</t>
  </si>
  <si>
    <t>pforte</t>
  </si>
  <si>
    <t>umschreiben</t>
  </si>
  <si>
    <t>kopfes</t>
  </si>
  <si>
    <t>taylors</t>
  </si>
  <si>
    <t>grässlichen</t>
  </si>
  <si>
    <t>garnelen</t>
  </si>
  <si>
    <t>tschetschenien</t>
  </si>
  <si>
    <t>zurücklegen</t>
  </si>
  <si>
    <t>stopfe</t>
  </si>
  <si>
    <t>angemessenen</t>
  </si>
  <si>
    <t>durchbohrt</t>
  </si>
  <si>
    <t>gesichts</t>
  </si>
  <si>
    <t>strikte</t>
  </si>
  <si>
    <t>triebe</t>
  </si>
  <si>
    <t>signalton</t>
  </si>
  <si>
    <t>hühnerstall</t>
  </si>
  <si>
    <t>scarlet</t>
  </si>
  <si>
    <t>entgegennehmen</t>
  </si>
  <si>
    <t>seidenen</t>
  </si>
  <si>
    <t>hergeführt</t>
  </si>
  <si>
    <t>kevins</t>
  </si>
  <si>
    <t>schalen</t>
  </si>
  <si>
    <t>staatsanwalts</t>
  </si>
  <si>
    <t>rap</t>
  </si>
  <si>
    <t>cholesterin</t>
  </si>
  <si>
    <t>verficktes</t>
  </si>
  <si>
    <t>stinkreich</t>
  </si>
  <si>
    <t>rovere</t>
  </si>
  <si>
    <t>anka</t>
  </si>
  <si>
    <t>nope</t>
  </si>
  <si>
    <t>beiwohnen</t>
  </si>
  <si>
    <t>irdische</t>
  </si>
  <si>
    <t>beulen</t>
  </si>
  <si>
    <t>aufstände</t>
  </si>
  <si>
    <t>delores</t>
  </si>
  <si>
    <t>fanfaren</t>
  </si>
  <si>
    <t>hochhaus</t>
  </si>
  <si>
    <t>pfau</t>
  </si>
  <si>
    <t>schott</t>
  </si>
  <si>
    <t>nashville</t>
  </si>
  <si>
    <t>keaton</t>
  </si>
  <si>
    <t>parkett</t>
  </si>
  <si>
    <t>drohten</t>
  </si>
  <si>
    <t>entrissen</t>
  </si>
  <si>
    <t>zuordnen</t>
  </si>
  <si>
    <t>mothra</t>
  </si>
  <si>
    <t>gemeinden</t>
  </si>
  <si>
    <t>nachhelfen</t>
  </si>
  <si>
    <t>höchstgeschwindigkeit</t>
  </si>
  <si>
    <t>kriegsrecht</t>
  </si>
  <si>
    <t>polizeischutz</t>
  </si>
  <si>
    <t>grizzly</t>
  </si>
  <si>
    <t>vorgeschmack</t>
  </si>
  <si>
    <t>körperteil</t>
  </si>
  <si>
    <t>spargel</t>
  </si>
  <si>
    <t>polizeiwagen</t>
  </si>
  <si>
    <t>smithers</t>
  </si>
  <si>
    <t>schulhof</t>
  </si>
  <si>
    <t>does</t>
  </si>
  <si>
    <t>geladene</t>
  </si>
  <si>
    <t>nervosität</t>
  </si>
  <si>
    <t>biegt</t>
  </si>
  <si>
    <t>patrice</t>
  </si>
  <si>
    <t>mamis</t>
  </si>
  <si>
    <t>schwillt</t>
  </si>
  <si>
    <t>zimmers</t>
  </si>
  <si>
    <t>typisches</t>
  </si>
  <si>
    <t>schöneren</t>
  </si>
  <si>
    <t>unnötigen</t>
  </si>
  <si>
    <t>ausgehandelt</t>
  </si>
  <si>
    <t>spuk</t>
  </si>
  <si>
    <t>noblen</t>
  </si>
  <si>
    <t>rattern</t>
  </si>
  <si>
    <t>ausgebildete</t>
  </si>
  <si>
    <t>verdie</t>
  </si>
  <si>
    <t>diskriminierung</t>
  </si>
  <si>
    <t>geschehnisse</t>
  </si>
  <si>
    <t>bestimmungen</t>
  </si>
  <si>
    <t>sammelst</t>
  </si>
  <si>
    <t>schmuggel</t>
  </si>
  <si>
    <t>wasserstoff</t>
  </si>
  <si>
    <t>retro</t>
  </si>
  <si>
    <t>chefingenieur</t>
  </si>
  <si>
    <t>schlimmeren</t>
  </si>
  <si>
    <t>noelle</t>
  </si>
  <si>
    <t>sternenbasis</t>
  </si>
  <si>
    <t>waffenkammer</t>
  </si>
  <si>
    <t>bent</t>
  </si>
  <si>
    <t>kongressabgeordneter</t>
  </si>
  <si>
    <t>apache</t>
  </si>
  <si>
    <t>kontaktierte</t>
  </si>
  <si>
    <t>u-boote</t>
  </si>
  <si>
    <t>abspringen</t>
  </si>
  <si>
    <t>unausstehlich</t>
  </si>
  <si>
    <t>gekennzeichnet</t>
  </si>
  <si>
    <t>kaut</t>
  </si>
  <si>
    <t>unit</t>
  </si>
  <si>
    <t>ablösung</t>
  </si>
  <si>
    <t>verletzend</t>
  </si>
  <si>
    <t>hombre</t>
  </si>
  <si>
    <t>abs</t>
  </si>
  <si>
    <t>commodore</t>
  </si>
  <si>
    <t>tunneln</t>
  </si>
  <si>
    <t>krabbe</t>
  </si>
  <si>
    <t>befragungen</t>
  </si>
  <si>
    <t>gefangenenlager</t>
  </si>
  <si>
    <t>mascha</t>
  </si>
  <si>
    <t>dürfe</t>
  </si>
  <si>
    <t>überfällt</t>
  </si>
  <si>
    <t>nerys</t>
  </si>
  <si>
    <t>schulz</t>
  </si>
  <si>
    <t>indian</t>
  </si>
  <si>
    <t>herzogs</t>
  </si>
  <si>
    <t>verscheucht</t>
  </si>
  <si>
    <t>marsianer</t>
  </si>
  <si>
    <t>flush</t>
  </si>
  <si>
    <t>market</t>
  </si>
  <si>
    <t>nachgeschaut</t>
  </si>
  <si>
    <t>bischen</t>
  </si>
  <si>
    <t>feierliche</t>
  </si>
  <si>
    <t>endspiel</t>
  </si>
  <si>
    <t>plünderer</t>
  </si>
  <si>
    <t>abreibung</t>
  </si>
  <si>
    <t>filmst</t>
  </si>
  <si>
    <t>fairchild</t>
  </si>
  <si>
    <t>gandalf</t>
  </si>
  <si>
    <t>beschäftigte</t>
  </si>
  <si>
    <t>prüfte</t>
  </si>
  <si>
    <t>maskell</t>
  </si>
  <si>
    <t>trödeln</t>
  </si>
  <si>
    <t>modernes</t>
  </si>
  <si>
    <t>manuelle</t>
  </si>
  <si>
    <t>zerschnitten</t>
  </si>
  <si>
    <t>geschmeidig</t>
  </si>
  <si>
    <t>füsse</t>
  </si>
  <si>
    <t>säuft</t>
  </si>
  <si>
    <t>beständig</t>
  </si>
  <si>
    <t>bandagen</t>
  </si>
  <si>
    <t>fokussiert</t>
  </si>
  <si>
    <t>strahlende</t>
  </si>
  <si>
    <t>fügte</t>
  </si>
  <si>
    <t>magnolia</t>
  </si>
  <si>
    <t>simba</t>
  </si>
  <si>
    <t>dödel</t>
  </si>
  <si>
    <t>entsetzliche</t>
  </si>
  <si>
    <t>bind</t>
  </si>
  <si>
    <t>altmodischen</t>
  </si>
  <si>
    <t>ritten</t>
  </si>
  <si>
    <t>gesellschaften</t>
  </si>
  <si>
    <t>schreitet</t>
  </si>
  <si>
    <t>tania</t>
  </si>
  <si>
    <t>cbs</t>
  </si>
  <si>
    <t>anteilnahme</t>
  </si>
  <si>
    <t>hausbesuche</t>
  </si>
  <si>
    <t>kabul</t>
  </si>
  <si>
    <t>human</t>
  </si>
  <si>
    <t>ahnungslos</t>
  </si>
  <si>
    <t>train</t>
  </si>
  <si>
    <t>garner</t>
  </si>
  <si>
    <t>ungeschoren</t>
  </si>
  <si>
    <t>brannten</t>
  </si>
  <si>
    <t>weißbrot</t>
  </si>
  <si>
    <t>keats</t>
  </si>
  <si>
    <t>wettet</t>
  </si>
  <si>
    <t>rooney</t>
  </si>
  <si>
    <t>drogentest</t>
  </si>
  <si>
    <t>urwald</t>
  </si>
  <si>
    <t>berühmtesten</t>
  </si>
  <si>
    <t>aufzuhängen</t>
  </si>
  <si>
    <t>ausgewechselt</t>
  </si>
  <si>
    <t>unbegreiflich</t>
  </si>
  <si>
    <t>kriminelles</t>
  </si>
  <si>
    <t>horton</t>
  </si>
  <si>
    <t>lights</t>
  </si>
  <si>
    <t>hungersnot</t>
  </si>
  <si>
    <t>anzapfen</t>
  </si>
  <si>
    <t>schwierigkeit</t>
  </si>
  <si>
    <t>sandrine</t>
  </si>
  <si>
    <t>indirekt</t>
  </si>
  <si>
    <t>dröhnt</t>
  </si>
  <si>
    <t>seher</t>
  </si>
  <si>
    <t>klingonischen</t>
  </si>
  <si>
    <t>alleinerziehende</t>
  </si>
  <si>
    <t>holde</t>
  </si>
  <si>
    <t>gebrüllt</t>
  </si>
  <si>
    <t>scheidungspapiere</t>
  </si>
  <si>
    <t>vorlaut</t>
  </si>
  <si>
    <t>noir</t>
  </si>
  <si>
    <t>verspeisen</t>
  </si>
  <si>
    <t>matratzen</t>
  </si>
  <si>
    <t>ausgehend</t>
  </si>
  <si>
    <t>einzugreifen</t>
  </si>
  <si>
    <t>fürchterlichen</t>
  </si>
  <si>
    <t>verduften</t>
  </si>
  <si>
    <t>pilatus</t>
  </si>
  <si>
    <t>tiefgarage</t>
  </si>
  <si>
    <t>radioaktive</t>
  </si>
  <si>
    <t>nanntest</t>
  </si>
  <si>
    <t>häuten</t>
  </si>
  <si>
    <t>dinnerparty</t>
  </si>
  <si>
    <t>maurer</t>
  </si>
  <si>
    <t>bernhard</t>
  </si>
  <si>
    <t>danton</t>
  </si>
  <si>
    <t>armseliger</t>
  </si>
  <si>
    <t>myka</t>
  </si>
  <si>
    <t>tricorder</t>
  </si>
  <si>
    <t>schulbus</t>
  </si>
  <si>
    <t>unterbreiten</t>
  </si>
  <si>
    <t>stefanie</t>
  </si>
  <si>
    <t>unangenehmen</t>
  </si>
  <si>
    <t>zurücklehnen</t>
  </si>
  <si>
    <t>neurotisch</t>
  </si>
  <si>
    <t>shea</t>
  </si>
  <si>
    <t>chillen</t>
  </si>
  <si>
    <t>salim</t>
  </si>
  <si>
    <t>bewahrte</t>
  </si>
  <si>
    <t>bombay</t>
  </si>
  <si>
    <t>corbett</t>
  </si>
  <si>
    <t>goodwin</t>
  </si>
  <si>
    <t>moya</t>
  </si>
  <si>
    <t>plunder</t>
  </si>
  <si>
    <t>unfallort</t>
  </si>
  <si>
    <t>ozeane</t>
  </si>
  <si>
    <t>komplizierten</t>
  </si>
  <si>
    <t>würdevoll</t>
  </si>
  <si>
    <t>frisbee</t>
  </si>
  <si>
    <t>füchse</t>
  </si>
  <si>
    <t>kletter</t>
  </si>
  <si>
    <t>gewaltverbrechen</t>
  </si>
  <si>
    <t>gummibärchen</t>
  </si>
  <si>
    <t>mercury</t>
  </si>
  <si>
    <t>schuhgröße</t>
  </si>
  <si>
    <t>lawton</t>
  </si>
  <si>
    <t>sprechende</t>
  </si>
  <si>
    <t>verbundenheit</t>
  </si>
  <si>
    <t>saftig</t>
  </si>
  <si>
    <t>erotisch</t>
  </si>
  <si>
    <t>loyaler</t>
  </si>
  <si>
    <t>sudan</t>
  </si>
  <si>
    <t>scotts</t>
  </si>
  <si>
    <t>sandmann</t>
  </si>
  <si>
    <t>dehnen</t>
  </si>
  <si>
    <t>gel</t>
  </si>
  <si>
    <t>finanzminister</t>
  </si>
  <si>
    <t>armbanduhr</t>
  </si>
  <si>
    <t>kostbares</t>
  </si>
  <si>
    <t>durchsuch</t>
  </si>
  <si>
    <t>racker</t>
  </si>
  <si>
    <t>r-gespräch</t>
  </si>
  <si>
    <t>datenbanken</t>
  </si>
  <si>
    <t>roses</t>
  </si>
  <si>
    <t>wohlwollen</t>
  </si>
  <si>
    <t>schnappten</t>
  </si>
  <si>
    <t>gewischt</t>
  </si>
  <si>
    <t>abzuwenden</t>
  </si>
  <si>
    <t>latino</t>
  </si>
  <si>
    <t>selbstjustizler</t>
  </si>
  <si>
    <t>bright</t>
  </si>
  <si>
    <t>brustkrebs</t>
  </si>
  <si>
    <t>wynonna</t>
  </si>
  <si>
    <t>präpariert</t>
  </si>
  <si>
    <t>goebbels</t>
  </si>
  <si>
    <t>abstieg</t>
  </si>
  <si>
    <t>zuverlässige</t>
  </si>
  <si>
    <t>blitzschnell</t>
  </si>
  <si>
    <t>birmingham</t>
  </si>
  <si>
    <t>eidesstattliche</t>
  </si>
  <si>
    <t>ryland</t>
  </si>
  <si>
    <t>leningrad</t>
  </si>
  <si>
    <t>anschließt</t>
  </si>
  <si>
    <t>internationales</t>
  </si>
  <si>
    <t>gleichberechtigung</t>
  </si>
  <si>
    <t>innenseite</t>
  </si>
  <si>
    <t>anlocken</t>
  </si>
  <si>
    <t>zurückfallen</t>
  </si>
  <si>
    <t>vermählung</t>
  </si>
  <si>
    <t>gebeugt</t>
  </si>
  <si>
    <t>tough</t>
  </si>
  <si>
    <t>kammern</t>
  </si>
  <si>
    <t>beantwortest</t>
  </si>
  <si>
    <t>coburn</t>
  </si>
  <si>
    <t>erfahrenen</t>
  </si>
  <si>
    <t>coast</t>
  </si>
  <si>
    <t>gehoben</t>
  </si>
  <si>
    <t>verlogener</t>
  </si>
  <si>
    <t>klopfst</t>
  </si>
  <si>
    <t>sehenswürdigkeiten</t>
  </si>
  <si>
    <t>pettersson</t>
  </si>
  <si>
    <t>kidnappen</t>
  </si>
  <si>
    <t>schwierigsten</t>
  </si>
  <si>
    <t>riesenspaß</t>
  </si>
  <si>
    <t>schmeckst</t>
  </si>
  <si>
    <t>verholfen</t>
  </si>
  <si>
    <t>projekts</t>
  </si>
  <si>
    <t>dodgers</t>
  </si>
  <si>
    <t>entferntes</t>
  </si>
  <si>
    <t>gustave</t>
  </si>
  <si>
    <t>fleckchen</t>
  </si>
  <si>
    <t>abgelegenen</t>
  </si>
  <si>
    <t>gelüftet</t>
  </si>
  <si>
    <t>plädoyer</t>
  </si>
  <si>
    <t>brauen</t>
  </si>
  <si>
    <t>weißem</t>
  </si>
  <si>
    <t>ger</t>
  </si>
  <si>
    <t>hooper</t>
  </si>
  <si>
    <t>fändest</t>
  </si>
  <si>
    <t>kode</t>
  </si>
  <si>
    <t>empfangsdame</t>
  </si>
  <si>
    <t>gesuch</t>
  </si>
  <si>
    <t>doppelmord</t>
  </si>
  <si>
    <t>abgewendet</t>
  </si>
  <si>
    <t>verkürzen</t>
  </si>
  <si>
    <t>abenteuern</t>
  </si>
  <si>
    <t>lockte</t>
  </si>
  <si>
    <t>fragtest</t>
  </si>
  <si>
    <t>zwillingsschwester</t>
  </si>
  <si>
    <t>jaa</t>
  </si>
  <si>
    <t>abgefuckt</t>
  </si>
  <si>
    <t>jonglieren</t>
  </si>
  <si>
    <t>waffenlager</t>
  </si>
  <si>
    <t>mögest</t>
  </si>
  <si>
    <t>überschreitet</t>
  </si>
  <si>
    <t>parameter</t>
  </si>
  <si>
    <t>gletscher</t>
  </si>
  <si>
    <t>strände</t>
  </si>
  <si>
    <t>schweigst</t>
  </si>
  <si>
    <t>aal</t>
  </si>
  <si>
    <t>frederic</t>
  </si>
  <si>
    <t>dienstaufsicht</t>
  </si>
  <si>
    <t>notausgang</t>
  </si>
  <si>
    <t>gutaussehender</t>
  </si>
  <si>
    <t>fabio</t>
  </si>
  <si>
    <t>voila</t>
  </si>
  <si>
    <t>landeplatz</t>
  </si>
  <si>
    <t>heranzukommen</t>
  </si>
  <si>
    <t>mavis</t>
  </si>
  <si>
    <t>wahllos</t>
  </si>
  <si>
    <t>blühende</t>
  </si>
  <si>
    <t>mackey</t>
  </si>
  <si>
    <t>personenschutz</t>
  </si>
  <si>
    <t>zweikampf</t>
  </si>
  <si>
    <t>auspuff</t>
  </si>
  <si>
    <t>neigungen</t>
  </si>
  <si>
    <t>huntington</t>
  </si>
  <si>
    <t>meryl</t>
  </si>
  <si>
    <t>dumbledore</t>
  </si>
  <si>
    <t>anmerkungen</t>
  </si>
  <si>
    <t>vordermann</t>
  </si>
  <si>
    <t>rächer</t>
  </si>
  <si>
    <t>pflaume</t>
  </si>
  <si>
    <t>längen</t>
  </si>
  <si>
    <t>nähme</t>
  </si>
  <si>
    <t>woll</t>
  </si>
  <si>
    <t>strategisch</t>
  </si>
  <si>
    <t>reifenquietschen</t>
  </si>
  <si>
    <t>einbringt</t>
  </si>
  <si>
    <t>quint</t>
  </si>
  <si>
    <t>stoffwechsel</t>
  </si>
  <si>
    <t>reinzugehen</t>
  </si>
  <si>
    <t>parole</t>
  </si>
  <si>
    <t>energy</t>
  </si>
  <si>
    <t>zerbrich</t>
  </si>
  <si>
    <t>hergerichtet</t>
  </si>
  <si>
    <t>auszuüben</t>
  </si>
  <si>
    <t>macleish</t>
  </si>
  <si>
    <t>dramatischen</t>
  </si>
  <si>
    <t>unverwundbar</t>
  </si>
  <si>
    <t>ereignete</t>
  </si>
  <si>
    <t>tippt</t>
  </si>
  <si>
    <t>gewissens</t>
  </si>
  <si>
    <t>gestaltwandler</t>
  </si>
  <si>
    <t>verdrücken</t>
  </si>
  <si>
    <t>hazard</t>
  </si>
  <si>
    <t>mithören</t>
  </si>
  <si>
    <t>verhaftete</t>
  </si>
  <si>
    <t>aufregenden</t>
  </si>
  <si>
    <t>faschist</t>
  </si>
  <si>
    <t>überlegenheit</t>
  </si>
  <si>
    <t>musketier</t>
  </si>
  <si>
    <t>schatzkammer</t>
  </si>
  <si>
    <t>strumpfhose</t>
  </si>
  <si>
    <t>begegnungen</t>
  </si>
  <si>
    <t>schleusen</t>
  </si>
  <si>
    <t>dyson</t>
  </si>
  <si>
    <t>romans</t>
  </si>
  <si>
    <t>kronleuchter</t>
  </si>
  <si>
    <t>hashtag</t>
  </si>
  <si>
    <t>brautkleid</t>
  </si>
  <si>
    <t>bobbie</t>
  </si>
  <si>
    <t>verstellt</t>
  </si>
  <si>
    <t>pein</t>
  </si>
  <si>
    <t>spannt</t>
  </si>
  <si>
    <t>beowulf</t>
  </si>
  <si>
    <t>senora</t>
  </si>
  <si>
    <t>vermasselst</t>
  </si>
  <si>
    <t>übersät</t>
  </si>
  <si>
    <t>werken</t>
  </si>
  <si>
    <t>zerfressen</t>
  </si>
  <si>
    <t>billings</t>
  </si>
  <si>
    <t>eisberg</t>
  </si>
  <si>
    <t>sprechstunde</t>
  </si>
  <si>
    <t>aperitif</t>
  </si>
  <si>
    <t>quieken</t>
  </si>
  <si>
    <t>selbstmörder</t>
  </si>
  <si>
    <t>weltweite</t>
  </si>
  <si>
    <t>adèle</t>
  </si>
  <si>
    <t>flotten</t>
  </si>
  <si>
    <t>priscilla</t>
  </si>
  <si>
    <t>schwenken</t>
  </si>
  <si>
    <t>kokon</t>
  </si>
  <si>
    <t>zaubersprüche</t>
  </si>
  <si>
    <t>gedenke</t>
  </si>
  <si>
    <t>tov</t>
  </si>
  <si>
    <t>durchquert</t>
  </si>
  <si>
    <t>hex</t>
  </si>
  <si>
    <t>würdiger</t>
  </si>
  <si>
    <t>verhaltet</t>
  </si>
  <si>
    <t>ausziehe</t>
  </si>
  <si>
    <t>hochklettern</t>
  </si>
  <si>
    <t>robust</t>
  </si>
  <si>
    <t>ehrenvoll</t>
  </si>
  <si>
    <t>simulieren</t>
  </si>
  <si>
    <t>bombenanschlag</t>
  </si>
  <si>
    <t>gräbern</t>
  </si>
  <si>
    <t>ordne</t>
  </si>
  <si>
    <t>türke</t>
  </si>
  <si>
    <t>vordere</t>
  </si>
  <si>
    <t>karnickel</t>
  </si>
  <si>
    <t>belgrad</t>
  </si>
  <si>
    <t>dona</t>
  </si>
  <si>
    <t>verbandszeug</t>
  </si>
  <si>
    <t>annimmst</t>
  </si>
  <si>
    <t>beschädigte</t>
  </si>
  <si>
    <t>speise</t>
  </si>
  <si>
    <t>winke</t>
  </si>
  <si>
    <t>rosenkranz</t>
  </si>
  <si>
    <t>verkehrsunfall</t>
  </si>
  <si>
    <t>schwarzem</t>
  </si>
  <si>
    <t>einbeziehen</t>
  </si>
  <si>
    <t>heimzuzahlen</t>
  </si>
  <si>
    <t>schönheiten</t>
  </si>
  <si>
    <t>wechselst</t>
  </si>
  <si>
    <t>sphäre</t>
  </si>
  <si>
    <t>vielfalt</t>
  </si>
  <si>
    <t>derby</t>
  </si>
  <si>
    <t>landei</t>
  </si>
  <si>
    <t>zerkratzt</t>
  </si>
  <si>
    <t>gewünschte</t>
  </si>
  <si>
    <t>modenschau</t>
  </si>
  <si>
    <t>inkognito</t>
  </si>
  <si>
    <t>zusammenstoß</t>
  </si>
  <si>
    <t>todesopfer</t>
  </si>
  <si>
    <t>mixen</t>
  </si>
  <si>
    <t>backt</t>
  </si>
  <si>
    <t>klischees</t>
  </si>
  <si>
    <t>blanchard</t>
  </si>
  <si>
    <t>bereitwillig</t>
  </si>
  <si>
    <t>auszugleichen</t>
  </si>
  <si>
    <t>projekten</t>
  </si>
  <si>
    <t>aquaman</t>
  </si>
  <si>
    <t>jüdischer</t>
  </si>
  <si>
    <t>interface</t>
  </si>
  <si>
    <t>ausspionieren</t>
  </si>
  <si>
    <t>auffrischen</t>
  </si>
  <si>
    <t>legalen</t>
  </si>
  <si>
    <t>königliches</t>
  </si>
  <si>
    <t>wiederaufbau</t>
  </si>
  <si>
    <t>vorbeikam</t>
  </si>
  <si>
    <t>überresten</t>
  </si>
  <si>
    <t>mobil</t>
  </si>
  <si>
    <t>drecksäcke</t>
  </si>
  <si>
    <t>viertes</t>
  </si>
  <si>
    <t>mordanklage</t>
  </si>
  <si>
    <t>cory</t>
  </si>
  <si>
    <t>schwertkämpfer</t>
  </si>
  <si>
    <t>überließ</t>
  </si>
  <si>
    <t>unterbricht</t>
  </si>
  <si>
    <t>zutrifft</t>
  </si>
  <si>
    <t>bube</t>
  </si>
  <si>
    <t>reinfallen</t>
  </si>
  <si>
    <t>verschaffte</t>
  </si>
  <si>
    <t>erfolgte</t>
  </si>
  <si>
    <t>verwundert</t>
  </si>
  <si>
    <t>gebar</t>
  </si>
  <si>
    <t>hingewiesen</t>
  </si>
  <si>
    <t>lauer</t>
  </si>
  <si>
    <t>militärischer</t>
  </si>
  <si>
    <t>rashid</t>
  </si>
  <si>
    <t>roderick</t>
  </si>
  <si>
    <t>gelobte</t>
  </si>
  <si>
    <t>ankläger</t>
  </si>
  <si>
    <t>gemächer</t>
  </si>
  <si>
    <t>nachgegangen</t>
  </si>
  <si>
    <t>echtem</t>
  </si>
  <si>
    <t>musikalische</t>
  </si>
  <si>
    <t>bildete</t>
  </si>
  <si>
    <t>pulsadern</t>
  </si>
  <si>
    <t>vermöbeln</t>
  </si>
  <si>
    <t>eingänge</t>
  </si>
  <si>
    <t>verdauung</t>
  </si>
  <si>
    <t>hingehöre</t>
  </si>
  <si>
    <t>marlon</t>
  </si>
  <si>
    <t>nola</t>
  </si>
  <si>
    <t>verstimmt</t>
  </si>
  <si>
    <t>vorzuwerfen</t>
  </si>
  <si>
    <t>sogleich</t>
  </si>
  <si>
    <t>jimi</t>
  </si>
  <si>
    <t>schwärmt</t>
  </si>
  <si>
    <t>säuberung</t>
  </si>
  <si>
    <t>hexenjagd</t>
  </si>
  <si>
    <t>steuererklärung</t>
  </si>
  <si>
    <t>entschädigen</t>
  </si>
  <si>
    <t>dirigent</t>
  </si>
  <si>
    <t>barbier</t>
  </si>
  <si>
    <t>nordafrika</t>
  </si>
  <si>
    <t>caro</t>
  </si>
  <si>
    <t>lügendetektortest</t>
  </si>
  <si>
    <t>ausgespuckt</t>
  </si>
  <si>
    <t>reichst</t>
  </si>
  <si>
    <t>praktischen</t>
  </si>
  <si>
    <t>herauszukommen</t>
  </si>
  <si>
    <t>sure</t>
  </si>
  <si>
    <t>auferlegt</t>
  </si>
  <si>
    <t>soziales</t>
  </si>
  <si>
    <t>aufregendste</t>
  </si>
  <si>
    <t>einflussreiche</t>
  </si>
  <si>
    <t>drängte</t>
  </si>
  <si>
    <t>darth</t>
  </si>
  <si>
    <t>dantes</t>
  </si>
  <si>
    <t>homosexuellen</t>
  </si>
  <si>
    <t>homosexualität</t>
  </si>
  <si>
    <t>knirschen</t>
  </si>
  <si>
    <t>treffens</t>
  </si>
  <si>
    <t>ryo</t>
  </si>
  <si>
    <t>exfreundin</t>
  </si>
  <si>
    <t>edelmann</t>
  </si>
  <si>
    <t>damaskus</t>
  </si>
  <si>
    <t>interpretiert</t>
  </si>
  <si>
    <t>gerichtsverhandlung</t>
  </si>
  <si>
    <t>locksley</t>
  </si>
  <si>
    <t>liebevoller</t>
  </si>
  <si>
    <t>ausflüge</t>
  </si>
  <si>
    <t>huber</t>
  </si>
  <si>
    <t>vorhatten</t>
  </si>
  <si>
    <t>anschalten</t>
  </si>
  <si>
    <t>curzon</t>
  </si>
  <si>
    <t>bürokraten</t>
  </si>
  <si>
    <t>ministerpräsident</t>
  </si>
  <si>
    <t>idris</t>
  </si>
  <si>
    <t>praktikant</t>
  </si>
  <si>
    <t>hilferuf</t>
  </si>
  <si>
    <t>yolanda</t>
  </si>
  <si>
    <t>zugeschaut</t>
  </si>
  <si>
    <t>paxton</t>
  </si>
  <si>
    <t>anziehe</t>
  </si>
  <si>
    <t>großmama</t>
  </si>
  <si>
    <t>geknutscht</t>
  </si>
  <si>
    <t>frecher</t>
  </si>
  <si>
    <t>esmeralda</t>
  </si>
  <si>
    <t>verstummen</t>
  </si>
  <si>
    <t>helsing</t>
  </si>
  <si>
    <t>alleinige</t>
  </si>
  <si>
    <t>glasgow</t>
  </si>
  <si>
    <t>geländewagen</t>
  </si>
  <si>
    <t>chopin</t>
  </si>
  <si>
    <t>view</t>
  </si>
  <si>
    <t>mutant</t>
  </si>
  <si>
    <t>rechtsabteilung</t>
  </si>
  <si>
    <t>ressler</t>
  </si>
  <si>
    <t>tyrone</t>
  </si>
  <si>
    <t>schleppte</t>
  </si>
  <si>
    <t>oberstleutnant</t>
  </si>
  <si>
    <t>weggeschmissen</t>
  </si>
  <si>
    <t>hörnern</t>
  </si>
  <si>
    <t>henriette</t>
  </si>
  <si>
    <t>meeresgrund</t>
  </si>
  <si>
    <t>aufgeschmissen</t>
  </si>
  <si>
    <t>mild</t>
  </si>
  <si>
    <t>bestückt</t>
  </si>
  <si>
    <t>hausen</t>
  </si>
  <si>
    <t>widmung</t>
  </si>
  <si>
    <t>freihalten</t>
  </si>
  <si>
    <t>gendarm</t>
  </si>
  <si>
    <t>duften</t>
  </si>
  <si>
    <t>spiritus</t>
  </si>
  <si>
    <t>gefüllte</t>
  </si>
  <si>
    <t>terrance</t>
  </si>
  <si>
    <t>vorige</t>
  </si>
  <si>
    <t>class</t>
  </si>
  <si>
    <t>weissen</t>
  </si>
  <si>
    <t>milchshake</t>
  </si>
  <si>
    <t>delhi</t>
  </si>
  <si>
    <t>priesterin</t>
  </si>
  <si>
    <t>hatice</t>
  </si>
  <si>
    <t>bescheuerter</t>
  </si>
  <si>
    <t>dreifachen</t>
  </si>
  <si>
    <t>latinos</t>
  </si>
  <si>
    <t>vermählt</t>
  </si>
  <si>
    <t>zwangsjacke</t>
  </si>
  <si>
    <t>besagten</t>
  </si>
  <si>
    <t>rune</t>
  </si>
  <si>
    <t>johnston</t>
  </si>
  <si>
    <t>staatspolizei</t>
  </si>
  <si>
    <t>shep</t>
  </si>
  <si>
    <t>gottlosen</t>
  </si>
  <si>
    <t>bajoranischen</t>
  </si>
  <si>
    <t>vincenzo</t>
  </si>
  <si>
    <t>croissants</t>
  </si>
  <si>
    <t>weitermacht</t>
  </si>
  <si>
    <t>hitomi</t>
  </si>
  <si>
    <t>epoche</t>
  </si>
  <si>
    <t>kelzi</t>
  </si>
  <si>
    <t>glücksfall</t>
  </si>
  <si>
    <t>babi</t>
  </si>
  <si>
    <t>anging</t>
  </si>
  <si>
    <t>spirale</t>
  </si>
  <si>
    <t>ausgestoßen</t>
  </si>
  <si>
    <t>verstaut</t>
  </si>
  <si>
    <t>wiederbelebung</t>
  </si>
  <si>
    <t>kauderwelsch</t>
  </si>
  <si>
    <t>blutergüsse</t>
  </si>
  <si>
    <t>rückfällig</t>
  </si>
  <si>
    <t>andeutungen</t>
  </si>
  <si>
    <t>motels</t>
  </si>
  <si>
    <t>verpacken</t>
  </si>
  <si>
    <t>exzellenter</t>
  </si>
  <si>
    <t>cummings</t>
  </si>
  <si>
    <t>männerstimme</t>
  </si>
  <si>
    <t>wichtigtuer</t>
  </si>
  <si>
    <t>rowena</t>
  </si>
  <si>
    <t>waterloo</t>
  </si>
  <si>
    <t>auftauchten</t>
  </si>
  <si>
    <t>ansammlung</t>
  </si>
  <si>
    <t>hinblick</t>
  </si>
  <si>
    <t>keim</t>
  </si>
  <si>
    <t>warteschleife</t>
  </si>
  <si>
    <t>wehrte</t>
  </si>
  <si>
    <t>zeiger</t>
  </si>
  <si>
    <t>welles</t>
  </si>
  <si>
    <t>guillermo</t>
  </si>
  <si>
    <t>zeitlupe</t>
  </si>
  <si>
    <t>notiere</t>
  </si>
  <si>
    <t>generaldirektor</t>
  </si>
  <si>
    <t>abschrecken</t>
  </si>
  <si>
    <t>witziges</t>
  </si>
  <si>
    <t>kreist</t>
  </si>
  <si>
    <t>archäologen</t>
  </si>
  <si>
    <t>valentin</t>
  </si>
  <si>
    <t>gefischt</t>
  </si>
  <si>
    <t>reizvoll</t>
  </si>
  <si>
    <t>pfefferminz</t>
  </si>
  <si>
    <t>enttäuschungen</t>
  </si>
  <si>
    <t>hufeisen</t>
  </si>
  <si>
    <t>berechne</t>
  </si>
  <si>
    <t>unvermeidbar</t>
  </si>
  <si>
    <t>speisekammer</t>
  </si>
  <si>
    <t>bypass</t>
  </si>
  <si>
    <t>grober</t>
  </si>
  <si>
    <t>peinlichen</t>
  </si>
  <si>
    <t>schwiegereltern</t>
  </si>
  <si>
    <t>schließung</t>
  </si>
  <si>
    <t>fotografiere</t>
  </si>
  <si>
    <t>kolben</t>
  </si>
  <si>
    <t>senioren</t>
  </si>
  <si>
    <t>luftröhre</t>
  </si>
  <si>
    <t>unglaubwürdig</t>
  </si>
  <si>
    <t>drummer</t>
  </si>
  <si>
    <t>puppenspieler</t>
  </si>
  <si>
    <t>erics</t>
  </si>
  <si>
    <t>zahlten</t>
  </si>
  <si>
    <t>entbehrlich</t>
  </si>
  <si>
    <t>gegenüberstellung</t>
  </si>
  <si>
    <t>benebelt</t>
  </si>
  <si>
    <t>athlet</t>
  </si>
  <si>
    <t>gemordet</t>
  </si>
  <si>
    <t>kriegs</t>
  </si>
  <si>
    <t>degradiert</t>
  </si>
  <si>
    <t>anmutig</t>
  </si>
  <si>
    <t>hooky81</t>
  </si>
  <si>
    <t>erstickte</t>
  </si>
  <si>
    <t>anbelangt</t>
  </si>
  <si>
    <t>nor</t>
  </si>
  <si>
    <t>analytiker</t>
  </si>
  <si>
    <t>hecht</t>
  </si>
  <si>
    <t>vereinigte</t>
  </si>
  <si>
    <t>heißem</t>
  </si>
  <si>
    <t>traumfrau</t>
  </si>
  <si>
    <t>wenigkeit</t>
  </si>
  <si>
    <t>rentier</t>
  </si>
  <si>
    <t>anspielungen</t>
  </si>
  <si>
    <t>egoistischer</t>
  </si>
  <si>
    <t>worth</t>
  </si>
  <si>
    <t>grossvater</t>
  </si>
  <si>
    <t>woah</t>
  </si>
  <si>
    <t>dmitri</t>
  </si>
  <si>
    <t>laus</t>
  </si>
  <si>
    <t>pianist</t>
  </si>
  <si>
    <t>hinken</t>
  </si>
  <si>
    <t>gestein</t>
  </si>
  <si>
    <t>anschaust</t>
  </si>
  <si>
    <t>geringen</t>
  </si>
  <si>
    <t>graffiti</t>
  </si>
  <si>
    <t>gredenko</t>
  </si>
  <si>
    <t>elendes</t>
  </si>
  <si>
    <t>wußtest</t>
  </si>
  <si>
    <t>lira</t>
  </si>
  <si>
    <t>bewegten</t>
  </si>
  <si>
    <t>körpersprache</t>
  </si>
  <si>
    <t>fertigzumachen</t>
  </si>
  <si>
    <t>büschen</t>
  </si>
  <si>
    <t>muhen</t>
  </si>
  <si>
    <t>kürzungen</t>
  </si>
  <si>
    <t>halsschlagader</t>
  </si>
  <si>
    <t>meadows</t>
  </si>
  <si>
    <t>tris</t>
  </si>
  <si>
    <t>gebratene</t>
  </si>
  <si>
    <t>grundsätze</t>
  </si>
  <si>
    <t>insassin</t>
  </si>
  <si>
    <t>bootshaus</t>
  </si>
  <si>
    <t>talenten</t>
  </si>
  <si>
    <t>knüpfen</t>
  </si>
  <si>
    <t>zaster</t>
  </si>
  <si>
    <t>tiberius</t>
  </si>
  <si>
    <t>bitches</t>
  </si>
  <si>
    <t>kriech</t>
  </si>
  <si>
    <t>grabt</t>
  </si>
  <si>
    <t>ausfall</t>
  </si>
  <si>
    <t>schleiche</t>
  </si>
  <si>
    <t>petey</t>
  </si>
  <si>
    <t>haftbefehle</t>
  </si>
  <si>
    <t>mistress</t>
  </si>
  <si>
    <t>germain</t>
  </si>
  <si>
    <t>pflaumen</t>
  </si>
  <si>
    <t>blackjack</t>
  </si>
  <si>
    <t>mckenzie</t>
  </si>
  <si>
    <t>umsteigen</t>
  </si>
  <si>
    <t>dumpfe</t>
  </si>
  <si>
    <t>durchsichtig</t>
  </si>
  <si>
    <t>sozialismus</t>
  </si>
  <si>
    <t>schlumpfine</t>
  </si>
  <si>
    <t>shiro</t>
  </si>
  <si>
    <t>uterus</t>
  </si>
  <si>
    <t>spiegelt</t>
  </si>
  <si>
    <t>jetzige</t>
  </si>
  <si>
    <t>nahrungskette</t>
  </si>
  <si>
    <t>vollzählig</t>
  </si>
  <si>
    <t>bah</t>
  </si>
  <si>
    <t>schulglocke</t>
  </si>
  <si>
    <t>rosewood</t>
  </si>
  <si>
    <t>erleidet</t>
  </si>
  <si>
    <t>verunglückt</t>
  </si>
  <si>
    <t>begleiterin</t>
  </si>
  <si>
    <t>babette</t>
  </si>
  <si>
    <t>ausflüchte</t>
  </si>
  <si>
    <t>auszuweichen</t>
  </si>
  <si>
    <t>stolpert</t>
  </si>
  <si>
    <t>southern</t>
  </si>
  <si>
    <t>edinburgh</t>
  </si>
  <si>
    <t>bergauf</t>
  </si>
  <si>
    <t>fogg</t>
  </si>
  <si>
    <t>inständig</t>
  </si>
  <si>
    <t>arbeitslose</t>
  </si>
  <si>
    <t>hands</t>
  </si>
  <si>
    <t>fortgeschrittene</t>
  </si>
  <si>
    <t>aufbaut</t>
  </si>
  <si>
    <t>mündel</t>
  </si>
  <si>
    <t>kiffer</t>
  </si>
  <si>
    <t>chinesin</t>
  </si>
  <si>
    <t>untertan</t>
  </si>
  <si>
    <t>sense</t>
  </si>
  <si>
    <t>aberjetzt</t>
  </si>
  <si>
    <t>because</t>
  </si>
  <si>
    <t>schönheitssalon</t>
  </si>
  <si>
    <t>kollision</t>
  </si>
  <si>
    <t>unehrenhaft</t>
  </si>
  <si>
    <t>rauszubringen</t>
  </si>
  <si>
    <t>blümchen</t>
  </si>
  <si>
    <t>gefördert</t>
  </si>
  <si>
    <t>rechtlichen</t>
  </si>
  <si>
    <t>enkeln</t>
  </si>
  <si>
    <t>sister</t>
  </si>
  <si>
    <t>caruso</t>
  </si>
  <si>
    <t>erledigte</t>
  </si>
  <si>
    <t>qiu</t>
  </si>
  <si>
    <t>beklauen</t>
  </si>
  <si>
    <t>schmecke</t>
  </si>
  <si>
    <t>bunten</t>
  </si>
  <si>
    <t>olymp</t>
  </si>
  <si>
    <t>skulpturen</t>
  </si>
  <si>
    <t>salomon</t>
  </si>
  <si>
    <t>aufgespießt</t>
  </si>
  <si>
    <t>sicherheitsstufe</t>
  </si>
  <si>
    <t>british</t>
  </si>
  <si>
    <t>herausstellen</t>
  </si>
  <si>
    <t>technischer</t>
  </si>
  <si>
    <t>astor</t>
  </si>
  <si>
    <t>geduldet</t>
  </si>
  <si>
    <t>raster</t>
  </si>
  <si>
    <t>verdammen</t>
  </si>
  <si>
    <t>lästige</t>
  </si>
  <si>
    <t>valentino</t>
  </si>
  <si>
    <t>bewerfen</t>
  </si>
  <si>
    <t>angenehmes</t>
  </si>
  <si>
    <t>umgestellt</t>
  </si>
  <si>
    <t>hingesetzt</t>
  </si>
  <si>
    <t>kosmische</t>
  </si>
  <si>
    <t>nebenwirkung</t>
  </si>
  <si>
    <t>mattie</t>
  </si>
  <si>
    <t>eintrittskarten</t>
  </si>
  <si>
    <t>korsett</t>
  </si>
  <si>
    <t>killian</t>
  </si>
  <si>
    <t>mächten</t>
  </si>
  <si>
    <t>dialyse</t>
  </si>
  <si>
    <t>unergründlich</t>
  </si>
  <si>
    <t>kämmen</t>
  </si>
  <si>
    <t>flight</t>
  </si>
  <si>
    <t>farnsworth</t>
  </si>
  <si>
    <t>oren</t>
  </si>
  <si>
    <t>keksen</t>
  </si>
  <si>
    <t>reptilien</t>
  </si>
  <si>
    <t>nasir</t>
  </si>
  <si>
    <t>lannister</t>
  </si>
  <si>
    <t>albrecht</t>
  </si>
  <si>
    <t>zutun</t>
  </si>
  <si>
    <t>pen</t>
  </si>
  <si>
    <t>zwickmühle</t>
  </si>
  <si>
    <t>weiterkämpfen</t>
  </si>
  <si>
    <t>variablen</t>
  </si>
  <si>
    <t>alonzo</t>
  </si>
  <si>
    <t>wimpern</t>
  </si>
  <si>
    <t>bewährt</t>
  </si>
  <si>
    <t>herumfahren</t>
  </si>
  <si>
    <t>hymne</t>
  </si>
  <si>
    <t>überschreiben</t>
  </si>
  <si>
    <t>brittany</t>
  </si>
  <si>
    <t>léon</t>
  </si>
  <si>
    <t>bücken</t>
  </si>
  <si>
    <t>zumuten</t>
  </si>
  <si>
    <t>gebannt</t>
  </si>
  <si>
    <t>regionen</t>
  </si>
  <si>
    <t>mette</t>
  </si>
  <si>
    <t>bewies</t>
  </si>
  <si>
    <t>quaken</t>
  </si>
  <si>
    <t>dächern</t>
  </si>
  <si>
    <t>kemp</t>
  </si>
  <si>
    <t>rog</t>
  </si>
  <si>
    <t>zusammenhängen</t>
  </si>
  <si>
    <t>einzelzimmer</t>
  </si>
  <si>
    <t>erwähnung</t>
  </si>
  <si>
    <t>reinplatzen</t>
  </si>
  <si>
    <t>amador</t>
  </si>
  <si>
    <t>christensen</t>
  </si>
  <si>
    <t>ladens</t>
  </si>
  <si>
    <t>pyjamas</t>
  </si>
  <si>
    <t>montage</t>
  </si>
  <si>
    <t>untergebenen</t>
  </si>
  <si>
    <t>sentimentale</t>
  </si>
  <si>
    <t>lenkst</t>
  </si>
  <si>
    <t>punktzahl</t>
  </si>
  <si>
    <t>spöttisch</t>
  </si>
  <si>
    <t>todkrank</t>
  </si>
  <si>
    <t>entzwei</t>
  </si>
  <si>
    <t>mar</t>
  </si>
  <si>
    <t>paparazzi</t>
  </si>
  <si>
    <t>lyman</t>
  </si>
  <si>
    <t>kraftvoll</t>
  </si>
  <si>
    <t>erdulden</t>
  </si>
  <si>
    <t>motorengeräusch</t>
  </si>
  <si>
    <t>proteste</t>
  </si>
  <si>
    <t>wandelnde</t>
  </si>
  <si>
    <t>unscharf</t>
  </si>
  <si>
    <t>beale</t>
  </si>
  <si>
    <t>festgenagelt</t>
  </si>
  <si>
    <t>raue</t>
  </si>
  <si>
    <t>gemütlicher</t>
  </si>
  <si>
    <t>überzeugender</t>
  </si>
  <si>
    <t>claires</t>
  </si>
  <si>
    <t>rankin</t>
  </si>
  <si>
    <t>haferbrei</t>
  </si>
  <si>
    <t>lächelnd</t>
  </si>
  <si>
    <t>macke</t>
  </si>
  <si>
    <t>stoppte</t>
  </si>
  <si>
    <t>entspannter</t>
  </si>
  <si>
    <t>fotzen</t>
  </si>
  <si>
    <t>dig</t>
  </si>
  <si>
    <t>wlan</t>
  </si>
  <si>
    <t>beherbergen</t>
  </si>
  <si>
    <t>mikrofilm</t>
  </si>
  <si>
    <t>verschwörer</t>
  </si>
  <si>
    <t>angesehener</t>
  </si>
  <si>
    <t>prudence</t>
  </si>
  <si>
    <t>jägern</t>
  </si>
  <si>
    <t>chaz</t>
  </si>
  <si>
    <t>ulf</t>
  </si>
  <si>
    <t>tung</t>
  </si>
  <si>
    <t>gestärkt</t>
  </si>
  <si>
    <t>gesehnt</t>
  </si>
  <si>
    <t>meyers</t>
  </si>
  <si>
    <t>tagung</t>
  </si>
  <si>
    <t>dänische</t>
  </si>
  <si>
    <t>wäret</t>
  </si>
  <si>
    <t>leibes</t>
  </si>
  <si>
    <t>burma</t>
  </si>
  <si>
    <t>werbespots</t>
  </si>
  <si>
    <t>ausbeutung</t>
  </si>
  <si>
    <t>corp</t>
  </si>
  <si>
    <t>prix</t>
  </si>
  <si>
    <t>corax</t>
  </si>
  <si>
    <t>gottheit</t>
  </si>
  <si>
    <t>einzigartiges</t>
  </si>
  <si>
    <t>gomorrha</t>
  </si>
  <si>
    <t>wachleute</t>
  </si>
  <si>
    <t>hatschi</t>
  </si>
  <si>
    <t>viktoria</t>
  </si>
  <si>
    <t>step</t>
  </si>
  <si>
    <t>kopftuch</t>
  </si>
  <si>
    <t>magenschmerzen</t>
  </si>
  <si>
    <t>maui</t>
  </si>
  <si>
    <t>animation</t>
  </si>
  <si>
    <t>präsidentschaft</t>
  </si>
  <si>
    <t>sokrates</t>
  </si>
  <si>
    <t>geheimdienstes</t>
  </si>
  <si>
    <t>breen</t>
  </si>
  <si>
    <t>erging</t>
  </si>
  <si>
    <t>aufzumuntern</t>
  </si>
  <si>
    <t>manifest</t>
  </si>
  <si>
    <t>deckard</t>
  </si>
  <si>
    <t>holder</t>
  </si>
  <si>
    <t>fugen</t>
  </si>
  <si>
    <t>dränge</t>
  </si>
  <si>
    <t>gemeinnützige</t>
  </si>
  <si>
    <t>augenzeuge</t>
  </si>
  <si>
    <t>inferno</t>
  </si>
  <si>
    <t>saxon</t>
  </si>
  <si>
    <t>darwyn</t>
  </si>
  <si>
    <t>billys</t>
  </si>
  <si>
    <t>quacksalber</t>
  </si>
  <si>
    <t>supermann</t>
  </si>
  <si>
    <t>edo</t>
  </si>
  <si>
    <t>verschaffe</t>
  </si>
  <si>
    <t>mitmachst</t>
  </si>
  <si>
    <t>sekretärinnen</t>
  </si>
  <si>
    <t>charlottes</t>
  </si>
  <si>
    <t>schärfste</t>
  </si>
  <si>
    <t>winterschlaf</t>
  </si>
  <si>
    <t>r2-d2</t>
  </si>
  <si>
    <t>bristol</t>
  </si>
  <si>
    <t>rutschig</t>
  </si>
  <si>
    <t>verknüpft</t>
  </si>
  <si>
    <t>gesellschaftlichen</t>
  </si>
  <si>
    <t>alexa</t>
  </si>
  <si>
    <t>schröder</t>
  </si>
  <si>
    <t>duscht</t>
  </si>
  <si>
    <t>elektronisches</t>
  </si>
  <si>
    <t>annahmen</t>
  </si>
  <si>
    <t>ampeln</t>
  </si>
  <si>
    <t>violetta</t>
  </si>
  <si>
    <t>cardassianische</t>
  </si>
  <si>
    <t>zed</t>
  </si>
  <si>
    <t>gestreckt</t>
  </si>
  <si>
    <t>gesehn</t>
  </si>
  <si>
    <t>dildo</t>
  </si>
  <si>
    <t>robins</t>
  </si>
  <si>
    <t>drehbücher</t>
  </si>
  <si>
    <t>versagst</t>
  </si>
  <si>
    <t>herrscherin</t>
  </si>
  <si>
    <t>layla</t>
  </si>
  <si>
    <t>tichy</t>
  </si>
  <si>
    <t>tollpatsch</t>
  </si>
  <si>
    <t>hausschuhe</t>
  </si>
  <si>
    <t>stadtrand</t>
  </si>
  <si>
    <t>anstarrt</t>
  </si>
  <si>
    <t>flop</t>
  </si>
  <si>
    <t>biografie</t>
  </si>
  <si>
    <t>lei</t>
  </si>
  <si>
    <t>rockefeller</t>
  </si>
  <si>
    <t>account</t>
  </si>
  <si>
    <t>kluft</t>
  </si>
  <si>
    <t>herrentoilette</t>
  </si>
  <si>
    <t>stöcke</t>
  </si>
  <si>
    <t>zeichnete</t>
  </si>
  <si>
    <t>hörbar</t>
  </si>
  <si>
    <t>gelbes</t>
  </si>
  <si>
    <t>angebliche</t>
  </si>
  <si>
    <t>beschleunigung</t>
  </si>
  <si>
    <t>geistlicher</t>
  </si>
  <si>
    <t>deniz</t>
  </si>
  <si>
    <t>uhrwerk</t>
  </si>
  <si>
    <t>gründet</t>
  </si>
  <si>
    <t>nagt</t>
  </si>
  <si>
    <t>aufmunterung</t>
  </si>
  <si>
    <t>joni</t>
  </si>
  <si>
    <t>spulen</t>
  </si>
  <si>
    <t>beleuchtet</t>
  </si>
  <si>
    <t>einmaliges</t>
  </si>
  <si>
    <t>carlyle</t>
  </si>
  <si>
    <t>anzuklagen</t>
  </si>
  <si>
    <t>verlorener</t>
  </si>
  <si>
    <t>hubbard</t>
  </si>
  <si>
    <t>bereichern</t>
  </si>
  <si>
    <t>ausgeschieden</t>
  </si>
  <si>
    <t>kanten</t>
  </si>
  <si>
    <t>bedank</t>
  </si>
  <si>
    <t>wahrsten</t>
  </si>
  <si>
    <t>kriegers</t>
  </si>
  <si>
    <t>massenmörder</t>
  </si>
  <si>
    <t>stäbchen</t>
  </si>
  <si>
    <t>outfits</t>
  </si>
  <si>
    <t>gassen</t>
  </si>
  <si>
    <t>arlo</t>
  </si>
  <si>
    <t>lunte</t>
  </si>
  <si>
    <t>poole</t>
  </si>
  <si>
    <t>ausgezeichneten</t>
  </si>
  <si>
    <t>unkosten</t>
  </si>
  <si>
    <t>nahaufnahme</t>
  </si>
  <si>
    <t>schwankt</t>
  </si>
  <si>
    <t>bände</t>
  </si>
  <si>
    <t>teiepathen</t>
  </si>
  <si>
    <t>elinor</t>
  </si>
  <si>
    <t>hochfahren</t>
  </si>
  <si>
    <t>formieren</t>
  </si>
  <si>
    <t>luden</t>
  </si>
  <si>
    <t>arrogante</t>
  </si>
  <si>
    <t>konvention</t>
  </si>
  <si>
    <t>vene</t>
  </si>
  <si>
    <t>doakes</t>
  </si>
  <si>
    <t>ihresgleichen</t>
  </si>
  <si>
    <t>hochjagen</t>
  </si>
  <si>
    <t>beurlaubt</t>
  </si>
  <si>
    <t>aufsagen</t>
  </si>
  <si>
    <t>telefonanruf</t>
  </si>
  <si>
    <t>drogendezernat</t>
  </si>
  <si>
    <t>garry</t>
  </si>
  <si>
    <t>kubanische</t>
  </si>
  <si>
    <t>cornwall</t>
  </si>
  <si>
    <t>andie</t>
  </si>
  <si>
    <t>jh</t>
  </si>
  <si>
    <t>flache</t>
  </si>
  <si>
    <t>vip</t>
  </si>
  <si>
    <t>gattung</t>
  </si>
  <si>
    <t>dealt</t>
  </si>
  <si>
    <t>einzuschlagen</t>
  </si>
  <si>
    <t>versammelten</t>
  </si>
  <si>
    <t>fleischbällchen</t>
  </si>
  <si>
    <t>ausräumen</t>
  </si>
  <si>
    <t>banjo</t>
  </si>
  <si>
    <t>zögerst</t>
  </si>
  <si>
    <t>engels</t>
  </si>
  <si>
    <t>gegenübertreten</t>
  </si>
  <si>
    <t>ehelichen</t>
  </si>
  <si>
    <t>skinny</t>
  </si>
  <si>
    <t>petit</t>
  </si>
  <si>
    <t>leitenden</t>
  </si>
  <si>
    <t>delle</t>
  </si>
  <si>
    <t>fleiß</t>
  </si>
  <si>
    <t>marin</t>
  </si>
  <si>
    <t>maple</t>
  </si>
  <si>
    <t>alberner</t>
  </si>
  <si>
    <t>belangen</t>
  </si>
  <si>
    <t>verfault</t>
  </si>
  <si>
    <t>est-ce</t>
  </si>
  <si>
    <t>ta-da</t>
  </si>
  <si>
    <t>chloroform</t>
  </si>
  <si>
    <t>othello</t>
  </si>
  <si>
    <t>herausfindest</t>
  </si>
  <si>
    <t>eklige</t>
  </si>
  <si>
    <t>vermiss</t>
  </si>
  <si>
    <t>aufgefangen</t>
  </si>
  <si>
    <t>ergo</t>
  </si>
  <si>
    <t>unerbittlich</t>
  </si>
  <si>
    <t>dew</t>
  </si>
  <si>
    <t>hort</t>
  </si>
  <si>
    <t>weiterzuleben</t>
  </si>
  <si>
    <t>pfadfindern</t>
  </si>
  <si>
    <t>vorstellst</t>
  </si>
  <si>
    <t>cicero</t>
  </si>
  <si>
    <t>beschützte</t>
  </si>
  <si>
    <t>nassau</t>
  </si>
  <si>
    <t>überraschende</t>
  </si>
  <si>
    <t>gräben</t>
  </si>
  <si>
    <t>patriotismus</t>
  </si>
  <si>
    <t>edelstein</t>
  </si>
  <si>
    <t>siegreich</t>
  </si>
  <si>
    <t>überwindet</t>
  </si>
  <si>
    <t>labern</t>
  </si>
  <si>
    <t>ausfahren</t>
  </si>
  <si>
    <t>ausziehst</t>
  </si>
  <si>
    <t>einbruchs</t>
  </si>
  <si>
    <t>herzversagen</t>
  </si>
  <si>
    <t>professorin</t>
  </si>
  <si>
    <t>fletch</t>
  </si>
  <si>
    <t>fairfax</t>
  </si>
  <si>
    <t>bath</t>
  </si>
  <si>
    <t>report</t>
  </si>
  <si>
    <t>ärschen</t>
  </si>
  <si>
    <t>chrissie</t>
  </si>
  <si>
    <t>refrain</t>
  </si>
  <si>
    <t>oscars</t>
  </si>
  <si>
    <t>gezeiten</t>
  </si>
  <si>
    <t>nominierung</t>
  </si>
  <si>
    <t>badet</t>
  </si>
  <si>
    <t>unternimmst</t>
  </si>
  <si>
    <t>praktischer</t>
  </si>
  <si>
    <t>buick</t>
  </si>
  <si>
    <t>vernaschen</t>
  </si>
  <si>
    <t>attrappe</t>
  </si>
  <si>
    <t>schwächt</t>
  </si>
  <si>
    <t>pick-up</t>
  </si>
  <si>
    <t>liebender</t>
  </si>
  <si>
    <t>tickst</t>
  </si>
  <si>
    <t>shack</t>
  </si>
  <si>
    <t>heimkehren</t>
  </si>
  <si>
    <t>lavendel</t>
  </si>
  <si>
    <t>niederknien</t>
  </si>
  <si>
    <t>musikalisch</t>
  </si>
  <si>
    <t>vertagen</t>
  </si>
  <si>
    <t>natalia</t>
  </si>
  <si>
    <t>wunderst</t>
  </si>
  <si>
    <t>beast</t>
  </si>
  <si>
    <t>flammenwerfer</t>
  </si>
  <si>
    <t>menschenfleisch</t>
  </si>
  <si>
    <t>larissa</t>
  </si>
  <si>
    <t>kandidiere</t>
  </si>
  <si>
    <t>verfassen</t>
  </si>
  <si>
    <t>agha</t>
  </si>
  <si>
    <t>sadist</t>
  </si>
  <si>
    <t>bremst</t>
  </si>
  <si>
    <t>druckerei</t>
  </si>
  <si>
    <t>sorglos</t>
  </si>
  <si>
    <t>aufzuheitern</t>
  </si>
  <si>
    <t>notlage</t>
  </si>
  <si>
    <t>vorabend</t>
  </si>
  <si>
    <t>nervöser</t>
  </si>
  <si>
    <t>dalek</t>
  </si>
  <si>
    <t>bauchnabel</t>
  </si>
  <si>
    <t>braven</t>
  </si>
  <si>
    <t>purcell</t>
  </si>
  <si>
    <t>altman</t>
  </si>
  <si>
    <t>professors</t>
  </si>
  <si>
    <t>abzubrechen</t>
  </si>
  <si>
    <t>instagram</t>
  </si>
  <si>
    <t>festnetz</t>
  </si>
  <si>
    <t>brillen</t>
  </si>
  <si>
    <t>zählung</t>
  </si>
  <si>
    <t>alimente</t>
  </si>
  <si>
    <t>scheckbuch</t>
  </si>
  <si>
    <t>wren</t>
  </si>
  <si>
    <t>abrakadabra</t>
  </si>
  <si>
    <t>präziser</t>
  </si>
  <si>
    <t>upon</t>
  </si>
  <si>
    <t>erreger</t>
  </si>
  <si>
    <t>posaune</t>
  </si>
  <si>
    <t>schlaff</t>
  </si>
  <si>
    <t>abgetaucht</t>
  </si>
  <si>
    <t>karrieren</t>
  </si>
  <si>
    <t>erstbesten</t>
  </si>
  <si>
    <t>anhatte</t>
  </si>
  <si>
    <t>hitzkopf</t>
  </si>
  <si>
    <t>streits</t>
  </si>
  <si>
    <t>arbeiterklasse</t>
  </si>
  <si>
    <t>geizhals</t>
  </si>
  <si>
    <t>nordseite</t>
  </si>
  <si>
    <t>erwischten</t>
  </si>
  <si>
    <t>rorys</t>
  </si>
  <si>
    <t>gouvernante</t>
  </si>
  <si>
    <t>malloy</t>
  </si>
  <si>
    <t>handgranate</t>
  </si>
  <si>
    <t>abzusetzen</t>
  </si>
  <si>
    <t>manticore</t>
  </si>
  <si>
    <t>magnetische</t>
  </si>
  <si>
    <t>nummernschilder</t>
  </si>
  <si>
    <t>überfiel</t>
  </si>
  <si>
    <t>heilsarmee</t>
  </si>
  <si>
    <t>spült</t>
  </si>
  <si>
    <t>anschrift</t>
  </si>
  <si>
    <t>fragmente</t>
  </si>
  <si>
    <t>angegangen</t>
  </si>
  <si>
    <t>fantomas</t>
  </si>
  <si>
    <t>protestiert</t>
  </si>
  <si>
    <t>hinterließen</t>
  </si>
  <si>
    <t>shaft</t>
  </si>
  <si>
    <t>großzügigen</t>
  </si>
  <si>
    <t>hervorgerufen</t>
  </si>
  <si>
    <t>statur</t>
  </si>
  <si>
    <t>walkie-talkie</t>
  </si>
  <si>
    <t>lima</t>
  </si>
  <si>
    <t>crosby</t>
  </si>
  <si>
    <t>whit</t>
  </si>
  <si>
    <t>multiple</t>
  </si>
  <si>
    <t>runterfallen</t>
  </si>
  <si>
    <t>radioaktiv</t>
  </si>
  <si>
    <t>zunehmen</t>
  </si>
  <si>
    <t>beate</t>
  </si>
  <si>
    <t>gerichtstermin</t>
  </si>
  <si>
    <t>saure</t>
  </si>
  <si>
    <t>kristin</t>
  </si>
  <si>
    <t>zurückkehrst</t>
  </si>
  <si>
    <t>defensive</t>
  </si>
  <si>
    <t>androiden</t>
  </si>
  <si>
    <t>voreinander</t>
  </si>
  <si>
    <t>virginie</t>
  </si>
  <si>
    <t>umbau</t>
  </si>
  <si>
    <t>widmete</t>
  </si>
  <si>
    <t>metier</t>
  </si>
  <si>
    <t>lacrosse</t>
  </si>
  <si>
    <t>dalia</t>
  </si>
  <si>
    <t>naher</t>
  </si>
  <si>
    <t>fortuna</t>
  </si>
  <si>
    <t>brando</t>
  </si>
  <si>
    <t>diktieren</t>
  </si>
  <si>
    <t>widerstands</t>
  </si>
  <si>
    <t>igel</t>
  </si>
  <si>
    <t>vorbildlich</t>
  </si>
  <si>
    <t>quincy</t>
  </si>
  <si>
    <t>rawls</t>
  </si>
  <si>
    <t>kampfgeräusche</t>
  </si>
  <si>
    <t>zertrümmern</t>
  </si>
  <si>
    <t>verwehren</t>
  </si>
  <si>
    <t>unterstützte</t>
  </si>
  <si>
    <t>adelaide</t>
  </si>
  <si>
    <t>ponys</t>
  </si>
  <si>
    <t>stetig</t>
  </si>
  <si>
    <t>belegte</t>
  </si>
  <si>
    <t>schlussfolgerungen</t>
  </si>
  <si>
    <t>aktiver</t>
  </si>
  <si>
    <t>simuliert</t>
  </si>
  <si>
    <t>avi</t>
  </si>
  <si>
    <t>umgewandelt</t>
  </si>
  <si>
    <t>everest</t>
  </si>
  <si>
    <t>jennys</t>
  </si>
  <si>
    <t>prophezeit</t>
  </si>
  <si>
    <t>schranken</t>
  </si>
  <si>
    <t>liiert</t>
  </si>
  <si>
    <t>gabeln</t>
  </si>
  <si>
    <t>spezial</t>
  </si>
  <si>
    <t>haupttor</t>
  </si>
  <si>
    <t>cougar</t>
  </si>
  <si>
    <t>einnimmt</t>
  </si>
  <si>
    <t>michail</t>
  </si>
  <si>
    <t>profite</t>
  </si>
  <si>
    <t>lassie</t>
  </si>
  <si>
    <t>hausmann</t>
  </si>
  <si>
    <t>modifiziert</t>
  </si>
  <si>
    <t>shining</t>
  </si>
  <si>
    <t>nakamura</t>
  </si>
  <si>
    <t>terence</t>
  </si>
  <si>
    <t>schmerzes</t>
  </si>
  <si>
    <t>konkurs</t>
  </si>
  <si>
    <t>revolte</t>
  </si>
  <si>
    <t>verhängnis</t>
  </si>
  <si>
    <t>bürgerrechte</t>
  </si>
  <si>
    <t>einmischt</t>
  </si>
  <si>
    <t>überbracht</t>
  </si>
  <si>
    <t>rassisten</t>
  </si>
  <si>
    <t>gesaugt</t>
  </si>
  <si>
    <t>lebensgefährlich</t>
  </si>
  <si>
    <t>tiefste</t>
  </si>
  <si>
    <t>pines</t>
  </si>
  <si>
    <t>teer</t>
  </si>
  <si>
    <t>schlüsseln</t>
  </si>
  <si>
    <t>frühzeitig</t>
  </si>
  <si>
    <t>kapituliert</t>
  </si>
  <si>
    <t>christentum</t>
  </si>
  <si>
    <t>erweise</t>
  </si>
  <si>
    <t>unausweichlich</t>
  </si>
  <si>
    <t>heavy</t>
  </si>
  <si>
    <t>kates</t>
  </si>
  <si>
    <t>ultimativen</t>
  </si>
  <si>
    <t>anbot</t>
  </si>
  <si>
    <t>manor</t>
  </si>
  <si>
    <t>zuge</t>
  </si>
  <si>
    <t>aorta</t>
  </si>
  <si>
    <t>abtei</t>
  </si>
  <si>
    <t>potenziellen</t>
  </si>
  <si>
    <t>rollin</t>
  </si>
  <si>
    <t>durchsuchten</t>
  </si>
  <si>
    <t>aufrechtzuerhalten</t>
  </si>
  <si>
    <t>beendest</t>
  </si>
  <si>
    <t>ankommst</t>
  </si>
  <si>
    <t>dickinson</t>
  </si>
  <si>
    <t>asia</t>
  </si>
  <si>
    <t>lennon</t>
  </si>
  <si>
    <t>billionen</t>
  </si>
  <si>
    <t>sehnte</t>
  </si>
  <si>
    <t>geplante</t>
  </si>
  <si>
    <t>nr</t>
  </si>
  <si>
    <t>kontonummer</t>
  </si>
  <si>
    <t>tinker</t>
  </si>
  <si>
    <t>jer</t>
  </si>
  <si>
    <t>peel</t>
  </si>
  <si>
    <t>warnungen</t>
  </si>
  <si>
    <t>gönnt</t>
  </si>
  <si>
    <t>swat</t>
  </si>
  <si>
    <t>koje</t>
  </si>
  <si>
    <t>lkw-fahrer</t>
  </si>
  <si>
    <t>fieses</t>
  </si>
  <si>
    <t>maximilian</t>
  </si>
  <si>
    <t>demokratische</t>
  </si>
  <si>
    <t>gran</t>
  </si>
  <si>
    <t>ausrotten</t>
  </si>
  <si>
    <t>brice</t>
  </si>
  <si>
    <t>blutete</t>
  </si>
  <si>
    <t>derzeitige</t>
  </si>
  <si>
    <t>ureinwohner</t>
  </si>
  <si>
    <t>geschrumpft</t>
  </si>
  <si>
    <t>holm</t>
  </si>
  <si>
    <t>nachforschen</t>
  </si>
  <si>
    <t>wirres</t>
  </si>
  <si>
    <t>hellwach</t>
  </si>
  <si>
    <t>anklagepunkte</t>
  </si>
  <si>
    <t>möbeln</t>
  </si>
  <si>
    <t>any</t>
  </si>
  <si>
    <t>blindgänger</t>
  </si>
  <si>
    <t>ausrufen</t>
  </si>
  <si>
    <t>reinkomme</t>
  </si>
  <si>
    <t>kojote</t>
  </si>
  <si>
    <t>papierkorb</t>
  </si>
  <si>
    <t>zusammenkunft</t>
  </si>
  <si>
    <t>schlimmstenfalls</t>
  </si>
  <si>
    <t>oaks</t>
  </si>
  <si>
    <t>schwänzt</t>
  </si>
  <si>
    <t>bleiche</t>
  </si>
  <si>
    <t>kommune</t>
  </si>
  <si>
    <t>metaphern</t>
  </si>
  <si>
    <t>dienstplan</t>
  </si>
  <si>
    <t>jakes</t>
  </si>
  <si>
    <t>sansa</t>
  </si>
  <si>
    <t>lämmchen</t>
  </si>
  <si>
    <t>looking</t>
  </si>
  <si>
    <t>irres</t>
  </si>
  <si>
    <t>gefängnissen</t>
  </si>
  <si>
    <t>tata</t>
  </si>
  <si>
    <t>tagt</t>
  </si>
  <si>
    <t>ausgerufen</t>
  </si>
  <si>
    <t>geschaltet</t>
  </si>
  <si>
    <t>erstreckt</t>
  </si>
  <si>
    <t>wirtschaftliche</t>
  </si>
  <si>
    <t>umschläge</t>
  </si>
  <si>
    <t>schmiergeld</t>
  </si>
  <si>
    <t>anstellst</t>
  </si>
  <si>
    <t>isolde</t>
  </si>
  <si>
    <t>gazelle</t>
  </si>
  <si>
    <t>peralta</t>
  </si>
  <si>
    <t>ayla</t>
  </si>
  <si>
    <t>gebongt</t>
  </si>
  <si>
    <t>abenden</t>
  </si>
  <si>
    <t>schlägereien</t>
  </si>
  <si>
    <t>adressbuch</t>
  </si>
  <si>
    <t>geschiedene</t>
  </si>
  <si>
    <t>ballsaal</t>
  </si>
  <si>
    <t>forderst</t>
  </si>
  <si>
    <t>armando</t>
  </si>
  <si>
    <t>unterirdische</t>
  </si>
  <si>
    <t>trostlos</t>
  </si>
  <si>
    <t>unwirklich</t>
  </si>
  <si>
    <t>abstechen</t>
  </si>
  <si>
    <t>ganges</t>
  </si>
  <si>
    <t>bergwerk</t>
  </si>
  <si>
    <t>bewerbungen</t>
  </si>
  <si>
    <t>gewürgt</t>
  </si>
  <si>
    <t>bekenne</t>
  </si>
  <si>
    <t>doppelleben</t>
  </si>
  <si>
    <t>bridger</t>
  </si>
  <si>
    <t>prentiss</t>
  </si>
  <si>
    <t>yuji</t>
  </si>
  <si>
    <t>rauszuhalten</t>
  </si>
  <si>
    <t>pasadena</t>
  </si>
  <si>
    <t>räumst</t>
  </si>
  <si>
    <t>vergleicht</t>
  </si>
  <si>
    <t>volvo</t>
  </si>
  <si>
    <t>geschätzten</t>
  </si>
  <si>
    <t>gerätst</t>
  </si>
  <si>
    <t>potentiellen</t>
  </si>
  <si>
    <t>rennens</t>
  </si>
  <si>
    <t>aloha</t>
  </si>
  <si>
    <t>assistenzärzte</t>
  </si>
  <si>
    <t>gefertigt</t>
  </si>
  <si>
    <t>unwissend</t>
  </si>
  <si>
    <t>abgelegen</t>
  </si>
  <si>
    <t>pronto</t>
  </si>
  <si>
    <t>teheran</t>
  </si>
  <si>
    <t>sox</t>
  </si>
  <si>
    <t>optimal</t>
  </si>
  <si>
    <t>handschuhen</t>
  </si>
  <si>
    <t>symphonie</t>
  </si>
  <si>
    <t>killt</t>
  </si>
  <si>
    <t>tuberkulose</t>
  </si>
  <si>
    <t>corbin</t>
  </si>
  <si>
    <t>institute</t>
  </si>
  <si>
    <t>erstaunliches</t>
  </si>
  <si>
    <t>postkutsche</t>
  </si>
  <si>
    <t>löhne</t>
  </si>
  <si>
    <t>trockenes</t>
  </si>
  <si>
    <t>jukebox</t>
  </si>
  <si>
    <t>duldet</t>
  </si>
  <si>
    <t>überbieten</t>
  </si>
  <si>
    <t>auftauche</t>
  </si>
  <si>
    <t>einsatzkommando</t>
  </si>
  <si>
    <t>einschränkungen</t>
  </si>
  <si>
    <t>reizbar</t>
  </si>
  <si>
    <t>klugheit</t>
  </si>
  <si>
    <t>goldes</t>
  </si>
  <si>
    <t>bettes</t>
  </si>
  <si>
    <t>eindrücke</t>
  </si>
  <si>
    <t>zeugenschutz</t>
  </si>
  <si>
    <t>perser</t>
  </si>
  <si>
    <t>herzklopfen</t>
  </si>
  <si>
    <t>hasta</t>
  </si>
  <si>
    <t>berauscht</t>
  </si>
  <si>
    <t>erstaunlichen</t>
  </si>
  <si>
    <t>citizen</t>
  </si>
  <si>
    <t>prächtigen</t>
  </si>
  <si>
    <t>irischer</t>
  </si>
  <si>
    <t>impfen</t>
  </si>
  <si>
    <t>demonstriert</t>
  </si>
  <si>
    <t>leerem</t>
  </si>
  <si>
    <t>dooku</t>
  </si>
  <si>
    <t>barabbas</t>
  </si>
  <si>
    <t>begleitete</t>
  </si>
  <si>
    <t>akute</t>
  </si>
  <si>
    <t>colbert</t>
  </si>
  <si>
    <t>overall</t>
  </si>
  <si>
    <t>sozialer</t>
  </si>
  <si>
    <t>verdopple</t>
  </si>
  <si>
    <t>plastiktüte</t>
  </si>
  <si>
    <t>betreibe</t>
  </si>
  <si>
    <t>groves</t>
  </si>
  <si>
    <t>waffenruhe</t>
  </si>
  <si>
    <t>guys</t>
  </si>
  <si>
    <t>krimi</t>
  </si>
  <si>
    <t>ilja</t>
  </si>
  <si>
    <t>sayonara</t>
  </si>
  <si>
    <t>vermählen</t>
  </si>
  <si>
    <t>deckst</t>
  </si>
  <si>
    <t>wrong</t>
  </si>
  <si>
    <t>optische</t>
  </si>
  <si>
    <t>räubern</t>
  </si>
  <si>
    <t>kürzester</t>
  </si>
  <si>
    <t>mayfair</t>
  </si>
  <si>
    <t>rebbekah</t>
  </si>
  <si>
    <t>nashorn</t>
  </si>
  <si>
    <t>unheimliches</t>
  </si>
  <si>
    <t>barbarisch</t>
  </si>
  <si>
    <t>bello</t>
  </si>
  <si>
    <t>gerinnsel</t>
  </si>
  <si>
    <t>eintauchen</t>
  </si>
  <si>
    <t>werfer</t>
  </si>
  <si>
    <t>neurologische</t>
  </si>
  <si>
    <t>vorzunehmen</t>
  </si>
  <si>
    <t>fuentes</t>
  </si>
  <si>
    <t>kapazität</t>
  </si>
  <si>
    <t>beschwerst</t>
  </si>
  <si>
    <t>wascht</t>
  </si>
  <si>
    <t>wickel</t>
  </si>
  <si>
    <t>comes</t>
  </si>
  <si>
    <t>dandy</t>
  </si>
  <si>
    <t>zwingend</t>
  </si>
  <si>
    <t>unterzubringen</t>
  </si>
  <si>
    <t>giacomo</t>
  </si>
  <si>
    <t>richardson</t>
  </si>
  <si>
    <t>duo</t>
  </si>
  <si>
    <t>angewohnheiten</t>
  </si>
  <si>
    <t>qué</t>
  </si>
  <si>
    <t>zusatz</t>
  </si>
  <si>
    <t>daniela</t>
  </si>
  <si>
    <t>blutiger</t>
  </si>
  <si>
    <t>biere</t>
  </si>
  <si>
    <t>cable</t>
  </si>
  <si>
    <t>übernehm</t>
  </si>
  <si>
    <t>unregelmäßig</t>
  </si>
  <si>
    <t>grigori</t>
  </si>
  <si>
    <t>zugezogen</t>
  </si>
  <si>
    <t>beaufsichtigen</t>
  </si>
  <si>
    <t>beckman</t>
  </si>
  <si>
    <t>weihen</t>
  </si>
  <si>
    <t>chr.</t>
  </si>
  <si>
    <t>melodien</t>
  </si>
  <si>
    <t>austeilen</t>
  </si>
  <si>
    <t>lothar</t>
  </si>
  <si>
    <t>dräng</t>
  </si>
  <si>
    <t>erblickt</t>
  </si>
  <si>
    <t>standards</t>
  </si>
  <si>
    <t>unheimlichen</t>
  </si>
  <si>
    <t>vorbeikomme</t>
  </si>
  <si>
    <t>wickelt</t>
  </si>
  <si>
    <t>steves</t>
  </si>
  <si>
    <t>ev</t>
  </si>
  <si>
    <t>tätest</t>
  </si>
  <si>
    <t>andres</t>
  </si>
  <si>
    <t>verschon</t>
  </si>
  <si>
    <t>donaldson</t>
  </si>
  <si>
    <t>überwachungsvideos</t>
  </si>
  <si>
    <t>tres</t>
  </si>
  <si>
    <t>schwachsinnig</t>
  </si>
  <si>
    <t>enkeltochter</t>
  </si>
  <si>
    <t>bootsmann</t>
  </si>
  <si>
    <t>vorhut</t>
  </si>
  <si>
    <t>wohlbehalten</t>
  </si>
  <si>
    <t>fußfessel</t>
  </si>
  <si>
    <t>durchschaue</t>
  </si>
  <si>
    <t>presley</t>
  </si>
  <si>
    <t>hilflose</t>
  </si>
  <si>
    <t>kassiererin</t>
  </si>
  <si>
    <t>beabsichtigen</t>
  </si>
  <si>
    <t>pour</t>
  </si>
  <si>
    <t>lonely</t>
  </si>
  <si>
    <t>nutzloser</t>
  </si>
  <si>
    <t>schnurrt</t>
  </si>
  <si>
    <t>militärpolizei</t>
  </si>
  <si>
    <t>löschte</t>
  </si>
  <si>
    <t>galavan</t>
  </si>
  <si>
    <t>intelligentes</t>
  </si>
  <si>
    <t>raketenwerfer</t>
  </si>
  <si>
    <t>dirne</t>
  </si>
  <si>
    <t>verlorenes</t>
  </si>
  <si>
    <t>verschmiert</t>
  </si>
  <si>
    <t>erhebliche</t>
  </si>
  <si>
    <t>holprig</t>
  </si>
  <si>
    <t>mysteriöser</t>
  </si>
  <si>
    <t>piste</t>
  </si>
  <si>
    <t>comtesse</t>
  </si>
  <si>
    <t>verbirgst</t>
  </si>
  <si>
    <t>ausnutzt</t>
  </si>
  <si>
    <t>interessenten</t>
  </si>
  <si>
    <t>rapper</t>
  </si>
  <si>
    <t>reflektiert</t>
  </si>
  <si>
    <t>track</t>
  </si>
  <si>
    <t>kot</t>
  </si>
  <si>
    <t>geldstrafe</t>
  </si>
  <si>
    <t>uhh</t>
  </si>
  <si>
    <t>jims</t>
  </si>
  <si>
    <t>weltweiten</t>
  </si>
  <si>
    <t>daníel</t>
  </si>
  <si>
    <t>isaak</t>
  </si>
  <si>
    <t>ds</t>
  </si>
  <si>
    <t>endeffekt</t>
  </si>
  <si>
    <t>cbi</t>
  </si>
  <si>
    <t>schläfe</t>
  </si>
  <si>
    <t>amazing</t>
  </si>
  <si>
    <t>hochnäsig</t>
  </si>
  <si>
    <t>navi</t>
  </si>
  <si>
    <t>armleuchter</t>
  </si>
  <si>
    <t>frettchen</t>
  </si>
  <si>
    <t>komitees</t>
  </si>
  <si>
    <t>minivan</t>
  </si>
  <si>
    <t>ställe</t>
  </si>
  <si>
    <t>hüllen</t>
  </si>
  <si>
    <t>sprengung</t>
  </si>
  <si>
    <t>stabile</t>
  </si>
  <si>
    <t>entern</t>
  </si>
  <si>
    <t>aussahen</t>
  </si>
  <si>
    <t>ungerade</t>
  </si>
  <si>
    <t>galileo</t>
  </si>
  <si>
    <t>bankiers</t>
  </si>
  <si>
    <t>takeshi</t>
  </si>
  <si>
    <t>übern</t>
  </si>
  <si>
    <t>anonymität</t>
  </si>
  <si>
    <t>väterchen</t>
  </si>
  <si>
    <t>formt</t>
  </si>
  <si>
    <t>undankbare</t>
  </si>
  <si>
    <t>entferntesten</t>
  </si>
  <si>
    <t>yee</t>
  </si>
  <si>
    <t>verträgst</t>
  </si>
  <si>
    <t>obendrauf</t>
  </si>
  <si>
    <t>laternen</t>
  </si>
  <si>
    <t>caracas</t>
  </si>
  <si>
    <t>anzuerkennen</t>
  </si>
  <si>
    <t>karsten</t>
  </si>
  <si>
    <t>chf6bd15</t>
  </si>
  <si>
    <t>geboxt</t>
  </si>
  <si>
    <t>hellsehen</t>
  </si>
  <si>
    <t>taser</t>
  </si>
  <si>
    <t>verhandelbar</t>
  </si>
  <si>
    <t>dios</t>
  </si>
  <si>
    <t>sprengköpfe</t>
  </si>
  <si>
    <t>erntet</t>
  </si>
  <si>
    <t>institutionen</t>
  </si>
  <si>
    <t>morgans</t>
  </si>
  <si>
    <t>ozzy</t>
  </si>
  <si>
    <t>überbrücken</t>
  </si>
  <si>
    <t>rettungsaktion</t>
  </si>
  <si>
    <t>barber</t>
  </si>
  <si>
    <t>weckruf</t>
  </si>
  <si>
    <t>gestohlenes</t>
  </si>
  <si>
    <t>nahkampf</t>
  </si>
  <si>
    <t>anleihen</t>
  </si>
  <si>
    <t>schimanski</t>
  </si>
  <si>
    <t>spooner</t>
  </si>
  <si>
    <t>dominus</t>
  </si>
  <si>
    <t>schlümpfe</t>
  </si>
  <si>
    <t>ungewohnt</t>
  </si>
  <si>
    <t>schwachstellen</t>
  </si>
  <si>
    <t>begibt</t>
  </si>
  <si>
    <t>zpm</t>
  </si>
  <si>
    <t>round</t>
  </si>
  <si>
    <t>kensi</t>
  </si>
  <si>
    <t>eingabe</t>
  </si>
  <si>
    <t>chardonnay</t>
  </si>
  <si>
    <t>sperrte</t>
  </si>
  <si>
    <t>roastbeef</t>
  </si>
  <si>
    <t>konstantinopel</t>
  </si>
  <si>
    <t>wundersame</t>
  </si>
  <si>
    <t>holla</t>
  </si>
  <si>
    <t>dia</t>
  </si>
  <si>
    <t>ergänzen</t>
  </si>
  <si>
    <t>lebensraum</t>
  </si>
  <si>
    <t>niederen</t>
  </si>
  <si>
    <t>poeten</t>
  </si>
  <si>
    <t>derartiges</t>
  </si>
  <si>
    <t>spule</t>
  </si>
  <si>
    <t>audi</t>
  </si>
  <si>
    <t>crowe</t>
  </si>
  <si>
    <t>erfahrt</t>
  </si>
  <si>
    <t>elwood</t>
  </si>
  <si>
    <t>mittellos</t>
  </si>
  <si>
    <t>clubhaus</t>
  </si>
  <si>
    <t>bernice</t>
  </si>
  <si>
    <t>ausm</t>
  </si>
  <si>
    <t>vee</t>
  </si>
  <si>
    <t>verabscheut</t>
  </si>
  <si>
    <t>lebensmitteln</t>
  </si>
  <si>
    <t>kincaid</t>
  </si>
  <si>
    <t>entreißen</t>
  </si>
  <si>
    <t>schütte</t>
  </si>
  <si>
    <t>erzfeind</t>
  </si>
  <si>
    <t>konfiszieren</t>
  </si>
  <si>
    <t>race</t>
  </si>
  <si>
    <t>gekreuzigt</t>
  </si>
  <si>
    <t>völkermord</t>
  </si>
  <si>
    <t>fehlverhalten</t>
  </si>
  <si>
    <t>ersetze</t>
  </si>
  <si>
    <t>verschiebt</t>
  </si>
  <si>
    <t>hypotheken</t>
  </si>
  <si>
    <t>ausschlagen</t>
  </si>
  <si>
    <t>vorgänge</t>
  </si>
  <si>
    <t>ulrike</t>
  </si>
  <si>
    <t>bezichtigt</t>
  </si>
  <si>
    <t>nilsson</t>
  </si>
  <si>
    <t>abbeißen</t>
  </si>
  <si>
    <t>beschreibe</t>
  </si>
  <si>
    <t>quintus</t>
  </si>
  <si>
    <t>angefallen</t>
  </si>
  <si>
    <t>flugsteig</t>
  </si>
  <si>
    <t>larsen</t>
  </si>
  <si>
    <t>delirium</t>
  </si>
  <si>
    <t>erklimmen</t>
  </si>
  <si>
    <t>besinnung</t>
  </si>
  <si>
    <t>inaktiv</t>
  </si>
  <si>
    <t>arkham</t>
  </si>
  <si>
    <t>vikar</t>
  </si>
  <si>
    <t>diskutiere</t>
  </si>
  <si>
    <t>verstauen</t>
  </si>
  <si>
    <t>liegend</t>
  </si>
  <si>
    <t>managen</t>
  </si>
  <si>
    <t>standesamt</t>
  </si>
  <si>
    <t>widert</t>
  </si>
  <si>
    <t>drosseln</t>
  </si>
  <si>
    <t>wehre</t>
  </si>
  <si>
    <t>gudrun</t>
  </si>
  <si>
    <t>jefe</t>
  </si>
  <si>
    <t>feindliches</t>
  </si>
  <si>
    <t>augapfel</t>
  </si>
  <si>
    <t>massagen</t>
  </si>
  <si>
    <t>staubig</t>
  </si>
  <si>
    <t>gegebenen</t>
  </si>
  <si>
    <t>nichten</t>
  </si>
  <si>
    <t>bannister</t>
  </si>
  <si>
    <t>besuchern</t>
  </si>
  <si>
    <t>sindbad</t>
  </si>
  <si>
    <t>elektrischer</t>
  </si>
  <si>
    <t>didier</t>
  </si>
  <si>
    <t>bonsoir</t>
  </si>
  <si>
    <t>utopia</t>
  </si>
  <si>
    <t>pssst</t>
  </si>
  <si>
    <t>zonen</t>
  </si>
  <si>
    <t>rangegangen</t>
  </si>
  <si>
    <t>berühmtes</t>
  </si>
  <si>
    <t>dämmert</t>
  </si>
  <si>
    <t>wirr</t>
  </si>
  <si>
    <t>kubrick</t>
  </si>
  <si>
    <t>tempus</t>
  </si>
  <si>
    <t>bene</t>
  </si>
  <si>
    <t>unmöglichen</t>
  </si>
  <si>
    <t>genossin</t>
  </si>
  <si>
    <t>gekippt</t>
  </si>
  <si>
    <t>ballade</t>
  </si>
  <si>
    <t>aufdrehen</t>
  </si>
  <si>
    <t>gewogen</t>
  </si>
  <si>
    <t>bezwungen</t>
  </si>
  <si>
    <t>schall</t>
  </si>
  <si>
    <t>umfassende</t>
  </si>
  <si>
    <t>hundescheiße</t>
  </si>
  <si>
    <t>überwachungsvideo</t>
  </si>
  <si>
    <t>verbogen</t>
  </si>
  <si>
    <t>shatterhand</t>
  </si>
  <si>
    <t>zugangscode</t>
  </si>
  <si>
    <t>anzweifeln</t>
  </si>
  <si>
    <t>their</t>
  </si>
  <si>
    <t>labert</t>
  </si>
  <si>
    <t>notre</t>
  </si>
  <si>
    <t>höllische</t>
  </si>
  <si>
    <t>antritt</t>
  </si>
  <si>
    <t>verde</t>
  </si>
  <si>
    <t>vorab</t>
  </si>
  <si>
    <t>gesetzlosen</t>
  </si>
  <si>
    <t>unsinnig</t>
  </si>
  <si>
    <t>kartoffelbrei</t>
  </si>
  <si>
    <t>familientradition</t>
  </si>
  <si>
    <t>butcher</t>
  </si>
  <si>
    <t>fatal</t>
  </si>
  <si>
    <t>payne</t>
  </si>
  <si>
    <t>abendmahl</t>
  </si>
  <si>
    <t>chamberlain</t>
  </si>
  <si>
    <t>tigger</t>
  </si>
  <si>
    <t>teamwork</t>
  </si>
  <si>
    <t>verdientes</t>
  </si>
  <si>
    <t>barsch</t>
  </si>
  <si>
    <t>weltrekord</t>
  </si>
  <si>
    <t>norweger</t>
  </si>
  <si>
    <t>getränkt</t>
  </si>
  <si>
    <t>ldee</t>
  </si>
  <si>
    <t>sha</t>
  </si>
  <si>
    <t>polier</t>
  </si>
  <si>
    <t>late</t>
  </si>
  <si>
    <t>grammatik</t>
  </si>
  <si>
    <t>eingesammelt</t>
  </si>
  <si>
    <t>ängstigt</t>
  </si>
  <si>
    <t>vergelten</t>
  </si>
  <si>
    <t>wiederholst</t>
  </si>
  <si>
    <t>aufschieben</t>
  </si>
  <si>
    <t>polizeiauto</t>
  </si>
  <si>
    <t>heuschrecken</t>
  </si>
  <si>
    <t>wolowitz</t>
  </si>
  <si>
    <t>ausbrach</t>
  </si>
  <si>
    <t>meeresfrüchte</t>
  </si>
  <si>
    <t>massiert</t>
  </si>
  <si>
    <t>blies</t>
  </si>
  <si>
    <t>veronika</t>
  </si>
  <si>
    <t>schauer</t>
  </si>
  <si>
    <t>loco</t>
  </si>
  <si>
    <t>fung</t>
  </si>
  <si>
    <t>toulouse</t>
  </si>
  <si>
    <t>jetlag</t>
  </si>
  <si>
    <t>kategorien</t>
  </si>
  <si>
    <t>unverständlicher</t>
  </si>
  <si>
    <t>verwüstung</t>
  </si>
  <si>
    <t>besiegten</t>
  </si>
  <si>
    <t>schmerzvoll</t>
  </si>
  <si>
    <t>wachsende</t>
  </si>
  <si>
    <t>sicherheiten</t>
  </si>
  <si>
    <t>sera</t>
  </si>
  <si>
    <t>dossier</t>
  </si>
  <si>
    <t>hawke</t>
  </si>
  <si>
    <t>hepp</t>
  </si>
  <si>
    <t>cartoons</t>
  </si>
  <si>
    <t>guardian</t>
  </si>
  <si>
    <t>whole</t>
  </si>
  <si>
    <t>rückenmark</t>
  </si>
  <si>
    <t>benito</t>
  </si>
  <si>
    <t>kaltmachen</t>
  </si>
  <si>
    <t>fahrenden</t>
  </si>
  <si>
    <t>taro</t>
  </si>
  <si>
    <t>äther</t>
  </si>
  <si>
    <t>savitar</t>
  </si>
  <si>
    <t>fluchtplan</t>
  </si>
  <si>
    <t>familiengeschichte</t>
  </si>
  <si>
    <t>universen</t>
  </si>
  <si>
    <t>berman</t>
  </si>
  <si>
    <t>orientieren</t>
  </si>
  <si>
    <t>formell</t>
  </si>
  <si>
    <t>ärmsten</t>
  </si>
  <si>
    <t>schnapsladen</t>
  </si>
  <si>
    <t>scheißangst</t>
  </si>
  <si>
    <t>herumschnüffeln</t>
  </si>
  <si>
    <t>falltür</t>
  </si>
  <si>
    <t>jammerlappen</t>
  </si>
  <si>
    <t>echse</t>
  </si>
  <si>
    <t>suspendieren</t>
  </si>
  <si>
    <t>zielort</t>
  </si>
  <si>
    <t>routen</t>
  </si>
  <si>
    <t>wai</t>
  </si>
  <si>
    <t>chill</t>
  </si>
  <si>
    <t>untertrieben</t>
  </si>
  <si>
    <t>asphalt</t>
  </si>
  <si>
    <t>delfino</t>
  </si>
  <si>
    <t>kriegerin</t>
  </si>
  <si>
    <t>libanon</t>
  </si>
  <si>
    <t>bunch</t>
  </si>
  <si>
    <t>exotischen</t>
  </si>
  <si>
    <t>lian</t>
  </si>
  <si>
    <t>neunzehn</t>
  </si>
  <si>
    <t>freispruch</t>
  </si>
  <si>
    <t>kyoko</t>
  </si>
  <si>
    <t>städtchen</t>
  </si>
  <si>
    <t>dokumentarfilm</t>
  </si>
  <si>
    <t>bosco</t>
  </si>
  <si>
    <t>klubs</t>
  </si>
  <si>
    <t>dart</t>
  </si>
  <si>
    <t>gelutscht</t>
  </si>
  <si>
    <t>scheuen</t>
  </si>
  <si>
    <t>halbtot</t>
  </si>
  <si>
    <t>sodom</t>
  </si>
  <si>
    <t>agiert</t>
  </si>
  <si>
    <t>ähnlichkeiten</t>
  </si>
  <si>
    <t>salute</t>
  </si>
  <si>
    <t>vorgegeben</t>
  </si>
  <si>
    <t>atome</t>
  </si>
  <si>
    <t>überladen</t>
  </si>
  <si>
    <t>anhieb</t>
  </si>
  <si>
    <t>jalousien</t>
  </si>
  <si>
    <t>einsiedler</t>
  </si>
  <si>
    <t>rotem</t>
  </si>
  <si>
    <t>crenshaw</t>
  </si>
  <si>
    <t>wilsons</t>
  </si>
  <si>
    <t>piazza</t>
  </si>
  <si>
    <t>widerspreche</t>
  </si>
  <si>
    <t>ueo</t>
  </si>
  <si>
    <t>scheidungen</t>
  </si>
  <si>
    <t>sprengsatz</t>
  </si>
  <si>
    <t>einschränken</t>
  </si>
  <si>
    <t>pioniere</t>
  </si>
  <si>
    <t>algen</t>
  </si>
  <si>
    <t>shu</t>
  </si>
  <si>
    <t>erhöhten</t>
  </si>
  <si>
    <t>schmerzhafte</t>
  </si>
  <si>
    <t>hinschauen</t>
  </si>
  <si>
    <t>aufregst</t>
  </si>
  <si>
    <t>bulldozer</t>
  </si>
  <si>
    <t>versklavt</t>
  </si>
  <si>
    <t>zerschmettern</t>
  </si>
  <si>
    <t>extremer</t>
  </si>
  <si>
    <t>eingebung</t>
  </si>
  <si>
    <t>auszurichten</t>
  </si>
  <si>
    <t>vorzumachen</t>
  </si>
  <si>
    <t>ankomme</t>
  </si>
  <si>
    <t>myles</t>
  </si>
  <si>
    <t>gefunkt</t>
  </si>
  <si>
    <t>nerds</t>
  </si>
  <si>
    <t>zeugnisse</t>
  </si>
  <si>
    <t>spirituell</t>
  </si>
  <si>
    <t>spürten</t>
  </si>
  <si>
    <t>amys</t>
  </si>
  <si>
    <t>angemessener</t>
  </si>
  <si>
    <t>familiäre</t>
  </si>
  <si>
    <t>außendienst</t>
  </si>
  <si>
    <t>konsequent</t>
  </si>
  <si>
    <t>kälber</t>
  </si>
  <si>
    <t>fresno</t>
  </si>
  <si>
    <t>miyagi</t>
  </si>
  <si>
    <t>capitan</t>
  </si>
  <si>
    <t>trace</t>
  </si>
  <si>
    <t>frischling</t>
  </si>
  <si>
    <t>rumgelaufen</t>
  </si>
  <si>
    <t>pochen</t>
  </si>
  <si>
    <t>terroristin</t>
  </si>
  <si>
    <t>balthasar</t>
  </si>
  <si>
    <t>sanderson</t>
  </si>
  <si>
    <t>sweets</t>
  </si>
  <si>
    <t>herausgerissen</t>
  </si>
  <si>
    <t>achtern</t>
  </si>
  <si>
    <t>vermeide</t>
  </si>
  <si>
    <t>kronprinz</t>
  </si>
  <si>
    <t>knistert</t>
  </si>
  <si>
    <t>auslegen</t>
  </si>
  <si>
    <t>freimaurer</t>
  </si>
  <si>
    <t>asservatenkammer</t>
  </si>
  <si>
    <t>arvin</t>
  </si>
  <si>
    <t>wiederwahl</t>
  </si>
  <si>
    <t>cherie</t>
  </si>
  <si>
    <t>unterdrückte</t>
  </si>
  <si>
    <t>hörgerät</t>
  </si>
  <si>
    <t>kaspar</t>
  </si>
  <si>
    <t>python</t>
  </si>
  <si>
    <t>jämmerlichen</t>
  </si>
  <si>
    <t>schmalen</t>
  </si>
  <si>
    <t>gegenüberstehen</t>
  </si>
  <si>
    <t>oase</t>
  </si>
  <si>
    <t>brandneuen</t>
  </si>
  <si>
    <t>haften</t>
  </si>
  <si>
    <t>hindeuten</t>
  </si>
  <si>
    <t>abhandlung</t>
  </si>
  <si>
    <t>macarthur</t>
  </si>
  <si>
    <t>arminius</t>
  </si>
  <si>
    <t>ie</t>
  </si>
  <si>
    <t>stadtzentrum</t>
  </si>
  <si>
    <t>händedruck</t>
  </si>
  <si>
    <t>lefty</t>
  </si>
  <si>
    <t>unbehagen</t>
  </si>
  <si>
    <t>johansson</t>
  </si>
  <si>
    <t>indiskret</t>
  </si>
  <si>
    <t>durchschlagen</t>
  </si>
  <si>
    <t>sphärische</t>
  </si>
  <si>
    <t>nachkomme</t>
  </si>
  <si>
    <t>scavo</t>
  </si>
  <si>
    <t>seals</t>
  </si>
  <si>
    <t>intellektuell</t>
  </si>
  <si>
    <t>förderung</t>
  </si>
  <si>
    <t>mariah</t>
  </si>
  <si>
    <t>claudio</t>
  </si>
  <si>
    <t>kostenloses</t>
  </si>
  <si>
    <t>laderaum</t>
  </si>
  <si>
    <t>unterzahl</t>
  </si>
  <si>
    <t>kinderarzt</t>
  </si>
  <si>
    <t>blum</t>
  </si>
  <si>
    <t>gesprächs</t>
  </si>
  <si>
    <t>matter</t>
  </si>
  <si>
    <t>borland</t>
  </si>
  <si>
    <t>unterschlagen</t>
  </si>
  <si>
    <t>soo</t>
  </si>
  <si>
    <t>hilfsmittel</t>
  </si>
  <si>
    <t>nachwelt</t>
  </si>
  <si>
    <t>beneidet</t>
  </si>
  <si>
    <t>guan</t>
  </si>
  <si>
    <t>einträge</t>
  </si>
  <si>
    <t>schluckte</t>
  </si>
  <si>
    <t>lie</t>
  </si>
  <si>
    <t>flippen</t>
  </si>
  <si>
    <t>ibrahim</t>
  </si>
  <si>
    <t>empfänglich</t>
  </si>
  <si>
    <t>erkenntlich</t>
  </si>
  <si>
    <t>jaz</t>
  </si>
  <si>
    <t>saiten</t>
  </si>
  <si>
    <t>gehaltsscheck</t>
  </si>
  <si>
    <t>schnauben</t>
  </si>
  <si>
    <t>injektionen</t>
  </si>
  <si>
    <t>abfallen</t>
  </si>
  <si>
    <t>andersen</t>
  </si>
  <si>
    <t>bungalow</t>
  </si>
  <si>
    <t>brauchbares</t>
  </si>
  <si>
    <t>scrabble</t>
  </si>
  <si>
    <t>ausgeschlafen</t>
  </si>
  <si>
    <t>schotte</t>
  </si>
  <si>
    <t>golfschläger</t>
  </si>
  <si>
    <t>hartford</t>
  </si>
  <si>
    <t>koennen</t>
  </si>
  <si>
    <t>quick</t>
  </si>
  <si>
    <t>unterlaufen</t>
  </si>
  <si>
    <t>strophe</t>
  </si>
  <si>
    <t>mountains</t>
  </si>
  <si>
    <t>montague</t>
  </si>
  <si>
    <t>erstklassigen</t>
  </si>
  <si>
    <t>untergekommen</t>
  </si>
  <si>
    <t>genauigkeit</t>
  </si>
  <si>
    <t>pizzen</t>
  </si>
  <si>
    <t>ausgehungert</t>
  </si>
  <si>
    <t>giselle</t>
  </si>
  <si>
    <t>anziehst</t>
  </si>
  <si>
    <t>lichtschalter</t>
  </si>
  <si>
    <t>vita</t>
  </si>
  <si>
    <t>schwerem</t>
  </si>
  <si>
    <t>mitspielt</t>
  </si>
  <si>
    <t>streikt</t>
  </si>
  <si>
    <t>gemailt</t>
  </si>
  <si>
    <t>rollins</t>
  </si>
  <si>
    <t>mansfield</t>
  </si>
  <si>
    <t>renner</t>
  </si>
  <si>
    <t>pflichtverteidiger</t>
  </si>
  <si>
    <t>arigold</t>
  </si>
  <si>
    <t>edwina</t>
  </si>
  <si>
    <t>buchhandlung</t>
  </si>
  <si>
    <t>angehören</t>
  </si>
  <si>
    <t>bannon</t>
  </si>
  <si>
    <t>mme</t>
  </si>
  <si>
    <t>eau</t>
  </si>
  <si>
    <t>besuchs</t>
  </si>
  <si>
    <t>geschwistern</t>
  </si>
  <si>
    <t>zensur</t>
  </si>
  <si>
    <t>junggesellenparty</t>
  </si>
  <si>
    <t>gekappt</t>
  </si>
  <si>
    <t>bäuerin</t>
  </si>
  <si>
    <t>transportmittel</t>
  </si>
  <si>
    <t>halbe-halbe</t>
  </si>
  <si>
    <t>klinks</t>
  </si>
  <si>
    <t>chat</t>
  </si>
  <si>
    <t>mahnung</t>
  </si>
  <si>
    <t>heimsuchen</t>
  </si>
  <si>
    <t>stritt</t>
  </si>
  <si>
    <t>domingo</t>
  </si>
  <si>
    <t>vorherige</t>
  </si>
  <si>
    <t>hodges</t>
  </si>
  <si>
    <t>apfelsaft</t>
  </si>
  <si>
    <t>kommunistische</t>
  </si>
  <si>
    <t>fußgänger</t>
  </si>
  <si>
    <t>schräger</t>
  </si>
  <si>
    <t>köstlichen</t>
  </si>
  <si>
    <t>faser</t>
  </si>
  <si>
    <t>platzte</t>
  </si>
  <si>
    <t>gelassenheit</t>
  </si>
  <si>
    <t>pilzen</t>
  </si>
  <si>
    <t>flirte</t>
  </si>
  <si>
    <t>klebte</t>
  </si>
  <si>
    <t>nutz</t>
  </si>
  <si>
    <t>hansi</t>
  </si>
  <si>
    <t>pornografie</t>
  </si>
  <si>
    <t>stolzes</t>
  </si>
  <si>
    <t>riesending</t>
  </si>
  <si>
    <t>gruseliger</t>
  </si>
  <si>
    <t>allerwichtigste</t>
  </si>
  <si>
    <t>ironischerweise</t>
  </si>
  <si>
    <t>bereicherung</t>
  </si>
  <si>
    <t>allgemeines</t>
  </si>
  <si>
    <t>jam</t>
  </si>
  <si>
    <t>bauchweh</t>
  </si>
  <si>
    <t>unentbehrlich</t>
  </si>
  <si>
    <t>simeon</t>
  </si>
  <si>
    <t>wechselbalg</t>
  </si>
  <si>
    <t>bowlingbahn</t>
  </si>
  <si>
    <t>forensiker</t>
  </si>
  <si>
    <t>nährt</t>
  </si>
  <si>
    <t>genevieve</t>
  </si>
  <si>
    <t>scheißhaus</t>
  </si>
  <si>
    <t>zirka</t>
  </si>
  <si>
    <t>r2</t>
  </si>
  <si>
    <t>bestem</t>
  </si>
  <si>
    <t>ausspannen</t>
  </si>
  <si>
    <t>range</t>
  </si>
  <si>
    <t>hanni</t>
  </si>
  <si>
    <t>abgefallen</t>
  </si>
  <si>
    <t>drogerie</t>
  </si>
  <si>
    <t>ägyptischen</t>
  </si>
  <si>
    <t>programmierer</t>
  </si>
  <si>
    <t>macher</t>
  </si>
  <si>
    <t>pieps</t>
  </si>
  <si>
    <t>scheiterte</t>
  </si>
  <si>
    <t>moneten</t>
  </si>
  <si>
    <t>flying</t>
  </si>
  <si>
    <t>spice</t>
  </si>
  <si>
    <t>beschäftigter</t>
  </si>
  <si>
    <t>arrestzelle</t>
  </si>
  <si>
    <t>phänomene</t>
  </si>
  <si>
    <t>besiegeln</t>
  </si>
  <si>
    <t>rothstein</t>
  </si>
  <si>
    <t>hirngespinst</t>
  </si>
  <si>
    <t>gleitet</t>
  </si>
  <si>
    <t>raumes</t>
  </si>
  <si>
    <t>erzengel</t>
  </si>
  <si>
    <t>lamar</t>
  </si>
  <si>
    <t>zora</t>
  </si>
  <si>
    <t>otter</t>
  </si>
  <si>
    <t>touché</t>
  </si>
  <si>
    <t>sung</t>
  </si>
  <si>
    <t>japanisches</t>
  </si>
  <si>
    <t>regelmäßige</t>
  </si>
  <si>
    <t>getrübt</t>
  </si>
  <si>
    <t>excalibur</t>
  </si>
  <si>
    <t>task</t>
  </si>
  <si>
    <t>magister</t>
  </si>
  <si>
    <t>verhältnissen</t>
  </si>
  <si>
    <t>meng</t>
  </si>
  <si>
    <t>justice</t>
  </si>
  <si>
    <t>akademiker</t>
  </si>
  <si>
    <t>verrätern</t>
  </si>
  <si>
    <t>juarez</t>
  </si>
  <si>
    <t>gläsern</t>
  </si>
  <si>
    <t>yoshida</t>
  </si>
  <si>
    <t>gehäuse</t>
  </si>
  <si>
    <t>kettenreaktion</t>
  </si>
  <si>
    <t>waits</t>
  </si>
  <si>
    <t>aufnahm</t>
  </si>
  <si>
    <t>staudamm</t>
  </si>
  <si>
    <t>conan</t>
  </si>
  <si>
    <t>streitigkeiten</t>
  </si>
  <si>
    <t>felle</t>
  </si>
  <si>
    <t>baal</t>
  </si>
  <si>
    <t>scanne</t>
  </si>
  <si>
    <t>sellerie</t>
  </si>
  <si>
    <t>bescheißt</t>
  </si>
  <si>
    <t>peitschen</t>
  </si>
  <si>
    <t>wickham</t>
  </si>
  <si>
    <t>prostata</t>
  </si>
  <si>
    <t>diagramm</t>
  </si>
  <si>
    <t>sonnigen</t>
  </si>
  <si>
    <t>allez</t>
  </si>
  <si>
    <t>alligatoren</t>
  </si>
  <si>
    <t>arbeitende</t>
  </si>
  <si>
    <t>albaner</t>
  </si>
  <si>
    <t>nötigung</t>
  </si>
  <si>
    <t>coles</t>
  </si>
  <si>
    <t>frl</t>
  </si>
  <si>
    <t>infolge</t>
  </si>
  <si>
    <t>zuges</t>
  </si>
  <si>
    <t>dupree</t>
  </si>
  <si>
    <t>vordringen</t>
  </si>
  <si>
    <t>gefielen</t>
  </si>
  <si>
    <t>erhitzt</t>
  </si>
  <si>
    <t>rochelle</t>
  </si>
  <si>
    <t>charity</t>
  </si>
  <si>
    <t>jahrelange</t>
  </si>
  <si>
    <t>ausarbeiten</t>
  </si>
  <si>
    <t>fifth</t>
  </si>
  <si>
    <t>morgendämmerung</t>
  </si>
  <si>
    <t>demoliert</t>
  </si>
  <si>
    <t>suzaku</t>
  </si>
  <si>
    <t>aasgeier</t>
  </si>
  <si>
    <t>stampfen</t>
  </si>
  <si>
    <t>widmet</t>
  </si>
  <si>
    <t>überrasche</t>
  </si>
  <si>
    <t>project</t>
  </si>
  <si>
    <t>beeilst</t>
  </si>
  <si>
    <t>steuerberater</t>
  </si>
  <si>
    <t>rät</t>
  </si>
  <si>
    <t>abhaken</t>
  </si>
  <si>
    <t>abgegangen</t>
  </si>
  <si>
    <t>charmeur</t>
  </si>
  <si>
    <t>irish</t>
  </si>
  <si>
    <t>bekehren</t>
  </si>
  <si>
    <t>player</t>
  </si>
  <si>
    <t>austreiben</t>
  </si>
  <si>
    <t>jodie</t>
  </si>
  <si>
    <t>spielhalle</t>
  </si>
  <si>
    <t>regenwald</t>
  </si>
  <si>
    <t>belanglos</t>
  </si>
  <si>
    <t>bills</t>
  </si>
  <si>
    <t>kollateralschaden</t>
  </si>
  <si>
    <t>olivers</t>
  </si>
  <si>
    <t>imitation</t>
  </si>
  <si>
    <t>einschaltquoten</t>
  </si>
  <si>
    <t>eiskalte</t>
  </si>
  <si>
    <t>urkomisch</t>
  </si>
  <si>
    <t>ärgerst</t>
  </si>
  <si>
    <t>bemerkst</t>
  </si>
  <si>
    <t>zurückspulen</t>
  </si>
  <si>
    <t>anzuzünden</t>
  </si>
  <si>
    <t>begrenzten</t>
  </si>
  <si>
    <t>hanks</t>
  </si>
  <si>
    <t>zuende</t>
  </si>
  <si>
    <t>liebstes</t>
  </si>
  <si>
    <t>graues</t>
  </si>
  <si>
    <t>stärkung</t>
  </si>
  <si>
    <t>garantien</t>
  </si>
  <si>
    <t>vorgefunden</t>
  </si>
  <si>
    <t>armaturenbrett</t>
  </si>
  <si>
    <t>schwimmst</t>
  </si>
  <si>
    <t>studentinnen</t>
  </si>
  <si>
    <t>gefangennahme</t>
  </si>
  <si>
    <t>voice</t>
  </si>
  <si>
    <t>extrablatt</t>
  </si>
  <si>
    <t>wartend</t>
  </si>
  <si>
    <t>dip</t>
  </si>
  <si>
    <t>rückspiegel</t>
  </si>
  <si>
    <t>vorherbestimmt</t>
  </si>
  <si>
    <t>karpfen</t>
  </si>
  <si>
    <t>judge</t>
  </si>
  <si>
    <t>sperrstunde</t>
  </si>
  <si>
    <t>monitore</t>
  </si>
  <si>
    <t>tully</t>
  </si>
  <si>
    <t>eddi</t>
  </si>
  <si>
    <t>bluttests</t>
  </si>
  <si>
    <t>baton</t>
  </si>
  <si>
    <t>fraktur</t>
  </si>
  <si>
    <t>alben</t>
  </si>
  <si>
    <t>regenten</t>
  </si>
  <si>
    <t>kreuzfeuer</t>
  </si>
  <si>
    <t>wegsehen</t>
  </si>
  <si>
    <t>vivien</t>
  </si>
  <si>
    <t>dreizack</t>
  </si>
  <si>
    <t>shark</t>
  </si>
  <si>
    <t>ausreicht</t>
  </si>
  <si>
    <t>wolkenkratzer</t>
  </si>
  <si>
    <t>radios</t>
  </si>
  <si>
    <t>fingers</t>
  </si>
  <si>
    <t>schiefläuft</t>
  </si>
  <si>
    <t>ausstieg</t>
  </si>
  <si>
    <t>zusammenarbeitet</t>
  </si>
  <si>
    <t>subs</t>
  </si>
  <si>
    <t>schönling</t>
  </si>
  <si>
    <t>avalon</t>
  </si>
  <si>
    <t>geldprobleme</t>
  </si>
  <si>
    <t>formwandler</t>
  </si>
  <si>
    <t>resync</t>
  </si>
  <si>
    <t>ballkönigin</t>
  </si>
  <si>
    <t>medusa</t>
  </si>
  <si>
    <t>lobet</t>
  </si>
  <si>
    <t>ivo</t>
  </si>
  <si>
    <t>ausgelaugt</t>
  </si>
  <si>
    <t>burbank</t>
  </si>
  <si>
    <t>killers</t>
  </si>
  <si>
    <t>kali</t>
  </si>
  <si>
    <t>stickig</t>
  </si>
  <si>
    <t>mega</t>
  </si>
  <si>
    <t>someone</t>
  </si>
  <si>
    <t>arschkriecher</t>
  </si>
  <si>
    <t>bestrahlung</t>
  </si>
  <si>
    <t>nachrichtendienst</t>
  </si>
  <si>
    <t>brownie</t>
  </si>
  <si>
    <t>abgefunden</t>
  </si>
  <si>
    <t>bastille</t>
  </si>
  <si>
    <t>pott</t>
  </si>
  <si>
    <t>yoda</t>
  </si>
  <si>
    <t>zusammenhänge</t>
  </si>
  <si>
    <t>bockmist</t>
  </si>
  <si>
    <t>unkompliziert</t>
  </si>
  <si>
    <t>jeffries</t>
  </si>
  <si>
    <t>bildeten</t>
  </si>
  <si>
    <t>puma</t>
  </si>
  <si>
    <t>gestörte</t>
  </si>
  <si>
    <t>ankunftszeit</t>
  </si>
  <si>
    <t>plymouth</t>
  </si>
  <si>
    <t>durchkämmt</t>
  </si>
  <si>
    <t>verbesserte</t>
  </si>
  <si>
    <t>plattenfirma</t>
  </si>
  <si>
    <t>direktive</t>
  </si>
  <si>
    <t>nütze</t>
  </si>
  <si>
    <t>zusammenhängt</t>
  </si>
  <si>
    <t>eisbären</t>
  </si>
  <si>
    <t>vergesslich</t>
  </si>
  <si>
    <t>harmlosen</t>
  </si>
  <si>
    <t>gebrauchte</t>
  </si>
  <si>
    <t>empörung</t>
  </si>
  <si>
    <t>sonntagmorgen</t>
  </si>
  <si>
    <t>kapitol</t>
  </si>
  <si>
    <t>santo</t>
  </si>
  <si>
    <t>kastriert</t>
  </si>
  <si>
    <t>verstöße</t>
  </si>
  <si>
    <t>polizeibeamte</t>
  </si>
  <si>
    <t>entsinne</t>
  </si>
  <si>
    <t>töpfchen</t>
  </si>
  <si>
    <t>nötigste</t>
  </si>
  <si>
    <t>gremium</t>
  </si>
  <si>
    <t>herzliche</t>
  </si>
  <si>
    <t>taff</t>
  </si>
  <si>
    <t>viereinhalb</t>
  </si>
  <si>
    <t>mitfühlend</t>
  </si>
  <si>
    <t>rachels</t>
  </si>
  <si>
    <t>polizeiliche</t>
  </si>
  <si>
    <t>geschwafel</t>
  </si>
  <si>
    <t>abzuwehren</t>
  </si>
  <si>
    <t>bewohnern</t>
  </si>
  <si>
    <t>einzuschalten</t>
  </si>
  <si>
    <t>softitler</t>
  </si>
  <si>
    <t>vie</t>
  </si>
  <si>
    <t>bleistifte</t>
  </si>
  <si>
    <t>close</t>
  </si>
  <si>
    <t>sterbebett</t>
  </si>
  <si>
    <t>problemo</t>
  </si>
  <si>
    <t>kimble</t>
  </si>
  <si>
    <t>ahmt</t>
  </si>
  <si>
    <t>abgezockt</t>
  </si>
  <si>
    <t>erhältlich</t>
  </si>
  <si>
    <t>geoutet</t>
  </si>
  <si>
    <t>sauerkraut</t>
  </si>
  <si>
    <t>anzugeben</t>
  </si>
  <si>
    <t>equipment</t>
  </si>
  <si>
    <t>abgibt</t>
  </si>
  <si>
    <t>weichst</t>
  </si>
  <si>
    <t>augustine</t>
  </si>
  <si>
    <t>rechtshänder</t>
  </si>
  <si>
    <t>wassermelone</t>
  </si>
  <si>
    <t>demokratisch</t>
  </si>
  <si>
    <t>monument</t>
  </si>
  <si>
    <t>alcatraz</t>
  </si>
  <si>
    <t>tempels</t>
  </si>
  <si>
    <t>tschüssi</t>
  </si>
  <si>
    <t>tory</t>
  </si>
  <si>
    <t>eingepflanzt</t>
  </si>
  <si>
    <t>pathologie</t>
  </si>
  <si>
    <t>ungutes</t>
  </si>
  <si>
    <t>pak</t>
  </si>
  <si>
    <t>tatzeit</t>
  </si>
  <si>
    <t>schwelgen</t>
  </si>
  <si>
    <t>vulkanischen</t>
  </si>
  <si>
    <t>pitbull</t>
  </si>
  <si>
    <t>du-</t>
  </si>
  <si>
    <t>erkennbar</t>
  </si>
  <si>
    <t>fernsehserie</t>
  </si>
  <si>
    <t>diaries</t>
  </si>
  <si>
    <t>töchterchen</t>
  </si>
  <si>
    <t>clarks</t>
  </si>
  <si>
    <t>medici</t>
  </si>
  <si>
    <t>kotz</t>
  </si>
  <si>
    <t>schüttle</t>
  </si>
  <si>
    <t>lower</t>
  </si>
  <si>
    <t>primäre</t>
  </si>
  <si>
    <t>reinpassen</t>
  </si>
  <si>
    <t>quartiere</t>
  </si>
  <si>
    <t>murdoch</t>
  </si>
  <si>
    <t>stammst</t>
  </si>
  <si>
    <t>drago</t>
  </si>
  <si>
    <t>catering</t>
  </si>
  <si>
    <t>niels</t>
  </si>
  <si>
    <t>mekka</t>
  </si>
  <si>
    <t>virtuelle</t>
  </si>
  <si>
    <t>zahnfleisch</t>
  </si>
  <si>
    <t>beschießen</t>
  </si>
  <si>
    <t>passanten</t>
  </si>
  <si>
    <t>ehemanns</t>
  </si>
  <si>
    <t>a-team</t>
  </si>
  <si>
    <t>iphone</t>
  </si>
  <si>
    <t>südens</t>
  </si>
  <si>
    <t>ystad</t>
  </si>
  <si>
    <t>türschwelle</t>
  </si>
  <si>
    <t>karawane</t>
  </si>
  <si>
    <t>gegenangriff</t>
  </si>
  <si>
    <t>acapulco</t>
  </si>
  <si>
    <t>charmanter</t>
  </si>
  <si>
    <t>auszug</t>
  </si>
  <si>
    <t>bürsten</t>
  </si>
  <si>
    <t>patrouillieren</t>
  </si>
  <si>
    <t>feststecken</t>
  </si>
  <si>
    <t>niemandsland</t>
  </si>
  <si>
    <t>stammgast</t>
  </si>
  <si>
    <t>schutzschilde</t>
  </si>
  <si>
    <t>amerikanischem</t>
  </si>
  <si>
    <t>auswirkung</t>
  </si>
  <si>
    <t>dingsda</t>
  </si>
  <si>
    <t>dorrit</t>
  </si>
  <si>
    <t>huo</t>
  </si>
  <si>
    <t>flagg</t>
  </si>
  <si>
    <t>hohn</t>
  </si>
  <si>
    <t>blutegel</t>
  </si>
  <si>
    <t>petrov</t>
  </si>
  <si>
    <t>jazzhead</t>
  </si>
  <si>
    <t>arbeitskollegen</t>
  </si>
  <si>
    <t>boiler</t>
  </si>
  <si>
    <t>verbesserungen</t>
  </si>
  <si>
    <t>japse</t>
  </si>
  <si>
    <t>renée</t>
  </si>
  <si>
    <t>kardinäle</t>
  </si>
  <si>
    <t>dekoriert</t>
  </si>
  <si>
    <t>begrenzen</t>
  </si>
  <si>
    <t>omni</t>
  </si>
  <si>
    <t>missfallen</t>
  </si>
  <si>
    <t>next</t>
  </si>
  <si>
    <t>hellseherin</t>
  </si>
  <si>
    <t>glock</t>
  </si>
  <si>
    <t>leuchtfeuer</t>
  </si>
  <si>
    <t>schakal</t>
  </si>
  <si>
    <t>harp</t>
  </si>
  <si>
    <t>alkoholproblem</t>
  </si>
  <si>
    <t>ignorierte</t>
  </si>
  <si>
    <t>geheißen</t>
  </si>
  <si>
    <t>anstrengender</t>
  </si>
  <si>
    <t>galle</t>
  </si>
  <si>
    <t>orchidee</t>
  </si>
  <si>
    <t>tusk</t>
  </si>
  <si>
    <t>beworfen</t>
  </si>
  <si>
    <t>fahrerin</t>
  </si>
  <si>
    <t>peaches</t>
  </si>
  <si>
    <t>vize</t>
  </si>
  <si>
    <t>erhabene</t>
  </si>
  <si>
    <t>whitmore</t>
  </si>
  <si>
    <t>familienangelegenheit</t>
  </si>
  <si>
    <t>johlen</t>
  </si>
  <si>
    <t>schlitzauge</t>
  </si>
  <si>
    <t>hatt</t>
  </si>
  <si>
    <t>gem</t>
  </si>
  <si>
    <t>bäder</t>
  </si>
  <si>
    <t>schwarz-weiß</t>
  </si>
  <si>
    <t>kammerdiener</t>
  </si>
  <si>
    <t>amelie</t>
  </si>
  <si>
    <t>mathison</t>
  </si>
  <si>
    <t>afrikas</t>
  </si>
  <si>
    <t>sechsmal</t>
  </si>
  <si>
    <t>toledo</t>
  </si>
  <si>
    <t>lieblings</t>
  </si>
  <si>
    <t>washingtons</t>
  </si>
  <si>
    <t>minibar</t>
  </si>
  <si>
    <t>neugeborenen</t>
  </si>
  <si>
    <t>trübe</t>
  </si>
  <si>
    <t>fehlanzeige</t>
  </si>
  <si>
    <t>todernst</t>
  </si>
  <si>
    <t>stannis</t>
  </si>
  <si>
    <t>löwin</t>
  </si>
  <si>
    <t>sorgten</t>
  </si>
  <si>
    <t>blamierst</t>
  </si>
  <si>
    <t>unbewaffneten</t>
  </si>
  <si>
    <t>schlachthof</t>
  </si>
  <si>
    <t>hörgeschädigte</t>
  </si>
  <si>
    <t>präzedenzfall</t>
  </si>
  <si>
    <t>vibrator</t>
  </si>
  <si>
    <t>himmler</t>
  </si>
  <si>
    <t>rothaarigen</t>
  </si>
  <si>
    <t>volllaufen</t>
  </si>
  <si>
    <t>fanfare</t>
  </si>
  <si>
    <t>körperlicher</t>
  </si>
  <si>
    <t>antaten</t>
  </si>
  <si>
    <t>absolviert</t>
  </si>
  <si>
    <t>geschleift</t>
  </si>
  <si>
    <t>beacon</t>
  </si>
  <si>
    <t>mayans</t>
  </si>
  <si>
    <t>immobilie</t>
  </si>
  <si>
    <t>boots</t>
  </si>
  <si>
    <t>kapern</t>
  </si>
  <si>
    <t>kellogg</t>
  </si>
  <si>
    <t>unverheiratet</t>
  </si>
  <si>
    <t>abzieht</t>
  </si>
  <si>
    <t>barmherzig</t>
  </si>
  <si>
    <t>imam</t>
  </si>
  <si>
    <t>verhöhnt</t>
  </si>
  <si>
    <t>betrete</t>
  </si>
  <si>
    <t>bevorstehende</t>
  </si>
  <si>
    <t>donaghy</t>
  </si>
  <si>
    <t>liegestütze</t>
  </si>
  <si>
    <t>poppins</t>
  </si>
  <si>
    <t>eiskrem</t>
  </si>
  <si>
    <t>aoki</t>
  </si>
  <si>
    <t>schwergewicht</t>
  </si>
  <si>
    <t>pumpt</t>
  </si>
  <si>
    <t>dodd</t>
  </si>
  <si>
    <t>pagen</t>
  </si>
  <si>
    <t>höherer</t>
  </si>
  <si>
    <t>rance</t>
  </si>
  <si>
    <t>drusilla</t>
  </si>
  <si>
    <t>österreicher</t>
  </si>
  <si>
    <t>britisch</t>
  </si>
  <si>
    <t>springende</t>
  </si>
  <si>
    <t>weihe</t>
  </si>
  <si>
    <t>riesenrad</t>
  </si>
  <si>
    <t>christo</t>
  </si>
  <si>
    <t>höflicher</t>
  </si>
  <si>
    <t>straßenecke</t>
  </si>
  <si>
    <t>südseite</t>
  </si>
  <si>
    <t>neugierige</t>
  </si>
  <si>
    <t>katheter</t>
  </si>
  <si>
    <t>kobayashi</t>
  </si>
  <si>
    <t>tandy</t>
  </si>
  <si>
    <t>modus</t>
  </si>
  <si>
    <t>perverses</t>
  </si>
  <si>
    <t>eingestochen</t>
  </si>
  <si>
    <t>fälscher</t>
  </si>
  <si>
    <t>grösser</t>
  </si>
  <si>
    <t>begabter</t>
  </si>
  <si>
    <t>meteorit</t>
  </si>
  <si>
    <t>aufzuführen</t>
  </si>
  <si>
    <t>auftragsmörder</t>
  </si>
  <si>
    <t>pustet</t>
  </si>
  <si>
    <t>ariane</t>
  </si>
  <si>
    <t>baumann</t>
  </si>
  <si>
    <t>eleganten</t>
  </si>
  <si>
    <t>beenthere</t>
  </si>
  <si>
    <t>ulrik</t>
  </si>
  <si>
    <t>videorekorder</t>
  </si>
  <si>
    <t>kneipen</t>
  </si>
  <si>
    <t>oooh</t>
  </si>
  <si>
    <t>capua</t>
  </si>
  <si>
    <t>komfortabel</t>
  </si>
  <si>
    <t>hierarchie</t>
  </si>
  <si>
    <t>elixier</t>
  </si>
  <si>
    <t>letty</t>
  </si>
  <si>
    <t>einzieht</t>
  </si>
  <si>
    <t>seniorpartner</t>
  </si>
  <si>
    <t>abstecher</t>
  </si>
  <si>
    <t>book</t>
  </si>
  <si>
    <t>tät</t>
  </si>
  <si>
    <t>zuständige</t>
  </si>
  <si>
    <t>trampel</t>
  </si>
  <si>
    <t>paradox</t>
  </si>
  <si>
    <t>straff</t>
  </si>
  <si>
    <t>maynard</t>
  </si>
  <si>
    <t>ch33fa33</t>
  </si>
  <si>
    <t>peperoni</t>
  </si>
  <si>
    <t>evangelium</t>
  </si>
  <si>
    <t>tiefgründig</t>
  </si>
  <si>
    <t>francie</t>
  </si>
  <si>
    <t>kolumbianer</t>
  </si>
  <si>
    <t>guillotine</t>
  </si>
  <si>
    <t>gebrandmarkt</t>
  </si>
  <si>
    <t>bearbeite</t>
  </si>
  <si>
    <t>elenas</t>
  </si>
  <si>
    <t>hausboot</t>
  </si>
  <si>
    <t>renault</t>
  </si>
  <si>
    <t>symbiont</t>
  </si>
  <si>
    <t>ter</t>
  </si>
  <si>
    <t>lebenserwartung</t>
  </si>
  <si>
    <t>hua</t>
  </si>
  <si>
    <t>vermehrt</t>
  </si>
  <si>
    <t>spielschulden</t>
  </si>
  <si>
    <t>piccolo</t>
  </si>
  <si>
    <t>espheni</t>
  </si>
  <si>
    <t>untypisch</t>
  </si>
  <si>
    <t>pappe</t>
  </si>
  <si>
    <t>klaro</t>
  </si>
  <si>
    <t>tret</t>
  </si>
  <si>
    <t>schallplatte</t>
  </si>
  <si>
    <t>ärgernis</t>
  </si>
  <si>
    <t>sturms</t>
  </si>
  <si>
    <t>mitgegeben</t>
  </si>
  <si>
    <t>reformen</t>
  </si>
  <si>
    <t>co.</t>
  </si>
  <si>
    <t>gefrorenen</t>
  </si>
  <si>
    <t>detaillierte</t>
  </si>
  <si>
    <t>zuzulassen</t>
  </si>
  <si>
    <t>lenin</t>
  </si>
  <si>
    <t>dschingis</t>
  </si>
  <si>
    <t>grübchen</t>
  </si>
  <si>
    <t>baird</t>
  </si>
  <si>
    <t>eingeschrieben</t>
  </si>
  <si>
    <t>festgesetzt</t>
  </si>
  <si>
    <t>dächer</t>
  </si>
  <si>
    <t>lagers</t>
  </si>
  <si>
    <t>knifflig</t>
  </si>
  <si>
    <t>torwart</t>
  </si>
  <si>
    <t>künstlern</t>
  </si>
  <si>
    <t>maguire</t>
  </si>
  <si>
    <t>wackelpudding</t>
  </si>
  <si>
    <t>zustimme</t>
  </si>
  <si>
    <t>stinkender</t>
  </si>
  <si>
    <t>winger</t>
  </si>
  <si>
    <t>zöpfe</t>
  </si>
  <si>
    <t>ausfragen</t>
  </si>
  <si>
    <t>kingston</t>
  </si>
  <si>
    <t>blutlinie</t>
  </si>
  <si>
    <t>bobs</t>
  </si>
  <si>
    <t>barneys</t>
  </si>
  <si>
    <t>ausgestrahlt</t>
  </si>
  <si>
    <t>unentdeckt</t>
  </si>
  <si>
    <t>bekennt</t>
  </si>
  <si>
    <t>offiziers</t>
  </si>
  <si>
    <t>norrie</t>
  </si>
  <si>
    <t>kommandiert</t>
  </si>
  <si>
    <t>imaginären</t>
  </si>
  <si>
    <t>kuck</t>
  </si>
  <si>
    <t>spülung</t>
  </si>
  <si>
    <t>zurückzuzahlen</t>
  </si>
  <si>
    <t>unbegründet</t>
  </si>
  <si>
    <t>nilpferd</t>
  </si>
  <si>
    <t>zivilisierten</t>
  </si>
  <si>
    <t>vergangenes</t>
  </si>
  <si>
    <t>außerordentliche</t>
  </si>
  <si>
    <t>alleinstehende</t>
  </si>
  <si>
    <t>temperamentvoll</t>
  </si>
  <si>
    <t>empfindliche</t>
  </si>
  <si>
    <t>simplen</t>
  </si>
  <si>
    <t>upgrade</t>
  </si>
  <si>
    <t>morpheus</t>
  </si>
  <si>
    <t>zahlreich</t>
  </si>
  <si>
    <t>küchenchef</t>
  </si>
  <si>
    <t>geigen</t>
  </si>
  <si>
    <t>ausserhalb</t>
  </si>
  <si>
    <t>intern</t>
  </si>
  <si>
    <t>blamage</t>
  </si>
  <si>
    <t>vorbehalten</t>
  </si>
  <si>
    <t>inflation</t>
  </si>
  <si>
    <t>fehde</t>
  </si>
  <si>
    <t>stieftochter</t>
  </si>
  <si>
    <t>hussein</t>
  </si>
  <si>
    <t>flüsterte</t>
  </si>
  <si>
    <t>behütet</t>
  </si>
  <si>
    <t>pelt</t>
  </si>
  <si>
    <t>award</t>
  </si>
  <si>
    <t>rennwagen</t>
  </si>
  <si>
    <t>anke</t>
  </si>
  <si>
    <t>gefiele</t>
  </si>
  <si>
    <t>feinste</t>
  </si>
  <si>
    <t>genötigt</t>
  </si>
  <si>
    <t>zusammenhält</t>
  </si>
  <si>
    <t>wertpapiere</t>
  </si>
  <si>
    <t>hirten</t>
  </si>
  <si>
    <t>kliniken</t>
  </si>
  <si>
    <t>absorbieren</t>
  </si>
  <si>
    <t>rockt</t>
  </si>
  <si>
    <t>behandelten</t>
  </si>
  <si>
    <t>bergsteiger</t>
  </si>
  <si>
    <t>israels</t>
  </si>
  <si>
    <t>karamell</t>
  </si>
  <si>
    <t>maverick</t>
  </si>
  <si>
    <t>kühlraum</t>
  </si>
  <si>
    <t>kinderkram</t>
  </si>
  <si>
    <t>chong</t>
  </si>
  <si>
    <t>woodward</t>
  </si>
  <si>
    <t>zerfleischt</t>
  </si>
  <si>
    <t>innenministerium</t>
  </si>
  <si>
    <t>überbleibsel</t>
  </si>
  <si>
    <t>burr</t>
  </si>
  <si>
    <t>zahllose</t>
  </si>
  <si>
    <t>aufzüge</t>
  </si>
  <si>
    <t>zocken</t>
  </si>
  <si>
    <t>zerschneiden</t>
  </si>
  <si>
    <t>krabbeln</t>
  </si>
  <si>
    <t>verprügelte</t>
  </si>
  <si>
    <t>loslässt</t>
  </si>
  <si>
    <t>legitim</t>
  </si>
  <si>
    <t>tägliches</t>
  </si>
  <si>
    <t>auszuwählen</t>
  </si>
  <si>
    <t>brandung</t>
  </si>
  <si>
    <t>brandneue</t>
  </si>
  <si>
    <t>zucht</t>
  </si>
  <si>
    <t>brauerei</t>
  </si>
  <si>
    <t>edles</t>
  </si>
  <si>
    <t>schalldämpfer</t>
  </si>
  <si>
    <t>schmuggelt</t>
  </si>
  <si>
    <t>wachturm</t>
  </si>
  <si>
    <t>fido</t>
  </si>
  <si>
    <t>unterdessen</t>
  </si>
  <si>
    <t>guard</t>
  </si>
  <si>
    <t>israelische</t>
  </si>
  <si>
    <t>zehenspitzen</t>
  </si>
  <si>
    <t>mobilisieren</t>
  </si>
  <si>
    <t>dichtung</t>
  </si>
  <si>
    <t>kriegsgebiet</t>
  </si>
  <si>
    <t>levy</t>
  </si>
  <si>
    <t>razor</t>
  </si>
  <si>
    <t>feuerwehrmänner</t>
  </si>
  <si>
    <t>pokerspiel</t>
  </si>
  <si>
    <t>insasse</t>
  </si>
  <si>
    <t>zulu</t>
  </si>
  <si>
    <t>bolivien</t>
  </si>
  <si>
    <t>rentiere</t>
  </si>
  <si>
    <t>vorbehalte</t>
  </si>
  <si>
    <t>klausel</t>
  </si>
  <si>
    <t>anschreiben</t>
  </si>
  <si>
    <t>gowron</t>
  </si>
  <si>
    <t>fade</t>
  </si>
  <si>
    <t>menschenskind</t>
  </si>
  <si>
    <t>durchstellen</t>
  </si>
  <si>
    <t>vorbringen</t>
  </si>
  <si>
    <t>gleisen</t>
  </si>
  <si>
    <t>woodsen</t>
  </si>
  <si>
    <t>weia</t>
  </si>
  <si>
    <t>unterstützer</t>
  </si>
  <si>
    <t>nerve</t>
  </si>
  <si>
    <t>rundherum</t>
  </si>
  <si>
    <t>ausladen</t>
  </si>
  <si>
    <t>lovelace</t>
  </si>
  <si>
    <t>geschwind</t>
  </si>
  <si>
    <t>strebt</t>
  </si>
  <si>
    <t>tulip</t>
  </si>
  <si>
    <t>vergrößerung</t>
  </si>
  <si>
    <t>pelze</t>
  </si>
  <si>
    <t>pingelig</t>
  </si>
  <si>
    <t>pfeiler</t>
  </si>
  <si>
    <t>herauszuholen</t>
  </si>
  <si>
    <t>brians</t>
  </si>
  <si>
    <t>befehlsgewalt</t>
  </si>
  <si>
    <t>mambo</t>
  </si>
  <si>
    <t>sensenmann</t>
  </si>
  <si>
    <t>gestreichelt</t>
  </si>
  <si>
    <t>rechtssystem</t>
  </si>
  <si>
    <t>trans</t>
  </si>
  <si>
    <t>bescherung</t>
  </si>
  <si>
    <t>erstatte</t>
  </si>
  <si>
    <t>fairbanks</t>
  </si>
  <si>
    <t>überfielen</t>
  </si>
  <si>
    <t>renaissance</t>
  </si>
  <si>
    <t>kurtz</t>
  </si>
  <si>
    <t>turteltäubchen</t>
  </si>
  <si>
    <t>geschändet</t>
  </si>
  <si>
    <t>andocken</t>
  </si>
  <si>
    <t>korrupter</t>
  </si>
  <si>
    <t>toyota</t>
  </si>
  <si>
    <t>kantonesisch</t>
  </si>
  <si>
    <t>hauptgewinn</t>
  </si>
  <si>
    <t>pfeilen</t>
  </si>
  <si>
    <t>gram</t>
  </si>
  <si>
    <t>pong</t>
  </si>
  <si>
    <t>fabrice</t>
  </si>
  <si>
    <t>beliebige</t>
  </si>
  <si>
    <t>reinige</t>
  </si>
  <si>
    <t>zubehör</t>
  </si>
  <si>
    <t>lowe</t>
  </si>
  <si>
    <t>rumschnüffeln</t>
  </si>
  <si>
    <t>hitman</t>
  </si>
  <si>
    <t>krause</t>
  </si>
  <si>
    <t>schlitze</t>
  </si>
  <si>
    <t>deunan</t>
  </si>
  <si>
    <t>schwerpunkt</t>
  </si>
  <si>
    <t>doolittle</t>
  </si>
  <si>
    <t>rauskriegt</t>
  </si>
  <si>
    <t>ausleben</t>
  </si>
  <si>
    <t>wohltätige</t>
  </si>
  <si>
    <t>überlegungen</t>
  </si>
  <si>
    <t>traurigste</t>
  </si>
  <si>
    <t>snoop</t>
  </si>
  <si>
    <t>flussufer</t>
  </si>
  <si>
    <t>überläufer</t>
  </si>
  <si>
    <t>jaulen</t>
  </si>
  <si>
    <t>aufgelistet</t>
  </si>
  <si>
    <t>auffangen</t>
  </si>
  <si>
    <t>knackig</t>
  </si>
  <si>
    <t>anbrennen</t>
  </si>
  <si>
    <t>detektivin</t>
  </si>
  <si>
    <t>diszipliniert</t>
  </si>
  <si>
    <t>minimale</t>
  </si>
  <si>
    <t>promenade</t>
  </si>
  <si>
    <t>zwischenfälle</t>
  </si>
  <si>
    <t>zukünftig</t>
  </si>
  <si>
    <t>nächtliche</t>
  </si>
  <si>
    <t>ibm</t>
  </si>
  <si>
    <t>bonaparte</t>
  </si>
  <si>
    <t>integrieren</t>
  </si>
  <si>
    <t>stürzten</t>
  </si>
  <si>
    <t>feierlichkeiten</t>
  </si>
  <si>
    <t>tödliches</t>
  </si>
  <si>
    <t>promis</t>
  </si>
  <si>
    <t>abzufangen</t>
  </si>
  <si>
    <t>abba</t>
  </si>
  <si>
    <t>flirt</t>
  </si>
  <si>
    <t>mcbeal</t>
  </si>
  <si>
    <t>koreanischen</t>
  </si>
  <si>
    <t>gendarmen</t>
  </si>
  <si>
    <t>verwickeln</t>
  </si>
  <si>
    <t>clooney</t>
  </si>
  <si>
    <t>verwirrte</t>
  </si>
  <si>
    <t>talentierter</t>
  </si>
  <si>
    <t>zehntausende</t>
  </si>
  <si>
    <t>ermöglichte</t>
  </si>
  <si>
    <t>klunker</t>
  </si>
  <si>
    <t>third</t>
  </si>
  <si>
    <t>ralphie</t>
  </si>
  <si>
    <t>fahrzeugen</t>
  </si>
  <si>
    <t>weihnachtszeit</t>
  </si>
  <si>
    <t>wehrmacht</t>
  </si>
  <si>
    <t>gründeten</t>
  </si>
  <si>
    <t>einbahnstraße</t>
  </si>
  <si>
    <t>begingen</t>
  </si>
  <si>
    <t>codenamen</t>
  </si>
  <si>
    <t>entschädigt</t>
  </si>
  <si>
    <t>asteroid</t>
  </si>
  <si>
    <t>zweifelhaft</t>
  </si>
  <si>
    <t>erweiterung</t>
  </si>
  <si>
    <t>ahmet</t>
  </si>
  <si>
    <t>olof</t>
  </si>
  <si>
    <t>rauen</t>
  </si>
  <si>
    <t>beliebten</t>
  </si>
  <si>
    <t>koreanisch</t>
  </si>
  <si>
    <t>joints</t>
  </si>
  <si>
    <t>regisseure</t>
  </si>
  <si>
    <t>stündlich</t>
  </si>
  <si>
    <t>chop</t>
  </si>
  <si>
    <t>rasiere</t>
  </si>
  <si>
    <t>fahrten</t>
  </si>
  <si>
    <t>regenerieren</t>
  </si>
  <si>
    <t>fangfrage</t>
  </si>
  <si>
    <t>mitunter</t>
  </si>
  <si>
    <t>verleitet</t>
  </si>
  <si>
    <t>vilde</t>
  </si>
  <si>
    <t>wife</t>
  </si>
  <si>
    <t>ting</t>
  </si>
  <si>
    <t>barts</t>
  </si>
  <si>
    <t>faires</t>
  </si>
  <si>
    <t>sicherheits</t>
  </si>
  <si>
    <t>einlade</t>
  </si>
  <si>
    <t>bekanntlich</t>
  </si>
  <si>
    <t>scherzkeks</t>
  </si>
  <si>
    <t>schworen</t>
  </si>
  <si>
    <t>windmühle</t>
  </si>
  <si>
    <t>telefonistin</t>
  </si>
  <si>
    <t>abstoßen</t>
  </si>
  <si>
    <t>befruchtung</t>
  </si>
  <si>
    <t>vir</t>
  </si>
  <si>
    <t>prachtvoll</t>
  </si>
  <si>
    <t>hinzukriegen</t>
  </si>
  <si>
    <t>näht</t>
  </si>
  <si>
    <t>henshaw</t>
  </si>
  <si>
    <t>spanischer</t>
  </si>
  <si>
    <t>blumenladen</t>
  </si>
  <si>
    <t>schwinden</t>
  </si>
  <si>
    <t>zurückgetreten</t>
  </si>
  <si>
    <t>kunststück</t>
  </si>
  <si>
    <t>coney</t>
  </si>
  <si>
    <t>stottern</t>
  </si>
  <si>
    <t>ennis</t>
  </si>
  <si>
    <t>tsunami</t>
  </si>
  <si>
    <t>kürzeste</t>
  </si>
  <si>
    <t>zurückblicken</t>
  </si>
  <si>
    <t>lahmgelegt</t>
  </si>
  <si>
    <t>rückwärtsgang</t>
  </si>
  <si>
    <t>splitternackt</t>
  </si>
  <si>
    <t>mones</t>
  </si>
  <si>
    <t>wish</t>
  </si>
  <si>
    <t>heiser</t>
  </si>
  <si>
    <t>spears</t>
  </si>
  <si>
    <t>neugeborenes</t>
  </si>
  <si>
    <t>meisterschaften</t>
  </si>
  <si>
    <t>zuwendung</t>
  </si>
  <si>
    <t>kompatibel</t>
  </si>
  <si>
    <t>verdursten</t>
  </si>
  <si>
    <t>faules</t>
  </si>
  <si>
    <t>relax</t>
  </si>
  <si>
    <t>niedliche</t>
  </si>
  <si>
    <t>scharlatan</t>
  </si>
  <si>
    <t>eingeflogen</t>
  </si>
  <si>
    <t>claudette</t>
  </si>
  <si>
    <t>trucker</t>
  </si>
  <si>
    <t>golfen</t>
  </si>
  <si>
    <t>streitmacht</t>
  </si>
  <si>
    <t>feuerst</t>
  </si>
  <si>
    <t>holy</t>
  </si>
  <si>
    <t>experiments</t>
  </si>
  <si>
    <t>lennart</t>
  </si>
  <si>
    <t>bescheren</t>
  </si>
  <si>
    <t>schlussstrich</t>
  </si>
  <si>
    <t>kaufman</t>
  </si>
  <si>
    <t>funky</t>
  </si>
  <si>
    <t>bildhauer</t>
  </si>
  <si>
    <t>arturo</t>
  </si>
  <si>
    <t>kendrick</t>
  </si>
  <si>
    <t>gepresst</t>
  </si>
  <si>
    <t>footballspieler</t>
  </si>
  <si>
    <t>zuzuschlagen</t>
  </si>
  <si>
    <t>stollen</t>
  </si>
  <si>
    <t>trüffel</t>
  </si>
  <si>
    <t>kochbuch</t>
  </si>
  <si>
    <t>schmeicheleien</t>
  </si>
  <si>
    <t>verkatert</t>
  </si>
  <si>
    <t>verfrüht</t>
  </si>
  <si>
    <t>suzette</t>
  </si>
  <si>
    <t>ogden</t>
  </si>
  <si>
    <t>barnabas</t>
  </si>
  <si>
    <t>wolff</t>
  </si>
  <si>
    <t>niedergestochen</t>
  </si>
  <si>
    <t>implantiert</t>
  </si>
  <si>
    <t>gewaltsamen</t>
  </si>
  <si>
    <t>wunderland</t>
  </si>
  <si>
    <t>ordens</t>
  </si>
  <si>
    <t>verweis</t>
  </si>
  <si>
    <t>unerlässlich</t>
  </si>
  <si>
    <t>ghul</t>
  </si>
  <si>
    <t>verstehste</t>
  </si>
  <si>
    <t>flieh</t>
  </si>
  <si>
    <t>potentielle</t>
  </si>
  <si>
    <t>mckinley</t>
  </si>
  <si>
    <t>bizarre</t>
  </si>
  <si>
    <t>lon</t>
  </si>
  <si>
    <t>transfusion</t>
  </si>
  <si>
    <t>andersson</t>
  </si>
  <si>
    <t>ergreife</t>
  </si>
  <si>
    <t>erna</t>
  </si>
  <si>
    <t>schrägen</t>
  </si>
  <si>
    <t>gerissener</t>
  </si>
  <si>
    <t>folie</t>
  </si>
  <si>
    <t>versteckspiel</t>
  </si>
  <si>
    <t>überprüfst</t>
  </si>
  <si>
    <t>projektion</t>
  </si>
  <si>
    <t>universitäten</t>
  </si>
  <si>
    <t>palermo</t>
  </si>
  <si>
    <t>enkelsohn</t>
  </si>
  <si>
    <t>everyone</t>
  </si>
  <si>
    <t>findus</t>
  </si>
  <si>
    <t>diversen</t>
  </si>
  <si>
    <t>statten</t>
  </si>
  <si>
    <t>flirtest</t>
  </si>
  <si>
    <t>inbegriff</t>
  </si>
  <si>
    <t>maría</t>
  </si>
  <si>
    <t>cade</t>
  </si>
  <si>
    <t>angebaggert</t>
  </si>
  <si>
    <t>pflanzt</t>
  </si>
  <si>
    <t>unangemeldet</t>
  </si>
  <si>
    <t>innig</t>
  </si>
  <si>
    <t>fog</t>
  </si>
  <si>
    <t>mccall</t>
  </si>
  <si>
    <t>unstimmigkeiten</t>
  </si>
  <si>
    <t>messungen</t>
  </si>
  <si>
    <t>probierte</t>
  </si>
  <si>
    <t>heimkam</t>
  </si>
  <si>
    <t>abzweigung</t>
  </si>
  <si>
    <t>nachprüfen</t>
  </si>
  <si>
    <t>taschenmesser</t>
  </si>
  <si>
    <t>teuersten</t>
  </si>
  <si>
    <t>schmeling</t>
  </si>
  <si>
    <t>erpicht</t>
  </si>
  <si>
    <t>schwäne</t>
  </si>
  <si>
    <t>zuverlässiger</t>
  </si>
  <si>
    <t>chai</t>
  </si>
  <si>
    <t>hintergeht</t>
  </si>
  <si>
    <t>ezekiel</t>
  </si>
  <si>
    <t>aufjeden</t>
  </si>
  <si>
    <t>kalifornischen</t>
  </si>
  <si>
    <t>platschen</t>
  </si>
  <si>
    <t>haferflocken</t>
  </si>
  <si>
    <t>shilling</t>
  </si>
  <si>
    <t>rutherford</t>
  </si>
  <si>
    <t>geheimdienste</t>
  </si>
  <si>
    <t>abschlussklasse</t>
  </si>
  <si>
    <t>verteidigte</t>
  </si>
  <si>
    <t>xu</t>
  </si>
  <si>
    <t>abgefüllt</t>
  </si>
  <si>
    <t>albanien</t>
  </si>
  <si>
    <t>bezeugt</t>
  </si>
  <si>
    <t>lj</t>
  </si>
  <si>
    <t>kontrollierst</t>
  </si>
  <si>
    <t>sweatshirt</t>
  </si>
  <si>
    <t>kanntet</t>
  </si>
  <si>
    <t>bezweifelt</t>
  </si>
  <si>
    <t>masseur</t>
  </si>
  <si>
    <t>grausames</t>
  </si>
  <si>
    <t>mystischen</t>
  </si>
  <si>
    <t>steril</t>
  </si>
  <si>
    <t>insofern</t>
  </si>
  <si>
    <t>beleben</t>
  </si>
  <si>
    <t>kz</t>
  </si>
  <si>
    <t>hingerissen</t>
  </si>
  <si>
    <t>abtauchen</t>
  </si>
  <si>
    <t>poseidon</t>
  </si>
  <si>
    <t>vaterschaft</t>
  </si>
  <si>
    <t>schimpanse</t>
  </si>
  <si>
    <t>lebensart</t>
  </si>
  <si>
    <t>corner</t>
  </si>
  <si>
    <t>entbindung</t>
  </si>
  <si>
    <t>meet</t>
  </si>
  <si>
    <t>runtergeladen</t>
  </si>
  <si>
    <t>tancredi</t>
  </si>
  <si>
    <t>benutzung</t>
  </si>
  <si>
    <t>erscheinst</t>
  </si>
  <si>
    <t>verlogen</t>
  </si>
  <si>
    <t>augie</t>
  </si>
  <si>
    <t>jørgen</t>
  </si>
  <si>
    <t>konstante</t>
  </si>
  <si>
    <t>begrub</t>
  </si>
  <si>
    <t>muslim</t>
  </si>
  <si>
    <t>dialoge</t>
  </si>
  <si>
    <t>canterbury</t>
  </si>
  <si>
    <t>pontus</t>
  </si>
  <si>
    <t>freebo</t>
  </si>
  <si>
    <t>personalakte</t>
  </si>
  <si>
    <t>körbchen</t>
  </si>
  <si>
    <t>funkgeräte</t>
  </si>
  <si>
    <t>angeworben</t>
  </si>
  <si>
    <t>transferieren</t>
  </si>
  <si>
    <t>behandele</t>
  </si>
  <si>
    <t>durchsuchte</t>
  </si>
  <si>
    <t>auszuspionieren</t>
  </si>
  <si>
    <t>bereinigt</t>
  </si>
  <si>
    <t>holzkopf</t>
  </si>
  <si>
    <t>letzteres</t>
  </si>
  <si>
    <t>herrenhaus</t>
  </si>
  <si>
    <t>glenda</t>
  </si>
  <si>
    <t>pediküre</t>
  </si>
  <si>
    <t>koffern</t>
  </si>
  <si>
    <t>überrollt</t>
  </si>
  <si>
    <t>patel</t>
  </si>
  <si>
    <t>simsen</t>
  </si>
  <si>
    <t>ekligen</t>
  </si>
  <si>
    <t>goldstück</t>
  </si>
  <si>
    <t>anlässen</t>
  </si>
  <si>
    <t>rde</t>
  </si>
  <si>
    <t>reimen</t>
  </si>
  <si>
    <t>oberschwester</t>
  </si>
  <si>
    <t>sundance</t>
  </si>
  <si>
    <t>tiefere</t>
  </si>
  <si>
    <t>funker</t>
  </si>
  <si>
    <t>misshandlung</t>
  </si>
  <si>
    <t>dänischen</t>
  </si>
  <si>
    <t>rennpferd</t>
  </si>
  <si>
    <t>ia</t>
  </si>
  <si>
    <t>vornherein</t>
  </si>
  <si>
    <t>vergönnt</t>
  </si>
  <si>
    <t>etappe</t>
  </si>
  <si>
    <t>kiriu</t>
  </si>
  <si>
    <t>einzureden</t>
  </si>
  <si>
    <t>zusammenzubringen</t>
  </si>
  <si>
    <t>jansen</t>
  </si>
  <si>
    <t>erlischt</t>
  </si>
  <si>
    <t>rachefeldzug</t>
  </si>
  <si>
    <t>befürworten</t>
  </si>
  <si>
    <t>hilde</t>
  </si>
  <si>
    <t>gefährte</t>
  </si>
  <si>
    <t>abschaffen</t>
  </si>
  <si>
    <t>abwimmeln</t>
  </si>
  <si>
    <t>verpatzt</t>
  </si>
  <si>
    <t>vorzeigen</t>
  </si>
  <si>
    <t>militärisch</t>
  </si>
  <si>
    <t>glades</t>
  </si>
  <si>
    <t>kamele</t>
  </si>
  <si>
    <t>hierherzukommen</t>
  </si>
  <si>
    <t>mitmache</t>
  </si>
  <si>
    <t>stiere</t>
  </si>
  <si>
    <t>aristoteles</t>
  </si>
  <si>
    <t>stumpfen</t>
  </si>
  <si>
    <t>schönheitswettbewerb</t>
  </si>
  <si>
    <t>ehrenamtlich</t>
  </si>
  <si>
    <t>mussolini</t>
  </si>
  <si>
    <t>festbinden</t>
  </si>
  <si>
    <t>reiseführer</t>
  </si>
  <si>
    <t>komplexer</t>
  </si>
  <si>
    <t>stumpfe</t>
  </si>
  <si>
    <t>derjenigen</t>
  </si>
  <si>
    <t>caligula</t>
  </si>
  <si>
    <t>mopp</t>
  </si>
  <si>
    <t>hackte</t>
  </si>
  <si>
    <t>herberge</t>
  </si>
  <si>
    <t>schweigend</t>
  </si>
  <si>
    <t>coyote</t>
  </si>
  <si>
    <t>entrinnen</t>
  </si>
  <si>
    <t>bogart</t>
  </si>
  <si>
    <t>eagles</t>
  </si>
  <si>
    <t>schnitzen</t>
  </si>
  <si>
    <t>begabte</t>
  </si>
  <si>
    <t>waschsalon</t>
  </si>
  <si>
    <t>rechnete</t>
  </si>
  <si>
    <t>barbar</t>
  </si>
  <si>
    <t>zuvorgekommen</t>
  </si>
  <si>
    <t>network</t>
  </si>
  <si>
    <t>unbegrenzt</t>
  </si>
  <si>
    <t>carola</t>
  </si>
  <si>
    <t>vereinfachen</t>
  </si>
  <si>
    <t>tortur</t>
  </si>
  <si>
    <t>krisen</t>
  </si>
  <si>
    <t>virtuellen</t>
  </si>
  <si>
    <t>hörensagen</t>
  </si>
  <si>
    <t>fernand</t>
  </si>
  <si>
    <t>vertragt</t>
  </si>
  <si>
    <t>aufzuholen</t>
  </si>
  <si>
    <t>frischem</t>
  </si>
  <si>
    <t>steed</t>
  </si>
  <si>
    <t>same</t>
  </si>
  <si>
    <t>totengräber</t>
  </si>
  <si>
    <t>tribunal</t>
  </si>
  <si>
    <t>taktlos</t>
  </si>
  <si>
    <t>aufschrift</t>
  </si>
  <si>
    <t>entspannend</t>
  </si>
  <si>
    <t>hinauszögern</t>
  </si>
  <si>
    <t>geschickter</t>
  </si>
  <si>
    <t>postboten</t>
  </si>
  <si>
    <t>javi</t>
  </si>
  <si>
    <t>pavel</t>
  </si>
  <si>
    <t>suzuki</t>
  </si>
  <si>
    <t>modifizieren</t>
  </si>
  <si>
    <t>archäologe</t>
  </si>
  <si>
    <t>wonderful</t>
  </si>
  <si>
    <t>selbstjustiz</t>
  </si>
  <si>
    <t>fürwahr</t>
  </si>
  <si>
    <t>preiszugeben</t>
  </si>
  <si>
    <t>verschmutzt</t>
  </si>
  <si>
    <t>passwörter</t>
  </si>
  <si>
    <t>schlitzaugen</t>
  </si>
  <si>
    <t>vorläufigen</t>
  </si>
  <si>
    <t>series</t>
  </si>
  <si>
    <t>matteo</t>
  </si>
  <si>
    <t>massey</t>
  </si>
  <si>
    <t>abwegig</t>
  </si>
  <si>
    <t>würdige</t>
  </si>
  <si>
    <t>abgesandte</t>
  </si>
  <si>
    <t>kling</t>
  </si>
  <si>
    <t>näherte</t>
  </si>
  <si>
    <t>capri</t>
  </si>
  <si>
    <t>abbezahlt</t>
  </si>
  <si>
    <t>schliefst</t>
  </si>
  <si>
    <t>kastrieren</t>
  </si>
  <si>
    <t>wegpusten</t>
  </si>
  <si>
    <t>weiterzugeben</t>
  </si>
  <si>
    <t>lausig</t>
  </si>
  <si>
    <t>aspen</t>
  </si>
  <si>
    <t>pit</t>
  </si>
  <si>
    <t>ryu</t>
  </si>
  <si>
    <t>fügung</t>
  </si>
  <si>
    <t>fünft</t>
  </si>
  <si>
    <t>steinzeit</t>
  </si>
  <si>
    <t>wich</t>
  </si>
  <si>
    <t>britannien</t>
  </si>
  <si>
    <t>sterblichkeit</t>
  </si>
  <si>
    <t>hausarzt</t>
  </si>
  <si>
    <t>diabetiker</t>
  </si>
  <si>
    <t>vala</t>
  </si>
  <si>
    <t>immigranten</t>
  </si>
  <si>
    <t>wladimir</t>
  </si>
  <si>
    <t>hinzuziehen</t>
  </si>
  <si>
    <t>vereinbarungen</t>
  </si>
  <si>
    <t>señores</t>
  </si>
  <si>
    <t>australier</t>
  </si>
  <si>
    <t>léa</t>
  </si>
  <si>
    <t>staff</t>
  </si>
  <si>
    <t>broken</t>
  </si>
  <si>
    <t>radcliffe</t>
  </si>
  <si>
    <t>save</t>
  </si>
  <si>
    <t>sicherheitsgurt</t>
  </si>
  <si>
    <t>schäbige</t>
  </si>
  <si>
    <t>al-qaida</t>
  </si>
  <si>
    <t>besserwisser</t>
  </si>
  <si>
    <t>barnett</t>
  </si>
  <si>
    <t>gottverdammtes</t>
  </si>
  <si>
    <t>entstehung</t>
  </si>
  <si>
    <t>läufts</t>
  </si>
  <si>
    <t>ranfahren</t>
  </si>
  <si>
    <t>gerüst</t>
  </si>
  <si>
    <t>initiieren</t>
  </si>
  <si>
    <t>vegetarierin</t>
  </si>
  <si>
    <t>rattert</t>
  </si>
  <si>
    <t>überschrieben</t>
  </si>
  <si>
    <t>ausgeheckt</t>
  </si>
  <si>
    <t>aston</t>
  </si>
  <si>
    <t>emitter</t>
  </si>
  <si>
    <t>wohnhaus</t>
  </si>
  <si>
    <t>besprachen</t>
  </si>
  <si>
    <t>aufrichtige</t>
  </si>
  <si>
    <t>einzujagen</t>
  </si>
  <si>
    <t>todesengel</t>
  </si>
  <si>
    <t>feilschen</t>
  </si>
  <si>
    <t>morten</t>
  </si>
  <si>
    <t>geltend</t>
  </si>
  <si>
    <t>verzögerungen</t>
  </si>
  <si>
    <t>blackouts</t>
  </si>
  <si>
    <t>lisas</t>
  </si>
  <si>
    <t>vorzugsweise</t>
  </si>
  <si>
    <t>bekloppte</t>
  </si>
  <si>
    <t>oval</t>
  </si>
  <si>
    <t>bevorzugte</t>
  </si>
  <si>
    <t>lucinda</t>
  </si>
  <si>
    <t>keime</t>
  </si>
  <si>
    <t>tauch</t>
  </si>
  <si>
    <t>selbstmorde</t>
  </si>
  <si>
    <t>getröstet</t>
  </si>
  <si>
    <t>amtlich</t>
  </si>
  <si>
    <t>intrige</t>
  </si>
  <si>
    <t>umkreisen</t>
  </si>
  <si>
    <t>spaniens</t>
  </si>
  <si>
    <t>geheiß</t>
  </si>
  <si>
    <t>dear</t>
  </si>
  <si>
    <t>césar</t>
  </si>
  <si>
    <t>tänzchen</t>
  </si>
  <si>
    <t>einschreiten</t>
  </si>
  <si>
    <t>standing</t>
  </si>
  <si>
    <t>konsultieren</t>
  </si>
  <si>
    <t>kapstadt</t>
  </si>
  <si>
    <t>jurastudium</t>
  </si>
  <si>
    <t>rasierklinge</t>
  </si>
  <si>
    <t>hafer</t>
  </si>
  <si>
    <t>anhang</t>
  </si>
  <si>
    <t>providence</t>
  </si>
  <si>
    <t>gibbons</t>
  </si>
  <si>
    <t>leviathan</t>
  </si>
  <si>
    <t>investiere</t>
  </si>
  <si>
    <t>como</t>
  </si>
  <si>
    <t>kehlen</t>
  </si>
  <si>
    <t>fernbleiben</t>
  </si>
  <si>
    <t>kuschelig</t>
  </si>
  <si>
    <t>kap</t>
  </si>
  <si>
    <t>abschicken</t>
  </si>
  <si>
    <t>jule</t>
  </si>
  <si>
    <t>überfalls</t>
  </si>
  <si>
    <t>qi</t>
  </si>
  <si>
    <t>anzetteln</t>
  </si>
  <si>
    <t>niedergeschossen</t>
  </si>
  <si>
    <t>wyler</t>
  </si>
  <si>
    <t>geometrie</t>
  </si>
  <si>
    <t>traummann</t>
  </si>
  <si>
    <t>aggressionen</t>
  </si>
  <si>
    <t>antik</t>
  </si>
  <si>
    <t>stoppe</t>
  </si>
  <si>
    <t>gehweg</t>
  </si>
  <si>
    <t>ehemannes</t>
  </si>
  <si>
    <t>opern</t>
  </si>
  <si>
    <t>regis</t>
  </si>
  <si>
    <t>nietzsche</t>
  </si>
  <si>
    <t>zier</t>
  </si>
  <si>
    <t>verdien</t>
  </si>
  <si>
    <t>raufgehen</t>
  </si>
  <si>
    <t>foxy</t>
  </si>
  <si>
    <t>alleinsein</t>
  </si>
  <si>
    <t>rehabilitation</t>
  </si>
  <si>
    <t>hepatitis</t>
  </si>
  <si>
    <t>caterer</t>
  </si>
  <si>
    <t>industrielle</t>
  </si>
  <si>
    <t>boshaft</t>
  </si>
  <si>
    <t>ruhestörung</t>
  </si>
  <si>
    <t>nazareth</t>
  </si>
  <si>
    <t>transponder</t>
  </si>
  <si>
    <t>kimura</t>
  </si>
  <si>
    <t>hinrichtungen</t>
  </si>
  <si>
    <t>ordnungsgemäß</t>
  </si>
  <si>
    <t>salutieren</t>
  </si>
  <si>
    <t>sicherheitsteam</t>
  </si>
  <si>
    <t>unnütz</t>
  </si>
  <si>
    <t>untersuchten</t>
  </si>
  <si>
    <t>mcnamara</t>
  </si>
  <si>
    <t>zuvorkommen</t>
  </si>
  <si>
    <t>poppen</t>
  </si>
  <si>
    <t>faraday</t>
  </si>
  <si>
    <t>anderenfalls</t>
  </si>
  <si>
    <t>kronjuwelen</t>
  </si>
  <si>
    <t>günstigen</t>
  </si>
  <si>
    <t>eigenartiges</t>
  </si>
  <si>
    <t>ros</t>
  </si>
  <si>
    <t>dienstboten</t>
  </si>
  <si>
    <t>beherbergt</t>
  </si>
  <si>
    <t>étienne</t>
  </si>
  <si>
    <t>hektik</t>
  </si>
  <si>
    <t>ground</t>
  </si>
  <si>
    <t>schlupfloch</t>
  </si>
  <si>
    <t>uh-oh</t>
  </si>
  <si>
    <t>klarinette</t>
  </si>
  <si>
    <t>angreifbar</t>
  </si>
  <si>
    <t>anbau</t>
  </si>
  <si>
    <t>supreme</t>
  </si>
  <si>
    <t>erbarmungslos</t>
  </si>
  <si>
    <t>verheerend</t>
  </si>
  <si>
    <t>generalsekretär</t>
  </si>
  <si>
    <t>muttersöhnchen</t>
  </si>
  <si>
    <t>päpstliche</t>
  </si>
  <si>
    <t>adonis</t>
  </si>
  <si>
    <t>nunmal</t>
  </si>
  <si>
    <t>aufwischen</t>
  </si>
  <si>
    <t>hyänen</t>
  </si>
  <si>
    <t>mont</t>
  </si>
  <si>
    <t>sicherheitsfirma</t>
  </si>
  <si>
    <t>cos</t>
  </si>
  <si>
    <t>bürgerin</t>
  </si>
  <si>
    <t>gerichtsvollzieher</t>
  </si>
  <si>
    <t>kameradschaft</t>
  </si>
  <si>
    <t>eindringt</t>
  </si>
  <si>
    <t>himmelreich</t>
  </si>
  <si>
    <t>kilgrave</t>
  </si>
  <si>
    <t>bedürftigen</t>
  </si>
  <si>
    <t>drummond</t>
  </si>
  <si>
    <t>verwendeten</t>
  </si>
  <si>
    <t>eingeworfen</t>
  </si>
  <si>
    <t>verwahrt</t>
  </si>
  <si>
    <t>anriefen</t>
  </si>
  <si>
    <t>joeys</t>
  </si>
  <si>
    <t>schroff</t>
  </si>
  <si>
    <t>stichwunde</t>
  </si>
  <si>
    <t>jeppe</t>
  </si>
  <si>
    <t>hexenzirkel</t>
  </si>
  <si>
    <t>pai</t>
  </si>
  <si>
    <t>termiten</t>
  </si>
  <si>
    <t>hewitt</t>
  </si>
  <si>
    <t>honda</t>
  </si>
  <si>
    <t>klebstoff</t>
  </si>
  <si>
    <t>zwirn</t>
  </si>
  <si>
    <t>abgewischt</t>
  </si>
  <si>
    <t>forensischen</t>
  </si>
  <si>
    <t>operationssaal</t>
  </si>
  <si>
    <t>feuerwache</t>
  </si>
  <si>
    <t>adiós</t>
  </si>
  <si>
    <t>schuldschein</t>
  </si>
  <si>
    <t>chirurgische</t>
  </si>
  <si>
    <t>handarbeit</t>
  </si>
  <si>
    <t>pensionierung</t>
  </si>
  <si>
    <t>göttlicher</t>
  </si>
  <si>
    <t>bezog</t>
  </si>
  <si>
    <t>ernsthafter</t>
  </si>
  <si>
    <t>tribun</t>
  </si>
  <si>
    <t>sie-</t>
  </si>
  <si>
    <t>pik</t>
  </si>
  <si>
    <t>shiva</t>
  </si>
  <si>
    <t>nervige</t>
  </si>
  <si>
    <t>pancho</t>
  </si>
  <si>
    <t>bedenkzeit</t>
  </si>
  <si>
    <t>römern</t>
  </si>
  <si>
    <t>elektronisch</t>
  </si>
  <si>
    <t>zusätzliches</t>
  </si>
  <si>
    <t>austreten</t>
  </si>
  <si>
    <t>vollgestopft</t>
  </si>
  <si>
    <t>elementen</t>
  </si>
  <si>
    <t>schweigsam</t>
  </si>
  <si>
    <t>leidenschaftlicher</t>
  </si>
  <si>
    <t>dayton</t>
  </si>
  <si>
    <t>koordiniert</t>
  </si>
  <si>
    <t>gönner</t>
  </si>
  <si>
    <t>zeitweise</t>
  </si>
  <si>
    <t>schrille</t>
  </si>
  <si>
    <t>buchte</t>
  </si>
  <si>
    <t>beliebtesten</t>
  </si>
  <si>
    <t>echtheit</t>
  </si>
  <si>
    <t>fremdgehen</t>
  </si>
  <si>
    <t>ministers</t>
  </si>
  <si>
    <t>goldig</t>
  </si>
  <si>
    <t>macken</t>
  </si>
  <si>
    <t>babyparty</t>
  </si>
  <si>
    <t>entschuldigte</t>
  </si>
  <si>
    <t>stromversorgung</t>
  </si>
  <si>
    <t>sommersprossen</t>
  </si>
  <si>
    <t>chiang</t>
  </si>
  <si>
    <t>rochester</t>
  </si>
  <si>
    <t>tribune</t>
  </si>
  <si>
    <t>feedback</t>
  </si>
  <si>
    <t>schnuppe</t>
  </si>
  <si>
    <t>boat</t>
  </si>
  <si>
    <t>dagewesen</t>
  </si>
  <si>
    <t>psychologisches</t>
  </si>
  <si>
    <t>self</t>
  </si>
  <si>
    <t>esposito</t>
  </si>
  <si>
    <t>vorfalls</t>
  </si>
  <si>
    <t>chic</t>
  </si>
  <si>
    <t>einzuschätzen</t>
  </si>
  <si>
    <t>gekackt</t>
  </si>
  <si>
    <t>ampullen</t>
  </si>
  <si>
    <t>wische</t>
  </si>
  <si>
    <t>hochgegangen</t>
  </si>
  <si>
    <t>latschen</t>
  </si>
  <si>
    <t>unermüdlich</t>
  </si>
  <si>
    <t>schulze</t>
  </si>
  <si>
    <t>bös</t>
  </si>
  <si>
    <t>streichmusik</t>
  </si>
  <si>
    <t>rambaldi</t>
  </si>
  <si>
    <t>hinkommt</t>
  </si>
  <si>
    <t>lebenswert</t>
  </si>
  <si>
    <t>verdrehte</t>
  </si>
  <si>
    <t>massig</t>
  </si>
  <si>
    <t>rüssel</t>
  </si>
  <si>
    <t>revolutionären</t>
  </si>
  <si>
    <t>fringe</t>
  </si>
  <si>
    <t>anne-marie</t>
  </si>
  <si>
    <t>antwerpen</t>
  </si>
  <si>
    <t>belang</t>
  </si>
  <si>
    <t>verschleiert</t>
  </si>
  <si>
    <t>prosit</t>
  </si>
  <si>
    <t>gesuchten</t>
  </si>
  <si>
    <t>ladendiebstahl</t>
  </si>
  <si>
    <t>qualifikation</t>
  </si>
  <si>
    <t>vormarsch</t>
  </si>
  <si>
    <t>röntgenbild</t>
  </si>
  <si>
    <t>schärfe</t>
  </si>
  <si>
    <t>vermeidet</t>
  </si>
  <si>
    <t>vorladen</t>
  </si>
  <si>
    <t>vaterfigur</t>
  </si>
  <si>
    <t>morley</t>
  </si>
  <si>
    <t>mittagsschlaf</t>
  </si>
  <si>
    <t>tischler</t>
  </si>
  <si>
    <t>nbc</t>
  </si>
  <si>
    <t>unentschlossen</t>
  </si>
  <si>
    <t>vorbeigegangen</t>
  </si>
  <si>
    <t>milieu</t>
  </si>
  <si>
    <t>eeg</t>
  </si>
  <si>
    <t>grievous</t>
  </si>
  <si>
    <t>zurückzuführen</t>
  </si>
  <si>
    <t>lumen</t>
  </si>
  <si>
    <t>runkle</t>
  </si>
  <si>
    <t>konkubine</t>
  </si>
  <si>
    <t>muy</t>
  </si>
  <si>
    <t>c-4</t>
  </si>
  <si>
    <t>verbliebenen</t>
  </si>
  <si>
    <t>zunutze</t>
  </si>
  <si>
    <t>zuzuschreiben</t>
  </si>
  <si>
    <t>abschlussprüfung</t>
  </si>
  <si>
    <t>howe</t>
  </si>
  <si>
    <t>pferdeschwanz</t>
  </si>
  <si>
    <t>unaufhörlich</t>
  </si>
  <si>
    <t>stacheln</t>
  </si>
  <si>
    <t>medical</t>
  </si>
  <si>
    <t>polizeischule</t>
  </si>
  <si>
    <t>stilles</t>
  </si>
  <si>
    <t>tageszeit</t>
  </si>
  <si>
    <t>entdecker</t>
  </si>
  <si>
    <t>ausrücken</t>
  </si>
  <si>
    <t>bedrückende</t>
  </si>
  <si>
    <t>weitersagen</t>
  </si>
  <si>
    <t>formsache</t>
  </si>
  <si>
    <t>polizeibeamten</t>
  </si>
  <si>
    <t>selbsthilfegruppe</t>
  </si>
  <si>
    <t>rückstände</t>
  </si>
  <si>
    <t>gesenkt</t>
  </si>
  <si>
    <t>verfügbare</t>
  </si>
  <si>
    <t>osteuropa</t>
  </si>
  <si>
    <t>rülpsen</t>
  </si>
  <si>
    <t>fingerspitzen</t>
  </si>
  <si>
    <t>zerbrochene</t>
  </si>
  <si>
    <t>dehoh</t>
  </si>
  <si>
    <t>heels</t>
  </si>
  <si>
    <t>nebenher</t>
  </si>
  <si>
    <t>abrahams</t>
  </si>
  <si>
    <t>clement</t>
  </si>
  <si>
    <t>stummen</t>
  </si>
  <si>
    <t>samba</t>
  </si>
  <si>
    <t>science-fiction</t>
  </si>
  <si>
    <t>brainiac</t>
  </si>
  <si>
    <t>fillmore</t>
  </si>
  <si>
    <t>losschicken</t>
  </si>
  <si>
    <t>laird</t>
  </si>
  <si>
    <t>wutanfall</t>
  </si>
  <si>
    <t>abkratzen</t>
  </si>
  <si>
    <t>whitechapel</t>
  </si>
  <si>
    <t>nacktheit</t>
  </si>
  <si>
    <t>turkey</t>
  </si>
  <si>
    <t>häftlingen</t>
  </si>
  <si>
    <t>unterwerfung</t>
  </si>
  <si>
    <t>kratze</t>
  </si>
  <si>
    <t>teilzeit</t>
  </si>
  <si>
    <t>klarzumachen</t>
  </si>
  <si>
    <t>börsenmakler</t>
  </si>
  <si>
    <t>lagert</t>
  </si>
  <si>
    <t>tobin</t>
  </si>
  <si>
    <t>verantwortungsbewusst</t>
  </si>
  <si>
    <t>gewölbe</t>
  </si>
  <si>
    <t>einschläft</t>
  </si>
  <si>
    <t>erzählungen</t>
  </si>
  <si>
    <t>erdöl</t>
  </si>
  <si>
    <t>revue</t>
  </si>
  <si>
    <t>rattengift</t>
  </si>
  <si>
    <t>ope</t>
  </si>
  <si>
    <t>tulpen</t>
  </si>
  <si>
    <t>handele</t>
  </si>
  <si>
    <t>gedenkt</t>
  </si>
  <si>
    <t>ih</t>
  </si>
  <si>
    <t>unrein</t>
  </si>
  <si>
    <t>terroranschlag</t>
  </si>
  <si>
    <t>schulgeld</t>
  </si>
  <si>
    <t>künstlerisch</t>
  </si>
  <si>
    <t>hawking</t>
  </si>
  <si>
    <t>genialität</t>
  </si>
  <si>
    <t>finanzministerium</t>
  </si>
  <si>
    <t>suits</t>
  </si>
  <si>
    <t>brie</t>
  </si>
  <si>
    <t>grotte</t>
  </si>
  <si>
    <t>kulturellen</t>
  </si>
  <si>
    <t>vw</t>
  </si>
  <si>
    <t>gemeinderat</t>
  </si>
  <si>
    <t>flüchtlingen</t>
  </si>
  <si>
    <t>inc</t>
  </si>
  <si>
    <t>goldstein</t>
  </si>
  <si>
    <t>entmutigen</t>
  </si>
  <si>
    <t>sarkophag</t>
  </si>
  <si>
    <t>hair</t>
  </si>
  <si>
    <t>arden</t>
  </si>
  <si>
    <t>kommandieren</t>
  </si>
  <si>
    <t>schmiert</t>
  </si>
  <si>
    <t>baupläne</t>
  </si>
  <si>
    <t>fortune</t>
  </si>
  <si>
    <t>erblicken</t>
  </si>
  <si>
    <t>gegnern</t>
  </si>
  <si>
    <t>bakersfield</t>
  </si>
  <si>
    <t>galopp</t>
  </si>
  <si>
    <t>moskitos</t>
  </si>
  <si>
    <t>nostalgie</t>
  </si>
  <si>
    <t>quiekt</t>
  </si>
  <si>
    <t>unverschämter</t>
  </si>
  <si>
    <t>verurteilter</t>
  </si>
  <si>
    <t>rugby</t>
  </si>
  <si>
    <t>beibrachte</t>
  </si>
  <si>
    <t>bürgerwehr</t>
  </si>
  <si>
    <t>erwache</t>
  </si>
  <si>
    <t>biege</t>
  </si>
  <si>
    <t>gefängnisstrafe</t>
  </si>
  <si>
    <t>downey</t>
  </si>
  <si>
    <t>bemerkbar</t>
  </si>
  <si>
    <t>dementsprechend</t>
  </si>
  <si>
    <t>realisierte</t>
  </si>
  <si>
    <t>turteltauben</t>
  </si>
  <si>
    <t>heimlicher</t>
  </si>
  <si>
    <t>verleiten</t>
  </si>
  <si>
    <t>lichtwächter</t>
  </si>
  <si>
    <t>rosita</t>
  </si>
  <si>
    <t>meisterstück</t>
  </si>
  <si>
    <t>auffälliges</t>
  </si>
  <si>
    <t>marsmenschen</t>
  </si>
  <si>
    <t>polster</t>
  </si>
  <si>
    <t>tesla</t>
  </si>
  <si>
    <t>interferenzen</t>
  </si>
  <si>
    <t>militärdienst</t>
  </si>
  <si>
    <t>schizophren</t>
  </si>
  <si>
    <t>nichtraucher</t>
  </si>
  <si>
    <t>flugplan</t>
  </si>
  <si>
    <t>skandale</t>
  </si>
  <si>
    <t>ließest</t>
  </si>
  <si>
    <t>largo</t>
  </si>
  <si>
    <t>sterns</t>
  </si>
  <si>
    <t>badger</t>
  </si>
  <si>
    <t>jekyll</t>
  </si>
  <si>
    <t>augenbraue</t>
  </si>
  <si>
    <t>kriegsschiffe</t>
  </si>
  <si>
    <t>spartakus</t>
  </si>
  <si>
    <t>mängel</t>
  </si>
  <si>
    <t>ablenkt</t>
  </si>
  <si>
    <t>leichensack</t>
  </si>
  <si>
    <t>portwein</t>
  </si>
  <si>
    <t>ultra</t>
  </si>
  <si>
    <t>zuckt</t>
  </si>
  <si>
    <t>keys</t>
  </si>
  <si>
    <t>isl</t>
  </si>
  <si>
    <t>gähnen</t>
  </si>
  <si>
    <t>slam</t>
  </si>
  <si>
    <t>dumont</t>
  </si>
  <si>
    <t>folg</t>
  </si>
  <si>
    <t>päpstlichen</t>
  </si>
  <si>
    <t>gemeinsamkeit</t>
  </si>
  <si>
    <t>eldridge</t>
  </si>
  <si>
    <t>sook</t>
  </si>
  <si>
    <t>sehkraft</t>
  </si>
  <si>
    <t>gewußt</t>
  </si>
  <si>
    <t>kümmerten</t>
  </si>
  <si>
    <t>möhren</t>
  </si>
  <si>
    <t>saatgut</t>
  </si>
  <si>
    <t>südstaatler</t>
  </si>
  <si>
    <t>vergifteten</t>
  </si>
  <si>
    <t>verfüttern</t>
  </si>
  <si>
    <t>tulsa</t>
  </si>
  <si>
    <t>rhoda</t>
  </si>
  <si>
    <t>booker</t>
  </si>
  <si>
    <t>helmer</t>
  </si>
  <si>
    <t>gabriella</t>
  </si>
  <si>
    <t>täuschte</t>
  </si>
  <si>
    <t>glühende</t>
  </si>
  <si>
    <t>omelette</t>
  </si>
  <si>
    <t>einfügen</t>
  </si>
  <si>
    <t>geklungen</t>
  </si>
  <si>
    <t>ausbrüche</t>
  </si>
  <si>
    <t>gymnastik</t>
  </si>
  <si>
    <t>erz</t>
  </si>
  <si>
    <t>liedern</t>
  </si>
  <si>
    <t>mechanische</t>
  </si>
  <si>
    <t>fälschlicherweise</t>
  </si>
  <si>
    <t>hungerstreik</t>
  </si>
  <si>
    <t>dreckstück</t>
  </si>
  <si>
    <t>beschuldigungen</t>
  </si>
  <si>
    <t>weibliches</t>
  </si>
  <si>
    <t>preiset</t>
  </si>
  <si>
    <t>serien</t>
  </si>
  <si>
    <t>wc</t>
  </si>
  <si>
    <t>spongebob</t>
  </si>
  <si>
    <t>ausgefressen</t>
  </si>
  <si>
    <t>ordnete</t>
  </si>
  <si>
    <t>bürge</t>
  </si>
  <si>
    <t>kwon</t>
  </si>
  <si>
    <t>gefährt</t>
  </si>
  <si>
    <t>beatmungsgerät</t>
  </si>
  <si>
    <t>drohe</t>
  </si>
  <si>
    <t>träumten</t>
  </si>
  <si>
    <t>gängen</t>
  </si>
  <si>
    <t>vertiefen</t>
  </si>
  <si>
    <t>skandalös</t>
  </si>
  <si>
    <t>rohes</t>
  </si>
  <si>
    <t>browns</t>
  </si>
  <si>
    <t>gannicus</t>
  </si>
  <si>
    <t>patch</t>
  </si>
  <si>
    <t>allgemeinheit</t>
  </si>
  <si>
    <t>ungelösten</t>
  </si>
  <si>
    <t>milord</t>
  </si>
  <si>
    <t>verleugnet</t>
  </si>
  <si>
    <t>notrufzentrale</t>
  </si>
  <si>
    <t>arts</t>
  </si>
  <si>
    <t>durchdreht</t>
  </si>
  <si>
    <t>hyperantrieb</t>
  </si>
  <si>
    <t>zugestellt</t>
  </si>
  <si>
    <t>unmögliches</t>
  </si>
  <si>
    <t>abgesegnet</t>
  </si>
  <si>
    <t>jammerschade</t>
  </si>
  <si>
    <t>bestiegen</t>
  </si>
  <si>
    <t>rekorde</t>
  </si>
  <si>
    <t>zodiac</t>
  </si>
  <si>
    <t>provinzen</t>
  </si>
  <si>
    <t>blickfeld</t>
  </si>
  <si>
    <t>künstliches</t>
  </si>
  <si>
    <t>archäologie</t>
  </si>
  <si>
    <t>texten</t>
  </si>
  <si>
    <t>fink</t>
  </si>
  <si>
    <t>meidet</t>
  </si>
  <si>
    <t>amputieren</t>
  </si>
  <si>
    <t>warlock</t>
  </si>
  <si>
    <t>untersteh</t>
  </si>
  <si>
    <t>century</t>
  </si>
  <si>
    <t>säßen</t>
  </si>
  <si>
    <t>brabbelt</t>
  </si>
  <si>
    <t>eko</t>
  </si>
  <si>
    <t>algebra</t>
  </si>
  <si>
    <t>juristisch</t>
  </si>
  <si>
    <t>kei</t>
  </si>
  <si>
    <t>hotline</t>
  </si>
  <si>
    <t>forelle</t>
  </si>
  <si>
    <t>immobilienmakler</t>
  </si>
  <si>
    <t>galant</t>
  </si>
  <si>
    <t>zugführer</t>
  </si>
  <si>
    <t>annonce</t>
  </si>
  <si>
    <t>verschrecken</t>
  </si>
  <si>
    <t>epi</t>
  </si>
  <si>
    <t>tolerant</t>
  </si>
  <si>
    <t>durchdringt</t>
  </si>
  <si>
    <t>bai</t>
  </si>
  <si>
    <t>ammoniak</t>
  </si>
  <si>
    <t>fergus</t>
  </si>
  <si>
    <t>parkplätze</t>
  </si>
  <si>
    <t>liars</t>
  </si>
  <si>
    <t>aufleben</t>
  </si>
  <si>
    <t>fuße</t>
  </si>
  <si>
    <t>packard</t>
  </si>
  <si>
    <t>optimist</t>
  </si>
  <si>
    <t>hinterhältiger</t>
  </si>
  <si>
    <t>animal</t>
  </si>
  <si>
    <t>alfons</t>
  </si>
  <si>
    <t>rangekommen</t>
  </si>
  <si>
    <t>bibliothekarin</t>
  </si>
  <si>
    <t>tylers</t>
  </si>
  <si>
    <t>entblößt</t>
  </si>
  <si>
    <t>talia</t>
  </si>
  <si>
    <t>einzuführen</t>
  </si>
  <si>
    <t>verschwiegenheit</t>
  </si>
  <si>
    <t>todestrakt</t>
  </si>
  <si>
    <t>corvette</t>
  </si>
  <si>
    <t>abgewandt</t>
  </si>
  <si>
    <t>moskauer</t>
  </si>
  <si>
    <t>conor</t>
  </si>
  <si>
    <t>glätten</t>
  </si>
  <si>
    <t>zusammenfassen</t>
  </si>
  <si>
    <t>arya</t>
  </si>
  <si>
    <t>extras</t>
  </si>
  <si>
    <t>erzählerin</t>
  </si>
  <si>
    <t>amnestie</t>
  </si>
  <si>
    <t>röhren</t>
  </si>
  <si>
    <t>feierte</t>
  </si>
  <si>
    <t>loving</t>
  </si>
  <si>
    <t>tröstlich</t>
  </si>
  <si>
    <t>verkrüppelt</t>
  </si>
  <si>
    <t>bordstein</t>
  </si>
  <si>
    <t>skol</t>
  </si>
  <si>
    <t>volleyball</t>
  </si>
  <si>
    <t>horrorfilme</t>
  </si>
  <si>
    <t>berichteten</t>
  </si>
  <si>
    <t>deepthought42</t>
  </si>
  <si>
    <t>stampede</t>
  </si>
  <si>
    <t>fertiggestellt</t>
  </si>
  <si>
    <t>petersilie</t>
  </si>
  <si>
    <t>schokoladenkuchen</t>
  </si>
  <si>
    <t>mexikanisches</t>
  </si>
  <si>
    <t>lichten</t>
  </si>
  <si>
    <t>scharen</t>
  </si>
  <si>
    <t>hielte</t>
  </si>
  <si>
    <t>mccann</t>
  </si>
  <si>
    <t>reinhold</t>
  </si>
  <si>
    <t>hinhauen</t>
  </si>
  <si>
    <t>rausgehst</t>
  </si>
  <si>
    <t>robben</t>
  </si>
  <si>
    <t>kree</t>
  </si>
  <si>
    <t>gehorchst</t>
  </si>
  <si>
    <t>kammerflimmern</t>
  </si>
  <si>
    <t>terroristische</t>
  </si>
  <si>
    <t>unternehme</t>
  </si>
  <si>
    <t>gekreuzt</t>
  </si>
  <si>
    <t>hyäne</t>
  </si>
  <si>
    <t>aufgab</t>
  </si>
  <si>
    <t>gefälligkeiten</t>
  </si>
  <si>
    <t>mutiert</t>
  </si>
  <si>
    <t>völkern</t>
  </si>
  <si>
    <t>pittman</t>
  </si>
  <si>
    <t>stubbs</t>
  </si>
  <si>
    <t>jennie</t>
  </si>
  <si>
    <t>seitens</t>
  </si>
  <si>
    <t>besiege</t>
  </si>
  <si>
    <t>broker</t>
  </si>
  <si>
    <t>gezittert</t>
  </si>
  <si>
    <t>svetlana</t>
  </si>
  <si>
    <t>josefine</t>
  </si>
  <si>
    <t>collin</t>
  </si>
  <si>
    <t>errungen</t>
  </si>
  <si>
    <t>unrealistisch</t>
  </si>
  <si>
    <t>zwischenstopp</t>
  </si>
  <si>
    <t>festmachen</t>
  </si>
  <si>
    <t>malin</t>
  </si>
  <si>
    <t>selim</t>
  </si>
  <si>
    <t>eingezahlt</t>
  </si>
  <si>
    <t>mitsuko</t>
  </si>
  <si>
    <t>getrennten</t>
  </si>
  <si>
    <t>abendschule</t>
  </si>
  <si>
    <t>verfolgungswahn</t>
  </si>
  <si>
    <t>geisteszustand</t>
  </si>
  <si>
    <t>konzentrationslager</t>
  </si>
  <si>
    <t>blaubeeren</t>
  </si>
  <si>
    <t>vorfällen</t>
  </si>
  <si>
    <t>lilah</t>
  </si>
  <si>
    <t>piss</t>
  </si>
  <si>
    <t>kruzifix</t>
  </si>
  <si>
    <t>bhs</t>
  </si>
  <si>
    <t>mitgezählt</t>
  </si>
  <si>
    <t>kenna</t>
  </si>
  <si>
    <t>pult</t>
  </si>
  <si>
    <t>beliefert</t>
  </si>
  <si>
    <t>anbiete</t>
  </si>
  <si>
    <t>kolja</t>
  </si>
  <si>
    <t>ganove</t>
  </si>
  <si>
    <t>tauge</t>
  </si>
  <si>
    <t>versah</t>
  </si>
  <si>
    <t>zertreten</t>
  </si>
  <si>
    <t>gefängniszelle</t>
  </si>
  <si>
    <t>ermutigend</t>
  </si>
  <si>
    <t>strafregister</t>
  </si>
  <si>
    <t>birdie</t>
  </si>
  <si>
    <t>vincents</t>
  </si>
  <si>
    <t>mangelnde</t>
  </si>
  <si>
    <t>stillschweigen</t>
  </si>
  <si>
    <t>liedchen</t>
  </si>
  <si>
    <t>winchesters</t>
  </si>
  <si>
    <t>frisieren</t>
  </si>
  <si>
    <t>gaspedal</t>
  </si>
  <si>
    <t>fischchen</t>
  </si>
  <si>
    <t>trainings</t>
  </si>
  <si>
    <t>penicillin</t>
  </si>
  <si>
    <t>zuweilen</t>
  </si>
  <si>
    <t>bildlich</t>
  </si>
  <si>
    <t>arbeitskräfte</t>
  </si>
  <si>
    <t>finderlohn</t>
  </si>
  <si>
    <t>anni</t>
  </si>
  <si>
    <t>gendarmerie</t>
  </si>
  <si>
    <t>moves</t>
  </si>
  <si>
    <t>einschnitt</t>
  </si>
  <si>
    <t>sparst</t>
  </si>
  <si>
    <t>erliegen</t>
  </si>
  <si>
    <t>eifersüchtige</t>
  </si>
  <si>
    <t>arie</t>
  </si>
  <si>
    <t>mörderischen</t>
  </si>
  <si>
    <t>nische</t>
  </si>
  <si>
    <t>sucre</t>
  </si>
  <si>
    <t>mckenna</t>
  </si>
  <si>
    <t>verordnet</t>
  </si>
  <si>
    <t>mineralien</t>
  </si>
  <si>
    <t>einsätzen</t>
  </si>
  <si>
    <t>mulligan</t>
  </si>
  <si>
    <t>guantanamo</t>
  </si>
  <si>
    <t>ausgeübt</t>
  </si>
  <si>
    <t>kombinationen</t>
  </si>
  <si>
    <t>performance</t>
  </si>
  <si>
    <t>takashi</t>
  </si>
  <si>
    <t>errätst</t>
  </si>
  <si>
    <t>müllkippe</t>
  </si>
  <si>
    <t>wise</t>
  </si>
  <si>
    <t>schussfeld</t>
  </si>
  <si>
    <t>weggehe</t>
  </si>
  <si>
    <t>connolly</t>
  </si>
  <si>
    <t>kosmischen</t>
  </si>
  <si>
    <t>inspiziert</t>
  </si>
  <si>
    <t>groupies</t>
  </si>
  <si>
    <t>bürgerlichen</t>
  </si>
  <si>
    <t>automat</t>
  </si>
  <si>
    <t>crewmitglieder</t>
  </si>
  <si>
    <t>parties</t>
  </si>
  <si>
    <t>30er</t>
  </si>
  <si>
    <t>château</t>
  </si>
  <si>
    <t>arif</t>
  </si>
  <si>
    <t>gilda</t>
  </si>
  <si>
    <t>voltron</t>
  </si>
  <si>
    <t>hereinkam</t>
  </si>
  <si>
    <t>erträglich</t>
  </si>
  <si>
    <t>quietschende</t>
  </si>
  <si>
    <t>entspannte</t>
  </si>
  <si>
    <t>saito</t>
  </si>
  <si>
    <t>überraschst</t>
  </si>
  <si>
    <t>rapide</t>
  </si>
  <si>
    <t>berüchtigt</t>
  </si>
  <si>
    <t>jp</t>
  </si>
  <si>
    <t>zuzustimmen</t>
  </si>
  <si>
    <t>übereinstimmt</t>
  </si>
  <si>
    <t>schikane</t>
  </si>
  <si>
    <t>veröffentlichte</t>
  </si>
  <si>
    <t>verlang</t>
  </si>
  <si>
    <t>tischgebet</t>
  </si>
  <si>
    <t>egoistische</t>
  </si>
  <si>
    <t>rundfunk</t>
  </si>
  <si>
    <t>wildschweine</t>
  </si>
  <si>
    <t>rumhängt</t>
  </si>
  <si>
    <t>sandwichs</t>
  </si>
  <si>
    <t>verwöhnte</t>
  </si>
  <si>
    <t>peppone</t>
  </si>
  <si>
    <t>komplexen</t>
  </si>
  <si>
    <t>freudige</t>
  </si>
  <si>
    <t>herausgeben</t>
  </si>
  <si>
    <t>flippte</t>
  </si>
  <si>
    <t>monolog</t>
  </si>
  <si>
    <t>eingehender</t>
  </si>
  <si>
    <t>milchstraße</t>
  </si>
  <si>
    <t>füssen</t>
  </si>
  <si>
    <t>herzattacke</t>
  </si>
  <si>
    <t>automatischen</t>
  </si>
  <si>
    <t>angezettelt</t>
  </si>
  <si>
    <t>rausrücken</t>
  </si>
  <si>
    <t>blinkt</t>
  </si>
  <si>
    <t>positiver</t>
  </si>
  <si>
    <t>aufmachung</t>
  </si>
  <si>
    <t>nachschlag</t>
  </si>
  <si>
    <t>alamo</t>
  </si>
  <si>
    <t>klacken</t>
  </si>
  <si>
    <t>susans</t>
  </si>
  <si>
    <t>abschiedsparty</t>
  </si>
  <si>
    <t>kündigst</t>
  </si>
  <si>
    <t>emmanuelle</t>
  </si>
  <si>
    <t>garber</t>
  </si>
  <si>
    <t>glotz</t>
  </si>
  <si>
    <t>quatschst</t>
  </si>
  <si>
    <t>nachruf</t>
  </si>
  <si>
    <t>kühles</t>
  </si>
  <si>
    <t>gefrorene</t>
  </si>
  <si>
    <t>verpassten</t>
  </si>
  <si>
    <t>kerzenlicht</t>
  </si>
  <si>
    <t>ekelhafte</t>
  </si>
  <si>
    <t>elfe</t>
  </si>
  <si>
    <t>okinawa</t>
  </si>
  <si>
    <t>schatzsuche</t>
  </si>
  <si>
    <t>born</t>
  </si>
  <si>
    <t>gläubige</t>
  </si>
  <si>
    <t>abtrocknen</t>
  </si>
  <si>
    <t>banfield</t>
  </si>
  <si>
    <t>visionär</t>
  </si>
  <si>
    <t>sailor</t>
  </si>
  <si>
    <t>axl</t>
  </si>
  <si>
    <t>einzukaufen</t>
  </si>
  <si>
    <t>europe</t>
  </si>
  <si>
    <t>rekorder</t>
  </si>
  <si>
    <t>drein</t>
  </si>
  <si>
    <t>capital</t>
  </si>
  <si>
    <t>nunja</t>
  </si>
  <si>
    <t>bukarest</t>
  </si>
  <si>
    <t>lebensmittelladen</t>
  </si>
  <si>
    <t>nightingale</t>
  </si>
  <si>
    <t>swat-team</t>
  </si>
  <si>
    <t>negatives</t>
  </si>
  <si>
    <t>penguin</t>
  </si>
  <si>
    <t>rembrandt</t>
  </si>
  <si>
    <t>eingenickt</t>
  </si>
  <si>
    <t>betätigt</t>
  </si>
  <si>
    <t>kosaken</t>
  </si>
  <si>
    <t>most</t>
  </si>
  <si>
    <t>sträflinge</t>
  </si>
  <si>
    <t>fokussieren</t>
  </si>
  <si>
    <t>mitspieler</t>
  </si>
  <si>
    <t>zorns</t>
  </si>
  <si>
    <t>kom</t>
  </si>
  <si>
    <t>abweisend</t>
  </si>
  <si>
    <t>boca</t>
  </si>
  <si>
    <t>auflagen</t>
  </si>
  <si>
    <t>herfallen</t>
  </si>
  <si>
    <t>welcome</t>
  </si>
  <si>
    <t>kühlt</t>
  </si>
  <si>
    <t>4-mal</t>
  </si>
  <si>
    <t>morphin</t>
  </si>
  <si>
    <t>schnauzer</t>
  </si>
  <si>
    <t>feuerten</t>
  </si>
  <si>
    <t>zarin</t>
  </si>
  <si>
    <t>sync</t>
  </si>
  <si>
    <t>kriegserklärung</t>
  </si>
  <si>
    <t>absprung</t>
  </si>
  <si>
    <t>hinziehen</t>
  </si>
  <si>
    <t>sitting</t>
  </si>
  <si>
    <t>hunnen</t>
  </si>
  <si>
    <t>körner</t>
  </si>
  <si>
    <t>frühstücke</t>
  </si>
  <si>
    <t>durchführt</t>
  </si>
  <si>
    <t>leuchtenden</t>
  </si>
  <si>
    <t>menschlichem</t>
  </si>
  <si>
    <t>klavierspiel</t>
  </si>
  <si>
    <t>dauerhaften</t>
  </si>
  <si>
    <t>mausoleum</t>
  </si>
  <si>
    <t>barrys</t>
  </si>
  <si>
    <t>organisiertes</t>
  </si>
  <si>
    <t>gregg</t>
  </si>
  <si>
    <t>unangenehmes</t>
  </si>
  <si>
    <t>verschanzt</t>
  </si>
  <si>
    <t>aufzuwecken</t>
  </si>
  <si>
    <t>produzentin</t>
  </si>
  <si>
    <t>ianto</t>
  </si>
  <si>
    <t>buchten</t>
  </si>
  <si>
    <t>kontrollpunkt</t>
  </si>
  <si>
    <t>liebevollen</t>
  </si>
  <si>
    <t>klos</t>
  </si>
  <si>
    <t>senats</t>
  </si>
  <si>
    <t>italienerin</t>
  </si>
  <si>
    <t>monarch</t>
  </si>
  <si>
    <t>naturwissenschaften</t>
  </si>
  <si>
    <t>vorstellte</t>
  </si>
  <si>
    <t>walhalla</t>
  </si>
  <si>
    <t>betrachtest</t>
  </si>
  <si>
    <t>bozz</t>
  </si>
  <si>
    <t>groot</t>
  </si>
  <si>
    <t>rollte</t>
  </si>
  <si>
    <t>schlüsselkarte</t>
  </si>
  <si>
    <t>verbotenes</t>
  </si>
  <si>
    <t>fernsteuerung</t>
  </si>
  <si>
    <t>erneuerung</t>
  </si>
  <si>
    <t>geschäftsführerin</t>
  </si>
  <si>
    <t>fernsehsender</t>
  </si>
  <si>
    <t>anstehen</t>
  </si>
  <si>
    <t>diva</t>
  </si>
  <si>
    <t>bismarck</t>
  </si>
  <si>
    <t>valentina</t>
  </si>
  <si>
    <t>vorsehen</t>
  </si>
  <si>
    <t>fettarsch</t>
  </si>
  <si>
    <t>perspektiven</t>
  </si>
  <si>
    <t>küsten</t>
  </si>
  <si>
    <t>hoi</t>
  </si>
  <si>
    <t>verlieh</t>
  </si>
  <si>
    <t>stümper</t>
  </si>
  <si>
    <t>geheimpolizei</t>
  </si>
  <si>
    <t>verrechnet</t>
  </si>
  <si>
    <t>unvorhersehbar</t>
  </si>
  <si>
    <t>arcadia</t>
  </si>
  <si>
    <t>rasseln</t>
  </si>
  <si>
    <t>wehrst</t>
  </si>
  <si>
    <t>cafés</t>
  </si>
  <si>
    <t>zartes</t>
  </si>
  <si>
    <t>erschiessen</t>
  </si>
  <si>
    <t>geschuldet</t>
  </si>
  <si>
    <t>steigend</t>
  </si>
  <si>
    <t>reform</t>
  </si>
  <si>
    <t>jillian</t>
  </si>
  <si>
    <t>gaskammer</t>
  </si>
  <si>
    <t>röntgenaufnahmen</t>
  </si>
  <si>
    <t>tak</t>
  </si>
  <si>
    <t>imperiums</t>
  </si>
  <si>
    <t>gutachter</t>
  </si>
  <si>
    <t>physiologie</t>
  </si>
  <si>
    <t>tatsächliche</t>
  </si>
  <si>
    <t>vorgehabt</t>
  </si>
  <si>
    <t>unwesen</t>
  </si>
  <si>
    <t>yamato</t>
  </si>
  <si>
    <t>draufsteht</t>
  </si>
  <si>
    <t>wüsstet</t>
  </si>
  <si>
    <t>saht</t>
  </si>
  <si>
    <t>anzumachen</t>
  </si>
  <si>
    <t>nudel</t>
  </si>
  <si>
    <t>berechenbar</t>
  </si>
  <si>
    <t>annullieren</t>
  </si>
  <si>
    <t>diebstähle</t>
  </si>
  <si>
    <t>sonderbehandlung</t>
  </si>
  <si>
    <t>empfindungen</t>
  </si>
  <si>
    <t>verläßt</t>
  </si>
  <si>
    <t>nigeria</t>
  </si>
  <si>
    <t>anhat</t>
  </si>
  <si>
    <t>wash</t>
  </si>
  <si>
    <t>bohrt</t>
  </si>
  <si>
    <t>umzusehen</t>
  </si>
  <si>
    <t>einigkeit</t>
  </si>
  <si>
    <t>boxershorts</t>
  </si>
  <si>
    <t>einzuschüchtern</t>
  </si>
  <si>
    <t>orsini</t>
  </si>
  <si>
    <t>retterin</t>
  </si>
  <si>
    <t>spector</t>
  </si>
  <si>
    <t>elektroschocks</t>
  </si>
  <si>
    <t>vogelzwitschern</t>
  </si>
  <si>
    <t>sgt.</t>
  </si>
  <si>
    <t>plum</t>
  </si>
  <si>
    <t>dienern</t>
  </si>
  <si>
    <t>erschweren</t>
  </si>
  <si>
    <t>überzeugende</t>
  </si>
  <si>
    <t>schmackhaft</t>
  </si>
  <si>
    <t>flosse</t>
  </si>
  <si>
    <t>schlitzohr</t>
  </si>
  <si>
    <t>irgendwelcher</t>
  </si>
  <si>
    <t>rosario</t>
  </si>
  <si>
    <t>pao</t>
  </si>
  <si>
    <t>halbinsel</t>
  </si>
  <si>
    <t>referenz</t>
  </si>
  <si>
    <t>opi</t>
  </si>
  <si>
    <t>toupet</t>
  </si>
  <si>
    <t>absprechen</t>
  </si>
  <si>
    <t>anal</t>
  </si>
  <si>
    <t>ordinär</t>
  </si>
  <si>
    <t>teamarbeit</t>
  </si>
  <si>
    <t>verticken</t>
  </si>
  <si>
    <t>grundriss</t>
  </si>
  <si>
    <t>nektar</t>
  </si>
  <si>
    <t>krankenpfleger</t>
  </si>
  <si>
    <t>hindeutet</t>
  </si>
  <si>
    <t>wegläuft</t>
  </si>
  <si>
    <t>gebeamt</t>
  </si>
  <si>
    <t>hindi</t>
  </si>
  <si>
    <t>verschossen</t>
  </si>
  <si>
    <t>verbrecherin</t>
  </si>
  <si>
    <t>zauberwort</t>
  </si>
  <si>
    <t>beerdigungsinstitut</t>
  </si>
  <si>
    <t>tampon</t>
  </si>
  <si>
    <t>madchen</t>
  </si>
  <si>
    <t>gehort</t>
  </si>
  <si>
    <t>komödien</t>
  </si>
  <si>
    <t>kurieren</t>
  </si>
  <si>
    <t>remember</t>
  </si>
  <si>
    <t>bitterkeit</t>
  </si>
  <si>
    <t>spektrum</t>
  </si>
  <si>
    <t>kipp</t>
  </si>
  <si>
    <t>chefinspektor</t>
  </si>
  <si>
    <t>andeutung</t>
  </si>
  <si>
    <t>buchführung</t>
  </si>
  <si>
    <t>geruchssinn</t>
  </si>
  <si>
    <t>sinnlich</t>
  </si>
  <si>
    <t>angepiept</t>
  </si>
  <si>
    <t>spekuliert</t>
  </si>
  <si>
    <t>vorausgesehen</t>
  </si>
  <si>
    <t>spange</t>
  </si>
  <si>
    <t>etiketten</t>
  </si>
  <si>
    <t>altenheim</t>
  </si>
  <si>
    <t>rae</t>
  </si>
  <si>
    <t>höhlenmenschen</t>
  </si>
  <si>
    <t>hip-hop</t>
  </si>
  <si>
    <t>erwirken</t>
  </si>
  <si>
    <t>abhole</t>
  </si>
  <si>
    <t>linn</t>
  </si>
  <si>
    <t>hochbeamen</t>
  </si>
  <si>
    <t>hausbesuch</t>
  </si>
  <si>
    <t>ride</t>
  </si>
  <si>
    <t>hochhalten</t>
  </si>
  <si>
    <t>aufzuschreiben</t>
  </si>
  <si>
    <t>watte</t>
  </si>
  <si>
    <t>erweiterte</t>
  </si>
  <si>
    <t>spannendes</t>
  </si>
  <si>
    <t>ausmalen</t>
  </si>
  <si>
    <t>indy</t>
  </si>
  <si>
    <t>gal</t>
  </si>
  <si>
    <t>begründen</t>
  </si>
  <si>
    <t>supermans</t>
  </si>
  <si>
    <t>checkst</t>
  </si>
  <si>
    <t>vergewaltigungen</t>
  </si>
  <si>
    <t>allerletzten</t>
  </si>
  <si>
    <t>mitgegangen</t>
  </si>
  <si>
    <t>fazit</t>
  </si>
  <si>
    <t>enthoben</t>
  </si>
  <si>
    <t>trikots</t>
  </si>
  <si>
    <t>auflauf</t>
  </si>
  <si>
    <t>verscheißern</t>
  </si>
  <si>
    <t>pick</t>
  </si>
  <si>
    <t>augäpfel</t>
  </si>
  <si>
    <t>grashüpfer</t>
  </si>
  <si>
    <t>ausradiert</t>
  </si>
  <si>
    <t>qualifikationen</t>
  </si>
  <si>
    <t>meilenstein</t>
  </si>
  <si>
    <t>gigolo</t>
  </si>
  <si>
    <t>serrano</t>
  </si>
  <si>
    <t>aufgeblasen</t>
  </si>
  <si>
    <t>noonan</t>
  </si>
  <si>
    <t>einfaltspinsel</t>
  </si>
  <si>
    <t>verworfen</t>
  </si>
  <si>
    <t>stemmen</t>
  </si>
  <si>
    <t>anhängern</t>
  </si>
  <si>
    <t>wälzen</t>
  </si>
  <si>
    <t>norbit</t>
  </si>
  <si>
    <t>abmachen</t>
  </si>
  <si>
    <t>übertrage</t>
  </si>
  <si>
    <t>vertraulichen</t>
  </si>
  <si>
    <t>janus</t>
  </si>
  <si>
    <t>bauteil</t>
  </si>
  <si>
    <t>caterina</t>
  </si>
  <si>
    <t>dove</t>
  </si>
  <si>
    <t>zerfleischen</t>
  </si>
  <si>
    <t>mitzi</t>
  </si>
  <si>
    <t>schulleiter</t>
  </si>
  <si>
    <t>rationen</t>
  </si>
  <si>
    <t>losmachen</t>
  </si>
  <si>
    <t>nic</t>
  </si>
  <si>
    <t>fraglich</t>
  </si>
  <si>
    <t>flennen</t>
  </si>
  <si>
    <t>bed</t>
  </si>
  <si>
    <t>stimuliert</t>
  </si>
  <si>
    <t>superhirn</t>
  </si>
  <si>
    <t>weglief</t>
  </si>
  <si>
    <t>öden</t>
  </si>
  <si>
    <t>mentalen</t>
  </si>
  <si>
    <t>fraiser</t>
  </si>
  <si>
    <t>bone</t>
  </si>
  <si>
    <t>gedeiht</t>
  </si>
  <si>
    <t>ryker</t>
  </si>
  <si>
    <t>riverdale</t>
  </si>
  <si>
    <t>weggeblasen</t>
  </si>
  <si>
    <t>exquisit</t>
  </si>
  <si>
    <t>angebrüllt</t>
  </si>
  <si>
    <t>computers</t>
  </si>
  <si>
    <t>datiert</t>
  </si>
  <si>
    <t>künstlers</t>
  </si>
  <si>
    <t>vibrationen</t>
  </si>
  <si>
    <t>stehenden</t>
  </si>
  <si>
    <t>meide</t>
  </si>
  <si>
    <t>huey</t>
  </si>
  <si>
    <t>maroni</t>
  </si>
  <si>
    <t>besaßen</t>
  </si>
  <si>
    <t>arbeitsamt</t>
  </si>
  <si>
    <t>starsk</t>
  </si>
  <si>
    <t>geschlüpft</t>
  </si>
  <si>
    <t>zeitgefühl</t>
  </si>
  <si>
    <t>einstehen</t>
  </si>
  <si>
    <t>ketzerei</t>
  </si>
  <si>
    <t>kellnern</t>
  </si>
  <si>
    <t>schienbein</t>
  </si>
  <si>
    <t>naschen</t>
  </si>
  <si>
    <t>deusex72</t>
  </si>
  <si>
    <t>durchfahren</t>
  </si>
  <si>
    <t>küchentisch</t>
  </si>
  <si>
    <t>cedar</t>
  </si>
  <si>
    <t>lösegeldforderung</t>
  </si>
  <si>
    <t>gestarrt</t>
  </si>
  <si>
    <t>phineas</t>
  </si>
  <si>
    <t>unfehlbar</t>
  </si>
  <si>
    <t>quiz</t>
  </si>
  <si>
    <t>ungesehen</t>
  </si>
  <si>
    <t>podest</t>
  </si>
  <si>
    <t>vorgewarnt</t>
  </si>
  <si>
    <t>trockener</t>
  </si>
  <si>
    <t>hauptverdächtiger</t>
  </si>
  <si>
    <t>beruhigst</t>
  </si>
  <si>
    <t>replikator</t>
  </si>
  <si>
    <t>eindeutigen</t>
  </si>
  <si>
    <t>beträchtlich</t>
  </si>
  <si>
    <t>erarbeitet</t>
  </si>
  <si>
    <t>maybe</t>
  </si>
  <si>
    <t>zugegen</t>
  </si>
  <si>
    <t>mädchennamen</t>
  </si>
  <si>
    <t>beschreibungen</t>
  </si>
  <si>
    <t>einöde</t>
  </si>
  <si>
    <t>glühenden</t>
  </si>
  <si>
    <t>belauschen</t>
  </si>
  <si>
    <t>einwohnern</t>
  </si>
  <si>
    <t>schlepper</t>
  </si>
  <si>
    <t>pudern</t>
  </si>
  <si>
    <t>beschwer</t>
  </si>
  <si>
    <t>früchten</t>
  </si>
  <si>
    <t>wespe</t>
  </si>
  <si>
    <t>etablissement</t>
  </si>
  <si>
    <t>spade</t>
  </si>
  <si>
    <t>gutaussehende</t>
  </si>
  <si>
    <t>qualle</t>
  </si>
  <si>
    <t>shi</t>
  </si>
  <si>
    <t>mittelmäßig</t>
  </si>
  <si>
    <t>uncle</t>
  </si>
  <si>
    <t>murmeltier</t>
  </si>
  <si>
    <t>rien</t>
  </si>
  <si>
    <t>vorhergesehen</t>
  </si>
  <si>
    <t>godmode</t>
  </si>
  <si>
    <t>heimreise</t>
  </si>
  <si>
    <t>polizeipräsidium</t>
  </si>
  <si>
    <t>hemisphäre</t>
  </si>
  <si>
    <t>ent</t>
  </si>
  <si>
    <t>auseinandersetzen</t>
  </si>
  <si>
    <t>abzubringen</t>
  </si>
  <si>
    <t>miki</t>
  </si>
  <si>
    <t>zielst</t>
  </si>
  <si>
    <t>gefügig</t>
  </si>
  <si>
    <t>isabell</t>
  </si>
  <si>
    <t>unbegrenzte</t>
  </si>
  <si>
    <t>freisetzen</t>
  </si>
  <si>
    <t>stuttgart</t>
  </si>
  <si>
    <t>unheimlicher</t>
  </si>
  <si>
    <t>taschendieb</t>
  </si>
  <si>
    <t>martial</t>
  </si>
  <si>
    <t>unbedeutende</t>
  </si>
  <si>
    <t>einbezogen</t>
  </si>
  <si>
    <t>quebec</t>
  </si>
  <si>
    <t>gekrümmt</t>
  </si>
  <si>
    <t>senators</t>
  </si>
  <si>
    <t>verschlägt</t>
  </si>
  <si>
    <t>endstadium</t>
  </si>
  <si>
    <t>fool</t>
  </si>
  <si>
    <t>speedster</t>
  </si>
  <si>
    <t>schone</t>
  </si>
  <si>
    <t>trenton</t>
  </si>
  <si>
    <t>marvel</t>
  </si>
  <si>
    <t>armenier</t>
  </si>
  <si>
    <t>untertitel-werkstatt</t>
  </si>
  <si>
    <t>zypern</t>
  </si>
  <si>
    <t>initiiert</t>
  </si>
  <si>
    <t>filip</t>
  </si>
  <si>
    <t>tränke</t>
  </si>
  <si>
    <t>pechsträhne</t>
  </si>
  <si>
    <t>dampfbad</t>
  </si>
  <si>
    <t>gemütlichen</t>
  </si>
  <si>
    <t>mützen</t>
  </si>
  <si>
    <t>taktiken</t>
  </si>
  <si>
    <t>heli</t>
  </si>
  <si>
    <t>alpha-quadranten</t>
  </si>
  <si>
    <t>privatnummer</t>
  </si>
  <si>
    <t>beurteile</t>
  </si>
  <si>
    <t>hester</t>
  </si>
  <si>
    <t>einleitung</t>
  </si>
  <si>
    <t>trauernde</t>
  </si>
  <si>
    <t>goldbarren</t>
  </si>
  <si>
    <t>millennium</t>
  </si>
  <si>
    <t>außerirdisches</t>
  </si>
  <si>
    <t>verruf</t>
  </si>
  <si>
    <t>elektrik</t>
  </si>
  <si>
    <t>kapseln</t>
  </si>
  <si>
    <t>zeitliche</t>
  </si>
  <si>
    <t>probezeit</t>
  </si>
  <si>
    <t>jelly</t>
  </si>
  <si>
    <t>übergangen</t>
  </si>
  <si>
    <t>nervöse</t>
  </si>
  <si>
    <t>gehälter</t>
  </si>
  <si>
    <t>narcisse</t>
  </si>
  <si>
    <t>zweierlei</t>
  </si>
  <si>
    <t>repräsentanten</t>
  </si>
  <si>
    <t>komposition</t>
  </si>
  <si>
    <t>startbahn</t>
  </si>
  <si>
    <t>privatsache</t>
  </si>
  <si>
    <t>palmers</t>
  </si>
  <si>
    <t>schienst</t>
  </si>
  <si>
    <t>lao</t>
  </si>
  <si>
    <t>abhang</t>
  </si>
  <si>
    <t>bit</t>
  </si>
  <si>
    <t>patton</t>
  </si>
  <si>
    <t>dreckloch</t>
  </si>
  <si>
    <t>pilates</t>
  </si>
  <si>
    <t>strafmaß</t>
  </si>
  <si>
    <t>grub</t>
  </si>
  <si>
    <t>walther</t>
  </si>
  <si>
    <t>rage</t>
  </si>
  <si>
    <t>schaft</t>
  </si>
  <si>
    <t>fehltritt</t>
  </si>
  <si>
    <t>nur-</t>
  </si>
  <si>
    <t>perfect</t>
  </si>
  <si>
    <t>erdal</t>
  </si>
  <si>
    <t>schlappschwänze</t>
  </si>
  <si>
    <t>mrd.</t>
  </si>
  <si>
    <t>reingeritten</t>
  </si>
  <si>
    <t>mordermittlung</t>
  </si>
  <si>
    <t>dunst</t>
  </si>
  <si>
    <t>attackieren</t>
  </si>
  <si>
    <t>cunningham</t>
  </si>
  <si>
    <t>age</t>
  </si>
  <si>
    <t>nörgeln</t>
  </si>
  <si>
    <t>eifersüchtiger</t>
  </si>
  <si>
    <t>haines</t>
  </si>
  <si>
    <t>rama</t>
  </si>
  <si>
    <t>erzähltest</t>
  </si>
  <si>
    <t>unzurechnungsfähig</t>
  </si>
  <si>
    <t>sevilla</t>
  </si>
  <si>
    <t>qu</t>
  </si>
  <si>
    <t>done</t>
  </si>
  <si>
    <t>balls</t>
  </si>
  <si>
    <t>obliegt</t>
  </si>
  <si>
    <t>fahnden</t>
  </si>
  <si>
    <t>vormittags</t>
  </si>
  <si>
    <t>geistliche</t>
  </si>
  <si>
    <t>übersinnliche</t>
  </si>
  <si>
    <t>fessel</t>
  </si>
  <si>
    <t>faß</t>
  </si>
  <si>
    <t>neptun</t>
  </si>
  <si>
    <t>stätte</t>
  </si>
  <si>
    <t>romano</t>
  </si>
  <si>
    <t>gemüter</t>
  </si>
  <si>
    <t>gezähmt</t>
  </si>
  <si>
    <t>schuhverkäufer</t>
  </si>
  <si>
    <t>lehrplan</t>
  </si>
  <si>
    <t>brüllte</t>
  </si>
  <si>
    <t>chihuahua</t>
  </si>
  <si>
    <t>basar</t>
  </si>
  <si>
    <t>gescherzt</t>
  </si>
  <si>
    <t>hintrittst</t>
  </si>
  <si>
    <t>those</t>
  </si>
  <si>
    <t>feuerwerkskörper</t>
  </si>
  <si>
    <t>theodor</t>
  </si>
  <si>
    <t>verlagern</t>
  </si>
  <si>
    <t>ausgeschlagen</t>
  </si>
  <si>
    <t>souvenirs</t>
  </si>
  <si>
    <t>versperren</t>
  </si>
  <si>
    <t>dozent</t>
  </si>
  <si>
    <t>raubte</t>
  </si>
  <si>
    <t>anhast</t>
  </si>
  <si>
    <t>talentshow</t>
  </si>
  <si>
    <t>fummeln</t>
  </si>
  <si>
    <t>hängte</t>
  </si>
  <si>
    <t>angler</t>
  </si>
  <si>
    <t>andys</t>
  </si>
  <si>
    <t>kardinals</t>
  </si>
  <si>
    <t>zufriedenstellend</t>
  </si>
  <si>
    <t>wiederzubeleben</t>
  </si>
  <si>
    <t>ungarisch</t>
  </si>
  <si>
    <t>mitbekommt</t>
  </si>
  <si>
    <t>brilliant</t>
  </si>
  <si>
    <t>cheetah</t>
  </si>
  <si>
    <t>unvermeidliche</t>
  </si>
  <si>
    <t>obergeschoss</t>
  </si>
  <si>
    <t>fragwürdig</t>
  </si>
  <si>
    <t>kennenlerne</t>
  </si>
  <si>
    <t>ähem</t>
  </si>
  <si>
    <t>meerjungfrauen</t>
  </si>
  <si>
    <t>dreifacher</t>
  </si>
  <si>
    <t>losbinden</t>
  </si>
  <si>
    <t>christiane</t>
  </si>
  <si>
    <t>hinbiegen</t>
  </si>
  <si>
    <t>geisha</t>
  </si>
  <si>
    <t>unbeschadet</t>
  </si>
  <si>
    <t>smaragde</t>
  </si>
  <si>
    <t>imponieren</t>
  </si>
  <si>
    <t>pitcher</t>
  </si>
  <si>
    <t>yann</t>
  </si>
  <si>
    <t>aufzubringen</t>
  </si>
  <si>
    <t>kokosnüsse</t>
  </si>
  <si>
    <t>raushängen</t>
  </si>
  <si>
    <t>kaori</t>
  </si>
  <si>
    <t>gore</t>
  </si>
  <si>
    <t>defibrillator</t>
  </si>
  <si>
    <t>warpkern</t>
  </si>
  <si>
    <t>shelton</t>
  </si>
  <si>
    <t>umhin</t>
  </si>
  <si>
    <t>umgehört</t>
  </si>
  <si>
    <t>vorräten</t>
  </si>
  <si>
    <t>etikette</t>
  </si>
  <si>
    <t>harkness</t>
  </si>
  <si>
    <t>entsprach</t>
  </si>
  <si>
    <t>einschlägt</t>
  </si>
  <si>
    <t>metropolitan</t>
  </si>
  <si>
    <t>schlafenden</t>
  </si>
  <si>
    <t>allzeit</t>
  </si>
  <si>
    <t>blu</t>
  </si>
  <si>
    <t>gelehrte</t>
  </si>
  <si>
    <t>luftunterstützung</t>
  </si>
  <si>
    <t>stammkunden</t>
  </si>
  <si>
    <t>sicherheitsfreigabe</t>
  </si>
  <si>
    <t>städtische</t>
  </si>
  <si>
    <t>häufchen</t>
  </si>
  <si>
    <t>sterilisieren</t>
  </si>
  <si>
    <t>vorhersage</t>
  </si>
  <si>
    <t>lenden</t>
  </si>
  <si>
    <t>angeldream</t>
  </si>
  <si>
    <t>gleason</t>
  </si>
  <si>
    <t>desinfizieren</t>
  </si>
  <si>
    <t>kanarienvogel</t>
  </si>
  <si>
    <t>rasur</t>
  </si>
  <si>
    <t>pearce</t>
  </si>
  <si>
    <t>hecken</t>
  </si>
  <si>
    <t>wegzubringen</t>
  </si>
  <si>
    <t>jai</t>
  </si>
  <si>
    <t>plastische</t>
  </si>
  <si>
    <t>genährt</t>
  </si>
  <si>
    <t>näheres</t>
  </si>
  <si>
    <t>ferrara</t>
  </si>
  <si>
    <t>heuerte</t>
  </si>
  <si>
    <t>debs</t>
  </si>
  <si>
    <t>nachhauseweg</t>
  </si>
  <si>
    <t>par</t>
  </si>
  <si>
    <t>arn</t>
  </si>
  <si>
    <t>johnnys</t>
  </si>
  <si>
    <t>greis</t>
  </si>
  <si>
    <t>magnetischen</t>
  </si>
  <si>
    <t>aggressiven</t>
  </si>
  <si>
    <t>komponisten</t>
  </si>
  <si>
    <t>tusse</t>
  </si>
  <si>
    <t>agenturen</t>
  </si>
  <si>
    <t>silbe</t>
  </si>
  <si>
    <t>bubber</t>
  </si>
  <si>
    <t>herauszubekommen</t>
  </si>
  <si>
    <t>obsession</t>
  </si>
  <si>
    <t>zurückfliegen</t>
  </si>
  <si>
    <t>unaufhaltsam</t>
  </si>
  <si>
    <t>homerun</t>
  </si>
  <si>
    <t>ißt</t>
  </si>
  <si>
    <t>dam</t>
  </si>
  <si>
    <t>gerüstet</t>
  </si>
  <si>
    <t>mucho</t>
  </si>
  <si>
    <t>zitterte</t>
  </si>
  <si>
    <t>reckless</t>
  </si>
  <si>
    <t>giants</t>
  </si>
  <si>
    <t>spielzug</t>
  </si>
  <si>
    <t>dumbo</t>
  </si>
  <si>
    <t>rezession</t>
  </si>
  <si>
    <t>lennier</t>
  </si>
  <si>
    <t>positioniert</t>
  </si>
  <si>
    <t>schlafplatz</t>
  </si>
  <si>
    <t>teeger</t>
  </si>
  <si>
    <t>traurigerweise</t>
  </si>
  <si>
    <t>weggeflogen</t>
  </si>
  <si>
    <t>lydecker</t>
  </si>
  <si>
    <t>merkur</t>
  </si>
  <si>
    <t>versetz</t>
  </si>
  <si>
    <t>kreml</t>
  </si>
  <si>
    <t>trautes</t>
  </si>
  <si>
    <t>zusammenschlagen</t>
  </si>
  <si>
    <t>abgeschlagen</t>
  </si>
  <si>
    <t>tarnvorrichtung</t>
  </si>
  <si>
    <t>selbstgefällig</t>
  </si>
  <si>
    <t>steuerbehörde</t>
  </si>
  <si>
    <t>faszinierendes</t>
  </si>
  <si>
    <t>grants</t>
  </si>
  <si>
    <t>knebel</t>
  </si>
  <si>
    <t>abhanden</t>
  </si>
  <si>
    <t>entjungfert</t>
  </si>
  <si>
    <t>diem</t>
  </si>
  <si>
    <t>hiroshima</t>
  </si>
  <si>
    <t>zurückzuverfolgen</t>
  </si>
  <si>
    <t>manon</t>
  </si>
  <si>
    <t>feingefühl</t>
  </si>
  <si>
    <t>herumstehen</t>
  </si>
  <si>
    <t>spazierfahrt</t>
  </si>
  <si>
    <t>audio</t>
  </si>
  <si>
    <t>verschütten</t>
  </si>
  <si>
    <t>gabriela</t>
  </si>
  <si>
    <t>parkte</t>
  </si>
  <si>
    <t>doppelagent</t>
  </si>
  <si>
    <t>erhabener</t>
  </si>
  <si>
    <t>starkem</t>
  </si>
  <si>
    <t>bezirks</t>
  </si>
  <si>
    <t>vietnamesisch</t>
  </si>
  <si>
    <t>forellen</t>
  </si>
  <si>
    <t>versuchungen</t>
  </si>
  <si>
    <t>ares</t>
  </si>
  <si>
    <t>kürbisse</t>
  </si>
  <si>
    <t>wissenschaftliches</t>
  </si>
  <si>
    <t>telegramme</t>
  </si>
  <si>
    <t>julias</t>
  </si>
  <si>
    <t>integriert</t>
  </si>
  <si>
    <t>geistiger</t>
  </si>
  <si>
    <t>vorletzte</t>
  </si>
  <si>
    <t>günstige</t>
  </si>
  <si>
    <t>fin</t>
  </si>
  <si>
    <t>selfie</t>
  </si>
  <si>
    <t>vortex</t>
  </si>
  <si>
    <t>beschuldigten</t>
  </si>
  <si>
    <t>hess</t>
  </si>
  <si>
    <t>östliche</t>
  </si>
  <si>
    <t>rutledge</t>
  </si>
  <si>
    <t>konditionen</t>
  </si>
  <si>
    <t>ueber</t>
  </si>
  <si>
    <t>debüt</t>
  </si>
  <si>
    <t>faye</t>
  </si>
  <si>
    <t>klammert</t>
  </si>
  <si>
    <t>humbug</t>
  </si>
  <si>
    <t>zee</t>
  </si>
  <si>
    <t>abgetrieben</t>
  </si>
  <si>
    <t>mitfliegen</t>
  </si>
  <si>
    <t>gartenarbeit</t>
  </si>
  <si>
    <t>kuriere</t>
  </si>
  <si>
    <t>schadensbericht</t>
  </si>
  <si>
    <t>epilepsie</t>
  </si>
  <si>
    <t>gutmütig</t>
  </si>
  <si>
    <t>birgit</t>
  </si>
  <si>
    <t>radley</t>
  </si>
  <si>
    <t>bronco</t>
  </si>
  <si>
    <t>infrarot</t>
  </si>
  <si>
    <t>rumgetrieben</t>
  </si>
  <si>
    <t>aufsammeln</t>
  </si>
  <si>
    <t>aufstehe</t>
  </si>
  <si>
    <t>faschismus</t>
  </si>
  <si>
    <t>win</t>
  </si>
  <si>
    <t>frechdachs</t>
  </si>
  <si>
    <t>antimaterie</t>
  </si>
  <si>
    <t>dämonische</t>
  </si>
  <si>
    <t>salaam</t>
  </si>
  <si>
    <t>marci</t>
  </si>
  <si>
    <t>untermieter</t>
  </si>
  <si>
    <t>fairview</t>
  </si>
  <si>
    <t>rumschlagen</t>
  </si>
  <si>
    <t>kongressabgeordnete</t>
  </si>
  <si>
    <t>würste</t>
  </si>
  <si>
    <t>osman</t>
  </si>
  <si>
    <t>bohnenstange</t>
  </si>
  <si>
    <t>saftige</t>
  </si>
  <si>
    <t>presents</t>
  </si>
  <si>
    <t>esra</t>
  </si>
  <si>
    <t>klebe</t>
  </si>
  <si>
    <t>scrooge</t>
  </si>
  <si>
    <t>landsmann</t>
  </si>
  <si>
    <t>scheide</t>
  </si>
  <si>
    <t>farid</t>
  </si>
  <si>
    <t>beige</t>
  </si>
  <si>
    <t>gefängnisses</t>
  </si>
  <si>
    <t>napa</t>
  </si>
  <si>
    <t>own</t>
  </si>
  <si>
    <t>unentwegt</t>
  </si>
  <si>
    <t>wäschekorb</t>
  </si>
  <si>
    <t>schwirren</t>
  </si>
  <si>
    <t>marwan</t>
  </si>
  <si>
    <t>jobangebot</t>
  </si>
  <si>
    <t>leuchtende</t>
  </si>
  <si>
    <t>nfl</t>
  </si>
  <si>
    <t>übersetze</t>
  </si>
  <si>
    <t>smile</t>
  </si>
  <si>
    <t>mühelos</t>
  </si>
  <si>
    <t>erahnen</t>
  </si>
  <si>
    <t>kriegsende</t>
  </si>
  <si>
    <t>einstellt</t>
  </si>
  <si>
    <t>nimmerwiedersehen</t>
  </si>
  <si>
    <t>rocker</t>
  </si>
  <si>
    <t>enttarnen</t>
  </si>
  <si>
    <t>ersucht</t>
  </si>
  <si>
    <t>gebessert</t>
  </si>
  <si>
    <t>sechster</t>
  </si>
  <si>
    <t>geschmackvoll</t>
  </si>
  <si>
    <t>squad</t>
  </si>
  <si>
    <t>lynne</t>
  </si>
  <si>
    <t>diplomatisch</t>
  </si>
  <si>
    <t>vorgaben</t>
  </si>
  <si>
    <t>shirts</t>
  </si>
  <si>
    <t>gicht</t>
  </si>
  <si>
    <t>laszlo</t>
  </si>
  <si>
    <t>ablesen</t>
  </si>
  <si>
    <t>tafeln</t>
  </si>
  <si>
    <t>entführern</t>
  </si>
  <si>
    <t>zerstreuen</t>
  </si>
  <si>
    <t>hiess</t>
  </si>
  <si>
    <t>getrocknet</t>
  </si>
  <si>
    <t>cersei</t>
  </si>
  <si>
    <t>weißte</t>
  </si>
  <si>
    <t>abwurf</t>
  </si>
  <si>
    <t>erwogen</t>
  </si>
  <si>
    <t>givens</t>
  </si>
  <si>
    <t>abgebaut</t>
  </si>
  <si>
    <t>elischka</t>
  </si>
  <si>
    <t>glamour</t>
  </si>
  <si>
    <t>gould</t>
  </si>
  <si>
    <t>oldtimer</t>
  </si>
  <si>
    <t>veranlagt</t>
  </si>
  <si>
    <t>rem</t>
  </si>
  <si>
    <t>besitzes</t>
  </si>
  <si>
    <t>triumphieren</t>
  </si>
  <si>
    <t>groupie</t>
  </si>
  <si>
    <t>befugnisse</t>
  </si>
  <si>
    <t>joachim</t>
  </si>
  <si>
    <t>rube</t>
  </si>
  <si>
    <t>gefurzt</t>
  </si>
  <si>
    <t>nachtclubs</t>
  </si>
  <si>
    <t>derartig</t>
  </si>
  <si>
    <t>begehe</t>
  </si>
  <si>
    <t>auszugraben</t>
  </si>
  <si>
    <t>mikaelson</t>
  </si>
  <si>
    <t>lehrreich</t>
  </si>
  <si>
    <t>varg</t>
  </si>
  <si>
    <t>abweichungen</t>
  </si>
  <si>
    <t>hochachtungsvoll</t>
  </si>
  <si>
    <t>bergung</t>
  </si>
  <si>
    <t>nüssen</t>
  </si>
  <si>
    <t>marschmusik</t>
  </si>
  <si>
    <t>zeichner</t>
  </si>
  <si>
    <t>wimmeln</t>
  </si>
  <si>
    <t>spiderman</t>
  </si>
  <si>
    <t>weihrauch</t>
  </si>
  <si>
    <t>grat</t>
  </si>
  <si>
    <t>unterrichtete</t>
  </si>
  <si>
    <t>fahrplan</t>
  </si>
  <si>
    <t>autoradio</t>
  </si>
  <si>
    <t>silent</t>
  </si>
  <si>
    <t>electric</t>
  </si>
  <si>
    <t>komponieren</t>
  </si>
  <si>
    <t>blickkontakt</t>
  </si>
  <si>
    <t>liegenlassen</t>
  </si>
  <si>
    <t>zurückgezahlt</t>
  </si>
  <si>
    <t>geschrieen</t>
  </si>
  <si>
    <t>silbertablett</t>
  </si>
  <si>
    <t>verschiebe</t>
  </si>
  <si>
    <t>brrr</t>
  </si>
  <si>
    <t>schuldgefühlen</t>
  </si>
  <si>
    <t>sphinx</t>
  </si>
  <si>
    <t>lächerlicher</t>
  </si>
  <si>
    <t>ausdehnung</t>
  </si>
  <si>
    <t>erleuchten</t>
  </si>
  <si>
    <t>wertlose</t>
  </si>
  <si>
    <t>chemisch</t>
  </si>
  <si>
    <t>zweifelte</t>
  </si>
  <si>
    <t>chiu</t>
  </si>
  <si>
    <t>leos</t>
  </si>
  <si>
    <t>kaltblütiger</t>
  </si>
  <si>
    <t>maître</t>
  </si>
  <si>
    <t>wertvollsten</t>
  </si>
  <si>
    <t>zusammengehalten</t>
  </si>
  <si>
    <t>gelinkt</t>
  </si>
  <si>
    <t>vorknöpfen</t>
  </si>
  <si>
    <t>abarbeiten</t>
  </si>
  <si>
    <t>vorgegangen</t>
  </si>
  <si>
    <t>bueno</t>
  </si>
  <si>
    <t>fleht</t>
  </si>
  <si>
    <t>riefst</t>
  </si>
  <si>
    <t>seinerzeit</t>
  </si>
  <si>
    <t>dalassen</t>
  </si>
  <si>
    <t>tuttle</t>
  </si>
  <si>
    <t>einseitig</t>
  </si>
  <si>
    <t>reparierst</t>
  </si>
  <si>
    <t>känguru</t>
  </si>
  <si>
    <t>kanna</t>
  </si>
  <si>
    <t>vickers</t>
  </si>
  <si>
    <t>schlagzeuger</t>
  </si>
  <si>
    <t>observieren</t>
  </si>
  <si>
    <t>beifahrersitz</t>
  </si>
  <si>
    <t>litchfield</t>
  </si>
  <si>
    <t>foltert</t>
  </si>
  <si>
    <t>segnet</t>
  </si>
  <si>
    <t>strumpf</t>
  </si>
  <si>
    <t>ulla</t>
  </si>
  <si>
    <t>stehn</t>
  </si>
  <si>
    <t>vorkam</t>
  </si>
  <si>
    <t>melmac</t>
  </si>
  <si>
    <t>verbleiben</t>
  </si>
  <si>
    <t>einlochen</t>
  </si>
  <si>
    <t>ausgeredet</t>
  </si>
  <si>
    <t>guise</t>
  </si>
  <si>
    <t>bestellten</t>
  </si>
  <si>
    <t>ablehne</t>
  </si>
  <si>
    <t>schulball</t>
  </si>
  <si>
    <t>gefrierschrank</t>
  </si>
  <si>
    <t>hissen</t>
  </si>
  <si>
    <t>angepiepst</t>
  </si>
  <si>
    <t>pepsi</t>
  </si>
  <si>
    <t>gruben</t>
  </si>
  <si>
    <t>eastwood</t>
  </si>
  <si>
    <t>philips</t>
  </si>
  <si>
    <t>stank</t>
  </si>
  <si>
    <t>probeaufnahmen</t>
  </si>
  <si>
    <t>umstellung</t>
  </si>
  <si>
    <t>kreativer</t>
  </si>
  <si>
    <t>nachgewiesen</t>
  </si>
  <si>
    <t>dämons</t>
  </si>
  <si>
    <t>gemeistert</t>
  </si>
  <si>
    <t>rechtschaffenheit</t>
  </si>
  <si>
    <t>schluchzend</t>
  </si>
  <si>
    <t>schnucki</t>
  </si>
  <si>
    <t>ventile</t>
  </si>
  <si>
    <t>schã</t>
  </si>
  <si>
    <t>pacino</t>
  </si>
  <si>
    <t>bekümmert</t>
  </si>
  <si>
    <t>brünett</t>
  </si>
  <si>
    <t>jetz</t>
  </si>
  <si>
    <t>handbremse</t>
  </si>
  <si>
    <t>tonya</t>
  </si>
  <si>
    <t>tieferen</t>
  </si>
  <si>
    <t>schottischen</t>
  </si>
  <si>
    <t>mima</t>
  </si>
  <si>
    <t>superkraft</t>
  </si>
  <si>
    <t>handels</t>
  </si>
  <si>
    <t>kochsalzlösung</t>
  </si>
  <si>
    <t>kutschen</t>
  </si>
  <si>
    <t>impulsantrieb</t>
  </si>
  <si>
    <t>heulte</t>
  </si>
  <si>
    <t>gerichtliche</t>
  </si>
  <si>
    <t>besudelt</t>
  </si>
  <si>
    <t>südliche</t>
  </si>
  <si>
    <t>haarige</t>
  </si>
  <si>
    <t>ziellos</t>
  </si>
  <si>
    <t>wohltätigkeitsveranstaltung</t>
  </si>
  <si>
    <t>patricks</t>
  </si>
  <si>
    <t>shopping</t>
  </si>
  <si>
    <t>traumatisch</t>
  </si>
  <si>
    <t>peanut</t>
  </si>
  <si>
    <t>zurückgeht</t>
  </si>
  <si>
    <t>verrecke</t>
  </si>
  <si>
    <t>ersuche</t>
  </si>
  <si>
    <t>riecher</t>
  </si>
  <si>
    <t>vorbeikommst</t>
  </si>
  <si>
    <t>aga</t>
  </si>
  <si>
    <t>garroway</t>
  </si>
  <si>
    <t>hängematte</t>
  </si>
  <si>
    <t>foss</t>
  </si>
  <si>
    <t>blindes</t>
  </si>
  <si>
    <t>zeppelin</t>
  </si>
  <si>
    <t>temporale</t>
  </si>
  <si>
    <t>broschüren</t>
  </si>
  <si>
    <t>schroeder</t>
  </si>
  <si>
    <t>warenhaus</t>
  </si>
  <si>
    <t>ungeheure</t>
  </si>
  <si>
    <t>toussaint</t>
  </si>
  <si>
    <t>lidia</t>
  </si>
  <si>
    <t>schaltest</t>
  </si>
  <si>
    <t>graystone</t>
  </si>
  <si>
    <t>palette</t>
  </si>
  <si>
    <t>mlle.</t>
  </si>
  <si>
    <t>gemobbt</t>
  </si>
  <si>
    <t>krimis</t>
  </si>
  <si>
    <t>kinderschänder</t>
  </si>
  <si>
    <t>fundort</t>
  </si>
  <si>
    <t>ehrenkodex</t>
  </si>
  <si>
    <t>waisenkinder</t>
  </si>
  <si>
    <t>liesel</t>
  </si>
  <si>
    <t>eingeplant</t>
  </si>
  <si>
    <t>klitoris</t>
  </si>
  <si>
    <t>eigentumswohnung</t>
  </si>
  <si>
    <t>lancaster</t>
  </si>
  <si>
    <t>seelenfrieden</t>
  </si>
  <si>
    <t>persien</t>
  </si>
  <si>
    <t>vorübergehen</t>
  </si>
  <si>
    <t>reinkamen</t>
  </si>
  <si>
    <t>erringen</t>
  </si>
  <si>
    <t>ige</t>
  </si>
  <si>
    <t>ausdrucken</t>
  </si>
  <si>
    <t>einfordern</t>
  </si>
  <si>
    <t>dundee</t>
  </si>
  <si>
    <t>mütterchen</t>
  </si>
  <si>
    <t>bestreite</t>
  </si>
  <si>
    <t>fashion</t>
  </si>
  <si>
    <t>vorsichtshalber</t>
  </si>
  <si>
    <t>unabhängiger</t>
  </si>
  <si>
    <t>cartoon</t>
  </si>
  <si>
    <t>talentierten</t>
  </si>
  <si>
    <t>johannesburg</t>
  </si>
  <si>
    <t>stöckchen</t>
  </si>
  <si>
    <t>riesengroß</t>
  </si>
  <si>
    <t>ilene</t>
  </si>
  <si>
    <t>hustensaft</t>
  </si>
  <si>
    <t>einzelnes</t>
  </si>
  <si>
    <t>hennen</t>
  </si>
  <si>
    <t>raststätte</t>
  </si>
  <si>
    <t>switek</t>
  </si>
  <si>
    <t>unweigerlich</t>
  </si>
  <si>
    <t>blairs</t>
  </si>
  <si>
    <t>monsters</t>
  </si>
  <si>
    <t>walkers</t>
  </si>
  <si>
    <t>korps</t>
  </si>
  <si>
    <t>cadmus</t>
  </si>
  <si>
    <t>gnädiges</t>
  </si>
  <si>
    <t>sensibilität</t>
  </si>
  <si>
    <t>gräbst</t>
  </si>
  <si>
    <t>ricco</t>
  </si>
  <si>
    <t>areal</t>
  </si>
  <si>
    <t>umgeschrieben</t>
  </si>
  <si>
    <t>inzest</t>
  </si>
  <si>
    <t>schrader</t>
  </si>
  <si>
    <t>rinde</t>
  </si>
  <si>
    <t>militärisches</t>
  </si>
  <si>
    <t>micha</t>
  </si>
  <si>
    <t>wiederholungen</t>
  </si>
  <si>
    <t>sweetheart</t>
  </si>
  <si>
    <t>faszination</t>
  </si>
  <si>
    <t>erstaunlicher</t>
  </si>
  <si>
    <t>zuzufügen</t>
  </si>
  <si>
    <t>zielte</t>
  </si>
  <si>
    <t>pflug</t>
  </si>
  <si>
    <t>angesehenen</t>
  </si>
  <si>
    <t>absolventen</t>
  </si>
  <si>
    <t>fiction</t>
  </si>
  <si>
    <t>week</t>
  </si>
  <si>
    <t>auswechseln</t>
  </si>
  <si>
    <t>reintun</t>
  </si>
  <si>
    <t>tanker</t>
  </si>
  <si>
    <t>überarbeiten</t>
  </si>
  <si>
    <t>wunderbarste</t>
  </si>
  <si>
    <t>extremisten</t>
  </si>
  <si>
    <t>gelee</t>
  </si>
  <si>
    <t>covington</t>
  </si>
  <si>
    <t>robb</t>
  </si>
  <si>
    <t>kartoffelsalat</t>
  </si>
  <si>
    <t>passiv</t>
  </si>
  <si>
    <t>freches</t>
  </si>
  <si>
    <t>kommissarin</t>
  </si>
  <si>
    <t>iwanowitsch</t>
  </si>
  <si>
    <t>morgenmantel</t>
  </si>
  <si>
    <t>steadman</t>
  </si>
  <si>
    <t>dämpfe</t>
  </si>
  <si>
    <t>todsünde</t>
  </si>
  <si>
    <t>schanghai</t>
  </si>
  <si>
    <t>schulbehörde</t>
  </si>
  <si>
    <t>verbreite</t>
  </si>
  <si>
    <t>kleineres</t>
  </si>
  <si>
    <t>adlige</t>
  </si>
  <si>
    <t>garland</t>
  </si>
  <si>
    <t>schüsseln</t>
  </si>
  <si>
    <t>verratet</t>
  </si>
  <si>
    <t>reinsten</t>
  </si>
  <si>
    <t>freundschaftlich</t>
  </si>
  <si>
    <t>yohko</t>
  </si>
  <si>
    <t>hobie</t>
  </si>
  <si>
    <t>betraten</t>
  </si>
  <si>
    <t>mannschaften</t>
  </si>
  <si>
    <t>ausgebildeter</t>
  </si>
  <si>
    <t>belebt</t>
  </si>
  <si>
    <t>franzl</t>
  </si>
  <si>
    <t>versklaven</t>
  </si>
  <si>
    <t>militärgericht</t>
  </si>
  <si>
    <t>kreuzigen</t>
  </si>
  <si>
    <t>monet</t>
  </si>
  <si>
    <t>relevanz</t>
  </si>
  <si>
    <t>maat</t>
  </si>
  <si>
    <t>weiãÿ</t>
  </si>
  <si>
    <t>gondel</t>
  </si>
  <si>
    <t>ill</t>
  </si>
  <si>
    <t>aufzählen</t>
  </si>
  <si>
    <t>verschiedenes</t>
  </si>
  <si>
    <t>raums</t>
  </si>
  <si>
    <t>monstrum</t>
  </si>
  <si>
    <t>lene</t>
  </si>
  <si>
    <t>unangenehmer</t>
  </si>
  <si>
    <t>uschi</t>
  </si>
  <si>
    <t>strahlst</t>
  </si>
  <si>
    <t>äußert</t>
  </si>
  <si>
    <t>moulin</t>
  </si>
  <si>
    <t>rollenspiel</t>
  </si>
  <si>
    <t>nele</t>
  </si>
  <si>
    <t>paddeln</t>
  </si>
  <si>
    <t>dojo</t>
  </si>
  <si>
    <t>claudius</t>
  </si>
  <si>
    <t>swanson</t>
  </si>
  <si>
    <t>hallie</t>
  </si>
  <si>
    <t>meinungsverschiedenheiten</t>
  </si>
  <si>
    <t>meta-menschen</t>
  </si>
  <si>
    <t>feststellung</t>
  </si>
  <si>
    <t>erbärmliches</t>
  </si>
  <si>
    <t>wiederauferstehung</t>
  </si>
  <si>
    <t>manschettenknöpfe</t>
  </si>
  <si>
    <t>rauszuwerfen</t>
  </si>
  <si>
    <t>anregend</t>
  </si>
  <si>
    <t>nelken</t>
  </si>
  <si>
    <t>akbar</t>
  </si>
  <si>
    <t>rheuma</t>
  </si>
  <si>
    <t>heathcliff</t>
  </si>
  <si>
    <t>vereitelt</t>
  </si>
  <si>
    <t>auszukommen</t>
  </si>
  <si>
    <t>unverschämte</t>
  </si>
  <si>
    <t>interaktion</t>
  </si>
  <si>
    <t>mahler</t>
  </si>
  <si>
    <t>sunday</t>
  </si>
  <si>
    <t>befreiend</t>
  </si>
  <si>
    <t>aufgefüllt</t>
  </si>
  <si>
    <t>blubbern</t>
  </si>
  <si>
    <t>innerer</t>
  </si>
  <si>
    <t>ithaka</t>
  </si>
  <si>
    <t>bae</t>
  </si>
  <si>
    <t>vermiesen</t>
  </si>
  <si>
    <t>aaaah</t>
  </si>
  <si>
    <t>e.t.</t>
  </si>
  <si>
    <t>spul</t>
  </si>
  <si>
    <t>pausenraum</t>
  </si>
  <si>
    <t>lehnten</t>
  </si>
  <si>
    <t>setup1503</t>
  </si>
  <si>
    <t>paramount</t>
  </si>
  <si>
    <t>demzufolge</t>
  </si>
  <si>
    <t>zito</t>
  </si>
  <si>
    <t>kaffeepause</t>
  </si>
  <si>
    <t>tröste</t>
  </si>
  <si>
    <t>anus</t>
  </si>
  <si>
    <t>passion</t>
  </si>
  <si>
    <t>anzuvertrauen</t>
  </si>
  <si>
    <t>singende</t>
  </si>
  <si>
    <t>kristallkugel</t>
  </si>
  <si>
    <t>dada</t>
  </si>
  <si>
    <t>peilung</t>
  </si>
  <si>
    <t>ausreiten</t>
  </si>
  <si>
    <t>richtern</t>
  </si>
  <si>
    <t>russlands</t>
  </si>
  <si>
    <t>sauberkeit</t>
  </si>
  <si>
    <t>bezeichnete</t>
  </si>
  <si>
    <t>schlaflose</t>
  </si>
  <si>
    <t>abgestochen</t>
  </si>
  <si>
    <t>unmittelbare</t>
  </si>
  <si>
    <t>verantwortungsvoll</t>
  </si>
  <si>
    <t>tia</t>
  </si>
  <si>
    <t>theatre</t>
  </si>
  <si>
    <t>verflogen</t>
  </si>
  <si>
    <t>fütterst</t>
  </si>
  <si>
    <t>verteiler</t>
  </si>
  <si>
    <t>motelzimmer</t>
  </si>
  <si>
    <t>unseretwegen</t>
  </si>
  <si>
    <t>us-dollar</t>
  </si>
  <si>
    <t>hingucken</t>
  </si>
  <si>
    <t>wurmlöcher</t>
  </si>
  <si>
    <t>baumstamm</t>
  </si>
  <si>
    <t>obrigkeit</t>
  </si>
  <si>
    <t>durchwühlen</t>
  </si>
  <si>
    <t>erzürnt</t>
  </si>
  <si>
    <t>geheimnisvoller</t>
  </si>
  <si>
    <t>urban</t>
  </si>
  <si>
    <t>interstate</t>
  </si>
  <si>
    <t>eingesprungen</t>
  </si>
  <si>
    <t>gesetzlose</t>
  </si>
  <si>
    <t>abführmittel</t>
  </si>
  <si>
    <t>bösartigen</t>
  </si>
  <si>
    <t>opossum</t>
  </si>
  <si>
    <t>wiederherstellung</t>
  </si>
  <si>
    <t>gant</t>
  </si>
  <si>
    <t>eingeweiden</t>
  </si>
  <si>
    <t>familienvater</t>
  </si>
  <si>
    <t>aufging</t>
  </si>
  <si>
    <t>engländern</t>
  </si>
  <si>
    <t>maßlos</t>
  </si>
  <si>
    <t>hubot</t>
  </si>
  <si>
    <t>sieb</t>
  </si>
  <si>
    <t>bumpy</t>
  </si>
  <si>
    <t>gesät</t>
  </si>
  <si>
    <t>würmern</t>
  </si>
  <si>
    <t>pitch</t>
  </si>
  <si>
    <t>fünfhundert</t>
  </si>
  <si>
    <t>flip</t>
  </si>
  <si>
    <t>angetrunken</t>
  </si>
  <si>
    <t>emotionales</t>
  </si>
  <si>
    <t>mysterien</t>
  </si>
  <si>
    <t>knalle</t>
  </si>
  <si>
    <t>pollen</t>
  </si>
  <si>
    <t>flüssiges</t>
  </si>
  <si>
    <t>rapunzel</t>
  </si>
  <si>
    <t>celal</t>
  </si>
  <si>
    <t>voyage</t>
  </si>
  <si>
    <t>sinnloses</t>
  </si>
  <si>
    <t>plaudert</t>
  </si>
  <si>
    <t>ok.</t>
  </si>
  <si>
    <t>korkenzieher</t>
  </si>
  <si>
    <t>urteilt</t>
  </si>
  <si>
    <t>zyklop</t>
  </si>
  <si>
    <t>jd</t>
  </si>
  <si>
    <t>erdrückt</t>
  </si>
  <si>
    <t>plural</t>
  </si>
  <si>
    <t>uah</t>
  </si>
  <si>
    <t>annullierung</t>
  </si>
  <si>
    <t>nachweis</t>
  </si>
  <si>
    <t>einwerfen</t>
  </si>
  <si>
    <t>festplatten</t>
  </si>
  <si>
    <t>arvid</t>
  </si>
  <si>
    <t>domina</t>
  </si>
  <si>
    <t>shell</t>
  </si>
  <si>
    <t>zapata</t>
  </si>
  <si>
    <t>somebody</t>
  </si>
  <si>
    <t>dringlichkeit</t>
  </si>
  <si>
    <t>gegenseitige</t>
  </si>
  <si>
    <t>zielpersonen</t>
  </si>
  <si>
    <t>fiesling</t>
  </si>
  <si>
    <t>mandat</t>
  </si>
  <si>
    <t>abgeschirmt</t>
  </si>
  <si>
    <t>dessous</t>
  </si>
  <si>
    <t>ar</t>
  </si>
  <si>
    <t>schäferhund</t>
  </si>
  <si>
    <t>aufzeigen</t>
  </si>
  <si>
    <t>zurückerobern</t>
  </si>
  <si>
    <t>chappie</t>
  </si>
  <si>
    <t>hülsen</t>
  </si>
  <si>
    <t>kontrollzentrum</t>
  </si>
  <si>
    <t>verschwindens</t>
  </si>
  <si>
    <t>dürftest</t>
  </si>
  <si>
    <t>pessimistisch</t>
  </si>
  <si>
    <t>dschihad</t>
  </si>
  <si>
    <t>neugierigen</t>
  </si>
  <si>
    <t>familienessen</t>
  </si>
  <si>
    <t>anthropologie</t>
  </si>
  <si>
    <t>lindert</t>
  </si>
  <si>
    <t>us-armee</t>
  </si>
  <si>
    <t>blumenstrauß</t>
  </si>
  <si>
    <t>begnadigen</t>
  </si>
  <si>
    <t>rausfinde</t>
  </si>
  <si>
    <t>dissertation</t>
  </si>
  <si>
    <t>violett</t>
  </si>
  <si>
    <t>delegierten</t>
  </si>
  <si>
    <t>xoxo</t>
  </si>
  <si>
    <t>kräutern</t>
  </si>
  <si>
    <t>steckdose</t>
  </si>
  <si>
    <t>pickett</t>
  </si>
  <si>
    <t>kerosin</t>
  </si>
  <si>
    <t>umliegenden</t>
  </si>
  <si>
    <t>einfliegen</t>
  </si>
  <si>
    <t>gottverlassenen</t>
  </si>
  <si>
    <t>dämpfer</t>
  </si>
  <si>
    <t>lebensfreude</t>
  </si>
  <si>
    <t>generalprobe</t>
  </si>
  <si>
    <t>bürgerliche</t>
  </si>
  <si>
    <t>teds</t>
  </si>
  <si>
    <t>hypnotisieren</t>
  </si>
  <si>
    <t>dci</t>
  </si>
  <si>
    <t>rumrennen</t>
  </si>
  <si>
    <t>schätzte</t>
  </si>
  <si>
    <t>melodramatisch</t>
  </si>
  <si>
    <t>lupin</t>
  </si>
  <si>
    <t>mörderisch</t>
  </si>
  <si>
    <t>spermien</t>
  </si>
  <si>
    <t>brecheisen</t>
  </si>
  <si>
    <t>kjell</t>
  </si>
  <si>
    <t>antreibt</t>
  </si>
  <si>
    <t>vermisstenanzeige</t>
  </si>
  <si>
    <t>falling</t>
  </si>
  <si>
    <t>breaking</t>
  </si>
  <si>
    <t>einweisung</t>
  </si>
  <si>
    <t>annehmlichkeiten</t>
  </si>
  <si>
    <t>rückgabe</t>
  </si>
  <si>
    <t>christa</t>
  </si>
  <si>
    <t>klinisch</t>
  </si>
  <si>
    <t>ficker</t>
  </si>
  <si>
    <t>abfuhr</t>
  </si>
  <si>
    <t>hanne</t>
  </si>
  <si>
    <t>tauschten</t>
  </si>
  <si>
    <t>kuli</t>
  </si>
  <si>
    <t>mori</t>
  </si>
  <si>
    <t>nachfolge</t>
  </si>
  <si>
    <t>abgenutzt</t>
  </si>
  <si>
    <t>vortanzen</t>
  </si>
  <si>
    <t>menschenhandel</t>
  </si>
  <si>
    <t>abläufe</t>
  </si>
  <si>
    <t>lenz</t>
  </si>
  <si>
    <t>aufzusteigen</t>
  </si>
  <si>
    <t>telefonaufzeichnungen</t>
  </si>
  <si>
    <t>circus</t>
  </si>
  <si>
    <t>gegebener</t>
  </si>
  <si>
    <t>ansteht</t>
  </si>
  <si>
    <t>lieblingsbuch</t>
  </si>
  <si>
    <t>eingeatmet</t>
  </si>
  <si>
    <t>bagger</t>
  </si>
  <si>
    <t>vereinfacht</t>
  </si>
  <si>
    <t>nähmaschine</t>
  </si>
  <si>
    <t>gnädigen</t>
  </si>
  <si>
    <t>taktvoll</t>
  </si>
  <si>
    <t>chocolate</t>
  </si>
  <si>
    <t>corpus</t>
  </si>
  <si>
    <t>stinson</t>
  </si>
  <si>
    <t>bundesregierung</t>
  </si>
  <si>
    <t>willste</t>
  </si>
  <si>
    <t>dominiert</t>
  </si>
  <si>
    <t>kampfsport</t>
  </si>
  <si>
    <t>verurteilungen</t>
  </si>
  <si>
    <t>durchbohren</t>
  </si>
  <si>
    <t>erschreckst</t>
  </si>
  <si>
    <t>überschlagen</t>
  </si>
  <si>
    <t>cartwright</t>
  </si>
  <si>
    <t>spreizen</t>
  </si>
  <si>
    <t>sog</t>
  </si>
  <si>
    <t>gegenseitigen</t>
  </si>
  <si>
    <t>hernehmen</t>
  </si>
  <si>
    <t>mcguire</t>
  </si>
  <si>
    <t>schuldigern</t>
  </si>
  <si>
    <t>lamont</t>
  </si>
  <si>
    <t>zähler</t>
  </si>
  <si>
    <t>ticktack</t>
  </si>
  <si>
    <t>massimo</t>
  </si>
  <si>
    <t>belüge</t>
  </si>
  <si>
    <t>bewährungsauflagen</t>
  </si>
  <si>
    <t>rasier</t>
  </si>
  <si>
    <t>durchgeht</t>
  </si>
  <si>
    <t>atmete</t>
  </si>
  <si>
    <t>entbinden</t>
  </si>
  <si>
    <t>kims</t>
  </si>
  <si>
    <t>delikatesse</t>
  </si>
  <si>
    <t>heini</t>
  </si>
  <si>
    <t>austen</t>
  </si>
  <si>
    <t>bemerkenswerter</t>
  </si>
  <si>
    <t>beweisstücke</t>
  </si>
  <si>
    <t>janis</t>
  </si>
  <si>
    <t>frühes</t>
  </si>
  <si>
    <t>besorgter</t>
  </si>
  <si>
    <t>fotoapparat</t>
  </si>
  <si>
    <t>aka</t>
  </si>
  <si>
    <t>mazel</t>
  </si>
  <si>
    <t>hiergelassen</t>
  </si>
  <si>
    <t>prado</t>
  </si>
  <si>
    <t>feuerwehrleute</t>
  </si>
  <si>
    <t>katniss</t>
  </si>
  <si>
    <t>seligen</t>
  </si>
  <si>
    <t>expansion</t>
  </si>
  <si>
    <t>sternchen</t>
  </si>
  <si>
    <t>armenhaus</t>
  </si>
  <si>
    <t>senkrecht</t>
  </si>
  <si>
    <t>wohingegen</t>
  </si>
  <si>
    <t>lothbrok</t>
  </si>
  <si>
    <t>abruf</t>
  </si>
  <si>
    <t>unterhaltet</t>
  </si>
  <si>
    <t>abzuliefern</t>
  </si>
  <si>
    <t>explosiv</t>
  </si>
  <si>
    <t>angeklagter</t>
  </si>
  <si>
    <t>ufern</t>
  </si>
  <si>
    <t>kneift</t>
  </si>
  <si>
    <t>beordert</t>
  </si>
  <si>
    <t>pumuckl</t>
  </si>
  <si>
    <t>versorge</t>
  </si>
  <si>
    <t>abgesägt</t>
  </si>
  <si>
    <t>gibraltar</t>
  </si>
  <si>
    <t>blinky</t>
  </si>
  <si>
    <t>schlichten</t>
  </si>
  <si>
    <t>bastian</t>
  </si>
  <si>
    <t>segelboot</t>
  </si>
  <si>
    <t>blasmusik</t>
  </si>
  <si>
    <t>abzüglich</t>
  </si>
  <si>
    <t>berenson</t>
  </si>
  <si>
    <t>angeschleppt</t>
  </si>
  <si>
    <t>kuwait</t>
  </si>
  <si>
    <t>banshee</t>
  </si>
  <si>
    <t>mutigste</t>
  </si>
  <si>
    <t>gehirntumor</t>
  </si>
  <si>
    <t>bessert</t>
  </si>
  <si>
    <t>umgeworfen</t>
  </si>
  <si>
    <t>nyu</t>
  </si>
  <si>
    <t>unerkannt</t>
  </si>
  <si>
    <t>respektlosigkeit</t>
  </si>
  <si>
    <t>salve</t>
  </si>
  <si>
    <t>arzttermin</t>
  </si>
  <si>
    <t>photo</t>
  </si>
  <si>
    <t>bestreben</t>
  </si>
  <si>
    <t>tims</t>
  </si>
  <si>
    <t>malaysia</t>
  </si>
  <si>
    <t>roz</t>
  </si>
  <si>
    <t>burrell</t>
  </si>
  <si>
    <t>zahlenmäßig</t>
  </si>
  <si>
    <t>deckte</t>
  </si>
  <si>
    <t>drogenbesitz</t>
  </si>
  <si>
    <t>beunruhigung</t>
  </si>
  <si>
    <t>hingehalten</t>
  </si>
  <si>
    <t>passierten</t>
  </si>
  <si>
    <t>objekten</t>
  </si>
  <si>
    <t>didn</t>
  </si>
  <si>
    <t>linderman</t>
  </si>
  <si>
    <t>urplötzlich</t>
  </si>
  <si>
    <t>stammzellen</t>
  </si>
  <si>
    <t>ausgestreckt</t>
  </si>
  <si>
    <t>pres</t>
  </si>
  <si>
    <t>visitenkarten</t>
  </si>
  <si>
    <t>aug</t>
  </si>
  <si>
    <t>unbewohnt</t>
  </si>
  <si>
    <t>chas</t>
  </si>
  <si>
    <t>unterkommen</t>
  </si>
  <si>
    <t>kelsey</t>
  </si>
  <si>
    <t>jeanine</t>
  </si>
  <si>
    <t>torten</t>
  </si>
  <si>
    <t>nachschlagen</t>
  </si>
  <si>
    <t>flüchtlingslager</t>
  </si>
  <si>
    <t>spielzeit</t>
  </si>
  <si>
    <t>glückstreffer</t>
  </si>
  <si>
    <t>aya</t>
  </si>
  <si>
    <t>geisteskrankheit</t>
  </si>
  <si>
    <t>muessen</t>
  </si>
  <si>
    <t>zerfetzen</t>
  </si>
  <si>
    <t>gewünschten</t>
  </si>
  <si>
    <t>roswell</t>
  </si>
  <si>
    <t>ausspricht</t>
  </si>
  <si>
    <t>aufzusetzen</t>
  </si>
  <si>
    <t>konservatorium</t>
  </si>
  <si>
    <t>dima</t>
  </si>
  <si>
    <t>alastair</t>
  </si>
  <si>
    <t>lia</t>
  </si>
  <si>
    <t>kralle</t>
  </si>
  <si>
    <t>likör</t>
  </si>
  <si>
    <t>pinot</t>
  </si>
  <si>
    <t>ausbaden</t>
  </si>
  <si>
    <t>romulus</t>
  </si>
  <si>
    <t>parallelen</t>
  </si>
  <si>
    <t>nicholson</t>
  </si>
  <si>
    <t>ninh</t>
  </si>
  <si>
    <t>geraumer</t>
  </si>
  <si>
    <t>fratze</t>
  </si>
  <si>
    <t>broderick</t>
  </si>
  <si>
    <t>cabo</t>
  </si>
  <si>
    <t>aufzubewahren</t>
  </si>
  <si>
    <t>bequeme</t>
  </si>
  <si>
    <t>staunst</t>
  </si>
  <si>
    <t>beifahrer</t>
  </si>
  <si>
    <t>verweigerte</t>
  </si>
  <si>
    <t>mietete</t>
  </si>
  <si>
    <t>befragte</t>
  </si>
  <si>
    <t>angelt</t>
  </si>
  <si>
    <t>pump</t>
  </si>
  <si>
    <t>tusch</t>
  </si>
  <si>
    <t>haarig</t>
  </si>
  <si>
    <t>überbringer</t>
  </si>
  <si>
    <t>sicherheitsmann</t>
  </si>
  <si>
    <t>analysiere</t>
  </si>
  <si>
    <t>abendkleid</t>
  </si>
  <si>
    <t>phantasien</t>
  </si>
  <si>
    <t>gegenseite</t>
  </si>
  <si>
    <t>einordnen</t>
  </si>
  <si>
    <t>keene</t>
  </si>
  <si>
    <t>umdreht</t>
  </si>
  <si>
    <t>grönland</t>
  </si>
  <si>
    <t>fifty-fifty</t>
  </si>
  <si>
    <t>zimmergenossen</t>
  </si>
  <si>
    <t>wendest</t>
  </si>
  <si>
    <t>ina</t>
  </si>
  <si>
    <t>bedauernswert</t>
  </si>
  <si>
    <t>herumzulaufen</t>
  </si>
  <si>
    <t>leanne</t>
  </si>
  <si>
    <t>gottlieb</t>
  </si>
  <si>
    <t>zerstritten</t>
  </si>
  <si>
    <t>warden</t>
  </si>
  <si>
    <t>gladstone</t>
  </si>
  <si>
    <t>verlassenes</t>
  </si>
  <si>
    <t>anlauf</t>
  </si>
  <si>
    <t>scouts</t>
  </si>
  <si>
    <t>mögliches</t>
  </si>
  <si>
    <t>patientinnen</t>
  </si>
  <si>
    <t>bezaubernden</t>
  </si>
  <si>
    <t>römischer</t>
  </si>
  <si>
    <t>yuko</t>
  </si>
  <si>
    <t>beug</t>
  </si>
  <si>
    <t>rätselhafte</t>
  </si>
  <si>
    <t>priestern</t>
  </si>
  <si>
    <t>lästigen</t>
  </si>
  <si>
    <t>dorothea</t>
  </si>
  <si>
    <t>quäle</t>
  </si>
  <si>
    <t>fensterläden</t>
  </si>
  <si>
    <t>checkpoint</t>
  </si>
  <si>
    <t>vogels</t>
  </si>
  <si>
    <t>improvisation</t>
  </si>
  <si>
    <t>gräueltaten</t>
  </si>
  <si>
    <t>bettzeug</t>
  </si>
  <si>
    <t>peinlicher</t>
  </si>
  <si>
    <t>smythe</t>
  </si>
  <si>
    <t>hasses</t>
  </si>
  <si>
    <t>lai</t>
  </si>
  <si>
    <t>gehäutet</t>
  </si>
  <si>
    <t>noora</t>
  </si>
  <si>
    <t>auftauen</t>
  </si>
  <si>
    <t>abgesandter</t>
  </si>
  <si>
    <t>weltlichen</t>
  </si>
  <si>
    <t>anzulocken</t>
  </si>
  <si>
    <t>cale</t>
  </si>
  <si>
    <t>hirnschaden</t>
  </si>
  <si>
    <t>geschätzter</t>
  </si>
  <si>
    <t>schlaftablette</t>
  </si>
  <si>
    <t>fraglichen</t>
  </si>
  <si>
    <t>telemach</t>
  </si>
  <si>
    <t>gewandelt</t>
  </si>
  <si>
    <t>sonnenstrahl</t>
  </si>
  <si>
    <t>rausholt</t>
  </si>
  <si>
    <t>durchtrennen</t>
  </si>
  <si>
    <t>jod</t>
  </si>
  <si>
    <t>tatiana</t>
  </si>
  <si>
    <t>britt</t>
  </si>
  <si>
    <t>fiedler</t>
  </si>
  <si>
    <t>umsichtig</t>
  </si>
  <si>
    <t>momentanen</t>
  </si>
  <si>
    <t>udssr</t>
  </si>
  <si>
    <t>sri</t>
  </si>
  <si>
    <t>warzen</t>
  </si>
  <si>
    <t>berühmtheiten</t>
  </si>
  <si>
    <t>erkältest</t>
  </si>
  <si>
    <t>aufständischen</t>
  </si>
  <si>
    <t>matthäus</t>
  </si>
  <si>
    <t>kongressabgeordneten</t>
  </si>
  <si>
    <t>lyndon</t>
  </si>
  <si>
    <t>beschwerte</t>
  </si>
  <si>
    <t>puffer</t>
  </si>
  <si>
    <t>veralbern</t>
  </si>
  <si>
    <t>hinweist</t>
  </si>
  <si>
    <t>kackt</t>
  </si>
  <si>
    <t>aufnahmeprüfung</t>
  </si>
  <si>
    <t>winzling</t>
  </si>
  <si>
    <t>frakturen</t>
  </si>
  <si>
    <t>aki</t>
  </si>
  <si>
    <t>handelten</t>
  </si>
  <si>
    <t>chronische</t>
  </si>
  <si>
    <t>reece</t>
  </si>
  <si>
    <t>valide</t>
  </si>
  <si>
    <t>familienunternehmen</t>
  </si>
  <si>
    <t>rosig</t>
  </si>
  <si>
    <t>riskier</t>
  </si>
  <si>
    <t>übertreibung</t>
  </si>
  <si>
    <t>glaubtest</t>
  </si>
  <si>
    <t>benachrichtige</t>
  </si>
  <si>
    <t>teo</t>
  </si>
  <si>
    <t>posieren</t>
  </si>
  <si>
    <t>einzugestehen</t>
  </si>
  <si>
    <t>30ern</t>
  </si>
  <si>
    <t>cheech</t>
  </si>
  <si>
    <t>betreuerin</t>
  </si>
  <si>
    <t>knights</t>
  </si>
  <si>
    <t>mitbringst</t>
  </si>
  <si>
    <t>gefallene</t>
  </si>
  <si>
    <t>wirtschaftskrise</t>
  </si>
  <si>
    <t>tankstellen</t>
  </si>
  <si>
    <t>sichtbaren</t>
  </si>
  <si>
    <t>logen</t>
  </si>
  <si>
    <t>waffenschein</t>
  </si>
  <si>
    <t>kunstgeschichte</t>
  </si>
  <si>
    <t>schwachpunkt</t>
  </si>
  <si>
    <t>produktiv</t>
  </si>
  <si>
    <t>fabelhaften</t>
  </si>
  <si>
    <t>jie</t>
  </si>
  <si>
    <t>heiklen</t>
  </si>
  <si>
    <t>rikers</t>
  </si>
  <si>
    <t>laufpass</t>
  </si>
  <si>
    <t>versteigerung</t>
  </si>
  <si>
    <t>abkriegen</t>
  </si>
  <si>
    <t>entwickle</t>
  </si>
  <si>
    <t>auskünfte</t>
  </si>
  <si>
    <t>grendel</t>
  </si>
  <si>
    <t>arktis</t>
  </si>
  <si>
    <t>umkippen</t>
  </si>
  <si>
    <t>hühnersuppe</t>
  </si>
  <si>
    <t>bibliothekar</t>
  </si>
  <si>
    <t>blackbox</t>
  </si>
  <si>
    <t>gastfreundlich</t>
  </si>
  <si>
    <t>sonntagabend</t>
  </si>
  <si>
    <t>shalom</t>
  </si>
  <si>
    <t>bevorzugst</t>
  </si>
  <si>
    <t>physiotherapie</t>
  </si>
  <si>
    <t>imaginäre</t>
  </si>
  <si>
    <t>besorgten</t>
  </si>
  <si>
    <t>sprecherin</t>
  </si>
  <si>
    <t>myrna</t>
  </si>
  <si>
    <t>dodger</t>
  </si>
  <si>
    <t>shots</t>
  </si>
  <si>
    <t>kennedys</t>
  </si>
  <si>
    <t>packungen</t>
  </si>
  <si>
    <t>zeichnest</t>
  </si>
  <si>
    <t>auszutricksen</t>
  </si>
  <si>
    <t>abholung</t>
  </si>
  <si>
    <t>wisteria</t>
  </si>
  <si>
    <t>chestnut</t>
  </si>
  <si>
    <t>quest</t>
  </si>
  <si>
    <t>kathi</t>
  </si>
  <si>
    <t>fittiche</t>
  </si>
  <si>
    <t>tigh</t>
  </si>
  <si>
    <t>benjy</t>
  </si>
  <si>
    <t>zulässig</t>
  </si>
  <si>
    <t>liefe</t>
  </si>
  <si>
    <t>many</t>
  </si>
  <si>
    <t>tracker</t>
  </si>
  <si>
    <t>jämmerliche</t>
  </si>
  <si>
    <t>irgendeines</t>
  </si>
  <si>
    <t>schutzraum</t>
  </si>
  <si>
    <t>zerrt</t>
  </si>
  <si>
    <t>formulierung</t>
  </si>
  <si>
    <t>geass</t>
  </si>
  <si>
    <t>ausgecheckt</t>
  </si>
  <si>
    <t>kalkutta</t>
  </si>
  <si>
    <t>fassungslos</t>
  </si>
  <si>
    <t>extrapunkte</t>
  </si>
  <si>
    <t>plätschert</t>
  </si>
  <si>
    <t>mitbrachte</t>
  </si>
  <si>
    <t>höhnisch</t>
  </si>
  <si>
    <t>erfülltes</t>
  </si>
  <si>
    <t>effie</t>
  </si>
  <si>
    <t>wunderhübsch</t>
  </si>
  <si>
    <t>racine</t>
  </si>
  <si>
    <t>hergerissen</t>
  </si>
  <si>
    <t>skies</t>
  </si>
  <si>
    <t>vittorio</t>
  </si>
  <si>
    <t>ergebener</t>
  </si>
  <si>
    <t>gänseblümchen</t>
  </si>
  <si>
    <t>maskenball</t>
  </si>
  <si>
    <t>mordet</t>
  </si>
  <si>
    <t>verkörpern</t>
  </si>
  <si>
    <t>abgabe</t>
  </si>
  <si>
    <t>algorithmen</t>
  </si>
  <si>
    <t>rockwell</t>
  </si>
  <si>
    <t>ausgehändigt</t>
  </si>
  <si>
    <t>familienleben</t>
  </si>
  <si>
    <t>aufenthaltsraum</t>
  </si>
  <si>
    <t>gottseidank</t>
  </si>
  <si>
    <t>faulheit</t>
  </si>
  <si>
    <t>durchführung</t>
  </si>
  <si>
    <t>humanoide</t>
  </si>
  <si>
    <t>beibringt</t>
  </si>
  <si>
    <t>übersicht</t>
  </si>
  <si>
    <t>independence</t>
  </si>
  <si>
    <t>abriss</t>
  </si>
  <si>
    <t>vibrieren</t>
  </si>
  <si>
    <t>heat</t>
  </si>
  <si>
    <t>nachspiel</t>
  </si>
  <si>
    <t>neo</t>
  </si>
  <si>
    <t>durchlöchert</t>
  </si>
  <si>
    <t>verbeugt</t>
  </si>
  <si>
    <t>stoppschild</t>
  </si>
  <si>
    <t>urgroßmutter</t>
  </si>
  <si>
    <t>blasse</t>
  </si>
  <si>
    <t>übergriff</t>
  </si>
  <si>
    <t>bettdecke</t>
  </si>
  <si>
    <t>mali</t>
  </si>
  <si>
    <t>jessicas</t>
  </si>
  <si>
    <t>bespreche</t>
  </si>
  <si>
    <t>voraussehen</t>
  </si>
  <si>
    <t>blutkreislauf</t>
  </si>
  <si>
    <t>wunderte</t>
  </si>
  <si>
    <t>tack</t>
  </si>
  <si>
    <t>dede</t>
  </si>
  <si>
    <t>raffinierte</t>
  </si>
  <si>
    <t>delilah</t>
  </si>
  <si>
    <t>flotter</t>
  </si>
  <si>
    <t>thrones</t>
  </si>
  <si>
    <t>zutreffend</t>
  </si>
  <si>
    <t>sprechenden</t>
  </si>
  <si>
    <t>inhuman</t>
  </si>
  <si>
    <t>harpune</t>
  </si>
  <si>
    <t>übersprungen</t>
  </si>
  <si>
    <t>aphrodite</t>
  </si>
  <si>
    <t>benötigst</t>
  </si>
  <si>
    <t>diktiert</t>
  </si>
  <si>
    <t>kabinen</t>
  </si>
  <si>
    <t>entledigen</t>
  </si>
  <si>
    <t>siu</t>
  </si>
  <si>
    <t>olli</t>
  </si>
  <si>
    <t>auftrieb</t>
  </si>
  <si>
    <t>triumphale</t>
  </si>
  <si>
    <t>strahlenden</t>
  </si>
  <si>
    <t>blutgerinnsel</t>
  </si>
  <si>
    <t>gully</t>
  </si>
  <si>
    <t>geeigneter</t>
  </si>
  <si>
    <t>renate</t>
  </si>
  <si>
    <t>steuergelder</t>
  </si>
  <si>
    <t>dominik</t>
  </si>
  <si>
    <t>impfung</t>
  </si>
  <si>
    <t>seinesgleichen</t>
  </si>
  <si>
    <t>nostradamus</t>
  </si>
  <si>
    <t>entschließen</t>
  </si>
  <si>
    <t>blunt</t>
  </si>
  <si>
    <t>soufflé</t>
  </si>
  <si>
    <t>zitate</t>
  </si>
  <si>
    <t>heuchlerin</t>
  </si>
  <si>
    <t>heidenangst</t>
  </si>
  <si>
    <t>verdeck</t>
  </si>
  <si>
    <t>banana</t>
  </si>
  <si>
    <t>bändern</t>
  </si>
  <si>
    <t>gefaltet</t>
  </si>
  <si>
    <t>verankert</t>
  </si>
  <si>
    <t>vitrine</t>
  </si>
  <si>
    <t>ikone</t>
  </si>
  <si>
    <t>zuhalten</t>
  </si>
  <si>
    <t>granit</t>
  </si>
  <si>
    <t>geheimgang</t>
  </si>
  <si>
    <t>intelligence</t>
  </si>
  <si>
    <t>gefährdung</t>
  </si>
  <si>
    <t>dougal</t>
  </si>
  <si>
    <t>pflock</t>
  </si>
  <si>
    <t>neely</t>
  </si>
  <si>
    <t>menschenblut</t>
  </si>
  <si>
    <t>rahl</t>
  </si>
  <si>
    <t>wiederzukommen</t>
  </si>
  <si>
    <t>erblühen</t>
  </si>
  <si>
    <t>vollstrecker</t>
  </si>
  <si>
    <t>silikon</t>
  </si>
  <si>
    <t>xindi</t>
  </si>
  <si>
    <t>sutherland</t>
  </si>
  <si>
    <t>homos</t>
  </si>
  <si>
    <t>bereitstellen</t>
  </si>
  <si>
    <t>mado</t>
  </si>
  <si>
    <t>softball</t>
  </si>
  <si>
    <t>verreise</t>
  </si>
  <si>
    <t>sets</t>
  </si>
  <si>
    <t>kriegsbeil</t>
  </si>
  <si>
    <t>schallplatten</t>
  </si>
  <si>
    <t>med</t>
  </si>
  <si>
    <t>boxkampf</t>
  </si>
  <si>
    <t>cocoa</t>
  </si>
  <si>
    <t>lebenswichtig</t>
  </si>
  <si>
    <t>bandenkrieg</t>
  </si>
  <si>
    <t>trafst</t>
  </si>
  <si>
    <t>flausen</t>
  </si>
  <si>
    <t>akkord</t>
  </si>
  <si>
    <t>mylords</t>
  </si>
  <si>
    <t>fühler</t>
  </si>
  <si>
    <t>tur</t>
  </si>
  <si>
    <t>muttermilch</t>
  </si>
  <si>
    <t>beliebigen</t>
  </si>
  <si>
    <t>bohrinsel</t>
  </si>
  <si>
    <t>fielding</t>
  </si>
  <si>
    <t>striptease</t>
  </si>
  <si>
    <t>hayward</t>
  </si>
  <si>
    <t>bosnien</t>
  </si>
  <si>
    <t>pompeji</t>
  </si>
  <si>
    <t>kampflaute</t>
  </si>
  <si>
    <t>arschtritt</t>
  </si>
  <si>
    <t>reinkarnation</t>
  </si>
  <si>
    <t>holman</t>
  </si>
  <si>
    <t>postieren</t>
  </si>
  <si>
    <t>mammi</t>
  </si>
  <si>
    <t>pheebs</t>
  </si>
  <si>
    <t>bettelte</t>
  </si>
  <si>
    <t>bestätigten</t>
  </si>
  <si>
    <t>sedan</t>
  </si>
  <si>
    <t>luftballons</t>
  </si>
  <si>
    <t>belange</t>
  </si>
  <si>
    <t>hieltest</t>
  </si>
  <si>
    <t>jahrtausend</t>
  </si>
  <si>
    <t>exklusive</t>
  </si>
  <si>
    <t>platin</t>
  </si>
  <si>
    <t>quell</t>
  </si>
  <si>
    <t>gayle</t>
  </si>
  <si>
    <t>befrage</t>
  </si>
  <si>
    <t>barrikaden</t>
  </si>
  <si>
    <t>gaeta</t>
  </si>
  <si>
    <t>glückszahl</t>
  </si>
  <si>
    <t>chez</t>
  </si>
  <si>
    <t>aufgekauft</t>
  </si>
  <si>
    <t>identische</t>
  </si>
  <si>
    <t>luchs</t>
  </si>
  <si>
    <t>hodor</t>
  </si>
  <si>
    <t>haien</t>
  </si>
  <si>
    <t>friedliches</t>
  </si>
  <si>
    <t>turners</t>
  </si>
  <si>
    <t>ewald</t>
  </si>
  <si>
    <t>fahrschein</t>
  </si>
  <si>
    <t>müllabfuhr</t>
  </si>
  <si>
    <t>würze</t>
  </si>
  <si>
    <t>ersatzschlüssel</t>
  </si>
  <si>
    <t>hummel</t>
  </si>
  <si>
    <t>einbricht</t>
  </si>
  <si>
    <t>fernsehsendung</t>
  </si>
  <si>
    <t>sentimentalen</t>
  </si>
  <si>
    <t>tumore</t>
  </si>
  <si>
    <t>durchblick</t>
  </si>
  <si>
    <t>soren</t>
  </si>
  <si>
    <t>bemalt</t>
  </si>
  <si>
    <t>verfüttert</t>
  </si>
  <si>
    <t>befehlskette</t>
  </si>
  <si>
    <t>anstiftung</t>
  </si>
  <si>
    <t>schnauft</t>
  </si>
  <si>
    <t>rohan</t>
  </si>
  <si>
    <t>altersunterschied</t>
  </si>
  <si>
    <t>oli</t>
  </si>
  <si>
    <t>integration</t>
  </si>
  <si>
    <t>talkshow</t>
  </si>
  <si>
    <t>jos</t>
  </si>
  <si>
    <t>broyles</t>
  </si>
  <si>
    <t>dunlop</t>
  </si>
  <si>
    <t>dezernat</t>
  </si>
  <si>
    <t>vollgepumpt</t>
  </si>
  <si>
    <t>rivale</t>
  </si>
  <si>
    <t>juno</t>
  </si>
  <si>
    <t>indonesien</t>
  </si>
  <si>
    <t>brathähnchen</t>
  </si>
  <si>
    <t>zwitschert</t>
  </si>
  <si>
    <t>bettruhe</t>
  </si>
  <si>
    <t>figaro</t>
  </si>
  <si>
    <t>mags</t>
  </si>
  <si>
    <t>santana</t>
  </si>
  <si>
    <t>intensiven</t>
  </si>
  <si>
    <t>gleichungen</t>
  </si>
  <si>
    <t>spaulding</t>
  </si>
  <si>
    <t>zurückkaufen</t>
  </si>
  <si>
    <t>gelinde</t>
  </si>
  <si>
    <t>kimber</t>
  </si>
  <si>
    <t>atheist</t>
  </si>
  <si>
    <t>schnellstraße</t>
  </si>
  <si>
    <t>spionen</t>
  </si>
  <si>
    <t>augenlider</t>
  </si>
  <si>
    <t>dienstzeit</t>
  </si>
  <si>
    <t>endeten</t>
  </si>
  <si>
    <t>geschahen</t>
  </si>
  <si>
    <t>kotflügel</t>
  </si>
  <si>
    <t>ehepartner</t>
  </si>
  <si>
    <t>zugenäht</t>
  </si>
  <si>
    <t>anlegst</t>
  </si>
  <si>
    <t>korrekturen</t>
  </si>
  <si>
    <t>erschufen</t>
  </si>
  <si>
    <t>chirurgischen</t>
  </si>
  <si>
    <t>agnès</t>
  </si>
  <si>
    <t>beachtliche</t>
  </si>
  <si>
    <t>fühltest</t>
  </si>
  <si>
    <t>erregte</t>
  </si>
  <si>
    <t>kommodore</t>
  </si>
  <si>
    <t>rausfliegen</t>
  </si>
  <si>
    <t>moralischer</t>
  </si>
  <si>
    <t>patronenhülsen</t>
  </si>
  <si>
    <t>angesprungen</t>
  </si>
  <si>
    <t>soldier</t>
  </si>
  <si>
    <t>absehen</t>
  </si>
  <si>
    <t>cassius</t>
  </si>
  <si>
    <t>ernstfall</t>
  </si>
  <si>
    <t>handfläche</t>
  </si>
  <si>
    <t>hochgezogen</t>
  </si>
  <si>
    <t>unsichtbarer</t>
  </si>
  <si>
    <t>bügeleisen</t>
  </si>
  <si>
    <t>capitano</t>
  </si>
  <si>
    <t>hervorgebracht</t>
  </si>
  <si>
    <t>versetze</t>
  </si>
  <si>
    <t>chaney</t>
  </si>
  <si>
    <t>eiweiß</t>
  </si>
  <si>
    <t>einzusammeln</t>
  </si>
  <si>
    <t>zusammenpacken</t>
  </si>
  <si>
    <t>wangenknochen</t>
  </si>
  <si>
    <t>erscheinungen</t>
  </si>
  <si>
    <t>verwahrung</t>
  </si>
  <si>
    <t>norwegischen</t>
  </si>
  <si>
    <t>befindest</t>
  </si>
  <si>
    <t>tagein</t>
  </si>
  <si>
    <t>wanderst</t>
  </si>
  <si>
    <t>rt</t>
  </si>
  <si>
    <t>dupont</t>
  </si>
  <si>
    <t>ausstechen</t>
  </si>
  <si>
    <t>sitzend</t>
  </si>
  <si>
    <t>clear</t>
  </si>
  <si>
    <t>flussaufwärts</t>
  </si>
  <si>
    <t>konservativen</t>
  </si>
  <si>
    <t>rettungsmission</t>
  </si>
  <si>
    <t>beobachteten</t>
  </si>
  <si>
    <t>thérèse</t>
  </si>
  <si>
    <t>anfeuern</t>
  </si>
  <si>
    <t>briefes</t>
  </si>
  <si>
    <t>tatorten</t>
  </si>
  <si>
    <t>soundso</t>
  </si>
  <si>
    <t>übelsten</t>
  </si>
  <si>
    <t>loyale</t>
  </si>
  <si>
    <t>unfällen</t>
  </si>
  <si>
    <t>diablo</t>
  </si>
  <si>
    <t>vagabund</t>
  </si>
  <si>
    <t>habens</t>
  </si>
  <si>
    <t>eiszeit</t>
  </si>
  <si>
    <t>housewives</t>
  </si>
  <si>
    <t>giovanna</t>
  </si>
  <si>
    <t>staune</t>
  </si>
  <si>
    <t>verteidigungslinie</t>
  </si>
  <si>
    <t>filialen</t>
  </si>
  <si>
    <t>bundesgefängnis</t>
  </si>
  <si>
    <t>verdirb</t>
  </si>
  <si>
    <t>ergreifung</t>
  </si>
  <si>
    <t>labore</t>
  </si>
  <si>
    <t>erfüllst</t>
  </si>
  <si>
    <t>makeup</t>
  </si>
  <si>
    <t>hurtig</t>
  </si>
  <si>
    <t>hauptrollen</t>
  </si>
  <si>
    <t>traveler</t>
  </si>
  <si>
    <t>zerhackt</t>
  </si>
  <si>
    <t>cottage</t>
  </si>
  <si>
    <t>bermudas</t>
  </si>
  <si>
    <t>initiiere</t>
  </si>
  <si>
    <t>cuthbert</t>
  </si>
  <si>
    <t>organischen</t>
  </si>
  <si>
    <t>andrehen</t>
  </si>
  <si>
    <t>trampolin</t>
  </si>
  <si>
    <t>jacksonville</t>
  </si>
  <si>
    <t>frumfondel</t>
  </si>
  <si>
    <t>schlosser</t>
  </si>
  <si>
    <t>schnittwunden</t>
  </si>
  <si>
    <t>verkäufe</t>
  </si>
  <si>
    <t>alarmsystem</t>
  </si>
  <si>
    <t>anbehalten</t>
  </si>
  <si>
    <t>gewohnten</t>
  </si>
  <si>
    <t>fremont</t>
  </si>
  <si>
    <t>krankengeschichte</t>
  </si>
  <si>
    <t>akademischen</t>
  </si>
  <si>
    <t>corn</t>
  </si>
  <si>
    <t>monatsende</t>
  </si>
  <si>
    <t>exekutieren</t>
  </si>
  <si>
    <t>furchteinflößend</t>
  </si>
  <si>
    <t>shooting</t>
  </si>
  <si>
    <t>benefizveranstaltung</t>
  </si>
  <si>
    <t>lã</t>
  </si>
  <si>
    <t>ausbreitung</t>
  </si>
  <si>
    <t>installation</t>
  </si>
  <si>
    <t>arrivederci</t>
  </si>
  <si>
    <t>bluthund</t>
  </si>
  <si>
    <t>ricks</t>
  </si>
  <si>
    <t>feinheiten</t>
  </si>
  <si>
    <t>redlich</t>
  </si>
  <si>
    <t>zudecken</t>
  </si>
  <si>
    <t>beglückwünschen</t>
  </si>
  <si>
    <t>bears</t>
  </si>
  <si>
    <t>jahrtausenden</t>
  </si>
  <si>
    <t>toskana</t>
  </si>
  <si>
    <t>beweglich</t>
  </si>
  <si>
    <t>zuvorkommend</t>
  </si>
  <si>
    <t>grundausbildung</t>
  </si>
  <si>
    <t>ramse</t>
  </si>
  <si>
    <t>mechanik</t>
  </si>
  <si>
    <t>begab</t>
  </si>
  <si>
    <t>ungläubige</t>
  </si>
  <si>
    <t>zulasse</t>
  </si>
  <si>
    <t>umkreist</t>
  </si>
  <si>
    <t>texaner</t>
  </si>
  <si>
    <t>hinknien</t>
  </si>
  <si>
    <t>bayou</t>
  </si>
  <si>
    <t>anprobe</t>
  </si>
  <si>
    <t>vieleicht</t>
  </si>
  <si>
    <t>halluziniert</t>
  </si>
  <si>
    <t>fasan</t>
  </si>
  <si>
    <t>zitadelle</t>
  </si>
  <si>
    <t>dazwischengekommen</t>
  </si>
  <si>
    <t>soames</t>
  </si>
  <si>
    <t>überkam</t>
  </si>
  <si>
    <t>saug</t>
  </si>
  <si>
    <t>offenkundig</t>
  </si>
  <si>
    <t>brimmer</t>
  </si>
  <si>
    <t>allergische</t>
  </si>
  <si>
    <t>autokino</t>
  </si>
  <si>
    <t>kohlenhydrate</t>
  </si>
  <si>
    <t>bambus</t>
  </si>
  <si>
    <t>aufgeregte</t>
  </si>
  <si>
    <t>rina</t>
  </si>
  <si>
    <t>verkürzt</t>
  </si>
  <si>
    <t>fernandez</t>
  </si>
  <si>
    <t>nachstellen</t>
  </si>
  <si>
    <t>carries</t>
  </si>
  <si>
    <t>vereinte</t>
  </si>
  <si>
    <t>fuzzy</t>
  </si>
  <si>
    <t>tagaus</t>
  </si>
  <si>
    <t>dalai</t>
  </si>
  <si>
    <t>holzbein</t>
  </si>
  <si>
    <t>rogue</t>
  </si>
  <si>
    <t>eskimo</t>
  </si>
  <si>
    <t>mt</t>
  </si>
  <si>
    <t>verstandes</t>
  </si>
  <si>
    <t>komponente</t>
  </si>
  <si>
    <t>detonieren</t>
  </si>
  <si>
    <t>mandela</t>
  </si>
  <si>
    <t>erfrischungen</t>
  </si>
  <si>
    <t>einkaufsliste</t>
  </si>
  <si>
    <t>anwar</t>
  </si>
  <si>
    <t>verpfuscht</t>
  </si>
  <si>
    <t>leitartikel</t>
  </si>
  <si>
    <t>goldlöckchen</t>
  </si>
  <si>
    <t>bretagne</t>
  </si>
  <si>
    <t>appellieren</t>
  </si>
  <si>
    <t>aufmischen</t>
  </si>
  <si>
    <t>verfrachtet</t>
  </si>
  <si>
    <t>trügt</t>
  </si>
  <si>
    <t>arbeitslosen</t>
  </si>
  <si>
    <t>roslin</t>
  </si>
  <si>
    <t>mahone</t>
  </si>
  <si>
    <t>abzusehen</t>
  </si>
  <si>
    <t>verwüsten</t>
  </si>
  <si>
    <t>flussabwärts</t>
  </si>
  <si>
    <t>busy</t>
  </si>
  <si>
    <t>entlässt</t>
  </si>
  <si>
    <t>korallen</t>
  </si>
  <si>
    <t>sicherungskasten</t>
  </si>
  <si>
    <t>zögerlich</t>
  </si>
  <si>
    <t>halstuch</t>
  </si>
  <si>
    <t>kleinkram</t>
  </si>
  <si>
    <t>germaine</t>
  </si>
  <si>
    <t>beschwörung</t>
  </si>
  <si>
    <t>einfälle</t>
  </si>
  <si>
    <t>abrams</t>
  </si>
  <si>
    <t>brianna</t>
  </si>
  <si>
    <t>wegstecken</t>
  </si>
  <si>
    <t>ultimate</t>
  </si>
  <si>
    <t>gleichstand</t>
  </si>
  <si>
    <t>museums</t>
  </si>
  <si>
    <t>bulgarien</t>
  </si>
  <si>
    <t>roma</t>
  </si>
  <si>
    <t>wütet</t>
  </si>
  <si>
    <t>percival</t>
  </si>
  <si>
    <t>allmächtig</t>
  </si>
  <si>
    <t>stinky</t>
  </si>
  <si>
    <t>libyen</t>
  </si>
  <si>
    <t>gase</t>
  </si>
  <si>
    <t>beep</t>
  </si>
  <si>
    <t>bryson</t>
  </si>
  <si>
    <t>dicky</t>
  </si>
  <si>
    <t>kwai</t>
  </si>
  <si>
    <t>skalp</t>
  </si>
  <si>
    <t>geatmet</t>
  </si>
  <si>
    <t>erhaltung</t>
  </si>
  <si>
    <t>fließendes</t>
  </si>
  <si>
    <t>trunk</t>
  </si>
  <si>
    <t>zusammengeführt</t>
  </si>
  <si>
    <t>südkorea</t>
  </si>
  <si>
    <t>schlager</t>
  </si>
  <si>
    <t>keinster</t>
  </si>
  <si>
    <t>farik</t>
  </si>
  <si>
    <t>elternabend</t>
  </si>
  <si>
    <t>sissy</t>
  </si>
  <si>
    <t>baumes</t>
  </si>
  <si>
    <t>jahrhundertelang</t>
  </si>
  <si>
    <t>dawes</t>
  </si>
  <si>
    <t>widerwillig</t>
  </si>
  <si>
    <t>fahrlässigkeit</t>
  </si>
  <si>
    <t>einzigste</t>
  </si>
  <si>
    <t>albino</t>
  </si>
  <si>
    <t>störrisch</t>
  </si>
  <si>
    <t>mitgeben</t>
  </si>
  <si>
    <t>bedienstete</t>
  </si>
  <si>
    <t>ulkig</t>
  </si>
  <si>
    <t>reinzuwaschen</t>
  </si>
  <si>
    <t>hinwegzukommen</t>
  </si>
  <si>
    <t>versagerin</t>
  </si>
  <si>
    <t>spaßbremse</t>
  </si>
  <si>
    <t>glich</t>
  </si>
  <si>
    <t>komplikation</t>
  </si>
  <si>
    <t>spaten</t>
  </si>
  <si>
    <t>kredithai</t>
  </si>
  <si>
    <t>entfernter</t>
  </si>
  <si>
    <t>direktem</t>
  </si>
  <si>
    <t>hohle</t>
  </si>
  <si>
    <t>verweigere</t>
  </si>
  <si>
    <t>hofes</t>
  </si>
  <si>
    <t>einschüchterung</t>
  </si>
  <si>
    <t>kriegspfad</t>
  </si>
  <si>
    <t>dichtgemacht</t>
  </si>
  <si>
    <t>ungeborenen</t>
  </si>
  <si>
    <t>wackelig</t>
  </si>
  <si>
    <t>chapo</t>
  </si>
  <si>
    <t>vorschlaghammer</t>
  </si>
  <si>
    <t>ballern</t>
  </si>
  <si>
    <t>peinlichkeit</t>
  </si>
  <si>
    <t>otaru-sama</t>
  </si>
  <si>
    <t>sachlich</t>
  </si>
  <si>
    <t>bekanntmachung</t>
  </si>
  <si>
    <t>zerbrochenen</t>
  </si>
  <si>
    <t>auweia</t>
  </si>
  <si>
    <t>feindlicher</t>
  </si>
  <si>
    <t>vietnamesen</t>
  </si>
  <si>
    <t>iceman</t>
  </si>
  <si>
    <t>ordentlicher</t>
  </si>
  <si>
    <t>unsrer</t>
  </si>
  <si>
    <t>arbeitslager</t>
  </si>
  <si>
    <t>heath</t>
  </si>
  <si>
    <t>gulasch</t>
  </si>
  <si>
    <t>frauenzimmer</t>
  </si>
  <si>
    <t>netflix-originalserie</t>
  </si>
  <si>
    <t>arnaud</t>
  </si>
  <si>
    <t>zapfen</t>
  </si>
  <si>
    <t>rumänisch</t>
  </si>
  <si>
    <t>eleganter</t>
  </si>
  <si>
    <t>berauschend</t>
  </si>
  <si>
    <t>murat</t>
  </si>
  <si>
    <t>eingraviert</t>
  </si>
  <si>
    <t>werkzeugkasten</t>
  </si>
  <si>
    <t>auftanken</t>
  </si>
  <si>
    <t>vorbestimmt</t>
  </si>
  <si>
    <t>sit</t>
  </si>
  <si>
    <t>nim</t>
  </si>
  <si>
    <t>erfindest</t>
  </si>
  <si>
    <t>ogami</t>
  </si>
  <si>
    <t>haynes</t>
  </si>
  <si>
    <t>gungellan</t>
  </si>
  <si>
    <t>bewerkstelligen</t>
  </si>
  <si>
    <t>stromnetz</t>
  </si>
  <si>
    <t>hartman</t>
  </si>
  <si>
    <t>trainerin</t>
  </si>
  <si>
    <t>funktionierende</t>
  </si>
  <si>
    <t>unverbesserlich</t>
  </si>
  <si>
    <t>erhalt</t>
  </si>
  <si>
    <t>schneiderin</t>
  </si>
  <si>
    <t>serbien</t>
  </si>
  <si>
    <t>krasser</t>
  </si>
  <si>
    <t>gynäkologe</t>
  </si>
  <si>
    <t>experimentelle</t>
  </si>
  <si>
    <t>geht`s</t>
  </si>
  <si>
    <t>grinch</t>
  </si>
  <si>
    <t>feuerleiter</t>
  </si>
  <si>
    <t>visuellen</t>
  </si>
  <si>
    <t>kobe</t>
  </si>
  <si>
    <t>sprengte</t>
  </si>
  <si>
    <t>ringer</t>
  </si>
  <si>
    <t>überfuhr</t>
  </si>
  <si>
    <t>krauts</t>
  </si>
  <si>
    <t>supernatural</t>
  </si>
  <si>
    <t>kontostand</t>
  </si>
  <si>
    <t>axe</t>
  </si>
  <si>
    <t>beharrlich</t>
  </si>
  <si>
    <t>spirit</t>
  </si>
  <si>
    <t>bemüh</t>
  </si>
  <si>
    <t>überlastung</t>
  </si>
  <si>
    <t>koppel</t>
  </si>
  <si>
    <t>barrel</t>
  </si>
  <si>
    <t>zanken</t>
  </si>
  <si>
    <t>minderheiten</t>
  </si>
  <si>
    <t>tilgen</t>
  </si>
  <si>
    <t>vorzulesen</t>
  </si>
  <si>
    <t>zurückzurufen</t>
  </si>
  <si>
    <t>wittern</t>
  </si>
  <si>
    <t>norrell</t>
  </si>
  <si>
    <t>queenie</t>
  </si>
  <si>
    <t>maximus</t>
  </si>
  <si>
    <t>lear</t>
  </si>
  <si>
    <t>ikarus</t>
  </si>
  <si>
    <t>turban</t>
  </si>
  <si>
    <t>calhoun</t>
  </si>
  <si>
    <t>drogenproblem</t>
  </si>
  <si>
    <t>bäuche</t>
  </si>
  <si>
    <t>mehrerer</t>
  </si>
  <si>
    <t>parallele</t>
  </si>
  <si>
    <t>gekühlt</t>
  </si>
  <si>
    <t>türklingeln</t>
  </si>
  <si>
    <t>reinkommst</t>
  </si>
  <si>
    <t>lösten</t>
  </si>
  <si>
    <t>abgesprungen</t>
  </si>
  <si>
    <t>weiblichkeit</t>
  </si>
  <si>
    <t>sonderbare</t>
  </si>
  <si>
    <t>holbrook</t>
  </si>
  <si>
    <t>umschweife</t>
  </si>
  <si>
    <t>defense</t>
  </si>
  <si>
    <t>kühlhaus</t>
  </si>
  <si>
    <t>callgirl</t>
  </si>
  <si>
    <t>heibt</t>
  </si>
  <si>
    <t>stöpsel</t>
  </si>
  <si>
    <t>roan</t>
  </si>
  <si>
    <t>spinn</t>
  </si>
  <si>
    <t>schlechtere</t>
  </si>
  <si>
    <t>autowerkstatt</t>
  </si>
  <si>
    <t>bestattung</t>
  </si>
  <si>
    <t>murphys</t>
  </si>
  <si>
    <t>nenner</t>
  </si>
  <si>
    <t>schwangerschaftstest</t>
  </si>
  <si>
    <t>synchron</t>
  </si>
  <si>
    <t>nighthorse</t>
  </si>
  <si>
    <t>transplantat</t>
  </si>
  <si>
    <t>commandant</t>
  </si>
  <si>
    <t>gesandte</t>
  </si>
  <si>
    <t>naturlich</t>
  </si>
  <si>
    <t>einlauf</t>
  </si>
  <si>
    <t>schleuder</t>
  </si>
  <si>
    <t>prägen</t>
  </si>
  <si>
    <t>graut</t>
  </si>
  <si>
    <t>erfanden</t>
  </si>
  <si>
    <t>gezaubert</t>
  </si>
  <si>
    <t>lomax</t>
  </si>
  <si>
    <t>séance</t>
  </si>
  <si>
    <t>reade</t>
  </si>
  <si>
    <t>drehort</t>
  </si>
  <si>
    <t>luz</t>
  </si>
  <si>
    <t>ew</t>
  </si>
  <si>
    <t>strafrechtlich</t>
  </si>
  <si>
    <t>bezwecken</t>
  </si>
  <si>
    <t>verabscheuen</t>
  </si>
  <si>
    <t>wirtschaftlichen</t>
  </si>
  <si>
    <t>zweitbeste</t>
  </si>
  <si>
    <t>höfliche</t>
  </si>
  <si>
    <t>trauernden</t>
  </si>
  <si>
    <t>schürzenjäger</t>
  </si>
  <si>
    <t>eisig</t>
  </si>
  <si>
    <t>schmaler</t>
  </si>
  <si>
    <t>berät</t>
  </si>
  <si>
    <t>friedensrichter</t>
  </si>
  <si>
    <t>rekonstruktion</t>
  </si>
  <si>
    <t>gluck</t>
  </si>
  <si>
    <t>pfannen</t>
  </si>
  <si>
    <t>verfaulen</t>
  </si>
  <si>
    <t>rojas</t>
  </si>
  <si>
    <t>yael</t>
  </si>
  <si>
    <t>sezieren</t>
  </si>
  <si>
    <t>rhetorische</t>
  </si>
  <si>
    <t>dämpfen</t>
  </si>
  <si>
    <t>vorhandenen</t>
  </si>
  <si>
    <t>weltherrschaft</t>
  </si>
  <si>
    <t>hundehütte</t>
  </si>
  <si>
    <t>denton</t>
  </si>
  <si>
    <t>beklagte</t>
  </si>
  <si>
    <t>dany</t>
  </si>
  <si>
    <t>quickie</t>
  </si>
  <si>
    <t>ga</t>
  </si>
  <si>
    <t>qin</t>
  </si>
  <si>
    <t>verunsichern</t>
  </si>
  <si>
    <t>fallschirme</t>
  </si>
  <si>
    <t>oral</t>
  </si>
  <si>
    <t>krücke</t>
  </si>
  <si>
    <t>haschisch</t>
  </si>
  <si>
    <t>abriegelung</t>
  </si>
  <si>
    <t>chopper</t>
  </si>
  <si>
    <t>schmorbraten</t>
  </si>
  <si>
    <t>fatima</t>
  </si>
  <si>
    <t>verschwendete</t>
  </si>
  <si>
    <t>masterson</t>
  </si>
  <si>
    <t>wasserloch</t>
  </si>
  <si>
    <t>nomad</t>
  </si>
  <si>
    <t>abwickeln</t>
  </si>
  <si>
    <t>hieraus</t>
  </si>
  <si>
    <t>knightley</t>
  </si>
  <si>
    <t>laverne</t>
  </si>
  <si>
    <t>ewings</t>
  </si>
  <si>
    <t>lästern</t>
  </si>
  <si>
    <t>gillis</t>
  </si>
  <si>
    <t>preisverleihung</t>
  </si>
  <si>
    <t>peanutbutter</t>
  </si>
  <si>
    <t>told</t>
  </si>
  <si>
    <t>waggons</t>
  </si>
  <si>
    <t>unzulässig</t>
  </si>
  <si>
    <t>durchlesen</t>
  </si>
  <si>
    <t>mitreißen</t>
  </si>
  <si>
    <t>grafschaft</t>
  </si>
  <si>
    <t>erkundige</t>
  </si>
  <si>
    <t>und-</t>
  </si>
  <si>
    <t>mörderische</t>
  </si>
  <si>
    <t>zwanghaft</t>
  </si>
  <si>
    <t>verarzten</t>
  </si>
  <si>
    <t>hagrid</t>
  </si>
  <si>
    <t>hinreißen</t>
  </si>
  <si>
    <t>schniedel</t>
  </si>
  <si>
    <t>wiederkehr</t>
  </si>
  <si>
    <t>bestmögliche</t>
  </si>
  <si>
    <t>gebremst</t>
  </si>
  <si>
    <t>rumpel</t>
  </si>
  <si>
    <t>muad</t>
  </si>
  <si>
    <t>sen</t>
  </si>
  <si>
    <t>schwertes</t>
  </si>
  <si>
    <t>auszufüllen</t>
  </si>
  <si>
    <t>eggs</t>
  </si>
  <si>
    <t>abstrich</t>
  </si>
  <si>
    <t>runterbringen</t>
  </si>
  <si>
    <t>suu</t>
  </si>
  <si>
    <t>gedealt</t>
  </si>
  <si>
    <t>weitesten</t>
  </si>
  <si>
    <t>fabelhafter</t>
  </si>
  <si>
    <t>vorzeitige</t>
  </si>
  <si>
    <t>gebührend</t>
  </si>
  <si>
    <t>pünktchen</t>
  </si>
  <si>
    <t>forderten</t>
  </si>
  <si>
    <t>überschwemmung</t>
  </si>
  <si>
    <t>erfundene</t>
  </si>
  <si>
    <t>hingegeben</t>
  </si>
  <si>
    <t>kotzbrocken</t>
  </si>
  <si>
    <t>rosamund</t>
  </si>
  <si>
    <t>salzburg</t>
  </si>
  <si>
    <t>brennendes</t>
  </si>
  <si>
    <t>gürtellinie</t>
  </si>
  <si>
    <t>bagwell</t>
  </si>
  <si>
    <t>gcpd</t>
  </si>
  <si>
    <t>wandere</t>
  </si>
  <si>
    <t>gesegneten</t>
  </si>
  <si>
    <t>maskiert</t>
  </si>
  <si>
    <t>vorzuschlagen</t>
  </si>
  <si>
    <t>onn</t>
  </si>
  <si>
    <t>supernova</t>
  </si>
  <si>
    <t>subraum</t>
  </si>
  <si>
    <t>pulaski</t>
  </si>
  <si>
    <t>alton</t>
  </si>
  <si>
    <t>partridge</t>
  </si>
  <si>
    <t>anzugträger</t>
  </si>
  <si>
    <t>gypsy</t>
  </si>
  <si>
    <t>munsters</t>
  </si>
  <si>
    <t>wissenschaften</t>
  </si>
  <si>
    <t>kolleginnen</t>
  </si>
  <si>
    <t>mitschuldig</t>
  </si>
  <si>
    <t>ungenau</t>
  </si>
  <si>
    <t>entfesselt</t>
  </si>
  <si>
    <t>pfade</t>
  </si>
  <si>
    <t>baseballspieler</t>
  </si>
  <si>
    <t>stethoskop</t>
  </si>
  <si>
    <t>karina</t>
  </si>
  <si>
    <t>schnaufen</t>
  </si>
  <si>
    <t>mechanischen</t>
  </si>
  <si>
    <t>lepra</t>
  </si>
  <si>
    <t>glasklar</t>
  </si>
  <si>
    <t>fungieren</t>
  </si>
  <si>
    <t>vermassel</t>
  </si>
  <si>
    <t>magengeschwür</t>
  </si>
  <si>
    <t>prohibition</t>
  </si>
  <si>
    <t>verbleibenden</t>
  </si>
  <si>
    <t>peaks</t>
  </si>
  <si>
    <t>spotten</t>
  </si>
  <si>
    <t>abreist</t>
  </si>
  <si>
    <t>charisma</t>
  </si>
  <si>
    <t>taifun</t>
  </si>
  <si>
    <t>cha-cha-cha</t>
  </si>
  <si>
    <t>cubs</t>
  </si>
  <si>
    <t>geigenmusik</t>
  </si>
  <si>
    <t>geschmückt</t>
  </si>
  <si>
    <t>schrecklichste</t>
  </si>
  <si>
    <t>germanen</t>
  </si>
  <si>
    <t>zynismus</t>
  </si>
  <si>
    <t>tricia</t>
  </si>
  <si>
    <t>minos</t>
  </si>
  <si>
    <t>gringos</t>
  </si>
  <si>
    <t>nairobi</t>
  </si>
  <si>
    <t>rotz</t>
  </si>
  <si>
    <t>massenmord</t>
  </si>
  <si>
    <t>ideologie</t>
  </si>
  <si>
    <t>übte</t>
  </si>
  <si>
    <t>ha-ha-ha</t>
  </si>
  <si>
    <t>zoidberg</t>
  </si>
  <si>
    <t>behaupteten</t>
  </si>
  <si>
    <t>seriöse</t>
  </si>
  <si>
    <t>mutmaßlichen</t>
  </si>
  <si>
    <t>deluxe</t>
  </si>
  <si>
    <t>riegeln</t>
  </si>
  <si>
    <t>wagenheber</t>
  </si>
  <si>
    <t>nichtstun</t>
  </si>
  <si>
    <t>rafa</t>
  </si>
  <si>
    <t>fagin</t>
  </si>
  <si>
    <t>zuckerguss</t>
  </si>
  <si>
    <t>führungskräfte</t>
  </si>
  <si>
    <t>ausborgen</t>
  </si>
  <si>
    <t>angespült</t>
  </si>
  <si>
    <t>drücker</t>
  </si>
  <si>
    <t>chamäleon</t>
  </si>
  <si>
    <t>thawne</t>
  </si>
  <si>
    <t>atomkrieg</t>
  </si>
  <si>
    <t>ems</t>
  </si>
  <si>
    <t>lasso</t>
  </si>
  <si>
    <t>sicherheitskräfte</t>
  </si>
  <si>
    <t>klitzekleines</t>
  </si>
  <si>
    <t>islands</t>
  </si>
  <si>
    <t>angelaufen</t>
  </si>
  <si>
    <t>kondition</t>
  </si>
  <si>
    <t>litten</t>
  </si>
  <si>
    <t>carlitos</t>
  </si>
  <si>
    <t>photonentorpedos</t>
  </si>
  <si>
    <t>beschaffe</t>
  </si>
  <si>
    <t>ermutige</t>
  </si>
  <si>
    <t>schlüsselloch</t>
  </si>
  <si>
    <t>flanders</t>
  </si>
  <si>
    <t>mischling</t>
  </si>
  <si>
    <t>filet</t>
  </si>
  <si>
    <t>beweggründe</t>
  </si>
  <si>
    <t>sameer</t>
  </si>
  <si>
    <t>anthrax</t>
  </si>
  <si>
    <t>dramen</t>
  </si>
  <si>
    <t>fähige</t>
  </si>
  <si>
    <t>kroll</t>
  </si>
  <si>
    <t>geständnisse</t>
  </si>
  <si>
    <t>kaffe</t>
  </si>
  <si>
    <t>polk</t>
  </si>
  <si>
    <t>versiehst</t>
  </si>
  <si>
    <t>hommage</t>
  </si>
  <si>
    <t>diebesgut</t>
  </si>
  <si>
    <t>mordverdacht</t>
  </si>
  <si>
    <t>warwick</t>
  </si>
  <si>
    <t>israelischen</t>
  </si>
  <si>
    <t>markie</t>
  </si>
  <si>
    <t>tschitti</t>
  </si>
  <si>
    <t>umwandeln</t>
  </si>
  <si>
    <t>rechtschreibung</t>
  </si>
  <si>
    <t>fraktion</t>
  </si>
  <si>
    <t>ke</t>
  </si>
  <si>
    <t>brandzeichen</t>
  </si>
  <si>
    <t>perrin</t>
  </si>
  <si>
    <t>cetera</t>
  </si>
  <si>
    <t>logischen</t>
  </si>
  <si>
    <t>messers</t>
  </si>
  <si>
    <t>einfältig</t>
  </si>
  <si>
    <t>rückreise</t>
  </si>
  <si>
    <t>aktualisieren</t>
  </si>
  <si>
    <t>prächtiger</t>
  </si>
  <si>
    <t>besprechungen</t>
  </si>
  <si>
    <t>anstrengende</t>
  </si>
  <si>
    <t>conroy</t>
  </si>
  <si>
    <t>aguilar</t>
  </si>
  <si>
    <t>behüten</t>
  </si>
  <si>
    <t>umhören</t>
  </si>
  <si>
    <t>wüsten</t>
  </si>
  <si>
    <t>lagune</t>
  </si>
  <si>
    <t>colors</t>
  </si>
  <si>
    <t>einmarschieren</t>
  </si>
  <si>
    <t>governor</t>
  </si>
  <si>
    <t>einwilligen</t>
  </si>
  <si>
    <t>blackstone</t>
  </si>
  <si>
    <t>petroleum</t>
  </si>
  <si>
    <t>basierte</t>
  </si>
  <si>
    <t>vorweisen</t>
  </si>
  <si>
    <t>ilse</t>
  </si>
  <si>
    <t>zicken</t>
  </si>
  <si>
    <t>zeitdruck</t>
  </si>
  <si>
    <t>donnerstagabend</t>
  </si>
  <si>
    <t>stricke</t>
  </si>
  <si>
    <t>frontal</t>
  </si>
  <si>
    <t>runtergeht</t>
  </si>
  <si>
    <t>schmale</t>
  </si>
  <si>
    <t>pressesprecher</t>
  </si>
  <si>
    <t>schamhaare</t>
  </si>
  <si>
    <t>unüblich</t>
  </si>
  <si>
    <t>unwiderruflich</t>
  </si>
  <si>
    <t>klarkommt</t>
  </si>
  <si>
    <t>versteinert</t>
  </si>
  <si>
    <t>gewalteinwirkung</t>
  </si>
  <si>
    <t>durchgeknallten</t>
  </si>
  <si>
    <t>petes</t>
  </si>
  <si>
    <t>oberkellner</t>
  </si>
  <si>
    <t>navigieren</t>
  </si>
  <si>
    <t>tapferes</t>
  </si>
  <si>
    <t>kau</t>
  </si>
  <si>
    <t>deans</t>
  </si>
  <si>
    <t>walross</t>
  </si>
  <si>
    <t>beizuwohnen</t>
  </si>
  <si>
    <t>unterarm</t>
  </si>
  <si>
    <t>ritzen</t>
  </si>
  <si>
    <t>relikt</t>
  </si>
  <si>
    <t>sicherheitsrisiko</t>
  </si>
  <si>
    <t>akzeptanz</t>
  </si>
  <si>
    <t>plötzlicher</t>
  </si>
  <si>
    <t>unterbrechungen</t>
  </si>
  <si>
    <t>schussweite</t>
  </si>
  <si>
    <t>profile</t>
  </si>
  <si>
    <t>schlauberger</t>
  </si>
  <si>
    <t>radfahren</t>
  </si>
  <si>
    <t>ucla</t>
  </si>
  <si>
    <t>backpage</t>
  </si>
  <si>
    <t>airwolf</t>
  </si>
  <si>
    <t>borgias</t>
  </si>
  <si>
    <t>buchs</t>
  </si>
  <si>
    <t>gettysburg</t>
  </si>
  <si>
    <t>behind</t>
  </si>
  <si>
    <t>empfängnis</t>
  </si>
  <si>
    <t>meerschweinchen</t>
  </si>
  <si>
    <t>feindlich</t>
  </si>
  <si>
    <t>schändlich</t>
  </si>
  <si>
    <t>fillory</t>
  </si>
  <si>
    <t>mumble</t>
  </si>
  <si>
    <t>robbi</t>
  </si>
  <si>
    <t>savoy</t>
  </si>
  <si>
    <t>basislager</t>
  </si>
  <si>
    <t>ihrs</t>
  </si>
  <si>
    <t>fünfjährigen</t>
  </si>
  <si>
    <t>statisten</t>
  </si>
  <si>
    <t>lakers</t>
  </si>
  <si>
    <t>tablet</t>
  </si>
  <si>
    <t>transformation</t>
  </si>
  <si>
    <t>donnell</t>
  </si>
  <si>
    <t>euretwegen</t>
  </si>
  <si>
    <t>terrorisieren</t>
  </si>
  <si>
    <t>fata</t>
  </si>
  <si>
    <t>distanzieren</t>
  </si>
  <si>
    <t>ställen</t>
  </si>
  <si>
    <t>tierischen</t>
  </si>
  <si>
    <t>jiro</t>
  </si>
  <si>
    <t>abservieren</t>
  </si>
  <si>
    <t>kinderstimmen</t>
  </si>
  <si>
    <t>sharif</t>
  </si>
  <si>
    <t>fallschirmspringer</t>
  </si>
  <si>
    <t>energiefeld</t>
  </si>
  <si>
    <t>dienstagabend</t>
  </si>
  <si>
    <t>leitern</t>
  </si>
  <si>
    <t>strategischen</t>
  </si>
  <si>
    <t>cy</t>
  </si>
  <si>
    <t>napalm</t>
  </si>
  <si>
    <t>csi</t>
  </si>
  <si>
    <t>aftershave</t>
  </si>
  <si>
    <t>vorbeigebracht</t>
  </si>
  <si>
    <t>brahms</t>
  </si>
  <si>
    <t>bildmaterial</t>
  </si>
  <si>
    <t>externe</t>
  </si>
  <si>
    <t>vortritt</t>
  </si>
  <si>
    <t>knick</t>
  </si>
  <si>
    <t>hagel</t>
  </si>
  <si>
    <t>verüben</t>
  </si>
  <si>
    <t>kuß</t>
  </si>
  <si>
    <t>muppets</t>
  </si>
  <si>
    <t>slums</t>
  </si>
  <si>
    <t>maury</t>
  </si>
  <si>
    <t>wegbeschreibung</t>
  </si>
  <si>
    <t>reingeht</t>
  </si>
  <si>
    <t>deponieren</t>
  </si>
  <si>
    <t>wiegst</t>
  </si>
  <si>
    <t>caddy</t>
  </si>
  <si>
    <t>unerfreulich</t>
  </si>
  <si>
    <t>ingram</t>
  </si>
  <si>
    <t>maren</t>
  </si>
  <si>
    <t>fixieren</t>
  </si>
  <si>
    <t>dussel</t>
  </si>
  <si>
    <t>auslöste</t>
  </si>
  <si>
    <t>genauestens</t>
  </si>
  <si>
    <t>attentate</t>
  </si>
  <si>
    <t>regulären</t>
  </si>
  <si>
    <t>atemwege</t>
  </si>
  <si>
    <t>hammelburg</t>
  </si>
  <si>
    <t>hjørdis</t>
  </si>
  <si>
    <t>kostspielig</t>
  </si>
  <si>
    <t>pilgrim</t>
  </si>
  <si>
    <t>bratva</t>
  </si>
  <si>
    <t>joana</t>
  </si>
  <si>
    <t>herkriegen</t>
  </si>
  <si>
    <t>heruntergeladen</t>
  </si>
  <si>
    <t>planmäßig</t>
  </si>
  <si>
    <t>ohrläppchen</t>
  </si>
  <si>
    <t>geber</t>
  </si>
  <si>
    <t>gutscheine</t>
  </si>
  <si>
    <t>winthrop</t>
  </si>
  <si>
    <t>unbeaufsichtigt</t>
  </si>
  <si>
    <t>gestiftet</t>
  </si>
  <si>
    <t>misere</t>
  </si>
  <si>
    <t>g.i.</t>
  </si>
  <si>
    <t>entsenden</t>
  </si>
  <si>
    <t>anfasse</t>
  </si>
  <si>
    <t>erdnuss</t>
  </si>
  <si>
    <t>heulend</t>
  </si>
  <si>
    <t>fußabdruck</t>
  </si>
  <si>
    <t>bestrafst</t>
  </si>
  <si>
    <t>rute</t>
  </si>
  <si>
    <t>voreilige</t>
  </si>
  <si>
    <t>aufgeblasener</t>
  </si>
  <si>
    <t>mas</t>
  </si>
  <si>
    <t>zerdrückt</t>
  </si>
  <si>
    <t>beer</t>
  </si>
  <si>
    <t>hungriger</t>
  </si>
  <si>
    <t>früheres</t>
  </si>
  <si>
    <t>abzubauen</t>
  </si>
  <si>
    <t>verschissene</t>
  </si>
  <si>
    <t>akademische</t>
  </si>
  <si>
    <t>turnen</t>
  </si>
  <si>
    <t>davonzulaufen</t>
  </si>
  <si>
    <t>fife</t>
  </si>
  <si>
    <t>tetsuo</t>
  </si>
  <si>
    <t>einlass</t>
  </si>
  <si>
    <t>neugeborene</t>
  </si>
  <si>
    <t>minze</t>
  </si>
  <si>
    <t>herauskam</t>
  </si>
  <si>
    <t>pflügen</t>
  </si>
  <si>
    <t>einnahme</t>
  </si>
  <si>
    <t>luthors</t>
  </si>
  <si>
    <t>blast</t>
  </si>
  <si>
    <t>lyrik</t>
  </si>
  <si>
    <t>spiegeleier</t>
  </si>
  <si>
    <t>sexistisch</t>
  </si>
  <si>
    <t>gerissene</t>
  </si>
  <si>
    <t>vietcong</t>
  </si>
  <si>
    <t>rösten</t>
  </si>
  <si>
    <t>gezuckt</t>
  </si>
  <si>
    <t>kriegsgefangene</t>
  </si>
  <si>
    <t>schumann</t>
  </si>
  <si>
    <t>cookies</t>
  </si>
  <si>
    <t>raffinerie</t>
  </si>
  <si>
    <t>testperson</t>
  </si>
  <si>
    <t>unüberlegtes</t>
  </si>
  <si>
    <t>festzulegen</t>
  </si>
  <si>
    <t>angeschissen</t>
  </si>
  <si>
    <t>auszustellen</t>
  </si>
  <si>
    <t>quagmire</t>
  </si>
  <si>
    <t>skelette</t>
  </si>
  <si>
    <t>effektive</t>
  </si>
  <si>
    <t>wacker</t>
  </si>
  <si>
    <t>fußballer</t>
  </si>
  <si>
    <t>reiss</t>
  </si>
  <si>
    <t>angelächelt</t>
  </si>
  <si>
    <t>eingeloggt</t>
  </si>
  <si>
    <t>bergmann</t>
  </si>
  <si>
    <t>unterworfen</t>
  </si>
  <si>
    <t>ausgemalt</t>
  </si>
  <si>
    <t>rechtsbeistand</t>
  </si>
  <si>
    <t>tannenbaum</t>
  </si>
  <si>
    <t>angerannt</t>
  </si>
  <si>
    <t>eingegriffen</t>
  </si>
  <si>
    <t>hochrangigen</t>
  </si>
  <si>
    <t>silke</t>
  </si>
  <si>
    <t>schwesternschaft</t>
  </si>
  <si>
    <t>krawall</t>
  </si>
  <si>
    <t>kontrollfreak</t>
  </si>
  <si>
    <t>akkordeon</t>
  </si>
  <si>
    <t>whitaker</t>
  </si>
  <si>
    <t>beastmaster</t>
  </si>
  <si>
    <t>riesenerfolg</t>
  </si>
  <si>
    <t>bajoranische</t>
  </si>
  <si>
    <t>vollkommener</t>
  </si>
  <si>
    <t>verwechsle</t>
  </si>
  <si>
    <t>weggeräumt</t>
  </si>
  <si>
    <t>müllmann</t>
  </si>
  <si>
    <t>mäuler</t>
  </si>
  <si>
    <t>eingangshalle</t>
  </si>
  <si>
    <t>durchgeben</t>
  </si>
  <si>
    <t>lakritze</t>
  </si>
  <si>
    <t>gegenständen</t>
  </si>
  <si>
    <t>lupo</t>
  </si>
  <si>
    <t>chavez</t>
  </si>
  <si>
    <t>kongresses</t>
  </si>
  <si>
    <t>theaters</t>
  </si>
  <si>
    <t>wertlosen</t>
  </si>
  <si>
    <t>dünnem</t>
  </si>
  <si>
    <t>vogler</t>
  </si>
  <si>
    <t>vorschlug</t>
  </si>
  <si>
    <t>vordergrund</t>
  </si>
  <si>
    <t>schrumpft</t>
  </si>
  <si>
    <t>winkler</t>
  </si>
  <si>
    <t>100-mal</t>
  </si>
  <si>
    <t>hinschmeißen</t>
  </si>
  <si>
    <t>synthetische</t>
  </si>
  <si>
    <t>alvey</t>
  </si>
  <si>
    <t>fahrwerk</t>
  </si>
  <si>
    <t>feldman</t>
  </si>
  <si>
    <t>schatzkarte</t>
  </si>
  <si>
    <t>angesehene</t>
  </si>
  <si>
    <t>gardiner</t>
  </si>
  <si>
    <t>schaukelstuhl</t>
  </si>
  <si>
    <t>junction</t>
  </si>
  <si>
    <t>williamsburg</t>
  </si>
  <si>
    <t>eiswasser</t>
  </si>
  <si>
    <t>foot</t>
  </si>
  <si>
    <t>ingwer</t>
  </si>
  <si>
    <t>großartigste</t>
  </si>
  <si>
    <t>murdoc</t>
  </si>
  <si>
    <t>wühlt</t>
  </si>
  <si>
    <t>zweitausend</t>
  </si>
  <si>
    <t>getürmt</t>
  </si>
  <si>
    <t>kaufleute</t>
  </si>
  <si>
    <t>rayna</t>
  </si>
  <si>
    <t>elya</t>
  </si>
  <si>
    <t>einzelteile</t>
  </si>
  <si>
    <t>ausgesaugt</t>
  </si>
  <si>
    <t>seelische</t>
  </si>
  <si>
    <t>differenz</t>
  </si>
  <si>
    <t>granada</t>
  </si>
  <si>
    <t>schätz</t>
  </si>
  <si>
    <t>plump</t>
  </si>
  <si>
    <t>niedlichen</t>
  </si>
  <si>
    <t>abwägen</t>
  </si>
  <si>
    <t>erschaffung</t>
  </si>
  <si>
    <t>spartaner</t>
  </si>
  <si>
    <t>reagierten</t>
  </si>
  <si>
    <t>volltanken</t>
  </si>
  <si>
    <t>serben</t>
  </si>
  <si>
    <t>verwesung</t>
  </si>
  <si>
    <t>xanax</t>
  </si>
  <si>
    <t>liebeslied</t>
  </si>
  <si>
    <t>bedeutendes</t>
  </si>
  <si>
    <t>walnüsse</t>
  </si>
  <si>
    <t>aber-</t>
  </si>
  <si>
    <t>widerst</t>
  </si>
  <si>
    <t>rappen</t>
  </si>
  <si>
    <t>biggs</t>
  </si>
  <si>
    <t>familienname</t>
  </si>
  <si>
    <t>deko</t>
  </si>
  <si>
    <t>verschwörungstheorien</t>
  </si>
  <si>
    <t>ausgefragt</t>
  </si>
  <si>
    <t>elder</t>
  </si>
  <si>
    <t>kobol</t>
  </si>
  <si>
    <t>göteborg</t>
  </si>
  <si>
    <t>etablieren</t>
  </si>
  <si>
    <t>zurückgreifen</t>
  </si>
  <si>
    <t>stadträtin</t>
  </si>
  <si>
    <t>wohnhaft</t>
  </si>
  <si>
    <t>wirkungsvoll</t>
  </si>
  <si>
    <t>weltordnung</t>
  </si>
  <si>
    <t>untier</t>
  </si>
  <si>
    <t>m-m</t>
  </si>
  <si>
    <t>exklusiven</t>
  </si>
  <si>
    <t>donahue</t>
  </si>
  <si>
    <t>überprüften</t>
  </si>
  <si>
    <t>schlaflied</t>
  </si>
  <si>
    <t>antiquität</t>
  </si>
  <si>
    <t>aufhebens</t>
  </si>
  <si>
    <t>rittern</t>
  </si>
  <si>
    <t>flechten</t>
  </si>
  <si>
    <t>reingefahren</t>
  </si>
  <si>
    <t>kommentator</t>
  </si>
  <si>
    <t>spritzte</t>
  </si>
  <si>
    <t>zeche</t>
  </si>
  <si>
    <t>gesprächspartner</t>
  </si>
  <si>
    <t>erstklassiges</t>
  </si>
  <si>
    <t>schramme</t>
  </si>
  <si>
    <t>zeitungsartikel</t>
  </si>
  <si>
    <t>empörend</t>
  </si>
  <si>
    <t>übereifrig</t>
  </si>
  <si>
    <t>ausgepeitscht</t>
  </si>
  <si>
    <t>verirrte</t>
  </si>
  <si>
    <t>sellers</t>
  </si>
  <si>
    <t>mitbringe</t>
  </si>
  <si>
    <t>bekloppten</t>
  </si>
  <si>
    <t>kreta</t>
  </si>
  <si>
    <t>pictures</t>
  </si>
  <si>
    <t>otaru-kun</t>
  </si>
  <si>
    <t>garn</t>
  </si>
  <si>
    <t>mitgefahren</t>
  </si>
  <si>
    <t>egan</t>
  </si>
  <si>
    <t>westminster</t>
  </si>
  <si>
    <t>antichrist</t>
  </si>
  <si>
    <t>dragons</t>
  </si>
  <si>
    <t>habib</t>
  </si>
  <si>
    <t>zerriss</t>
  </si>
  <si>
    <t>laber</t>
  </si>
  <si>
    <t>este</t>
  </si>
  <si>
    <t>prompt</t>
  </si>
  <si>
    <t>hausnummer</t>
  </si>
  <si>
    <t>frachtschiff</t>
  </si>
  <si>
    <t>mitzuspielen</t>
  </si>
  <si>
    <t>bullet</t>
  </si>
  <si>
    <t>talon</t>
  </si>
  <si>
    <t>mentorin</t>
  </si>
  <si>
    <t>dürren</t>
  </si>
  <si>
    <t>manipulierte</t>
  </si>
  <si>
    <t>aldrin</t>
  </si>
  <si>
    <t>kellnerinnen</t>
  </si>
  <si>
    <t>mustern</t>
  </si>
  <si>
    <t>anhielt</t>
  </si>
  <si>
    <t>vorgeschrieben</t>
  </si>
  <si>
    <t>brüderlichkeit</t>
  </si>
  <si>
    <t>work</t>
  </si>
  <si>
    <t>sentinel</t>
  </si>
  <si>
    <t>tupfer</t>
  </si>
  <si>
    <t>herzmassage</t>
  </si>
  <si>
    <t>dow</t>
  </si>
  <si>
    <t>bellick</t>
  </si>
  <si>
    <t>krebse</t>
  </si>
  <si>
    <t>übernatürliches</t>
  </si>
  <si>
    <t>christlich</t>
  </si>
  <si>
    <t>verteilte</t>
  </si>
  <si>
    <t>interessierten</t>
  </si>
  <si>
    <t>hunk</t>
  </si>
  <si>
    <t>gravitation</t>
  </si>
  <si>
    <t>anson</t>
  </si>
  <si>
    <t>dosierung</t>
  </si>
  <si>
    <t>zugibst</t>
  </si>
  <si>
    <t>wichsern</t>
  </si>
  <si>
    <t>hülse</t>
  </si>
  <si>
    <t>ungehobelt</t>
  </si>
  <si>
    <t>weggekommen</t>
  </si>
  <si>
    <t>papperlapapp</t>
  </si>
  <si>
    <t>horch</t>
  </si>
  <si>
    <t>verschmolzen</t>
  </si>
  <si>
    <t>anzurühren</t>
  </si>
  <si>
    <t>landeerlaubnis</t>
  </si>
  <si>
    <t>mailen</t>
  </si>
  <si>
    <t>gespann</t>
  </si>
  <si>
    <t>kaltem</t>
  </si>
  <si>
    <t>zündete</t>
  </si>
  <si>
    <t>kürzlichen</t>
  </si>
  <si>
    <t>beisein</t>
  </si>
  <si>
    <t>u.s.s.</t>
  </si>
  <si>
    <t>breakfast</t>
  </si>
  <si>
    <t>kühlbox</t>
  </si>
  <si>
    <t>abtrünnigen</t>
  </si>
  <si>
    <t>klinischen</t>
  </si>
  <si>
    <t>langdon</t>
  </si>
  <si>
    <t>geltung</t>
  </si>
  <si>
    <t>müllwagen</t>
  </si>
  <si>
    <t>fûr</t>
  </si>
  <si>
    <t>augenarzt</t>
  </si>
  <si>
    <t>petrelli</t>
  </si>
  <si>
    <t>versammlungen</t>
  </si>
  <si>
    <t>schusswaffe</t>
  </si>
  <si>
    <t>horen</t>
  </si>
  <si>
    <t>shooter</t>
  </si>
  <si>
    <t>eilte</t>
  </si>
  <si>
    <t>vorzuweisen</t>
  </si>
  <si>
    <t>revision</t>
  </si>
  <si>
    <t>schularbeiten</t>
  </si>
  <si>
    <t>drogenabhängig</t>
  </si>
  <si>
    <t>unpässlich</t>
  </si>
  <si>
    <t>unterhielt</t>
  </si>
  <si>
    <t>entflohenen</t>
  </si>
  <si>
    <t>peach</t>
  </si>
  <si>
    <t>mathematische</t>
  </si>
  <si>
    <t>fettig</t>
  </si>
  <si>
    <t>akkie</t>
  </si>
  <si>
    <t>cybermen</t>
  </si>
  <si>
    <t>bissspuren</t>
  </si>
  <si>
    <t>stimulieren</t>
  </si>
  <si>
    <t>gedenkst</t>
  </si>
  <si>
    <t>sentimentalität</t>
  </si>
  <si>
    <t>monkeys</t>
  </si>
  <si>
    <t>ehrbare</t>
  </si>
  <si>
    <t>identifizierten</t>
  </si>
  <si>
    <t>fessle</t>
  </si>
  <si>
    <t>gutgeht</t>
  </si>
  <si>
    <t>paddel</t>
  </si>
  <si>
    <t>kline</t>
  </si>
  <si>
    <t>begeisterte</t>
  </si>
  <si>
    <t>hazienda</t>
  </si>
  <si>
    <t>arcy</t>
  </si>
  <si>
    <t>samstagmorgen</t>
  </si>
  <si>
    <t>fänger</t>
  </si>
  <si>
    <t>monopoly</t>
  </si>
  <si>
    <t>münder</t>
  </si>
  <si>
    <t>rivalität</t>
  </si>
  <si>
    <t>algier</t>
  </si>
  <si>
    <t>ergebenheit</t>
  </si>
  <si>
    <t>flüssen</t>
  </si>
  <si>
    <t>hingesehen</t>
  </si>
  <si>
    <t>panzern</t>
  </si>
  <si>
    <t>girard</t>
  </si>
  <si>
    <t>keenan</t>
  </si>
  <si>
    <t>grundstein</t>
  </si>
  <si>
    <t>geburten</t>
  </si>
  <si>
    <t>schützte</t>
  </si>
  <si>
    <t>sohle</t>
  </si>
  <si>
    <t>kellerman</t>
  </si>
  <si>
    <t>legitime</t>
  </si>
  <si>
    <t>floki</t>
  </si>
  <si>
    <t>umbrachten</t>
  </si>
  <si>
    <t>treibsand</t>
  </si>
  <si>
    <t>hinterland</t>
  </si>
  <si>
    <t>erstsemester</t>
  </si>
  <si>
    <t>komischerweise</t>
  </si>
  <si>
    <t>wiederbekommen</t>
  </si>
  <si>
    <t>trojaner</t>
  </si>
  <si>
    <t>gebräu</t>
  </si>
  <si>
    <t>salinger</t>
  </si>
  <si>
    <t>abzureißen</t>
  </si>
  <si>
    <t>errungenschaften</t>
  </si>
  <si>
    <t>schicksale</t>
  </si>
  <si>
    <t>abbrennen</t>
  </si>
  <si>
    <t>madre</t>
  </si>
  <si>
    <t>farah</t>
  </si>
  <si>
    <t>prestige</t>
  </si>
  <si>
    <t>skull</t>
  </si>
  <si>
    <t>phosphor</t>
  </si>
  <si>
    <t>drover</t>
  </si>
  <si>
    <t>tunesien</t>
  </si>
  <si>
    <t>hoffnungsvoll</t>
  </si>
  <si>
    <t>hocke</t>
  </si>
  <si>
    <t>satoshi</t>
  </si>
  <si>
    <t>rehabilitiert</t>
  </si>
  <si>
    <t>euphorie</t>
  </si>
  <si>
    <t>stürmte</t>
  </si>
  <si>
    <t>justus</t>
  </si>
  <si>
    <t>abgewöhnen</t>
  </si>
  <si>
    <t>anreden</t>
  </si>
  <si>
    <t>trio</t>
  </si>
  <si>
    <t>elfi</t>
  </si>
  <si>
    <t>beisteuern</t>
  </si>
  <si>
    <t>wachsenden</t>
  </si>
  <si>
    <t>windes</t>
  </si>
  <si>
    <t>b.j.</t>
  </si>
  <si>
    <t>weltmeisterschaft</t>
  </si>
  <si>
    <t>forces</t>
  </si>
  <si>
    <t>hausverbot</t>
  </si>
  <si>
    <t>childs</t>
  </si>
  <si>
    <t>shaka</t>
  </si>
  <si>
    <t>kreation</t>
  </si>
  <si>
    <t>riesenproblem</t>
  </si>
  <si>
    <t>umringt</t>
  </si>
  <si>
    <t>unterbringung</t>
  </si>
  <si>
    <t>geflucht</t>
  </si>
  <si>
    <t>amélie</t>
  </si>
  <si>
    <t>schmeichler</t>
  </si>
  <si>
    <t>benötigten</t>
  </si>
  <si>
    <t>jaha</t>
  </si>
  <si>
    <t>mobilen</t>
  </si>
  <si>
    <t>geschworener</t>
  </si>
  <si>
    <t>ausgesorgt</t>
  </si>
  <si>
    <t>abdullah</t>
  </si>
  <si>
    <t>mayhew</t>
  </si>
  <si>
    <t>fortschrittlich</t>
  </si>
  <si>
    <t>schweinereien</t>
  </si>
  <si>
    <t>streitest</t>
  </si>
  <si>
    <t>premierministers</t>
  </si>
  <si>
    <t>samcro</t>
  </si>
  <si>
    <t>gehänselt</t>
  </si>
  <si>
    <t>fresst</t>
  </si>
  <si>
    <t>klitzekleine</t>
  </si>
  <si>
    <t>nevins</t>
  </si>
  <si>
    <t>ostens</t>
  </si>
  <si>
    <t>höllenfeuer</t>
  </si>
  <si>
    <t>pacht</t>
  </si>
  <si>
    <t>kaltgemacht</t>
  </si>
  <si>
    <t>hammel</t>
  </si>
  <si>
    <t>geohrfeigt</t>
  </si>
  <si>
    <t>puppenhaus</t>
  </si>
  <si>
    <t>brezeln</t>
  </si>
  <si>
    <t>behielten</t>
  </si>
  <si>
    <t>julies</t>
  </si>
  <si>
    <t>maxie</t>
  </si>
  <si>
    <t>schlichte</t>
  </si>
  <si>
    <t>unterschiedlicher</t>
  </si>
  <si>
    <t>einhörner</t>
  </si>
  <si>
    <t>monopol</t>
  </si>
  <si>
    <t>besoffener</t>
  </si>
  <si>
    <t>diesjährige</t>
  </si>
  <si>
    <t>zusatzartikel</t>
  </si>
  <si>
    <t>lobo</t>
  </si>
  <si>
    <t>rassistische</t>
  </si>
  <si>
    <t>vicente</t>
  </si>
  <si>
    <t>schuldgefühl</t>
  </si>
  <si>
    <t>astronomie</t>
  </si>
  <si>
    <t>lucio</t>
  </si>
  <si>
    <t>gehangen</t>
  </si>
  <si>
    <t>intimen</t>
  </si>
  <si>
    <t>intellektueller</t>
  </si>
  <si>
    <t>geschlechtskrankheit</t>
  </si>
  <si>
    <t>katzenfutter</t>
  </si>
  <si>
    <t>aufzufallen</t>
  </si>
  <si>
    <t>wassermann</t>
  </si>
  <si>
    <t>perversion</t>
  </si>
  <si>
    <t>patentante</t>
  </si>
  <si>
    <t>erbeutet</t>
  </si>
  <si>
    <t>riza</t>
  </si>
  <si>
    <t>landschaften</t>
  </si>
  <si>
    <t>äpfeln</t>
  </si>
  <si>
    <t>brüll</t>
  </si>
  <si>
    <t>tourismus</t>
  </si>
  <si>
    <t>hochrangige</t>
  </si>
  <si>
    <t>schnösel</t>
  </si>
  <si>
    <t>wrestler</t>
  </si>
  <si>
    <t>zuzuschauen</t>
  </si>
  <si>
    <t>ausbeuten</t>
  </si>
  <si>
    <t>rauszulassen</t>
  </si>
  <si>
    <t>spielzimmer</t>
  </si>
  <si>
    <t>lassiter</t>
  </si>
  <si>
    <t>spezialeffekte</t>
  </si>
  <si>
    <t>gollum</t>
  </si>
  <si>
    <t>gerber</t>
  </si>
  <si>
    <t>reingehst</t>
  </si>
  <si>
    <t>angestoßen</t>
  </si>
  <si>
    <t>arlette</t>
  </si>
  <si>
    <t>alls</t>
  </si>
  <si>
    <t>neugeboren</t>
  </si>
  <si>
    <t>äußerster</t>
  </si>
  <si>
    <t>bjorn</t>
  </si>
  <si>
    <t>überreiche</t>
  </si>
  <si>
    <t>ablehnte</t>
  </si>
  <si>
    <t>dyad</t>
  </si>
  <si>
    <t>cruchot</t>
  </si>
  <si>
    <t>durchkreuzen</t>
  </si>
  <si>
    <t>zuhöre</t>
  </si>
  <si>
    <t>ehrwürdiger</t>
  </si>
  <si>
    <t>hauptverdächtigen</t>
  </si>
  <si>
    <t>zwölften</t>
  </si>
  <si>
    <t>zurückließ</t>
  </si>
  <si>
    <t>aufgebot</t>
  </si>
  <si>
    <t>vollendung</t>
  </si>
  <si>
    <t>sümpfe</t>
  </si>
  <si>
    <t>stimmbänder</t>
  </si>
  <si>
    <t>rehe</t>
  </si>
  <si>
    <t>brasilianer</t>
  </si>
  <si>
    <t>hochinteressant</t>
  </si>
  <si>
    <t>rochefort</t>
  </si>
  <si>
    <t>schiri</t>
  </si>
  <si>
    <t>auktionshaus</t>
  </si>
  <si>
    <t>geldverschwendung</t>
  </si>
  <si>
    <t>schampus</t>
  </si>
  <si>
    <t>mulders</t>
  </si>
  <si>
    <t>herschicken</t>
  </si>
  <si>
    <t>genehmigungen</t>
  </si>
  <si>
    <t>leyla</t>
  </si>
  <si>
    <t>makrele</t>
  </si>
  <si>
    <t>kriegsgefangener</t>
  </si>
  <si>
    <t>neumann</t>
  </si>
  <si>
    <t>berufsrisiko</t>
  </si>
  <si>
    <t>versprachst</t>
  </si>
  <si>
    <t>fortgeschrittenen</t>
  </si>
  <si>
    <t>kerbe</t>
  </si>
  <si>
    <t>mr.orange</t>
  </si>
  <si>
    <t>boje</t>
  </si>
  <si>
    <t>krankenzimmer</t>
  </si>
  <si>
    <t>maskierten</t>
  </si>
  <si>
    <t>quälte</t>
  </si>
  <si>
    <t>sektoren</t>
  </si>
  <si>
    <t>simse</t>
  </si>
  <si>
    <t>blazer</t>
  </si>
  <si>
    <t>zwanglos</t>
  </si>
  <si>
    <t>rückbank</t>
  </si>
  <si>
    <t>suffolk</t>
  </si>
  <si>
    <t>radon</t>
  </si>
  <si>
    <t>künstlicher</t>
  </si>
  <si>
    <t>botschafters</t>
  </si>
  <si>
    <t>drangekriegt</t>
  </si>
  <si>
    <t>abraten</t>
  </si>
  <si>
    <t>schadensersatz</t>
  </si>
  <si>
    <t>ibiza</t>
  </si>
  <si>
    <t>weintrauben</t>
  </si>
  <si>
    <t>verurteilst</t>
  </si>
  <si>
    <t>befürchtungen</t>
  </si>
  <si>
    <t>lupus</t>
  </si>
  <si>
    <t>dugan</t>
  </si>
  <si>
    <t>zuständigkeitsbereich</t>
  </si>
  <si>
    <t>beglückt</t>
  </si>
  <si>
    <t>tts</t>
  </si>
  <si>
    <t>laufschritt</t>
  </si>
  <si>
    <t>hintergründe</t>
  </si>
  <si>
    <t>dianne</t>
  </si>
  <si>
    <t>frommen</t>
  </si>
  <si>
    <t>sears</t>
  </si>
  <si>
    <t>geborener</t>
  </si>
  <si>
    <t>blutspur</t>
  </si>
  <si>
    <t>aufrichten</t>
  </si>
  <si>
    <t>lula</t>
  </si>
  <si>
    <t>timo</t>
  </si>
  <si>
    <t>schmierigen</t>
  </si>
  <si>
    <t>draufhast</t>
  </si>
  <si>
    <t>wertloses</t>
  </si>
  <si>
    <t>geschlechtskrankheiten</t>
  </si>
  <si>
    <t>vokabular</t>
  </si>
  <si>
    <t>schwirrt</t>
  </si>
  <si>
    <t>ssen</t>
  </si>
  <si>
    <t>strategische</t>
  </si>
  <si>
    <t>glamourös</t>
  </si>
  <si>
    <t>direktoren</t>
  </si>
  <si>
    <t>public</t>
  </si>
  <si>
    <t>saboteur</t>
  </si>
  <si>
    <t>buchhalterin</t>
  </si>
  <si>
    <t>somalia</t>
  </si>
  <si>
    <t>klapperschlange</t>
  </si>
  <si>
    <t>armageddon</t>
  </si>
  <si>
    <t>harmonische</t>
  </si>
  <si>
    <t>phoebes</t>
  </si>
  <si>
    <t>bradford</t>
  </si>
  <si>
    <t>pep</t>
  </si>
  <si>
    <t>lilie</t>
  </si>
  <si>
    <t>angedockt</t>
  </si>
  <si>
    <t>ru</t>
  </si>
  <si>
    <t>mtv</t>
  </si>
  <si>
    <t>herausfanden</t>
  </si>
  <si>
    <t>frannie</t>
  </si>
  <si>
    <t>pidge</t>
  </si>
  <si>
    <t>erbse</t>
  </si>
  <si>
    <t>verschmelzung</t>
  </si>
  <si>
    <t>hakan</t>
  </si>
  <si>
    <t>gelüste</t>
  </si>
  <si>
    <t>emmanuel</t>
  </si>
  <si>
    <t>leuchtend</t>
  </si>
  <si>
    <t>lis</t>
  </si>
  <si>
    <t>republikanische</t>
  </si>
  <si>
    <t>slips</t>
  </si>
  <si>
    <t>eisigen</t>
  </si>
  <si>
    <t>materiellen</t>
  </si>
  <si>
    <t>belize</t>
  </si>
  <si>
    <t>zopf</t>
  </si>
  <si>
    <t>volker</t>
  </si>
  <si>
    <t>sicherheitszone</t>
  </si>
  <si>
    <t>éric</t>
  </si>
  <si>
    <t>erschlug</t>
  </si>
  <si>
    <t>rancho</t>
  </si>
  <si>
    <t>sakrament</t>
  </si>
  <si>
    <t>geschäftsessen</t>
  </si>
  <si>
    <t>salud</t>
  </si>
  <si>
    <t>hürde</t>
  </si>
  <si>
    <t>teufelskreis</t>
  </si>
  <si>
    <t>mile</t>
  </si>
  <si>
    <t>gazette</t>
  </si>
  <si>
    <t>grobian</t>
  </si>
  <si>
    <t>liebenswerte</t>
  </si>
  <si>
    <t>zudrücken</t>
  </si>
  <si>
    <t>suizid</t>
  </si>
  <si>
    <t>fähiger</t>
  </si>
  <si>
    <t>entmutigt</t>
  </si>
  <si>
    <t>bücherregal</t>
  </si>
  <si>
    <t>children</t>
  </si>
  <si>
    <t>milk</t>
  </si>
  <si>
    <t>stoppuhr</t>
  </si>
  <si>
    <t>röhrchen</t>
  </si>
  <si>
    <t>social</t>
  </si>
  <si>
    <t>knöpf</t>
  </si>
  <si>
    <t>defekte</t>
  </si>
  <si>
    <t>spuckst</t>
  </si>
  <si>
    <t>langfristige</t>
  </si>
  <si>
    <t>auswirkt</t>
  </si>
  <si>
    <t>interessanteste</t>
  </si>
  <si>
    <t>deena</t>
  </si>
  <si>
    <t>unerklärliche</t>
  </si>
  <si>
    <t>fröhlichkeit</t>
  </si>
  <si>
    <t>iraner</t>
  </si>
  <si>
    <t>rohen</t>
  </si>
  <si>
    <t>saftigen</t>
  </si>
  <si>
    <t>anaïs</t>
  </si>
  <si>
    <t>jussi</t>
  </si>
  <si>
    <t>däumchen</t>
  </si>
  <si>
    <t>reservierungen</t>
  </si>
  <si>
    <t>wachsamkeit</t>
  </si>
  <si>
    <t>rasierwasser</t>
  </si>
  <si>
    <t>strahlender</t>
  </si>
  <si>
    <t>einteilen</t>
  </si>
  <si>
    <t>lindas</t>
  </si>
  <si>
    <t>erinnerten</t>
  </si>
  <si>
    <t>spasti</t>
  </si>
  <si>
    <t>ruß</t>
  </si>
  <si>
    <t>balkan</t>
  </si>
  <si>
    <t>kents</t>
  </si>
  <si>
    <t>einfahren</t>
  </si>
  <si>
    <t>fossil</t>
  </si>
  <si>
    <t>goran</t>
  </si>
  <si>
    <t>clea</t>
  </si>
  <si>
    <t>andromeda</t>
  </si>
  <si>
    <t>schmerztabletten</t>
  </si>
  <si>
    <t>verwendest</t>
  </si>
  <si>
    <t>teenagern</t>
  </si>
  <si>
    <t>stryker</t>
  </si>
  <si>
    <t>anzukommen</t>
  </si>
  <si>
    <t>carnegie</t>
  </si>
  <si>
    <t>schwerverbrecher</t>
  </si>
  <si>
    <t>brennholz</t>
  </si>
  <si>
    <t>kostümen</t>
  </si>
  <si>
    <t>s01e01</t>
  </si>
  <si>
    <t>schmuggelware</t>
  </si>
  <si>
    <t>wirbeln</t>
  </si>
  <si>
    <t>unhörbar</t>
  </si>
  <si>
    <t>verwunderlich</t>
  </si>
  <si>
    <t>gue</t>
  </si>
  <si>
    <t>unsereins</t>
  </si>
  <si>
    <t>schiess</t>
  </si>
  <si>
    <t>akkorde</t>
  </si>
  <si>
    <t>geisterstadt</t>
  </si>
  <si>
    <t>schnuppern</t>
  </si>
  <si>
    <t>megumi</t>
  </si>
  <si>
    <t>abgestempelt</t>
  </si>
  <si>
    <t>eingebrannt</t>
  </si>
  <si>
    <t>oberstes</t>
  </si>
  <si>
    <t>herbrachte</t>
  </si>
  <si>
    <t>norwegische</t>
  </si>
  <si>
    <t>übergriffe</t>
  </si>
  <si>
    <t>dyke</t>
  </si>
  <si>
    <t>a.l.i.e.</t>
  </si>
  <si>
    <t>condor</t>
  </si>
  <si>
    <t>nuggets</t>
  </si>
  <si>
    <t>tilly</t>
  </si>
  <si>
    <t>poststelle</t>
  </si>
  <si>
    <t>nomine</t>
  </si>
  <si>
    <t>systemen</t>
  </si>
  <si>
    <t>schönheitsschlaf</t>
  </si>
  <si>
    <t>plappern</t>
  </si>
  <si>
    <t>esstisch</t>
  </si>
  <si>
    <t>scorpius</t>
  </si>
  <si>
    <t>stäbe</t>
  </si>
  <si>
    <t>einlädst</t>
  </si>
  <si>
    <t>konsum</t>
  </si>
  <si>
    <t>reiden</t>
  </si>
  <si>
    <t>westchester</t>
  </si>
  <si>
    <t>scheidungsanwalt</t>
  </si>
  <si>
    <t>tierklinik</t>
  </si>
  <si>
    <t>dünnes</t>
  </si>
  <si>
    <t>eingefügt</t>
  </si>
  <si>
    <t>unattraktiv</t>
  </si>
  <si>
    <t>ruprecht</t>
  </si>
  <si>
    <t>evi</t>
  </si>
  <si>
    <t>aufführt</t>
  </si>
  <si>
    <t>kartei</t>
  </si>
  <si>
    <t>gagarin</t>
  </si>
  <si>
    <t>gehandhabt</t>
  </si>
  <si>
    <t>entsandt</t>
  </si>
  <si>
    <t>konkreten</t>
  </si>
  <si>
    <t>steuerhinterziehung</t>
  </si>
  <si>
    <t>affenlaute</t>
  </si>
  <si>
    <t>quadrant</t>
  </si>
  <si>
    <t>auseinandersetzungen</t>
  </si>
  <si>
    <t>wilton</t>
  </si>
  <si>
    <t>pedal</t>
  </si>
  <si>
    <t>rektorin</t>
  </si>
  <si>
    <t>rausgeschickt</t>
  </si>
  <si>
    <t>zugedeckt</t>
  </si>
  <si>
    <t>speere</t>
  </si>
  <si>
    <t>rawlings</t>
  </si>
  <si>
    <t>besonnen</t>
  </si>
  <si>
    <t>panthers</t>
  </si>
  <si>
    <t>zahnärzte</t>
  </si>
  <si>
    <t>stimmungsschwankungen</t>
  </si>
  <si>
    <t>treuhandfonds</t>
  </si>
  <si>
    <t>zauberkräfte</t>
  </si>
  <si>
    <t>preisschild</t>
  </si>
  <si>
    <t>bezauberndes</t>
  </si>
  <si>
    <t>hannover</t>
  </si>
  <si>
    <t>gable</t>
  </si>
  <si>
    <t>cäsars</t>
  </si>
  <si>
    <t>wegfuhr</t>
  </si>
  <si>
    <t>grünzeug</t>
  </si>
  <si>
    <t>store</t>
  </si>
  <si>
    <t>teamgeist</t>
  </si>
  <si>
    <t>standorte</t>
  </si>
  <si>
    <t>stände</t>
  </si>
  <si>
    <t>rebellieren</t>
  </si>
  <si>
    <t>nördliche</t>
  </si>
  <si>
    <t>schnürchen</t>
  </si>
  <si>
    <t>franzi</t>
  </si>
  <si>
    <t>comte</t>
  </si>
  <si>
    <t>geradestehen</t>
  </si>
  <si>
    <t>versteigern</t>
  </si>
  <si>
    <t>dowd</t>
  </si>
  <si>
    <t>mexikanisch</t>
  </si>
  <si>
    <t>schund</t>
  </si>
  <si>
    <t>ferngehalten</t>
  </si>
  <si>
    <t>hochsicherheitstrakt</t>
  </si>
  <si>
    <t>abgerechnet</t>
  </si>
  <si>
    <t>ausruf</t>
  </si>
  <si>
    <t>ausgrabung</t>
  </si>
  <si>
    <t>erblickte</t>
  </si>
  <si>
    <t>schatzmeister</t>
  </si>
  <si>
    <t>befehlt</t>
  </si>
  <si>
    <t>industriellen</t>
  </si>
  <si>
    <t>widersacher</t>
  </si>
  <si>
    <t>aussaugen</t>
  </si>
  <si>
    <t>jia</t>
  </si>
  <si>
    <t>slick</t>
  </si>
  <si>
    <t>zusammenzusetzen</t>
  </si>
  <si>
    <t>wettlauf</t>
  </si>
  <si>
    <t>hickey</t>
  </si>
  <si>
    <t>paragraf</t>
  </si>
  <si>
    <t>zurücksetzen</t>
  </si>
  <si>
    <t>reproduzieren</t>
  </si>
  <si>
    <t>erhellt</t>
  </si>
  <si>
    <t>prothese</t>
  </si>
  <si>
    <t>tenoch</t>
  </si>
  <si>
    <t>vollstes</t>
  </si>
  <si>
    <t>widder</t>
  </si>
  <si>
    <t>sprüchen</t>
  </si>
  <si>
    <t>gefängnisdirektor</t>
  </si>
  <si>
    <t>geblufft</t>
  </si>
  <si>
    <t>baufirma</t>
  </si>
  <si>
    <t>abgestoßen</t>
  </si>
  <si>
    <t>herangehensweise</t>
  </si>
  <si>
    <t>erstickst</t>
  </si>
  <si>
    <t>beteten</t>
  </si>
  <si>
    <t>20ern</t>
  </si>
  <si>
    <t>tahoe</t>
  </si>
  <si>
    <t>liebesnest</t>
  </si>
  <si>
    <t>nitro</t>
  </si>
  <si>
    <t>leichtsinn</t>
  </si>
  <si>
    <t>plankton</t>
  </si>
  <si>
    <t>sanftes</t>
  </si>
  <si>
    <t>flüsterst</t>
  </si>
  <si>
    <t>shui</t>
  </si>
  <si>
    <t>alexej</t>
  </si>
  <si>
    <t>kollabieren</t>
  </si>
  <si>
    <t>tada</t>
  </si>
  <si>
    <t>jahrtausende</t>
  </si>
  <si>
    <t>fortschritts</t>
  </si>
  <si>
    <t>verdaut</t>
  </si>
  <si>
    <t>promi</t>
  </si>
  <si>
    <t>hungert</t>
  </si>
  <si>
    <t>dufte</t>
  </si>
  <si>
    <t>monas</t>
  </si>
  <si>
    <t>wermut</t>
  </si>
  <si>
    <t>waschanlage</t>
  </si>
  <si>
    <t>farnese</t>
  </si>
  <si>
    <t>schenkten</t>
  </si>
  <si>
    <t>egos</t>
  </si>
  <si>
    <t>stürmer</t>
  </si>
  <si>
    <t>mittelgroß</t>
  </si>
  <si>
    <t>margareta</t>
  </si>
  <si>
    <t>gründlicher</t>
  </si>
  <si>
    <t>widersprüche</t>
  </si>
  <si>
    <t>zusammenzuhalten</t>
  </si>
  <si>
    <t>einkaufswagen</t>
  </si>
  <si>
    <t>verkuppelt</t>
  </si>
  <si>
    <t>bemerkenswerten</t>
  </si>
  <si>
    <t>vollstreckt</t>
  </si>
  <si>
    <t>galten</t>
  </si>
  <si>
    <t>sanford</t>
  </si>
  <si>
    <t>unterschlagung</t>
  </si>
  <si>
    <t>schrill</t>
  </si>
  <si>
    <t>radioaktiven</t>
  </si>
  <si>
    <t>telefonrechnung</t>
  </si>
  <si>
    <t>asbest</t>
  </si>
  <si>
    <t>victors</t>
  </si>
  <si>
    <t>weigerung</t>
  </si>
  <si>
    <t>prachtkerl</t>
  </si>
  <si>
    <t>zugeschickt</t>
  </si>
  <si>
    <t>nachlaufen</t>
  </si>
  <si>
    <t>überhitzt</t>
  </si>
  <si>
    <t>hari</t>
  </si>
  <si>
    <t>aufgeschoben</t>
  </si>
  <si>
    <t>gefallt</t>
  </si>
  <si>
    <t>schimpfwörter</t>
  </si>
  <si>
    <t>kapitalverbrechen</t>
  </si>
  <si>
    <t>hochgejagt</t>
  </si>
  <si>
    <t>schamane</t>
  </si>
  <si>
    <t>sparte</t>
  </si>
  <si>
    <t>bruchstücke</t>
  </si>
  <si>
    <t>flieder</t>
  </si>
  <si>
    <t>inspirierte</t>
  </si>
  <si>
    <t>entspannst</t>
  </si>
  <si>
    <t>düsen</t>
  </si>
  <si>
    <t>rammte</t>
  </si>
  <si>
    <t>steppe</t>
  </si>
  <si>
    <t>zumutung</t>
  </si>
  <si>
    <t>günter</t>
  </si>
  <si>
    <t>clip</t>
  </si>
  <si>
    <t>tennisplatz</t>
  </si>
  <si>
    <t>überkommt</t>
  </si>
  <si>
    <t>erlaubten</t>
  </si>
  <si>
    <t>kontrollierten</t>
  </si>
  <si>
    <t>betts</t>
  </si>
  <si>
    <t>feindin</t>
  </si>
  <si>
    <t>dunkelkammer</t>
  </si>
  <si>
    <t>anarchisten</t>
  </si>
  <si>
    <t>jump</t>
  </si>
  <si>
    <t>telepathische</t>
  </si>
  <si>
    <t>intubieren</t>
  </si>
  <si>
    <t>rüberbringen</t>
  </si>
  <si>
    <t>libido</t>
  </si>
  <si>
    <t>gebildete</t>
  </si>
  <si>
    <t>hankmed</t>
  </si>
  <si>
    <t>wöchentliche</t>
  </si>
  <si>
    <t>klauten</t>
  </si>
  <si>
    <t>hanover</t>
  </si>
  <si>
    <t>mikhail</t>
  </si>
  <si>
    <t>verhaltensmuster</t>
  </si>
  <si>
    <t>stresst</t>
  </si>
  <si>
    <t>attest</t>
  </si>
  <si>
    <t>verhängen</t>
  </si>
  <si>
    <t>schaun</t>
  </si>
  <si>
    <t>batzen</t>
  </si>
  <si>
    <t>jh.</t>
  </si>
  <si>
    <t>rationale</t>
  </si>
  <si>
    <t>potenziell</t>
  </si>
  <si>
    <t>waffenhandel</t>
  </si>
  <si>
    <t>très</t>
  </si>
  <si>
    <t>croft</t>
  </si>
  <si>
    <t>strukturelle</t>
  </si>
  <si>
    <t>ove</t>
  </si>
  <si>
    <t>mitreden</t>
  </si>
  <si>
    <t>crewmitglied</t>
  </si>
  <si>
    <t>königreiches</t>
  </si>
  <si>
    <t>glühend</t>
  </si>
  <si>
    <t>schießeisen</t>
  </si>
  <si>
    <t>angelas</t>
  </si>
  <si>
    <t>wheels</t>
  </si>
  <si>
    <t>landeanflug</t>
  </si>
  <si>
    <t>foods</t>
  </si>
  <si>
    <t>verstärkte</t>
  </si>
  <si>
    <t>gütige</t>
  </si>
  <si>
    <t>fond</t>
  </si>
  <si>
    <t>wentworth</t>
  </si>
  <si>
    <t>trolljäger</t>
  </si>
  <si>
    <t>warteraum</t>
  </si>
  <si>
    <t>vadim</t>
  </si>
  <si>
    <t>vereiteln</t>
  </si>
  <si>
    <t>schamgefühl</t>
  </si>
  <si>
    <t>einsatzleiter</t>
  </si>
  <si>
    <t>heimtückisch</t>
  </si>
  <si>
    <t>runterspülen</t>
  </si>
  <si>
    <t>observatorium</t>
  </si>
  <si>
    <t>verbarrikadiert</t>
  </si>
  <si>
    <t>umwandlung</t>
  </si>
  <si>
    <t>belastende</t>
  </si>
  <si>
    <t>rhoades</t>
  </si>
  <si>
    <t>cuchillo</t>
  </si>
  <si>
    <t>flattert</t>
  </si>
  <si>
    <t>dehnt</t>
  </si>
  <si>
    <t>anything</t>
  </si>
  <si>
    <t>collette</t>
  </si>
  <si>
    <t>funny</t>
  </si>
  <si>
    <t>toine</t>
  </si>
  <si>
    <t>korsika</t>
  </si>
  <si>
    <t>befehligt</t>
  </si>
  <si>
    <t>mikrofone</t>
  </si>
  <si>
    <t>überlebender</t>
  </si>
  <si>
    <t>v.a.</t>
  </si>
  <si>
    <t>schelm</t>
  </si>
  <si>
    <t>kundschafter</t>
  </si>
  <si>
    <t>billardtisch</t>
  </si>
  <si>
    <t>aussenden</t>
  </si>
  <si>
    <t>historisches</t>
  </si>
  <si>
    <t>ausbauen</t>
  </si>
  <si>
    <t>umwerfende</t>
  </si>
  <si>
    <t>treffend</t>
  </si>
  <si>
    <t>springbrunnen</t>
  </si>
  <si>
    <t>varus</t>
  </si>
  <si>
    <t>rückzahlung</t>
  </si>
  <si>
    <t>schnuller</t>
  </si>
  <si>
    <t>simulationen</t>
  </si>
  <si>
    <t>fischerboot</t>
  </si>
  <si>
    <t>livingston</t>
  </si>
  <si>
    <t>verne</t>
  </si>
  <si>
    <t>milhouse</t>
  </si>
  <si>
    <t>befrei</t>
  </si>
  <si>
    <t>pinzette</t>
  </si>
  <si>
    <t>bader</t>
  </si>
  <si>
    <t>doughnuts</t>
  </si>
  <si>
    <t>dirigieren</t>
  </si>
  <si>
    <t>navarro</t>
  </si>
  <si>
    <t>dena</t>
  </si>
  <si>
    <t>stämmen</t>
  </si>
  <si>
    <t>bliss</t>
  </si>
  <si>
    <t>süchtige</t>
  </si>
  <si>
    <t>menschenfreund</t>
  </si>
  <si>
    <t>talking</t>
  </si>
  <si>
    <t>süßesten</t>
  </si>
  <si>
    <t>gewählten</t>
  </si>
  <si>
    <t>sleep</t>
  </si>
  <si>
    <t>fetisch</t>
  </si>
  <si>
    <t>rohren</t>
  </si>
  <si>
    <t>grossman</t>
  </si>
  <si>
    <t>ceren</t>
  </si>
  <si>
    <t>mistelzweig</t>
  </si>
  <si>
    <t>metaphorisch</t>
  </si>
  <si>
    <t>grauenvolle</t>
  </si>
  <si>
    <t>nos</t>
  </si>
  <si>
    <t>abgekühlt</t>
  </si>
  <si>
    <t>commissaire</t>
  </si>
  <si>
    <t>betraut</t>
  </si>
  <si>
    <t>schmier</t>
  </si>
  <si>
    <t>versank</t>
  </si>
  <si>
    <t>überrumpeln</t>
  </si>
  <si>
    <t>abstinenz</t>
  </si>
  <si>
    <t>sie.</t>
  </si>
  <si>
    <t>hor</t>
  </si>
  <si>
    <t>schwerwiegende</t>
  </si>
  <si>
    <t>hauptfigur</t>
  </si>
  <si>
    <t>konservative</t>
  </si>
  <si>
    <t>außerirdisch</t>
  </si>
  <si>
    <t>blöken</t>
  </si>
  <si>
    <t>jud</t>
  </si>
  <si>
    <t>bewältigt</t>
  </si>
  <si>
    <t>morelli</t>
  </si>
  <si>
    <t>lir</t>
  </si>
  <si>
    <t>steppen</t>
  </si>
  <si>
    <t>überführung</t>
  </si>
  <si>
    <t>gehilfe</t>
  </si>
  <si>
    <t>königsfamilie</t>
  </si>
  <si>
    <t>mindern</t>
  </si>
  <si>
    <t>beehrt</t>
  </si>
  <si>
    <t>dib</t>
  </si>
  <si>
    <t>eisbergs</t>
  </si>
  <si>
    <t>feindschaft</t>
  </si>
  <si>
    <t>rhythmisches</t>
  </si>
  <si>
    <t>carrington</t>
  </si>
  <si>
    <t>harveys</t>
  </si>
  <si>
    <t>tuco</t>
  </si>
  <si>
    <t>merlins</t>
  </si>
  <si>
    <t>heutiger</t>
  </si>
  <si>
    <t>weltkriegs</t>
  </si>
  <si>
    <t>krematorium</t>
  </si>
  <si>
    <t>verhinderte</t>
  </si>
  <si>
    <t>tam</t>
  </si>
  <si>
    <t>greifbar</t>
  </si>
  <si>
    <t>landleben</t>
  </si>
  <si>
    <t>verfliegt</t>
  </si>
  <si>
    <t>konföderation</t>
  </si>
  <si>
    <t>weeds</t>
  </si>
  <si>
    <t>goldmedaille</t>
  </si>
  <si>
    <t>tanga</t>
  </si>
  <si>
    <t>krankhaft</t>
  </si>
  <si>
    <t>bannen</t>
  </si>
  <si>
    <t>demonstrationen</t>
  </si>
  <si>
    <t>kima</t>
  </si>
  <si>
    <t>promenadendeck</t>
  </si>
  <si>
    <t>bb</t>
  </si>
  <si>
    <t>sakko</t>
  </si>
  <si>
    <t>quallen</t>
  </si>
  <si>
    <t>beschwipst</t>
  </si>
  <si>
    <t>streichle</t>
  </si>
  <si>
    <t>grundbesitz</t>
  </si>
  <si>
    <t>priesters</t>
  </si>
  <si>
    <t>gegönnt</t>
  </si>
  <si>
    <t>weinten</t>
  </si>
  <si>
    <t>degubrut</t>
  </si>
  <si>
    <t>blutiges</t>
  </si>
  <si>
    <t>sondermeldung</t>
  </si>
  <si>
    <t>heilte</t>
  </si>
  <si>
    <t>rosi</t>
  </si>
  <si>
    <t>eichen</t>
  </si>
  <si>
    <t>hotch</t>
  </si>
  <si>
    <t>kaiserreich</t>
  </si>
  <si>
    <t>einfachere</t>
  </si>
  <si>
    <t>vorrecht</t>
  </si>
  <si>
    <t>geröstet</t>
  </si>
  <si>
    <t>trouble</t>
  </si>
  <si>
    <t>schalom</t>
  </si>
  <si>
    <t>trickster</t>
  </si>
  <si>
    <t>stiefsohn</t>
  </si>
  <si>
    <t>bekir</t>
  </si>
  <si>
    <t>angeschaltet</t>
  </si>
  <si>
    <t>überwältigende</t>
  </si>
  <si>
    <t>aufstehst</t>
  </si>
  <si>
    <t>durchzuhalten</t>
  </si>
  <si>
    <t>pheromone</t>
  </si>
  <si>
    <t>grapefruit</t>
  </si>
  <si>
    <t>tatorte</t>
  </si>
  <si>
    <t>bewahrst</t>
  </si>
  <si>
    <t>notfallplan</t>
  </si>
  <si>
    <t>feminin</t>
  </si>
  <si>
    <t>blutfluss</t>
  </si>
  <si>
    <t>williamson</t>
  </si>
  <si>
    <t>seelisch</t>
  </si>
  <si>
    <t>gelenke</t>
  </si>
  <si>
    <t>südosten</t>
  </si>
  <si>
    <t>blinken</t>
  </si>
  <si>
    <t>spiritueller</t>
  </si>
  <si>
    <t>verbleibende</t>
  </si>
  <si>
    <t>tillman</t>
  </si>
  <si>
    <t>pickles</t>
  </si>
  <si>
    <t>handicap</t>
  </si>
  <si>
    <t>überraschenderweise</t>
  </si>
  <si>
    <t>repräsentiere</t>
  </si>
  <si>
    <t>enormer</t>
  </si>
  <si>
    <t>cato</t>
  </si>
  <si>
    <t>fei-hung</t>
  </si>
  <si>
    <t>jordy</t>
  </si>
  <si>
    <t>mobilisiert</t>
  </si>
  <si>
    <t>schwächsten</t>
  </si>
  <si>
    <t>albin</t>
  </si>
  <si>
    <t>melancholie</t>
  </si>
  <si>
    <t>grissom</t>
  </si>
  <si>
    <t>snowden</t>
  </si>
  <si>
    <t>tickende</t>
  </si>
  <si>
    <t>abgefahrene</t>
  </si>
  <si>
    <t>thornhill</t>
  </si>
  <si>
    <t>einschlafe</t>
  </si>
  <si>
    <t>bubbles</t>
  </si>
  <si>
    <t>fiele</t>
  </si>
  <si>
    <t>untat</t>
  </si>
  <si>
    <t>ausgezeichnetes</t>
  </si>
  <si>
    <t>gerieben</t>
  </si>
  <si>
    <t>reinzuziehen</t>
  </si>
  <si>
    <t>spezialitäten</t>
  </si>
  <si>
    <t>nachtklub</t>
  </si>
  <si>
    <t>bündeln</t>
  </si>
  <si>
    <t>annähen</t>
  </si>
  <si>
    <t>fromme</t>
  </si>
  <si>
    <t>meeresboden</t>
  </si>
  <si>
    <t>oberstufe</t>
  </si>
  <si>
    <t>geheuer</t>
  </si>
  <si>
    <t>burgess</t>
  </si>
  <si>
    <t>eispickel</t>
  </si>
  <si>
    <t>singend</t>
  </si>
  <si>
    <t>holzweg</t>
  </si>
  <si>
    <t>abgemeldet</t>
  </si>
  <si>
    <t>schwächste</t>
  </si>
  <si>
    <t>kleb</t>
  </si>
  <si>
    <t>anhöhe</t>
  </si>
  <si>
    <t>vergänglich</t>
  </si>
  <si>
    <t>moni</t>
  </si>
  <si>
    <t>übergebt</t>
  </si>
  <si>
    <t>desertiert</t>
  </si>
  <si>
    <t>holosuite</t>
  </si>
  <si>
    <t>untersuchungsrichter</t>
  </si>
  <si>
    <t>federico</t>
  </si>
  <si>
    <t>zutreffen</t>
  </si>
  <si>
    <t>abhaben</t>
  </si>
  <si>
    <t>takeda</t>
  </si>
  <si>
    <t>jolene</t>
  </si>
  <si>
    <t>krystal</t>
  </si>
  <si>
    <t>wachse</t>
  </si>
  <si>
    <t>konkurrent</t>
  </si>
  <si>
    <t>zermalmen</t>
  </si>
  <si>
    <t>kundgebung</t>
  </si>
  <si>
    <t>unzufriedenheit</t>
  </si>
  <si>
    <t>übernachtung</t>
  </si>
  <si>
    <t>nano</t>
  </si>
  <si>
    <t>matisse</t>
  </si>
  <si>
    <t>schisser</t>
  </si>
  <si>
    <t>alina</t>
  </si>
  <si>
    <t>downing</t>
  </si>
  <si>
    <t>rudd</t>
  </si>
  <si>
    <t>einräumen</t>
  </si>
  <si>
    <t>weiterentwickeln</t>
  </si>
  <si>
    <t>button</t>
  </si>
  <si>
    <t>sabbern</t>
  </si>
  <si>
    <t>aufzwingen</t>
  </si>
  <si>
    <t>allseits</t>
  </si>
  <si>
    <t>jarle</t>
  </si>
  <si>
    <t>neuralen</t>
  </si>
  <si>
    <t>lino</t>
  </si>
  <si>
    <t>dankte</t>
  </si>
  <si>
    <t>gennaro</t>
  </si>
  <si>
    <t>untergeschoben</t>
  </si>
  <si>
    <t>zwergen</t>
  </si>
  <si>
    <t>hinwollen</t>
  </si>
  <si>
    <t>blow</t>
  </si>
  <si>
    <t>halbnackt</t>
  </si>
  <si>
    <t>mojo</t>
  </si>
  <si>
    <t>enough</t>
  </si>
  <si>
    <t>fandst</t>
  </si>
  <si>
    <t>heldentat</t>
  </si>
  <si>
    <t>fm</t>
  </si>
  <si>
    <t>niederträchtig</t>
  </si>
  <si>
    <t>yong</t>
  </si>
  <si>
    <t>tatsächlichen</t>
  </si>
  <si>
    <t>hildegard</t>
  </si>
  <si>
    <t>angehöriger</t>
  </si>
  <si>
    <t>wiedereintritt</t>
  </si>
  <si>
    <t>trisha</t>
  </si>
  <si>
    <t>jase</t>
  </si>
  <si>
    <t>umfangreiche</t>
  </si>
  <si>
    <t>verwahren</t>
  </si>
  <si>
    <t>middleton</t>
  </si>
  <si>
    <t>brieftaschen</t>
  </si>
  <si>
    <t>planke</t>
  </si>
  <si>
    <t>verfasser</t>
  </si>
  <si>
    <t>abgesandten</t>
  </si>
  <si>
    <t>staatlich</t>
  </si>
  <si>
    <t>knopfdruck</t>
  </si>
  <si>
    <t>gegrüßet</t>
  </si>
  <si>
    <t>erfolgreiches</t>
  </si>
  <si>
    <t>rana</t>
  </si>
  <si>
    <t>hämorrhoiden</t>
  </si>
  <si>
    <t>pocht</t>
  </si>
  <si>
    <t>nepal</t>
  </si>
  <si>
    <t>tröpfchen</t>
  </si>
  <si>
    <t>immerdar</t>
  </si>
  <si>
    <t>zusammengetan</t>
  </si>
  <si>
    <t>angebaut</t>
  </si>
  <si>
    <t>zitternd</t>
  </si>
  <si>
    <t>währen</t>
  </si>
  <si>
    <t>foggy</t>
  </si>
  <si>
    <t>ärgerte</t>
  </si>
  <si>
    <t>nemesis</t>
  </si>
  <si>
    <t>vernissage</t>
  </si>
  <si>
    <t>achtzig</t>
  </si>
  <si>
    <t>übertragenen</t>
  </si>
  <si>
    <t>spezifisch</t>
  </si>
  <si>
    <t>larrys</t>
  </si>
  <si>
    <t>frey</t>
  </si>
  <si>
    <t>schwermütige</t>
  </si>
  <si>
    <t>leda</t>
  </si>
  <si>
    <t>beißer</t>
  </si>
  <si>
    <t>strafverteidiger</t>
  </si>
  <si>
    <t>simón</t>
  </si>
  <si>
    <t>verdorbene</t>
  </si>
  <si>
    <t>asta</t>
  </si>
  <si>
    <t>heimfahrt</t>
  </si>
  <si>
    <t>alley</t>
  </si>
  <si>
    <t>computerstimme</t>
  </si>
  <si>
    <t>berührten</t>
  </si>
  <si>
    <t>latif</t>
  </si>
  <si>
    <t>fragment</t>
  </si>
  <si>
    <t>steuere</t>
  </si>
  <si>
    <t>bescheidenes</t>
  </si>
  <si>
    <t>rumzusitzen</t>
  </si>
  <si>
    <t>überlebenschance</t>
  </si>
  <si>
    <t>raffinierter</t>
  </si>
  <si>
    <t>bois</t>
  </si>
  <si>
    <t>besprüht</t>
  </si>
  <si>
    <t>geschlechter</t>
  </si>
  <si>
    <t>hirntumor</t>
  </si>
  <si>
    <t>fame</t>
  </si>
  <si>
    <t>elke</t>
  </si>
  <si>
    <t>untermauern</t>
  </si>
  <si>
    <t>nike</t>
  </si>
  <si>
    <t>buona</t>
  </si>
  <si>
    <t>radieschen</t>
  </si>
  <si>
    <t>umarmte</t>
  </si>
  <si>
    <t>schmelze</t>
  </si>
  <si>
    <t>gurte</t>
  </si>
  <si>
    <t>queue</t>
  </si>
  <si>
    <t>auftischen</t>
  </si>
  <si>
    <t>stadtverwaltung</t>
  </si>
  <si>
    <t>scar</t>
  </si>
  <si>
    <t>schlummert</t>
  </si>
  <si>
    <t>gör</t>
  </si>
  <si>
    <t>elis</t>
  </si>
  <si>
    <t>hochzeitstorte</t>
  </si>
  <si>
    <t>beknackt</t>
  </si>
  <si>
    <t>gekochte</t>
  </si>
  <si>
    <t>genre</t>
  </si>
  <si>
    <t>jessup</t>
  </si>
  <si>
    <t>bisweilen</t>
  </si>
  <si>
    <t>paranoide</t>
  </si>
  <si>
    <t>gieße</t>
  </si>
  <si>
    <t>erbte</t>
  </si>
  <si>
    <t>handfeste</t>
  </si>
  <si>
    <t>verdreifacht</t>
  </si>
  <si>
    <t>scheußlichen</t>
  </si>
  <si>
    <t>frankensteins</t>
  </si>
  <si>
    <t>netzwerke</t>
  </si>
  <si>
    <t>leone</t>
  </si>
  <si>
    <t>vorurteil</t>
  </si>
  <si>
    <t>entzugsklinik</t>
  </si>
  <si>
    <t>aufrichtiger</t>
  </si>
  <si>
    <t>tv5monde</t>
  </si>
  <si>
    <t>hitzewelle</t>
  </si>
  <si>
    <t>tränken</t>
  </si>
  <si>
    <t>leichtgläubig</t>
  </si>
  <si>
    <t>judys</t>
  </si>
  <si>
    <t>verbarrikadieren</t>
  </si>
  <si>
    <t>lehrten</t>
  </si>
  <si>
    <t>painted</t>
  </si>
  <si>
    <t>augusta</t>
  </si>
  <si>
    <t>scherereien</t>
  </si>
  <si>
    <t>verleihe</t>
  </si>
  <si>
    <t>speist</t>
  </si>
  <si>
    <t>weihnachtstag</t>
  </si>
  <si>
    <t>belehrt</t>
  </si>
  <si>
    <t>gluckst</t>
  </si>
  <si>
    <t>undankbares</t>
  </si>
  <si>
    <t>marchand</t>
  </si>
  <si>
    <t>konfuzius</t>
  </si>
  <si>
    <t>theseus</t>
  </si>
  <si>
    <t>krönen</t>
  </si>
  <si>
    <t>schreiner</t>
  </si>
  <si>
    <t>enrico</t>
  </si>
  <si>
    <t>monatliche</t>
  </si>
  <si>
    <t>demetrius</t>
  </si>
  <si>
    <t>kollaps</t>
  </si>
  <si>
    <t>mango</t>
  </si>
  <si>
    <t>assimiliert</t>
  </si>
  <si>
    <t>verb</t>
  </si>
  <si>
    <t>sichtbare</t>
  </si>
  <si>
    <t>rattenloch</t>
  </si>
  <si>
    <t>heroes</t>
  </si>
  <si>
    <t>earle</t>
  </si>
  <si>
    <t>schriftlichen</t>
  </si>
  <si>
    <t>dielen</t>
  </si>
  <si>
    <t>zukünftiges</t>
  </si>
  <si>
    <t>ese</t>
  </si>
  <si>
    <t>nikolaj</t>
  </si>
  <si>
    <t>tulpe</t>
  </si>
  <si>
    <t>exkursion</t>
  </si>
  <si>
    <t>telefongespräch</t>
  </si>
  <si>
    <t>praktiken</t>
  </si>
  <si>
    <t>verdorbenen</t>
  </si>
  <si>
    <t>saxophon</t>
  </si>
  <si>
    <t>kieker</t>
  </si>
  <si>
    <t>gestörten</t>
  </si>
  <si>
    <t>vermarkten</t>
  </si>
  <si>
    <t>gepennt</t>
  </si>
  <si>
    <t>organen</t>
  </si>
  <si>
    <t>klette</t>
  </si>
  <si>
    <t>niedergang</t>
  </si>
  <si>
    <t>nervigen</t>
  </si>
  <si>
    <t>xbox</t>
  </si>
  <si>
    <t>yun</t>
  </si>
  <si>
    <t>augenfarbe</t>
  </si>
  <si>
    <t>hieroglyphen</t>
  </si>
  <si>
    <t>howards</t>
  </si>
  <si>
    <t>todeszelle</t>
  </si>
  <si>
    <t>anhänglich</t>
  </si>
  <si>
    <t>anstreben</t>
  </si>
  <si>
    <t>dito</t>
  </si>
  <si>
    <t>wusst</t>
  </si>
  <si>
    <t>verschifft</t>
  </si>
  <si>
    <t>flugzeugträger</t>
  </si>
  <si>
    <t>kutte</t>
  </si>
  <si>
    <t>albträumen</t>
  </si>
  <si>
    <t>inger</t>
  </si>
  <si>
    <t>sum</t>
  </si>
  <si>
    <t>verdachts</t>
  </si>
  <si>
    <t>tisches</t>
  </si>
  <si>
    <t>helge</t>
  </si>
  <si>
    <t>djinn</t>
  </si>
  <si>
    <t>vergleichbares</t>
  </si>
  <si>
    <t>elly</t>
  </si>
  <si>
    <t>funkt</t>
  </si>
  <si>
    <t>tagtäglich</t>
  </si>
  <si>
    <t>hinging</t>
  </si>
  <si>
    <t>adrianna</t>
  </si>
  <si>
    <t>dienstnummer</t>
  </si>
  <si>
    <t>cooke</t>
  </si>
  <si>
    <t>adelheid</t>
  </si>
  <si>
    <t>doku</t>
  </si>
  <si>
    <t>lotion</t>
  </si>
  <si>
    <t>ausführt</t>
  </si>
  <si>
    <t>durchgelesen</t>
  </si>
  <si>
    <t>hiernach</t>
  </si>
  <si>
    <t>hinterfragt</t>
  </si>
  <si>
    <t>erwirkt</t>
  </si>
  <si>
    <t>tanzenden</t>
  </si>
  <si>
    <t>geglückt</t>
  </si>
  <si>
    <t>panikattacken</t>
  </si>
  <si>
    <t>atkins</t>
  </si>
  <si>
    <t>mangeln</t>
  </si>
  <si>
    <t>eisschrank</t>
  </si>
  <si>
    <t>nelsons</t>
  </si>
  <si>
    <t>kenichi</t>
  </si>
  <si>
    <t>einhalt</t>
  </si>
  <si>
    <t>prüfer</t>
  </si>
  <si>
    <t>geflossen</t>
  </si>
  <si>
    <t>hochwertige</t>
  </si>
  <si>
    <t>bereist</t>
  </si>
  <si>
    <t>wunschdenken</t>
  </si>
  <si>
    <t>ça</t>
  </si>
  <si>
    <t>dukes</t>
  </si>
  <si>
    <t>hysterische</t>
  </si>
  <si>
    <t>zurücklässt</t>
  </si>
  <si>
    <t>schmusen</t>
  </si>
  <si>
    <t>verstreichen</t>
  </si>
  <si>
    <t>bundesgericht</t>
  </si>
  <si>
    <t>winifred</t>
  </si>
  <si>
    <t>thx</t>
  </si>
  <si>
    <t>entlassungen</t>
  </si>
  <si>
    <t>genetik</t>
  </si>
  <si>
    <t>bequemen</t>
  </si>
  <si>
    <t>undeutliche</t>
  </si>
  <si>
    <t>br</t>
  </si>
  <si>
    <t>mcclane</t>
  </si>
  <si>
    <t>vorstandssitzung</t>
  </si>
  <si>
    <t>beam</t>
  </si>
  <si>
    <t>ihretwillen</t>
  </si>
  <si>
    <t>frisuren</t>
  </si>
  <si>
    <t>atomare</t>
  </si>
  <si>
    <t>geerntet</t>
  </si>
  <si>
    <t>hubots</t>
  </si>
  <si>
    <t>regisseurin</t>
  </si>
  <si>
    <t>zurückgehe</t>
  </si>
  <si>
    <t>abgewehrt</t>
  </si>
  <si>
    <t>dressing</t>
  </si>
  <si>
    <t>brook</t>
  </si>
  <si>
    <t>einlud</t>
  </si>
  <si>
    <t>verrücktesten</t>
  </si>
  <si>
    <t>nachempfinden</t>
  </si>
  <si>
    <t>rosenkohl</t>
  </si>
  <si>
    <t>tatsuya</t>
  </si>
  <si>
    <t>niedliches</t>
  </si>
  <si>
    <t>spitzt</t>
  </si>
  <si>
    <t>schachspiel</t>
  </si>
  <si>
    <t>deportiert</t>
  </si>
  <si>
    <t>moiiari</t>
  </si>
  <si>
    <t>jämmerlicher</t>
  </si>
  <si>
    <t>playstation</t>
  </si>
  <si>
    <t>conte</t>
  </si>
  <si>
    <t>blabla</t>
  </si>
  <si>
    <t>koordination</t>
  </si>
  <si>
    <t>anbrüllen</t>
  </si>
  <si>
    <t>bärte</t>
  </si>
  <si>
    <t>thackery</t>
  </si>
  <si>
    <t>unvoreingenommen</t>
  </si>
  <si>
    <t>masturbiert</t>
  </si>
  <si>
    <t>karim</t>
  </si>
  <si>
    <t>bruchlandung</t>
  </si>
  <si>
    <t>gockel</t>
  </si>
  <si>
    <t>zusagt</t>
  </si>
  <si>
    <t>unmensch</t>
  </si>
  <si>
    <t>nachrichtensprecher</t>
  </si>
  <si>
    <t>hage</t>
  </si>
  <si>
    <t>bewerbe</t>
  </si>
  <si>
    <t>pathologe</t>
  </si>
  <si>
    <t>risotto</t>
  </si>
  <si>
    <t>giulio</t>
  </si>
  <si>
    <t>abscheulichkeit</t>
  </si>
  <si>
    <t>gewürdigt</t>
  </si>
  <si>
    <t>bundys</t>
  </si>
  <si>
    <t>käfigen</t>
  </si>
  <si>
    <t>blutspritzer</t>
  </si>
  <si>
    <t>unbeholfen</t>
  </si>
  <si>
    <t>annulliert</t>
  </si>
  <si>
    <t>verkohlt</t>
  </si>
  <si>
    <t>bußgeld</t>
  </si>
  <si>
    <t>sichtung</t>
  </si>
  <si>
    <t>goro</t>
  </si>
  <si>
    <t>orkan</t>
  </si>
  <si>
    <t>bros.</t>
  </si>
  <si>
    <t>freigenommen</t>
  </si>
  <si>
    <t>blackie</t>
  </si>
  <si>
    <t>minna</t>
  </si>
  <si>
    <t>luciano</t>
  </si>
  <si>
    <t>begehst</t>
  </si>
  <si>
    <t>abfährt</t>
  </si>
  <si>
    <t>dagorcai</t>
  </si>
  <si>
    <t>kühnheit</t>
  </si>
  <si>
    <t>enzyklopädie</t>
  </si>
  <si>
    <t>anfängerin</t>
  </si>
  <si>
    <t>achtest</t>
  </si>
  <si>
    <t>spielautomaten</t>
  </si>
  <si>
    <t>elementary</t>
  </si>
  <si>
    <t>bulls</t>
  </si>
  <si>
    <t>16-jährige</t>
  </si>
  <si>
    <t>sheba</t>
  </si>
  <si>
    <t>klargekommen</t>
  </si>
  <si>
    <t>jackentasche</t>
  </si>
  <si>
    <t>rumzulaufen</t>
  </si>
  <si>
    <t>massiere</t>
  </si>
  <si>
    <t>schiefe</t>
  </si>
  <si>
    <t>gewalttätiger</t>
  </si>
  <si>
    <t>gellar</t>
  </si>
  <si>
    <t>autismus</t>
  </si>
  <si>
    <t>fahrgast</t>
  </si>
  <si>
    <t>wegblasen</t>
  </si>
  <si>
    <t>wohlhabenden</t>
  </si>
  <si>
    <t>sozialdienst</t>
  </si>
  <si>
    <t>leitungswasser</t>
  </si>
  <si>
    <t>ackerman</t>
  </si>
  <si>
    <t>krieche</t>
  </si>
  <si>
    <t>musicals</t>
  </si>
  <si>
    <t>videoüberwachung</t>
  </si>
  <si>
    <t>gallonen</t>
  </si>
  <si>
    <t>scheut</t>
  </si>
  <si>
    <t>cinco</t>
  </si>
  <si>
    <t>angereist</t>
  </si>
  <si>
    <t>runtergegangen</t>
  </si>
  <si>
    <t>mexikanischer</t>
  </si>
  <si>
    <t>röcheln</t>
  </si>
  <si>
    <t>angekrochen</t>
  </si>
  <si>
    <t>punch</t>
  </si>
  <si>
    <t>rennie</t>
  </si>
  <si>
    <t>angelique</t>
  </si>
  <si>
    <t>niles</t>
  </si>
  <si>
    <t>renfield</t>
  </si>
  <si>
    <t>enormes</t>
  </si>
  <si>
    <t>angebetet</t>
  </si>
  <si>
    <t>telefonleitung</t>
  </si>
  <si>
    <t>dreibeiner</t>
  </si>
  <si>
    <t>wehtust</t>
  </si>
  <si>
    <t>verfahrens</t>
  </si>
  <si>
    <t>prallen</t>
  </si>
  <si>
    <t>übergibst</t>
  </si>
  <si>
    <t>stöcken</t>
  </si>
  <si>
    <t>mutes</t>
  </si>
  <si>
    <t>entschließt</t>
  </si>
  <si>
    <t>fulcrum</t>
  </si>
  <si>
    <t>viertelmillion</t>
  </si>
  <si>
    <t>kräutertee</t>
  </si>
  <si>
    <t>elan</t>
  </si>
  <si>
    <t>trugst</t>
  </si>
  <si>
    <t>heda</t>
  </si>
  <si>
    <t>müder</t>
  </si>
  <si>
    <t>sonden</t>
  </si>
  <si>
    <t>vorzugeben</t>
  </si>
  <si>
    <t>seitenstraße</t>
  </si>
  <si>
    <t>marino</t>
  </si>
  <si>
    <t>glasur</t>
  </si>
  <si>
    <t>cabot</t>
  </si>
  <si>
    <t>gesellschaftlich</t>
  </si>
  <si>
    <t>ausgebeutet</t>
  </si>
  <si>
    <t>verdeckter</t>
  </si>
  <si>
    <t>knöcheln</t>
  </si>
  <si>
    <t>cleveres</t>
  </si>
  <si>
    <t>dschungels</t>
  </si>
  <si>
    <t>essbar</t>
  </si>
  <si>
    <t>warnschuss</t>
  </si>
  <si>
    <t>leena</t>
  </si>
  <si>
    <t>ration</t>
  </si>
  <si>
    <t>einflussreich</t>
  </si>
  <si>
    <t>mitkriegt</t>
  </si>
  <si>
    <t>soetwas</t>
  </si>
  <si>
    <t>e-mail-adresse</t>
  </si>
  <si>
    <t>discovery</t>
  </si>
  <si>
    <t>streckte</t>
  </si>
  <si>
    <t>drillinge</t>
  </si>
  <si>
    <t>einreißen</t>
  </si>
  <si>
    <t>hierhergebracht</t>
  </si>
  <si>
    <t>zucchini</t>
  </si>
  <si>
    <t>unterwürfig</t>
  </si>
  <si>
    <t>goldmünzen</t>
  </si>
  <si>
    <t>doing</t>
  </si>
  <si>
    <t>bombardierung</t>
  </si>
  <si>
    <t>beachtlich</t>
  </si>
  <si>
    <t>scheinheilig</t>
  </si>
  <si>
    <t>täler</t>
  </si>
  <si>
    <t>pedale</t>
  </si>
  <si>
    <t>valérie</t>
  </si>
  <si>
    <t>ausgeflogen</t>
  </si>
  <si>
    <t>huckepack</t>
  </si>
  <si>
    <t>replizieren</t>
  </si>
  <si>
    <t>ausländischer</t>
  </si>
  <si>
    <t>dm</t>
  </si>
  <si>
    <t>saki</t>
  </si>
  <si>
    <t>bisexuell</t>
  </si>
  <si>
    <t>ohrstöpsel</t>
  </si>
  <si>
    <t>nevers</t>
  </si>
  <si>
    <t>beschädigten</t>
  </si>
  <si>
    <t>staats</t>
  </si>
  <si>
    <t>umbauen</t>
  </si>
  <si>
    <t>aushalte</t>
  </si>
  <si>
    <t>abspann</t>
  </si>
  <si>
    <t>zerreiße</t>
  </si>
  <si>
    <t>faruk</t>
  </si>
  <si>
    <t>ungeklärt</t>
  </si>
  <si>
    <t>klausur</t>
  </si>
  <si>
    <t>verwirrten</t>
  </si>
  <si>
    <t>lobe</t>
  </si>
  <si>
    <t>gestreut</t>
  </si>
  <si>
    <t>lich</t>
  </si>
  <si>
    <t>domine</t>
  </si>
  <si>
    <t>umkam</t>
  </si>
  <si>
    <t>zufälligen</t>
  </si>
  <si>
    <t>frederik</t>
  </si>
  <si>
    <t>fortzufahren</t>
  </si>
  <si>
    <t>stretch</t>
  </si>
  <si>
    <t>personalien</t>
  </si>
  <si>
    <t>unze</t>
  </si>
  <si>
    <t>hochbringen</t>
  </si>
  <si>
    <t>defensiv</t>
  </si>
  <si>
    <t>originalen</t>
  </si>
  <si>
    <t>angeboren</t>
  </si>
  <si>
    <t>verzeichnis</t>
  </si>
  <si>
    <t>eierstöcke</t>
  </si>
  <si>
    <t>schluckst</t>
  </si>
  <si>
    <t>fleischwunde</t>
  </si>
  <si>
    <t>sami</t>
  </si>
  <si>
    <t>tanners</t>
  </si>
  <si>
    <t>unersetzlich</t>
  </si>
  <si>
    <t>stratton</t>
  </si>
  <si>
    <t>mönchen</t>
  </si>
  <si>
    <t>anvisiert</t>
  </si>
  <si>
    <t>verdroschen</t>
  </si>
  <si>
    <t>lobt</t>
  </si>
  <si>
    <t>traums</t>
  </si>
  <si>
    <t>jar</t>
  </si>
  <si>
    <t>islamischen</t>
  </si>
  <si>
    <t>abschieben</t>
  </si>
  <si>
    <t>senorita</t>
  </si>
  <si>
    <t>zafer</t>
  </si>
  <si>
    <t>seltsamste</t>
  </si>
  <si>
    <t>genii</t>
  </si>
  <si>
    <t>niederlegen</t>
  </si>
  <si>
    <t>übertrug</t>
  </si>
  <si>
    <t>wolsey</t>
  </si>
  <si>
    <t>blödmänner</t>
  </si>
  <si>
    <t>unterkünfte</t>
  </si>
  <si>
    <t>tomatensaft</t>
  </si>
  <si>
    <t>wedeln</t>
  </si>
  <si>
    <t>einerlei</t>
  </si>
  <si>
    <t>verängstigte</t>
  </si>
  <si>
    <t>verletzter</t>
  </si>
  <si>
    <t>fettwanst</t>
  </si>
  <si>
    <t>isn</t>
  </si>
  <si>
    <t>ostfront</t>
  </si>
  <si>
    <t>parkinson</t>
  </si>
  <si>
    <t>birds</t>
  </si>
  <si>
    <t>familiengeschäft</t>
  </si>
  <si>
    <t>elmo</t>
  </si>
  <si>
    <t>orville</t>
  </si>
  <si>
    <t>amin</t>
  </si>
  <si>
    <t>äußerte</t>
  </si>
  <si>
    <t>bikinis</t>
  </si>
  <si>
    <t>quirke</t>
  </si>
  <si>
    <t>unbedeutenden</t>
  </si>
  <si>
    <t>hancock</t>
  </si>
  <si>
    <t>bemitleide</t>
  </si>
  <si>
    <t>verdankst</t>
  </si>
  <si>
    <t>tenor</t>
  </si>
  <si>
    <t>eroberte</t>
  </si>
  <si>
    <t>archive</t>
  </si>
  <si>
    <t>sibley</t>
  </si>
  <si>
    <t>losgezogen</t>
  </si>
  <si>
    <t>vorbeigeht</t>
  </si>
  <si>
    <t>dünkt</t>
  </si>
  <si>
    <t>bowle</t>
  </si>
  <si>
    <t>gemachte</t>
  </si>
  <si>
    <t>feiges</t>
  </si>
  <si>
    <t>wiederhol</t>
  </si>
  <si>
    <t>schadenersatz</t>
  </si>
  <si>
    <t>richteten</t>
  </si>
  <si>
    <t>catherines</t>
  </si>
  <si>
    <t>gebrüder</t>
  </si>
  <si>
    <t>kaji</t>
  </si>
  <si>
    <t>nachzugeben</t>
  </si>
  <si>
    <t>harlow</t>
  </si>
  <si>
    <t>geweih</t>
  </si>
  <si>
    <t>monseigneur</t>
  </si>
  <si>
    <t>beglücken</t>
  </si>
  <si>
    <t>amputiert</t>
  </si>
  <si>
    <t>bingley</t>
  </si>
  <si>
    <t>pennt</t>
  </si>
  <si>
    <t>verursachten</t>
  </si>
  <si>
    <t>simpler</t>
  </si>
  <si>
    <t>soon</t>
  </si>
  <si>
    <t>bedrohten</t>
  </si>
  <si>
    <t>autobombe</t>
  </si>
  <si>
    <t>recherchiere</t>
  </si>
  <si>
    <t>buddeln</t>
  </si>
  <si>
    <t>absätzen</t>
  </si>
  <si>
    <t>outen</t>
  </si>
  <si>
    <t>veruntreuung</t>
  </si>
  <si>
    <t>fingernagel</t>
  </si>
  <si>
    <t>nettesten</t>
  </si>
  <si>
    <t>transvestit</t>
  </si>
  <si>
    <t>schüttelte</t>
  </si>
  <si>
    <t>übertönt</t>
  </si>
  <si>
    <t>psychoanalyse</t>
  </si>
  <si>
    <t>nebenjob</t>
  </si>
  <si>
    <t>gegenwärtige</t>
  </si>
  <si>
    <t>fernsehshow</t>
  </si>
  <si>
    <t>desdemona</t>
  </si>
  <si>
    <t>sympathischer</t>
  </si>
  <si>
    <t>lös</t>
  </si>
  <si>
    <t>runen</t>
  </si>
  <si>
    <t>mon-el</t>
  </si>
  <si>
    <t>beharrlichkeit</t>
  </si>
  <si>
    <t>gepumpt</t>
  </si>
  <si>
    <t>wakefield</t>
  </si>
  <si>
    <t>schlampige</t>
  </si>
  <si>
    <t>tadel</t>
  </si>
  <si>
    <t>reparierte</t>
  </si>
  <si>
    <t>betrittst</t>
  </si>
  <si>
    <t>entsetzlichen</t>
  </si>
  <si>
    <t>afrikanischer</t>
  </si>
  <si>
    <t>umdrehe</t>
  </si>
  <si>
    <t>ellens</t>
  </si>
  <si>
    <t>zauberschule</t>
  </si>
  <si>
    <t>getöse</t>
  </si>
  <si>
    <t>speiseröhre</t>
  </si>
  <si>
    <t>hausaufgabe</t>
  </si>
  <si>
    <t>geschäftsleitung</t>
  </si>
  <si>
    <t>umgekehrte</t>
  </si>
  <si>
    <t>vorsätzlichen</t>
  </si>
  <si>
    <t>rothäute</t>
  </si>
  <si>
    <t>einzureichen</t>
  </si>
  <si>
    <t>übergegangen</t>
  </si>
  <si>
    <t>ansprechbar</t>
  </si>
  <si>
    <t>studierten</t>
  </si>
  <si>
    <t>whittaker</t>
  </si>
  <si>
    <t>schwächlinge</t>
  </si>
  <si>
    <t>ausgibst</t>
  </si>
  <si>
    <t>rittmeister</t>
  </si>
  <si>
    <t>unerträgliche</t>
  </si>
  <si>
    <t>erntedankfest</t>
  </si>
  <si>
    <t>maskerade</t>
  </si>
  <si>
    <t>arbeitenden</t>
  </si>
  <si>
    <t>erfreuliche</t>
  </si>
  <si>
    <t>minimieren</t>
  </si>
  <si>
    <t>yasmin</t>
  </si>
  <si>
    <t>banknoten</t>
  </si>
  <si>
    <t>naive</t>
  </si>
  <si>
    <t>frittiert</t>
  </si>
  <si>
    <t>anzukündigen</t>
  </si>
  <si>
    <t>verdunkelt</t>
  </si>
  <si>
    <t>zuschlag</t>
  </si>
  <si>
    <t>gegensätze</t>
  </si>
  <si>
    <t>umwege</t>
  </si>
  <si>
    <t>gäben</t>
  </si>
  <si>
    <t>unsympathisch</t>
  </si>
  <si>
    <t>wollust</t>
  </si>
  <si>
    <t>hellste</t>
  </si>
  <si>
    <t>hinkriegst</t>
  </si>
  <si>
    <t>hauptdarstellerin</t>
  </si>
  <si>
    <t>punks</t>
  </si>
  <si>
    <t>erbringen</t>
  </si>
  <si>
    <t>eingriffe</t>
  </si>
  <si>
    <t>robotern</t>
  </si>
  <si>
    <t>hausbesitzer</t>
  </si>
  <si>
    <t>mangos</t>
  </si>
  <si>
    <t>lieferten</t>
  </si>
  <si>
    <t>baldwins</t>
  </si>
  <si>
    <t>baht</t>
  </si>
  <si>
    <t>tussen</t>
  </si>
  <si>
    <t>ausrottung</t>
  </si>
  <si>
    <t>koalition</t>
  </si>
  <si>
    <t>vorteilhaft</t>
  </si>
  <si>
    <t>auszubilden</t>
  </si>
  <si>
    <t>verabrede</t>
  </si>
  <si>
    <t>gefriertruhe</t>
  </si>
  <si>
    <t>reibe</t>
  </si>
  <si>
    <t>buddhas</t>
  </si>
  <si>
    <t>zaubertricks</t>
  </si>
  <si>
    <t>ludovic</t>
  </si>
  <si>
    <t>leihmutter</t>
  </si>
  <si>
    <t>games</t>
  </si>
  <si>
    <t>lehrerzimmer</t>
  </si>
  <si>
    <t>cannon</t>
  </si>
  <si>
    <t>fahrstühle</t>
  </si>
  <si>
    <t>bekämpften</t>
  </si>
  <si>
    <t>streiks</t>
  </si>
  <si>
    <t>genji</t>
  </si>
  <si>
    <t>betrachtung</t>
  </si>
  <si>
    <t>riva</t>
  </si>
  <si>
    <t>diskreditieren</t>
  </si>
  <si>
    <t>mittelalterliche</t>
  </si>
  <si>
    <t>grell</t>
  </si>
  <si>
    <t>nachfüllen</t>
  </si>
  <si>
    <t>herzleiden</t>
  </si>
  <si>
    <t>sehnst</t>
  </si>
  <si>
    <t>straßenlärm</t>
  </si>
  <si>
    <t>krueger</t>
  </si>
  <si>
    <t>schärfen</t>
  </si>
  <si>
    <t>hineingeraten</t>
  </si>
  <si>
    <t>phrasen</t>
  </si>
  <si>
    <t>mahal</t>
  </si>
  <si>
    <t>strigoi</t>
  </si>
  <si>
    <t>egg</t>
  </si>
  <si>
    <t>smoke</t>
  </si>
  <si>
    <t>indra</t>
  </si>
  <si>
    <t>umeinander</t>
  </si>
  <si>
    <t>hochsicherheitsgefängnis</t>
  </si>
  <si>
    <t>pergament</t>
  </si>
  <si>
    <t>traumwelt</t>
  </si>
  <si>
    <t>darrell</t>
  </si>
  <si>
    <t>erschaffe</t>
  </si>
  <si>
    <t>faible</t>
  </si>
  <si>
    <t>siegerin</t>
  </si>
  <si>
    <t>glitzer</t>
  </si>
  <si>
    <t>scheideweg</t>
  </si>
  <si>
    <t>vorfreude</t>
  </si>
  <si>
    <t>luger</t>
  </si>
  <si>
    <t>heiligenschein</t>
  </si>
  <si>
    <t>tschechoslowakei</t>
  </si>
  <si>
    <t>mitzureden</t>
  </si>
  <si>
    <t>gleichschritt</t>
  </si>
  <si>
    <t>burgen</t>
  </si>
  <si>
    <t>großtante</t>
  </si>
  <si>
    <t>guthaben</t>
  </si>
  <si>
    <t>sensiblen</t>
  </si>
  <si>
    <t>horizon</t>
  </si>
  <si>
    <t>tugendhaft</t>
  </si>
  <si>
    <t>filmten</t>
  </si>
  <si>
    <t>vorbilder</t>
  </si>
  <si>
    <t>sehnsüchte</t>
  </si>
  <si>
    <t>brace</t>
  </si>
  <si>
    <t>abtrünnige</t>
  </si>
  <si>
    <t>aufrührer</t>
  </si>
  <si>
    <t>bizeps</t>
  </si>
  <si>
    <t>baines</t>
  </si>
  <si>
    <t>steigerung</t>
  </si>
  <si>
    <t>crusoe</t>
  </si>
  <si>
    <t>grundlegend</t>
  </si>
  <si>
    <t>beeindruckendes</t>
  </si>
  <si>
    <t>auszuhandeln</t>
  </si>
  <si>
    <t>events</t>
  </si>
  <si>
    <t>manuelo</t>
  </si>
  <si>
    <t>rindvieh</t>
  </si>
  <si>
    <t>familiennamen</t>
  </si>
  <si>
    <t>carlin</t>
  </si>
  <si>
    <t>erdling</t>
  </si>
  <si>
    <t>dill</t>
  </si>
  <si>
    <t>dänisch</t>
  </si>
  <si>
    <t>versieht</t>
  </si>
  <si>
    <t>fruchtbarkeit</t>
  </si>
  <si>
    <t>achseln</t>
  </si>
  <si>
    <t>insassinnen</t>
  </si>
  <si>
    <t>entscheidender</t>
  </si>
  <si>
    <t>üppig</t>
  </si>
  <si>
    <t>zusehe</t>
  </si>
  <si>
    <t>ahornsirup</t>
  </si>
  <si>
    <t>zwietracht</t>
  </si>
  <si>
    <t>nationalität</t>
  </si>
  <si>
    <t>kontrast</t>
  </si>
  <si>
    <t>etabliert</t>
  </si>
  <si>
    <t>beseitige</t>
  </si>
  <si>
    <t>zimmerman</t>
  </si>
  <si>
    <t>eds</t>
  </si>
  <si>
    <t>völligen</t>
  </si>
  <si>
    <t>bologna</t>
  </si>
  <si>
    <t>schultzie</t>
  </si>
  <si>
    <t>stinkig</t>
  </si>
  <si>
    <t>drucke</t>
  </si>
  <si>
    <t>seifenoper</t>
  </si>
  <si>
    <t>plains</t>
  </si>
  <si>
    <t>durchzudrehen</t>
  </si>
  <si>
    <t>geheimagenten</t>
  </si>
  <si>
    <t>geisteskranke</t>
  </si>
  <si>
    <t>lehrers</t>
  </si>
  <si>
    <t>waynes</t>
  </si>
  <si>
    <t>josey</t>
  </si>
  <si>
    <t>paro</t>
  </si>
  <si>
    <t>paarung</t>
  </si>
  <si>
    <t>designs</t>
  </si>
  <si>
    <t>einweihung</t>
  </si>
  <si>
    <t>supermodel</t>
  </si>
  <si>
    <t>ftl</t>
  </si>
  <si>
    <t>edouard</t>
  </si>
  <si>
    <t>benoit</t>
  </si>
  <si>
    <t>gemächern</t>
  </si>
  <si>
    <t>adria</t>
  </si>
  <si>
    <t>mollys</t>
  </si>
  <si>
    <t>ekliges</t>
  </si>
  <si>
    <t>hoffnungslose</t>
  </si>
  <si>
    <t>vitalwerte</t>
  </si>
  <si>
    <t>alisons</t>
  </si>
  <si>
    <t>fuhre</t>
  </si>
  <si>
    <t>gesandter</t>
  </si>
  <si>
    <t>enzym</t>
  </si>
  <si>
    <t>nachdruck</t>
  </si>
  <si>
    <t>fesselte</t>
  </si>
  <si>
    <t>sprungbrett</t>
  </si>
  <si>
    <t>geburtsrecht</t>
  </si>
  <si>
    <t>indischer</t>
  </si>
  <si>
    <t>heimatplaneten</t>
  </si>
  <si>
    <t>grischa</t>
  </si>
  <si>
    <t>stuck</t>
  </si>
  <si>
    <t>sprengladungen</t>
  </si>
  <si>
    <t>majors</t>
  </si>
  <si>
    <t>hud</t>
  </si>
  <si>
    <t>mcneil</t>
  </si>
  <si>
    <t>pampa</t>
  </si>
  <si>
    <t>brüller</t>
  </si>
  <si>
    <t>rebel</t>
  </si>
  <si>
    <t>fortzuführen</t>
  </si>
  <si>
    <t>engstirnig</t>
  </si>
  <si>
    <t>berührungen</t>
  </si>
  <si>
    <t>vergünstigungen</t>
  </si>
  <si>
    <t>peseten</t>
  </si>
  <si>
    <t>entzückendes</t>
  </si>
  <si>
    <t>hackett</t>
  </si>
  <si>
    <t>zeitalters</t>
  </si>
  <si>
    <t>befehligen</t>
  </si>
  <si>
    <t>ausübt</t>
  </si>
  <si>
    <t>royale</t>
  </si>
  <si>
    <t>michi</t>
  </si>
  <si>
    <t>traumhaus</t>
  </si>
  <si>
    <t>jähzornig</t>
  </si>
  <si>
    <t>vaterunser</t>
  </si>
  <si>
    <t>betrauern</t>
  </si>
  <si>
    <t>schh</t>
  </si>
  <si>
    <t>tuten</t>
  </si>
  <si>
    <t>maserati</t>
  </si>
  <si>
    <t>dazustehen</t>
  </si>
  <si>
    <t>gee</t>
  </si>
  <si>
    <t>liddy</t>
  </si>
  <si>
    <t>dienstgrad</t>
  </si>
  <si>
    <t>assistant</t>
  </si>
  <si>
    <t>berechtigung</t>
  </si>
  <si>
    <t>lichtschwert</t>
  </si>
  <si>
    <t>traumjob</t>
  </si>
  <si>
    <t>prinzipiell</t>
  </si>
  <si>
    <t>change</t>
  </si>
  <si>
    <t>interessenkonflikt</t>
  </si>
  <si>
    <t>polanski</t>
  </si>
  <si>
    <t>taugst</t>
  </si>
  <si>
    <t>heruntergekommen</t>
  </si>
  <si>
    <t>10-mal</t>
  </si>
  <si>
    <t>räumlichkeiten</t>
  </si>
  <si>
    <t>grauenhafte</t>
  </si>
  <si>
    <t>registriere</t>
  </si>
  <si>
    <t>alans</t>
  </si>
  <si>
    <t>solveig</t>
  </si>
  <si>
    <t>neurale</t>
  </si>
  <si>
    <t>béatrice</t>
  </si>
  <si>
    <t>halbfinale</t>
  </si>
  <si>
    <t>hops</t>
  </si>
  <si>
    <t>teelöffel</t>
  </si>
  <si>
    <t>nabel</t>
  </si>
  <si>
    <t>dreiviertel</t>
  </si>
  <si>
    <t>schlucker</t>
  </si>
  <si>
    <t>bügel</t>
  </si>
  <si>
    <t>jesús</t>
  </si>
  <si>
    <t>verdreckt</t>
  </si>
  <si>
    <t>wildesten</t>
  </si>
  <si>
    <t>deute</t>
  </si>
  <si>
    <t>plädiert</t>
  </si>
  <si>
    <t>rundum</t>
  </si>
  <si>
    <t>malachi</t>
  </si>
  <si>
    <t>hors</t>
  </si>
  <si>
    <t>gesprächsthema</t>
  </si>
  <si>
    <t>marigold</t>
  </si>
  <si>
    <t>übelste</t>
  </si>
  <si>
    <t>grundlegenden</t>
  </si>
  <si>
    <t>stornieren</t>
  </si>
  <si>
    <t>argus</t>
  </si>
  <si>
    <t>chao</t>
  </si>
  <si>
    <t>kovacs</t>
  </si>
  <si>
    <t>coopers</t>
  </si>
  <si>
    <t>methan</t>
  </si>
  <si>
    <t>körperkontakt</t>
  </si>
  <si>
    <t>ausnahmezustand</t>
  </si>
  <si>
    <t>relaxen</t>
  </si>
  <si>
    <t>bri</t>
  </si>
  <si>
    <t>ny</t>
  </si>
  <si>
    <t>androide</t>
  </si>
  <si>
    <t>jehovas</t>
  </si>
  <si>
    <t>qualm</t>
  </si>
  <si>
    <t>marlow</t>
  </si>
  <si>
    <t>knows</t>
  </si>
  <si>
    <t>schottische</t>
  </si>
  <si>
    <t>umleitung</t>
  </si>
  <si>
    <t>felsbrocken</t>
  </si>
  <si>
    <t>mighty</t>
  </si>
  <si>
    <t>biographie</t>
  </si>
  <si>
    <t>stech</t>
  </si>
  <si>
    <t>anzutreffen</t>
  </si>
  <si>
    <t>mokka</t>
  </si>
  <si>
    <t>rückschläge</t>
  </si>
  <si>
    <t>auster</t>
  </si>
  <si>
    <t>momentchen</t>
  </si>
  <si>
    <t>naina</t>
  </si>
  <si>
    <t>explosive</t>
  </si>
  <si>
    <t>zersplittert</t>
  </si>
  <si>
    <t>uptown</t>
  </si>
  <si>
    <t>hurt</t>
  </si>
  <si>
    <t>gestrige</t>
  </si>
  <si>
    <t>laien</t>
  </si>
  <si>
    <t>kapitäns</t>
  </si>
  <si>
    <t>wg</t>
  </si>
  <si>
    <t>verbring</t>
  </si>
  <si>
    <t>nanni</t>
  </si>
  <si>
    <t>rave</t>
  </si>
  <si>
    <t>inhalator</t>
  </si>
  <si>
    <t>umzustimmen</t>
  </si>
  <si>
    <t>hochzeitsfeier</t>
  </si>
  <si>
    <t>kartenspielen</t>
  </si>
  <si>
    <t>pforten</t>
  </si>
  <si>
    <t>rosmarin</t>
  </si>
  <si>
    <t>jubelrufe</t>
  </si>
  <si>
    <t>süßkartoffeln</t>
  </si>
  <si>
    <t>tiefstes</t>
  </si>
  <si>
    <t>angemessenes</t>
  </si>
  <si>
    <t>breck</t>
  </si>
  <si>
    <t>petja</t>
  </si>
  <si>
    <t>konföderierten</t>
  </si>
  <si>
    <t>trampeln</t>
  </si>
  <si>
    <t>kunstform</t>
  </si>
  <si>
    <t>errungenschaft</t>
  </si>
  <si>
    <t>einbilden</t>
  </si>
  <si>
    <t>colonna</t>
  </si>
  <si>
    <t>lesbischen</t>
  </si>
  <si>
    <t>prospekt</t>
  </si>
  <si>
    <t>leut</t>
  </si>
  <si>
    <t>näherkommen</t>
  </si>
  <si>
    <t>sorgsam</t>
  </si>
  <si>
    <t>verneigen</t>
  </si>
  <si>
    <t>logis</t>
  </si>
  <si>
    <t>kreuzes</t>
  </si>
  <si>
    <t>gehilfen</t>
  </si>
  <si>
    <t>ostsee</t>
  </si>
  <si>
    <t>schlachtschiff</t>
  </si>
  <si>
    <t>abfangkurs</t>
  </si>
  <si>
    <t>mattias</t>
  </si>
  <si>
    <t>würdenträger</t>
  </si>
  <si>
    <t>unzurechnungsfähigkeit</t>
  </si>
  <si>
    <t>avatare</t>
  </si>
  <si>
    <t>rausgefallen</t>
  </si>
  <si>
    <t>belmont</t>
  </si>
  <si>
    <t>hauptgang</t>
  </si>
  <si>
    <t>ergänzung</t>
  </si>
  <si>
    <t>mafioso</t>
  </si>
  <si>
    <t>schlachtet</t>
  </si>
  <si>
    <t>stand-by</t>
  </si>
  <si>
    <t>stundenplan</t>
  </si>
  <si>
    <t>whale</t>
  </si>
  <si>
    <t>rollie</t>
  </si>
  <si>
    <t>hiob</t>
  </si>
  <si>
    <t>staatsbürgerschaft</t>
  </si>
  <si>
    <t>rebelliert</t>
  </si>
  <si>
    <t>henny</t>
  </si>
  <si>
    <t>exakten</t>
  </si>
  <si>
    <t>telefonleitungen</t>
  </si>
  <si>
    <t>bisserl</t>
  </si>
  <si>
    <t>unmissverständlich</t>
  </si>
  <si>
    <t>maclaren</t>
  </si>
  <si>
    <t>pensionierter</t>
  </si>
  <si>
    <t>reales</t>
  </si>
  <si>
    <t>bluffst</t>
  </si>
  <si>
    <t>rüsten</t>
  </si>
  <si>
    <t>probefahrt</t>
  </si>
  <si>
    <t>begräbt</t>
  </si>
  <si>
    <t>stromrechnung</t>
  </si>
  <si>
    <t>atomkraftwerk</t>
  </si>
  <si>
    <t>entwaffnet</t>
  </si>
  <si>
    <t>griechischer</t>
  </si>
  <si>
    <t>weilen</t>
  </si>
  <si>
    <t>chrysler</t>
  </si>
  <si>
    <t>fähigen</t>
  </si>
  <si>
    <t>pantomime</t>
  </si>
  <si>
    <t>zwecken</t>
  </si>
  <si>
    <t>platzierte</t>
  </si>
  <si>
    <t>sim-karte</t>
  </si>
  <si>
    <t>golem</t>
  </si>
  <si>
    <t>eriksson</t>
  </si>
  <si>
    <t>festigen</t>
  </si>
  <si>
    <t>beleidigte</t>
  </si>
  <si>
    <t>mccluskey</t>
  </si>
  <si>
    <t>taubstumm</t>
  </si>
  <si>
    <t>nostalgisch</t>
  </si>
  <si>
    <t>schliff</t>
  </si>
  <si>
    <t>satellitentelefon</t>
  </si>
  <si>
    <t>häuslich</t>
  </si>
  <si>
    <t>amal</t>
  </si>
  <si>
    <t>bloßzustellen</t>
  </si>
  <si>
    <t>meningitis</t>
  </si>
  <si>
    <t>mongo</t>
  </si>
  <si>
    <t>sediert</t>
  </si>
  <si>
    <t>brennst</t>
  </si>
  <si>
    <t>lace</t>
  </si>
  <si>
    <t>investment</t>
  </si>
  <si>
    <t>ärztlichen</t>
  </si>
  <si>
    <t>ostflügel</t>
  </si>
  <si>
    <t>import</t>
  </si>
  <si>
    <t>kendal</t>
  </si>
  <si>
    <t>nachlesen</t>
  </si>
  <si>
    <t>attacken</t>
  </si>
  <si>
    <t>spazierte</t>
  </si>
  <si>
    <t>pongo</t>
  </si>
  <si>
    <t>medea</t>
  </si>
  <si>
    <t>kirmes</t>
  </si>
  <si>
    <t>mündliche</t>
  </si>
  <si>
    <t>lausche</t>
  </si>
  <si>
    <t>besoffene</t>
  </si>
  <si>
    <t>nährstoffe</t>
  </si>
  <si>
    <t>wehmütige</t>
  </si>
  <si>
    <t>verwurzelt</t>
  </si>
  <si>
    <t>laborergebnisse</t>
  </si>
  <si>
    <t>edge</t>
  </si>
  <si>
    <t>rumgefahren</t>
  </si>
  <si>
    <t>externen</t>
  </si>
  <si>
    <t>koreanische</t>
  </si>
  <si>
    <t>nöten</t>
  </si>
  <si>
    <t>pargalı</t>
  </si>
  <si>
    <t>pawel</t>
  </si>
  <si>
    <t>kemal</t>
  </si>
  <si>
    <t>verzicht</t>
  </si>
  <si>
    <t>realer</t>
  </si>
  <si>
    <t>tanke</t>
  </si>
  <si>
    <t>konfetti</t>
  </si>
  <si>
    <t>unabsichtlich</t>
  </si>
  <si>
    <t>munkelt</t>
  </si>
  <si>
    <t>instituts</t>
  </si>
  <si>
    <t>ladegerät</t>
  </si>
  <si>
    <t>ausdehnen</t>
  </si>
  <si>
    <t>begebe</t>
  </si>
  <si>
    <t>chalmers</t>
  </si>
  <si>
    <t>wegzurennen</t>
  </si>
  <si>
    <t>bleichmittel</t>
  </si>
  <si>
    <t>moser</t>
  </si>
  <si>
    <t>nerz</t>
  </si>
  <si>
    <t>häuslicher</t>
  </si>
  <si>
    <t>kebab</t>
  </si>
  <si>
    <t>eigens</t>
  </si>
  <si>
    <t>bettle</t>
  </si>
  <si>
    <t>rührte</t>
  </si>
  <si>
    <t>services</t>
  </si>
  <si>
    <t>ekelt</t>
  </si>
  <si>
    <t>verschissenen</t>
  </si>
  <si>
    <t>betriebssystem</t>
  </si>
  <si>
    <t>silben</t>
  </si>
  <si>
    <t>indianische</t>
  </si>
  <si>
    <t>coral</t>
  </si>
  <si>
    <t>zusammengeflickt</t>
  </si>
  <si>
    <t>oops</t>
  </si>
  <si>
    <t>erstgeborenen</t>
  </si>
  <si>
    <t>pieper</t>
  </si>
  <si>
    <t>torheit</t>
  </si>
  <si>
    <t>aufrollen</t>
  </si>
  <si>
    <t>hershel</t>
  </si>
  <si>
    <t>schandfleck</t>
  </si>
  <si>
    <t>projizieren</t>
  </si>
  <si>
    <t>widerlegt</t>
  </si>
  <si>
    <t>kimono</t>
  </si>
  <si>
    <t>vorbeugen</t>
  </si>
  <si>
    <t>stoßt</t>
  </si>
  <si>
    <t>hellraiser</t>
  </si>
  <si>
    <t>krassen</t>
  </si>
  <si>
    <t>gesinnung</t>
  </si>
  <si>
    <t>figueroa</t>
  </si>
  <si>
    <t>urinieren</t>
  </si>
  <si>
    <t>schmitz</t>
  </si>
  <si>
    <t>königshaus</t>
  </si>
  <si>
    <t>droide</t>
  </si>
  <si>
    <t>jughead</t>
  </si>
  <si>
    <t>erwürge</t>
  </si>
  <si>
    <t>mustangs</t>
  </si>
  <si>
    <t>eindämmen</t>
  </si>
  <si>
    <t>einsatzzentrale</t>
  </si>
  <si>
    <t>tendenzen</t>
  </si>
  <si>
    <t>kiesel</t>
  </si>
  <si>
    <t>beyoncé</t>
  </si>
  <si>
    <t>gedichten</t>
  </si>
  <si>
    <t>erneute</t>
  </si>
  <si>
    <t>awards</t>
  </si>
  <si>
    <t>sigmund</t>
  </si>
  <si>
    <t>geflickt</t>
  </si>
  <si>
    <t>einsatzes</t>
  </si>
  <si>
    <t>bluthochdruck</t>
  </si>
  <si>
    <t>connelly</t>
  </si>
  <si>
    <t>kriegsministerium</t>
  </si>
  <si>
    <t>loswerde</t>
  </si>
  <si>
    <t>verstümmeln</t>
  </si>
  <si>
    <t>pasteten</t>
  </si>
  <si>
    <t>sandoval</t>
  </si>
  <si>
    <t>überschrift</t>
  </si>
  <si>
    <t>pionier</t>
  </si>
  <si>
    <t>folsom</t>
  </si>
  <si>
    <t>schützengraben</t>
  </si>
  <si>
    <t>dulles</t>
  </si>
  <si>
    <t>anmerkung</t>
  </si>
  <si>
    <t>kosmetik</t>
  </si>
  <si>
    <t>aufsätze</t>
  </si>
  <si>
    <t>unüberlegt</t>
  </si>
  <si>
    <t>rauszubekommen</t>
  </si>
  <si>
    <t>liberale</t>
  </si>
  <si>
    <t>streichelt</t>
  </si>
  <si>
    <t>frechen</t>
  </si>
  <si>
    <t>corrigan</t>
  </si>
  <si>
    <t>anzukämpfen</t>
  </si>
  <si>
    <t>flughöhe</t>
  </si>
  <si>
    <t>großonkel</t>
  </si>
  <si>
    <t>reservoir</t>
  </si>
  <si>
    <t>ursprungs</t>
  </si>
  <si>
    <t>knallte</t>
  </si>
  <si>
    <t>doppelzimmer</t>
  </si>
  <si>
    <t>elektroschocker</t>
  </si>
  <si>
    <t>wickie</t>
  </si>
  <si>
    <t>zathras</t>
  </si>
  <si>
    <t>sopranos</t>
  </si>
  <si>
    <t>augenklappe</t>
  </si>
  <si>
    <t>wharton</t>
  </si>
  <si>
    <t>bekanntgabe</t>
  </si>
  <si>
    <t>pute</t>
  </si>
  <si>
    <t>trotter</t>
  </si>
  <si>
    <t>erpresste</t>
  </si>
  <si>
    <t>hausgemachte</t>
  </si>
  <si>
    <t>frisco</t>
  </si>
  <si>
    <t>crocker</t>
  </si>
  <si>
    <t>eastern</t>
  </si>
  <si>
    <t>raubüberfälle</t>
  </si>
  <si>
    <t>wegläufst</t>
  </si>
  <si>
    <t>vollkommenheit</t>
  </si>
  <si>
    <t>erkauft</t>
  </si>
  <si>
    <t>konventionen</t>
  </si>
  <si>
    <t>seriennummern</t>
  </si>
  <si>
    <t>jammerst</t>
  </si>
  <si>
    <t>véronique</t>
  </si>
  <si>
    <t>niedergelassen</t>
  </si>
  <si>
    <t>sunrise</t>
  </si>
  <si>
    <t>armada</t>
  </si>
  <si>
    <t>kazuo</t>
  </si>
  <si>
    <t>trail</t>
  </si>
  <si>
    <t>taschenlampen</t>
  </si>
  <si>
    <t>massakriert</t>
  </si>
  <si>
    <t>volumen</t>
  </si>
  <si>
    <t>wanken</t>
  </si>
  <si>
    <t>pookie</t>
  </si>
  <si>
    <t>rumgehangen</t>
  </si>
  <si>
    <t>stutzen</t>
  </si>
  <si>
    <t>buongiorno</t>
  </si>
  <si>
    <t>paine</t>
  </si>
  <si>
    <t>jochen</t>
  </si>
  <si>
    <t>unterstützten</t>
  </si>
  <si>
    <t>irgendwelches</t>
  </si>
  <si>
    <t>fertige</t>
  </si>
  <si>
    <t>entlocken</t>
  </si>
  <si>
    <t>titanen</t>
  </si>
  <si>
    <t>anämie</t>
  </si>
  <si>
    <t>strolche</t>
  </si>
  <si>
    <t>gutaussehenden</t>
  </si>
  <si>
    <t>schnickschnack</t>
  </si>
  <si>
    <t>aufgezwungen</t>
  </si>
  <si>
    <t>eizellen</t>
  </si>
  <si>
    <t>skype</t>
  </si>
  <si>
    <t>kinsey</t>
  </si>
  <si>
    <t>kommissariat</t>
  </si>
  <si>
    <t>fündig</t>
  </si>
  <si>
    <t>einreiben</t>
  </si>
  <si>
    <t>organisch</t>
  </si>
  <si>
    <t>tapetenwechsel</t>
  </si>
  <si>
    <t>primären</t>
  </si>
  <si>
    <t>kontroverse</t>
  </si>
  <si>
    <t>kniescheibe</t>
  </si>
  <si>
    <t>anzurichten</t>
  </si>
  <si>
    <t>kilian</t>
  </si>
  <si>
    <t>holle</t>
  </si>
  <si>
    <t>achso</t>
  </si>
  <si>
    <t>begierden</t>
  </si>
  <si>
    <t>belgische</t>
  </si>
  <si>
    <t>woodstock</t>
  </si>
  <si>
    <t>verkörperung</t>
  </si>
  <si>
    <t>voraussichtlich</t>
  </si>
  <si>
    <t>women</t>
  </si>
  <si>
    <t>amputation</t>
  </si>
  <si>
    <t>robyn</t>
  </si>
  <si>
    <t>triple</t>
  </si>
  <si>
    <t>wandten</t>
  </si>
  <si>
    <t>golfer</t>
  </si>
  <si>
    <t>menschenkenntnis</t>
  </si>
  <si>
    <t>gehustet</t>
  </si>
  <si>
    <t>silo</t>
  </si>
  <si>
    <t>hurenbock</t>
  </si>
  <si>
    <t>kreises</t>
  </si>
  <si>
    <t>ökosystem</t>
  </si>
  <si>
    <t>khans</t>
  </si>
  <si>
    <t>opferst</t>
  </si>
  <si>
    <t>herumkommandieren</t>
  </si>
  <si>
    <t>aufrechter</t>
  </si>
  <si>
    <t>flanken</t>
  </si>
  <si>
    <t>ausseht</t>
  </si>
  <si>
    <t>schwanken</t>
  </si>
  <si>
    <t>scharfrichter</t>
  </si>
  <si>
    <t>mistding</t>
  </si>
  <si>
    <t>vermißt</t>
  </si>
  <si>
    <t>deej</t>
  </si>
  <si>
    <t>mündung</t>
  </si>
  <si>
    <t>andacht</t>
  </si>
  <si>
    <t>hochladen</t>
  </si>
  <si>
    <t>unkonventionell</t>
  </si>
  <si>
    <t>wortschatz</t>
  </si>
  <si>
    <t>abbys</t>
  </si>
  <si>
    <t>künstlerischen</t>
  </si>
  <si>
    <t>traumatische</t>
  </si>
  <si>
    <t>arbeitsstelle</t>
  </si>
  <si>
    <t>vasek</t>
  </si>
  <si>
    <t>capra</t>
  </si>
  <si>
    <t>telefonierst</t>
  </si>
  <si>
    <t>azteken</t>
  </si>
  <si>
    <t>pizzas</t>
  </si>
  <si>
    <t>gepaart</t>
  </si>
  <si>
    <t>bare</t>
  </si>
  <si>
    <t>malick</t>
  </si>
  <si>
    <t>aufgewärmt</t>
  </si>
  <si>
    <t>hoffnungslosen</t>
  </si>
  <si>
    <t>ludlow</t>
  </si>
  <si>
    <t>ivar</t>
  </si>
  <si>
    <t>wiederkam</t>
  </si>
  <si>
    <t>impfungen</t>
  </si>
  <si>
    <t>schläfer</t>
  </si>
  <si>
    <t>minigolf</t>
  </si>
  <si>
    <t>empathie</t>
  </si>
  <si>
    <t>deserteure</t>
  </si>
  <si>
    <t>eingekreist</t>
  </si>
  <si>
    <t>pernille</t>
  </si>
  <si>
    <t>beliebtheit</t>
  </si>
  <si>
    <t>weiã</t>
  </si>
  <si>
    <t>verständige</t>
  </si>
  <si>
    <t>zerstückeln</t>
  </si>
  <si>
    <t>ausdrückt</t>
  </si>
  <si>
    <t>holtz</t>
  </si>
  <si>
    <t>zebras</t>
  </si>
  <si>
    <t>besinnen</t>
  </si>
  <si>
    <t>kognak</t>
  </si>
  <si>
    <t>informantin</t>
  </si>
  <si>
    <t>totschlags</t>
  </si>
  <si>
    <t>squaw</t>
  </si>
  <si>
    <t>satine</t>
  </si>
  <si>
    <t>dürr</t>
  </si>
  <si>
    <t>begeisterter</t>
  </si>
  <si>
    <t>vermassle</t>
  </si>
  <si>
    <t>formeln</t>
  </si>
  <si>
    <t>verschwörungen</t>
  </si>
  <si>
    <t>hoskins</t>
  </si>
  <si>
    <t>kana</t>
  </si>
  <si>
    <t>ertappen</t>
  </si>
  <si>
    <t>tanger</t>
  </si>
  <si>
    <t>pressemitteilung</t>
  </si>
  <si>
    <t>heizt</t>
  </si>
  <si>
    <t>mitzuhalten</t>
  </si>
  <si>
    <t>satzung</t>
  </si>
  <si>
    <t>vorbeigeschaut</t>
  </si>
  <si>
    <t>rehabilitieren</t>
  </si>
  <si>
    <t>druckwelle</t>
  </si>
  <si>
    <t>komplexität</t>
  </si>
  <si>
    <t>pools</t>
  </si>
  <si>
    <t>weiterzuziehen</t>
  </si>
  <si>
    <t>hatch</t>
  </si>
  <si>
    <t>weggepustet</t>
  </si>
  <si>
    <t>gaylord</t>
  </si>
  <si>
    <t>anlässe</t>
  </si>
  <si>
    <t>abkürzungen</t>
  </si>
  <si>
    <t>weltreise</t>
  </si>
  <si>
    <t>keuschheit</t>
  </si>
  <si>
    <t>notstand</t>
  </si>
  <si>
    <t>kopfhaut</t>
  </si>
  <si>
    <t>lauderdale</t>
  </si>
  <si>
    <t>dezent</t>
  </si>
  <si>
    <t>stubenarrest</t>
  </si>
  <si>
    <t>bow</t>
  </si>
  <si>
    <t>kostenvoranschlag</t>
  </si>
  <si>
    <t>magnetfeld</t>
  </si>
  <si>
    <t>zeigs</t>
  </si>
  <si>
    <t>garret</t>
  </si>
  <si>
    <t>durchgeknallter</t>
  </si>
  <si>
    <t>zweifelsfrei</t>
  </si>
  <si>
    <t>producer</t>
  </si>
  <si>
    <t>pollo</t>
  </si>
  <si>
    <t>vernebelt</t>
  </si>
  <si>
    <t>defekten</t>
  </si>
  <si>
    <t>kaye</t>
  </si>
  <si>
    <t>ferse</t>
  </si>
  <si>
    <t>großmütig</t>
  </si>
  <si>
    <t>verpfändet</t>
  </si>
  <si>
    <t>naniten</t>
  </si>
  <si>
    <t>sandkasten</t>
  </si>
  <si>
    <t>rankommt</t>
  </si>
  <si>
    <t>einzudämmen</t>
  </si>
  <si>
    <t>liesl</t>
  </si>
  <si>
    <t>biste</t>
  </si>
  <si>
    <t>vertickt</t>
  </si>
  <si>
    <t>nordsee</t>
  </si>
  <si>
    <t>ishmael</t>
  </si>
  <si>
    <t>mano</t>
  </si>
  <si>
    <t>pussys</t>
  </si>
  <si>
    <t>todesliste</t>
  </si>
  <si>
    <t>profikiller</t>
  </si>
  <si>
    <t>farr</t>
  </si>
  <si>
    <t>jagger</t>
  </si>
  <si>
    <t>empfindlichen</t>
  </si>
  <si>
    <t>rühreier</t>
  </si>
  <si>
    <t>sicherheitskamera</t>
  </si>
  <si>
    <t>vorgetragen</t>
  </si>
  <si>
    <t>solides</t>
  </si>
  <si>
    <t>ständiges</t>
  </si>
  <si>
    <t>pelham</t>
  </si>
  <si>
    <t>blutwurst</t>
  </si>
  <si>
    <t>merkmal</t>
  </si>
  <si>
    <t>selbstbeherrschung</t>
  </si>
  <si>
    <t>nuck</t>
  </si>
  <si>
    <t>iranischen</t>
  </si>
  <si>
    <t>olympische</t>
  </si>
  <si>
    <t>padawan</t>
  </si>
  <si>
    <t>schrilles</t>
  </si>
  <si>
    <t>mmmh</t>
  </si>
  <si>
    <t>fixer</t>
  </si>
  <si>
    <t>ersatzmann</t>
  </si>
  <si>
    <t>weihnachtsabend</t>
  </si>
  <si>
    <t>wilfried</t>
  </si>
  <si>
    <t>sur</t>
  </si>
  <si>
    <t>transferiert</t>
  </si>
  <si>
    <t>ängstliche</t>
  </si>
  <si>
    <t>weglocken</t>
  </si>
  <si>
    <t>stamper</t>
  </si>
  <si>
    <t>erstarren</t>
  </si>
  <si>
    <t>toppen</t>
  </si>
  <si>
    <t>südfrankreich</t>
  </si>
  <si>
    <t>yoon</t>
  </si>
  <si>
    <t>anzuzeigen</t>
  </si>
  <si>
    <t>schadensbegrenzung</t>
  </si>
  <si>
    <t>schädigen</t>
  </si>
  <si>
    <t>roach</t>
  </si>
  <si>
    <t>metz</t>
  </si>
  <si>
    <t>hausarbeiten</t>
  </si>
  <si>
    <t>ernannte</t>
  </si>
  <si>
    <t>abgeblieben</t>
  </si>
  <si>
    <t>einheimischer</t>
  </si>
  <si>
    <t>tyrion</t>
  </si>
  <si>
    <t>kehlkopf</t>
  </si>
  <si>
    <t>heimkommst</t>
  </si>
  <si>
    <t>glänzender</t>
  </si>
  <si>
    <t>takte</t>
  </si>
  <si>
    <t>blanca</t>
  </si>
  <si>
    <t>ärmer</t>
  </si>
  <si>
    <t>verdächtigungen</t>
  </si>
  <si>
    <t>indianapolis</t>
  </si>
  <si>
    <t>wesson</t>
  </si>
  <si>
    <t>lebensqualität</t>
  </si>
  <si>
    <t>conlon</t>
  </si>
  <si>
    <t>stafford</t>
  </si>
  <si>
    <t>kastanien</t>
  </si>
  <si>
    <t>hausherr</t>
  </si>
  <si>
    <t>massenweise</t>
  </si>
  <si>
    <t>befreiten</t>
  </si>
  <si>
    <t>massa</t>
  </si>
  <si>
    <t>abtrennen</t>
  </si>
  <si>
    <t>vorzug</t>
  </si>
  <si>
    <t>empfängst</t>
  </si>
  <si>
    <t>auserkoren</t>
  </si>
  <si>
    <t>anspringen</t>
  </si>
  <si>
    <t>polka</t>
  </si>
  <si>
    <t>republikanischen</t>
  </si>
  <si>
    <t>nachfolgerin</t>
  </si>
  <si>
    <t>redakteurin</t>
  </si>
  <si>
    <t>zuschuss</t>
  </si>
  <si>
    <t>tout</t>
  </si>
  <si>
    <t>gitarren</t>
  </si>
  <si>
    <t>weekly</t>
  </si>
  <si>
    <t>anfängerglück</t>
  </si>
  <si>
    <t>rettungskapsel</t>
  </si>
  <si>
    <t>musikalischen</t>
  </si>
  <si>
    <t>lindbergh</t>
  </si>
  <si>
    <t>leibesvisitation</t>
  </si>
  <si>
    <t>rollbahn</t>
  </si>
  <si>
    <t>hamish</t>
  </si>
  <si>
    <t>dackel</t>
  </si>
  <si>
    <t>darlegen</t>
  </si>
  <si>
    <t>fandet</t>
  </si>
  <si>
    <t>füllst</t>
  </si>
  <si>
    <t>zusammengehören</t>
  </si>
  <si>
    <t>bwana</t>
  </si>
  <si>
    <t>todesfalle</t>
  </si>
  <si>
    <t>schmerzhafter</t>
  </si>
  <si>
    <t>lachhaft</t>
  </si>
  <si>
    <t>mörser</t>
  </si>
  <si>
    <t>shauna</t>
  </si>
  <si>
    <t>dreikäsehoch</t>
  </si>
  <si>
    <t>loses</t>
  </si>
  <si>
    <t>yet</t>
  </si>
  <si>
    <t>ramme</t>
  </si>
  <si>
    <t>zurückzunehmen</t>
  </si>
  <si>
    <t>schwindlerin</t>
  </si>
  <si>
    <t>santini</t>
  </si>
  <si>
    <t>barnaby</t>
  </si>
  <si>
    <t>catch</t>
  </si>
  <si>
    <t>anjali</t>
  </si>
  <si>
    <t>drinsteht</t>
  </si>
  <si>
    <t>purem</t>
  </si>
  <si>
    <t>sauren</t>
  </si>
  <si>
    <t>aufhebung</t>
  </si>
  <si>
    <t>mitspracherecht</t>
  </si>
  <si>
    <t>kriegsverbrecher</t>
  </si>
  <si>
    <t>onkelchen</t>
  </si>
  <si>
    <t>gefährdete</t>
  </si>
  <si>
    <t>killern</t>
  </si>
  <si>
    <t>emp</t>
  </si>
  <si>
    <t>abgewickelt</t>
  </si>
  <si>
    <t>trav</t>
  </si>
  <si>
    <t>ferg</t>
  </si>
  <si>
    <t>meinetwillen</t>
  </si>
  <si>
    <t>lazlo</t>
  </si>
  <si>
    <t>ce</t>
  </si>
  <si>
    <t>croissant</t>
  </si>
  <si>
    <t>apparate</t>
  </si>
  <si>
    <t>anhabe</t>
  </si>
  <si>
    <t>unvergleichlich</t>
  </si>
  <si>
    <t>auswertung</t>
  </si>
  <si>
    <t>drogenmissbrauch</t>
  </si>
  <si>
    <t>hakim</t>
  </si>
  <si>
    <t>amar</t>
  </si>
  <si>
    <t>bestattungsinstitut</t>
  </si>
  <si>
    <t>erdoberfläche</t>
  </si>
  <si>
    <t>erachtet</t>
  </si>
  <si>
    <t>erschaffer</t>
  </si>
  <si>
    <t>einfachheit</t>
  </si>
  <si>
    <t>deux</t>
  </si>
  <si>
    <t>alphabetisch</t>
  </si>
  <si>
    <t>nervenklinik</t>
  </si>
  <si>
    <t>hauptbahnhof</t>
  </si>
  <si>
    <t>stuss</t>
  </si>
  <si>
    <t>chérie</t>
  </si>
  <si>
    <t>szenarien</t>
  </si>
  <si>
    <t>zurückweisung</t>
  </si>
  <si>
    <t>katrine</t>
  </si>
  <si>
    <t>fruit</t>
  </si>
  <si>
    <t>y.</t>
  </si>
  <si>
    <t>stürmische</t>
  </si>
  <si>
    <t>teekanne</t>
  </si>
  <si>
    <t>autors</t>
  </si>
  <si>
    <t>beherrschst</t>
  </si>
  <si>
    <t>gusto</t>
  </si>
  <si>
    <t>handfestes</t>
  </si>
  <si>
    <t>dramatik</t>
  </si>
  <si>
    <t>halsey</t>
  </si>
  <si>
    <t>silberner</t>
  </si>
  <si>
    <t>registrierte</t>
  </si>
  <si>
    <t>grabsteine</t>
  </si>
  <si>
    <t>spendenaktion</t>
  </si>
  <si>
    <t>mouse</t>
  </si>
  <si>
    <t>idefix</t>
  </si>
  <si>
    <t>faszinieren</t>
  </si>
  <si>
    <t>darts</t>
  </si>
  <si>
    <t>leert</t>
  </si>
  <si>
    <t>mozzie</t>
  </si>
  <si>
    <t>dorftrottel</t>
  </si>
  <si>
    <t>gebrauchtwagen</t>
  </si>
  <si>
    <t>logistik</t>
  </si>
  <si>
    <t>vu</t>
  </si>
  <si>
    <t>gu</t>
  </si>
  <si>
    <t>spezifische</t>
  </si>
  <si>
    <t>hutmacher</t>
  </si>
  <si>
    <t>x-akten</t>
  </si>
  <si>
    <t>pal</t>
  </si>
  <si>
    <t>zeichensprache</t>
  </si>
  <si>
    <t>beschneidung</t>
  </si>
  <si>
    <t>pendleton</t>
  </si>
  <si>
    <t>alkoholikern</t>
  </si>
  <si>
    <t>guinevere</t>
  </si>
  <si>
    <t>sonderkommando</t>
  </si>
  <si>
    <t>mildernde</t>
  </si>
  <si>
    <t>hiebe</t>
  </si>
  <si>
    <t>klärchen</t>
  </si>
  <si>
    <t>stricher</t>
  </si>
  <si>
    <t>kapitäne</t>
  </si>
  <si>
    <t>angemalt</t>
  </si>
  <si>
    <t>nachspioniert</t>
  </si>
  <si>
    <t>schwadron</t>
  </si>
  <si>
    <t>carls</t>
  </si>
  <si>
    <t>drangen</t>
  </si>
  <si>
    <t>mm-mm</t>
  </si>
  <si>
    <t>verschärft</t>
  </si>
  <si>
    <t>janeiro</t>
  </si>
  <si>
    <t>mirror</t>
  </si>
  <si>
    <t>presst</t>
  </si>
  <si>
    <t>absurden</t>
  </si>
  <si>
    <t>arch</t>
  </si>
  <si>
    <t>augenweide</t>
  </si>
  <si>
    <t>scheißtag</t>
  </si>
  <si>
    <t>romantischste</t>
  </si>
  <si>
    <t>bran</t>
  </si>
  <si>
    <t>betrügereien</t>
  </si>
  <si>
    <t>canal</t>
  </si>
  <si>
    <t>konsumiert</t>
  </si>
  <si>
    <t>unschöne</t>
  </si>
  <si>
    <t>eskimos</t>
  </si>
  <si>
    <t>unterkühlung</t>
  </si>
  <si>
    <t>gesamtbild</t>
  </si>
  <si>
    <t>koen</t>
  </si>
  <si>
    <t>eheberatung</t>
  </si>
  <si>
    <t>familienmensch</t>
  </si>
  <si>
    <t>bauchmuskeln</t>
  </si>
  <si>
    <t>zeitspanne</t>
  </si>
  <si>
    <t>erotik</t>
  </si>
  <si>
    <t>veranstalte</t>
  </si>
  <si>
    <t>loszulegen</t>
  </si>
  <si>
    <t>entgegenkommend</t>
  </si>
  <si>
    <t>laufsteg</t>
  </si>
  <si>
    <t>korrumpiert</t>
  </si>
  <si>
    <t>zusammenwohnen</t>
  </si>
  <si>
    <t>einzuleiten</t>
  </si>
  <si>
    <t>sandro</t>
  </si>
  <si>
    <t>boggs</t>
  </si>
  <si>
    <t>raserei</t>
  </si>
  <si>
    <t>katerina</t>
  </si>
  <si>
    <t>verkrafte</t>
  </si>
  <si>
    <t>mikrochip</t>
  </si>
  <si>
    <t>tätigkeiten</t>
  </si>
  <si>
    <t>tarek</t>
  </si>
  <si>
    <t>riesensache</t>
  </si>
  <si>
    <t>marlin</t>
  </si>
  <si>
    <t>aufsteigt</t>
  </si>
  <si>
    <t>verbindungsmann</t>
  </si>
  <si>
    <t>kohlenstoff</t>
  </si>
  <si>
    <t>coca-cola</t>
  </si>
  <si>
    <t>abtrünnig</t>
  </si>
  <si>
    <t>miesepeter</t>
  </si>
  <si>
    <t>vibration</t>
  </si>
  <si>
    <t>gruseliges</t>
  </si>
  <si>
    <t>absturzstelle</t>
  </si>
  <si>
    <t>montiert</t>
  </si>
  <si>
    <t>goldgrube</t>
  </si>
  <si>
    <t>topform</t>
  </si>
  <si>
    <t>rücklicht</t>
  </si>
  <si>
    <t>elkins</t>
  </si>
  <si>
    <t>harv</t>
  </si>
  <si>
    <t>nötiger</t>
  </si>
  <si>
    <t>grodd</t>
  </si>
  <si>
    <t>proust</t>
  </si>
  <si>
    <t>gloucester</t>
  </si>
  <si>
    <t>liber8</t>
  </si>
  <si>
    <t>einstudiert</t>
  </si>
  <si>
    <t>geheimnisvolles</t>
  </si>
  <si>
    <t>camaro</t>
  </si>
  <si>
    <t>portia</t>
  </si>
  <si>
    <t>ungleichgewicht</t>
  </si>
  <si>
    <t>zeremonien</t>
  </si>
  <si>
    <t>törichte</t>
  </si>
  <si>
    <t>neuester</t>
  </si>
  <si>
    <t>aushältst</t>
  </si>
  <si>
    <t>beschlagnahme</t>
  </si>
  <si>
    <t>muttersprache</t>
  </si>
  <si>
    <t>umständlich</t>
  </si>
  <si>
    <t>flachwichser</t>
  </si>
  <si>
    <t>handflächen</t>
  </si>
  <si>
    <t>bunk</t>
  </si>
  <si>
    <t>hinzugezogen</t>
  </si>
  <si>
    <t>tabelle</t>
  </si>
  <si>
    <t>geschosse</t>
  </si>
  <si>
    <t>stavros</t>
  </si>
  <si>
    <t>dreihundert</t>
  </si>
  <si>
    <t>dutzenden</t>
  </si>
  <si>
    <t>gedränge</t>
  </si>
  <si>
    <t>wirbelsturm</t>
  </si>
  <si>
    <t>bunter</t>
  </si>
  <si>
    <t>vergessene</t>
  </si>
  <si>
    <t>schatzes</t>
  </si>
  <si>
    <t>musikern</t>
  </si>
  <si>
    <t>speisewagen</t>
  </si>
  <si>
    <t>piero</t>
  </si>
  <si>
    <t>versicherungspolice</t>
  </si>
  <si>
    <t>psychos</t>
  </si>
  <si>
    <t>allererst</t>
  </si>
  <si>
    <t>erwärmt</t>
  </si>
  <si>
    <t>mikroben</t>
  </si>
  <si>
    <t>entpuppt</t>
  </si>
  <si>
    <t>zeitlos</t>
  </si>
  <si>
    <t>quan</t>
  </si>
  <si>
    <t>getrocknete</t>
  </si>
  <si>
    <t>mitschreiben</t>
  </si>
  <si>
    <t>delta-quadranten</t>
  </si>
  <si>
    <t>verpaßt</t>
  </si>
  <si>
    <t>zeitschleife</t>
  </si>
  <si>
    <t>scarraner</t>
  </si>
  <si>
    <t>prügeleien</t>
  </si>
  <si>
    <t>geleugnet</t>
  </si>
  <si>
    <t>landesweite</t>
  </si>
  <si>
    <t>verrenkt</t>
  </si>
  <si>
    <t>schwenkt</t>
  </si>
  <si>
    <t>einschleusen</t>
  </si>
  <si>
    <t>odette</t>
  </si>
  <si>
    <t>ablecken</t>
  </si>
  <si>
    <t>versaue</t>
  </si>
  <si>
    <t>besserem</t>
  </si>
  <si>
    <t>weitergekommen</t>
  </si>
  <si>
    <t>gesundheitsbehörde</t>
  </si>
  <si>
    <t>rémy</t>
  </si>
  <si>
    <t>brate</t>
  </si>
  <si>
    <t>ordnet</t>
  </si>
  <si>
    <t>überbringt</t>
  </si>
  <si>
    <t>modifikationen</t>
  </si>
  <si>
    <t>radiologie</t>
  </si>
  <si>
    <t>flugangst</t>
  </si>
  <si>
    <t>anlässlich</t>
  </si>
  <si>
    <t>abner</t>
  </si>
  <si>
    <t>beseitigung</t>
  </si>
  <si>
    <t>hausschlüssel</t>
  </si>
  <si>
    <t>hulot</t>
  </si>
  <si>
    <t>halbiert</t>
  </si>
  <si>
    <t>tapferste</t>
  </si>
  <si>
    <t>zuziehen</t>
  </si>
  <si>
    <t>marrakesch</t>
  </si>
  <si>
    <t>säue</t>
  </si>
  <si>
    <t>sommertag</t>
  </si>
  <si>
    <t>fegt</t>
  </si>
  <si>
    <t>schmuggelte</t>
  </si>
  <si>
    <t>dim</t>
  </si>
  <si>
    <t>norah</t>
  </si>
  <si>
    <t>stuhlgang</t>
  </si>
  <si>
    <t>thom</t>
  </si>
  <si>
    <t>anrührst</t>
  </si>
  <si>
    <t>sousa</t>
  </si>
  <si>
    <t>herumtreiber</t>
  </si>
  <si>
    <t>laptops</t>
  </si>
  <si>
    <t>bedingungslose</t>
  </si>
  <si>
    <t>cane</t>
  </si>
  <si>
    <t>unwahr</t>
  </si>
  <si>
    <t>niederschlagen</t>
  </si>
  <si>
    <t>entführe</t>
  </si>
  <si>
    <t>quartett</t>
  </si>
  <si>
    <t>bequemlichkeit</t>
  </si>
  <si>
    <t>richfield</t>
  </si>
  <si>
    <t>lautstark</t>
  </si>
  <si>
    <t>essay</t>
  </si>
  <si>
    <t>arroganten</t>
  </si>
  <si>
    <t>erarbeiten</t>
  </si>
  <si>
    <t>schummelst</t>
  </si>
  <si>
    <t>vergreifen</t>
  </si>
  <si>
    <t>daley</t>
  </si>
  <si>
    <t>bootes</t>
  </si>
  <si>
    <t>grandiose</t>
  </si>
  <si>
    <t>deirdre</t>
  </si>
  <si>
    <t>vollbringt</t>
  </si>
  <si>
    <t>verschreibe</t>
  </si>
  <si>
    <t>brass</t>
  </si>
  <si>
    <t>u-haft</t>
  </si>
  <si>
    <t>abgeschottet</t>
  </si>
  <si>
    <t>solider</t>
  </si>
  <si>
    <t>sigma</t>
  </si>
  <si>
    <t>auges</t>
  </si>
  <si>
    <t>ark</t>
  </si>
  <si>
    <t>schiffbruch</t>
  </si>
  <si>
    <t>wilda</t>
  </si>
  <si>
    <t>phalanx</t>
  </si>
  <si>
    <t>dienstes</t>
  </si>
  <si>
    <t>piepser</t>
  </si>
  <si>
    <t>spül</t>
  </si>
  <si>
    <t>unternahm</t>
  </si>
  <si>
    <t>duff</t>
  </si>
  <si>
    <t>schulfreund</t>
  </si>
  <si>
    <t>gefährdest</t>
  </si>
  <si>
    <t>krake</t>
  </si>
  <si>
    <t>fighter</t>
  </si>
  <si>
    <t>hiram</t>
  </si>
  <si>
    <t>runterkommt</t>
  </si>
  <si>
    <t>realitäten</t>
  </si>
  <si>
    <t>medellin</t>
  </si>
  <si>
    <t>ame</t>
  </si>
  <si>
    <t>gescheiterten</t>
  </si>
  <si>
    <t>phelan</t>
  </si>
  <si>
    <t>cyborgs</t>
  </si>
  <si>
    <t>jordanien</t>
  </si>
  <si>
    <t>footballteam</t>
  </si>
  <si>
    <t>konferenzen</t>
  </si>
  <si>
    <t>plaît</t>
  </si>
  <si>
    <t>däne</t>
  </si>
  <si>
    <t>pocahontas</t>
  </si>
  <si>
    <t>zusammenbrach</t>
  </si>
  <si>
    <t>gertie</t>
  </si>
  <si>
    <t>konvertieren</t>
  </si>
  <si>
    <t>gump</t>
  </si>
  <si>
    <t>wake</t>
  </si>
  <si>
    <t>sturkopf</t>
  </si>
  <si>
    <t>ausgedruckt</t>
  </si>
  <si>
    <t>catweazle</t>
  </si>
  <si>
    <t>mechanisches</t>
  </si>
  <si>
    <t>prozentsatz</t>
  </si>
  <si>
    <t>lieblingsplatz</t>
  </si>
  <si>
    <t>erfolgreichsten</t>
  </si>
  <si>
    <t>skippy</t>
  </si>
  <si>
    <t>marika</t>
  </si>
  <si>
    <t>beizutragen</t>
  </si>
  <si>
    <t>entwarnung</t>
  </si>
  <si>
    <t>geschirrspüler</t>
  </si>
  <si>
    <t>dafur</t>
  </si>
  <si>
    <t>verzaubern</t>
  </si>
  <si>
    <t>entfernungen</t>
  </si>
  <si>
    <t>mohamed</t>
  </si>
  <si>
    <t>mouth</t>
  </si>
  <si>
    <t>scudder</t>
  </si>
  <si>
    <t>harakiri</t>
  </si>
  <si>
    <t>werdende</t>
  </si>
  <si>
    <t>friedhöfe</t>
  </si>
  <si>
    <t>thermostat</t>
  </si>
  <si>
    <t>kampfbereit</t>
  </si>
  <si>
    <t>gewaltanwendung</t>
  </si>
  <si>
    <t>duplikat</t>
  </si>
  <si>
    <t>seufzend</t>
  </si>
  <si>
    <t>speak</t>
  </si>
  <si>
    <t>malta</t>
  </si>
  <si>
    <t>renoir</t>
  </si>
  <si>
    <t>mosca</t>
  </si>
  <si>
    <t>undeutliches</t>
  </si>
  <si>
    <t>rodin</t>
  </si>
  <si>
    <t>gepard</t>
  </si>
  <si>
    <t>erfolges</t>
  </si>
  <si>
    <t>datet</t>
  </si>
  <si>
    <t>steinreich</t>
  </si>
  <si>
    <t>sanjay</t>
  </si>
  <si>
    <t>atemnot</t>
  </si>
  <si>
    <t>sterbend</t>
  </si>
  <si>
    <t>morse</t>
  </si>
  <si>
    <t>heften</t>
  </si>
  <si>
    <t>prächtiges</t>
  </si>
  <si>
    <t>guzman</t>
  </si>
  <si>
    <t>erzherzog</t>
  </si>
  <si>
    <t>verdrahtet</t>
  </si>
  <si>
    <t>quinlan</t>
  </si>
  <si>
    <t>firefly</t>
  </si>
  <si>
    <t>einschüchternd</t>
  </si>
  <si>
    <t>instabilität</t>
  </si>
  <si>
    <t>zarkon</t>
  </si>
  <si>
    <t>papageien</t>
  </si>
  <si>
    <t>vorgesungen</t>
  </si>
  <si>
    <t>verwette</t>
  </si>
  <si>
    <t>faulenzen</t>
  </si>
  <si>
    <t>klarkommst</t>
  </si>
  <si>
    <t>streift</t>
  </si>
  <si>
    <t>beauregard</t>
  </si>
  <si>
    <t>lobenswert</t>
  </si>
  <si>
    <t>derartigen</t>
  </si>
  <si>
    <t>widersteht</t>
  </si>
  <si>
    <t>demütigungen</t>
  </si>
  <si>
    <t>brechstange</t>
  </si>
  <si>
    <t>einfallsreichtum</t>
  </si>
  <si>
    <t>angespannte</t>
  </si>
  <si>
    <t>verschlossene</t>
  </si>
  <si>
    <t>berate</t>
  </si>
  <si>
    <t>allergrößte</t>
  </si>
  <si>
    <t>gefechts</t>
  </si>
  <si>
    <t>schmauchspuren</t>
  </si>
  <si>
    <t>revolverheld</t>
  </si>
  <si>
    <t>kleinholz</t>
  </si>
  <si>
    <t>wachmänner</t>
  </si>
  <si>
    <t>paella</t>
  </si>
  <si>
    <t>gilroy</t>
  </si>
  <si>
    <t>smee</t>
  </si>
  <si>
    <t>verwest</t>
  </si>
  <si>
    <t>deinetwillen</t>
  </si>
  <si>
    <t>schmerzensschreie</t>
  </si>
  <si>
    <t>making</t>
  </si>
  <si>
    <t>birdy</t>
  </si>
  <si>
    <t>artikels</t>
  </si>
  <si>
    <t>kontinente</t>
  </si>
  <si>
    <t>backup</t>
  </si>
  <si>
    <t>abschrift</t>
  </si>
  <si>
    <t>gefäße</t>
  </si>
  <si>
    <t>gepäckträger</t>
  </si>
  <si>
    <t>burning</t>
  </si>
  <si>
    <t>danni</t>
  </si>
  <si>
    <t>kleidungsstücke</t>
  </si>
  <si>
    <t>backstage</t>
  </si>
  <si>
    <t>unterhändler</t>
  </si>
  <si>
    <t>mcginty</t>
  </si>
  <si>
    <t>titelblatt</t>
  </si>
  <si>
    <t>sprenge</t>
  </si>
  <si>
    <t>ethisch</t>
  </si>
  <si>
    <t>marilla</t>
  </si>
  <si>
    <t>manila</t>
  </si>
  <si>
    <t>tierärztin</t>
  </si>
  <si>
    <t>vernichtete</t>
  </si>
  <si>
    <t>knew</t>
  </si>
  <si>
    <t>gupta</t>
  </si>
  <si>
    <t>grog</t>
  </si>
  <si>
    <t>hinterlegen</t>
  </si>
  <si>
    <t>häufigsten</t>
  </si>
  <si>
    <t>verleumdet</t>
  </si>
  <si>
    <t>ungebildet</t>
  </si>
  <si>
    <t>unnötiges</t>
  </si>
  <si>
    <t>rye</t>
  </si>
  <si>
    <t>parkuhr</t>
  </si>
  <si>
    <t>penizillin</t>
  </si>
  <si>
    <t>serizawa</t>
  </si>
  <si>
    <t>sockel</t>
  </si>
  <si>
    <t>cobblepot</t>
  </si>
  <si>
    <t>cathys</t>
  </si>
  <si>
    <t>veganer</t>
  </si>
  <si>
    <t>fässern</t>
  </si>
  <si>
    <t>konvertiert</t>
  </si>
  <si>
    <t>reality</t>
  </si>
  <si>
    <t>schränken</t>
  </si>
  <si>
    <t>spanisches</t>
  </si>
  <si>
    <t>intravenös</t>
  </si>
  <si>
    <t>rothaut</t>
  </si>
  <si>
    <t>ballen</t>
  </si>
  <si>
    <t>kegel</t>
  </si>
  <si>
    <t>toole</t>
  </si>
  <si>
    <t>sander</t>
  </si>
  <si>
    <t>schranke</t>
  </si>
  <si>
    <t>pardaillan</t>
  </si>
  <si>
    <t>bereisen</t>
  </si>
  <si>
    <t>balthazar</t>
  </si>
  <si>
    <t>nene</t>
  </si>
  <si>
    <t>zersetzt</t>
  </si>
  <si>
    <t>sacks</t>
  </si>
  <si>
    <t>melancholisch</t>
  </si>
  <si>
    <t>barrikade</t>
  </si>
  <si>
    <t>jurist</t>
  </si>
  <si>
    <t>félix</t>
  </si>
  <si>
    <t>fischstäbchen</t>
  </si>
  <si>
    <t>eidechsen</t>
  </si>
  <si>
    <t>fats</t>
  </si>
  <si>
    <t>schnauzbart</t>
  </si>
  <si>
    <t>valdez</t>
  </si>
  <si>
    <t>lukrativ</t>
  </si>
  <si>
    <t>neck</t>
  </si>
  <si>
    <t>xo</t>
  </si>
  <si>
    <t>schlafstörungen</t>
  </si>
  <si>
    <t>anschlägen</t>
  </si>
  <si>
    <t>sicherheitspersonal</t>
  </si>
  <si>
    <t>nuys</t>
  </si>
  <si>
    <t>bergleute</t>
  </si>
  <si>
    <t>trichter</t>
  </si>
  <si>
    <t>vorhängen</t>
  </si>
  <si>
    <t>rechtschaffen</t>
  </si>
  <si>
    <t>indiz</t>
  </si>
  <si>
    <t>schubkarre</t>
  </si>
  <si>
    <t>anzuheuern</t>
  </si>
  <si>
    <t>kazon</t>
  </si>
  <si>
    <t>ehrenhafter</t>
  </si>
  <si>
    <t>bezeichne</t>
  </si>
  <si>
    <t>dreirad</t>
  </si>
  <si>
    <t>garibaldi</t>
  </si>
  <si>
    <t>handzeichen</t>
  </si>
  <si>
    <t>sim</t>
  </si>
  <si>
    <t>sät</t>
  </si>
  <si>
    <t>seasons</t>
  </si>
  <si>
    <t>abgestiegen</t>
  </si>
  <si>
    <t>vorherrschaft</t>
  </si>
  <si>
    <t>tennyson</t>
  </si>
  <si>
    <t>gonzalez</t>
  </si>
  <si>
    <t>bisherige</t>
  </si>
  <si>
    <t>razzien</t>
  </si>
  <si>
    <t>steckbrief</t>
  </si>
  <si>
    <t>suppenküche</t>
  </si>
  <si>
    <t>averys</t>
  </si>
  <si>
    <t>schaeffer</t>
  </si>
  <si>
    <t>marktwert</t>
  </si>
  <si>
    <t>rhetorik</t>
  </si>
  <si>
    <t>beilegen</t>
  </si>
  <si>
    <t>gestell</t>
  </si>
  <si>
    <t>weitergezogen</t>
  </si>
  <si>
    <t>irv</t>
  </si>
  <si>
    <t>rei</t>
  </si>
  <si>
    <t>entertainer</t>
  </si>
  <si>
    <t>überschätzen</t>
  </si>
  <si>
    <t>hostess</t>
  </si>
  <si>
    <t>melville</t>
  </si>
  <si>
    <t>tanzende</t>
  </si>
  <si>
    <t>bundesagent</t>
  </si>
  <si>
    <t>pollock</t>
  </si>
  <si>
    <t>voriges</t>
  </si>
  <si>
    <t>eingeborene</t>
  </si>
  <si>
    <t>esme</t>
  </si>
  <si>
    <t>bestiehlt</t>
  </si>
  <si>
    <t>cumberland</t>
  </si>
  <si>
    <t>gecko</t>
  </si>
  <si>
    <t>zurückführen</t>
  </si>
  <si>
    <t>vagabunden</t>
  </si>
  <si>
    <t>alltäglichen</t>
  </si>
  <si>
    <t>kannibalismus</t>
  </si>
  <si>
    <t>bräutigams</t>
  </si>
  <si>
    <t>gutenachtkuss</t>
  </si>
  <si>
    <t>skepsis</t>
  </si>
  <si>
    <t>dämonischen</t>
  </si>
  <si>
    <t>brennend</t>
  </si>
  <si>
    <t>blaupausen</t>
  </si>
  <si>
    <t>unvorstellbare</t>
  </si>
  <si>
    <t>script</t>
  </si>
  <si>
    <t>entweiht</t>
  </si>
  <si>
    <t>highland</t>
  </si>
  <si>
    <t>preisgegeben</t>
  </si>
  <si>
    <t>schüren</t>
  </si>
  <si>
    <t>mittelschule</t>
  </si>
  <si>
    <t>galahad</t>
  </si>
  <si>
    <t>gleitmittel</t>
  </si>
  <si>
    <t>milchkaffee</t>
  </si>
  <si>
    <t>schönstes</t>
  </si>
  <si>
    <t>sicherheitscode</t>
  </si>
  <si>
    <t>motorboot</t>
  </si>
  <si>
    <t>sophies</t>
  </si>
  <si>
    <t>hundchen</t>
  </si>
  <si>
    <t>miserabler</t>
  </si>
  <si>
    <t>kurzform</t>
  </si>
  <si>
    <t>hinkriege</t>
  </si>
  <si>
    <t>banzai</t>
  </si>
  <si>
    <t>negro</t>
  </si>
  <si>
    <t>country-musik</t>
  </si>
  <si>
    <t>einsatzfähig</t>
  </si>
  <si>
    <t>vodka</t>
  </si>
  <si>
    <t>geistesgestört</t>
  </si>
  <si>
    <t>ehrenmedaille</t>
  </si>
  <si>
    <t>shinjuku</t>
  </si>
  <si>
    <t>bedeutsam</t>
  </si>
  <si>
    <t>tre</t>
  </si>
  <si>
    <t>bewusstseins</t>
  </si>
  <si>
    <t>mesdames</t>
  </si>
  <si>
    <t>sportlehrer</t>
  </si>
  <si>
    <t>horowitz</t>
  </si>
  <si>
    <t>déjà-vu</t>
  </si>
  <si>
    <t>innenhof</t>
  </si>
  <si>
    <t>hohlkopf</t>
  </si>
  <si>
    <t>erschrecke</t>
  </si>
  <si>
    <t>soliden</t>
  </si>
  <si>
    <t>kennwort</t>
  </si>
  <si>
    <t>farbiger</t>
  </si>
  <si>
    <t>asiate</t>
  </si>
  <si>
    <t>flamingo</t>
  </si>
  <si>
    <t>crescent</t>
  </si>
  <si>
    <t>ansagen</t>
  </si>
  <si>
    <t>unbarmherzig</t>
  </si>
  <si>
    <t>verhindere</t>
  </si>
  <si>
    <t>reichten</t>
  </si>
  <si>
    <t>bajonett</t>
  </si>
  <si>
    <t>gogol</t>
  </si>
  <si>
    <t>tien</t>
  </si>
  <si>
    <t>ando</t>
  </si>
  <si>
    <t>kroatien</t>
  </si>
  <si>
    <t>gulliver</t>
  </si>
  <si>
    <t>whipple</t>
  </si>
  <si>
    <t>kommunikationssystem</t>
  </si>
  <si>
    <t>züchtet</t>
  </si>
  <si>
    <t>sprengladung</t>
  </si>
  <si>
    <t>peinliches</t>
  </si>
  <si>
    <t>segelte</t>
  </si>
  <si>
    <t>bratpfanne</t>
  </si>
  <si>
    <t>fluffy</t>
  </si>
  <si>
    <t>ankara</t>
  </si>
  <si>
    <t>hondo</t>
  </si>
  <si>
    <t>levin</t>
  </si>
  <si>
    <t>abziehst</t>
  </si>
  <si>
    <t>separate</t>
  </si>
  <si>
    <t>chien</t>
  </si>
  <si>
    <t>werbeagentur</t>
  </si>
  <si>
    <t>schlagstock</t>
  </si>
  <si>
    <t>messala</t>
  </si>
  <si>
    <t>reinholen</t>
  </si>
  <si>
    <t>walzermusik</t>
  </si>
  <si>
    <t>entwickelst</t>
  </si>
  <si>
    <t>blutflecken</t>
  </si>
  <si>
    <t>drag</t>
  </si>
  <si>
    <t>kahless</t>
  </si>
  <si>
    <t>herausnehmen</t>
  </si>
  <si>
    <t>durchhält</t>
  </si>
  <si>
    <t>durchbricht</t>
  </si>
  <si>
    <t>zerbreche</t>
  </si>
  <si>
    <t>anfechten</t>
  </si>
  <si>
    <t>sanktionen</t>
  </si>
  <si>
    <t>bebt</t>
  </si>
  <si>
    <t>gegenstück</t>
  </si>
  <si>
    <t>parma</t>
  </si>
  <si>
    <t>hackst</t>
  </si>
  <si>
    <t>separat</t>
  </si>
  <si>
    <t>benz</t>
  </si>
  <si>
    <t>registrierung</t>
  </si>
  <si>
    <t>paletti</t>
  </si>
  <si>
    <t>qualvollen</t>
  </si>
  <si>
    <t>chappelle</t>
  </si>
  <si>
    <t>adeline</t>
  </si>
  <si>
    <t>schlüpft</t>
  </si>
  <si>
    <t>westentasche</t>
  </si>
  <si>
    <t>flippst</t>
  </si>
  <si>
    <t>nyssa</t>
  </si>
  <si>
    <t>nexus</t>
  </si>
  <si>
    <t>umlegt</t>
  </si>
  <si>
    <t>gestehst</t>
  </si>
  <si>
    <t>milchmann</t>
  </si>
  <si>
    <t>voicemail</t>
  </si>
  <si>
    <t>tanzschule</t>
  </si>
  <si>
    <t>befördere</t>
  </si>
  <si>
    <t>rumgeschnüffelt</t>
  </si>
  <si>
    <t>neuestes</t>
  </si>
  <si>
    <t>groove</t>
  </si>
  <si>
    <t>jugoslawien</t>
  </si>
  <si>
    <t>leckerer</t>
  </si>
  <si>
    <t>veränderst</t>
  </si>
  <si>
    <t>herrsche</t>
  </si>
  <si>
    <t>überhört</t>
  </si>
  <si>
    <t>understand</t>
  </si>
  <si>
    <t>mistakes</t>
  </si>
  <si>
    <t>zhou</t>
  </si>
  <si>
    <t>message</t>
  </si>
  <si>
    <t>hockst</t>
  </si>
  <si>
    <t>berichts</t>
  </si>
  <si>
    <t>paule</t>
  </si>
  <si>
    <t>tropen</t>
  </si>
  <si>
    <t>verbiegen</t>
  </si>
  <si>
    <t>achtgeben</t>
  </si>
  <si>
    <t>britannia</t>
  </si>
  <si>
    <t>uralter</t>
  </si>
  <si>
    <t>olly</t>
  </si>
  <si>
    <t>boleyn</t>
  </si>
  <si>
    <t>reputation</t>
  </si>
  <si>
    <t>oas</t>
  </si>
  <si>
    <t>sümbül</t>
  </si>
  <si>
    <t>byers</t>
  </si>
  <si>
    <t>bieter</t>
  </si>
  <si>
    <t>vielseitig</t>
  </si>
  <si>
    <t>meghan</t>
  </si>
  <si>
    <t>bundes</t>
  </si>
  <si>
    <t>geradeheraus</t>
  </si>
  <si>
    <t>besteigt</t>
  </si>
  <si>
    <t>pflegemutter</t>
  </si>
  <si>
    <t>umarmst</t>
  </si>
  <si>
    <t>auszupacken</t>
  </si>
  <si>
    <t>vergriffen</t>
  </si>
  <si>
    <t>grafik</t>
  </si>
  <si>
    <t>bluffe</t>
  </si>
  <si>
    <t>resonanz</t>
  </si>
  <si>
    <t>camus</t>
  </si>
  <si>
    <t>repertoire</t>
  </si>
  <si>
    <t>kund</t>
  </si>
  <si>
    <t>anlügt</t>
  </si>
  <si>
    <t>damaja</t>
  </si>
  <si>
    <t>baudelaires</t>
  </si>
  <si>
    <t>öffentlichkeitsarbeit</t>
  </si>
  <si>
    <t>tropische</t>
  </si>
  <si>
    <t>grundwasser</t>
  </si>
  <si>
    <t>cologne</t>
  </si>
  <si>
    <t>unterzeichnete</t>
  </si>
  <si>
    <t>niagara</t>
  </si>
  <si>
    <t>verkleinern</t>
  </si>
  <si>
    <t>einsatzteam</t>
  </si>
  <si>
    <t>engagiere</t>
  </si>
  <si>
    <t>befreier</t>
  </si>
  <si>
    <t>means</t>
  </si>
  <si>
    <t>diktat</t>
  </si>
  <si>
    <t>40ern</t>
  </si>
  <si>
    <t>kartoffelchips</t>
  </si>
  <si>
    <t>hakt</t>
  </si>
  <si>
    <t>reflektieren</t>
  </si>
  <si>
    <t>gym</t>
  </si>
  <si>
    <t>sil</t>
  </si>
  <si>
    <t>zerfall</t>
  </si>
  <si>
    <t>shut</t>
  </si>
  <si>
    <t>nachlässigkeit</t>
  </si>
  <si>
    <t>nachbesprechung</t>
  </si>
  <si>
    <t>pädophiler</t>
  </si>
  <si>
    <t>striker</t>
  </si>
  <si>
    <t>schänden</t>
  </si>
  <si>
    <t>suff</t>
  </si>
  <si>
    <t>searching</t>
  </si>
  <si>
    <t>mose</t>
  </si>
  <si>
    <t>erröten</t>
  </si>
  <si>
    <t>beschimpfungen</t>
  </si>
  <si>
    <t>nitroglyzerin</t>
  </si>
  <si>
    <t>vorgedrungen</t>
  </si>
  <si>
    <t>eingebildete</t>
  </si>
  <si>
    <t>kensington</t>
  </si>
  <si>
    <t>amazonen</t>
  </si>
  <si>
    <t>chicagoer</t>
  </si>
  <si>
    <t>lymphknoten</t>
  </si>
  <si>
    <t>beschlag</t>
  </si>
  <si>
    <t>rasgotra</t>
  </si>
  <si>
    <t>kraken</t>
  </si>
  <si>
    <t>heilende</t>
  </si>
  <si>
    <t>serenas</t>
  </si>
  <si>
    <t>camps</t>
  </si>
  <si>
    <t>remus</t>
  </si>
  <si>
    <t>pedrosa</t>
  </si>
  <si>
    <t>verlässliche</t>
  </si>
  <si>
    <t>gefängniswärter</t>
  </si>
  <si>
    <t>wüstling</t>
  </si>
  <si>
    <t>thorax</t>
  </si>
  <si>
    <t>ivanova</t>
  </si>
  <si>
    <t>flügelmann</t>
  </si>
  <si>
    <t>beilage</t>
  </si>
  <si>
    <t>verpfeift</t>
  </si>
  <si>
    <t>romulanischen</t>
  </si>
  <si>
    <t>sari</t>
  </si>
  <si>
    <t>maiskolben</t>
  </si>
  <si>
    <t>freiheitskämpfer</t>
  </si>
  <si>
    <t>mittelfinger</t>
  </si>
  <si>
    <t>muli</t>
  </si>
  <si>
    <t>eheprobleme</t>
  </si>
  <si>
    <t>wasserversorgung</t>
  </si>
  <si>
    <t>anzuführen</t>
  </si>
  <si>
    <t>geflügel</t>
  </si>
  <si>
    <t>viertens</t>
  </si>
  <si>
    <t>nachwirkungen</t>
  </si>
  <si>
    <t>gesegnete</t>
  </si>
  <si>
    <t>kommerziellen</t>
  </si>
  <si>
    <t>ehrwürden</t>
  </si>
  <si>
    <t>observiert</t>
  </si>
  <si>
    <t>fischt</t>
  </si>
  <si>
    <t>franziska</t>
  </si>
  <si>
    <t>debatten</t>
  </si>
  <si>
    <t>jab</t>
  </si>
  <si>
    <t>desperate</t>
  </si>
  <si>
    <t>horden</t>
  </si>
  <si>
    <t>korrekten</t>
  </si>
  <si>
    <t>suchmeldung</t>
  </si>
  <si>
    <t>tannen</t>
  </si>
  <si>
    <t>pauli</t>
  </si>
  <si>
    <t>yuma</t>
  </si>
  <si>
    <t>ungläubiger</t>
  </si>
  <si>
    <t>entgegentreten</t>
  </si>
  <si>
    <t>terroristischen</t>
  </si>
  <si>
    <t>ranmachen</t>
  </si>
  <si>
    <t>unethisch</t>
  </si>
  <si>
    <t>abgerutscht</t>
  </si>
  <si>
    <t>inez</t>
  </si>
  <si>
    <t>verachtest</t>
  </si>
  <si>
    <t>geklauten</t>
  </si>
  <si>
    <t>bizarren</t>
  </si>
  <si>
    <t>leichenhaus</t>
  </si>
  <si>
    <t>anvisieren</t>
  </si>
  <si>
    <t>aram</t>
  </si>
  <si>
    <t>anzeigt</t>
  </si>
  <si>
    <t>bauchspeicheldrüse</t>
  </si>
  <si>
    <t>tae-soo</t>
  </si>
  <si>
    <t>computersystem</t>
  </si>
  <si>
    <t>eichmann</t>
  </si>
  <si>
    <t>toilettenspülung</t>
  </si>
  <si>
    <t>requisite</t>
  </si>
  <si>
    <t>errol</t>
  </si>
  <si>
    <t>noriko</t>
  </si>
  <si>
    <t>weed</t>
  </si>
  <si>
    <t>haarigen</t>
  </si>
  <si>
    <t>familienbesitz</t>
  </si>
  <si>
    <t>einlasse</t>
  </si>
  <si>
    <t>wittert</t>
  </si>
  <si>
    <t>mitarbeiten</t>
  </si>
  <si>
    <t>lateinamerika</t>
  </si>
  <si>
    <t>labrador</t>
  </si>
  <si>
    <t>luken</t>
  </si>
  <si>
    <t>anmalen</t>
  </si>
  <si>
    <t>romanen</t>
  </si>
  <si>
    <t>pächter</t>
  </si>
  <si>
    <t>lebenslangen</t>
  </si>
  <si>
    <t>glynn</t>
  </si>
  <si>
    <t>pokerface</t>
  </si>
  <si>
    <t>associates</t>
  </si>
  <si>
    <t>beschlagen</t>
  </si>
  <si>
    <t>feuerwaffen</t>
  </si>
  <si>
    <t>zwangsarbeit</t>
  </si>
  <si>
    <t>kassen</t>
  </si>
  <si>
    <t>runterladen</t>
  </si>
  <si>
    <t>heidnischen</t>
  </si>
  <si>
    <t>telefons</t>
  </si>
  <si>
    <t>preises</t>
  </si>
  <si>
    <t>einmaligen</t>
  </si>
  <si>
    <t>maze</t>
  </si>
  <si>
    <t>burgunder</t>
  </si>
  <si>
    <t>ekelst</t>
  </si>
  <si>
    <t>verkehrte</t>
  </si>
  <si>
    <t>midtown</t>
  </si>
  <si>
    <t>gestunken</t>
  </si>
  <si>
    <t>trennungen</t>
  </si>
  <si>
    <t>ausrichtung</t>
  </si>
  <si>
    <t>bijou</t>
  </si>
  <si>
    <t>nn1</t>
  </si>
  <si>
    <t>antennen</t>
  </si>
  <si>
    <t>verdeutlichen</t>
  </si>
  <si>
    <t>unis</t>
  </si>
  <si>
    <t>knuddeln</t>
  </si>
  <si>
    <t>stefans</t>
  </si>
  <si>
    <t>zensiert</t>
  </si>
  <si>
    <t>bearbeitung</t>
  </si>
  <si>
    <t>kaya</t>
  </si>
  <si>
    <t>poren</t>
  </si>
  <si>
    <t>bluterguss</t>
  </si>
  <si>
    <t>memos</t>
  </si>
  <si>
    <t>rumkriegen</t>
  </si>
  <si>
    <t>stroud</t>
  </si>
  <si>
    <t>plazenta</t>
  </si>
  <si>
    <t>erlernt</t>
  </si>
  <si>
    <t>woraufhin</t>
  </si>
  <si>
    <t>used</t>
  </si>
  <si>
    <t>waden</t>
  </si>
  <si>
    <t>erstelle</t>
  </si>
  <si>
    <t>truth</t>
  </si>
  <si>
    <t>yamamoto</t>
  </si>
  <si>
    <t>flüssige</t>
  </si>
  <si>
    <t>vaterschaftstest</t>
  </si>
  <si>
    <t>touristin</t>
  </si>
  <si>
    <t>lynchen</t>
  </si>
  <si>
    <t>durchmachte</t>
  </si>
  <si>
    <t>restliches</t>
  </si>
  <si>
    <t>geburtstagskuchen</t>
  </si>
  <si>
    <t>spinnweben</t>
  </si>
  <si>
    <t>vampirblut</t>
  </si>
  <si>
    <t>lennie</t>
  </si>
  <si>
    <t>nikotin</t>
  </si>
  <si>
    <t>hirngespinste</t>
  </si>
  <si>
    <t>helsinki</t>
  </si>
  <si>
    <t>drangehen</t>
  </si>
  <si>
    <t>syracuse</t>
  </si>
  <si>
    <t>ruhestätte</t>
  </si>
  <si>
    <t>chadwick</t>
  </si>
  <si>
    <t>aufgemischt</t>
  </si>
  <si>
    <t>weggeschnappt</t>
  </si>
  <si>
    <t>zurückgenommen</t>
  </si>
  <si>
    <t>fliehst</t>
  </si>
  <si>
    <t>elli</t>
  </si>
  <si>
    <t>rausgefahren</t>
  </si>
  <si>
    <t>individualität</t>
  </si>
  <si>
    <t>wiedersehn</t>
  </si>
  <si>
    <t>verheilen</t>
  </si>
  <si>
    <t>navigationssystem</t>
  </si>
  <si>
    <t>gebeine</t>
  </si>
  <si>
    <t>augenzeugin</t>
  </si>
  <si>
    <t>diosa</t>
  </si>
  <si>
    <t>ausradieren</t>
  </si>
  <si>
    <t>bösartiger</t>
  </si>
  <si>
    <t>behaart</t>
  </si>
  <si>
    <t>studentenwohnheim</t>
  </si>
  <si>
    <t>fredericks</t>
  </si>
  <si>
    <t>zyklen</t>
  </si>
  <si>
    <t>hodscha</t>
  </si>
  <si>
    <t>zusammenzustellen</t>
  </si>
  <si>
    <t>fatale</t>
  </si>
  <si>
    <t>kunsthändler</t>
  </si>
  <si>
    <t>schwachsinnige</t>
  </si>
  <si>
    <t>limousinen</t>
  </si>
  <si>
    <t>vasa</t>
  </si>
  <si>
    <t>sämtlicher</t>
  </si>
  <si>
    <t>haarspray</t>
  </si>
  <si>
    <t>yup</t>
  </si>
  <si>
    <t>druide</t>
  </si>
  <si>
    <t>beleuchten</t>
  </si>
  <si>
    <t>jamison</t>
  </si>
  <si>
    <t>stillstehen</t>
  </si>
  <si>
    <t>madagaskar</t>
  </si>
  <si>
    <t>kunststücke</t>
  </si>
  <si>
    <t>ablegt</t>
  </si>
  <si>
    <t>flaherty</t>
  </si>
  <si>
    <t>verkündete</t>
  </si>
  <si>
    <t>vorionen</t>
  </si>
  <si>
    <t>strohmann</t>
  </si>
  <si>
    <t>konstruieren</t>
  </si>
  <si>
    <t>mittelweg</t>
  </si>
  <si>
    <t>seinfeld</t>
  </si>
  <si>
    <t>verwegen</t>
  </si>
  <si>
    <t>einsatzleitung</t>
  </si>
  <si>
    <t>unentschuldbar</t>
  </si>
  <si>
    <t>sigurd</t>
  </si>
  <si>
    <t>ausgespannt</t>
  </si>
  <si>
    <t>gesellig</t>
  </si>
  <si>
    <t>femme</t>
  </si>
  <si>
    <t>rechtens</t>
  </si>
  <si>
    <t>flanagan</t>
  </si>
  <si>
    <t>leonie</t>
  </si>
  <si>
    <t>angeregt</t>
  </si>
  <si>
    <t>specht</t>
  </si>
  <si>
    <t>mindestlohn</t>
  </si>
  <si>
    <t>bewölkt</t>
  </si>
  <si>
    <t>schniefen</t>
  </si>
  <si>
    <t>stepan</t>
  </si>
  <si>
    <t>supervisor</t>
  </si>
  <si>
    <t>beweislage</t>
  </si>
  <si>
    <t>kathrin</t>
  </si>
  <si>
    <t>laborbericht</t>
  </si>
  <si>
    <t>aiko</t>
  </si>
  <si>
    <t>ood</t>
  </si>
  <si>
    <t>cenk</t>
  </si>
  <si>
    <t>hetze</t>
  </si>
  <si>
    <t>häuslichen</t>
  </si>
  <si>
    <t>manno</t>
  </si>
  <si>
    <t>fantasy</t>
  </si>
  <si>
    <t>tolstoi</t>
  </si>
  <si>
    <t>schlürft</t>
  </si>
  <si>
    <t>abfälle</t>
  </si>
  <si>
    <t>weltklasse</t>
  </si>
  <si>
    <t>rachsüchtig</t>
  </si>
  <si>
    <t>faulkner</t>
  </si>
  <si>
    <t>masturbation</t>
  </si>
  <si>
    <t>sperrten</t>
  </si>
  <si>
    <t>gefolgschaft</t>
  </si>
  <si>
    <t>years</t>
  </si>
  <si>
    <t>odyssee</t>
  </si>
  <si>
    <t>colonels</t>
  </si>
  <si>
    <t>ungesetzlich</t>
  </si>
  <si>
    <t>ehrwürdigen</t>
  </si>
  <si>
    <t>hinzukommen</t>
  </si>
  <si>
    <t>palästinenser</t>
  </si>
  <si>
    <t>anschneiden</t>
  </si>
  <si>
    <t>diesseits</t>
  </si>
  <si>
    <t>vorwürfen</t>
  </si>
  <si>
    <t>hanzo</t>
  </si>
  <si>
    <t>japanerin</t>
  </si>
  <si>
    <t>übersehe</t>
  </si>
  <si>
    <t>popel</t>
  </si>
  <si>
    <t>millicent</t>
  </si>
  <si>
    <t>hinterrücks</t>
  </si>
  <si>
    <t>veranlasse</t>
  </si>
  <si>
    <t>echtzeit</t>
  </si>
  <si>
    <t>kajüte</t>
  </si>
  <si>
    <t>fesselnd</t>
  </si>
  <si>
    <t>jüdisches</t>
  </si>
  <si>
    <t>bleichen</t>
  </si>
  <si>
    <t>sapiens</t>
  </si>
  <si>
    <t>words</t>
  </si>
  <si>
    <t>trois</t>
  </si>
  <si>
    <t>hergeflogen</t>
  </si>
  <si>
    <t>1-mal</t>
  </si>
  <si>
    <t>eurotape</t>
  </si>
  <si>
    <t>angstzustände</t>
  </si>
  <si>
    <t>eiszapfen</t>
  </si>
  <si>
    <t>gibbler</t>
  </si>
  <si>
    <t>feinfühlig</t>
  </si>
  <si>
    <t>sybille</t>
  </si>
  <si>
    <t>cum</t>
  </si>
  <si>
    <t>videoband</t>
  </si>
  <si>
    <t>bieber</t>
  </si>
  <si>
    <t>investments</t>
  </si>
  <si>
    <t>grössten</t>
  </si>
  <si>
    <t>wuerde</t>
  </si>
  <si>
    <t>verlogenes</t>
  </si>
  <si>
    <t>begehrte</t>
  </si>
  <si>
    <t>vortrefflich</t>
  </si>
  <si>
    <t>pilotin</t>
  </si>
  <si>
    <t>hergerufen</t>
  </si>
  <si>
    <t>volldampf</t>
  </si>
  <si>
    <t>emerald</t>
  </si>
  <si>
    <t>tentakel</t>
  </si>
  <si>
    <t>hauptsitz</t>
  </si>
  <si>
    <t>faszinierenden</t>
  </si>
  <si>
    <t>mäßig</t>
  </si>
  <si>
    <t>mafiosi</t>
  </si>
  <si>
    <t>verkaufszahlen</t>
  </si>
  <si>
    <t>hinfallen</t>
  </si>
  <si>
    <t>rasierklingen</t>
  </si>
  <si>
    <t>gestohlener</t>
  </si>
  <si>
    <t>beziehe</t>
  </si>
  <si>
    <t>niederzulassen</t>
  </si>
  <si>
    <t>selbstmordgefährdet</t>
  </si>
  <si>
    <t>italienern</t>
  </si>
  <si>
    <t>geschult</t>
  </si>
  <si>
    <t>para</t>
  </si>
  <si>
    <t>soja</t>
  </si>
  <si>
    <t>tankwart</t>
  </si>
  <si>
    <t>hen</t>
  </si>
  <si>
    <t>chibs</t>
  </si>
  <si>
    <t>verblödet</t>
  </si>
  <si>
    <t>klangen</t>
  </si>
  <si>
    <t>tears</t>
  </si>
  <si>
    <t>ravens</t>
  </si>
  <si>
    <t>bogenschießen</t>
  </si>
  <si>
    <t>saum</t>
  </si>
  <si>
    <t>ausquetschen</t>
  </si>
  <si>
    <t>prius</t>
  </si>
  <si>
    <t>psychotisch</t>
  </si>
  <si>
    <t>bereichert</t>
  </si>
  <si>
    <t>komplexes</t>
  </si>
  <si>
    <t>wahnvorstellung</t>
  </si>
  <si>
    <t>nacho</t>
  </si>
  <si>
    <t>scpd</t>
  </si>
  <si>
    <t>bitterman</t>
  </si>
  <si>
    <t>notice</t>
  </si>
  <si>
    <t>mägen</t>
  </si>
  <si>
    <t>input</t>
  </si>
  <si>
    <t>versprechend</t>
  </si>
  <si>
    <t>gatter</t>
  </si>
  <si>
    <t>giftgas</t>
  </si>
  <si>
    <t>transe</t>
  </si>
  <si>
    <t>frommer</t>
  </si>
  <si>
    <t>sturheit</t>
  </si>
  <si>
    <t>wahlrecht</t>
  </si>
  <si>
    <t>auftritten</t>
  </si>
  <si>
    <t>projiziert</t>
  </si>
  <si>
    <t>fleh</t>
  </si>
  <si>
    <t>erbstück</t>
  </si>
  <si>
    <t>köstliches</t>
  </si>
  <si>
    <t>griswold</t>
  </si>
  <si>
    <t>nutzloses</t>
  </si>
  <si>
    <t>laufender</t>
  </si>
  <si>
    <t>mitzugehen</t>
  </si>
  <si>
    <t>guacamole</t>
  </si>
  <si>
    <t>anstößig</t>
  </si>
  <si>
    <t>verbal</t>
  </si>
  <si>
    <t>colonial</t>
  </si>
  <si>
    <t>hester-sue</t>
  </si>
  <si>
    <t>hologramme</t>
  </si>
  <si>
    <t>extrahieren</t>
  </si>
  <si>
    <t>waffengewalt</t>
  </si>
  <si>
    <t>krämer</t>
  </si>
  <si>
    <t>bergbau</t>
  </si>
  <si>
    <t>ballantine</t>
  </si>
  <si>
    <t>militärbasis</t>
  </si>
  <si>
    <t>türöffner</t>
  </si>
  <si>
    <t>mutationen</t>
  </si>
  <si>
    <t>wiederzuerkennen</t>
  </si>
  <si>
    <t>zuverlässigen</t>
  </si>
  <si>
    <t>seppel</t>
  </si>
  <si>
    <t>erkundung</t>
  </si>
  <si>
    <t>stattlich</t>
  </si>
  <si>
    <t>kommunikator</t>
  </si>
  <si>
    <t>filialleiter</t>
  </si>
  <si>
    <t>kiko</t>
  </si>
  <si>
    <t>lobotomie</t>
  </si>
  <si>
    <t>hao</t>
  </si>
  <si>
    <t>abgekartetes</t>
  </si>
  <si>
    <t>yip</t>
  </si>
  <si>
    <t>blutbank</t>
  </si>
  <si>
    <t>antue</t>
  </si>
  <si>
    <t>erschießungskommando</t>
  </si>
  <si>
    <t>ausgiebig</t>
  </si>
  <si>
    <t>rausschicken</t>
  </si>
  <si>
    <t>kalzium</t>
  </si>
  <si>
    <t>autorennen</t>
  </si>
  <si>
    <t>mordanschlag</t>
  </si>
  <si>
    <t>geschehene</t>
  </si>
  <si>
    <t>enzyme</t>
  </si>
  <si>
    <t>damalige</t>
  </si>
  <si>
    <t>sohlen</t>
  </si>
  <si>
    <t>baujahr</t>
  </si>
  <si>
    <t>moz</t>
  </si>
  <si>
    <t>artikeln</t>
  </si>
  <si>
    <t>uhrzeigersinn</t>
  </si>
  <si>
    <t>minderwertig</t>
  </si>
  <si>
    <t>byrne</t>
  </si>
  <si>
    <t>regelmäßigen</t>
  </si>
  <si>
    <t>verstreuen</t>
  </si>
  <si>
    <t>tacker</t>
  </si>
  <si>
    <t>hämatom</t>
  </si>
  <si>
    <t>virgin</t>
  </si>
  <si>
    <t>exzellenten</t>
  </si>
  <si>
    <t>ermüdet</t>
  </si>
  <si>
    <t>hinfährst</t>
  </si>
  <si>
    <t>nassar</t>
  </si>
  <si>
    <t>rauchmelder</t>
  </si>
  <si>
    <t>dünen</t>
  </si>
  <si>
    <t>fehle</t>
  </si>
  <si>
    <t>heimgekehrt</t>
  </si>
  <si>
    <t>niedlicher</t>
  </si>
  <si>
    <t>jährigen</t>
  </si>
  <si>
    <t>gebackene</t>
  </si>
  <si>
    <t>zielstrebig</t>
  </si>
  <si>
    <t>daves</t>
  </si>
  <si>
    <t>entspringt</t>
  </si>
  <si>
    <t>fertigstellen</t>
  </si>
  <si>
    <t>schenkeln</t>
  </si>
  <si>
    <t>weggeschafft</t>
  </si>
  <si>
    <t>fahrers</t>
  </si>
  <si>
    <t>sportart</t>
  </si>
  <si>
    <t>unerheblich</t>
  </si>
  <si>
    <t>weltgeschichte</t>
  </si>
  <si>
    <t>seamus</t>
  </si>
  <si>
    <t>befolgst</t>
  </si>
  <si>
    <t>paulson</t>
  </si>
  <si>
    <t>zielgruppe</t>
  </si>
  <si>
    <t>abbezahlen</t>
  </si>
  <si>
    <t>halsschmerzen</t>
  </si>
  <si>
    <t>kronprinzen</t>
  </si>
  <si>
    <t>boynton</t>
  </si>
  <si>
    <t>weinerlich</t>
  </si>
  <si>
    <t>barons</t>
  </si>
  <si>
    <t>düsterer</t>
  </si>
  <si>
    <t>chiana</t>
  </si>
  <si>
    <t>s01e02</t>
  </si>
  <si>
    <t>mi5</t>
  </si>
  <si>
    <t>schlittschuhe</t>
  </si>
  <si>
    <t>grogan</t>
  </si>
  <si>
    <t>abschnitte</t>
  </si>
  <si>
    <t>avocado</t>
  </si>
  <si>
    <t>rechtsanwälte</t>
  </si>
  <si>
    <t>weathers</t>
  </si>
  <si>
    <t>voldemort</t>
  </si>
  <si>
    <t>delphin</t>
  </si>
  <si>
    <t>ausweiten</t>
  </si>
  <si>
    <t>schlichen</t>
  </si>
  <si>
    <t>abtreibungen</t>
  </si>
  <si>
    <t>doyles</t>
  </si>
  <si>
    <t>eingeschnappt</t>
  </si>
  <si>
    <t>flüssigen</t>
  </si>
  <si>
    <t>jenn</t>
  </si>
  <si>
    <t>auffallend</t>
  </si>
  <si>
    <t>schuftet</t>
  </si>
  <si>
    <t>netterweise</t>
  </si>
  <si>
    <t>vorahnungen</t>
  </si>
  <si>
    <t>breaker</t>
  </si>
  <si>
    <t>isaacs</t>
  </si>
  <si>
    <t>bezirke</t>
  </si>
  <si>
    <t>schlepp</t>
  </si>
  <si>
    <t>prozessor</t>
  </si>
  <si>
    <t>patris</t>
  </si>
  <si>
    <t>dazugelernt</t>
  </si>
  <si>
    <t>download</t>
  </si>
  <si>
    <t>gitarrist</t>
  </si>
  <si>
    <t>starrten</t>
  </si>
  <si>
    <t>musikerin</t>
  </si>
  <si>
    <t>stéphanie</t>
  </si>
  <si>
    <t>schädels</t>
  </si>
  <si>
    <t>sterbeurkunde</t>
  </si>
  <si>
    <t>tragisches</t>
  </si>
  <si>
    <t>patente</t>
  </si>
  <si>
    <t>daseins</t>
  </si>
  <si>
    <t>mayor</t>
  </si>
  <si>
    <t>groovy</t>
  </si>
  <si>
    <t>kannibale</t>
  </si>
  <si>
    <t>dunne</t>
  </si>
  <si>
    <t>fön</t>
  </si>
  <si>
    <t>räumte</t>
  </si>
  <si>
    <t>aktivisten</t>
  </si>
  <si>
    <t>notlandung</t>
  </si>
  <si>
    <t>modernste</t>
  </si>
  <si>
    <t>gehirnzellen</t>
  </si>
  <si>
    <t>dating</t>
  </si>
  <si>
    <t>geschickte</t>
  </si>
  <si>
    <t>vergießt</t>
  </si>
  <si>
    <t>alors</t>
  </si>
  <si>
    <t>psalm</t>
  </si>
  <si>
    <t>kamillentee</t>
  </si>
  <si>
    <t>alia</t>
  </si>
  <si>
    <t>verheißt</t>
  </si>
  <si>
    <t>breeze</t>
  </si>
  <si>
    <t>ausscheiden</t>
  </si>
  <si>
    <t>unerklärlich</t>
  </si>
  <si>
    <t>schnüffelst</t>
  </si>
  <si>
    <t>rangemacht</t>
  </si>
  <si>
    <t>yokohama</t>
  </si>
  <si>
    <t>verbandskasten</t>
  </si>
  <si>
    <t>ausländern</t>
  </si>
  <si>
    <t>glover</t>
  </si>
  <si>
    <t>sphären</t>
  </si>
  <si>
    <t>macpherson</t>
  </si>
  <si>
    <t>hereinkommt</t>
  </si>
  <si>
    <t>überzeug</t>
  </si>
  <si>
    <t>lenkte</t>
  </si>
  <si>
    <t>rising</t>
  </si>
  <si>
    <t>misstraut</t>
  </si>
  <si>
    <t>kanälen</t>
  </si>
  <si>
    <t>abgrundtief</t>
  </si>
  <si>
    <t>erblich</t>
  </si>
  <si>
    <t>umstritten</t>
  </si>
  <si>
    <t>pulverfass</t>
  </si>
  <si>
    <t>heißhunger</t>
  </si>
  <si>
    <t>helfende</t>
  </si>
  <si>
    <t>auffiel</t>
  </si>
  <si>
    <t>delikat</t>
  </si>
  <si>
    <t>woodbury</t>
  </si>
  <si>
    <t>gebrauchten</t>
  </si>
  <si>
    <t>sway</t>
  </si>
  <si>
    <t>stürmten</t>
  </si>
  <si>
    <t>publikums</t>
  </si>
  <si>
    <t>unterzeichnung</t>
  </si>
  <si>
    <t>verabschiedung</t>
  </si>
  <si>
    <t>zyanid</t>
  </si>
  <si>
    <t>einleuchtend</t>
  </si>
  <si>
    <t>spater</t>
  </si>
  <si>
    <t>meat</t>
  </si>
  <si>
    <t>bosses</t>
  </si>
  <si>
    <t>maulesel</t>
  </si>
  <si>
    <t>fussball</t>
  </si>
  <si>
    <t>debattieren</t>
  </si>
  <si>
    <t>überlegene</t>
  </si>
  <si>
    <t>eat</t>
  </si>
  <si>
    <t>gasleitung</t>
  </si>
  <si>
    <t>hilly</t>
  </si>
  <si>
    <t>sisters</t>
  </si>
  <si>
    <t>flag</t>
  </si>
  <si>
    <t>ungenießbar</t>
  </si>
  <si>
    <t>amphetamine</t>
  </si>
  <si>
    <t>fantasiert</t>
  </si>
  <si>
    <t>feet</t>
  </si>
  <si>
    <t>spuken</t>
  </si>
  <si>
    <t>sheryl</t>
  </si>
  <si>
    <t>scheißjob</t>
  </si>
  <si>
    <t>hinzuweisen</t>
  </si>
  <si>
    <t>barbados</t>
  </si>
  <si>
    <t>fortpflanzen</t>
  </si>
  <si>
    <t>bengt</t>
  </si>
  <si>
    <t>trommelt</t>
  </si>
  <si>
    <t>zusah</t>
  </si>
  <si>
    <t>stadtgrenze</t>
  </si>
  <si>
    <t>miezen</t>
  </si>
  <si>
    <t>schlafwandeln</t>
  </si>
  <si>
    <t>verschiebung</t>
  </si>
  <si>
    <t>mordfällen</t>
  </si>
  <si>
    <t>ausmaßes</t>
  </si>
  <si>
    <t>rettungsschwimmer</t>
  </si>
  <si>
    <t>gekifft</t>
  </si>
  <si>
    <t>hervorragendes</t>
  </si>
  <si>
    <t>bratwurst</t>
  </si>
  <si>
    <t>prozente</t>
  </si>
  <si>
    <t>roark</t>
  </si>
  <si>
    <t>vorzuführen</t>
  </si>
  <si>
    <t>wohlgemerkt</t>
  </si>
  <si>
    <t>warmherzig</t>
  </si>
  <si>
    <t>weisheiten</t>
  </si>
  <si>
    <t>tollpatschig</t>
  </si>
  <si>
    <t>blanc</t>
  </si>
  <si>
    <t>emery</t>
  </si>
  <si>
    <t>urgh</t>
  </si>
  <si>
    <t>studienjahr</t>
  </si>
  <si>
    <t>friseursalon</t>
  </si>
  <si>
    <t>verschlucken</t>
  </si>
  <si>
    <t>gator</t>
  </si>
  <si>
    <t>vorderster</t>
  </si>
  <si>
    <t>fixe</t>
  </si>
  <si>
    <t>cheddar</t>
  </si>
  <si>
    <t>lotta</t>
  </si>
  <si>
    <t>schimpfwort</t>
  </si>
  <si>
    <t>tromaville</t>
  </si>
  <si>
    <t>konzipiert</t>
  </si>
  <si>
    <t>schriller</t>
  </si>
  <si>
    <t>gedeck</t>
  </si>
  <si>
    <t>pornostar</t>
  </si>
  <si>
    <t>alleinstehend</t>
  </si>
  <si>
    <t>nationalpark</t>
  </si>
  <si>
    <t>acid</t>
  </si>
  <si>
    <t>demos</t>
  </si>
  <si>
    <t>leekie</t>
  </si>
  <si>
    <t>niedrigsten</t>
  </si>
  <si>
    <t>abzureisen</t>
  </si>
  <si>
    <t>aufspießen</t>
  </si>
  <si>
    <t>eintreiben</t>
  </si>
  <si>
    <t>mayas</t>
  </si>
  <si>
    <t>unmittelbarer</t>
  </si>
  <si>
    <t>widerstandskämpfer</t>
  </si>
  <si>
    <t>vorsätzlicher</t>
  </si>
  <si>
    <t>corwin</t>
  </si>
  <si>
    <t>malerin</t>
  </si>
  <si>
    <t>vulkane</t>
  </si>
  <si>
    <t>übergib</t>
  </si>
  <si>
    <t>yogi</t>
  </si>
  <si>
    <t>murmel</t>
  </si>
  <si>
    <t>rhea</t>
  </si>
  <si>
    <t>mäh</t>
  </si>
  <si>
    <t>leibwache</t>
  </si>
  <si>
    <t>abschminken</t>
  </si>
  <si>
    <t>wütendes</t>
  </si>
  <si>
    <t>knowles</t>
  </si>
  <si>
    <t>drauflos</t>
  </si>
  <si>
    <t>cream</t>
  </si>
  <si>
    <t>mütterlicherseits</t>
  </si>
  <si>
    <t>herbekommen</t>
  </si>
  <si>
    <t>orks</t>
  </si>
  <si>
    <t>abgeneigt</t>
  </si>
  <si>
    <t>danger</t>
  </si>
  <si>
    <t>frog</t>
  </si>
  <si>
    <t>aufgetan</t>
  </si>
  <si>
    <t>ismail</t>
  </si>
  <si>
    <t>hinkt</t>
  </si>
  <si>
    <t>hänschen</t>
  </si>
  <si>
    <t>nachahmer</t>
  </si>
  <si>
    <t>besuches</t>
  </si>
  <si>
    <t>durchzieht</t>
  </si>
  <si>
    <t>belastend</t>
  </si>
  <si>
    <t>woodhull</t>
  </si>
  <si>
    <t>saroyan</t>
  </si>
  <si>
    <t>heia</t>
  </si>
  <si>
    <t>zärtliche</t>
  </si>
  <si>
    <t>brauchbare</t>
  </si>
  <si>
    <t>schlüssig</t>
  </si>
  <si>
    <t>beugte</t>
  </si>
  <si>
    <t>kicker</t>
  </si>
  <si>
    <t>beschiss</t>
  </si>
  <si>
    <t>produkten</t>
  </si>
  <si>
    <t>deinesgleichen</t>
  </si>
  <si>
    <t>schnorrer</t>
  </si>
  <si>
    <t>herumgeführt</t>
  </si>
  <si>
    <t>giuliano</t>
  </si>
  <si>
    <t>besoffenen</t>
  </si>
  <si>
    <t>eifersüchtigen</t>
  </si>
  <si>
    <t>föhn</t>
  </si>
  <si>
    <t>nordwest</t>
  </si>
  <si>
    <t>mammut</t>
  </si>
  <si>
    <t>schwertkampf</t>
  </si>
  <si>
    <t>allgemeiner</t>
  </si>
  <si>
    <t>gregorio</t>
  </si>
  <si>
    <t>verwirklicht</t>
  </si>
  <si>
    <t>waffensystem</t>
  </si>
  <si>
    <t>bücherwurm</t>
  </si>
  <si>
    <t>spieglein</t>
  </si>
  <si>
    <t>wechselten</t>
  </si>
  <si>
    <t>rausreden</t>
  </si>
  <si>
    <t>aufgetischt</t>
  </si>
  <si>
    <t>rausgehe</t>
  </si>
  <si>
    <t>charmaine</t>
  </si>
  <si>
    <t>freikommen</t>
  </si>
  <si>
    <t>zertrampelt</t>
  </si>
  <si>
    <t>zieren</t>
  </si>
  <si>
    <t>totgeschlagen</t>
  </si>
  <si>
    <t>anguckt</t>
  </si>
  <si>
    <t>eintrat</t>
  </si>
  <si>
    <t>anführt</t>
  </si>
  <si>
    <t>zimmergenossin</t>
  </si>
  <si>
    <t>hinauswollen</t>
  </si>
  <si>
    <t>reingeplatzt</t>
  </si>
  <si>
    <t>pain</t>
  </si>
  <si>
    <t>britisches</t>
  </si>
  <si>
    <t>verschlechtern</t>
  </si>
  <si>
    <t>satterfield</t>
  </si>
  <si>
    <t>abaddon</t>
  </si>
  <si>
    <t>erbittet</t>
  </si>
  <si>
    <t>tauri</t>
  </si>
  <si>
    <t>höllischen</t>
  </si>
  <si>
    <t>massiver</t>
  </si>
  <si>
    <t>vergessenen</t>
  </si>
  <si>
    <t>seward</t>
  </si>
  <si>
    <t>schonend</t>
  </si>
  <si>
    <t>erzeugte</t>
  </si>
  <si>
    <t>rie</t>
  </si>
  <si>
    <t>wiederzubekommen</t>
  </si>
  <si>
    <t>arschficker</t>
  </si>
  <si>
    <t>durchschuss</t>
  </si>
  <si>
    <t>desinfektionsmittel</t>
  </si>
  <si>
    <t>sumner</t>
  </si>
  <si>
    <t>aale</t>
  </si>
  <si>
    <t>premierministerin</t>
  </si>
  <si>
    <t>bällen</t>
  </si>
  <si>
    <t>dit</t>
  </si>
  <si>
    <t>cleveren</t>
  </si>
  <si>
    <t>absprachen</t>
  </si>
  <si>
    <t>diagnostizieren</t>
  </si>
  <si>
    <t>rockband</t>
  </si>
  <si>
    <t>telepathisch</t>
  </si>
  <si>
    <t>kühnen</t>
  </si>
  <si>
    <t>flüstere</t>
  </si>
  <si>
    <t>abzuschießen</t>
  </si>
  <si>
    <t>hartmann</t>
  </si>
  <si>
    <t>schoßhündchen</t>
  </si>
  <si>
    <t>begrabe</t>
  </si>
  <si>
    <t>topeka</t>
  </si>
  <si>
    <t>k-a-k</t>
  </si>
  <si>
    <t>duluth</t>
  </si>
  <si>
    <t>staatsfeind</t>
  </si>
  <si>
    <t>übermacht</t>
  </si>
  <si>
    <t>erstgeborene</t>
  </si>
  <si>
    <t>physischer</t>
  </si>
  <si>
    <t>daly</t>
  </si>
  <si>
    <t>bösem</t>
  </si>
  <si>
    <t>ermüden</t>
  </si>
  <si>
    <t>mutterleib</t>
  </si>
  <si>
    <t>bossen</t>
  </si>
  <si>
    <t>kasinos</t>
  </si>
  <si>
    <t>cayman</t>
  </si>
  <si>
    <t>zusammengefasst</t>
  </si>
  <si>
    <t>gewiß</t>
  </si>
  <si>
    <t>reiko</t>
  </si>
  <si>
    <t>waschküche</t>
  </si>
  <si>
    <t>beamer</t>
  </si>
  <si>
    <t>fadenkreuz</t>
  </si>
  <si>
    <t>mietet</t>
  </si>
  <si>
    <t>balsam</t>
  </si>
  <si>
    <t>urinprobe</t>
  </si>
  <si>
    <t>mala</t>
  </si>
  <si>
    <t>schweigens</t>
  </si>
  <si>
    <t>kernschmelze</t>
  </si>
  <si>
    <t>aufbrausend</t>
  </si>
  <si>
    <t>dankst</t>
  </si>
  <si>
    <t>drauben</t>
  </si>
  <si>
    <t>came</t>
  </si>
  <si>
    <t>überreagieren</t>
  </si>
  <si>
    <t>kreator</t>
  </si>
  <si>
    <t>eingefahren</t>
  </si>
  <si>
    <t>merlot</t>
  </si>
  <si>
    <t>skorpione</t>
  </si>
  <si>
    <t>mittelstufe</t>
  </si>
  <si>
    <t>lumpi</t>
  </si>
  <si>
    <t>schockierende</t>
  </si>
  <si>
    <t>enthauptung</t>
  </si>
  <si>
    <t>ölung</t>
  </si>
  <si>
    <t>vertigo</t>
  </si>
  <si>
    <t>lexa</t>
  </si>
  <si>
    <t>antreiben</t>
  </si>
  <si>
    <t>verblute</t>
  </si>
  <si>
    <t>auffliegt</t>
  </si>
  <si>
    <t>abstürzt</t>
  </si>
  <si>
    <t>investierte</t>
  </si>
  <si>
    <t>9mm</t>
  </si>
  <si>
    <t>suis</t>
  </si>
  <si>
    <t>une</t>
  </si>
  <si>
    <t>seefahrer</t>
  </si>
  <si>
    <t>armdrücken</t>
  </si>
  <si>
    <t>verschaff</t>
  </si>
  <si>
    <t>kiemen</t>
  </si>
  <si>
    <t>feuergefecht</t>
  </si>
  <si>
    <t>größenordnung</t>
  </si>
  <si>
    <t>psi</t>
  </si>
  <si>
    <t>bewegungsmelder</t>
  </si>
  <si>
    <t>storniert</t>
  </si>
  <si>
    <t>italiens</t>
  </si>
  <si>
    <t>idealist</t>
  </si>
  <si>
    <t>druckt</t>
  </si>
  <si>
    <t>erotischen</t>
  </si>
  <si>
    <t>austoben</t>
  </si>
  <si>
    <t>teufeln</t>
  </si>
  <si>
    <t>börsengang</t>
  </si>
  <si>
    <t>genehm</t>
  </si>
  <si>
    <t>chaka</t>
  </si>
  <si>
    <t>göttliches</t>
  </si>
  <si>
    <t>geflüster</t>
  </si>
  <si>
    <t>pechvogel</t>
  </si>
  <si>
    <t>makoto</t>
  </si>
  <si>
    <t>respektierte</t>
  </si>
  <si>
    <t>muller</t>
  </si>
  <si>
    <t>tropischen</t>
  </si>
  <si>
    <t>schneeball</t>
  </si>
  <si>
    <t>gesuchter</t>
  </si>
  <si>
    <t>mausi</t>
  </si>
  <si>
    <t>meatball</t>
  </si>
  <si>
    <t>randvoll</t>
  </si>
  <si>
    <t>wachtel</t>
  </si>
  <si>
    <t>überhören</t>
  </si>
  <si>
    <t>cemal</t>
  </si>
  <si>
    <t>einvernehmlich</t>
  </si>
  <si>
    <t>morel</t>
  </si>
  <si>
    <t>abmachungen</t>
  </si>
  <si>
    <t>professionalität</t>
  </si>
  <si>
    <t>sauger</t>
  </si>
  <si>
    <t>erhellen</t>
  </si>
  <si>
    <t>sultans</t>
  </si>
  <si>
    <t>rückblickend</t>
  </si>
  <si>
    <t>vorbeiziehen</t>
  </si>
  <si>
    <t>vos</t>
  </si>
  <si>
    <t>shang</t>
  </si>
  <si>
    <t>vervollständigen</t>
  </si>
  <si>
    <t>moechte</t>
  </si>
  <si>
    <t>rollenspiele</t>
  </si>
  <si>
    <t>vergleichst</t>
  </si>
  <si>
    <t>fließband</t>
  </si>
  <si>
    <t>lichtstrahl</t>
  </si>
  <si>
    <t>gallien</t>
  </si>
  <si>
    <t>umfassend</t>
  </si>
  <si>
    <t>noahs</t>
  </si>
  <si>
    <t>entfaltet</t>
  </si>
  <si>
    <t>wichse</t>
  </si>
  <si>
    <t>hee</t>
  </si>
  <si>
    <t>ichi</t>
  </si>
  <si>
    <t>flitzen</t>
  </si>
  <si>
    <t>smoothie</t>
  </si>
  <si>
    <t>schlepptau</t>
  </si>
  <si>
    <t>ölwechsel</t>
  </si>
  <si>
    <t>monarchen</t>
  </si>
  <si>
    <t>einzupacken</t>
  </si>
  <si>
    <t>abzustellen</t>
  </si>
  <si>
    <t>weihnachtskarte</t>
  </si>
  <si>
    <t>ziegenbock</t>
  </si>
  <si>
    <t>entwaffnen</t>
  </si>
  <si>
    <t>rattenfänger</t>
  </si>
  <si>
    <t>kurzzeitig</t>
  </si>
  <si>
    <t>einkünfte</t>
  </si>
  <si>
    <t>iosava</t>
  </si>
  <si>
    <t>landing</t>
  </si>
  <si>
    <t>wildkatze</t>
  </si>
  <si>
    <t>abschiede</t>
  </si>
  <si>
    <t>geschwüre</t>
  </si>
  <si>
    <t>operiere</t>
  </si>
  <si>
    <t>smiths</t>
  </si>
  <si>
    <t>unannehmlichkeit</t>
  </si>
  <si>
    <t>gemeindezentrum</t>
  </si>
  <si>
    <t>humanoiden</t>
  </si>
  <si>
    <t>tricky</t>
  </si>
  <si>
    <t>sahib</t>
  </si>
  <si>
    <t>anrührt</t>
  </si>
  <si>
    <t>gespeist</t>
  </si>
  <si>
    <t>bewußt</t>
  </si>
  <si>
    <t>vollgekotzt</t>
  </si>
  <si>
    <t>saukomisch</t>
  </si>
  <si>
    <t>nasses</t>
  </si>
  <si>
    <t>safes</t>
  </si>
  <si>
    <t>finney</t>
  </si>
  <si>
    <t>kurzgeschichten</t>
  </si>
  <si>
    <t>gucci</t>
  </si>
  <si>
    <t>diadem</t>
  </si>
  <si>
    <t>ablehnst</t>
  </si>
  <si>
    <t>abzudecken</t>
  </si>
  <si>
    <t>mähne</t>
  </si>
  <si>
    <t>marshak</t>
  </si>
  <si>
    <t>sterilisiert</t>
  </si>
  <si>
    <t>deckmantel</t>
  </si>
  <si>
    <t>beizustehen</t>
  </si>
  <si>
    <t>hürden</t>
  </si>
  <si>
    <t>gibs</t>
  </si>
  <si>
    <t>tiefsinnig</t>
  </si>
  <si>
    <t>synchronisiert</t>
  </si>
  <si>
    <t>rausgeschlichen</t>
  </si>
  <si>
    <t>rats</t>
  </si>
  <si>
    <t>eismann</t>
  </si>
  <si>
    <t>afroamerikaner</t>
  </si>
  <si>
    <t>secretary</t>
  </si>
  <si>
    <t>wilgul</t>
  </si>
  <si>
    <t>klosters</t>
  </si>
  <si>
    <t>naoki</t>
  </si>
  <si>
    <t>liebenswerter</t>
  </si>
  <si>
    <t>erlag</t>
  </si>
  <si>
    <t>wärm</t>
  </si>
  <si>
    <t>barr</t>
  </si>
  <si>
    <t>standet</t>
  </si>
  <si>
    <t>zugeständnisse</t>
  </si>
  <si>
    <t>nachvollziehbar</t>
  </si>
  <si>
    <t>verschönern</t>
  </si>
  <si>
    <t>lautsprechern</t>
  </si>
  <si>
    <t>vollpfosten</t>
  </si>
  <si>
    <t>nami</t>
  </si>
  <si>
    <t>hearts</t>
  </si>
  <si>
    <t>evas</t>
  </si>
  <si>
    <t>verschiedensten</t>
  </si>
  <si>
    <t>dice</t>
  </si>
  <si>
    <t>zünd</t>
  </si>
  <si>
    <t>untertassen</t>
  </si>
  <si>
    <t>fraßen</t>
  </si>
  <si>
    <t>sexualstraftäter</t>
  </si>
  <si>
    <t>gräuel</t>
  </si>
  <si>
    <t>mccartney</t>
  </si>
  <si>
    <t>schotter</t>
  </si>
  <si>
    <t>geschimpft</t>
  </si>
  <si>
    <t>laure</t>
  </si>
  <si>
    <t>gehässig</t>
  </si>
  <si>
    <t>schwalbe</t>
  </si>
  <si>
    <t>besitzergreifend</t>
  </si>
  <si>
    <t>hinfällig</t>
  </si>
  <si>
    <t>zurückzuschlagen</t>
  </si>
  <si>
    <t>sonntagsschule</t>
  </si>
  <si>
    <t>herausziehen</t>
  </si>
  <si>
    <t>filmmusik</t>
  </si>
  <si>
    <t>fresh</t>
  </si>
  <si>
    <t>einigten</t>
  </si>
  <si>
    <t>peeta</t>
  </si>
  <si>
    <t>astoria</t>
  </si>
  <si>
    <t>saudi-arabien</t>
  </si>
  <si>
    <t>hegte</t>
  </si>
  <si>
    <t>fiepen</t>
  </si>
  <si>
    <t>überfällen</t>
  </si>
  <si>
    <t>nachbildung</t>
  </si>
  <si>
    <t>perfektioniert</t>
  </si>
  <si>
    <t>terrace</t>
  </si>
  <si>
    <t>schussverletzung</t>
  </si>
  <si>
    <t>mutmaßliche</t>
  </si>
  <si>
    <t>aktuelles</t>
  </si>
  <si>
    <t>feierlichen</t>
  </si>
  <si>
    <t>erteilte</t>
  </si>
  <si>
    <t>körperliches</t>
  </si>
  <si>
    <t>gewahrt</t>
  </si>
  <si>
    <t>gescheiterte</t>
  </si>
  <si>
    <t>versagten</t>
  </si>
  <si>
    <t>hinbringt</t>
  </si>
  <si>
    <t>zusammengebaut</t>
  </si>
  <si>
    <t>eigenständig</t>
  </si>
  <si>
    <t>kaffeehaus</t>
  </si>
  <si>
    <t>wandlung</t>
  </si>
  <si>
    <t>episoden</t>
  </si>
  <si>
    <t>außenstehende</t>
  </si>
  <si>
    <t>vormundschaft</t>
  </si>
  <si>
    <t>einschusslöcher</t>
  </si>
  <si>
    <t>begegnest</t>
  </si>
  <si>
    <t>dienlich</t>
  </si>
  <si>
    <t>raushelfen</t>
  </si>
  <si>
    <t>erhabenen</t>
  </si>
  <si>
    <t>außenstehenden</t>
  </si>
  <si>
    <t>weiterhilft</t>
  </si>
  <si>
    <t>eriksen</t>
  </si>
  <si>
    <t>ri</t>
  </si>
  <si>
    <t>shaws</t>
  </si>
  <si>
    <t>follower</t>
  </si>
  <si>
    <t>mittlerer</t>
  </si>
  <si>
    <t>männersache</t>
  </si>
  <si>
    <t>wallung</t>
  </si>
  <si>
    <t>repräsentant</t>
  </si>
  <si>
    <t>gerty</t>
  </si>
  <si>
    <t>cleary</t>
  </si>
  <si>
    <t>verschlüsselten</t>
  </si>
  <si>
    <t>aufspielen</t>
  </si>
  <si>
    <t>verräters</t>
  </si>
  <si>
    <t>nester</t>
  </si>
  <si>
    <t>istjetzt</t>
  </si>
  <si>
    <t>kontinuum</t>
  </si>
  <si>
    <t>georgette</t>
  </si>
  <si>
    <t>durand</t>
  </si>
  <si>
    <t>unnahbar</t>
  </si>
  <si>
    <t>kränker</t>
  </si>
  <si>
    <t>agamemnon</t>
  </si>
  <si>
    <t>atmosphärische</t>
  </si>
  <si>
    <t>ziert</t>
  </si>
  <si>
    <t>faulenzer</t>
  </si>
  <si>
    <t>geschneit</t>
  </si>
  <si>
    <t>geschäftswelt</t>
  </si>
  <si>
    <t>kiel</t>
  </si>
  <si>
    <t>leavenworth</t>
  </si>
  <si>
    <t>sandsack</t>
  </si>
  <si>
    <t>miracle</t>
  </si>
  <si>
    <t>taktischer</t>
  </si>
  <si>
    <t>fress</t>
  </si>
  <si>
    <t>mausefalle</t>
  </si>
  <si>
    <t>maester</t>
  </si>
  <si>
    <t>baja</t>
  </si>
  <si>
    <t>sadako</t>
  </si>
  <si>
    <t>leckereien</t>
  </si>
  <si>
    <t>formelle</t>
  </si>
  <si>
    <t>spieldose</t>
  </si>
  <si>
    <t>elektromagnetischen</t>
  </si>
  <si>
    <t>kurzschließen</t>
  </si>
  <si>
    <t>co2</t>
  </si>
  <si>
    <t>manion</t>
  </si>
  <si>
    <t>lustigste</t>
  </si>
  <si>
    <t>fertigstellung</t>
  </si>
  <si>
    <t>versüßen</t>
  </si>
  <si>
    <t>erwerb</t>
  </si>
  <si>
    <t>mätzchen</t>
  </si>
  <si>
    <t>breites</t>
  </si>
  <si>
    <t>ruderboot</t>
  </si>
  <si>
    <t>brems</t>
  </si>
  <si>
    <t>gemogelt</t>
  </si>
  <si>
    <t>ausgingen</t>
  </si>
  <si>
    <t>gesundheitszustand</t>
  </si>
  <si>
    <t>lohnerhöhung</t>
  </si>
  <si>
    <t>zögerte</t>
  </si>
  <si>
    <t>gefegt</t>
  </si>
  <si>
    <t>kippte</t>
  </si>
  <si>
    <t>grabstätte</t>
  </si>
  <si>
    <t>finanzieller</t>
  </si>
  <si>
    <t>aufopferung</t>
  </si>
  <si>
    <t>chesapeake-ripper</t>
  </si>
  <si>
    <t>gelangten</t>
  </si>
  <si>
    <t>originelle</t>
  </si>
  <si>
    <t>ungestüm</t>
  </si>
  <si>
    <t>deanie</t>
  </si>
  <si>
    <t>sprunghaft</t>
  </si>
  <si>
    <t>sancti</t>
  </si>
  <si>
    <t>festlich</t>
  </si>
  <si>
    <t>sixpack</t>
  </si>
  <si>
    <t>mancini</t>
  </si>
  <si>
    <t>kenya</t>
  </si>
  <si>
    <t>wölfin</t>
  </si>
  <si>
    <t>briefpapier</t>
  </si>
  <si>
    <t>atropin</t>
  </si>
  <si>
    <t>künstlername</t>
  </si>
  <si>
    <t>heimisch</t>
  </si>
  <si>
    <t>agathe</t>
  </si>
  <si>
    <t>brüllst</t>
  </si>
  <si>
    <t>called</t>
  </si>
  <si>
    <t>wertes</t>
  </si>
  <si>
    <t>hauptziel</t>
  </si>
  <si>
    <t>vatikans</t>
  </si>
  <si>
    <t>zugeordnet</t>
  </si>
  <si>
    <t>gutierrez</t>
  </si>
  <si>
    <t>kühne</t>
  </si>
  <si>
    <t>gehüllt</t>
  </si>
  <si>
    <t>heathrow</t>
  </si>
  <si>
    <t>idiotischer</t>
  </si>
  <si>
    <t>schlachtplan</t>
  </si>
  <si>
    <t>hebräer</t>
  </si>
  <si>
    <t>territorien</t>
  </si>
  <si>
    <t>einzelfall</t>
  </si>
  <si>
    <t>genua</t>
  </si>
  <si>
    <t>möchtegern</t>
  </si>
  <si>
    <t>unterseite</t>
  </si>
  <si>
    <t>negromanus</t>
  </si>
  <si>
    <t>gierigen</t>
  </si>
  <si>
    <t>ehegelübde</t>
  </si>
  <si>
    <t>dogen</t>
  </si>
  <si>
    <t>dreistigkeit</t>
  </si>
  <si>
    <t>porträts</t>
  </si>
  <si>
    <t>rostigen</t>
  </si>
  <si>
    <t>lackiert</t>
  </si>
  <si>
    <t>angebrannt</t>
  </si>
  <si>
    <t>ausschlaggebend</t>
  </si>
  <si>
    <t>buscapé</t>
  </si>
  <si>
    <t>ausgebe</t>
  </si>
  <si>
    <t>osgood</t>
  </si>
  <si>
    <t>aufhielt</t>
  </si>
  <si>
    <t>isle</t>
  </si>
  <si>
    <t>mitmischen</t>
  </si>
  <si>
    <t>motiven</t>
  </si>
  <si>
    <t>aktualisiert</t>
  </si>
  <si>
    <t>ramsay</t>
  </si>
  <si>
    <t>fragerei</t>
  </si>
  <si>
    <t>kochkünste</t>
  </si>
  <si>
    <t>christlicher</t>
  </si>
  <si>
    <t>abgebe</t>
  </si>
  <si>
    <t>anschleichen</t>
  </si>
  <si>
    <t>eiswagen</t>
  </si>
  <si>
    <t>fünfundzwanzig</t>
  </si>
  <si>
    <t>tallahassee</t>
  </si>
  <si>
    <t>railly</t>
  </si>
  <si>
    <t>pacquiao</t>
  </si>
  <si>
    <t>handgreiflich</t>
  </si>
  <si>
    <t>zurückgehst</t>
  </si>
  <si>
    <t>southampton</t>
  </si>
  <si>
    <t>drastische</t>
  </si>
  <si>
    <t>verrichtet</t>
  </si>
  <si>
    <t>return</t>
  </si>
  <si>
    <t>ausgrabungen</t>
  </si>
  <si>
    <t>alfa</t>
  </si>
  <si>
    <t>cristo</t>
  </si>
  <si>
    <t>pfandleiher</t>
  </si>
  <si>
    <t>aleikum</t>
  </si>
  <si>
    <t>geklont</t>
  </si>
  <si>
    <t>lips</t>
  </si>
  <si>
    <t>durham</t>
  </si>
  <si>
    <t>elm</t>
  </si>
  <si>
    <t>spülmaschine</t>
  </si>
  <si>
    <t>durchchecken</t>
  </si>
  <si>
    <t>lüftung</t>
  </si>
  <si>
    <t>frevel</t>
  </si>
  <si>
    <t>corleone</t>
  </si>
  <si>
    <t>kanalisieren</t>
  </si>
  <si>
    <t>farley</t>
  </si>
  <si>
    <t>schlagloch</t>
  </si>
  <si>
    <t>thefaceofboe</t>
  </si>
  <si>
    <t>mays</t>
  </si>
  <si>
    <t>dna-probe</t>
  </si>
  <si>
    <t>gebietet</t>
  </si>
  <si>
    <t>transporte</t>
  </si>
  <si>
    <t>maulkorb</t>
  </si>
  <si>
    <t>bankschließfach</t>
  </si>
  <si>
    <t>angelika</t>
  </si>
  <si>
    <t>tiefster</t>
  </si>
  <si>
    <t>testete</t>
  </si>
  <si>
    <t>ramadan</t>
  </si>
  <si>
    <t>eastside</t>
  </si>
  <si>
    <t>sirena</t>
  </si>
  <si>
    <t>egozentrisch</t>
  </si>
  <si>
    <t>adlon</t>
  </si>
  <si>
    <t>geborgenheit</t>
  </si>
  <si>
    <t>toulon</t>
  </si>
  <si>
    <t>mordechai</t>
  </si>
  <si>
    <t>leiblicher</t>
  </si>
  <si>
    <t>fifi</t>
  </si>
  <si>
    <t>aussucht</t>
  </si>
  <si>
    <t>heard</t>
  </si>
  <si>
    <t>nuttig</t>
  </si>
  <si>
    <t>wegs</t>
  </si>
  <si>
    <t>soft</t>
  </si>
  <si>
    <t>personalakten</t>
  </si>
  <si>
    <t>vorhalten</t>
  </si>
  <si>
    <t>rammer</t>
  </si>
  <si>
    <t>stalken</t>
  </si>
  <si>
    <t>bewilligen</t>
  </si>
  <si>
    <t>mittäter</t>
  </si>
  <si>
    <t>anfühlte</t>
  </si>
  <si>
    <t>spontanen</t>
  </si>
  <si>
    <t>graces</t>
  </si>
  <si>
    <t>merrin</t>
  </si>
  <si>
    <t>antiquitätenhändler</t>
  </si>
  <si>
    <t>profitabel</t>
  </si>
  <si>
    <t>midway</t>
  </si>
  <si>
    <t>reliquie</t>
  </si>
  <si>
    <t>ausgab</t>
  </si>
  <si>
    <t>flagranti</t>
  </si>
  <si>
    <t>corso</t>
  </si>
  <si>
    <t>alexanders</t>
  </si>
  <si>
    <t>befällt</t>
  </si>
  <si>
    <t>montoya</t>
  </si>
  <si>
    <t>verlauten</t>
  </si>
  <si>
    <t>niedere</t>
  </si>
  <si>
    <t>mayflower</t>
  </si>
  <si>
    <t>feurig</t>
  </si>
  <si>
    <t>walkman</t>
  </si>
  <si>
    <t>rancher</t>
  </si>
  <si>
    <t>hitzig</t>
  </si>
  <si>
    <t>heiterkeit</t>
  </si>
  <si>
    <t>leichtesten</t>
  </si>
  <si>
    <t>erhole</t>
  </si>
  <si>
    <t>tano</t>
  </si>
  <si>
    <t>tati</t>
  </si>
  <si>
    <t>dürftig</t>
  </si>
  <si>
    <t>follow</t>
  </si>
  <si>
    <t>geldtransporter</t>
  </si>
  <si>
    <t>unbewacht</t>
  </si>
  <si>
    <t>tellerwäscher</t>
  </si>
  <si>
    <t>antibiotikum</t>
  </si>
  <si>
    <t>dienerschaft</t>
  </si>
  <si>
    <t>überweise</t>
  </si>
  <si>
    <t>südlicher</t>
  </si>
  <si>
    <t>westlicher</t>
  </si>
  <si>
    <t>dung</t>
  </si>
  <si>
    <t>häufen</t>
  </si>
  <si>
    <t>materielle</t>
  </si>
  <si>
    <t>langston</t>
  </si>
  <si>
    <t>lombardo</t>
  </si>
  <si>
    <t>sportarten</t>
  </si>
  <si>
    <t>vertrittst</t>
  </si>
  <si>
    <t>ariadne</t>
  </si>
  <si>
    <t>squash</t>
  </si>
  <si>
    <t>genehmige</t>
  </si>
  <si>
    <t>kaputtgegangen</t>
  </si>
  <si>
    <t>weggeschlossen</t>
  </si>
  <si>
    <t>filii</t>
  </si>
  <si>
    <t>handtaschen</t>
  </si>
  <si>
    <t>radiosprecher</t>
  </si>
  <si>
    <t>gemütliches</t>
  </si>
  <si>
    <t>ausplaudern</t>
  </si>
  <si>
    <t>untersten</t>
  </si>
  <si>
    <t>ehrenhaften</t>
  </si>
  <si>
    <t>cabal</t>
  </si>
  <si>
    <t>nierenversagen</t>
  </si>
  <si>
    <t>westside</t>
  </si>
  <si>
    <t>fürchterliches</t>
  </si>
  <si>
    <t>verängstigen</t>
  </si>
  <si>
    <t>ists</t>
  </si>
  <si>
    <t>kinsella</t>
  </si>
  <si>
    <t>höherem</t>
  </si>
  <si>
    <t>abschaffung</t>
  </si>
  <si>
    <t>ständchen</t>
  </si>
  <si>
    <t>spottet</t>
  </si>
  <si>
    <t>saudi</t>
  </si>
  <si>
    <t>barone</t>
  </si>
  <si>
    <t>schocken</t>
  </si>
  <si>
    <t>mutprobe</t>
  </si>
  <si>
    <t>gags</t>
  </si>
  <si>
    <t>unglaublichste</t>
  </si>
  <si>
    <t>maschinendeck</t>
  </si>
  <si>
    <t>ausgelaufen</t>
  </si>
  <si>
    <t>marisol</t>
  </si>
  <si>
    <t>vertrocknet</t>
  </si>
  <si>
    <t>sigrid</t>
  </si>
  <si>
    <t>evening</t>
  </si>
  <si>
    <t>eröffneten</t>
  </si>
  <si>
    <t>theologie</t>
  </si>
  <si>
    <t>tönt</t>
  </si>
  <si>
    <t>achja</t>
  </si>
  <si>
    <t>neurologen</t>
  </si>
  <si>
    <t>obdach</t>
  </si>
  <si>
    <t>kniete</t>
  </si>
  <si>
    <t>ansteckende</t>
  </si>
  <si>
    <t>wenngleich</t>
  </si>
  <si>
    <t>couscous</t>
  </si>
  <si>
    <t>eskalieren</t>
  </si>
  <si>
    <t>inning</t>
  </si>
  <si>
    <t>irritierend</t>
  </si>
  <si>
    <t>langford</t>
  </si>
  <si>
    <t>napoleons</t>
  </si>
  <si>
    <t>haßt</t>
  </si>
  <si>
    <t>whites</t>
  </si>
  <si>
    <t>kringle</t>
  </si>
  <si>
    <t>quid</t>
  </si>
  <si>
    <t>vorliest</t>
  </si>
  <si>
    <t>nervenbündel</t>
  </si>
  <si>
    <t>ulli</t>
  </si>
  <si>
    <t>gekapert</t>
  </si>
  <si>
    <t>aufrichtigen</t>
  </si>
  <si>
    <t>stücks</t>
  </si>
  <si>
    <t>ansturm</t>
  </si>
  <si>
    <t>mund-zu-mund-beatmung</t>
  </si>
  <si>
    <t>duras</t>
  </si>
  <si>
    <t>bebe</t>
  </si>
  <si>
    <t>familiären</t>
  </si>
  <si>
    <t>zurückweisen</t>
  </si>
  <si>
    <t>rätst</t>
  </si>
  <si>
    <t>beschreib</t>
  </si>
  <si>
    <t>rückte</t>
  </si>
  <si>
    <t>gerümpel</t>
  </si>
  <si>
    <t>plato</t>
  </si>
  <si>
    <t>large</t>
  </si>
  <si>
    <t>bildes</t>
  </si>
  <si>
    <t>rowland</t>
  </si>
  <si>
    <t>sy</t>
  </si>
  <si>
    <t>heiratsurkunde</t>
  </si>
  <si>
    <t>pestizide</t>
  </si>
  <si>
    <t>astaire</t>
  </si>
  <si>
    <t>hässlichkeit</t>
  </si>
  <si>
    <t>nichl</t>
  </si>
  <si>
    <t>coy</t>
  </si>
  <si>
    <t>verlagert</t>
  </si>
  <si>
    <t>mysteriöses</t>
  </si>
  <si>
    <t>beträge</t>
  </si>
  <si>
    <t>zwecks</t>
  </si>
  <si>
    <t>übernachtest</t>
  </si>
  <si>
    <t>hyatt</t>
  </si>
  <si>
    <t>hornochse</t>
  </si>
  <si>
    <t>nächtelang</t>
  </si>
  <si>
    <t>neuzugang</t>
  </si>
  <si>
    <t>faisal</t>
  </si>
  <si>
    <t>manipulativ</t>
  </si>
  <si>
    <t>wichtigster</t>
  </si>
  <si>
    <t>p.d.</t>
  </si>
  <si>
    <t>entzückenden</t>
  </si>
  <si>
    <t>annehmbar</t>
  </si>
  <si>
    <t>gesegelt</t>
  </si>
  <si>
    <t>brillenschlange</t>
  </si>
  <si>
    <t>staatsstreich</t>
  </si>
  <si>
    <t>abgewaschen</t>
  </si>
  <si>
    <t>geladenen</t>
  </si>
  <si>
    <t>saras</t>
  </si>
  <si>
    <t>michima</t>
  </si>
  <si>
    <t>mauser</t>
  </si>
  <si>
    <t>lebensinhalt</t>
  </si>
  <si>
    <t>nachgestellt</t>
  </si>
  <si>
    <t>guckte</t>
  </si>
  <si>
    <t>spectator</t>
  </si>
  <si>
    <t>hines</t>
  </si>
  <si>
    <t>khasinau</t>
  </si>
  <si>
    <t>gehörig</t>
  </si>
  <si>
    <t>aphrodisiakum</t>
  </si>
  <si>
    <t>brauchbar</t>
  </si>
  <si>
    <t>zobelle</t>
  </si>
  <si>
    <t>delikate</t>
  </si>
  <si>
    <t>schubste</t>
  </si>
  <si>
    <t>geschnarcht</t>
  </si>
  <si>
    <t>rudels</t>
  </si>
  <si>
    <t>abzulassen</t>
  </si>
  <si>
    <t>eugen</t>
  </si>
  <si>
    <t>totenkopf</t>
  </si>
  <si>
    <t>pinkle</t>
  </si>
  <si>
    <t>krankenakten</t>
  </si>
  <si>
    <t>goldfische</t>
  </si>
  <si>
    <t>fuji</t>
  </si>
  <si>
    <t>warpgeschwindigkeit</t>
  </si>
  <si>
    <t>geradebiegen</t>
  </si>
  <si>
    <t>strömungen</t>
  </si>
  <si>
    <t>vorangehen</t>
  </si>
  <si>
    <t>bog</t>
  </si>
  <si>
    <t>zerschossen</t>
  </si>
  <si>
    <t>funktionstüchtig</t>
  </si>
  <si>
    <t>tatjana</t>
  </si>
  <si>
    <t>diskutierten</t>
  </si>
  <si>
    <t>geschwärmt</t>
  </si>
  <si>
    <t>gegnerische</t>
  </si>
  <si>
    <t>gesponsert</t>
  </si>
  <si>
    <t>ptbs</t>
  </si>
  <si>
    <t>sébastien</t>
  </si>
  <si>
    <t>standish</t>
  </si>
  <si>
    <t>beherrschte</t>
  </si>
  <si>
    <t>vektor</t>
  </si>
  <si>
    <t>indisches</t>
  </si>
  <si>
    <t>rausfand</t>
  </si>
  <si>
    <t>leidens</t>
  </si>
  <si>
    <t>gru</t>
  </si>
  <si>
    <t>kindischen</t>
  </si>
  <si>
    <t>prairie</t>
  </si>
  <si>
    <t>ihrerseits</t>
  </si>
  <si>
    <t>indisch</t>
  </si>
  <si>
    <t>übernatürlich</t>
  </si>
  <si>
    <t>soziopathen</t>
  </si>
  <si>
    <t>brigadier</t>
  </si>
  <si>
    <t>zhen</t>
  </si>
  <si>
    <t>fotoalbum</t>
  </si>
  <si>
    <t>trainingslager</t>
  </si>
  <si>
    <t>einäugige</t>
  </si>
  <si>
    <t>tunten</t>
  </si>
  <si>
    <t>filzen</t>
  </si>
  <si>
    <t>luftschacht</t>
  </si>
  <si>
    <t>gleichberechtigt</t>
  </si>
  <si>
    <t>überdauern</t>
  </si>
  <si>
    <t>sepp</t>
  </si>
  <si>
    <t>yeti</t>
  </si>
  <si>
    <t>euphemia</t>
  </si>
  <si>
    <t>funksprüche</t>
  </si>
  <si>
    <t>abwasser</t>
  </si>
  <si>
    <t>gotteslästerung</t>
  </si>
  <si>
    <t>tüchtige</t>
  </si>
  <si>
    <t>aufmache</t>
  </si>
  <si>
    <t>verständigung</t>
  </si>
  <si>
    <t>verlogenen</t>
  </si>
  <si>
    <t>annies</t>
  </si>
  <si>
    <t>empfingen</t>
  </si>
  <si>
    <t>ausräuchern</t>
  </si>
  <si>
    <t>rachael</t>
  </si>
  <si>
    <t>absolvieren</t>
  </si>
  <si>
    <t>u.a.</t>
  </si>
  <si>
    <t>unterrichtest</t>
  </si>
  <si>
    <t>stormy</t>
  </si>
  <si>
    <t>sündige</t>
  </si>
  <si>
    <t>chuckie</t>
  </si>
  <si>
    <t>rausgehalten</t>
  </si>
  <si>
    <t>kyles</t>
  </si>
  <si>
    <t>ehrbaren</t>
  </si>
  <si>
    <t>sehvermögen</t>
  </si>
  <si>
    <t>luftfeuchtigkeit</t>
  </si>
  <si>
    <t>quasseln</t>
  </si>
  <si>
    <t>säcken</t>
  </si>
  <si>
    <t>com</t>
  </si>
  <si>
    <t>wahrzunehmen</t>
  </si>
  <si>
    <t>helens</t>
  </si>
  <si>
    <t>gebilligt</t>
  </si>
  <si>
    <t>machts</t>
  </si>
  <si>
    <t>handgranaten</t>
  </si>
  <si>
    <t>along</t>
  </si>
  <si>
    <t>schmalz</t>
  </si>
  <si>
    <t>zweitbesetzung</t>
  </si>
  <si>
    <t>hellsten</t>
  </si>
  <si>
    <t>waschmittel</t>
  </si>
  <si>
    <t>nachtdienst</t>
  </si>
  <si>
    <t>verabschiedete</t>
  </si>
  <si>
    <t>schlanker</t>
  </si>
  <si>
    <t>haqqani</t>
  </si>
  <si>
    <t>blende</t>
  </si>
  <si>
    <t>monogamie</t>
  </si>
  <si>
    <t>disk</t>
  </si>
  <si>
    <t>erlös</t>
  </si>
  <si>
    <t>abschlag</t>
  </si>
  <si>
    <t>burritos</t>
  </si>
  <si>
    <t>anspannen</t>
  </si>
  <si>
    <t>bewegende</t>
  </si>
  <si>
    <t>danforth</t>
  </si>
  <si>
    <t>sneakers</t>
  </si>
  <si>
    <t>cyrano</t>
  </si>
  <si>
    <t>abschlussjahr</t>
  </si>
  <si>
    <t>loves</t>
  </si>
  <si>
    <t>desselben</t>
  </si>
  <si>
    <t>schwimmbecken</t>
  </si>
  <si>
    <t>funkverkehr</t>
  </si>
  <si>
    <t>braden</t>
  </si>
  <si>
    <t>unregelmäßigkeiten</t>
  </si>
  <si>
    <t>gartenzwerg</t>
  </si>
  <si>
    <t>sturzflug</t>
  </si>
  <si>
    <t>sicherheitshalber</t>
  </si>
  <si>
    <t>stoddard</t>
  </si>
  <si>
    <t>kubus</t>
  </si>
  <si>
    <t>hoho</t>
  </si>
  <si>
    <t>medikation</t>
  </si>
  <si>
    <t>hospiz</t>
  </si>
  <si>
    <t>verpetzt</t>
  </si>
  <si>
    <t>türsummer</t>
  </si>
  <si>
    <t>durchschaubar</t>
  </si>
  <si>
    <t>nymphomanin</t>
  </si>
  <si>
    <t>gewalttätigkeit</t>
  </si>
  <si>
    <t>zugegriffen</t>
  </si>
  <si>
    <t>saints</t>
  </si>
  <si>
    <t>himmelherrgott</t>
  </si>
  <si>
    <t>geblinzelt</t>
  </si>
  <si>
    <t>zurechtzukommen</t>
  </si>
  <si>
    <t>weggespült</t>
  </si>
  <si>
    <t>sehnsüchtig</t>
  </si>
  <si>
    <t>überquerte</t>
  </si>
  <si>
    <t>gouverneurin</t>
  </si>
  <si>
    <t>stecher</t>
  </si>
  <si>
    <t>lucilla</t>
  </si>
  <si>
    <t>abstrakt</t>
  </si>
  <si>
    <t>neuronen</t>
  </si>
  <si>
    <t>gurren</t>
  </si>
  <si>
    <t>meeks</t>
  </si>
  <si>
    <t>eisbecher</t>
  </si>
  <si>
    <t>herausgeholt</t>
  </si>
  <si>
    <t>sehet</t>
  </si>
  <si>
    <t>bekenntnis</t>
  </si>
  <si>
    <t>beame</t>
  </si>
  <si>
    <t>schriftrollen</t>
  </si>
  <si>
    <t>befasse</t>
  </si>
  <si>
    <t>strafanstalt</t>
  </si>
  <si>
    <t>permanente</t>
  </si>
  <si>
    <t>gewagte</t>
  </si>
  <si>
    <t>harke</t>
  </si>
  <si>
    <t>kindliche</t>
  </si>
  <si>
    <t>erschreckte</t>
  </si>
  <si>
    <t>palastes</t>
  </si>
  <si>
    <t>abwechseln</t>
  </si>
  <si>
    <t>auszuhändigen</t>
  </si>
  <si>
    <t>bewachst</t>
  </si>
  <si>
    <t>meta</t>
  </si>
  <si>
    <t>abgeschüttelt</t>
  </si>
  <si>
    <t>durchleuchtet</t>
  </si>
  <si>
    <t>festsetzen</t>
  </si>
  <si>
    <t>pennywise</t>
  </si>
  <si>
    <t>pda</t>
  </si>
  <si>
    <t>hochgekommen</t>
  </si>
  <si>
    <t>rucksäcke</t>
  </si>
  <si>
    <t>skier</t>
  </si>
  <si>
    <t>patenkind</t>
  </si>
  <si>
    <t>throat</t>
  </si>
  <si>
    <t>individuelle</t>
  </si>
  <si>
    <t>elodie</t>
  </si>
  <si>
    <t>rausgestellt</t>
  </si>
  <si>
    <t>handgelenken</t>
  </si>
  <si>
    <t>holler</t>
  </si>
  <si>
    <t>fanta</t>
  </si>
  <si>
    <t>mongolei</t>
  </si>
  <si>
    <t>coo</t>
  </si>
  <si>
    <t>festgemacht</t>
  </si>
  <si>
    <t>grösse</t>
  </si>
  <si>
    <t>hannahs</t>
  </si>
  <si>
    <t>sinan</t>
  </si>
  <si>
    <t>reserviere</t>
  </si>
  <si>
    <t>fritzi</t>
  </si>
  <si>
    <t>regelst</t>
  </si>
  <si>
    <t>lerngruppe</t>
  </si>
  <si>
    <t>gamma-quadranten</t>
  </si>
  <si>
    <t>weigerten</t>
  </si>
  <si>
    <t>umweltverschmutzung</t>
  </si>
  <si>
    <t>sicherheitssysteme</t>
  </si>
  <si>
    <t>herc</t>
  </si>
  <si>
    <t>unbeschädigt</t>
  </si>
  <si>
    <t>backofen</t>
  </si>
  <si>
    <t>streifschuss</t>
  </si>
  <si>
    <t>rygel</t>
  </si>
  <si>
    <t>weibsstück</t>
  </si>
  <si>
    <t>fragwürdige</t>
  </si>
  <si>
    <t>moll</t>
  </si>
  <si>
    <t>titelmelodie</t>
  </si>
  <si>
    <t>unbeschwert</t>
  </si>
  <si>
    <t>transparenz</t>
  </si>
  <si>
    <t>anstrich</t>
  </si>
  <si>
    <t>reardon</t>
  </si>
  <si>
    <t>vorverlegt</t>
  </si>
  <si>
    <t>erkenn</t>
  </si>
  <si>
    <t>beichtstuhl</t>
  </si>
  <si>
    <t>bissig</t>
  </si>
  <si>
    <t>lähmt</t>
  </si>
  <si>
    <t>präsentierte</t>
  </si>
  <si>
    <t>empfangt</t>
  </si>
  <si>
    <t>egoistisches</t>
  </si>
  <si>
    <t>jobsuche</t>
  </si>
  <si>
    <t>hansson</t>
  </si>
  <si>
    <t>vorbeizuschauen</t>
  </si>
  <si>
    <t>harmloses</t>
  </si>
  <si>
    <t>franke</t>
  </si>
  <si>
    <t>spiegelei</t>
  </si>
  <si>
    <t>orgien</t>
  </si>
  <si>
    <t>bauernhaus</t>
  </si>
  <si>
    <t>mcpherson</t>
  </si>
  <si>
    <t>shao</t>
  </si>
  <si>
    <t>pendeln</t>
  </si>
  <si>
    <t>sümpfen</t>
  </si>
  <si>
    <t>liquidieren</t>
  </si>
  <si>
    <t>vedek</t>
  </si>
  <si>
    <t>fahrgestell</t>
  </si>
  <si>
    <t>wilshire</t>
  </si>
  <si>
    <t>sinnvoller</t>
  </si>
  <si>
    <t>astrologie</t>
  </si>
  <si>
    <t>zyniker</t>
  </si>
  <si>
    <t>sammelten</t>
  </si>
  <si>
    <t>factory</t>
  </si>
  <si>
    <t>überlebenskünstler</t>
  </si>
  <si>
    <t>begrüß</t>
  </si>
  <si>
    <t>götz</t>
  </si>
  <si>
    <t>prügle</t>
  </si>
  <si>
    <t>drogensüchtig</t>
  </si>
  <si>
    <t>eisige</t>
  </si>
  <si>
    <t>micht</t>
  </si>
  <si>
    <t>übersteigen</t>
  </si>
  <si>
    <t>volksrepublik</t>
  </si>
  <si>
    <t>dottore</t>
  </si>
  <si>
    <t>nessi</t>
  </si>
  <si>
    <t>autohaus</t>
  </si>
  <si>
    <t>schiesst</t>
  </si>
  <si>
    <t>grabrede</t>
  </si>
  <si>
    <t>skeptiker</t>
  </si>
  <si>
    <t>henriksen</t>
  </si>
  <si>
    <t>sheri</t>
  </si>
  <si>
    <t>bestandteile</t>
  </si>
  <si>
    <t>hieran</t>
  </si>
  <si>
    <t>rammt</t>
  </si>
  <si>
    <t>allahu</t>
  </si>
  <si>
    <t>schriftzeichen</t>
  </si>
  <si>
    <t>sis</t>
  </si>
  <si>
    <t>adrienne</t>
  </si>
  <si>
    <t>motorradfahrer</t>
  </si>
  <si>
    <t>chlor</t>
  </si>
  <si>
    <t>c.c.</t>
  </si>
  <si>
    <t>credit</t>
  </si>
  <si>
    <t>facebook-seite</t>
  </si>
  <si>
    <t>übertragungen</t>
  </si>
  <si>
    <t>footballspiel</t>
  </si>
  <si>
    <t>fear</t>
  </si>
  <si>
    <t>rapport</t>
  </si>
  <si>
    <t>zündschnur</t>
  </si>
  <si>
    <t>filmte</t>
  </si>
  <si>
    <t>teilnimmt</t>
  </si>
  <si>
    <t>rotzlöffel</t>
  </si>
  <si>
    <t>hormonen</t>
  </si>
  <si>
    <t>sauf</t>
  </si>
  <si>
    <t>arabern</t>
  </si>
  <si>
    <t>arschgeige</t>
  </si>
  <si>
    <t>norwegisch</t>
  </si>
  <si>
    <t>vorstrafe</t>
  </si>
  <si>
    <t>beisetzung</t>
  </si>
  <si>
    <t>technologies</t>
  </si>
  <si>
    <t>filzläuse</t>
  </si>
  <si>
    <t>grölen</t>
  </si>
  <si>
    <t>bürogebäude</t>
  </si>
  <si>
    <t>gebell</t>
  </si>
  <si>
    <t>krautsalat</t>
  </si>
  <si>
    <t>kronos</t>
  </si>
  <si>
    <t>uli</t>
  </si>
  <si>
    <t>drehtag</t>
  </si>
  <si>
    <t>davie</t>
  </si>
  <si>
    <t>schafott</t>
  </si>
  <si>
    <t>wassern</t>
  </si>
  <si>
    <t>kimball</t>
  </si>
  <si>
    <t>patience</t>
  </si>
  <si>
    <t>sammelklage</t>
  </si>
  <si>
    <t>zugesteckt</t>
  </si>
  <si>
    <t>norbert</t>
  </si>
  <si>
    <t>westeros</t>
  </si>
  <si>
    <t>elster</t>
  </si>
  <si>
    <t>holliday</t>
  </si>
  <si>
    <t>turin</t>
  </si>
  <si>
    <t>instrumenten</t>
  </si>
  <si>
    <t>außenstelle</t>
  </si>
  <si>
    <t>psychotischen</t>
  </si>
  <si>
    <t>sätzen</t>
  </si>
  <si>
    <t>erwärmen</t>
  </si>
  <si>
    <t>miezekatze</t>
  </si>
  <si>
    <t>schaumbad</t>
  </si>
  <si>
    <t>videothek</t>
  </si>
  <si>
    <t>holding</t>
  </si>
  <si>
    <t>thymian</t>
  </si>
  <si>
    <t>vertrages</t>
  </si>
  <si>
    <t>ausgetreten</t>
  </si>
  <si>
    <t>aufgelauert</t>
  </si>
  <si>
    <t>trügen</t>
  </si>
  <si>
    <t>hurricane</t>
  </si>
  <si>
    <t>veröffentliche</t>
  </si>
  <si>
    <t>whip</t>
  </si>
  <si>
    <t>regelung</t>
  </si>
  <si>
    <t>hervorruft</t>
  </si>
  <si>
    <t>hecheln</t>
  </si>
  <si>
    <t>torrance</t>
  </si>
  <si>
    <t>zusammenbauen</t>
  </si>
  <si>
    <t>australische</t>
  </si>
  <si>
    <t>tischdecken</t>
  </si>
  <si>
    <t>krabbelt</t>
  </si>
  <si>
    <t>auftakt</t>
  </si>
  <si>
    <t>notbremse</t>
  </si>
  <si>
    <t>knallharte</t>
  </si>
  <si>
    <t>stichst</t>
  </si>
  <si>
    <t>v3</t>
  </si>
  <si>
    <t>ahnten</t>
  </si>
  <si>
    <t>zuzugreifen</t>
  </si>
  <si>
    <t>killerin</t>
  </si>
  <si>
    <t>trommelfell</t>
  </si>
  <si>
    <t>looks</t>
  </si>
  <si>
    <t>hinzugeben</t>
  </si>
  <si>
    <t>blamiere</t>
  </si>
  <si>
    <t>manövrieren</t>
  </si>
  <si>
    <t>ledige</t>
  </si>
  <si>
    <t>eheliche</t>
  </si>
  <si>
    <t>kanzel</t>
  </si>
  <si>
    <t>draufgeht</t>
  </si>
  <si>
    <t>härtere</t>
  </si>
  <si>
    <t>kleide</t>
  </si>
  <si>
    <t>pfandhaus</t>
  </si>
  <si>
    <t>verlusten</t>
  </si>
  <si>
    <t>lanka</t>
  </si>
  <si>
    <t>shephard</t>
  </si>
  <si>
    <t>sportplatz</t>
  </si>
  <si>
    <t>soldatin</t>
  </si>
  <si>
    <t>verberge</t>
  </si>
  <si>
    <t>weibsbild</t>
  </si>
  <si>
    <t>lieblichen</t>
  </si>
  <si>
    <t>ärmster</t>
  </si>
  <si>
    <t>lexus</t>
  </si>
  <si>
    <t>ungelöste</t>
  </si>
  <si>
    <t>höllenschlund</t>
  </si>
  <si>
    <t>kriegsgefangenen</t>
  </si>
  <si>
    <t>cherokee</t>
  </si>
  <si>
    <t>bazooka</t>
  </si>
  <si>
    <t>ranken</t>
  </si>
  <si>
    <t>hartnäckigkeit</t>
  </si>
  <si>
    <t>gillespie</t>
  </si>
  <si>
    <t>redlichkeit</t>
  </si>
  <si>
    <t>rechtskräftig</t>
  </si>
  <si>
    <t>dopamin</t>
  </si>
  <si>
    <t>identifiziere</t>
  </si>
  <si>
    <t>ausgeschöpft</t>
  </si>
  <si>
    <t>lachgas</t>
  </si>
  <si>
    <t>überfluten</t>
  </si>
  <si>
    <t>trips</t>
  </si>
  <si>
    <t>humanitäre</t>
  </si>
  <si>
    <t>getöteten</t>
  </si>
  <si>
    <t>landers</t>
  </si>
  <si>
    <t>vatertag</t>
  </si>
  <si>
    <t>brogan</t>
  </si>
  <si>
    <t>berichtigen</t>
  </si>
  <si>
    <t>signalisieren</t>
  </si>
  <si>
    <t>unterbrichst</t>
  </si>
  <si>
    <t>stillwell</t>
  </si>
  <si>
    <t>draco</t>
  </si>
  <si>
    <t>hinzusehen</t>
  </si>
  <si>
    <t>bewarb</t>
  </si>
  <si>
    <t>madden</t>
  </si>
  <si>
    <t>terminen</t>
  </si>
  <si>
    <t>eheversprechen</t>
  </si>
  <si>
    <t>simples</t>
  </si>
  <si>
    <t>bazillen</t>
  </si>
  <si>
    <t>theta</t>
  </si>
  <si>
    <t>asha</t>
  </si>
  <si>
    <t>verärgerte</t>
  </si>
  <si>
    <t>todesanzeigen</t>
  </si>
  <si>
    <t>fruchtbaren</t>
  </si>
  <si>
    <t>zeitgleich</t>
  </si>
  <si>
    <t>kath</t>
  </si>
  <si>
    <t>silhouette</t>
  </si>
  <si>
    <t>gewährte</t>
  </si>
  <si>
    <t>keck</t>
  </si>
  <si>
    <t>trillerpfeife</t>
  </si>
  <si>
    <t>sitzenlassen</t>
  </si>
  <si>
    <t>schnalzt</t>
  </si>
  <si>
    <t>ask</t>
  </si>
  <si>
    <t>zurechnungsfähig</t>
  </si>
  <si>
    <t>widmore</t>
  </si>
  <si>
    <t>baseballspiel</t>
  </si>
  <si>
    <t>erdrückend</t>
  </si>
  <si>
    <t>kanonenrohr</t>
  </si>
  <si>
    <t>vaseline</t>
  </si>
  <si>
    <t>schnitzeljagd</t>
  </si>
  <si>
    <t>lüftungsschacht</t>
  </si>
  <si>
    <t>reisetasche</t>
  </si>
  <si>
    <t>geschwitzt</t>
  </si>
  <si>
    <t>ang</t>
  </si>
  <si>
    <t>versand</t>
  </si>
  <si>
    <t>bemühst</t>
  </si>
  <si>
    <t>dominguez</t>
  </si>
  <si>
    <t>wohnort</t>
  </si>
  <si>
    <t>auszahlung</t>
  </si>
  <si>
    <t>chummy</t>
  </si>
  <si>
    <t>kaminsims</t>
  </si>
  <si>
    <t>zauns</t>
  </si>
  <si>
    <t>friday</t>
  </si>
  <si>
    <t>sozialisten</t>
  </si>
  <si>
    <t>zurückzutreten</t>
  </si>
  <si>
    <t>einflüsse</t>
  </si>
  <si>
    <t>dagwood</t>
  </si>
  <si>
    <t>gower</t>
  </si>
  <si>
    <t>senders</t>
  </si>
  <si>
    <t>afro</t>
  </si>
  <si>
    <t>hana</t>
  </si>
  <si>
    <t>beliefern</t>
  </si>
  <si>
    <t>ravioli</t>
  </si>
  <si>
    <t>sonnenklar</t>
  </si>
  <si>
    <t>arrangements</t>
  </si>
  <si>
    <t>horten</t>
  </si>
  <si>
    <t>verblüffende</t>
  </si>
  <si>
    <t>trompeter</t>
  </si>
  <si>
    <t>vizekönig</t>
  </si>
  <si>
    <t>kühltruhe</t>
  </si>
  <si>
    <t>anzubringen</t>
  </si>
  <si>
    <t>joon</t>
  </si>
  <si>
    <t>törnt</t>
  </si>
  <si>
    <t>einzelheit</t>
  </si>
  <si>
    <t>realexkav</t>
  </si>
  <si>
    <t>südpol</t>
  </si>
  <si>
    <t>zusammenhalt</t>
  </si>
  <si>
    <t>herausbringen</t>
  </si>
  <si>
    <t>schutzgeld</t>
  </si>
  <si>
    <t>fluglinie</t>
  </si>
  <si>
    <t>kurbel</t>
  </si>
  <si>
    <t>einzulegen</t>
  </si>
  <si>
    <t>wissentlich</t>
  </si>
  <si>
    <t>briefumschlag</t>
  </si>
  <si>
    <t>théo</t>
  </si>
  <si>
    <t>suresh</t>
  </si>
  <si>
    <t>totenbett</t>
  </si>
  <si>
    <t>heckenschützen</t>
  </si>
  <si>
    <t>bloodberry</t>
  </si>
  <si>
    <t>ehrenhafte</t>
  </si>
  <si>
    <t>index</t>
  </si>
  <si>
    <t>massenvernichtungswaffen</t>
  </si>
  <si>
    <t>hölzernen</t>
  </si>
  <si>
    <t>leonid</t>
  </si>
  <si>
    <t>watanabe</t>
  </si>
  <si>
    <t>altert</t>
  </si>
  <si>
    <t>hohlen</t>
  </si>
  <si>
    <t>luftdruck</t>
  </si>
  <si>
    <t>skaikru</t>
  </si>
  <si>
    <t>takahashi</t>
  </si>
  <si>
    <t>abzuknallen</t>
  </si>
  <si>
    <t>probt</t>
  </si>
  <si>
    <t>privateigentum</t>
  </si>
  <si>
    <t>hardcore</t>
  </si>
  <si>
    <t>parkers</t>
  </si>
  <si>
    <t>logbücher</t>
  </si>
  <si>
    <t>ikea</t>
  </si>
  <si>
    <t>dasteht</t>
  </si>
  <si>
    <t>schlagmann</t>
  </si>
  <si>
    <t>giftmüll</t>
  </si>
  <si>
    <t>aurore</t>
  </si>
  <si>
    <t>anrufs</t>
  </si>
  <si>
    <t>penne</t>
  </si>
  <si>
    <t>schleift</t>
  </si>
  <si>
    <t>football-team</t>
  </si>
  <si>
    <t>steuereintreiber</t>
  </si>
  <si>
    <t>kari</t>
  </si>
  <si>
    <t>steroiden</t>
  </si>
  <si>
    <t>liebeserklärung</t>
  </si>
  <si>
    <t>vermerk</t>
  </si>
  <si>
    <t>kracher</t>
  </si>
  <si>
    <t>tschernobyl</t>
  </si>
  <si>
    <t>googeln</t>
  </si>
  <si>
    <t>wichtigem</t>
  </si>
  <si>
    <t>ramone</t>
  </si>
  <si>
    <t>imogene</t>
  </si>
  <si>
    <t>pinkman</t>
  </si>
  <si>
    <t>autobahnen</t>
  </si>
  <si>
    <t>verklag</t>
  </si>
  <si>
    <t>haller</t>
  </si>
  <si>
    <t>cod</t>
  </si>
  <si>
    <t>achtel</t>
  </si>
  <si>
    <t>grange</t>
  </si>
  <si>
    <t>heimwerkerking</t>
  </si>
  <si>
    <t>kohlendioxid</t>
  </si>
  <si>
    <t>bezahlter</t>
  </si>
  <si>
    <t>reißzähne</t>
  </si>
  <si>
    <t>soviele</t>
  </si>
  <si>
    <t>baileys</t>
  </si>
  <si>
    <t>boon</t>
  </si>
  <si>
    <t>bunchy</t>
  </si>
  <si>
    <t>grausamkeiten</t>
  </si>
  <si>
    <t>bück</t>
  </si>
  <si>
    <t>bumse</t>
  </si>
  <si>
    <t>site</t>
  </si>
  <si>
    <t>schütz</t>
  </si>
  <si>
    <t>jordans</t>
  </si>
  <si>
    <t>geschäftsbeziehung</t>
  </si>
  <si>
    <t>spazierengehen</t>
  </si>
  <si>
    <t>trakt</t>
  </si>
  <si>
    <t>veranlagung</t>
  </si>
  <si>
    <t>ringrichter</t>
  </si>
  <si>
    <t>heisenberg</t>
  </si>
  <si>
    <t>frühstücksflocken</t>
  </si>
  <si>
    <t>tschechisch</t>
  </si>
  <si>
    <t>steffen</t>
  </si>
  <si>
    <t>seltsamsten</t>
  </si>
  <si>
    <t>mila</t>
  </si>
  <si>
    <t>daye</t>
  </si>
  <si>
    <t>blauem</t>
  </si>
  <si>
    <t>verliebter</t>
  </si>
  <si>
    <t>beichtvater</t>
  </si>
  <si>
    <t>schnipp</t>
  </si>
  <si>
    <t>beginnend</t>
  </si>
  <si>
    <t>spelunke</t>
  </si>
  <si>
    <t>denham</t>
  </si>
  <si>
    <t>halluziniere</t>
  </si>
  <si>
    <t>enterbt</t>
  </si>
  <si>
    <t>rebecka</t>
  </si>
  <si>
    <t>richterliche</t>
  </si>
  <si>
    <t>brubaker</t>
  </si>
  <si>
    <t>barmherziger</t>
  </si>
  <si>
    <t>oona</t>
  </si>
  <si>
    <t>ek</t>
  </si>
  <si>
    <t>überdacht</t>
  </si>
  <si>
    <t>g.w.</t>
  </si>
  <si>
    <t>elektroden</t>
  </si>
  <si>
    <t>oboe</t>
  </si>
  <si>
    <t>heimwerkerkönig</t>
  </si>
  <si>
    <t>beschmiert</t>
  </si>
  <si>
    <t>abhebt</t>
  </si>
  <si>
    <t>überraschungsmoment</t>
  </si>
  <si>
    <t>nebensächlich</t>
  </si>
  <si>
    <t>griffe</t>
  </si>
  <si>
    <t>aufhalte</t>
  </si>
  <si>
    <t>tabitha</t>
  </si>
  <si>
    <t>zupacken</t>
  </si>
  <si>
    <t>steins</t>
  </si>
  <si>
    <t>zugänge</t>
  </si>
  <si>
    <t>gefundenes</t>
  </si>
  <si>
    <t>avancen</t>
  </si>
  <si>
    <t>enoch</t>
  </si>
  <si>
    <t>pendel</t>
  </si>
  <si>
    <t>laertes</t>
  </si>
  <si>
    <t>glockenschlag</t>
  </si>
  <si>
    <t>waere</t>
  </si>
  <si>
    <t>klitzekleinen</t>
  </si>
  <si>
    <t>mechanisch</t>
  </si>
  <si>
    <t>ungehindert</t>
  </si>
  <si>
    <t>verschließ</t>
  </si>
  <si>
    <t>landezone</t>
  </si>
  <si>
    <t>bardot</t>
  </si>
  <si>
    <t>ruhelos</t>
  </si>
  <si>
    <t>australischen</t>
  </si>
  <si>
    <t>theatralisch</t>
  </si>
  <si>
    <t>unterstellung</t>
  </si>
  <si>
    <t>großpapa</t>
  </si>
  <si>
    <t>neulinge</t>
  </si>
  <si>
    <t>hinterlistig</t>
  </si>
  <si>
    <t>clumsy</t>
  </si>
  <si>
    <t>ehrung</t>
  </si>
  <si>
    <t>reaper</t>
  </si>
  <si>
    <t>befiehlst</t>
  </si>
  <si>
    <t>kriechst</t>
  </si>
  <si>
    <t>großmutters</t>
  </si>
  <si>
    <t>verständlicherweise</t>
  </si>
  <si>
    <t>lucys</t>
  </si>
  <si>
    <t>abschließt</t>
  </si>
  <si>
    <t>vermuteten</t>
  </si>
  <si>
    <t>befummelt</t>
  </si>
  <si>
    <t>tino</t>
  </si>
  <si>
    <t>stimulation</t>
  </si>
  <si>
    <t>boyer</t>
  </si>
  <si>
    <t>werbekampagne</t>
  </si>
  <si>
    <t>nicolás</t>
  </si>
  <si>
    <t>höllenloch</t>
  </si>
  <si>
    <t>ponyo</t>
  </si>
  <si>
    <t>therapien</t>
  </si>
  <si>
    <t>trampen</t>
  </si>
  <si>
    <t>enthüllungen</t>
  </si>
  <si>
    <t>ecuador</t>
  </si>
  <si>
    <t>anbruch</t>
  </si>
  <si>
    <t>tomasz</t>
  </si>
  <si>
    <t>indianerin</t>
  </si>
  <si>
    <t>gesinnt</t>
  </si>
  <si>
    <t>verfrachten</t>
  </si>
  <si>
    <t>normannen</t>
  </si>
  <si>
    <t>katholikin</t>
  </si>
  <si>
    <t>irisblende</t>
  </si>
  <si>
    <t>wetters</t>
  </si>
  <si>
    <t>unangekündigt</t>
  </si>
  <si>
    <t>entsagen</t>
  </si>
  <si>
    <t>geschicklichkeit</t>
  </si>
  <si>
    <t>weihnachtsessen</t>
  </si>
  <si>
    <t>mariano</t>
  </si>
  <si>
    <t>verunreinigt</t>
  </si>
  <si>
    <t>bellas</t>
  </si>
  <si>
    <t>ansahen</t>
  </si>
  <si>
    <t>studiums</t>
  </si>
  <si>
    <t>herziehen</t>
  </si>
  <si>
    <t>trude</t>
  </si>
  <si>
    <t>ausholen</t>
  </si>
  <si>
    <t>poliere</t>
  </si>
  <si>
    <t>zähneputzen</t>
  </si>
  <si>
    <t>intuitiv</t>
  </si>
  <si>
    <t>beaucoup</t>
  </si>
  <si>
    <t>reinplatze</t>
  </si>
  <si>
    <t>autorisierung</t>
  </si>
  <si>
    <t>herzblatt</t>
  </si>
  <si>
    <t>bnd</t>
  </si>
  <si>
    <t>menelaos</t>
  </si>
  <si>
    <t>gemeißelt</t>
  </si>
  <si>
    <t>abgelassen</t>
  </si>
  <si>
    <t>wonka</t>
  </si>
  <si>
    <t>peak</t>
  </si>
  <si>
    <t>opera</t>
  </si>
  <si>
    <t>vorstoß</t>
  </si>
  <si>
    <t>petzen</t>
  </si>
  <si>
    <t>fragebogen</t>
  </si>
  <si>
    <t>vermisster</t>
  </si>
  <si>
    <t>ägyptens</t>
  </si>
  <si>
    <t>jux</t>
  </si>
  <si>
    <t>parry</t>
  </si>
  <si>
    <t>geldsorgen</t>
  </si>
  <si>
    <t>älteres</t>
  </si>
  <si>
    <t>kahlen</t>
  </si>
  <si>
    <t>tagesablauf</t>
  </si>
  <si>
    <t>fbi-agentin</t>
  </si>
  <si>
    <t>lokaler</t>
  </si>
  <si>
    <t>capricorn</t>
  </si>
  <si>
    <t>führungskraft</t>
  </si>
  <si>
    <t>siamesische</t>
  </si>
  <si>
    <t>nielsen</t>
  </si>
  <si>
    <t>apfelmus</t>
  </si>
  <si>
    <t>wortlaut</t>
  </si>
  <si>
    <t>herausgegeben</t>
  </si>
  <si>
    <t>abnehmer</t>
  </si>
  <si>
    <t>geschäftsmänner</t>
  </si>
  <si>
    <t>sekretariat</t>
  </si>
  <si>
    <t>analysten</t>
  </si>
  <si>
    <t>ausdiskutieren</t>
  </si>
  <si>
    <t>saskia</t>
  </si>
  <si>
    <t>montmartre</t>
  </si>
  <si>
    <t>smaragd</t>
  </si>
  <si>
    <t>polizeibehörde</t>
  </si>
  <si>
    <t>scheisskerl</t>
  </si>
  <si>
    <t>spräche</t>
  </si>
  <si>
    <t>fancy</t>
  </si>
  <si>
    <t>ebba</t>
  </si>
  <si>
    <t>blutend</t>
  </si>
  <si>
    <t>mehrfache</t>
  </si>
  <si>
    <t>zurückzieht</t>
  </si>
  <si>
    <t>verschissen</t>
  </si>
  <si>
    <t>frédéric</t>
  </si>
  <si>
    <t>ekliger</t>
  </si>
  <si>
    <t>leichtem</t>
  </si>
  <si>
    <t>nyberg</t>
  </si>
  <si>
    <t>daphnée</t>
  </si>
  <si>
    <t>rj</t>
  </si>
  <si>
    <t>riskante</t>
  </si>
  <si>
    <t>piñata</t>
  </si>
  <si>
    <t>strikes</t>
  </si>
  <si>
    <t>unzen</t>
  </si>
  <si>
    <t>bushrod</t>
  </si>
  <si>
    <t>außenpolitik</t>
  </si>
  <si>
    <t>dingfest</t>
  </si>
  <si>
    <t>caulfield</t>
  </si>
  <si>
    <t>angelockt</t>
  </si>
  <si>
    <t>feldherr</t>
  </si>
  <si>
    <t>ersetzte</t>
  </si>
  <si>
    <t>caspere</t>
  </si>
  <si>
    <t>dominanz</t>
  </si>
  <si>
    <t>piece</t>
  </si>
  <si>
    <t>umentschieden</t>
  </si>
  <si>
    <t>bestehend</t>
  </si>
  <si>
    <t>verkleidete</t>
  </si>
  <si>
    <t>heikles</t>
  </si>
  <si>
    <t>ausführungen</t>
  </si>
  <si>
    <t>quäl</t>
  </si>
  <si>
    <t>pfeifton</t>
  </si>
  <si>
    <t>rüttelt</t>
  </si>
  <si>
    <t>korridore</t>
  </si>
  <si>
    <t>sklavenhändler</t>
  </si>
  <si>
    <t>goldjunge</t>
  </si>
  <si>
    <t>though</t>
  </si>
  <si>
    <t>harken</t>
  </si>
  <si>
    <t>canary</t>
  </si>
  <si>
    <t>akzeptier</t>
  </si>
  <si>
    <t>cabaret</t>
  </si>
  <si>
    <t>rasierst</t>
  </si>
  <si>
    <t>wiedervereint</t>
  </si>
  <si>
    <t>haarausfall</t>
  </si>
  <si>
    <t>ethische</t>
  </si>
  <si>
    <t>paradoxon</t>
  </si>
  <si>
    <t>guineen</t>
  </si>
  <si>
    <t>blutgeld</t>
  </si>
  <si>
    <t>metzgerei</t>
  </si>
  <si>
    <t>goddard</t>
  </si>
  <si>
    <t>kribbelt</t>
  </si>
  <si>
    <t>bertin</t>
  </si>
  <si>
    <t>gedankenkontrolle</t>
  </si>
  <si>
    <t>kollateralschäden</t>
  </si>
  <si>
    <t>misthaufen</t>
  </si>
  <si>
    <t>jago</t>
  </si>
  <si>
    <t>lincolns</t>
  </si>
  <si>
    <t>spenser</t>
  </si>
  <si>
    <t>krankenkasse</t>
  </si>
  <si>
    <t>masuka</t>
  </si>
  <si>
    <t>moralisches</t>
  </si>
  <si>
    <t>aeon</t>
  </si>
  <si>
    <t>reptil</t>
  </si>
  <si>
    <t>resort</t>
  </si>
  <si>
    <t>wahnhaft</t>
  </si>
  <si>
    <t>einladend</t>
  </si>
  <si>
    <t>erstach</t>
  </si>
  <si>
    <t>verglich</t>
  </si>
  <si>
    <t>blythe</t>
  </si>
  <si>
    <t>atemzüge</t>
  </si>
  <si>
    <t>beherrsch</t>
  </si>
  <si>
    <t>pyjamaparty</t>
  </si>
  <si>
    <t>heranwachsen</t>
  </si>
  <si>
    <t>erzwungen</t>
  </si>
  <si>
    <t>tritte</t>
  </si>
  <si>
    <t>menschenopfer</t>
  </si>
  <si>
    <t>würger</t>
  </si>
  <si>
    <t>begehrenswert</t>
  </si>
  <si>
    <t>filtern</t>
  </si>
  <si>
    <t>strohhalme</t>
  </si>
  <si>
    <t>schweinehunde</t>
  </si>
  <si>
    <t>papiertüte</t>
  </si>
  <si>
    <t>astra</t>
  </si>
  <si>
    <t>mitgerissen</t>
  </si>
  <si>
    <t>eroberungen</t>
  </si>
  <si>
    <t>oberflächliche</t>
  </si>
  <si>
    <t>rauszuschmeißen</t>
  </si>
  <si>
    <t>altmann</t>
  </si>
  <si>
    <t>amtierende</t>
  </si>
  <si>
    <t>stürmischen</t>
  </si>
  <si>
    <t>hosenträger</t>
  </si>
  <si>
    <t>hathaway</t>
  </si>
  <si>
    <t>berufs</t>
  </si>
  <si>
    <t>gequetscht</t>
  </si>
  <si>
    <t>unkontrollierbar</t>
  </si>
  <si>
    <t>rechtsstreit</t>
  </si>
  <si>
    <t>credits</t>
  </si>
  <si>
    <t>kirkland</t>
  </si>
  <si>
    <t>dominieren</t>
  </si>
  <si>
    <t>staate</t>
  </si>
  <si>
    <t>unbezahlte</t>
  </si>
  <si>
    <t>zeitzünder</t>
  </si>
  <si>
    <t>chirurgisch</t>
  </si>
  <si>
    <t>zurückzuerobern</t>
  </si>
  <si>
    <t>tv-serie</t>
  </si>
  <si>
    <t>predige</t>
  </si>
  <si>
    <t>erblüht</t>
  </si>
  <si>
    <t>belgischen</t>
  </si>
  <si>
    <t>erneuten</t>
  </si>
  <si>
    <t>zurückgeschlagen</t>
  </si>
  <si>
    <t>dienstwaffe</t>
  </si>
  <si>
    <t>lecke</t>
  </si>
  <si>
    <t>squire</t>
  </si>
  <si>
    <t>midland</t>
  </si>
  <si>
    <t>parkbank</t>
  </si>
  <si>
    <t>barstow</t>
  </si>
  <si>
    <t>schülerzeitung</t>
  </si>
  <si>
    <t>sexualleben</t>
  </si>
  <si>
    <t>nid</t>
  </si>
  <si>
    <t>aufklärer</t>
  </si>
  <si>
    <t>dagmar</t>
  </si>
  <si>
    <t>dharma</t>
  </si>
  <si>
    <t>extravagant</t>
  </si>
  <si>
    <t>nervösen</t>
  </si>
  <si>
    <t>warterei</t>
  </si>
  <si>
    <t>vorfahre</t>
  </si>
  <si>
    <t>vikram</t>
  </si>
  <si>
    <t>hähne</t>
  </si>
  <si>
    <t>himbeeren</t>
  </si>
  <si>
    <t>auszog</t>
  </si>
  <si>
    <t>annapolis</t>
  </si>
  <si>
    <t>nachzählen</t>
  </si>
  <si>
    <t>enges</t>
  </si>
  <si>
    <t>nachdachte</t>
  </si>
  <si>
    <t>grüsse</t>
  </si>
  <si>
    <t>meal</t>
  </si>
  <si>
    <t>massives</t>
  </si>
  <si>
    <t>einloggen</t>
  </si>
  <si>
    <t>zurückbringe</t>
  </si>
  <si>
    <t>ephraim</t>
  </si>
  <si>
    <t>plattfuß</t>
  </si>
  <si>
    <t>langsames</t>
  </si>
  <si>
    <t>kneif</t>
  </si>
  <si>
    <t>wahrnimmt</t>
  </si>
  <si>
    <t>mieseste</t>
  </si>
  <si>
    <t>abschreckung</t>
  </si>
  <si>
    <t>coolsten</t>
  </si>
  <si>
    <t>kleinkinder</t>
  </si>
  <si>
    <t>mercia</t>
  </si>
  <si>
    <t>vitalfunktionen</t>
  </si>
  <si>
    <t>aufzieht</t>
  </si>
  <si>
    <t>beschreiten</t>
  </si>
  <si>
    <t>früchtchen</t>
  </si>
  <si>
    <t>schmierig</t>
  </si>
  <si>
    <t>nomaden</t>
  </si>
  <si>
    <t>personalausweis</t>
  </si>
  <si>
    <t>terje</t>
  </si>
  <si>
    <t>inhaftierung</t>
  </si>
  <si>
    <t>minutes</t>
  </si>
  <si>
    <t>beckham</t>
  </si>
  <si>
    <t>martín</t>
  </si>
  <si>
    <t>opfergabe</t>
  </si>
  <si>
    <t>ausländerin</t>
  </si>
  <si>
    <t>improvisiere</t>
  </si>
  <si>
    <t>verwandelten</t>
  </si>
  <si>
    <t>stine</t>
  </si>
  <si>
    <t>konsumieren</t>
  </si>
  <si>
    <t>gilly</t>
  </si>
  <si>
    <t>fernes</t>
  </si>
  <si>
    <t>akron</t>
  </si>
  <si>
    <t>schwatzen</t>
  </si>
  <si>
    <t>devise</t>
  </si>
  <si>
    <t>alberts</t>
  </si>
  <si>
    <t>rockstars</t>
  </si>
  <si>
    <t>ausbezahlt</t>
  </si>
  <si>
    <t>blackwell</t>
  </si>
  <si>
    <t>departments</t>
  </si>
  <si>
    <t>weiterzuführen</t>
  </si>
  <si>
    <t>aufgetaut</t>
  </si>
  <si>
    <t>selbsthass</t>
  </si>
  <si>
    <t>einzigartiger</t>
  </si>
  <si>
    <t>wainwright</t>
  </si>
  <si>
    <t>jiang</t>
  </si>
  <si>
    <t>artur</t>
  </si>
  <si>
    <t>halstead</t>
  </si>
  <si>
    <t>kinderbett</t>
  </si>
  <si>
    <t>drehbuchautor</t>
  </si>
  <si>
    <t>begehrst</t>
  </si>
  <si>
    <t>kontamination</t>
  </si>
  <si>
    <t>hinterhältigen</t>
  </si>
  <si>
    <t>papaya</t>
  </si>
  <si>
    <t>bucks</t>
  </si>
  <si>
    <t>sternbild</t>
  </si>
  <si>
    <t>toa</t>
  </si>
  <si>
    <t>saßt</t>
  </si>
  <si>
    <t>consuela</t>
  </si>
  <si>
    <t>unpraktisch</t>
  </si>
  <si>
    <t>anbaggern</t>
  </si>
  <si>
    <t>bewusste</t>
  </si>
  <si>
    <t>mardi</t>
  </si>
  <si>
    <t>nussknacker</t>
  </si>
  <si>
    <t>trara</t>
  </si>
  <si>
    <t>altmodischer</t>
  </si>
  <si>
    <t>mallorca</t>
  </si>
  <si>
    <t>bussi</t>
  </si>
  <si>
    <t>soong</t>
  </si>
  <si>
    <t>bräune</t>
  </si>
  <si>
    <t>forscht</t>
  </si>
  <si>
    <t>bestattet</t>
  </si>
  <si>
    <t>denkens</t>
  </si>
  <si>
    <t>flaute</t>
  </si>
  <si>
    <t>felice</t>
  </si>
  <si>
    <t>blanke</t>
  </si>
  <si>
    <t>produktivität</t>
  </si>
  <si>
    <t>spanne</t>
  </si>
  <si>
    <t>nationales</t>
  </si>
  <si>
    <t>nervtötend</t>
  </si>
  <si>
    <t>visuell</t>
  </si>
  <si>
    <t>mittelalterlichen</t>
  </si>
  <si>
    <t>rettungsdienst</t>
  </si>
  <si>
    <t>barrieren</t>
  </si>
  <si>
    <t>behandlungsraum</t>
  </si>
  <si>
    <t>fantasiewelt</t>
  </si>
  <si>
    <t>rumtreibt</t>
  </si>
  <si>
    <t>meerwasser</t>
  </si>
  <si>
    <t>zufriedener</t>
  </si>
  <si>
    <t>pemberton</t>
  </si>
  <si>
    <t>vöglein</t>
  </si>
  <si>
    <t>wohlhabender</t>
  </si>
  <si>
    <t>banning</t>
  </si>
  <si>
    <t>einzahlen</t>
  </si>
  <si>
    <t>ene</t>
  </si>
  <si>
    <t>theoretische</t>
  </si>
  <si>
    <t>angeberei</t>
  </si>
  <si>
    <t>bootsfahrt</t>
  </si>
  <si>
    <t>testpersonen</t>
  </si>
  <si>
    <t>jurij</t>
  </si>
  <si>
    <t>hogwarts</t>
  </si>
  <si>
    <t>nachzukommen</t>
  </si>
  <si>
    <t>überrede</t>
  </si>
  <si>
    <t>grauzone</t>
  </si>
  <si>
    <t>zwielichtige</t>
  </si>
  <si>
    <t>küchen</t>
  </si>
  <si>
    <t>totalschaden</t>
  </si>
  <si>
    <t>kompromittieren</t>
  </si>
  <si>
    <t>befunde</t>
  </si>
  <si>
    <t>merton</t>
  </si>
  <si>
    <t>liebesgeschichten</t>
  </si>
  <si>
    <t>mitteilungen</t>
  </si>
  <si>
    <t>ausschütten</t>
  </si>
  <si>
    <t>lackieren</t>
  </si>
  <si>
    <t>verwirrter</t>
  </si>
  <si>
    <t>satin</t>
  </si>
  <si>
    <t>starthilfe</t>
  </si>
  <si>
    <t>charakters</t>
  </si>
  <si>
    <t>judo</t>
  </si>
  <si>
    <t>user</t>
  </si>
  <si>
    <t>abgeraten</t>
  </si>
  <si>
    <t>betroffene</t>
  </si>
  <si>
    <t>kotelett</t>
  </si>
  <si>
    <t>hollywoods</t>
  </si>
  <si>
    <t>flugfeld</t>
  </si>
  <si>
    <t>thought</t>
  </si>
  <si>
    <t>terrier</t>
  </si>
  <si>
    <t>eiserner</t>
  </si>
  <si>
    <t>fremdgegangen</t>
  </si>
  <si>
    <t>macao</t>
  </si>
  <si>
    <t>40er</t>
  </si>
  <si>
    <t>mclane</t>
  </si>
  <si>
    <t>unerwünschte</t>
  </si>
  <si>
    <t>primaten</t>
  </si>
  <si>
    <t>schweitzer</t>
  </si>
  <si>
    <t>younger</t>
  </si>
  <si>
    <t>vorwiegend</t>
  </si>
  <si>
    <t>drogengeschäft</t>
  </si>
  <si>
    <t>zweigen</t>
  </si>
  <si>
    <t>sardellen</t>
  </si>
  <si>
    <t>verarbeitung</t>
  </si>
  <si>
    <t>anprobiert</t>
  </si>
  <si>
    <t>kämpfend</t>
  </si>
  <si>
    <t>innerstes</t>
  </si>
  <si>
    <t>moines</t>
  </si>
  <si>
    <t>erste-hilfe-kasten</t>
  </si>
  <si>
    <t>shimada</t>
  </si>
  <si>
    <t>marshmallow</t>
  </si>
  <si>
    <t>ausgewählte</t>
  </si>
  <si>
    <t>wöchentlichen</t>
  </si>
  <si>
    <t>stadien</t>
  </si>
  <si>
    <t>15-jährige</t>
  </si>
  <si>
    <t>inwieweit</t>
  </si>
  <si>
    <t>scherbe</t>
  </si>
  <si>
    <t>satteln</t>
  </si>
  <si>
    <t>cosby</t>
  </si>
  <si>
    <t>schrammen</t>
  </si>
  <si>
    <t>verkabeln</t>
  </si>
  <si>
    <t>wickle</t>
  </si>
  <si>
    <t>streicher</t>
  </si>
  <si>
    <t>håkon</t>
  </si>
  <si>
    <t>kunstgalerie</t>
  </si>
  <si>
    <t>herodes</t>
  </si>
  <si>
    <t>hässlichste</t>
  </si>
  <si>
    <t>schätzungsweise</t>
  </si>
  <si>
    <t>exodus</t>
  </si>
  <si>
    <t>mattes</t>
  </si>
  <si>
    <t>geräumig</t>
  </si>
  <si>
    <t>aufrechte</t>
  </si>
  <si>
    <t>überlebenschancen</t>
  </si>
  <si>
    <t>its</t>
  </si>
  <si>
    <t>kao</t>
  </si>
  <si>
    <t>testaments</t>
  </si>
  <si>
    <t>okay.</t>
  </si>
  <si>
    <t>halsabschneider</t>
  </si>
  <si>
    <t>drogenfahnder</t>
  </si>
  <si>
    <t>bekriegen</t>
  </si>
  <si>
    <t>danner</t>
  </si>
  <si>
    <t>seligkeit</t>
  </si>
  <si>
    <t>einzugrenzen</t>
  </si>
  <si>
    <t>auskosten</t>
  </si>
  <si>
    <t>sprechender</t>
  </si>
  <si>
    <t>vollständiger</t>
  </si>
  <si>
    <t>guide</t>
  </si>
  <si>
    <t>bleibenden</t>
  </si>
  <si>
    <t>geisteskranken</t>
  </si>
  <si>
    <t>reguliert</t>
  </si>
  <si>
    <t>leberfleck</t>
  </si>
  <si>
    <t>überdreht</t>
  </si>
  <si>
    <t>woolsey</t>
  </si>
  <si>
    <t>artemis</t>
  </si>
  <si>
    <t>javadi</t>
  </si>
  <si>
    <t>annemarie</t>
  </si>
  <si>
    <t>farbenblind</t>
  </si>
  <si>
    <t>enttäusch</t>
  </si>
  <si>
    <t>kita</t>
  </si>
  <si>
    <t>panzerung</t>
  </si>
  <si>
    <t>tariq</t>
  </si>
  <si>
    <t>herunterkommen</t>
  </si>
  <si>
    <t>jacs</t>
  </si>
  <si>
    <t>lichte</t>
  </si>
  <si>
    <t>entsichern</t>
  </si>
  <si>
    <t>nobler</t>
  </si>
  <si>
    <t>annes</t>
  </si>
  <si>
    <t>kreuzigung</t>
  </si>
  <si>
    <t>sendezeit</t>
  </si>
  <si>
    <t>fliegendes</t>
  </si>
  <si>
    <t>ansprüchen</t>
  </si>
  <si>
    <t>göran</t>
  </si>
  <si>
    <t>trübt</t>
  </si>
  <si>
    <t>subaru</t>
  </si>
  <si>
    <t>fenton</t>
  </si>
  <si>
    <t>dragonfly</t>
  </si>
  <si>
    <t>kabeljau</t>
  </si>
  <si>
    <t>verwirkt</t>
  </si>
  <si>
    <t>fragwürdigen</t>
  </si>
  <si>
    <t>stratege</t>
  </si>
  <si>
    <t>besänftigt</t>
  </si>
  <si>
    <t>aimée</t>
  </si>
  <si>
    <t>geschäftsführung</t>
  </si>
  <si>
    <t>joch</t>
  </si>
  <si>
    <t>surrey</t>
  </si>
  <si>
    <t>pollack</t>
  </si>
  <si>
    <t>lemmy</t>
  </si>
  <si>
    <t>mutiges</t>
  </si>
  <si>
    <t>gefriert</t>
  </si>
  <si>
    <t>jolie</t>
  </si>
  <si>
    <t>poor</t>
  </si>
  <si>
    <t>pinken</t>
  </si>
  <si>
    <t>traumata</t>
  </si>
  <si>
    <t>birk</t>
  </si>
  <si>
    <t>weitererzählen</t>
  </si>
  <si>
    <t>larsson</t>
  </si>
  <si>
    <t>beinarbeit</t>
  </si>
  <si>
    <t>positionieren</t>
  </si>
  <si>
    <t>molière</t>
  </si>
  <si>
    <t>tüchtiger</t>
  </si>
  <si>
    <t>vandal</t>
  </si>
  <si>
    <t>eisenwarenladen</t>
  </si>
  <si>
    <t>ines</t>
  </si>
  <si>
    <t>us-bürger</t>
  </si>
  <si>
    <t>muffy</t>
  </si>
  <si>
    <t>erfolgs</t>
  </si>
  <si>
    <t>zecke</t>
  </si>
  <si>
    <t>mondstein</t>
  </si>
  <si>
    <t>wilfred</t>
  </si>
  <si>
    <t>rhodos</t>
  </si>
  <si>
    <t>funkverbindung</t>
  </si>
  <si>
    <t>knallst</t>
  </si>
  <si>
    <t>einlaufen</t>
  </si>
  <si>
    <t>geographie</t>
  </si>
  <si>
    <t>heimzukommen</t>
  </si>
  <si>
    <t>fäulnis</t>
  </si>
  <si>
    <t>kinderchen</t>
  </si>
  <si>
    <t>höchstem</t>
  </si>
  <si>
    <t>vereidigt</t>
  </si>
  <si>
    <t>hornhaut</t>
  </si>
  <si>
    <t>brustschmerzen</t>
  </si>
  <si>
    <t>anatoly</t>
  </si>
  <si>
    <t>angsthasen</t>
  </si>
  <si>
    <t>ferngesteuert</t>
  </si>
  <si>
    <t>interagieren</t>
  </si>
  <si>
    <t>jo-jo</t>
  </si>
  <si>
    <t>verstörende</t>
  </si>
  <si>
    <t>pavian</t>
  </si>
  <si>
    <t>runner</t>
  </si>
  <si>
    <t>beagle</t>
  </si>
  <si>
    <t>fallschirmjäger</t>
  </si>
  <si>
    <t>andorianer</t>
  </si>
  <si>
    <t>ersatzreifen</t>
  </si>
  <si>
    <t>tall</t>
  </si>
  <si>
    <t>nimmerland</t>
  </si>
  <si>
    <t>lain</t>
  </si>
  <si>
    <t>later</t>
  </si>
  <si>
    <t>suicide</t>
  </si>
  <si>
    <t>längerem</t>
  </si>
  <si>
    <t>quadratkilometer</t>
  </si>
  <si>
    <t>nona</t>
  </si>
  <si>
    <t>forstman</t>
  </si>
  <si>
    <t>medford</t>
  </si>
  <si>
    <t>andri</t>
  </si>
  <si>
    <t>vizekanzler</t>
  </si>
  <si>
    <t>begruben</t>
  </si>
  <si>
    <t>anregen</t>
  </si>
  <si>
    <t>spannenden</t>
  </si>
  <si>
    <t>kitzlig</t>
  </si>
  <si>
    <t>erwägt</t>
  </si>
  <si>
    <t>wettest</t>
  </si>
  <si>
    <t>mexikos</t>
  </si>
  <si>
    <t>allererstes</t>
  </si>
  <si>
    <t>produzierte</t>
  </si>
  <si>
    <t>neolution</t>
  </si>
  <si>
    <t>schah</t>
  </si>
  <si>
    <t>geschnüffelt</t>
  </si>
  <si>
    <t>gemini</t>
  </si>
  <si>
    <t>brezel</t>
  </si>
  <si>
    <t>ekelhaften</t>
  </si>
  <si>
    <t>belangt</t>
  </si>
  <si>
    <t>ginsberg</t>
  </si>
  <si>
    <t>chevrolet</t>
  </si>
  <si>
    <t>tte</t>
  </si>
  <si>
    <t>masha</t>
  </si>
  <si>
    <t>enthusiastisch</t>
  </si>
  <si>
    <t>umdrehungen</t>
  </si>
  <si>
    <t>öfteren</t>
  </si>
  <si>
    <t>übermüdet</t>
  </si>
  <si>
    <t>hinreißende</t>
  </si>
  <si>
    <t>abschussliste</t>
  </si>
  <si>
    <t>küsser</t>
  </si>
  <si>
    <t>nachgelaufen</t>
  </si>
  <si>
    <t>farrah</t>
  </si>
  <si>
    <t>hälse</t>
  </si>
  <si>
    <t>lokführer</t>
  </si>
  <si>
    <t>höchstes</t>
  </si>
  <si>
    <t>maisie</t>
  </si>
  <si>
    <t>hinsieht</t>
  </si>
  <si>
    <t>dolce</t>
  </si>
  <si>
    <t>armani</t>
  </si>
  <si>
    <t>spielerei</t>
  </si>
  <si>
    <t>perlenkette</t>
  </si>
  <si>
    <t>engste</t>
  </si>
  <si>
    <t>fantasieren</t>
  </si>
  <si>
    <t>lächerliches</t>
  </si>
  <si>
    <t>nagelneu</t>
  </si>
  <si>
    <t>brennstoff</t>
  </si>
  <si>
    <t>insolvenz</t>
  </si>
  <si>
    <t>schrot</t>
  </si>
  <si>
    <t>volm</t>
  </si>
  <si>
    <t>staffeln</t>
  </si>
  <si>
    <t>roe</t>
  </si>
  <si>
    <t>klägerin</t>
  </si>
  <si>
    <t>zulassungsstelle</t>
  </si>
  <si>
    <t>erdrutsch</t>
  </si>
  <si>
    <t>kaugummis</t>
  </si>
  <si>
    <t>lyons</t>
  </si>
  <si>
    <t>rebeccas</t>
  </si>
  <si>
    <t>standby</t>
  </si>
  <si>
    <t>flugobjekt</t>
  </si>
  <si>
    <t>schüchterne</t>
  </si>
  <si>
    <t>höllenhund</t>
  </si>
  <si>
    <t>klapp</t>
  </si>
  <si>
    <t>entzücken</t>
  </si>
  <si>
    <t>goss</t>
  </si>
  <si>
    <t>odda</t>
  </si>
  <si>
    <t>galeere</t>
  </si>
  <si>
    <t>flure</t>
  </si>
  <si>
    <t>hemmungslos</t>
  </si>
  <si>
    <t>accessoires</t>
  </si>
  <si>
    <t>egoistischen</t>
  </si>
  <si>
    <t>schimpf</t>
  </si>
  <si>
    <t>verteil</t>
  </si>
  <si>
    <t>zurückkriegen</t>
  </si>
  <si>
    <t>hinkriegt</t>
  </si>
  <si>
    <t>parmesan</t>
  </si>
  <si>
    <t>panzerwagen</t>
  </si>
  <si>
    <t>zeitsprung</t>
  </si>
  <si>
    <t>fleißige</t>
  </si>
  <si>
    <t>ländlichen</t>
  </si>
  <si>
    <t>verhütung</t>
  </si>
  <si>
    <t>strickland</t>
  </si>
  <si>
    <t>itaker</t>
  </si>
  <si>
    <t>gerast</t>
  </si>
  <si>
    <t>kreuzritter</t>
  </si>
  <si>
    <t>fahrradfahren</t>
  </si>
  <si>
    <t>chewie</t>
  </si>
  <si>
    <t>generalstab</t>
  </si>
  <si>
    <t>stränge</t>
  </si>
  <si>
    <t>uniformierten</t>
  </si>
  <si>
    <t>woodman</t>
  </si>
  <si>
    <t>entsprungen</t>
  </si>
  <si>
    <t>beschneiden</t>
  </si>
  <si>
    <t>keyboard</t>
  </si>
  <si>
    <t>tellern</t>
  </si>
  <si>
    <t>sonnenbrillen</t>
  </si>
  <si>
    <t>herausschneiden</t>
  </si>
  <si>
    <t>verwöhnst</t>
  </si>
  <si>
    <t>guns</t>
  </si>
  <si>
    <t>schiffshorn</t>
  </si>
  <si>
    <t>straft</t>
  </si>
  <si>
    <t>plausch</t>
  </si>
  <si>
    <t>klee</t>
  </si>
  <si>
    <t>redfern</t>
  </si>
  <si>
    <t>gerrit</t>
  </si>
  <si>
    <t>gehirnen</t>
  </si>
  <si>
    <t>befragten</t>
  </si>
  <si>
    <t>stans</t>
  </si>
  <si>
    <t>arier</t>
  </si>
  <si>
    <t>adliger</t>
  </si>
  <si>
    <t>tar</t>
  </si>
  <si>
    <t>süchtigen</t>
  </si>
  <si>
    <t>führender</t>
  </si>
  <si>
    <t>filmgeschäft</t>
  </si>
  <si>
    <t>verkehrskameras</t>
  </si>
  <si>
    <t>sparbuch</t>
  </si>
  <si>
    <t>nachtleben</t>
  </si>
  <si>
    <t>irmgard</t>
  </si>
  <si>
    <t>ungezogener</t>
  </si>
  <si>
    <t>mongolen</t>
  </si>
  <si>
    <t>bag</t>
  </si>
  <si>
    <t>beteilige</t>
  </si>
  <si>
    <t>bekehrt</t>
  </si>
  <si>
    <t>fahrzeugpapiere</t>
  </si>
  <si>
    <t>vertauschen</t>
  </si>
  <si>
    <t>umfahren</t>
  </si>
  <si>
    <t>treibend</t>
  </si>
  <si>
    <t>persischen</t>
  </si>
  <si>
    <t>duckt</t>
  </si>
  <si>
    <t>gewappnet</t>
  </si>
  <si>
    <t>prahlt</t>
  </si>
  <si>
    <t>buenas</t>
  </si>
  <si>
    <t>pranger</t>
  </si>
  <si>
    <t>konsumenten</t>
  </si>
  <si>
    <t>rumtreiben</t>
  </si>
  <si>
    <t>pendragon</t>
  </si>
  <si>
    <t>bleichgesicht</t>
  </si>
  <si>
    <t>lund</t>
  </si>
  <si>
    <t>werkzeugen</t>
  </si>
  <si>
    <t>auflaufen</t>
  </si>
  <si>
    <t>transmission</t>
  </si>
  <si>
    <t>danes</t>
  </si>
  <si>
    <t>messing</t>
  </si>
  <si>
    <t>verbissen</t>
  </si>
  <si>
    <t>temps</t>
  </si>
  <si>
    <t>eigenmächtig</t>
  </si>
  <si>
    <t>quittieren</t>
  </si>
  <si>
    <t>michèle</t>
  </si>
  <si>
    <t>joplin</t>
  </si>
  <si>
    <t>fahrersitz</t>
  </si>
  <si>
    <t>parodie</t>
  </si>
  <si>
    <t>primo</t>
  </si>
  <si>
    <t>tonbandgerät</t>
  </si>
  <si>
    <t>cammie</t>
  </si>
  <si>
    <t>ministeriums</t>
  </si>
  <si>
    <t>rahul</t>
  </si>
  <si>
    <t>imhotep</t>
  </si>
  <si>
    <t>stammten</t>
  </si>
  <si>
    <t>versauern</t>
  </si>
  <si>
    <t>schwül</t>
  </si>
  <si>
    <t>wynn</t>
  </si>
  <si>
    <t>rafi</t>
  </si>
  <si>
    <t>japoness</t>
  </si>
  <si>
    <t>hauptgrund</t>
  </si>
  <si>
    <t>bevölkert</t>
  </si>
  <si>
    <t>drauflegen</t>
  </si>
  <si>
    <t>fiat</t>
  </si>
  <si>
    <t>allerwenigsten</t>
  </si>
  <si>
    <t>java</t>
  </si>
  <si>
    <t>paraguay</t>
  </si>
  <si>
    <t>roche</t>
  </si>
  <si>
    <t>bedeuteten</t>
  </si>
  <si>
    <t>flüssiger</t>
  </si>
  <si>
    <t>bergsteigen</t>
  </si>
  <si>
    <t>konzerten</t>
  </si>
  <si>
    <t>alessandra</t>
  </si>
  <si>
    <t>entlein</t>
  </si>
  <si>
    <t>ohlsson</t>
  </si>
  <si>
    <t>renaud</t>
  </si>
  <si>
    <t>g.g.</t>
  </si>
  <si>
    <t>symmetrie</t>
  </si>
  <si>
    <t>durchdenken</t>
  </si>
  <si>
    <t>eiskalten</t>
  </si>
  <si>
    <t>kollisionskurs</t>
  </si>
  <si>
    <t>löwenzahn</t>
  </si>
  <si>
    <t>abendnachrichten</t>
  </si>
  <si>
    <t>niedrigste</t>
  </si>
  <si>
    <t>trägheit</t>
  </si>
  <si>
    <t>lerche</t>
  </si>
  <si>
    <t>restlos</t>
  </si>
  <si>
    <t>mistkäfer</t>
  </si>
  <si>
    <t>abzufeuern</t>
  </si>
  <si>
    <t>bibeln</t>
  </si>
  <si>
    <t>weltkrieges</t>
  </si>
  <si>
    <t>iange</t>
  </si>
  <si>
    <t>io</t>
  </si>
  <si>
    <t>wanted</t>
  </si>
  <si>
    <t>spaniern</t>
  </si>
  <si>
    <t>loyalen</t>
  </si>
  <si>
    <t>schmeichelei</t>
  </si>
  <si>
    <t>tap</t>
  </si>
  <si>
    <t>lowen</t>
  </si>
  <si>
    <t>flair</t>
  </si>
  <si>
    <t>ofelia</t>
  </si>
  <si>
    <t>zaubert</t>
  </si>
  <si>
    <t>wegwerfhandy</t>
  </si>
  <si>
    <t>blaster</t>
  </si>
  <si>
    <t>begebenheit</t>
  </si>
  <si>
    <t>kun</t>
  </si>
  <si>
    <t>drazi</t>
  </si>
  <si>
    <t>bewirbt</t>
  </si>
  <si>
    <t>hauptgericht</t>
  </si>
  <si>
    <t>perfektionieren</t>
  </si>
  <si>
    <t>nordmänner</t>
  </si>
  <si>
    <t>vorsteher</t>
  </si>
  <si>
    <t>fc</t>
  </si>
  <si>
    <t>teng</t>
  </si>
  <si>
    <t>argos</t>
  </si>
  <si>
    <t>sony</t>
  </si>
  <si>
    <t>dab</t>
  </si>
  <si>
    <t>leviten</t>
  </si>
  <si>
    <t>mea</t>
  </si>
  <si>
    <t>geschwungen</t>
  </si>
  <si>
    <t>prämien</t>
  </si>
  <si>
    <t>gütigen</t>
  </si>
  <si>
    <t>sozialversicherung</t>
  </si>
  <si>
    <t>pflegefamilien</t>
  </si>
  <si>
    <t>chorgesang</t>
  </si>
  <si>
    <t>leona</t>
  </si>
  <si>
    <t>reinwerfen</t>
  </si>
  <si>
    <t>abgleichen</t>
  </si>
  <si>
    <t>aufzuladen</t>
  </si>
  <si>
    <t>zuwerfen</t>
  </si>
  <si>
    <t>saturday</t>
  </si>
  <si>
    <t>erstem</t>
  </si>
  <si>
    <t>hervorbringen</t>
  </si>
  <si>
    <t>julienne</t>
  </si>
  <si>
    <t>reingehe</t>
  </si>
  <si>
    <t>sozialistischen</t>
  </si>
  <si>
    <t>marleen</t>
  </si>
  <si>
    <t>feurigen</t>
  </si>
  <si>
    <t>einbrach</t>
  </si>
  <si>
    <t>colson</t>
  </si>
  <si>
    <t>einschränkung</t>
  </si>
  <si>
    <t>walde</t>
  </si>
  <si>
    <t>üblicher</t>
  </si>
  <si>
    <t>verdreifachen</t>
  </si>
  <si>
    <t>fane</t>
  </si>
  <si>
    <t>racheakt</t>
  </si>
  <si>
    <t>glorreicher</t>
  </si>
  <si>
    <t>rassistischen</t>
  </si>
  <si>
    <t>laudanum</t>
  </si>
  <si>
    <t>striche</t>
  </si>
  <si>
    <t>sühne</t>
  </si>
  <si>
    <t>klarkomme</t>
  </si>
  <si>
    <t>remo</t>
  </si>
  <si>
    <t>säugetiere</t>
  </si>
  <si>
    <t>milder</t>
  </si>
  <si>
    <t>coca</t>
  </si>
  <si>
    <t>herzzerreißend</t>
  </si>
  <si>
    <t>poncho</t>
  </si>
  <si>
    <t>mitchum</t>
  </si>
  <si>
    <t>lateinischen</t>
  </si>
  <si>
    <t>frye</t>
  </si>
  <si>
    <t>kaylee</t>
  </si>
  <si>
    <t>durchkreuzt</t>
  </si>
  <si>
    <t>erwiderte</t>
  </si>
  <si>
    <t>barrès</t>
  </si>
  <si>
    <t>besenkammer</t>
  </si>
  <si>
    <t>lyta</t>
  </si>
  <si>
    <t>ranlassen</t>
  </si>
  <si>
    <t>verhökern</t>
  </si>
  <si>
    <t>aang</t>
  </si>
  <si>
    <t>sandsturm</t>
  </si>
  <si>
    <t>verschmutzung</t>
  </si>
  <si>
    <t>rotznase</t>
  </si>
  <si>
    <t>äußerungen</t>
  </si>
  <si>
    <t>peggotty</t>
  </si>
  <si>
    <t>erwarb</t>
  </si>
  <si>
    <t>rodgers</t>
  </si>
  <si>
    <t>bolschewiken</t>
  </si>
  <si>
    <t>smoak</t>
  </si>
  <si>
    <t>alive</t>
  </si>
  <si>
    <t>pap</t>
  </si>
  <si>
    <t>radikaler</t>
  </si>
  <si>
    <t>damar</t>
  </si>
  <si>
    <t>moralpredigt</t>
  </si>
  <si>
    <t>unersättlich</t>
  </si>
  <si>
    <t>huntley</t>
  </si>
  <si>
    <t>strychnin</t>
  </si>
  <si>
    <t>liedes</t>
  </si>
  <si>
    <t>programmierte</t>
  </si>
  <si>
    <t>lol</t>
  </si>
  <si>
    <t>unorthodox</t>
  </si>
  <si>
    <t>gekko</t>
  </si>
  <si>
    <t>ds9</t>
  </si>
  <si>
    <t>nachgeschlagen</t>
  </si>
  <si>
    <t>fortwährend</t>
  </si>
  <si>
    <t>ausgeweidet</t>
  </si>
  <si>
    <t>riesengroße</t>
  </si>
  <si>
    <t>cassio</t>
  </si>
  <si>
    <t>jungle</t>
  </si>
  <si>
    <t>kranich</t>
  </si>
  <si>
    <t>coupons</t>
  </si>
  <si>
    <t>ungarische</t>
  </si>
  <si>
    <t>familiensache</t>
  </si>
  <si>
    <t>polin</t>
  </si>
  <si>
    <t>anfänge</t>
  </si>
  <si>
    <t>anerkennt</t>
  </si>
  <si>
    <t>trina</t>
  </si>
  <si>
    <t>awesome</t>
  </si>
  <si>
    <t>schuhkarton</t>
  </si>
  <si>
    <t>fehlendes</t>
  </si>
  <si>
    <t>corp.</t>
  </si>
  <si>
    <t>längerer</t>
  </si>
  <si>
    <t>formaldehyd</t>
  </si>
  <si>
    <t>kohldampf</t>
  </si>
  <si>
    <t>eunuch</t>
  </si>
  <si>
    <t>angebrochen</t>
  </si>
  <si>
    <t>schlichter</t>
  </si>
  <si>
    <t>einpflanzen</t>
  </si>
  <si>
    <t>unvergessliche</t>
  </si>
  <si>
    <t>flüchteten</t>
  </si>
  <si>
    <t>sitzordnung</t>
  </si>
  <si>
    <t>thaddeus</t>
  </si>
  <si>
    <t>unanständiges</t>
  </si>
  <si>
    <t>gesicherten</t>
  </si>
  <si>
    <t>bedrängnis</t>
  </si>
  <si>
    <t>janna</t>
  </si>
  <si>
    <t>originals</t>
  </si>
  <si>
    <t>personals</t>
  </si>
  <si>
    <t>beschenkt</t>
  </si>
  <si>
    <t>victorias</t>
  </si>
  <si>
    <t>signalisiert</t>
  </si>
  <si>
    <t>nimmermehr</t>
  </si>
  <si>
    <t>kratzte</t>
  </si>
  <si>
    <t>nonstop</t>
  </si>
  <si>
    <t>eingehend</t>
  </si>
  <si>
    <t>future</t>
  </si>
  <si>
    <t>jut</t>
  </si>
  <si>
    <t>rockige</t>
  </si>
  <si>
    <t>spezifikationen</t>
  </si>
  <si>
    <t>versicherungsgesellschaft</t>
  </si>
  <si>
    <t>innovation</t>
  </si>
  <si>
    <t>sinnliche</t>
  </si>
  <si>
    <t>unternehmung</t>
  </si>
  <si>
    <t>katalysator</t>
  </si>
  <si>
    <t>zugbrücke</t>
  </si>
  <si>
    <t>kimmel</t>
  </si>
  <si>
    <t>heimkomme</t>
  </si>
  <si>
    <t>mitsingen</t>
  </si>
  <si>
    <t>om</t>
  </si>
  <si>
    <t>ströme</t>
  </si>
  <si>
    <t>feldes</t>
  </si>
  <si>
    <t>khaleesi</t>
  </si>
  <si>
    <t>eisbär</t>
  </si>
  <si>
    <t>äm</t>
  </si>
  <si>
    <t>jeffersonian</t>
  </si>
  <si>
    <t>ausrufezeichen</t>
  </si>
  <si>
    <t>zoes</t>
  </si>
  <si>
    <t>auszuwischen</t>
  </si>
  <si>
    <t>aufkaufen</t>
  </si>
  <si>
    <t>königsmund</t>
  </si>
  <si>
    <t>erwischst</t>
  </si>
  <si>
    <t>maiden</t>
  </si>
  <si>
    <t>pontius</t>
  </si>
  <si>
    <t>katapult</t>
  </si>
  <si>
    <t>boulogne</t>
  </si>
  <si>
    <t>famos</t>
  </si>
  <si>
    <t>erzieher</t>
  </si>
  <si>
    <t>bewunderst</t>
  </si>
  <si>
    <t>kirchenglocke</t>
  </si>
  <si>
    <t>mexikanern</t>
  </si>
  <si>
    <t>boshaftigkeit</t>
  </si>
  <si>
    <t>erschütterung</t>
  </si>
  <si>
    <t>muck</t>
  </si>
  <si>
    <t>starterlaubnis</t>
  </si>
  <si>
    <t>schachfigur</t>
  </si>
  <si>
    <t>hirntot</t>
  </si>
  <si>
    <t>christel</t>
  </si>
  <si>
    <t>midori</t>
  </si>
  <si>
    <t>arbeitskraft</t>
  </si>
  <si>
    <t>straßenräuber</t>
  </si>
  <si>
    <t>staffelfinale</t>
  </si>
  <si>
    <t>schlauste</t>
  </si>
  <si>
    <t>matéo</t>
  </si>
  <si>
    <t>törichten</t>
  </si>
  <si>
    <t>baratheon</t>
  </si>
  <si>
    <t>shall</t>
  </si>
  <si>
    <t>stocksauer</t>
  </si>
  <si>
    <t>wee</t>
  </si>
  <si>
    <t>rackham</t>
  </si>
  <si>
    <t>schüttete</t>
  </si>
  <si>
    <t>senke</t>
  </si>
  <si>
    <t>hinfährt</t>
  </si>
  <si>
    <t>klans</t>
  </si>
  <si>
    <t>abzocken</t>
  </si>
  <si>
    <t>ethischen</t>
  </si>
  <si>
    <t>schnellere</t>
  </si>
  <si>
    <t>chloes</t>
  </si>
  <si>
    <t>transvestiten</t>
  </si>
  <si>
    <t>hackman</t>
  </si>
  <si>
    <t>tick-tack</t>
  </si>
  <si>
    <t>fünftausend</t>
  </si>
  <si>
    <t>hosts</t>
  </si>
  <si>
    <t>hirsche</t>
  </si>
  <si>
    <t>titelseiten</t>
  </si>
  <si>
    <t>leung</t>
  </si>
  <si>
    <t>tierische</t>
  </si>
  <si>
    <t>undankbaren</t>
  </si>
  <si>
    <t>statusbericht</t>
  </si>
  <si>
    <t>pennern</t>
  </si>
  <si>
    <t>knöpfchen</t>
  </si>
  <si>
    <t>bluttransfusion</t>
  </si>
  <si>
    <t>observierung</t>
  </si>
  <si>
    <t>wegzufahren</t>
  </si>
  <si>
    <t>geigerzähler</t>
  </si>
  <si>
    <t>necken</t>
  </si>
  <si>
    <t>bemühte</t>
  </si>
  <si>
    <t>hofmann</t>
  </si>
  <si>
    <t>besserungsanstalt</t>
  </si>
  <si>
    <t>lebenserhaltungssystem</t>
  </si>
  <si>
    <t>verfechter</t>
  </si>
  <si>
    <t>ander</t>
  </si>
  <si>
    <t>ablage</t>
  </si>
  <si>
    <t>eingeengt</t>
  </si>
  <si>
    <t>einschließt</t>
  </si>
  <si>
    <t>homecoming</t>
  </si>
  <si>
    <t>gegnerischen</t>
  </si>
  <si>
    <t>teuflisches</t>
  </si>
  <si>
    <t>maschinerie</t>
  </si>
  <si>
    <t>abgaben</t>
  </si>
  <si>
    <t>sonnenstrahlen</t>
  </si>
  <si>
    <t>leibhaftig</t>
  </si>
  <si>
    <t>fried</t>
  </si>
  <si>
    <t>spendier</t>
  </si>
  <si>
    <t>carstairs</t>
  </si>
  <si>
    <t>alcide</t>
  </si>
  <si>
    <t>trojanisches</t>
  </si>
  <si>
    <t>streichelzoo</t>
  </si>
  <si>
    <t>auslöschung</t>
  </si>
  <si>
    <t>mouna</t>
  </si>
  <si>
    <t>lieferservice</t>
  </si>
  <si>
    <t>kostbarer</t>
  </si>
  <si>
    <t>ekeln</t>
  </si>
  <si>
    <t>lions</t>
  </si>
  <si>
    <t>entehren</t>
  </si>
  <si>
    <t>regulieren</t>
  </si>
  <si>
    <t>geheimnistuerei</t>
  </si>
  <si>
    <t>irène</t>
  </si>
  <si>
    <t>hereinlassen</t>
  </si>
  <si>
    <t>cates</t>
  </si>
  <si>
    <t>evangelina</t>
  </si>
  <si>
    <t>ungewollt</t>
  </si>
  <si>
    <t>helix</t>
  </si>
  <si>
    <t>honduras</t>
  </si>
  <si>
    <t>misshandlungen</t>
  </si>
  <si>
    <t>alexi</t>
  </si>
  <si>
    <t>middle</t>
  </si>
  <si>
    <t>häute</t>
  </si>
  <si>
    <t>teuflischer</t>
  </si>
  <si>
    <t>apfelwein</t>
  </si>
  <si>
    <t>redefreiheit</t>
  </si>
  <si>
    <t>abgibst</t>
  </si>
  <si>
    <t>blinzelt</t>
  </si>
  <si>
    <t>herausgeschnitten</t>
  </si>
  <si>
    <t>foxtrott</t>
  </si>
  <si>
    <t>angesammelt</t>
  </si>
  <si>
    <t>warze</t>
  </si>
  <si>
    <t>lesley</t>
  </si>
  <si>
    <t>missbrauchte</t>
  </si>
  <si>
    <t>maggies</t>
  </si>
  <si>
    <t>pauken</t>
  </si>
  <si>
    <t>hüh</t>
  </si>
  <si>
    <t>abgekratzt</t>
  </si>
  <si>
    <t>kürzesten</t>
  </si>
  <si>
    <t>drückeberger</t>
  </si>
  <si>
    <t>montagabend</t>
  </si>
  <si>
    <t>teddys</t>
  </si>
  <si>
    <t>strahlte</t>
  </si>
  <si>
    <t>sechst</t>
  </si>
  <si>
    <t>eintrafen</t>
  </si>
  <si>
    <t>richtigkeit</t>
  </si>
  <si>
    <t>klatschnass</t>
  </si>
  <si>
    <t>odie</t>
  </si>
  <si>
    <t>acosta</t>
  </si>
  <si>
    <t>untote</t>
  </si>
  <si>
    <t>vorratskammer</t>
  </si>
  <si>
    <t>reproduktion</t>
  </si>
  <si>
    <t>zuschüsse</t>
  </si>
  <si>
    <t>vorzieht</t>
  </si>
  <si>
    <t>fotografierte</t>
  </si>
  <si>
    <t>hydraulik</t>
  </si>
  <si>
    <t>tatum</t>
  </si>
  <si>
    <t>knutschfleck</t>
  </si>
  <si>
    <t>familienangelegenheiten</t>
  </si>
  <si>
    <t>schleimige</t>
  </si>
  <si>
    <t>abholst</t>
  </si>
  <si>
    <t>kooperiere</t>
  </si>
  <si>
    <t>gierige</t>
  </si>
  <si>
    <t>bäuchlein</t>
  </si>
  <si>
    <t>nates</t>
  </si>
  <si>
    <t>abrücken</t>
  </si>
  <si>
    <t>regierte</t>
  </si>
  <si>
    <t>hernando</t>
  </si>
  <si>
    <t>anführers</t>
  </si>
  <si>
    <t>soziologie</t>
  </si>
  <si>
    <t>leach</t>
  </si>
  <si>
    <t>sammelpunkt</t>
  </si>
  <si>
    <t>flugblatt</t>
  </si>
  <si>
    <t>vanity</t>
  </si>
  <si>
    <t>tic</t>
  </si>
  <si>
    <t>keksdose</t>
  </si>
  <si>
    <t>alltägliche</t>
  </si>
  <si>
    <t>molekül</t>
  </si>
  <si>
    <t>demokrat</t>
  </si>
  <si>
    <t>ausmaße</t>
  </si>
  <si>
    <t>mole</t>
  </si>
  <si>
    <t>burgund</t>
  </si>
  <si>
    <t>tintin</t>
  </si>
  <si>
    <t>schädeltrauma</t>
  </si>
  <si>
    <t>versaute</t>
  </si>
  <si>
    <t>beträchtlichen</t>
  </si>
  <si>
    <t>reza</t>
  </si>
  <si>
    <t>caution</t>
  </si>
  <si>
    <t>h.g.</t>
  </si>
  <si>
    <t>vespa</t>
  </si>
  <si>
    <t>witzigen</t>
  </si>
  <si>
    <t>rausgegeben</t>
  </si>
  <si>
    <t>mischte</t>
  </si>
  <si>
    <t>märchenprinz</t>
  </si>
  <si>
    <t>übergewicht</t>
  </si>
  <si>
    <t>flugs</t>
  </si>
  <si>
    <t>herkamst</t>
  </si>
  <si>
    <t>stickerei</t>
  </si>
  <si>
    <t>plastiksprengstoff</t>
  </si>
  <si>
    <t>avengers</t>
  </si>
  <si>
    <t>ostseite</t>
  </si>
  <si>
    <t>scheußliches</t>
  </si>
  <si>
    <t>klinke</t>
  </si>
  <si>
    <t>pullis</t>
  </si>
  <si>
    <t>umwerfen</t>
  </si>
  <si>
    <t>schuldirektor</t>
  </si>
  <si>
    <t>doppelbett</t>
  </si>
  <si>
    <t>kampfstationen</t>
  </si>
  <si>
    <t>webcam</t>
  </si>
  <si>
    <t>koteletts</t>
  </si>
  <si>
    <t>klaustrophobie</t>
  </si>
  <si>
    <t>zerrte</t>
  </si>
  <si>
    <t>mangels</t>
  </si>
  <si>
    <t>monatlichen</t>
  </si>
  <si>
    <t>geburtstags</t>
  </si>
  <si>
    <t>problemchen</t>
  </si>
  <si>
    <t>rawlins</t>
  </si>
  <si>
    <t>köhler</t>
  </si>
  <si>
    <t>bereiteten</t>
  </si>
  <si>
    <t>pragmatisch</t>
  </si>
  <si>
    <t>vermache</t>
  </si>
  <si>
    <t>unterbrach</t>
  </si>
  <si>
    <t>zustimmst</t>
  </si>
  <si>
    <t>notizblock</t>
  </si>
  <si>
    <t>drazen</t>
  </si>
  <si>
    <t>desserts</t>
  </si>
  <si>
    <t>engl</t>
  </si>
  <si>
    <t>vollzug</t>
  </si>
  <si>
    <t>boise</t>
  </si>
  <si>
    <t>ramm</t>
  </si>
  <si>
    <t>beschleuniger</t>
  </si>
  <si>
    <t>keusch</t>
  </si>
  <si>
    <t>pollard</t>
  </si>
  <si>
    <t>armseliges</t>
  </si>
  <si>
    <t>goya</t>
  </si>
  <si>
    <t>maik</t>
  </si>
  <si>
    <t>urknall</t>
  </si>
  <si>
    <t>davonläuft</t>
  </si>
  <si>
    <t>templer</t>
  </si>
  <si>
    <t>vernichtend</t>
  </si>
  <si>
    <t>energreen</t>
  </si>
  <si>
    <t>kassettenrekorder</t>
  </si>
  <si>
    <t>geizkragen</t>
  </si>
  <si>
    <t>nous</t>
  </si>
  <si>
    <t>habseligkeiten</t>
  </si>
  <si>
    <t>chemischer</t>
  </si>
  <si>
    <t>kaschmir</t>
  </si>
  <si>
    <t>altstadt</t>
  </si>
  <si>
    <t>überlegten</t>
  </si>
  <si>
    <t>unterging</t>
  </si>
  <si>
    <t>hinwegsehen</t>
  </si>
  <si>
    <t>vorzufinden</t>
  </si>
  <si>
    <t>lora</t>
  </si>
  <si>
    <t>glitschig</t>
  </si>
  <si>
    <t>neuland</t>
  </si>
  <si>
    <t>gemälden</t>
  </si>
  <si>
    <t>siebzig</t>
  </si>
  <si>
    <t>momento</t>
  </si>
  <si>
    <t>morgenstunden</t>
  </si>
  <si>
    <t>vorspeisen</t>
  </si>
  <si>
    <t>wächtern</t>
  </si>
  <si>
    <t>geräuschen</t>
  </si>
  <si>
    <t>ölen</t>
  </si>
  <si>
    <t>ungeklärten</t>
  </si>
  <si>
    <t>aufgehetzt</t>
  </si>
  <si>
    <t>genehmigte</t>
  </si>
  <si>
    <t>methadon</t>
  </si>
  <si>
    <t>schulkinder</t>
  </si>
  <si>
    <t>schnarchst</t>
  </si>
  <si>
    <t>botox</t>
  </si>
  <si>
    <t>näheren</t>
  </si>
  <si>
    <t>sona</t>
  </si>
  <si>
    <t>fertigkeiten</t>
  </si>
  <si>
    <t>psi-corps</t>
  </si>
  <si>
    <t>auffassen</t>
  </si>
  <si>
    <t>erhitzen</t>
  </si>
  <si>
    <t>verzehr</t>
  </si>
  <si>
    <t>polizeipräsidenten</t>
  </si>
  <si>
    <t>nachahmen</t>
  </si>
  <si>
    <t>reaktivieren</t>
  </si>
  <si>
    <t>ziels</t>
  </si>
  <si>
    <t>äthiopien</t>
  </si>
  <si>
    <t>hani</t>
  </si>
  <si>
    <t>etat</t>
  </si>
  <si>
    <t>archiven</t>
  </si>
  <si>
    <t>sirius</t>
  </si>
  <si>
    <t>schmerzensschrei</t>
  </si>
  <si>
    <t>aktenschrank</t>
  </si>
  <si>
    <t>weitgehend</t>
  </si>
  <si>
    <t>hervé</t>
  </si>
  <si>
    <t>meistgesuchten</t>
  </si>
  <si>
    <t>nobu</t>
  </si>
  <si>
    <t>schlichtweg</t>
  </si>
  <si>
    <t>durcharbeiten</t>
  </si>
  <si>
    <t>drogenbehörde</t>
  </si>
  <si>
    <t>schneeflocke</t>
  </si>
  <si>
    <t>philo</t>
  </si>
  <si>
    <t>hays</t>
  </si>
  <si>
    <t>handelskammer</t>
  </si>
  <si>
    <t>läute</t>
  </si>
  <si>
    <t>martinsson</t>
  </si>
  <si>
    <t>cushing</t>
  </si>
  <si>
    <t>nirvana</t>
  </si>
  <si>
    <t>hull</t>
  </si>
  <si>
    <t>penisse</t>
  </si>
  <si>
    <t>ähnlichem</t>
  </si>
  <si>
    <t>spielfilm</t>
  </si>
  <si>
    <t>näh</t>
  </si>
  <si>
    <t>vererben</t>
  </si>
  <si>
    <t>triftigen</t>
  </si>
  <si>
    <t>danzig</t>
  </si>
  <si>
    <t>flandern</t>
  </si>
  <si>
    <t>abzutreten</t>
  </si>
  <si>
    <t>production</t>
  </si>
  <si>
    <t>dauerwelle</t>
  </si>
  <si>
    <t>divisionen</t>
  </si>
  <si>
    <t>wagon</t>
  </si>
  <si>
    <t>größenwahn</t>
  </si>
  <si>
    <t>tals</t>
  </si>
  <si>
    <t>ausschnitte</t>
  </si>
  <si>
    <t>betsey</t>
  </si>
  <si>
    <t>kee</t>
  </si>
  <si>
    <t>fallschirmspringen</t>
  </si>
  <si>
    <t>buon</t>
  </si>
  <si>
    <t>kasachstan</t>
  </si>
  <si>
    <t>erzittern</t>
  </si>
  <si>
    <t>patronenhülse</t>
  </si>
  <si>
    <t>jamaica</t>
  </si>
  <si>
    <t>opernmusik</t>
  </si>
  <si>
    <t>kneifst</t>
  </si>
  <si>
    <t>strebe</t>
  </si>
  <si>
    <t>bedeutendsten</t>
  </si>
  <si>
    <t>namenlosen</t>
  </si>
  <si>
    <t>herausreißen</t>
  </si>
  <si>
    <t>achmed</t>
  </si>
  <si>
    <t>spaltet</t>
  </si>
  <si>
    <t>rausspringen</t>
  </si>
  <si>
    <t>euern</t>
  </si>
  <si>
    <t>trostpreis</t>
  </si>
  <si>
    <t>feststeht</t>
  </si>
  <si>
    <t>nagen</t>
  </si>
  <si>
    <t>strix</t>
  </si>
  <si>
    <t>takumi</t>
  </si>
  <si>
    <t>stipendien</t>
  </si>
  <si>
    <t>ehebrecher</t>
  </si>
  <si>
    <t>sweetie</t>
  </si>
  <si>
    <t>herumhängen</t>
  </si>
  <si>
    <t>schnepfe</t>
  </si>
  <si>
    <t>spezialeinheiten</t>
  </si>
  <si>
    <t>seuchen</t>
  </si>
  <si>
    <t>blumenkohl</t>
  </si>
  <si>
    <t>plastischen</t>
  </si>
  <si>
    <t>seitwärts</t>
  </si>
  <si>
    <t>getilgt</t>
  </si>
  <si>
    <t>liebesaffäre</t>
  </si>
  <si>
    <t>sometimes</t>
  </si>
  <si>
    <t>erkundet</t>
  </si>
  <si>
    <t>ledoux</t>
  </si>
  <si>
    <t>o.j.</t>
  </si>
  <si>
    <t>plattenvertrag</t>
  </si>
  <si>
    <t>oxy</t>
  </si>
  <si>
    <t>mordprozess</t>
  </si>
  <si>
    <t>entwerfe</t>
  </si>
  <si>
    <t>bildhübsch</t>
  </si>
  <si>
    <t>beaufsichtigt</t>
  </si>
  <si>
    <t>brotkrumen</t>
  </si>
  <si>
    <t>wettervorhersage</t>
  </si>
  <si>
    <t>maßstäbe</t>
  </si>
  <si>
    <t>immens</t>
  </si>
  <si>
    <t>schränkt</t>
  </si>
  <si>
    <t>zampano</t>
  </si>
  <si>
    <t>neugieriger</t>
  </si>
  <si>
    <t>kontaktaufnahme</t>
  </si>
  <si>
    <t>aufhörten</t>
  </si>
  <si>
    <t>zurückstellen</t>
  </si>
  <si>
    <t>erhaltet</t>
  </si>
  <si>
    <t>aufnimmst</t>
  </si>
  <si>
    <t>teekessel</t>
  </si>
  <si>
    <t>unverzichtbar</t>
  </si>
  <si>
    <t>legat</t>
  </si>
  <si>
    <t>leonards</t>
  </si>
  <si>
    <t>sten</t>
  </si>
  <si>
    <t>taschenrechner</t>
  </si>
  <si>
    <t>gewürzt</t>
  </si>
  <si>
    <t>hampelmann</t>
  </si>
  <si>
    <t>zentralbank</t>
  </si>
  <si>
    <t>portale</t>
  </si>
  <si>
    <t>staatsgrenze</t>
  </si>
  <si>
    <t>rowdy</t>
  </si>
  <si>
    <t>jc</t>
  </si>
  <si>
    <t>überträger</t>
  </si>
  <si>
    <t>überraschungsangriff</t>
  </si>
  <si>
    <t>hachi</t>
  </si>
  <si>
    <t>sass</t>
  </si>
  <si>
    <t>rotterdam</t>
  </si>
  <si>
    <t>schützengräben</t>
  </si>
  <si>
    <t>ämter</t>
  </si>
  <si>
    <t>ewa</t>
  </si>
  <si>
    <t>indigo</t>
  </si>
  <si>
    <t>irisch</t>
  </si>
  <si>
    <t>schändliche</t>
  </si>
  <si>
    <t>schsch</t>
  </si>
  <si>
    <t>respekts</t>
  </si>
  <si>
    <t>teleportieren</t>
  </si>
  <si>
    <t>miyuki</t>
  </si>
  <si>
    <t>scheinchen</t>
  </si>
  <si>
    <t>kaputtgehen</t>
  </si>
  <si>
    <t>konklave</t>
  </si>
  <si>
    <t>davonkommt</t>
  </si>
  <si>
    <t>kamikaze</t>
  </si>
  <si>
    <t>entließ</t>
  </si>
  <si>
    <t>starrköpfig</t>
  </si>
  <si>
    <t>rolltreppe</t>
  </si>
  <si>
    <t>odins</t>
  </si>
  <si>
    <t>breitengrad</t>
  </si>
  <si>
    <t>nebeneffekt</t>
  </si>
  <si>
    <t>skylar</t>
  </si>
  <si>
    <t>fouquet</t>
  </si>
  <si>
    <t>verführer</t>
  </si>
  <si>
    <t>aung</t>
  </si>
  <si>
    <t>deputies</t>
  </si>
  <si>
    <t>uh-uh</t>
  </si>
  <si>
    <t>unschätzbarem</t>
  </si>
  <si>
    <t>vs.</t>
  </si>
  <si>
    <t>umgehst</t>
  </si>
  <si>
    <t>carm</t>
  </si>
  <si>
    <t>schlanke</t>
  </si>
  <si>
    <t>sechsen</t>
  </si>
  <si>
    <t>laboratorium</t>
  </si>
  <si>
    <t>tobe</t>
  </si>
  <si>
    <t>wettbewerbs</t>
  </si>
  <si>
    <t>herzschrittmacher</t>
  </si>
  <si>
    <t>plakette</t>
  </si>
  <si>
    <t>dumas</t>
  </si>
  <si>
    <t>soundtrack</t>
  </si>
  <si>
    <t>abgeschiedenheit</t>
  </si>
  <si>
    <t>horus</t>
  </si>
  <si>
    <t>virgilia</t>
  </si>
  <si>
    <t>merlotte</t>
  </si>
  <si>
    <t>posen</t>
  </si>
  <si>
    <t>beschädigung</t>
  </si>
  <si>
    <t>hochging</t>
  </si>
  <si>
    <t>abgeräumt</t>
  </si>
  <si>
    <t>adlers</t>
  </si>
  <si>
    <t>ausgefallenes</t>
  </si>
  <si>
    <t>geary</t>
  </si>
  <si>
    <t>pau</t>
  </si>
  <si>
    <t>grimassen</t>
  </si>
  <si>
    <t>unverkäuflich</t>
  </si>
  <si>
    <t>fotoshooting</t>
  </si>
  <si>
    <t>sprengsätze</t>
  </si>
  <si>
    <t>zerbrochenes</t>
  </si>
  <si>
    <t>jacoby</t>
  </si>
  <si>
    <t>weiterlebt</t>
  </si>
  <si>
    <t>margit</t>
  </si>
  <si>
    <t>betreffenden</t>
  </si>
  <si>
    <t>heutiges</t>
  </si>
  <si>
    <t>eight</t>
  </si>
  <si>
    <t>verwunden</t>
  </si>
  <si>
    <t>emory</t>
  </si>
  <si>
    <t>aussteigt</t>
  </si>
  <si>
    <t>würfe</t>
  </si>
  <si>
    <t>verstrichen</t>
  </si>
  <si>
    <t>bekanntschaften</t>
  </si>
  <si>
    <t>truthähne</t>
  </si>
  <si>
    <t>zugebracht</t>
  </si>
  <si>
    <t>lanes</t>
  </si>
  <si>
    <t>bekunden</t>
  </si>
  <si>
    <t>matts</t>
  </si>
  <si>
    <t>anzuzweifeln</t>
  </si>
  <si>
    <t>ernähre</t>
  </si>
  <si>
    <t>revere</t>
  </si>
  <si>
    <t>klagte</t>
  </si>
  <si>
    <t>halluzinieren</t>
  </si>
  <si>
    <t>vorurteilen</t>
  </si>
  <si>
    <t>ruhms</t>
  </si>
  <si>
    <t>kolumbianischen</t>
  </si>
  <si>
    <t>jungens</t>
  </si>
  <si>
    <t>zwielichtigen</t>
  </si>
  <si>
    <t>begebenheiten</t>
  </si>
  <si>
    <t>vollstrecken</t>
  </si>
  <si>
    <t>unbedeutender</t>
  </si>
  <si>
    <t>aufspringen</t>
  </si>
  <si>
    <t>verdampft</t>
  </si>
  <si>
    <t>vordersitz</t>
  </si>
  <si>
    <t>leckst</t>
  </si>
  <si>
    <t>aggressivität</t>
  </si>
  <si>
    <t>wohlhabende</t>
  </si>
  <si>
    <t>chiropraktiker</t>
  </si>
  <si>
    <t>drängst</t>
  </si>
  <si>
    <t>rumkommandieren</t>
  </si>
  <si>
    <t>huldigen</t>
  </si>
  <si>
    <t>qualmt</t>
  </si>
  <si>
    <t>turnt</t>
  </si>
  <si>
    <t>bunde</t>
  </si>
  <si>
    <t>muskulös</t>
  </si>
  <si>
    <t>argwöhnisch</t>
  </si>
  <si>
    <t>uhrmacher</t>
  </si>
  <si>
    <t>udon</t>
  </si>
  <si>
    <t>scorpion</t>
  </si>
  <si>
    <t>harve</t>
  </si>
  <si>
    <t>prozession</t>
  </si>
  <si>
    <t>bandbreite</t>
  </si>
  <si>
    <t>reinzulassen</t>
  </si>
  <si>
    <t>elsbeth</t>
  </si>
  <si>
    <t>einsatzkräfte</t>
  </si>
  <si>
    <t>freundeskreis</t>
  </si>
  <si>
    <t>bellefleur</t>
  </si>
  <si>
    <t>umsehe</t>
  </si>
  <si>
    <t>regeneration</t>
  </si>
  <si>
    <t>bedauerst</t>
  </si>
  <si>
    <t>finanzberater</t>
  </si>
  <si>
    <t>singularität</t>
  </si>
  <si>
    <t>konzil</t>
  </si>
  <si>
    <t>gedächtnisschwund</t>
  </si>
  <si>
    <t>erkrankungen</t>
  </si>
  <si>
    <t>händlern</t>
  </si>
  <si>
    <t>sündhaft</t>
  </si>
  <si>
    <t>erinnerungsvermögen</t>
  </si>
  <si>
    <t>epstein</t>
  </si>
  <si>
    <t>kindische</t>
  </si>
  <si>
    <t>nachthimmel</t>
  </si>
  <si>
    <t>kühlwalda</t>
  </si>
  <si>
    <t>kubanischen</t>
  </si>
  <si>
    <t>schwachsinnigen</t>
  </si>
  <si>
    <t>südstaaten</t>
  </si>
  <si>
    <t>gegenschlag</t>
  </si>
  <si>
    <t>närrisch</t>
  </si>
  <si>
    <t>nachahmungstäter</t>
  </si>
  <si>
    <t>boaz</t>
  </si>
  <si>
    <t>verleumden</t>
  </si>
  <si>
    <t>norad</t>
  </si>
  <si>
    <t>ausgeburt</t>
  </si>
  <si>
    <t>shotgun</t>
  </si>
  <si>
    <t>stinger</t>
  </si>
  <si>
    <t>sternenhimmel</t>
  </si>
  <si>
    <t>finte</t>
  </si>
  <si>
    <t>beauchamp</t>
  </si>
  <si>
    <t>geschrubbt</t>
  </si>
  <si>
    <t>zurückfinden</t>
  </si>
  <si>
    <t>nguyen</t>
  </si>
  <si>
    <t>allgegenwärtig</t>
  </si>
  <si>
    <t>romulanische</t>
  </si>
  <si>
    <t>nacktfotos</t>
  </si>
  <si>
    <t>pinkelst</t>
  </si>
  <si>
    <t>racer</t>
  </si>
  <si>
    <t>enttäuschte</t>
  </si>
  <si>
    <t>walküre</t>
  </si>
  <si>
    <t>abgeführt</t>
  </si>
  <si>
    <t>neurologe</t>
  </si>
  <si>
    <t>kleidungsstück</t>
  </si>
  <si>
    <t>schwules</t>
  </si>
  <si>
    <t>schlüsselbund</t>
  </si>
  <si>
    <t>draufsetzen</t>
  </si>
  <si>
    <t>durchgreifen</t>
  </si>
  <si>
    <t>bulldogge</t>
  </si>
  <si>
    <t>huste</t>
  </si>
  <si>
    <t>festgefahren</t>
  </si>
  <si>
    <t>sportliche</t>
  </si>
  <si>
    <t>milf</t>
  </si>
  <si>
    <t>mösen</t>
  </si>
  <si>
    <t>schuhladen</t>
  </si>
  <si>
    <t>jupp</t>
  </si>
  <si>
    <t>bräuten</t>
  </si>
  <si>
    <t>kalium</t>
  </si>
  <si>
    <t>delacroix</t>
  </si>
  <si>
    <t>pembroke</t>
  </si>
  <si>
    <t>trunkenbold</t>
  </si>
  <si>
    <t>zusammenlegen</t>
  </si>
  <si>
    <t>gebildeter</t>
  </si>
  <si>
    <t>billigste</t>
  </si>
  <si>
    <t>schnuppert</t>
  </si>
  <si>
    <t>frier</t>
  </si>
  <si>
    <t>abzudrücken</t>
  </si>
  <si>
    <t>schmückt</t>
  </si>
  <si>
    <t>gemischten</t>
  </si>
  <si>
    <t>ansprechpartner</t>
  </si>
  <si>
    <t>kaminski</t>
  </si>
  <si>
    <t>drogenabhängige</t>
  </si>
  <si>
    <t>wiedererlangt</t>
  </si>
  <si>
    <t>precious</t>
  </si>
  <si>
    <t>nachtschatten</t>
  </si>
  <si>
    <t>instanz</t>
  </si>
  <si>
    <t>indianischen</t>
  </si>
  <si>
    <t>munch</t>
  </si>
  <si>
    <t>herzschmerz</t>
  </si>
  <si>
    <t>aussehens</t>
  </si>
  <si>
    <t>verschmäht</t>
  </si>
  <si>
    <t>selby</t>
  </si>
  <si>
    <t>pflichtgefühl</t>
  </si>
  <si>
    <t>funde</t>
  </si>
  <si>
    <t>grünem</t>
  </si>
  <si>
    <t>torso</t>
  </si>
  <si>
    <t>importieren</t>
  </si>
  <si>
    <t>homosexueller</t>
  </si>
  <si>
    <t>number</t>
  </si>
  <si>
    <t>überwachungssystem</t>
  </si>
  <si>
    <t>verwöhntes</t>
  </si>
  <si>
    <t>himalaya</t>
  </si>
  <si>
    <t>fra</t>
  </si>
  <si>
    <t>aufzuwärmen</t>
  </si>
  <si>
    <t>gruppenführer</t>
  </si>
  <si>
    <t>pontiac</t>
  </si>
  <si>
    <t>geschichtenerzähler</t>
  </si>
  <si>
    <t>verjährt</t>
  </si>
  <si>
    <t>beaver</t>
  </si>
  <si>
    <t>tullius</t>
  </si>
  <si>
    <t>freilässt</t>
  </si>
  <si>
    <t>mene</t>
  </si>
  <si>
    <t>füßchen</t>
  </si>
  <si>
    <t>abweichen</t>
  </si>
  <si>
    <t>above</t>
  </si>
  <si>
    <t>buds</t>
  </si>
  <si>
    <t>hobbit</t>
  </si>
  <si>
    <t>erfinderisch</t>
  </si>
  <si>
    <t>eber</t>
  </si>
  <si>
    <t>verheddert</t>
  </si>
  <si>
    <t>poughkeepsie</t>
  </si>
  <si>
    <t>verbraucher</t>
  </si>
  <si>
    <t>verhüllt</t>
  </si>
  <si>
    <t>croupier</t>
  </si>
  <si>
    <t>hausdurchsuchung</t>
  </si>
  <si>
    <t>geheule</t>
  </si>
  <si>
    <t>einwanderung</t>
  </si>
  <si>
    <t>enthaupten</t>
  </si>
  <si>
    <t>möpsen</t>
  </si>
  <si>
    <t>biochemie</t>
  </si>
  <si>
    <t>schergen</t>
  </si>
  <si>
    <t>laufburschen</t>
  </si>
  <si>
    <t>calvert</t>
  </si>
  <si>
    <t>tabellen</t>
  </si>
  <si>
    <t>geduldiger</t>
  </si>
  <si>
    <t>eheleben</t>
  </si>
  <si>
    <t>schwindeln</t>
  </si>
  <si>
    <t>nachzuweisen</t>
  </si>
  <si>
    <t>uri</t>
  </si>
  <si>
    <t>geschrottet</t>
  </si>
  <si>
    <t>crickett</t>
  </si>
  <si>
    <t>faszinierender</t>
  </si>
  <si>
    <t>charts</t>
  </si>
  <si>
    <t>einstürzt</t>
  </si>
  <si>
    <t>modeln</t>
  </si>
  <si>
    <t>kille</t>
  </si>
  <si>
    <t>gestattest</t>
  </si>
  <si>
    <t>kuriert</t>
  </si>
  <si>
    <t>verspürte</t>
  </si>
  <si>
    <t>sonstige</t>
  </si>
  <si>
    <t>echelon</t>
  </si>
  <si>
    <t>brandneues</t>
  </si>
  <si>
    <t>kühner</t>
  </si>
  <si>
    <t>auffrisst</t>
  </si>
  <si>
    <t>peacekeeper</t>
  </si>
  <si>
    <t>sicherheitsprotokolle</t>
  </si>
  <si>
    <t>eismaschine</t>
  </si>
  <si>
    <t>prachtexemplar</t>
  </si>
  <si>
    <t>verrostet</t>
  </si>
  <si>
    <t>ministerpräsidenten</t>
  </si>
  <si>
    <t>reinspazieren</t>
  </si>
  <si>
    <t>nachjagen</t>
  </si>
  <si>
    <t>robson</t>
  </si>
  <si>
    <t>cosette</t>
  </si>
  <si>
    <t>unzureichend</t>
  </si>
  <si>
    <t>packer</t>
  </si>
  <si>
    <t>missionar</t>
  </si>
  <si>
    <t>heylia</t>
  </si>
  <si>
    <t>zelig</t>
  </si>
  <si>
    <t>schrittweise</t>
  </si>
  <si>
    <t>trapper</t>
  </si>
  <si>
    <t>vornehmer</t>
  </si>
  <si>
    <t>tobey</t>
  </si>
  <si>
    <t>thorndyke</t>
  </si>
  <si>
    <t>komtess</t>
  </si>
  <si>
    <t>einzuweihen</t>
  </si>
  <si>
    <t>zugebe</t>
  </si>
  <si>
    <t>triumphiert</t>
  </si>
  <si>
    <t>bemerkenswertes</t>
  </si>
  <si>
    <t>müllsack</t>
  </si>
  <si>
    <t>wi-fi</t>
  </si>
  <si>
    <t>besonderheit</t>
  </si>
  <si>
    <t>auswischen</t>
  </si>
  <si>
    <t>ronin</t>
  </si>
  <si>
    <t>gesetzloser</t>
  </si>
  <si>
    <t>modernsten</t>
  </si>
  <si>
    <t>wolfes</t>
  </si>
  <si>
    <t>armin</t>
  </si>
  <si>
    <t>quarks</t>
  </si>
  <si>
    <t>mylene</t>
  </si>
  <si>
    <t>hilfskraft</t>
  </si>
  <si>
    <t>spoiler</t>
  </si>
  <si>
    <t>wirbt</t>
  </si>
  <si>
    <t>minenarbeiter</t>
  </si>
  <si>
    <t>paddington</t>
  </si>
  <si>
    <t>macleod</t>
  </si>
  <si>
    <t>wachteln</t>
  </si>
  <si>
    <t>malheur</t>
  </si>
  <si>
    <t>selbstgerecht</t>
  </si>
  <si>
    <t>imponiert</t>
  </si>
  <si>
    <t>rasant</t>
  </si>
  <si>
    <t>hügels</t>
  </si>
  <si>
    <t>ausweinen</t>
  </si>
  <si>
    <t>hofrat</t>
  </si>
  <si>
    <t>schadest</t>
  </si>
  <si>
    <t>arbeitsmoral</t>
  </si>
  <si>
    <t>laborratte</t>
  </si>
  <si>
    <t>entgegenzunehmen</t>
  </si>
  <si>
    <t>verfehlte</t>
  </si>
  <si>
    <t>rath</t>
  </si>
  <si>
    <t>runterschlucken</t>
  </si>
  <si>
    <t>preist</t>
  </si>
  <si>
    <t>manne</t>
  </si>
  <si>
    <t>absinth</t>
  </si>
  <si>
    <t>budgets</t>
  </si>
  <si>
    <t>gordy</t>
  </si>
  <si>
    <t>geringeres</t>
  </si>
  <si>
    <t>vertrat</t>
  </si>
  <si>
    <t>heldenhaften</t>
  </si>
  <si>
    <t>erbauen</t>
  </si>
  <si>
    <t>überfordern</t>
  </si>
  <si>
    <t>todesfällen</t>
  </si>
  <si>
    <t>abgestattet</t>
  </si>
  <si>
    <t>jerrys</t>
  </si>
  <si>
    <t>yeung</t>
  </si>
  <si>
    <t>befangen</t>
  </si>
  <si>
    <t>cochrane</t>
  </si>
  <si>
    <t>jachthafen</t>
  </si>
  <si>
    <t>vilma</t>
  </si>
  <si>
    <t>claudine</t>
  </si>
  <si>
    <t>platonisch</t>
  </si>
  <si>
    <t>geilste</t>
  </si>
  <si>
    <t>ritas</t>
  </si>
  <si>
    <t>android</t>
  </si>
  <si>
    <t>konvent</t>
  </si>
  <si>
    <t>lakewood</t>
  </si>
  <si>
    <t>jippie</t>
  </si>
  <si>
    <t>jacuzzi</t>
  </si>
  <si>
    <t>schwerelosigkeit</t>
  </si>
  <si>
    <t>schüchternheit</t>
  </si>
  <si>
    <t>zuckerschlecken</t>
  </si>
  <si>
    <t>unbeständig</t>
  </si>
  <si>
    <t>vertrags</t>
  </si>
  <si>
    <t>lanzen</t>
  </si>
  <si>
    <t>berserker</t>
  </si>
  <si>
    <t>hinzuhalten</t>
  </si>
  <si>
    <t>eventuelle</t>
  </si>
  <si>
    <t>postleitzahl</t>
  </si>
  <si>
    <t>brennender</t>
  </si>
  <si>
    <t>studentenverbindung</t>
  </si>
  <si>
    <t>peanuts</t>
  </si>
  <si>
    <t>erfundenen</t>
  </si>
  <si>
    <t>pyjama-party</t>
  </si>
  <si>
    <t>mündlich</t>
  </si>
  <si>
    <t>desorientiert</t>
  </si>
  <si>
    <t>schmatzen</t>
  </si>
  <si>
    <t>gescheut</t>
  </si>
  <si>
    <t>schmollst</t>
  </si>
  <si>
    <t>kenshin</t>
  </si>
  <si>
    <t>spürhund</t>
  </si>
  <si>
    <t>kompetenzen</t>
  </si>
  <si>
    <t>hepburn</t>
  </si>
  <si>
    <t>command</t>
  </si>
  <si>
    <t>getrost</t>
  </si>
  <si>
    <t>heimlichtuerei</t>
  </si>
  <si>
    <t>bahnt</t>
  </si>
  <si>
    <t>hochtouren</t>
  </si>
  <si>
    <t>everlasting</t>
  </si>
  <si>
    <t>baustellen</t>
  </si>
  <si>
    <t>anwerben</t>
  </si>
  <si>
    <t>zugeworfen</t>
  </si>
  <si>
    <t>arger</t>
  </si>
  <si>
    <t>mcgregor</t>
  </si>
  <si>
    <t>sequenzen</t>
  </si>
  <si>
    <t>vermögend</t>
  </si>
  <si>
    <t>abgemurkst</t>
  </si>
  <si>
    <t>befolgte</t>
  </si>
  <si>
    <t>mildern</t>
  </si>
  <si>
    <t>primus</t>
  </si>
  <si>
    <t>phrase</t>
  </si>
  <si>
    <t>zerknittert</t>
  </si>
  <si>
    <t>alm</t>
  </si>
  <si>
    <t>prentice</t>
  </si>
  <si>
    <t>wanja</t>
  </si>
  <si>
    <t>kirkman</t>
  </si>
  <si>
    <t>zielgebiet</t>
  </si>
  <si>
    <t>schadenfreude</t>
  </si>
  <si>
    <t>ronaldo</t>
  </si>
  <si>
    <t>blaulicht</t>
  </si>
  <si>
    <t>abkommandiert</t>
  </si>
  <si>
    <t>aufrufe</t>
  </si>
  <si>
    <t>rochen</t>
  </si>
  <si>
    <t>hammermäßig</t>
  </si>
  <si>
    <t>arbeitsweise</t>
  </si>
  <si>
    <t>gesänge</t>
  </si>
  <si>
    <t>sad</t>
  </si>
  <si>
    <t>bombendrohung</t>
  </si>
  <si>
    <t>großaufnahme</t>
  </si>
  <si>
    <t>kitzel</t>
  </si>
  <si>
    <t>thin</t>
  </si>
  <si>
    <t>hallam</t>
  </si>
  <si>
    <t>spab</t>
  </si>
  <si>
    <t>leuchter</t>
  </si>
  <si>
    <t>jun-shik</t>
  </si>
  <si>
    <t>pentagramm</t>
  </si>
  <si>
    <t>erschütternd</t>
  </si>
  <si>
    <t>auswählt</t>
  </si>
  <si>
    <t>verehrtes</t>
  </si>
  <si>
    <t>knospe</t>
  </si>
  <si>
    <t>vorantreiben</t>
  </si>
  <si>
    <t>pint</t>
  </si>
  <si>
    <t>zermalmt</t>
  </si>
  <si>
    <t>zurückhält</t>
  </si>
  <si>
    <t>raustragen</t>
  </si>
  <si>
    <t>systolisch</t>
  </si>
  <si>
    <t>buddhismus</t>
  </si>
  <si>
    <t>kränkt</t>
  </si>
  <si>
    <t>mitansehen</t>
  </si>
  <si>
    <t>bostoner</t>
  </si>
  <si>
    <t>carsten</t>
  </si>
  <si>
    <t>markierten</t>
  </si>
  <si>
    <t>pipers</t>
  </si>
  <si>
    <t>rausgesucht</t>
  </si>
  <si>
    <t>messdiener</t>
  </si>
  <si>
    <t>wertloser</t>
  </si>
  <si>
    <t>abspritzen</t>
  </si>
  <si>
    <t>krakau</t>
  </si>
  <si>
    <t>babygeschrei</t>
  </si>
  <si>
    <t>wahltag</t>
  </si>
  <si>
    <t>wichtigeren</t>
  </si>
  <si>
    <t>mohn</t>
  </si>
  <si>
    <t>weitermache</t>
  </si>
  <si>
    <t>uganda</t>
  </si>
  <si>
    <t>ungewissen</t>
  </si>
  <si>
    <t>sogenannter</t>
  </si>
  <si>
    <t>10k</t>
  </si>
  <si>
    <t>unterste</t>
  </si>
  <si>
    <t>larrabee</t>
  </si>
  <si>
    <t>arbeitsloser</t>
  </si>
  <si>
    <t>ausritt</t>
  </si>
  <si>
    <t>ausschluss</t>
  </si>
  <si>
    <t>derevko</t>
  </si>
  <si>
    <t>komik</t>
  </si>
  <si>
    <t>glückskeks</t>
  </si>
  <si>
    <t>planetarium</t>
  </si>
  <si>
    <t>punktestand</t>
  </si>
  <si>
    <t>unabhängigkeitstag</t>
  </si>
  <si>
    <t>matthieu</t>
  </si>
  <si>
    <t>herumgelaufen</t>
  </si>
  <si>
    <t>sakrileg</t>
  </si>
  <si>
    <t>cranston</t>
  </si>
  <si>
    <t>shinji</t>
  </si>
  <si>
    <t>erbracht</t>
  </si>
  <si>
    <t>autoreifen</t>
  </si>
  <si>
    <t>lanie</t>
  </si>
  <si>
    <t>nachschenken</t>
  </si>
  <si>
    <t>augenscheinlich</t>
  </si>
  <si>
    <t>salbei</t>
  </si>
  <si>
    <t>südostasien</t>
  </si>
  <si>
    <t>freuten</t>
  </si>
  <si>
    <t>regentschaft</t>
  </si>
  <si>
    <t>krüge</t>
  </si>
  <si>
    <t>quiche</t>
  </si>
  <si>
    <t>handsome</t>
  </si>
  <si>
    <t>beständigkeit</t>
  </si>
  <si>
    <t>inhalte</t>
  </si>
  <si>
    <t>chirac</t>
  </si>
  <si>
    <t>ungebunden</t>
  </si>
  <si>
    <t>offenbarte</t>
  </si>
  <si>
    <t>überstimmt</t>
  </si>
  <si>
    <t>dosenöffner</t>
  </si>
  <si>
    <t>hergelockt</t>
  </si>
  <si>
    <t>staatssicherheit</t>
  </si>
  <si>
    <t>öh</t>
  </si>
  <si>
    <t>leberwurst</t>
  </si>
  <si>
    <t>gefahndet</t>
  </si>
  <si>
    <t>gogo</t>
  </si>
  <si>
    <t>bestritten</t>
  </si>
  <si>
    <t>konflikten</t>
  </si>
  <si>
    <t>ermittlerin</t>
  </si>
  <si>
    <t>claim</t>
  </si>
  <si>
    <t>finanzierte</t>
  </si>
  <si>
    <t>backpulver</t>
  </si>
  <si>
    <t>krista</t>
  </si>
  <si>
    <t>robot</t>
  </si>
  <si>
    <t>mart</t>
  </si>
  <si>
    <t>mate</t>
  </si>
  <si>
    <t>eingesackt</t>
  </si>
  <si>
    <t>körperflüssigkeiten</t>
  </si>
  <si>
    <t>schätzungen</t>
  </si>
  <si>
    <t>zugespielt</t>
  </si>
  <si>
    <t>rusk</t>
  </si>
  <si>
    <t>geheimniskrämerei</t>
  </si>
  <si>
    <t>bestünde</t>
  </si>
  <si>
    <t>ausgefallene</t>
  </si>
  <si>
    <t>essbares</t>
  </si>
  <si>
    <t>romulanern</t>
  </si>
  <si>
    <t>ausnahmslos</t>
  </si>
  <si>
    <t>hopes</t>
  </si>
  <si>
    <t>seelenverwandten</t>
  </si>
  <si>
    <t>strengstens</t>
  </si>
  <si>
    <t>stutzig</t>
  </si>
  <si>
    <t>veranlasste</t>
  </si>
  <si>
    <t>forschungsabteilung</t>
  </si>
  <si>
    <t>beängstigende</t>
  </si>
  <si>
    <t>djs</t>
  </si>
  <si>
    <t>canning</t>
  </si>
  <si>
    <t>lydgate</t>
  </si>
  <si>
    <t>halbblut</t>
  </si>
  <si>
    <t>ito</t>
  </si>
  <si>
    <t>doppelgängerin</t>
  </si>
  <si>
    <t>shari</t>
  </si>
  <si>
    <t>mondlandung</t>
  </si>
  <si>
    <t>mittwochabend</t>
  </si>
  <si>
    <t>cosgrove</t>
  </si>
  <si>
    <t>notfällen</t>
  </si>
  <si>
    <t>frosty</t>
  </si>
  <si>
    <t>zuteilen</t>
  </si>
  <si>
    <t>jimmie</t>
  </si>
  <si>
    <t>zusammengelegt</t>
  </si>
  <si>
    <t>callum</t>
  </si>
  <si>
    <t>bodentruppen</t>
  </si>
  <si>
    <t>mitgeholfen</t>
  </si>
  <si>
    <t>alkoholismus</t>
  </si>
  <si>
    <t>durchleuchten</t>
  </si>
  <si>
    <t>selbstkontrolle</t>
  </si>
  <si>
    <t>scarface</t>
  </si>
  <si>
    <t>schuldiger</t>
  </si>
  <si>
    <t>photos</t>
  </si>
  <si>
    <t>einzahlung</t>
  </si>
  <si>
    <t>muskete</t>
  </si>
  <si>
    <t>miserable</t>
  </si>
  <si>
    <t>ortungsgerät</t>
  </si>
  <si>
    <t>ville</t>
  </si>
  <si>
    <t>zumeist</t>
  </si>
  <si>
    <t>vernascht</t>
  </si>
  <si>
    <t>weggelassen</t>
  </si>
  <si>
    <t>befürchtung</t>
  </si>
  <si>
    <t>stuten</t>
  </si>
  <si>
    <t>schnippisch</t>
  </si>
  <si>
    <t>retrovirus</t>
  </si>
  <si>
    <t>heilbar</t>
  </si>
  <si>
    <t>gedatet</t>
  </si>
  <si>
    <t>horseman</t>
  </si>
  <si>
    <t>hirnschäden</t>
  </si>
  <si>
    <t>anger</t>
  </si>
  <si>
    <t>meditiert</t>
  </si>
  <si>
    <t>umgefahren</t>
  </si>
  <si>
    <t>fluchtwagen</t>
  </si>
  <si>
    <t>betreff</t>
  </si>
  <si>
    <t>nahaufnahmen</t>
  </si>
  <si>
    <t>niedergestreckt</t>
  </si>
  <si>
    <t>erträglicher</t>
  </si>
  <si>
    <t>abhaue</t>
  </si>
  <si>
    <t>maulwürfe</t>
  </si>
  <si>
    <t>gets</t>
  </si>
  <si>
    <t>anzumelden</t>
  </si>
  <si>
    <t>bezwingt</t>
  </si>
  <si>
    <t>sünderin</t>
  </si>
  <si>
    <t>griggs</t>
  </si>
  <si>
    <t>cecilie</t>
  </si>
  <si>
    <t>aufwartung</t>
  </si>
  <si>
    <t>lichtblick</t>
  </si>
  <si>
    <t>aubergine</t>
  </si>
  <si>
    <t>knorpel</t>
  </si>
  <si>
    <t>rumzukriegen</t>
  </si>
  <si>
    <t>eingeschlichen</t>
  </si>
  <si>
    <t>zeitreisender</t>
  </si>
  <si>
    <t>gigantischer</t>
  </si>
  <si>
    <t>luftzug</t>
  </si>
  <si>
    <t>geprahlt</t>
  </si>
  <si>
    <t>cohn</t>
  </si>
  <si>
    <t>fleischfresser</t>
  </si>
  <si>
    <t>auktionator</t>
  </si>
  <si>
    <t>blutvergiftung</t>
  </si>
  <si>
    <t>ashby</t>
  </si>
  <si>
    <t>thompsons</t>
  </si>
  <si>
    <t>masao</t>
  </si>
  <si>
    <t>staatsgewalt</t>
  </si>
  <si>
    <t>convention</t>
  </si>
  <si>
    <t>langweilte</t>
  </si>
  <si>
    <t>aufreißt</t>
  </si>
  <si>
    <t>gard</t>
  </si>
  <si>
    <t>turnbull</t>
  </si>
  <si>
    <t>gekicher</t>
  </si>
  <si>
    <t>drogengeld</t>
  </si>
  <si>
    <t>aussetzer</t>
  </si>
  <si>
    <t>wohltat</t>
  </si>
  <si>
    <t>erbauer</t>
  </si>
  <si>
    <t>verarbeite</t>
  </si>
  <si>
    <t>hollander</t>
  </si>
  <si>
    <t>dreitausend</t>
  </si>
  <si>
    <t>schlüsselanhänger</t>
  </si>
  <si>
    <t>each</t>
  </si>
  <si>
    <t>giftstoffe</t>
  </si>
  <si>
    <t>rausprügeln</t>
  </si>
  <si>
    <t>schriebst</t>
  </si>
  <si>
    <t>padmé</t>
  </si>
  <si>
    <t>rückerstattung</t>
  </si>
  <si>
    <t>eingebettet</t>
  </si>
  <si>
    <t>ereilt</t>
  </si>
  <si>
    <t>3d</t>
  </si>
  <si>
    <t>thais</t>
  </si>
  <si>
    <t>erbrochen</t>
  </si>
  <si>
    <t>bringer</t>
  </si>
  <si>
    <t>gabt</t>
  </si>
  <si>
    <t>sägemehl</t>
  </si>
  <si>
    <t>mogeln</t>
  </si>
  <si>
    <t>bellini</t>
  </si>
  <si>
    <t>belagern</t>
  </si>
  <si>
    <t>telefongespräche</t>
  </si>
  <si>
    <t>einkaufszentren</t>
  </si>
  <si>
    <t>kritisiere</t>
  </si>
  <si>
    <t>keilriemen</t>
  </si>
  <si>
    <t>majestic</t>
  </si>
  <si>
    <t>dienstleistungen</t>
  </si>
  <si>
    <t>barack</t>
  </si>
  <si>
    <t>behelligen</t>
  </si>
  <si>
    <t>sorbonne</t>
  </si>
  <si>
    <t>projektil</t>
  </si>
  <si>
    <t>vans</t>
  </si>
  <si>
    <t>krypta</t>
  </si>
  <si>
    <t>thrace</t>
  </si>
  <si>
    <t>schlaflosen</t>
  </si>
  <si>
    <t>streifte</t>
  </si>
  <si>
    <t>roys</t>
  </si>
  <si>
    <t>infantin</t>
  </si>
  <si>
    <t>sofas</t>
  </si>
  <si>
    <t>dietz</t>
  </si>
  <si>
    <t>geknüpft</t>
  </si>
  <si>
    <t>eph</t>
  </si>
  <si>
    <t>begrabt</t>
  </si>
  <si>
    <t>tatorts</t>
  </si>
  <si>
    <t>herrisch</t>
  </si>
  <si>
    <t>jakey</t>
  </si>
  <si>
    <t>beeinflussung</t>
  </si>
  <si>
    <t>individuell</t>
  </si>
  <si>
    <t>styles</t>
  </si>
  <si>
    <t>weltbank</t>
  </si>
  <si>
    <t>kurator</t>
  </si>
  <si>
    <t>maultiere</t>
  </si>
  <si>
    <t>masaki</t>
  </si>
  <si>
    <t>spitzenklasse</t>
  </si>
  <si>
    <t>auftrat</t>
  </si>
  <si>
    <t>nesbitt</t>
  </si>
  <si>
    <t>schwellungen</t>
  </si>
  <si>
    <t>kriegszeiten</t>
  </si>
  <si>
    <t>atomaren</t>
  </si>
  <si>
    <t>kreuzten</t>
  </si>
  <si>
    <t>mcdonalds</t>
  </si>
  <si>
    <t>reguläre</t>
  </si>
  <si>
    <t>besitzers</t>
  </si>
  <si>
    <t>unternehmungen</t>
  </si>
  <si>
    <t>holländischen</t>
  </si>
  <si>
    <t>lieutenants</t>
  </si>
  <si>
    <t>nicke</t>
  </si>
  <si>
    <t>daria</t>
  </si>
  <si>
    <t>verhöhnen</t>
  </si>
  <si>
    <t>verheimliche</t>
  </si>
  <si>
    <t>telefonzentrale</t>
  </si>
  <si>
    <t>startest</t>
  </si>
  <si>
    <t>sohnemann</t>
  </si>
  <si>
    <t>caris</t>
  </si>
  <si>
    <t>tanny</t>
  </si>
  <si>
    <t>epinephrin</t>
  </si>
  <si>
    <t>todesstoß</t>
  </si>
  <si>
    <t>grete</t>
  </si>
  <si>
    <t>dienstwagen</t>
  </si>
  <si>
    <t>dauphin</t>
  </si>
  <si>
    <t>verputzt</t>
  </si>
  <si>
    <t>ungewisse</t>
  </si>
  <si>
    <t>dankbarer</t>
  </si>
  <si>
    <t>klassenbeste</t>
  </si>
  <si>
    <t>newt</t>
  </si>
  <si>
    <t>dominant</t>
  </si>
  <si>
    <t>until</t>
  </si>
  <si>
    <t>späßchen</t>
  </si>
  <si>
    <t>morbide</t>
  </si>
  <si>
    <t>kalbfleisch</t>
  </si>
  <si>
    <t>gutsherr</t>
  </si>
  <si>
    <t>aufhänger</t>
  </si>
  <si>
    <t>konstellation</t>
  </si>
  <si>
    <t>cindi</t>
  </si>
  <si>
    <t>momentane</t>
  </si>
  <si>
    <t>kant</t>
  </si>
  <si>
    <t>theon</t>
  </si>
  <si>
    <t>geografie</t>
  </si>
  <si>
    <t>knochenbrüche</t>
  </si>
  <si>
    <t>austritt</t>
  </si>
  <si>
    <t>heintje</t>
  </si>
  <si>
    <t>ausheben</t>
  </si>
  <si>
    <t>hoss</t>
  </si>
  <si>
    <t>barmherzige</t>
  </si>
  <si>
    <t>benutzer</t>
  </si>
  <si>
    <t>privatdetektive</t>
  </si>
  <si>
    <t>landkreis</t>
  </si>
  <si>
    <t>erstausgabe</t>
  </si>
  <si>
    <t>romanzen</t>
  </si>
  <si>
    <t>vorgefahren</t>
  </si>
  <si>
    <t>simcoe</t>
  </si>
  <si>
    <t>victoire</t>
  </si>
  <si>
    <t>eingeschläfert</t>
  </si>
  <si>
    <t>ch6122c0</t>
  </si>
  <si>
    <t>zerreiß</t>
  </si>
  <si>
    <t>wegzusperren</t>
  </si>
  <si>
    <t>geniessen</t>
  </si>
  <si>
    <t>strippe</t>
  </si>
  <si>
    <t>prozac</t>
  </si>
  <si>
    <t>freigestellt</t>
  </si>
  <si>
    <t>exeter</t>
  </si>
  <si>
    <t>cube</t>
  </si>
  <si>
    <t>ohnezahn</t>
  </si>
  <si>
    <t>leugnest</t>
  </si>
  <si>
    <t>erstanden</t>
  </si>
  <si>
    <t>ereignisses</t>
  </si>
  <si>
    <t>kreatives</t>
  </si>
  <si>
    <t>umfassen</t>
  </si>
  <si>
    <t>speichert</t>
  </si>
  <si>
    <t>aufnahmegerät</t>
  </si>
  <si>
    <t>leann</t>
  </si>
  <si>
    <t>apfelbaum</t>
  </si>
  <si>
    <t>darein</t>
  </si>
  <si>
    <t>objektivität</t>
  </si>
  <si>
    <t>sinnvolle</t>
  </si>
  <si>
    <t>herumrennen</t>
  </si>
  <si>
    <t>sorgfältiger</t>
  </si>
  <si>
    <t>töle</t>
  </si>
  <si>
    <t>muchachos</t>
  </si>
  <si>
    <t>wutanfälle</t>
  </si>
  <si>
    <t>frühstückt</t>
  </si>
  <si>
    <t>harcourt</t>
  </si>
  <si>
    <t>interessantesten</t>
  </si>
  <si>
    <t>nervenheilanstalt</t>
  </si>
  <si>
    <t>zusammengezogen</t>
  </si>
  <si>
    <t>vorväter</t>
  </si>
  <si>
    <t>ernennt</t>
  </si>
  <si>
    <t>jip</t>
  </si>
  <si>
    <t>übereilt</t>
  </si>
  <si>
    <t>fen</t>
  </si>
  <si>
    <t>seok</t>
  </si>
  <si>
    <t>frigide</t>
  </si>
  <si>
    <t>mutterschaft</t>
  </si>
  <si>
    <t>plappermaul</t>
  </si>
  <si>
    <t>matschig</t>
  </si>
  <si>
    <t>platzangst</t>
  </si>
  <si>
    <t>versenden</t>
  </si>
  <si>
    <t>rya</t>
  </si>
  <si>
    <t>blumentopf</t>
  </si>
  <si>
    <t>leblos</t>
  </si>
  <si>
    <t>vielversprechende</t>
  </si>
  <si>
    <t>manuskripte</t>
  </si>
  <si>
    <t>notrufe</t>
  </si>
  <si>
    <t>diskreter</t>
  </si>
  <si>
    <t>cissy</t>
  </si>
  <si>
    <t>zurueck</t>
  </si>
  <si>
    <t>osbourne</t>
  </si>
  <si>
    <t>aufreißer</t>
  </si>
  <si>
    <t>bruna</t>
  </si>
  <si>
    <t>frühmorgens</t>
  </si>
  <si>
    <t>cartier</t>
  </si>
  <si>
    <t>viking</t>
  </si>
  <si>
    <t>heldenhafte</t>
  </si>
  <si>
    <t>auswerten</t>
  </si>
  <si>
    <t>winkte</t>
  </si>
  <si>
    <t>hein</t>
  </si>
  <si>
    <t>simst</t>
  </si>
  <si>
    <t>erfrischt</t>
  </si>
  <si>
    <t>souverän</t>
  </si>
  <si>
    <t>fluchtauto</t>
  </si>
  <si>
    <t>herzprobleme</t>
  </si>
  <si>
    <t>doppelschicht</t>
  </si>
  <si>
    <t>umsetzung</t>
  </si>
  <si>
    <t>zajac</t>
  </si>
  <si>
    <t>wayward</t>
  </si>
  <si>
    <t>bekloppter</t>
  </si>
  <si>
    <t>baguette</t>
  </si>
  <si>
    <t>bilbo</t>
  </si>
  <si>
    <t>provence</t>
  </si>
  <si>
    <t>fäkalien</t>
  </si>
  <si>
    <t>muffig</t>
  </si>
  <si>
    <t>tnt</t>
  </si>
  <si>
    <t>schaltkreis</t>
  </si>
  <si>
    <t>lattimer</t>
  </si>
  <si>
    <t>telefonanrufe</t>
  </si>
  <si>
    <t>eunuchen</t>
  </si>
  <si>
    <t>widersprich</t>
  </si>
  <si>
    <t>fitness-studio</t>
  </si>
  <si>
    <t>manie</t>
  </si>
  <si>
    <t>flutwelle</t>
  </si>
  <si>
    <t>kirschkuchen</t>
  </si>
  <si>
    <t>dahl</t>
  </si>
  <si>
    <t>schönem</t>
  </si>
  <si>
    <t>snap</t>
  </si>
  <si>
    <t>verleugnung</t>
  </si>
  <si>
    <t>kletterst</t>
  </si>
  <si>
    <t>tutor</t>
  </si>
  <si>
    <t>gepredigt</t>
  </si>
  <si>
    <t>fondue</t>
  </si>
  <si>
    <t>nimah</t>
  </si>
  <si>
    <t>melli</t>
  </si>
  <si>
    <t>verkneifen</t>
  </si>
  <si>
    <t>harz</t>
  </si>
  <si>
    <t>versprochene</t>
  </si>
  <si>
    <t>bischöfe</t>
  </si>
  <si>
    <t>ausweiden</t>
  </si>
  <si>
    <t>athene</t>
  </si>
  <si>
    <t>muht</t>
  </si>
  <si>
    <t>patrol</t>
  </si>
  <si>
    <t>alraune</t>
  </si>
  <si>
    <t>kämpfern</t>
  </si>
  <si>
    <t>guapo</t>
  </si>
  <si>
    <t>zusammengelebt</t>
  </si>
  <si>
    <t>stündchen</t>
  </si>
  <si>
    <t>geistiges</t>
  </si>
  <si>
    <t>dolche</t>
  </si>
  <si>
    <t>gartens</t>
  </si>
  <si>
    <t>lehrgang</t>
  </si>
  <si>
    <t>abnehme</t>
  </si>
  <si>
    <t>final</t>
  </si>
  <si>
    <t>shoes</t>
  </si>
  <si>
    <t>hintenrum</t>
  </si>
  <si>
    <t>stingray</t>
  </si>
  <si>
    <t>lähmen</t>
  </si>
  <si>
    <t>geschliffen</t>
  </si>
  <si>
    <t>spatzenhirn</t>
  </si>
  <si>
    <t>suki</t>
  </si>
  <si>
    <t>variable</t>
  </si>
  <si>
    <t>kristine</t>
  </si>
  <si>
    <t>petz</t>
  </si>
  <si>
    <t>janek</t>
  </si>
  <si>
    <t>raees</t>
  </si>
  <si>
    <t>beitritt</t>
  </si>
  <si>
    <t>auskundschaften</t>
  </si>
  <si>
    <t>fortzugehen</t>
  </si>
  <si>
    <t>urkunden</t>
  </si>
  <si>
    <t>zurückkehrten</t>
  </si>
  <si>
    <t>verspielen</t>
  </si>
  <si>
    <t>geißel</t>
  </si>
  <si>
    <t>oda</t>
  </si>
  <si>
    <t>mungo</t>
  </si>
  <si>
    <t>arrogantes</t>
  </si>
  <si>
    <t>trennst</t>
  </si>
  <si>
    <t>anspringt</t>
  </si>
  <si>
    <t>aufnehme</t>
  </si>
  <si>
    <t>verdrehten</t>
  </si>
  <si>
    <t>reef</t>
  </si>
  <si>
    <t>kriegsverbrechen</t>
  </si>
  <si>
    <t>homepage</t>
  </si>
  <si>
    <t>platoon</t>
  </si>
  <si>
    <t>bachelor</t>
  </si>
  <si>
    <t>herumschlagen</t>
  </si>
  <si>
    <t>5-mal</t>
  </si>
  <si>
    <t>verspielte</t>
  </si>
  <si>
    <t>tapfersten</t>
  </si>
  <si>
    <t>kritischer</t>
  </si>
  <si>
    <t>blowjobs</t>
  </si>
  <si>
    <t>draufdrücken</t>
  </si>
  <si>
    <t>inquisitor</t>
  </si>
  <si>
    <t>wiederholten</t>
  </si>
  <si>
    <t>requiem</t>
  </si>
  <si>
    <t>fordwick</t>
  </si>
  <si>
    <t>gallenblase</t>
  </si>
  <si>
    <t>spektakuläre</t>
  </si>
  <si>
    <t>sintflut</t>
  </si>
  <si>
    <t>touchdowns</t>
  </si>
  <si>
    <t>freakshow</t>
  </si>
  <si>
    <t>schlagartig</t>
  </si>
  <si>
    <t>werds</t>
  </si>
  <si>
    <t>aldous</t>
  </si>
  <si>
    <t>forschungslabor</t>
  </si>
  <si>
    <t>export</t>
  </si>
  <si>
    <t>verbannte</t>
  </si>
  <si>
    <t>royals</t>
  </si>
  <si>
    <t>valentines</t>
  </si>
  <si>
    <t>osterhase</t>
  </si>
  <si>
    <t>mead</t>
  </si>
  <si>
    <t>col</t>
  </si>
  <si>
    <t>fleißiger</t>
  </si>
  <si>
    <t>popularität</t>
  </si>
  <si>
    <t>chipping</t>
  </si>
  <si>
    <t>auswandern</t>
  </si>
  <si>
    <t>schallend</t>
  </si>
  <si>
    <t>nachtruhe</t>
  </si>
  <si>
    <t>beigestanden</t>
  </si>
  <si>
    <t>reih</t>
  </si>
  <si>
    <t>association</t>
  </si>
  <si>
    <t>eierkopf</t>
  </si>
  <si>
    <t>verpetzen</t>
  </si>
  <si>
    <t>warriors</t>
  </si>
  <si>
    <t>inoffizielle</t>
  </si>
  <si>
    <t>rasierte</t>
  </si>
  <si>
    <t>kolosseum</t>
  </si>
  <si>
    <t>zugewandt</t>
  </si>
  <si>
    <t>herausragende</t>
  </si>
  <si>
    <t>betäubungsgewehr</t>
  </si>
  <si>
    <t>lotti</t>
  </si>
  <si>
    <t>näherten</t>
  </si>
  <si>
    <t>leibgericht</t>
  </si>
  <si>
    <t>anwerber</t>
  </si>
  <si>
    <t>nd</t>
  </si>
  <si>
    <t>langjährigen</t>
  </si>
  <si>
    <t>autofahrt</t>
  </si>
  <si>
    <t>kontinenten</t>
  </si>
  <si>
    <t>spuckte</t>
  </si>
  <si>
    <t>verflixten</t>
  </si>
  <si>
    <t>smartphone</t>
  </si>
  <si>
    <t>hauptgebäude</t>
  </si>
  <si>
    <t>fitzpatrick</t>
  </si>
  <si>
    <t>bleibende</t>
  </si>
  <si>
    <t>nahem</t>
  </si>
  <si>
    <t>alufolie</t>
  </si>
  <si>
    <t>cha-cha</t>
  </si>
  <si>
    <t>abtasten</t>
  </si>
  <si>
    <t>besitzern</t>
  </si>
  <si>
    <t>robbe</t>
  </si>
  <si>
    <t>zarek</t>
  </si>
  <si>
    <t>realist</t>
  </si>
  <si>
    <t>priest</t>
  </si>
  <si>
    <t>überweisungen</t>
  </si>
  <si>
    <t>amato</t>
  </si>
  <si>
    <t>voranzutreiben</t>
  </si>
  <si>
    <t>laufband</t>
  </si>
  <si>
    <t>barmherzigen</t>
  </si>
  <si>
    <t>anekdote</t>
  </si>
  <si>
    <t>entfremdet</t>
  </si>
  <si>
    <t>commonwealth</t>
  </si>
  <si>
    <t>landminen</t>
  </si>
  <si>
    <t>travolta</t>
  </si>
  <si>
    <t>anlasser</t>
  </si>
  <si>
    <t>existierten</t>
  </si>
  <si>
    <t>unermesslich</t>
  </si>
  <si>
    <t>sicherheitsgurte</t>
  </si>
  <si>
    <t>longmire</t>
  </si>
  <si>
    <t>kristi</t>
  </si>
  <si>
    <t>friendly</t>
  </si>
  <si>
    <t>fries</t>
  </si>
  <si>
    <t>geplauder</t>
  </si>
  <si>
    <t>menopause</t>
  </si>
  <si>
    <t>nördlicher</t>
  </si>
  <si>
    <t>crumb</t>
  </si>
  <si>
    <t>beschwört</t>
  </si>
  <si>
    <t>veum</t>
  </si>
  <si>
    <t>restauriert</t>
  </si>
  <si>
    <t>vertreibe</t>
  </si>
  <si>
    <t>professionelles</t>
  </si>
  <si>
    <t>ehepaare</t>
  </si>
  <si>
    <t>kreuzte</t>
  </si>
  <si>
    <t>revolverhelden</t>
  </si>
  <si>
    <t>sparkonto</t>
  </si>
  <si>
    <t>eskortiert</t>
  </si>
  <si>
    <t>fallend</t>
  </si>
  <si>
    <t>vietnamkrieg</t>
  </si>
  <si>
    <t>unbegrenzten</t>
  </si>
  <si>
    <t>abständen</t>
  </si>
  <si>
    <t>herzensbrecher</t>
  </si>
  <si>
    <t>aufzuzeichnen</t>
  </si>
  <si>
    <t>mumps</t>
  </si>
  <si>
    <t>pappa</t>
  </si>
  <si>
    <t>spinal</t>
  </si>
  <si>
    <t>mitstreiter</t>
  </si>
  <si>
    <t>sticker</t>
  </si>
  <si>
    <t>conchita</t>
  </si>
  <si>
    <t>pet</t>
  </si>
  <si>
    <t>pflanzte</t>
  </si>
  <si>
    <t>büßt</t>
  </si>
  <si>
    <t>funktionierenden</t>
  </si>
  <si>
    <t>tilda</t>
  </si>
  <si>
    <t>beschwichtigen</t>
  </si>
  <si>
    <t>tran</t>
  </si>
  <si>
    <t>empfindung</t>
  </si>
  <si>
    <t>kommts</t>
  </si>
  <si>
    <t>standpauke</t>
  </si>
  <si>
    <t>krankgeschrieben</t>
  </si>
  <si>
    <t>dumpf</t>
  </si>
  <si>
    <t>verblüffen</t>
  </si>
  <si>
    <t>enchanté</t>
  </si>
  <si>
    <t>zurückverwandeln</t>
  </si>
  <si>
    <t>sportunterricht</t>
  </si>
  <si>
    <t>verräterische</t>
  </si>
  <si>
    <t>konserviert</t>
  </si>
  <si>
    <t>hay</t>
  </si>
  <si>
    <t>telemetrie</t>
  </si>
  <si>
    <t>gieriger</t>
  </si>
  <si>
    <t>weinende</t>
  </si>
  <si>
    <t>halbach</t>
  </si>
  <si>
    <t>verstümmelung</t>
  </si>
  <si>
    <t>auszulassen</t>
  </si>
  <si>
    <t>teilung</t>
  </si>
  <si>
    <t>beardsley</t>
  </si>
  <si>
    <t>guinness</t>
  </si>
  <si>
    <t>schönster</t>
  </si>
  <si>
    <t>pfötchen</t>
  </si>
  <si>
    <t>teleporter</t>
  </si>
  <si>
    <t>waffenbesitz</t>
  </si>
  <si>
    <t>tzu</t>
  </si>
  <si>
    <t>brustbein</t>
  </si>
  <si>
    <t>connection</t>
  </si>
  <si>
    <t>brads</t>
  </si>
  <si>
    <t>mitzwa</t>
  </si>
  <si>
    <t>flughafens</t>
  </si>
  <si>
    <t>dinar</t>
  </si>
  <si>
    <t>schnellzug</t>
  </si>
  <si>
    <t>jour</t>
  </si>
  <si>
    <t>res</t>
  </si>
  <si>
    <t>sonnensystems</t>
  </si>
  <si>
    <t>verlobungsparty</t>
  </si>
  <si>
    <t>legends</t>
  </si>
  <si>
    <t>mp</t>
  </si>
  <si>
    <t>affront</t>
  </si>
  <si>
    <t>vergrault</t>
  </si>
  <si>
    <t>durchschnittlicher</t>
  </si>
  <si>
    <t>zs</t>
  </si>
  <si>
    <t>scheue</t>
  </si>
  <si>
    <t>olympus</t>
  </si>
  <si>
    <t>außenseite</t>
  </si>
  <si>
    <t>fortschrittliche</t>
  </si>
  <si>
    <t>feilen</t>
  </si>
  <si>
    <t>dekret</t>
  </si>
  <si>
    <t>myriam</t>
  </si>
  <si>
    <t>mayweather</t>
  </si>
  <si>
    <t>guam</t>
  </si>
  <si>
    <t>detektivarbeit</t>
  </si>
  <si>
    <t>gerichtsmedizinerin</t>
  </si>
  <si>
    <t>dealern</t>
  </si>
  <si>
    <t>büffeln</t>
  </si>
  <si>
    <t>morduntersuchung</t>
  </si>
  <si>
    <t>erdenklichen</t>
  </si>
  <si>
    <t>gesetzlichen</t>
  </si>
  <si>
    <t>shades</t>
  </si>
  <si>
    <t>fatma</t>
  </si>
  <si>
    <t>lindberg</t>
  </si>
  <si>
    <t>pfunde</t>
  </si>
  <si>
    <t>pfählen</t>
  </si>
  <si>
    <t>tb</t>
  </si>
  <si>
    <t>dümmsten</t>
  </si>
  <si>
    <t>stranguliert</t>
  </si>
  <si>
    <t>dobson</t>
  </si>
  <si>
    <t>sprotte</t>
  </si>
  <si>
    <t>asami</t>
  </si>
  <si>
    <t>auszuhelfen</t>
  </si>
  <si>
    <t>siebenmal</t>
  </si>
  <si>
    <t>tornados</t>
  </si>
  <si>
    <t>ritterlichkeit</t>
  </si>
  <si>
    <t>widerworte</t>
  </si>
  <si>
    <t>übertrumpfen</t>
  </si>
  <si>
    <t>unternehmt</t>
  </si>
  <si>
    <t>überhand</t>
  </si>
  <si>
    <t>beklage</t>
  </si>
  <si>
    <t>gerste</t>
  </si>
  <si>
    <t>zimmerschlüssel</t>
  </si>
  <si>
    <t>cardassianern</t>
  </si>
  <si>
    <t>gebratenes</t>
  </si>
  <si>
    <t>zuspruch</t>
  </si>
  <si>
    <t>zimmergenosse</t>
  </si>
  <si>
    <t>michelles</t>
  </si>
  <si>
    <t>vorzuziehen</t>
  </si>
  <si>
    <t>startkapital</t>
  </si>
  <si>
    <t>rückhand</t>
  </si>
  <si>
    <t>assistenzärztin</t>
  </si>
  <si>
    <t>harbour</t>
  </si>
  <si>
    <t>gönnst</t>
  </si>
  <si>
    <t>lilo</t>
  </si>
  <si>
    <t>kabeln</t>
  </si>
  <si>
    <t>cocktailparty</t>
  </si>
  <si>
    <t>chlamydien</t>
  </si>
  <si>
    <t>bekämpfte</t>
  </si>
  <si>
    <t>zehennägel</t>
  </si>
  <si>
    <t>aushängeschild</t>
  </si>
  <si>
    <t>fallakten</t>
  </si>
  <si>
    <t>abstellkammer</t>
  </si>
  <si>
    <t>sasori</t>
  </si>
  <si>
    <t>rädchen</t>
  </si>
  <si>
    <t>hinausgeht</t>
  </si>
  <si>
    <t>sekten</t>
  </si>
  <si>
    <t>logans</t>
  </si>
  <si>
    <t>handgepäck</t>
  </si>
  <si>
    <t>tragbare</t>
  </si>
  <si>
    <t>religiöses</t>
  </si>
  <si>
    <t>cobain</t>
  </si>
  <si>
    <t>eingehandelt</t>
  </si>
  <si>
    <t>fachwissen</t>
  </si>
  <si>
    <t>nachspeise</t>
  </si>
  <si>
    <t>tischtennis</t>
  </si>
  <si>
    <t>ap</t>
  </si>
  <si>
    <t>glasscherben</t>
  </si>
  <si>
    <t>menschenfresser</t>
  </si>
  <si>
    <t>hilfssheriffs</t>
  </si>
  <si>
    <t>desinfiziert</t>
  </si>
  <si>
    <t>carry</t>
  </si>
  <si>
    <t>hbo</t>
  </si>
  <si>
    <t>anarchist</t>
  </si>
  <si>
    <t>lauscht</t>
  </si>
  <si>
    <t>verstoße</t>
  </si>
  <si>
    <t>niro</t>
  </si>
  <si>
    <t>tacoma</t>
  </si>
  <si>
    <t>wählern</t>
  </si>
  <si>
    <t>loverboy</t>
  </si>
  <si>
    <t>verbrechensrate</t>
  </si>
  <si>
    <t>classic</t>
  </si>
  <si>
    <t>rannehmen</t>
  </si>
  <si>
    <t>auberginen</t>
  </si>
  <si>
    <t>fudge</t>
  </si>
  <si>
    <t>tarik</t>
  </si>
  <si>
    <t>garys</t>
  </si>
  <si>
    <t>subjektiv</t>
  </si>
  <si>
    <t>bettelst</t>
  </si>
  <si>
    <t>höflichkeiten</t>
  </si>
  <si>
    <t>abseilen</t>
  </si>
  <si>
    <t>unnachgiebig</t>
  </si>
  <si>
    <t>abhörung</t>
  </si>
  <si>
    <t>bingham</t>
  </si>
  <si>
    <t>zhu</t>
  </si>
  <si>
    <t>untergräbt</t>
  </si>
  <si>
    <t>pace</t>
  </si>
  <si>
    <t>zauberbuch</t>
  </si>
  <si>
    <t>rc</t>
  </si>
  <si>
    <t>molina</t>
  </si>
  <si>
    <t>sternensystem</t>
  </si>
  <si>
    <t>ungeklärte</t>
  </si>
  <si>
    <t>bragg</t>
  </si>
  <si>
    <t>hinausläuft</t>
  </si>
  <si>
    <t>aufseherin</t>
  </si>
  <si>
    <t>herausgeputzt</t>
  </si>
  <si>
    <t>unbehelligt</t>
  </si>
  <si>
    <t>diagnosen</t>
  </si>
  <si>
    <t>freckles</t>
  </si>
  <si>
    <t>umgangsformen</t>
  </si>
  <si>
    <t>bewahr</t>
  </si>
  <si>
    <t>reinsehen</t>
  </si>
  <si>
    <t>pisa</t>
  </si>
  <si>
    <t>might</t>
  </si>
  <si>
    <t>larven</t>
  </si>
  <si>
    <t>goin</t>
  </si>
  <si>
    <t>havre</t>
  </si>
  <si>
    <t>radiosendung</t>
  </si>
  <si>
    <t>paola</t>
  </si>
  <si>
    <t>asiatin</t>
  </si>
  <si>
    <t>loeb</t>
  </si>
  <si>
    <t>notwendigerweise</t>
  </si>
  <si>
    <t>ansel</t>
  </si>
  <si>
    <t>verzerrung</t>
  </si>
  <si>
    <t>unbekümmert</t>
  </si>
  <si>
    <t>herbeiführen</t>
  </si>
  <si>
    <t>keefe</t>
  </si>
  <si>
    <t>trapp</t>
  </si>
  <si>
    <t>ode</t>
  </si>
  <si>
    <t>selige</t>
  </si>
  <si>
    <t>sylvain</t>
  </si>
  <si>
    <t>börge</t>
  </si>
  <si>
    <t>geschlossener</t>
  </si>
  <si>
    <t>glitzert</t>
  </si>
  <si>
    <t>muskelprotz</t>
  </si>
  <si>
    <t>argumentation</t>
  </si>
  <si>
    <t>juana</t>
  </si>
  <si>
    <t>andauert</t>
  </si>
  <si>
    <t>verdächtigte</t>
  </si>
  <si>
    <t>symbolen</t>
  </si>
  <si>
    <t>schlechthin</t>
  </si>
  <si>
    <t>harmonisch</t>
  </si>
  <si>
    <t>auseinandergenommen</t>
  </si>
  <si>
    <t>traube</t>
  </si>
  <si>
    <t>helo</t>
  </si>
  <si>
    <t>zeynep</t>
  </si>
  <si>
    <t>receiver</t>
  </si>
  <si>
    <t>bedürfen</t>
  </si>
  <si>
    <t>crab</t>
  </si>
  <si>
    <t>feuchter</t>
  </si>
  <si>
    <t>minderwertige</t>
  </si>
  <si>
    <t>fundbüro</t>
  </si>
  <si>
    <t>begünstigt</t>
  </si>
  <si>
    <t>hur</t>
  </si>
  <si>
    <t>morddrohungen</t>
  </si>
  <si>
    <t>ausschaltet</t>
  </si>
  <si>
    <t>bonn</t>
  </si>
  <si>
    <t>magenverstimmung</t>
  </si>
  <si>
    <t>schreiende</t>
  </si>
  <si>
    <t>einflussreichen</t>
  </si>
  <si>
    <t>wespen</t>
  </si>
  <si>
    <t>suggestion</t>
  </si>
  <si>
    <t>besetzte</t>
  </si>
  <si>
    <t>herzenswunsch</t>
  </si>
  <si>
    <t>abzuschütteln</t>
  </si>
  <si>
    <t>stottlemeyer</t>
  </si>
  <si>
    <t>blackbeard</t>
  </si>
  <si>
    <t>müllers</t>
  </si>
  <si>
    <t>latex</t>
  </si>
  <si>
    <t>proton</t>
  </si>
  <si>
    <t>schwieg</t>
  </si>
  <si>
    <t>bareil</t>
  </si>
  <si>
    <t>gleiter</t>
  </si>
  <si>
    <t>interessanterweise</t>
  </si>
  <si>
    <t>tayler</t>
  </si>
  <si>
    <t>shockley</t>
  </si>
  <si>
    <t>abbau</t>
  </si>
  <si>
    <t>theory</t>
  </si>
  <si>
    <t>etta</t>
  </si>
  <si>
    <t>since</t>
  </si>
  <si>
    <t>zenturio</t>
  </si>
  <si>
    <t>ranghöchste</t>
  </si>
  <si>
    <t>anstandsdame</t>
  </si>
  <si>
    <t>zusammenzuleben</t>
  </si>
  <si>
    <t>hitch</t>
  </si>
  <si>
    <t>brannigan</t>
  </si>
  <si>
    <t>gefüllten</t>
  </si>
  <si>
    <t>erforderlichen</t>
  </si>
  <si>
    <t>niederreißen</t>
  </si>
  <si>
    <t>enthülle</t>
  </si>
  <si>
    <t>teilchenbeschleuniger</t>
  </si>
  <si>
    <t>meisterhaft</t>
  </si>
  <si>
    <t>oktopus</t>
  </si>
  <si>
    <t>tweet</t>
  </si>
  <si>
    <t>vorfahrt</t>
  </si>
  <si>
    <t>nantes</t>
  </si>
  <si>
    <t>umhüllt</t>
  </si>
  <si>
    <t>iranische</t>
  </si>
  <si>
    <t>gt</t>
  </si>
  <si>
    <t>eskapaden</t>
  </si>
  <si>
    <t>verwerflich</t>
  </si>
  <si>
    <t>ehemaliges</t>
  </si>
  <si>
    <t>pants</t>
  </si>
  <si>
    <t>geniest</t>
  </si>
  <si>
    <t>sympathien</t>
  </si>
  <si>
    <t>erhaschen</t>
  </si>
  <si>
    <t>minderjähriger</t>
  </si>
  <si>
    <t>malp</t>
  </si>
  <si>
    <t>irrgarten</t>
  </si>
  <si>
    <t>mascara</t>
  </si>
  <si>
    <t>hauptproblem</t>
  </si>
  <si>
    <t>ziemt</t>
  </si>
  <si>
    <t>pädophilen</t>
  </si>
  <si>
    <t>navajo</t>
  </si>
  <si>
    <t>pinke</t>
  </si>
  <si>
    <t>ritualen</t>
  </si>
  <si>
    <t>salto</t>
  </si>
  <si>
    <t>pumps</t>
  </si>
  <si>
    <t>unbefugte</t>
  </si>
  <si>
    <t>flitzer</t>
  </si>
  <si>
    <t>molekulare</t>
  </si>
  <si>
    <t>velvet</t>
  </si>
  <si>
    <t>beiläufig</t>
  </si>
  <si>
    <t>brutales</t>
  </si>
  <si>
    <t>transit</t>
  </si>
  <si>
    <t>einzubauen</t>
  </si>
  <si>
    <t>dahinterstecken</t>
  </si>
  <si>
    <t>blickst</t>
  </si>
  <si>
    <t>rachid</t>
  </si>
  <si>
    <t>vergnügungen</t>
  </si>
  <si>
    <t>eiskalter</t>
  </si>
  <si>
    <t>natuerlich</t>
  </si>
  <si>
    <t>chaim</t>
  </si>
  <si>
    <t>autohändler</t>
  </si>
  <si>
    <t>kursieren</t>
  </si>
  <si>
    <t>mentalität</t>
  </si>
  <si>
    <t>saftiges</t>
  </si>
  <si>
    <t>militärschule</t>
  </si>
  <si>
    <t>bend</t>
  </si>
  <si>
    <t>einzuspringen</t>
  </si>
  <si>
    <t>schlund</t>
  </si>
  <si>
    <t>tomás</t>
  </si>
  <si>
    <t>mahidevran</t>
  </si>
  <si>
    <t>gargamel</t>
  </si>
  <si>
    <t>störenfried</t>
  </si>
  <si>
    <t>harpo</t>
  </si>
  <si>
    <t>rostiger</t>
  </si>
  <si>
    <t>leihgabe</t>
  </si>
  <si>
    <t>stubenrein</t>
  </si>
  <si>
    <t>xin</t>
  </si>
  <si>
    <t>sprießen</t>
  </si>
  <si>
    <t>halo</t>
  </si>
  <si>
    <t>unsicheren</t>
  </si>
  <si>
    <t>hierbleibst</t>
  </si>
  <si>
    <t>kenshiro</t>
  </si>
  <si>
    <t>kawasaki</t>
  </si>
  <si>
    <t>majestätisch</t>
  </si>
  <si>
    <t>gepachtet</t>
  </si>
  <si>
    <t>ausschließt</t>
  </si>
  <si>
    <t>haftet</t>
  </si>
  <si>
    <t>eton</t>
  </si>
  <si>
    <t>steuerfrei</t>
  </si>
  <si>
    <t>westflügel</t>
  </si>
  <si>
    <t>earls</t>
  </si>
  <si>
    <t>jahresende</t>
  </si>
  <si>
    <t>absalon</t>
  </si>
  <si>
    <t>jammere</t>
  </si>
  <si>
    <t>leichteste</t>
  </si>
  <si>
    <t>schoßhund</t>
  </si>
  <si>
    <t>kilometerweit</t>
  </si>
  <si>
    <t>glaubwürdige</t>
  </si>
  <si>
    <t>beschriftet</t>
  </si>
  <si>
    <t>cervantes</t>
  </si>
  <si>
    <t>loker</t>
  </si>
  <si>
    <t>oralsex</t>
  </si>
  <si>
    <t>streitwagen</t>
  </si>
  <si>
    <t>einsatzbesprechung</t>
  </si>
  <si>
    <t>aufblasen</t>
  </si>
  <si>
    <t>rückmeldung</t>
  </si>
  <si>
    <t>klavierklänge</t>
  </si>
  <si>
    <t>beats</t>
  </si>
  <si>
    <t>prügelte</t>
  </si>
  <si>
    <t>einsitzen</t>
  </si>
  <si>
    <t>caramba</t>
  </si>
  <si>
    <t>seelenheil</t>
  </si>
  <si>
    <t>byrd</t>
  </si>
  <si>
    <t>waiting</t>
  </si>
  <si>
    <t>erschreckende</t>
  </si>
  <si>
    <t>boulder</t>
  </si>
  <si>
    <t>auswärtige</t>
  </si>
  <si>
    <t>widersprüchlich</t>
  </si>
  <si>
    <t>arlena</t>
  </si>
  <si>
    <t>kolumbianische</t>
  </si>
  <si>
    <t>tierverhalten</t>
  </si>
  <si>
    <t>ödland</t>
  </si>
  <si>
    <t>piranhas</t>
  </si>
  <si>
    <t>mohawk</t>
  </si>
  <si>
    <t>eingegraben</t>
  </si>
  <si>
    <t>esperanza</t>
  </si>
  <si>
    <t>hortense</t>
  </si>
  <si>
    <t>isch</t>
  </si>
  <si>
    <t>shrimp</t>
  </si>
  <si>
    <t>aberdeen</t>
  </si>
  <si>
    <t>chronik</t>
  </si>
  <si>
    <t>unpersönlich</t>
  </si>
  <si>
    <t>tramp</t>
  </si>
  <si>
    <t>gunderson</t>
  </si>
  <si>
    <t>regionale</t>
  </si>
  <si>
    <t>lehrmeister</t>
  </si>
  <si>
    <t>dolmetscherin</t>
  </si>
  <si>
    <t>legales</t>
  </si>
  <si>
    <t>eigenartigen</t>
  </si>
  <si>
    <t>markiere</t>
  </si>
  <si>
    <t>zerstör</t>
  </si>
  <si>
    <t>pang</t>
  </si>
  <si>
    <t>northman</t>
  </si>
  <si>
    <t>assimilieren</t>
  </si>
  <si>
    <t>tamsin</t>
  </si>
  <si>
    <t>rinaldo</t>
  </si>
  <si>
    <t>tet</t>
  </si>
  <si>
    <t>abstürzte</t>
  </si>
  <si>
    <t>krantz</t>
  </si>
  <si>
    <t>wievielte</t>
  </si>
  <si>
    <t>durcheinandergebracht</t>
  </si>
  <si>
    <t>finalen</t>
  </si>
  <si>
    <t>justizvollzugsanstalt</t>
  </si>
  <si>
    <t>jayne</t>
  </si>
  <si>
    <t>heilerin</t>
  </si>
  <si>
    <t>übersieht</t>
  </si>
  <si>
    <t>giraffen</t>
  </si>
  <si>
    <t>esta</t>
  </si>
  <si>
    <t>falschaussage</t>
  </si>
  <si>
    <t>neubeginn</t>
  </si>
  <si>
    <t>nürnberg</t>
  </si>
  <si>
    <t>sackgesicht</t>
  </si>
  <si>
    <t>geschlechtsumwandlung</t>
  </si>
  <si>
    <t>drinsteckt</t>
  </si>
  <si>
    <t>entziehungskur</t>
  </si>
  <si>
    <t>missbrauchs</t>
  </si>
  <si>
    <t>eustace</t>
  </si>
  <si>
    <t>geknebelt</t>
  </si>
  <si>
    <t>rübergekommen</t>
  </si>
  <si>
    <t>bodega</t>
  </si>
  <si>
    <t>gemüsegarten</t>
  </si>
  <si>
    <t>crewman</t>
  </si>
  <si>
    <t>watergate</t>
  </si>
  <si>
    <t>götterspeise</t>
  </si>
  <si>
    <t>faultier</t>
  </si>
  <si>
    <t>wochentag</t>
  </si>
  <si>
    <t>lp</t>
  </si>
  <si>
    <t>fad</t>
  </si>
  <si>
    <t>studiengebühren</t>
  </si>
  <si>
    <t>kontoauszüge</t>
  </si>
  <si>
    <t>bekämpfung</t>
  </si>
  <si>
    <t>untauglich</t>
  </si>
  <si>
    <t>gottlose</t>
  </si>
  <si>
    <t>westwärts</t>
  </si>
  <si>
    <t>pferdedieb</t>
  </si>
  <si>
    <t>blinddarmentzündung</t>
  </si>
  <si>
    <t>ausgeplaudert</t>
  </si>
  <si>
    <t>laos</t>
  </si>
  <si>
    <t>zahnbürsten</t>
  </si>
  <si>
    <t>schichtwechsel</t>
  </si>
  <si>
    <t>ungarischen</t>
  </si>
  <si>
    <t>francoise</t>
  </si>
  <si>
    <t>endloser</t>
  </si>
  <si>
    <t>biblischen</t>
  </si>
  <si>
    <t>knack</t>
  </si>
  <si>
    <t>abdomen</t>
  </si>
  <si>
    <t>normalem</t>
  </si>
  <si>
    <t>hobart</t>
  </si>
  <si>
    <t>loukauskis</t>
  </si>
  <si>
    <t>vertrautes</t>
  </si>
  <si>
    <t>parkman</t>
  </si>
  <si>
    <t>wilkinson</t>
  </si>
  <si>
    <t>rausgeputzt</t>
  </si>
  <si>
    <t>mörderischer</t>
  </si>
  <si>
    <t>reinpasst</t>
  </si>
  <si>
    <t>hanf</t>
  </si>
  <si>
    <t>einblicke</t>
  </si>
  <si>
    <t>wirbelt</t>
  </si>
  <si>
    <t>tutet</t>
  </si>
  <si>
    <t>kalifornische</t>
  </si>
  <si>
    <t>vize-präsident</t>
  </si>
  <si>
    <t>angegossen</t>
  </si>
  <si>
    <t>wirbelwind</t>
  </si>
  <si>
    <t>geplapper</t>
  </si>
  <si>
    <t>vane</t>
  </si>
  <si>
    <t>unerlaubtes</t>
  </si>
  <si>
    <t>wiederzuhaben</t>
  </si>
  <si>
    <t>ungeborenes</t>
  </si>
  <si>
    <t>luck</t>
  </si>
  <si>
    <t>stammgäste</t>
  </si>
  <si>
    <t>marienkäfer</t>
  </si>
  <si>
    <t>siesta</t>
  </si>
  <si>
    <t>yousef</t>
  </si>
  <si>
    <t>elspeth</t>
  </si>
  <si>
    <t>gerti</t>
  </si>
  <si>
    <t>ansprach</t>
  </si>
  <si>
    <t>gestützt</t>
  </si>
  <si>
    <t>frittierte</t>
  </si>
  <si>
    <t>abwasserkanal</t>
  </si>
  <si>
    <t>minsk</t>
  </si>
  <si>
    <t>finanziere</t>
  </si>
  <si>
    <t>reichts</t>
  </si>
  <si>
    <t>dry</t>
  </si>
  <si>
    <t>ausliefert</t>
  </si>
  <si>
    <t>chesterfield</t>
  </si>
  <si>
    <t>probanden</t>
  </si>
  <si>
    <t>brustwarze</t>
  </si>
  <si>
    <t>hate</t>
  </si>
  <si>
    <t>veruntreut</t>
  </si>
  <si>
    <t>zion</t>
  </si>
  <si>
    <t>amazon</t>
  </si>
  <si>
    <t>carlsen</t>
  </si>
  <si>
    <t>werwölfen</t>
  </si>
  <si>
    <t>lipgloss</t>
  </si>
  <si>
    <t>rührende</t>
  </si>
  <si>
    <t>minder</t>
  </si>
  <si>
    <t>forget</t>
  </si>
  <si>
    <t>verschlang</t>
  </si>
  <si>
    <t>weeks</t>
  </si>
  <si>
    <t>geklemmt</t>
  </si>
  <si>
    <t>verknackt</t>
  </si>
  <si>
    <t>schaltung</t>
  </si>
  <si>
    <t>koothrappali</t>
  </si>
  <si>
    <t>brause</t>
  </si>
  <si>
    <t>geselle</t>
  </si>
  <si>
    <t>kehrseite</t>
  </si>
  <si>
    <t>umgangen</t>
  </si>
  <si>
    <t>angsteinflößend</t>
  </si>
  <si>
    <t>dreyfuss</t>
  </si>
  <si>
    <t>persönlichkeitsstörung</t>
  </si>
  <si>
    <t>stopfte</t>
  </si>
  <si>
    <t>schillinge</t>
  </si>
  <si>
    <t>subtile</t>
  </si>
  <si>
    <t>savonarola</t>
  </si>
  <si>
    <t>ehemännern</t>
  </si>
  <si>
    <t>zufriedenstellen</t>
  </si>
  <si>
    <t>bray</t>
  </si>
  <si>
    <t>sauftour</t>
  </si>
  <si>
    <t>schnuckelchen</t>
  </si>
  <si>
    <t>angeschwollen</t>
  </si>
  <si>
    <t>ashford</t>
  </si>
  <si>
    <t>sechseinhalb</t>
  </si>
  <si>
    <t>geschichtslehrer</t>
  </si>
  <si>
    <t>abfalleimer</t>
  </si>
  <si>
    <t>engagierten</t>
  </si>
  <si>
    <t>bagchi</t>
  </si>
  <si>
    <t>spam</t>
  </si>
  <si>
    <t>history</t>
  </si>
  <si>
    <t>psychopathin</t>
  </si>
  <si>
    <t>schorsch</t>
  </si>
  <si>
    <t>regenbogens</t>
  </si>
  <si>
    <t>kicken</t>
  </si>
  <si>
    <t>riccardo</t>
  </si>
  <si>
    <t>suchtrupps</t>
  </si>
  <si>
    <t>ehrerbietung</t>
  </si>
  <si>
    <t>erweckte</t>
  </si>
  <si>
    <t>theatergruppe</t>
  </si>
  <si>
    <t>fünftes</t>
  </si>
  <si>
    <t>iz</t>
  </si>
  <si>
    <t>mcfly</t>
  </si>
  <si>
    <t>carrolls</t>
  </si>
  <si>
    <t>herold</t>
  </si>
  <si>
    <t>reaktiviert</t>
  </si>
  <si>
    <t>brettern</t>
  </si>
  <si>
    <t>feile</t>
  </si>
  <si>
    <t>zugestehen</t>
  </si>
  <si>
    <t>wehrlose</t>
  </si>
  <si>
    <t>lucian</t>
  </si>
  <si>
    <t>minne</t>
  </si>
  <si>
    <t>putnam</t>
  </si>
  <si>
    <t>gedämpftes</t>
  </si>
  <si>
    <t>kaliforniens</t>
  </si>
  <si>
    <t>drexler</t>
  </si>
  <si>
    <t>verharren</t>
  </si>
  <si>
    <t>terpentin</t>
  </si>
  <si>
    <t>geisterbahn</t>
  </si>
  <si>
    <t>k-a-k-mann</t>
  </si>
  <si>
    <t>pay</t>
  </si>
  <si>
    <t>familienfoto</t>
  </si>
  <si>
    <t>begebt</t>
  </si>
  <si>
    <t>miraculix</t>
  </si>
  <si>
    <t>trash</t>
  </si>
  <si>
    <t>angeklopft</t>
  </si>
  <si>
    <t>magnetisch</t>
  </si>
  <si>
    <t>wedding</t>
  </si>
  <si>
    <t>ausgefahren</t>
  </si>
  <si>
    <t>berücksichtigung</t>
  </si>
  <si>
    <t>vendetta</t>
  </si>
  <si>
    <t>bussen</t>
  </si>
  <si>
    <t>rumgekommen</t>
  </si>
  <si>
    <t>nashörner</t>
  </si>
  <si>
    <t>aufführst</t>
  </si>
  <si>
    <t>pantoffel</t>
  </si>
  <si>
    <t>barn</t>
  </si>
  <si>
    <t>toshio</t>
  </si>
  <si>
    <t>sosuke</t>
  </si>
  <si>
    <t>täufer</t>
  </si>
  <si>
    <t>gegenmaßnahmen</t>
  </si>
  <si>
    <t>sonstwo</t>
  </si>
  <si>
    <t>pac-man</t>
  </si>
  <si>
    <t>glitzern</t>
  </si>
  <si>
    <t>maitland</t>
  </si>
  <si>
    <t>satellitenschüssel</t>
  </si>
  <si>
    <t>eingegrenzt</t>
  </si>
  <si>
    <t>executive</t>
  </si>
  <si>
    <t>anekdoten</t>
  </si>
  <si>
    <t>escher</t>
  </si>
  <si>
    <t>sita</t>
  </si>
  <si>
    <t>amo</t>
  </si>
  <si>
    <t>uniformierte</t>
  </si>
  <si>
    <t>erwäge</t>
  </si>
  <si>
    <t>verstopfen</t>
  </si>
  <si>
    <t>beschworen</t>
  </si>
  <si>
    <t>schwingst</t>
  </si>
  <si>
    <t>kaylie</t>
  </si>
  <si>
    <t>erfolgreichste</t>
  </si>
  <si>
    <t>goodson</t>
  </si>
  <si>
    <t>familienerbstück</t>
  </si>
  <si>
    <t>marcella</t>
  </si>
  <si>
    <t>kundinnen</t>
  </si>
  <si>
    <t>gefangengenommen</t>
  </si>
  <si>
    <t>pathetisch</t>
  </si>
  <si>
    <t>rückstoß</t>
  </si>
  <si>
    <t>hetz</t>
  </si>
  <si>
    <t>wicked</t>
  </si>
  <si>
    <t>milliliter</t>
  </si>
  <si>
    <t>ausbeute</t>
  </si>
  <si>
    <t>bereitgestellt</t>
  </si>
  <si>
    <t>festungen</t>
  </si>
  <si>
    <t>ungehalten</t>
  </si>
  <si>
    <t>durchschnittlichen</t>
  </si>
  <si>
    <t>bereitschaftsraum</t>
  </si>
  <si>
    <t>krankhafte</t>
  </si>
  <si>
    <t>bastelt</t>
  </si>
  <si>
    <t>eroberten</t>
  </si>
  <si>
    <t>analysierte</t>
  </si>
  <si>
    <t>leichenbestatter</t>
  </si>
  <si>
    <t>verschnaufen</t>
  </si>
  <si>
    <t>dickdarm</t>
  </si>
  <si>
    <t>drückten</t>
  </si>
  <si>
    <t>corned</t>
  </si>
  <si>
    <t>unanständige</t>
  </si>
  <si>
    <t>kururugi</t>
  </si>
  <si>
    <t>wordsworth</t>
  </si>
  <si>
    <t>samira</t>
  </si>
  <si>
    <t>prager</t>
  </si>
  <si>
    <t>ausgeholfen</t>
  </si>
  <si>
    <t>arzneimittel</t>
  </si>
  <si>
    <t>gefolgsleute</t>
  </si>
  <si>
    <t>mcleods</t>
  </si>
  <si>
    <t>kipling</t>
  </si>
  <si>
    <t>bekanntgeben</t>
  </si>
  <si>
    <t>mühlen</t>
  </si>
  <si>
    <t>dutton</t>
  </si>
  <si>
    <t>champagne</t>
  </si>
  <si>
    <t>whipper</t>
  </si>
  <si>
    <t>schnitzer</t>
  </si>
  <si>
    <t>zurückgeworfen</t>
  </si>
  <si>
    <t>klatsche</t>
  </si>
  <si>
    <t>lovers</t>
  </si>
  <si>
    <t>hike</t>
  </si>
  <si>
    <t>basilikum</t>
  </si>
  <si>
    <t>wilkommen</t>
  </si>
  <si>
    <t>misshandeln</t>
  </si>
  <si>
    <t>schwerfällt</t>
  </si>
  <si>
    <t>sternenflottenkommando</t>
  </si>
  <si>
    <t>kreuzweise</t>
  </si>
  <si>
    <t>zwölfte</t>
  </si>
  <si>
    <t>chrom</t>
  </si>
  <si>
    <t>krycek</t>
  </si>
  <si>
    <t>untersetzer</t>
  </si>
  <si>
    <t>shumway</t>
  </si>
  <si>
    <t>fährmann</t>
  </si>
  <si>
    <t>kassiere</t>
  </si>
  <si>
    <t>sprengstoffe</t>
  </si>
  <si>
    <t>guts</t>
  </si>
  <si>
    <t>zelena</t>
  </si>
  <si>
    <t>wandelndes</t>
  </si>
  <si>
    <t>zerstreuung</t>
  </si>
  <si>
    <t>verfallsdatum</t>
  </si>
  <si>
    <t>hohepriester</t>
  </si>
  <si>
    <t>pilgerfahrt</t>
  </si>
  <si>
    <t>zankou</t>
  </si>
  <si>
    <t>appétit</t>
  </si>
  <si>
    <t>grimmig</t>
  </si>
  <si>
    <t>verderbe</t>
  </si>
  <si>
    <t>durchsetzt</t>
  </si>
  <si>
    <t>makes</t>
  </si>
  <si>
    <t>sting</t>
  </si>
  <si>
    <t>barkeeperin</t>
  </si>
  <si>
    <t>gesetzliche</t>
  </si>
  <si>
    <t>weihnachtsgeschenke</t>
  </si>
  <si>
    <t>verdufte</t>
  </si>
  <si>
    <t>runterzukommen</t>
  </si>
  <si>
    <t>alpakas</t>
  </si>
  <si>
    <t>schlittschuh</t>
  </si>
  <si>
    <t>guineas</t>
  </si>
  <si>
    <t>stabilen</t>
  </si>
  <si>
    <t>sperrst</t>
  </si>
  <si>
    <t>thriller</t>
  </si>
  <si>
    <t>auffahren</t>
  </si>
  <si>
    <t>gerockt</t>
  </si>
  <si>
    <t>pim</t>
  </si>
  <si>
    <t>unachtsam</t>
  </si>
  <si>
    <t>somewhere</t>
  </si>
  <si>
    <t>eros</t>
  </si>
  <si>
    <t>unterdrücker</t>
  </si>
  <si>
    <t>hardcastles</t>
  </si>
  <si>
    <t>rumzumachen</t>
  </si>
  <si>
    <t>fettnäpfchen</t>
  </si>
  <si>
    <t>t-bag</t>
  </si>
  <si>
    <t>chazz</t>
  </si>
  <si>
    <t>leichentuch</t>
  </si>
  <si>
    <t>exponentiell</t>
  </si>
  <si>
    <t>einschläfst</t>
  </si>
  <si>
    <t>abklären</t>
  </si>
  <si>
    <t>verlobungsfeier</t>
  </si>
  <si>
    <t>zeitreisende</t>
  </si>
  <si>
    <t>beethovens</t>
  </si>
  <si>
    <t>zin</t>
  </si>
  <si>
    <t>befahlen</t>
  </si>
  <si>
    <t>merrill</t>
  </si>
  <si>
    <t>tommaso</t>
  </si>
  <si>
    <t>kopfwunde</t>
  </si>
  <si>
    <t>tischdecke</t>
  </si>
  <si>
    <t>wechsele</t>
  </si>
  <si>
    <t>floristen</t>
  </si>
  <si>
    <t>ausflippt</t>
  </si>
  <si>
    <t>dune</t>
  </si>
  <si>
    <t>untersuchungsausschuss</t>
  </si>
  <si>
    <t>zuschicken</t>
  </si>
  <si>
    <t>ruhmreichen</t>
  </si>
  <si>
    <t>matador</t>
  </si>
  <si>
    <t>orwell</t>
  </si>
  <si>
    <t>belvedere</t>
  </si>
  <si>
    <t>familienfotos</t>
  </si>
  <si>
    <t>solloway</t>
  </si>
  <si>
    <t>feministin</t>
  </si>
  <si>
    <t>objektive</t>
  </si>
  <si>
    <t>lebensläufe</t>
  </si>
  <si>
    <t>wackel</t>
  </si>
  <si>
    <t>designerin</t>
  </si>
  <si>
    <t>musen</t>
  </si>
  <si>
    <t>pollux</t>
  </si>
  <si>
    <t>hochgradig</t>
  </si>
  <si>
    <t>kaufvertrag</t>
  </si>
  <si>
    <t>akuter</t>
  </si>
  <si>
    <t>silk</t>
  </si>
  <si>
    <t>molto</t>
  </si>
  <si>
    <t>abfällt</t>
  </si>
  <si>
    <t>hawes</t>
  </si>
  <si>
    <t>elektronen</t>
  </si>
  <si>
    <t>catco</t>
  </si>
  <si>
    <t>faselst</t>
  </si>
  <si>
    <t>hickok</t>
  </si>
  <si>
    <t>oversight</t>
  </si>
  <si>
    <t>abfüllen</t>
  </si>
  <si>
    <t>mankato</t>
  </si>
  <si>
    <t>ir</t>
  </si>
  <si>
    <t>odum</t>
  </si>
  <si>
    <t>mittelklasse</t>
  </si>
  <si>
    <t>fda</t>
  </si>
  <si>
    <t>sauge</t>
  </si>
  <si>
    <t>erstellte</t>
  </si>
  <si>
    <t>vida</t>
  </si>
  <si>
    <t>barrows</t>
  </si>
  <si>
    <t>sardinien</t>
  </si>
  <si>
    <t>zerocl</t>
  </si>
  <si>
    <t>schriftliches</t>
  </si>
  <si>
    <t>bottom</t>
  </si>
  <si>
    <t>beweisführung</t>
  </si>
  <si>
    <t>besiegst</t>
  </si>
  <si>
    <t>yung</t>
  </si>
  <si>
    <t>schamanen</t>
  </si>
  <si>
    <t>atemlos</t>
  </si>
  <si>
    <t>lar</t>
  </si>
  <si>
    <t>schnorren</t>
  </si>
  <si>
    <t>übereinstimmungen</t>
  </si>
  <si>
    <t>zoomen</t>
  </si>
  <si>
    <t>gi</t>
  </si>
  <si>
    <t>meschugge</t>
  </si>
  <si>
    <t>rodolfo</t>
  </si>
  <si>
    <t>optimale</t>
  </si>
  <si>
    <t>miley</t>
  </si>
  <si>
    <t>affentheater</t>
  </si>
  <si>
    <t>impliziert</t>
  </si>
  <si>
    <t>bierko</t>
  </si>
  <si>
    <t>dickson</t>
  </si>
  <si>
    <t>arschbacken</t>
  </si>
  <si>
    <t>ausgekommen</t>
  </si>
  <si>
    <t>verbanne</t>
  </si>
  <si>
    <t>kaffeetasse</t>
  </si>
  <si>
    <t>letze</t>
  </si>
  <si>
    <t>auffinden</t>
  </si>
  <si>
    <t>fehlzündung</t>
  </si>
  <si>
    <t>mystery</t>
  </si>
  <si>
    <t>mitzvah</t>
  </si>
  <si>
    <t>bremen</t>
  </si>
  <si>
    <t>goofy</t>
  </si>
  <si>
    <t>goetz</t>
  </si>
  <si>
    <t>humpeln</t>
  </si>
  <si>
    <t>niyazi</t>
  </si>
  <si>
    <t>verschwören</t>
  </si>
  <si>
    <t>felgen</t>
  </si>
  <si>
    <t>drüsen</t>
  </si>
  <si>
    <t>achter</t>
  </si>
  <si>
    <t>brumm</t>
  </si>
  <si>
    <t>font</t>
  </si>
  <si>
    <t>herumlungern</t>
  </si>
  <si>
    <t>crimson</t>
  </si>
  <si>
    <t>blocken</t>
  </si>
  <si>
    <t>marietta</t>
  </si>
  <si>
    <t>bellevue</t>
  </si>
  <si>
    <t>cardinal</t>
  </si>
  <si>
    <t>schwammen</t>
  </si>
  <si>
    <t>stierkämpfer</t>
  </si>
  <si>
    <t>explodierten</t>
  </si>
  <si>
    <t>muchas</t>
  </si>
  <si>
    <t>holländische</t>
  </si>
  <si>
    <t>quakt</t>
  </si>
  <si>
    <t>wehrdienst</t>
  </si>
  <si>
    <t>aufgesammelt</t>
  </si>
  <si>
    <t>checkliste</t>
  </si>
  <si>
    <t>einher</t>
  </si>
  <si>
    <t>brava</t>
  </si>
  <si>
    <t>abrasiert</t>
  </si>
  <si>
    <t>darmody</t>
  </si>
  <si>
    <t>weltbesten</t>
  </si>
  <si>
    <t>quetschungen</t>
  </si>
  <si>
    <t>knallharter</t>
  </si>
  <si>
    <t>muslimische</t>
  </si>
  <si>
    <t>muhammed</t>
  </si>
  <si>
    <t>verhilft</t>
  </si>
  <si>
    <t>zoë</t>
  </si>
  <si>
    <t>willige</t>
  </si>
  <si>
    <t>chica</t>
  </si>
  <si>
    <t>erwachsenwerden</t>
  </si>
  <si>
    <t>heiligt</t>
  </si>
  <si>
    <t>unparteiisch</t>
  </si>
  <si>
    <t>falco</t>
  </si>
  <si>
    <t>freds</t>
  </si>
  <si>
    <t>wirtschaftslage</t>
  </si>
  <si>
    <t>astronomen</t>
  </si>
  <si>
    <t>continental</t>
  </si>
  <si>
    <t>nahrhaft</t>
  </si>
  <si>
    <t>laila</t>
  </si>
  <si>
    <t>entging</t>
  </si>
  <si>
    <t>schlitzt</t>
  </si>
  <si>
    <t>festliche</t>
  </si>
  <si>
    <t>wire</t>
  </si>
  <si>
    <t>montauk</t>
  </si>
  <si>
    <t>westseite</t>
  </si>
  <si>
    <t>manfredi</t>
  </si>
  <si>
    <t>amboss</t>
  </si>
  <si>
    <t>aufzuteilen</t>
  </si>
  <si>
    <t>jau</t>
  </si>
  <si>
    <t>beaufort</t>
  </si>
  <si>
    <t>lorena</t>
  </si>
  <si>
    <t>ietzten</t>
  </si>
  <si>
    <t>forschungsarbeit</t>
  </si>
  <si>
    <t>markov</t>
  </si>
  <si>
    <t>roddy</t>
  </si>
  <si>
    <t>lamborghini</t>
  </si>
  <si>
    <t>abgetrennten</t>
  </si>
  <si>
    <t>sechser</t>
  </si>
  <si>
    <t>sonnenuntergänge</t>
  </si>
  <si>
    <t>trachten</t>
  </si>
  <si>
    <t>garaus</t>
  </si>
  <si>
    <t>fernrohr</t>
  </si>
  <si>
    <t>höchststrafe</t>
  </si>
  <si>
    <t>fellow</t>
  </si>
  <si>
    <t>akne</t>
  </si>
  <si>
    <t>angehabt</t>
  </si>
  <si>
    <t>yar</t>
  </si>
  <si>
    <t>rohypnol</t>
  </si>
  <si>
    <t>rumgekriegt</t>
  </si>
  <si>
    <t>tuen</t>
  </si>
  <si>
    <t>tätern</t>
  </si>
  <si>
    <t>herausfordert</t>
  </si>
  <si>
    <t>pharaonen</t>
  </si>
  <si>
    <t>erdatmosphäre</t>
  </si>
  <si>
    <t>mamba</t>
  </si>
  <si>
    <t>stöße</t>
  </si>
  <si>
    <t>belly</t>
  </si>
  <si>
    <t>nba</t>
  </si>
  <si>
    <t>cilly</t>
  </si>
  <si>
    <t>yumi</t>
  </si>
  <si>
    <t>klebrige</t>
  </si>
  <si>
    <t>jean-marc</t>
  </si>
  <si>
    <t>jeannette</t>
  </si>
  <si>
    <t>bezirzen</t>
  </si>
  <si>
    <t>kaust</t>
  </si>
  <si>
    <t>opus</t>
  </si>
  <si>
    <t>einzubringen</t>
  </si>
  <si>
    <t>kommandantin</t>
  </si>
  <si>
    <t>einsatzwagen</t>
  </si>
  <si>
    <t>bekanntesten</t>
  </si>
  <si>
    <t>curie</t>
  </si>
  <si>
    <t>abschneidet</t>
  </si>
  <si>
    <t>took</t>
  </si>
  <si>
    <t>überlegenen</t>
  </si>
  <si>
    <t>goody</t>
  </si>
  <si>
    <t>kunststoff</t>
  </si>
  <si>
    <t>reliquien</t>
  </si>
  <si>
    <t>zugeknöpft</t>
  </si>
  <si>
    <t>kamal</t>
  </si>
  <si>
    <t>interdicted</t>
  </si>
  <si>
    <t>allee</t>
  </si>
  <si>
    <t>beflügelt</t>
  </si>
  <si>
    <t>umgänglich</t>
  </si>
  <si>
    <t>bereitstehen</t>
  </si>
  <si>
    <t>indio</t>
  </si>
  <si>
    <t>eingebunden</t>
  </si>
  <si>
    <t>rekonstruiert</t>
  </si>
  <si>
    <t>ridges</t>
  </si>
  <si>
    <t>konkubinen</t>
  </si>
  <si>
    <t>beschränkungen</t>
  </si>
  <si>
    <t>zutage</t>
  </si>
  <si>
    <t>getränken</t>
  </si>
  <si>
    <t>forsch</t>
  </si>
  <si>
    <t>rosemarie</t>
  </si>
  <si>
    <t>aristokraten</t>
  </si>
  <si>
    <t>grounder</t>
  </si>
  <si>
    <t>pritchett</t>
  </si>
  <si>
    <t>clarisse</t>
  </si>
  <si>
    <t>zentral</t>
  </si>
  <si>
    <t>flussbett</t>
  </si>
  <si>
    <t>stressen</t>
  </si>
  <si>
    <t>symbolische</t>
  </si>
  <si>
    <t>aris</t>
  </si>
  <si>
    <t>metalldetektor</t>
  </si>
  <si>
    <t>friedensvertrag</t>
  </si>
  <si>
    <t>landwirt</t>
  </si>
  <si>
    <t>dartmouth</t>
  </si>
  <si>
    <t>iso</t>
  </si>
  <si>
    <t>hokkaido</t>
  </si>
  <si>
    <t>unmöglicher</t>
  </si>
  <si>
    <t>südpazifik</t>
  </si>
  <si>
    <t>abgehangen</t>
  </si>
  <si>
    <t>sensibles</t>
  </si>
  <si>
    <t>athelstan</t>
  </si>
  <si>
    <t>vertrautheit</t>
  </si>
  <si>
    <t>ausgestochen</t>
  </si>
  <si>
    <t>targaryen</t>
  </si>
  <si>
    <t>fütterte</t>
  </si>
  <si>
    <t>gelula</t>
  </si>
  <si>
    <t>geruht</t>
  </si>
  <si>
    <t>2o</t>
  </si>
  <si>
    <t>seelischen</t>
  </si>
  <si>
    <t>vijay</t>
  </si>
  <si>
    <t>haushoch</t>
  </si>
  <si>
    <t>erhören</t>
  </si>
  <si>
    <t>abszess</t>
  </si>
  <si>
    <t>einstiche</t>
  </si>
  <si>
    <t>barbarei</t>
  </si>
  <si>
    <t>cork</t>
  </si>
  <si>
    <t>orin</t>
  </si>
  <si>
    <t>rinnt</t>
  </si>
  <si>
    <t>hierzulande</t>
  </si>
  <si>
    <t>namenloser</t>
  </si>
  <si>
    <t>verteilst</t>
  </si>
  <si>
    <t>wracks</t>
  </si>
  <si>
    <t>schmollt</t>
  </si>
  <si>
    <t>möget</t>
  </si>
  <si>
    <t>tuhan</t>
  </si>
  <si>
    <t>uneheliche</t>
  </si>
  <si>
    <t>pig</t>
  </si>
  <si>
    <t>vermögenswerte</t>
  </si>
  <si>
    <t>unsterblicher</t>
  </si>
  <si>
    <t>chfbfa34</t>
  </si>
  <si>
    <t>oğuz</t>
  </si>
  <si>
    <t>eingebildeter</t>
  </si>
  <si>
    <t>staatsanwälte</t>
  </si>
  <si>
    <t>embryo</t>
  </si>
  <si>
    <t>eichel</t>
  </si>
  <si>
    <t>unbedacht</t>
  </si>
  <si>
    <t>trödel</t>
  </si>
  <si>
    <t>metastasen</t>
  </si>
  <si>
    <t>lebron</t>
  </si>
  <si>
    <t>carolines</t>
  </si>
  <si>
    <t>milchprodukte</t>
  </si>
  <si>
    <t>fehlerfrei</t>
  </si>
  <si>
    <t>schmieriger</t>
  </si>
  <si>
    <t>timberlake</t>
  </si>
  <si>
    <t>packten</t>
  </si>
  <si>
    <t>beruhigte</t>
  </si>
  <si>
    <t>überflüssige</t>
  </si>
  <si>
    <t>ely</t>
  </si>
  <si>
    <t>claypool</t>
  </si>
  <si>
    <t>wundervollste</t>
  </si>
  <si>
    <t>gemütliche</t>
  </si>
  <si>
    <t>stromberg</t>
  </si>
  <si>
    <t>spitzer</t>
  </si>
  <si>
    <t>eindämmungsfeld</t>
  </si>
  <si>
    <t>vegetarisch</t>
  </si>
  <si>
    <t>langjährige</t>
  </si>
  <si>
    <t>fulci</t>
  </si>
  <si>
    <t>s01e04</t>
  </si>
  <si>
    <t>schreckhaft</t>
  </si>
  <si>
    <t>bahnhöfe</t>
  </si>
  <si>
    <t>willkommene</t>
  </si>
  <si>
    <t>anbetung</t>
  </si>
  <si>
    <t>simulator</t>
  </si>
  <si>
    <t>zurückzuschicken</t>
  </si>
  <si>
    <t>mittelfeld</t>
  </si>
  <si>
    <t>auszuzahlen</t>
  </si>
  <si>
    <t>führungsqualitäten</t>
  </si>
  <si>
    <t>entnehme</t>
  </si>
  <si>
    <t>umdrehte</t>
  </si>
  <si>
    <t>knicken</t>
  </si>
  <si>
    <t>saukerl</t>
  </si>
  <si>
    <t>basisschiff</t>
  </si>
  <si>
    <t>sakura</t>
  </si>
  <si>
    <t>chronos</t>
  </si>
  <si>
    <t>halloran</t>
  </si>
  <si>
    <t>finny</t>
  </si>
  <si>
    <t>sokar</t>
  </si>
  <si>
    <t>display</t>
  </si>
  <si>
    <t>sondersendung</t>
  </si>
  <si>
    <t>unwichtige</t>
  </si>
  <si>
    <t>kleingedruckte</t>
  </si>
  <si>
    <t>vandalen</t>
  </si>
  <si>
    <t>leckte</t>
  </si>
  <si>
    <t>todeszeit</t>
  </si>
  <si>
    <t>tantiemen</t>
  </si>
  <si>
    <t>viviane</t>
  </si>
  <si>
    <t>liegende</t>
  </si>
  <si>
    <t>bauwerk</t>
  </si>
  <si>
    <t>liebenswürdigkeit</t>
  </si>
  <si>
    <t>lithium</t>
  </si>
  <si>
    <t>sarina</t>
  </si>
  <si>
    <t>seetang</t>
  </si>
  <si>
    <t>weichling</t>
  </si>
  <si>
    <t>abhörst</t>
  </si>
  <si>
    <t>zweifelhaften</t>
  </si>
  <si>
    <t>zeitachse</t>
  </si>
  <si>
    <t>dekolleté</t>
  </si>
  <si>
    <t>äußerung</t>
  </si>
  <si>
    <t>belog</t>
  </si>
  <si>
    <t>schwerlich</t>
  </si>
  <si>
    <t>brat</t>
  </si>
  <si>
    <t>honor</t>
  </si>
  <si>
    <t>testlauf</t>
  </si>
  <si>
    <t>gables</t>
  </si>
  <si>
    <t>polypen</t>
  </si>
  <si>
    <t>unhygienisch</t>
  </si>
  <si>
    <t>zugsignal</t>
  </si>
  <si>
    <t>preiswert</t>
  </si>
  <si>
    <t>vermisstes</t>
  </si>
  <si>
    <t>hinwollte</t>
  </si>
  <si>
    <t>bratton</t>
  </si>
  <si>
    <t>astrein</t>
  </si>
  <si>
    <t>finsterer</t>
  </si>
  <si>
    <t>geiselnehmer</t>
  </si>
  <si>
    <t>raiders</t>
  </si>
  <si>
    <t>palais</t>
  </si>
  <si>
    <t>servierst</t>
  </si>
  <si>
    <t>unkonzentriert</t>
  </si>
  <si>
    <t>alois</t>
  </si>
  <si>
    <t>altmodisches</t>
  </si>
  <si>
    <t>portsmouth</t>
  </si>
  <si>
    <t>uraltes</t>
  </si>
  <si>
    <t>stundenkilometer</t>
  </si>
  <si>
    <t>kapitalisten</t>
  </si>
  <si>
    <t>mitnahmen</t>
  </si>
  <si>
    <t>kommunistin</t>
  </si>
  <si>
    <t>einsperrt</t>
  </si>
  <si>
    <t>hogue</t>
  </si>
  <si>
    <t>gesteh</t>
  </si>
  <si>
    <t>gefühlvoll</t>
  </si>
  <si>
    <t>abkassieren</t>
  </si>
  <si>
    <t>lebenslanger</t>
  </si>
  <si>
    <t>nickie</t>
  </si>
  <si>
    <t>vicomte</t>
  </si>
  <si>
    <t>regalen</t>
  </si>
  <si>
    <t>eiter</t>
  </si>
  <si>
    <t>leibt</t>
  </si>
  <si>
    <t>festem</t>
  </si>
  <si>
    <t>todesanzeige</t>
  </si>
  <si>
    <t>freizeitpark</t>
  </si>
  <si>
    <t>snape</t>
  </si>
  <si>
    <t>mexikanerin</t>
  </si>
  <si>
    <t>planes</t>
  </si>
  <si>
    <t>seriösen</t>
  </si>
  <si>
    <t>leblanc</t>
  </si>
  <si>
    <t>nichtsnutziger</t>
  </si>
  <si>
    <t>anhörst</t>
  </si>
  <si>
    <t>urs</t>
  </si>
  <si>
    <t>stromkreis</t>
  </si>
  <si>
    <t>plötzliches</t>
  </si>
  <si>
    <t>mather</t>
  </si>
  <si>
    <t>kostümparty</t>
  </si>
  <si>
    <t>ausblasen</t>
  </si>
  <si>
    <t>renauld</t>
  </si>
  <si>
    <t>befehlsverweigerung</t>
  </si>
  <si>
    <t>vorspulen</t>
  </si>
  <si>
    <t>abernathy</t>
  </si>
  <si>
    <t>präparat</t>
  </si>
  <si>
    <t>hinsetzt</t>
  </si>
  <si>
    <t>semak</t>
  </si>
  <si>
    <t>abzustimmen</t>
  </si>
  <si>
    <t>rituelle</t>
  </si>
  <si>
    <t>furie</t>
  </si>
  <si>
    <t>irrationale</t>
  </si>
  <si>
    <t>tink</t>
  </si>
  <si>
    <t>transparent</t>
  </si>
  <si>
    <t>vorzimmer</t>
  </si>
  <si>
    <t>äbtissin</t>
  </si>
  <si>
    <t>eddington</t>
  </si>
  <si>
    <t>erlangte</t>
  </si>
  <si>
    <t>hereinbitten</t>
  </si>
  <si>
    <t>freikaufen</t>
  </si>
  <si>
    <t>benützen</t>
  </si>
  <si>
    <t>durchführte</t>
  </si>
  <si>
    <t>driver</t>
  </si>
  <si>
    <t>potenzieller</t>
  </si>
  <si>
    <t>indios</t>
  </si>
  <si>
    <t>einlagen</t>
  </si>
  <si>
    <t>schweinebraten</t>
  </si>
  <si>
    <t>unhöflichkeit</t>
  </si>
  <si>
    <t>navarre</t>
  </si>
  <si>
    <t>californication</t>
  </si>
  <si>
    <t>rotation</t>
  </si>
  <si>
    <t>lottie</t>
  </si>
  <si>
    <t>jeffs</t>
  </si>
  <si>
    <t>grenzenlose</t>
  </si>
  <si>
    <t>edda</t>
  </si>
  <si>
    <t>unglückliches</t>
  </si>
  <si>
    <t>mundbewegungen</t>
  </si>
  <si>
    <t>strähne</t>
  </si>
  <si>
    <t>anklagepunkten</t>
  </si>
  <si>
    <t>wickelte</t>
  </si>
  <si>
    <t>steife</t>
  </si>
  <si>
    <t>krasses</t>
  </si>
  <si>
    <t>zertifikat</t>
  </si>
  <si>
    <t>bauernmädchen</t>
  </si>
  <si>
    <t>weben</t>
  </si>
  <si>
    <t>ragout</t>
  </si>
  <si>
    <t>mandschurei</t>
  </si>
  <si>
    <t>musketen</t>
  </si>
  <si>
    <t>salutiert</t>
  </si>
  <si>
    <t>nahesteht</t>
  </si>
  <si>
    <t>kikeriki</t>
  </si>
  <si>
    <t>bugsy</t>
  </si>
  <si>
    <t>vergraulen</t>
  </si>
  <si>
    <t>sikes</t>
  </si>
  <si>
    <t>spielende</t>
  </si>
  <si>
    <t>bewachten</t>
  </si>
  <si>
    <t>übels</t>
  </si>
  <si>
    <t>seans</t>
  </si>
  <si>
    <t>ausgeprägt</t>
  </si>
  <si>
    <t>feuertreppe</t>
  </si>
  <si>
    <t>telefonen</t>
  </si>
  <si>
    <t>sauerstoffmangel</t>
  </si>
  <si>
    <t>gasleck</t>
  </si>
  <si>
    <t>wohlgesonnen</t>
  </si>
  <si>
    <t>sonderpreis</t>
  </si>
  <si>
    <t>anlehnen</t>
  </si>
  <si>
    <t>cally</t>
  </si>
  <si>
    <t>eingeräumt</t>
  </si>
  <si>
    <t>souveränität</t>
  </si>
  <si>
    <t>briefkästen</t>
  </si>
  <si>
    <t>dorie</t>
  </si>
  <si>
    <t>karol</t>
  </si>
  <si>
    <t>betrinkt</t>
  </si>
  <si>
    <t>griffel</t>
  </si>
  <si>
    <t>cheri</t>
  </si>
  <si>
    <t>erbes</t>
  </si>
  <si>
    <t>rumba</t>
  </si>
  <si>
    <t>pussycat</t>
  </si>
  <si>
    <t>vick</t>
  </si>
  <si>
    <t>fuhrst</t>
  </si>
  <si>
    <t>videoaufnahmen</t>
  </si>
  <si>
    <t>größtem</t>
  </si>
  <si>
    <t>hogarth</t>
  </si>
  <si>
    <t>rumhängst</t>
  </si>
  <si>
    <t>abfällig</t>
  </si>
  <si>
    <t>schließfächer</t>
  </si>
  <si>
    <t>verkleidungen</t>
  </si>
  <si>
    <t>sendete</t>
  </si>
  <si>
    <t>dime</t>
  </si>
  <si>
    <t>weiterschlafen</t>
  </si>
  <si>
    <t>mexx79</t>
  </si>
  <si>
    <t>yuen</t>
  </si>
  <si>
    <t>rüde</t>
  </si>
  <si>
    <t>räudigen</t>
  </si>
  <si>
    <t>ausgeschrieben</t>
  </si>
  <si>
    <t>blinzle</t>
  </si>
  <si>
    <t>ehrensache</t>
  </si>
  <si>
    <t>gerichten</t>
  </si>
  <si>
    <t>vorgab</t>
  </si>
  <si>
    <t>knackarsch</t>
  </si>
  <si>
    <t>aufgekratzt</t>
  </si>
  <si>
    <t>vororten</t>
  </si>
  <si>
    <t>gefechtsstation</t>
  </si>
  <si>
    <t>erzeuger</t>
  </si>
  <si>
    <t>vegetation</t>
  </si>
  <si>
    <t>geforscht</t>
  </si>
  <si>
    <t>irrtümlich</t>
  </si>
  <si>
    <t>motorengeräusche</t>
  </si>
  <si>
    <t>verräterischen</t>
  </si>
  <si>
    <t>bethesda</t>
  </si>
  <si>
    <t>stinklangweilig</t>
  </si>
  <si>
    <t>lichtjahren</t>
  </si>
  <si>
    <t>schnittwunde</t>
  </si>
  <si>
    <t>fehlers</t>
  </si>
  <si>
    <t>anyone</t>
  </si>
  <si>
    <t>cuba</t>
  </si>
  <si>
    <t>fachleute</t>
  </si>
  <si>
    <t>arkady</t>
  </si>
  <si>
    <t>shing</t>
  </si>
  <si>
    <t>teamleiter</t>
  </si>
  <si>
    <t>plo</t>
  </si>
  <si>
    <t>abtrünniger</t>
  </si>
  <si>
    <t>jährige</t>
  </si>
  <si>
    <t>wiederkehren</t>
  </si>
  <si>
    <t>bisse</t>
  </si>
  <si>
    <t>rammbock</t>
  </si>
  <si>
    <t>jungfräuliche</t>
  </si>
  <si>
    <t>gruppentherapie</t>
  </si>
  <si>
    <t>rubine</t>
  </si>
  <si>
    <t>verwesen</t>
  </si>
  <si>
    <t>missionare</t>
  </si>
  <si>
    <t>gesprüht</t>
  </si>
  <si>
    <t>cochise</t>
  </si>
  <si>
    <t>kublai</t>
  </si>
  <si>
    <t>lyn</t>
  </si>
  <si>
    <t>freizugeben</t>
  </si>
  <si>
    <t>fünfeinhalb</t>
  </si>
  <si>
    <t>mammy</t>
  </si>
  <si>
    <t>kürzere</t>
  </si>
  <si>
    <t>avanti</t>
  </si>
  <si>
    <t>sloth</t>
  </si>
  <si>
    <t>nigar</t>
  </si>
  <si>
    <t>übergaben</t>
  </si>
  <si>
    <t>auszuspielen</t>
  </si>
  <si>
    <t>nasty</t>
  </si>
  <si>
    <t>aufschluss</t>
  </si>
  <si>
    <t>seherin</t>
  </si>
  <si>
    <t>greco</t>
  </si>
  <si>
    <t>gleichem</t>
  </si>
  <si>
    <t>konventionelle</t>
  </si>
  <si>
    <t>einzog</t>
  </si>
  <si>
    <t>heldentum</t>
  </si>
  <si>
    <t>dunning</t>
  </si>
  <si>
    <t>schweißen</t>
  </si>
  <si>
    <t>unerledigte</t>
  </si>
  <si>
    <t>fanpost</t>
  </si>
  <si>
    <t>hinterbliebenen</t>
  </si>
  <si>
    <t>beigelegt</t>
  </si>
  <si>
    <t>taktisches</t>
  </si>
  <si>
    <t>bastarden</t>
  </si>
  <si>
    <t>feindseligkeiten</t>
  </si>
  <si>
    <t>doctors</t>
  </si>
  <si>
    <t>damme</t>
  </si>
  <si>
    <t>einrenken</t>
  </si>
  <si>
    <t>erschreck</t>
  </si>
  <si>
    <t>nachgemacht</t>
  </si>
  <si>
    <t>kirchturm</t>
  </si>
  <si>
    <t>einzulösen</t>
  </si>
  <si>
    <t>branko</t>
  </si>
  <si>
    <t>säfte</t>
  </si>
  <si>
    <t>finito</t>
  </si>
  <si>
    <t>eindringlich</t>
  </si>
  <si>
    <t>yao</t>
  </si>
  <si>
    <t>porto</t>
  </si>
  <si>
    <t>paintball</t>
  </si>
  <si>
    <t>bulldog</t>
  </si>
  <si>
    <t>naß</t>
  </si>
  <si>
    <t>gan</t>
  </si>
  <si>
    <t>deng</t>
  </si>
  <si>
    <t>oss</t>
  </si>
  <si>
    <t>kroger</t>
  </si>
  <si>
    <t>widerstandes</t>
  </si>
  <si>
    <t>zittrig</t>
  </si>
  <si>
    <t>nachtschichten</t>
  </si>
  <si>
    <t>abgabetermin</t>
  </si>
  <si>
    <t>rotkehlchen</t>
  </si>
  <si>
    <t>mahlen</t>
  </si>
  <si>
    <t>verliehenen</t>
  </si>
  <si>
    <t>durchdrungen</t>
  </si>
  <si>
    <t>bleifuß</t>
  </si>
  <si>
    <t>telepathischen</t>
  </si>
  <si>
    <t>beziehst</t>
  </si>
  <si>
    <t>geschäftssinn</t>
  </si>
  <si>
    <t>vermiete</t>
  </si>
  <si>
    <t>dade</t>
  </si>
  <si>
    <t>feuerbereit</t>
  </si>
  <si>
    <t>hunters</t>
  </si>
  <si>
    <t>tagesstätte</t>
  </si>
  <si>
    <t>adoptierte</t>
  </si>
  <si>
    <t>fortgeschickt</t>
  </si>
  <si>
    <t>sippschaft</t>
  </si>
  <si>
    <t>hup</t>
  </si>
  <si>
    <t>übertrumpft</t>
  </si>
  <si>
    <t>fürze</t>
  </si>
  <si>
    <t>häuptlinge</t>
  </si>
  <si>
    <t>schwitzkasten</t>
  </si>
  <si>
    <t>rothschild</t>
  </si>
  <si>
    <t>spirituosen</t>
  </si>
  <si>
    <t>amoklauf</t>
  </si>
  <si>
    <t>stattliche</t>
  </si>
  <si>
    <t>teddybären</t>
  </si>
  <si>
    <t>friseurin</t>
  </si>
  <si>
    <t>beschaffenheit</t>
  </si>
  <si>
    <t>aktivierte</t>
  </si>
  <si>
    <t>latin</t>
  </si>
  <si>
    <t>kitsch</t>
  </si>
  <si>
    <t>assistiert</t>
  </si>
  <si>
    <t>veranlassung</t>
  </si>
  <si>
    <t>häßlich</t>
  </si>
  <si>
    <t>mattis</t>
  </si>
  <si>
    <t>berthier</t>
  </si>
  <si>
    <t>entzugserscheinungen</t>
  </si>
  <si>
    <t>grimms</t>
  </si>
  <si>
    <t>cabernet</t>
  </si>
  <si>
    <t>bedenklich</t>
  </si>
  <si>
    <t>vorweg</t>
  </si>
  <si>
    <t>bildschön</t>
  </si>
  <si>
    <t>adoptiveltern</t>
  </si>
  <si>
    <t>hungernden</t>
  </si>
  <si>
    <t>tipptopp</t>
  </si>
  <si>
    <t>wehrlosen</t>
  </si>
  <si>
    <t>seaworld</t>
  </si>
  <si>
    <t>synchro</t>
  </si>
  <si>
    <t>kaoru</t>
  </si>
  <si>
    <t>revolutionen</t>
  </si>
  <si>
    <t>völliges</t>
  </si>
  <si>
    <t>polio</t>
  </si>
  <si>
    <t>umgehe</t>
  </si>
  <si>
    <t>angefressen</t>
  </si>
  <si>
    <t>überfragt</t>
  </si>
  <si>
    <t>lesern</t>
  </si>
  <si>
    <t>blablabla</t>
  </si>
  <si>
    <t>sméagol</t>
  </si>
  <si>
    <t>schärfsten</t>
  </si>
  <si>
    <t>coionei</t>
  </si>
  <si>
    <t>appetitlich</t>
  </si>
  <si>
    <t>schamlose</t>
  </si>
  <si>
    <t>geniales</t>
  </si>
  <si>
    <t>rausschleichen</t>
  </si>
  <si>
    <t>tanzpartner</t>
  </si>
  <si>
    <t>landkarten</t>
  </si>
  <si>
    <t>anspruchsvolle</t>
  </si>
  <si>
    <t>basketballspiel</t>
  </si>
  <si>
    <t>offiziersmesse</t>
  </si>
  <si>
    <t>mucki</t>
  </si>
  <si>
    <t>nanosonden</t>
  </si>
  <si>
    <t>ibn</t>
  </si>
  <si>
    <t>indochina</t>
  </si>
  <si>
    <t>hindus</t>
  </si>
  <si>
    <t>jugendknast</t>
  </si>
  <si>
    <t>kimmie</t>
  </si>
  <si>
    <t>meise</t>
  </si>
  <si>
    <t>autowaschanlage</t>
  </si>
  <si>
    <t>piney</t>
  </si>
  <si>
    <t>villen</t>
  </si>
  <si>
    <t>ballet</t>
  </si>
  <si>
    <t>meade</t>
  </si>
  <si>
    <t>gebratenen</t>
  </si>
  <si>
    <t>imperial</t>
  </si>
  <si>
    <t>zurückruft</t>
  </si>
  <si>
    <t>wegzuziehen</t>
  </si>
  <si>
    <t>lim</t>
  </si>
  <si>
    <t>prallt</t>
  </si>
  <si>
    <t>limited</t>
  </si>
  <si>
    <t>filippo</t>
  </si>
  <si>
    <t>zyste</t>
  </si>
  <si>
    <t>liams</t>
  </si>
  <si>
    <t>s01e03</t>
  </si>
  <si>
    <t>l.a.p.d.</t>
  </si>
  <si>
    <t>elegantes</t>
  </si>
  <si>
    <t>übergezogen</t>
  </si>
  <si>
    <t>kurzfristige</t>
  </si>
  <si>
    <t>aula</t>
  </si>
  <si>
    <t>berlioz</t>
  </si>
  <si>
    <t>alana</t>
  </si>
  <si>
    <t>maps</t>
  </si>
  <si>
    <t>erhöhter</t>
  </si>
  <si>
    <t>vereist</t>
  </si>
  <si>
    <t>baumstumpf</t>
  </si>
  <si>
    <t>paranoider</t>
  </si>
  <si>
    <t>kick-ass</t>
  </si>
  <si>
    <t>expeditionen</t>
  </si>
  <si>
    <t>austrocknen</t>
  </si>
  <si>
    <t>vereinbarte</t>
  </si>
  <si>
    <t>unruhige</t>
  </si>
  <si>
    <t>blob</t>
  </si>
  <si>
    <t>regenzeit</t>
  </si>
  <si>
    <t>cartagena</t>
  </si>
  <si>
    <t>gemeinste</t>
  </si>
  <si>
    <t>maisfeld</t>
  </si>
  <si>
    <t>karli</t>
  </si>
  <si>
    <t>mickrigen</t>
  </si>
  <si>
    <t>entledigt</t>
  </si>
  <si>
    <t>leisteten</t>
  </si>
  <si>
    <t>poison</t>
  </si>
  <si>
    <t>erholte</t>
  </si>
  <si>
    <t>neuankömmlinge</t>
  </si>
  <si>
    <t>bjarne</t>
  </si>
  <si>
    <t>brasilianischen</t>
  </si>
  <si>
    <t>schlittschuhlaufen</t>
  </si>
  <si>
    <t>festsitzt</t>
  </si>
  <si>
    <t>kimba</t>
  </si>
  <si>
    <t>wirtschaftlich</t>
  </si>
  <si>
    <t>yo-yo</t>
  </si>
  <si>
    <t>verfiel</t>
  </si>
  <si>
    <t>experimentierte</t>
  </si>
  <si>
    <t>eugenia</t>
  </si>
  <si>
    <t>spy</t>
  </si>
  <si>
    <t>gefasel</t>
  </si>
  <si>
    <t>picknicken</t>
  </si>
  <si>
    <t>suspekt</t>
  </si>
  <si>
    <t>gescheiter</t>
  </si>
  <si>
    <t>hummus</t>
  </si>
  <si>
    <t>tragende</t>
  </si>
  <si>
    <t>mockingbird</t>
  </si>
  <si>
    <t>sinnloser</t>
  </si>
  <si>
    <t>koteletten</t>
  </si>
  <si>
    <t>superb</t>
  </si>
  <si>
    <t>gynäkologen</t>
  </si>
  <si>
    <t>weihnachtsmorgen</t>
  </si>
  <si>
    <t>näherin</t>
  </si>
  <si>
    <t>übersinnlichen</t>
  </si>
  <si>
    <t>präfektur</t>
  </si>
  <si>
    <t>hauptrechner</t>
  </si>
  <si>
    <t>wettbüro</t>
  </si>
  <si>
    <t>runs</t>
  </si>
  <si>
    <t>aufbewahrung</t>
  </si>
  <si>
    <t>güterzug</t>
  </si>
  <si>
    <t>silence</t>
  </si>
  <si>
    <t>kryptonier</t>
  </si>
  <si>
    <t>verzauberte</t>
  </si>
  <si>
    <t>judson</t>
  </si>
  <si>
    <t>heimsucht</t>
  </si>
  <si>
    <t>miho</t>
  </si>
  <si>
    <t>zackig</t>
  </si>
  <si>
    <t>argumentiert</t>
  </si>
  <si>
    <t>erblinden</t>
  </si>
  <si>
    <t>voltaire</t>
  </si>
  <si>
    <t>stütz</t>
  </si>
  <si>
    <t>entfesseln</t>
  </si>
  <si>
    <t>mahmoud</t>
  </si>
  <si>
    <t>siedlungen</t>
  </si>
  <si>
    <t>siam</t>
  </si>
  <si>
    <t>tütchen</t>
  </si>
  <si>
    <t>erkrankte</t>
  </si>
  <si>
    <t>überstellt</t>
  </si>
  <si>
    <t>fiesta</t>
  </si>
  <si>
    <t>ähnelst</t>
  </si>
  <si>
    <t>diz</t>
  </si>
  <si>
    <t>veto</t>
  </si>
  <si>
    <t>tron</t>
  </si>
  <si>
    <t>naivität</t>
  </si>
  <si>
    <t>runterfällt</t>
  </si>
  <si>
    <t>ilya</t>
  </si>
  <si>
    <t>collage</t>
  </si>
  <si>
    <t>bully</t>
  </si>
  <si>
    <t>parlaments</t>
  </si>
  <si>
    <t>vordereingang</t>
  </si>
  <si>
    <t>erheblichen</t>
  </si>
  <si>
    <t>wiederzuerlangen</t>
  </si>
  <si>
    <t>volke</t>
  </si>
  <si>
    <t>faulpelze</t>
  </si>
  <si>
    <t>bemuttern</t>
  </si>
  <si>
    <t>fototermin</t>
  </si>
  <si>
    <t>verträgen</t>
  </si>
  <si>
    <t>schlössern</t>
  </si>
  <si>
    <t>duellieren</t>
  </si>
  <si>
    <t>ortung</t>
  </si>
  <si>
    <t>strickjacke</t>
  </si>
  <si>
    <t>kal</t>
  </si>
  <si>
    <t>überrasch</t>
  </si>
  <si>
    <t>pulle</t>
  </si>
  <si>
    <t>charge</t>
  </si>
  <si>
    <t>literarische</t>
  </si>
  <si>
    <t>morgenstern</t>
  </si>
  <si>
    <t>fängen</t>
  </si>
  <si>
    <t>rotieren</t>
  </si>
  <si>
    <t>servierte</t>
  </si>
  <si>
    <t>baudelaire</t>
  </si>
  <si>
    <t>telegrafiert</t>
  </si>
  <si>
    <t>auszahlt</t>
  </si>
  <si>
    <t>zellengenossen</t>
  </si>
  <si>
    <t>rotröcke</t>
  </si>
  <si>
    <t>centre</t>
  </si>
  <si>
    <t>bibliotheken</t>
  </si>
  <si>
    <t>sizilianer</t>
  </si>
  <si>
    <t>demon</t>
  </si>
  <si>
    <t>rumspielen</t>
  </si>
  <si>
    <t>handelns</t>
  </si>
  <si>
    <t>überzeugst</t>
  </si>
  <si>
    <t>hofdame</t>
  </si>
  <si>
    <t>kurzfassung</t>
  </si>
  <si>
    <t>konfitüre</t>
  </si>
  <si>
    <t>ausrechnen</t>
  </si>
  <si>
    <t>schuljunge</t>
  </si>
  <si>
    <t>culpepper</t>
  </si>
  <si>
    <t>patrizia</t>
  </si>
  <si>
    <t>brät</t>
  </si>
  <si>
    <t>dons</t>
  </si>
  <si>
    <t>gegrillte</t>
  </si>
  <si>
    <t>schwarzweiß</t>
  </si>
  <si>
    <t>geschwollene</t>
  </si>
  <si>
    <t>trotzt</t>
  </si>
  <si>
    <t>jubei</t>
  </si>
  <si>
    <t>addie</t>
  </si>
  <si>
    <t>knechtschaft</t>
  </si>
  <si>
    <t>betone</t>
  </si>
  <si>
    <t>herbeirufen</t>
  </si>
  <si>
    <t>steinigen</t>
  </si>
  <si>
    <t>freeze</t>
  </si>
  <si>
    <t>bezirzt</t>
  </si>
  <si>
    <t>kyla</t>
  </si>
  <si>
    <t>metamorphose</t>
  </si>
  <si>
    <t>forschungsinstitut</t>
  </si>
  <si>
    <t>avec</t>
  </si>
  <si>
    <t>realismus</t>
  </si>
  <si>
    <t>kegeln</t>
  </si>
  <si>
    <t>produziere</t>
  </si>
  <si>
    <t>bankdirektor</t>
  </si>
  <si>
    <t>mau</t>
  </si>
  <si>
    <t>angezweifelt</t>
  </si>
  <si>
    <t>denkzettel</t>
  </si>
  <si>
    <t>beherzigen</t>
  </si>
  <si>
    <t>siebter</t>
  </si>
  <si>
    <t>aussätzige</t>
  </si>
  <si>
    <t>zielscheiben</t>
  </si>
  <si>
    <t>tankwagen</t>
  </si>
  <si>
    <t>spionageabwehr</t>
  </si>
  <si>
    <t>thanks</t>
  </si>
  <si>
    <t>klammerst</t>
  </si>
  <si>
    <t>abverlangt</t>
  </si>
  <si>
    <t>spreng</t>
  </si>
  <si>
    <t>ehrbar</t>
  </si>
  <si>
    <t>schmitt</t>
  </si>
  <si>
    <t>opernhaus</t>
  </si>
  <si>
    <t>varieté</t>
  </si>
  <si>
    <t>pulitzer</t>
  </si>
  <si>
    <t>gejohle</t>
  </si>
  <si>
    <t>knackigen</t>
  </si>
  <si>
    <t>suarez</t>
  </si>
  <si>
    <t>tolliver</t>
  </si>
  <si>
    <t>beliebig</t>
  </si>
  <si>
    <t>ding-dong</t>
  </si>
  <si>
    <t>hierbleibe</t>
  </si>
  <si>
    <t>eastman</t>
  </si>
  <si>
    <t>schont</t>
  </si>
  <si>
    <t>blitzschlag</t>
  </si>
  <si>
    <t>mobbing</t>
  </si>
  <si>
    <t>freiheitsstrafe</t>
  </si>
  <si>
    <t>gewinns</t>
  </si>
  <si>
    <t>laugier</t>
  </si>
  <si>
    <t>markos</t>
  </si>
  <si>
    <t>herzstück</t>
  </si>
  <si>
    <t>entsorgung</t>
  </si>
  <si>
    <t>grr</t>
  </si>
  <si>
    <t>qing</t>
  </si>
  <si>
    <t>schlummertrunk</t>
  </si>
  <si>
    <t>schwärmerei</t>
  </si>
  <si>
    <t>verleumdungen</t>
  </si>
  <si>
    <t>bogenschütze</t>
  </si>
  <si>
    <t>lovely</t>
  </si>
  <si>
    <t>rastlos</t>
  </si>
  <si>
    <t>mechs</t>
  </si>
  <si>
    <t>brodie</t>
  </si>
  <si>
    <t>untaten</t>
  </si>
  <si>
    <t>schnallst</t>
  </si>
  <si>
    <t>petto</t>
  </si>
  <si>
    <t>riskanter</t>
  </si>
  <si>
    <t>kronzeuge</t>
  </si>
  <si>
    <t>aufenthalts</t>
  </si>
  <si>
    <t>wahrzeichen</t>
  </si>
  <si>
    <t>nachträglich</t>
  </si>
  <si>
    <t>gefährde</t>
  </si>
  <si>
    <t>zündkerzen</t>
  </si>
  <si>
    <t>unvergleichliche</t>
  </si>
  <si>
    <t>getreuen</t>
  </si>
  <si>
    <t>herhalten</t>
  </si>
  <si>
    <t>aslan</t>
  </si>
  <si>
    <t>polizeigewahrsam</t>
  </si>
  <si>
    <t>entbindungsstation</t>
  </si>
  <si>
    <t>anwendet</t>
  </si>
  <si>
    <t>einholt</t>
  </si>
  <si>
    <t>temporär</t>
  </si>
  <si>
    <t>levinson</t>
  </si>
  <si>
    <t>beendeten</t>
  </si>
  <si>
    <t>freigang</t>
  </si>
  <si>
    <t>vasektomie</t>
  </si>
  <si>
    <t>aqua</t>
  </si>
  <si>
    <t>wundbrand</t>
  </si>
  <si>
    <t>dominante</t>
  </si>
  <si>
    <t>zenith</t>
  </si>
  <si>
    <t>leid.</t>
  </si>
  <si>
    <t>funktioniere</t>
  </si>
  <si>
    <t>gigs</t>
  </si>
  <si>
    <t>platsch</t>
  </si>
  <si>
    <t>galloway</t>
  </si>
  <si>
    <t>booster</t>
  </si>
  <si>
    <t>reiflicher</t>
  </si>
  <si>
    <t>crittendon</t>
  </si>
  <si>
    <t>ästhetik</t>
  </si>
  <si>
    <t>dawg</t>
  </si>
  <si>
    <t>funkelt</t>
  </si>
  <si>
    <t>besonderheiten</t>
  </si>
  <si>
    <t>einziehe</t>
  </si>
  <si>
    <t>raussuchen</t>
  </si>
  <si>
    <t>sonnenstich</t>
  </si>
  <si>
    <t>verstrahlt</t>
  </si>
  <si>
    <t>cartouche</t>
  </si>
  <si>
    <t>trümpfe</t>
  </si>
  <si>
    <t>abgetreten</t>
  </si>
  <si>
    <t>sarang</t>
  </si>
  <si>
    <t>diele</t>
  </si>
  <si>
    <t>lebenserfahrung</t>
  </si>
  <si>
    <t>verzeichnen</t>
  </si>
  <si>
    <t>aufweisen</t>
  </si>
  <si>
    <t>rolls-royce</t>
  </si>
  <si>
    <t>daxam</t>
  </si>
  <si>
    <t>altersschwäche</t>
  </si>
  <si>
    <t>bilanzen</t>
  </si>
  <si>
    <t>pino</t>
  </si>
  <si>
    <t>rohstoffe</t>
  </si>
  <si>
    <t>humanoid</t>
  </si>
  <si>
    <t>trainierten</t>
  </si>
  <si>
    <t>erachtens</t>
  </si>
  <si>
    <t>zink</t>
  </si>
  <si>
    <t>herrschenden</t>
  </si>
  <si>
    <t>doherty</t>
  </si>
  <si>
    <t>katastrophale</t>
  </si>
  <si>
    <t>gluten</t>
  </si>
  <si>
    <t>g.d.</t>
  </si>
  <si>
    <t>talentsucher</t>
  </si>
  <si>
    <t>puta</t>
  </si>
  <si>
    <t>verkabelung</t>
  </si>
  <si>
    <t>angeschmiert</t>
  </si>
  <si>
    <t>niggern</t>
  </si>
  <si>
    <t>giganten</t>
  </si>
  <si>
    <t>schreibblockade</t>
  </si>
  <si>
    <t>iassen</t>
  </si>
  <si>
    <t>knirscht</t>
  </si>
  <si>
    <t>zyklopen</t>
  </si>
  <si>
    <t>rastplatz</t>
  </si>
  <si>
    <t>lokalnachrichten</t>
  </si>
  <si>
    <t>verfehlungen</t>
  </si>
  <si>
    <t>verhalf</t>
  </si>
  <si>
    <t>zi</t>
  </si>
  <si>
    <t>liquidiert</t>
  </si>
  <si>
    <t>versus</t>
  </si>
  <si>
    <t>drohenden</t>
  </si>
  <si>
    <t>julchen</t>
  </si>
  <si>
    <t>gerichtlich</t>
  </si>
  <si>
    <t>coeur</t>
  </si>
  <si>
    <t>unerklärlichen</t>
  </si>
  <si>
    <t>siegte</t>
  </si>
  <si>
    <t>negan</t>
  </si>
  <si>
    <t>benni</t>
  </si>
  <si>
    <t>gemeinschaftsraum</t>
  </si>
  <si>
    <t>mosley</t>
  </si>
  <si>
    <t>bewertungen</t>
  </si>
  <si>
    <t>zooey</t>
  </si>
  <si>
    <t>nanking</t>
  </si>
  <si>
    <t>scheißleben</t>
  </si>
  <si>
    <t>slotter</t>
  </si>
  <si>
    <t>nettigkeit</t>
  </si>
  <si>
    <t>messwerte</t>
  </si>
  <si>
    <t>juckreiz</t>
  </si>
  <si>
    <t>kutner</t>
  </si>
  <si>
    <t>unerfreuliche</t>
  </si>
  <si>
    <t>portfolio</t>
  </si>
  <si>
    <t>fuhrpark</t>
  </si>
  <si>
    <t>einsetzte</t>
  </si>
  <si>
    <t>eislaufen</t>
  </si>
  <si>
    <t>wiedergegeben</t>
  </si>
  <si>
    <t>verteidigungsministeriums</t>
  </si>
  <si>
    <t>updates</t>
  </si>
  <si>
    <t>motorroller</t>
  </si>
  <si>
    <t>loulou</t>
  </si>
  <si>
    <t>kan</t>
  </si>
  <si>
    <t>bp</t>
  </si>
  <si>
    <t>danke.</t>
  </si>
  <si>
    <t>gacet</t>
  </si>
  <si>
    <t>menschheitsgeschichte</t>
  </si>
  <si>
    <t>sesamstraße</t>
  </si>
  <si>
    <t>landurlaub</t>
  </si>
  <si>
    <t>gemunkelt</t>
  </si>
  <si>
    <t>neurologie</t>
  </si>
  <si>
    <t>spätzchen</t>
  </si>
  <si>
    <t>beruft</t>
  </si>
  <si>
    <t>nebenstraßen</t>
  </si>
  <si>
    <t>reykjavik</t>
  </si>
  <si>
    <t>demarco</t>
  </si>
  <si>
    <t>wundersames</t>
  </si>
  <si>
    <t>oberschicht</t>
  </si>
  <si>
    <t>gemisch</t>
  </si>
  <si>
    <t>verstümmelte</t>
  </si>
  <si>
    <t>nagelt</t>
  </si>
  <si>
    <t>moderatorin</t>
  </si>
  <si>
    <t>gepfiffen</t>
  </si>
  <si>
    <t>hufen</t>
  </si>
  <si>
    <t>büchsen</t>
  </si>
  <si>
    <t>dink</t>
  </si>
  <si>
    <t>miro</t>
  </si>
  <si>
    <t>vorgesorgt</t>
  </si>
  <si>
    <t>farbig</t>
  </si>
  <si>
    <t>ramsch</t>
  </si>
  <si>
    <t>individuellen</t>
  </si>
  <si>
    <t>bewachte</t>
  </si>
  <si>
    <t>zählten</t>
  </si>
  <si>
    <t>kontaktdaten</t>
  </si>
  <si>
    <t>spat</t>
  </si>
  <si>
    <t>verschrieb</t>
  </si>
  <si>
    <t>macgregor</t>
  </si>
  <si>
    <t>ausgebaut</t>
  </si>
  <si>
    <t>staut</t>
  </si>
  <si>
    <t>durchbringen</t>
  </si>
  <si>
    <t>lahmlegen</t>
  </si>
  <si>
    <t>fatalen</t>
  </si>
  <si>
    <t>vermerken</t>
  </si>
  <si>
    <t>hingeschmissen</t>
  </si>
  <si>
    <t>midlife-crisis</t>
  </si>
  <si>
    <t>frühlingsrollen</t>
  </si>
  <si>
    <t>schleudert</t>
  </si>
  <si>
    <t>pazifist</t>
  </si>
  <si>
    <t>anwesens</t>
  </si>
  <si>
    <t>amtierenden</t>
  </si>
  <si>
    <t>fitnessraum</t>
  </si>
  <si>
    <t>gitarrenklänge</t>
  </si>
  <si>
    <t>folterkammer</t>
  </si>
  <si>
    <t>rüdiger</t>
  </si>
  <si>
    <t>bezirksgefängnis</t>
  </si>
  <si>
    <t>zip</t>
  </si>
  <si>
    <t>marthas</t>
  </si>
  <si>
    <t>fo</t>
  </si>
  <si>
    <t>bonnies</t>
  </si>
  <si>
    <t>deveraux</t>
  </si>
  <si>
    <t>gießerei</t>
  </si>
  <si>
    <t>halfter</t>
  </si>
  <si>
    <t>freikommt</t>
  </si>
  <si>
    <t>cs</t>
  </si>
  <si>
    <t>türknauf</t>
  </si>
  <si>
    <t>fjodor</t>
  </si>
  <si>
    <t>anriefst</t>
  </si>
  <si>
    <t>vasen</t>
  </si>
  <si>
    <t>xerxes</t>
  </si>
  <si>
    <t>schlechteren</t>
  </si>
  <si>
    <t>konzepte</t>
  </si>
  <si>
    <t>tschechen</t>
  </si>
  <si>
    <t>rechtmäßiger</t>
  </si>
  <si>
    <t>amüsante</t>
  </si>
  <si>
    <t>haftung</t>
  </si>
  <si>
    <t>scharfsinn</t>
  </si>
  <si>
    <t>geschichtsbüchern</t>
  </si>
  <si>
    <t>levine</t>
  </si>
  <si>
    <t>weltbeste</t>
  </si>
  <si>
    <t>siri</t>
  </si>
  <si>
    <t>rechnest</t>
  </si>
  <si>
    <t>fender</t>
  </si>
  <si>
    <t>marlott</t>
  </si>
  <si>
    <t>verstecktes</t>
  </si>
  <si>
    <t>zoos</t>
  </si>
  <si>
    <t>dinieren</t>
  </si>
  <si>
    <t>fotografisches</t>
  </si>
  <si>
    <t>adolphe</t>
  </si>
  <si>
    <t>ausgelastet</t>
  </si>
  <si>
    <t>raufklettern</t>
  </si>
  <si>
    <t>sarajevo</t>
  </si>
  <si>
    <t>bespitzeln</t>
  </si>
  <si>
    <t>landsitz</t>
  </si>
  <si>
    <t>fet</t>
  </si>
  <si>
    <t>vergißt</t>
  </si>
  <si>
    <t>lügender</t>
  </si>
  <si>
    <t>aussitzen</t>
  </si>
  <si>
    <t>weltwunder</t>
  </si>
  <si>
    <t>stadtplan</t>
  </si>
  <si>
    <t>misslingt</t>
  </si>
  <si>
    <t>frauenarzt</t>
  </si>
  <si>
    <t>entfernst</t>
  </si>
  <si>
    <t>büste</t>
  </si>
  <si>
    <t>paralleluniversum</t>
  </si>
  <si>
    <t>spast</t>
  </si>
  <si>
    <t>unversucht</t>
  </si>
  <si>
    <t>gerhardt</t>
  </si>
  <si>
    <t>idealismus</t>
  </si>
  <si>
    <t>wegzuschicken</t>
  </si>
  <si>
    <t>gefährdeten</t>
  </si>
  <si>
    <t>dillinger</t>
  </si>
  <si>
    <t>daã</t>
  </si>
  <si>
    <t>ehrgeizige</t>
  </si>
  <si>
    <t>erzieht</t>
  </si>
  <si>
    <t>zeitrahmen</t>
  </si>
  <si>
    <t>bison</t>
  </si>
  <si>
    <t>weiteratmen</t>
  </si>
  <si>
    <t>vertretern</t>
  </si>
  <si>
    <t>unbeobachtet</t>
  </si>
  <si>
    <t>ninas</t>
  </si>
  <si>
    <t>videomaterial</t>
  </si>
  <si>
    <t>betatscht</t>
  </si>
  <si>
    <t>rassistin</t>
  </si>
  <si>
    <t>aufn</t>
  </si>
  <si>
    <t>kjartan</t>
  </si>
  <si>
    <t>klimpert</t>
  </si>
  <si>
    <t>tadashi</t>
  </si>
  <si>
    <t>rauswurf</t>
  </si>
  <si>
    <t>schwüre</t>
  </si>
  <si>
    <t>autoritäten</t>
  </si>
  <si>
    <t>prego</t>
  </si>
  <si>
    <t>zungenkuss</t>
  </si>
  <si>
    <t>disher</t>
  </si>
  <si>
    <t>befürworte</t>
  </si>
  <si>
    <t>w-was</t>
  </si>
  <si>
    <t>zeugte</t>
  </si>
  <si>
    <t>gefã</t>
  </si>
  <si>
    <t>flüchte</t>
  </si>
  <si>
    <t>sarek</t>
  </si>
  <si>
    <t>angeschafft</t>
  </si>
  <si>
    <t>wächterin</t>
  </si>
  <si>
    <t>rufnummer</t>
  </si>
  <si>
    <t>stierkampf</t>
  </si>
  <si>
    <t>plissken</t>
  </si>
  <si>
    <t>ronja</t>
  </si>
  <si>
    <t>abgeschieden</t>
  </si>
  <si>
    <t>patriotische</t>
  </si>
  <si>
    <t>gesteigert</t>
  </si>
  <si>
    <t>einlage</t>
  </si>
  <si>
    <t>yippie</t>
  </si>
  <si>
    <t>verkehrslärm</t>
  </si>
  <si>
    <t>poplar</t>
  </si>
  <si>
    <t>belles</t>
  </si>
  <si>
    <t>gordons</t>
  </si>
  <si>
    <t>salamander</t>
  </si>
  <si>
    <t>tiefem</t>
  </si>
  <si>
    <t>auseinanderhalten</t>
  </si>
  <si>
    <t>einzubeziehen</t>
  </si>
  <si>
    <t>strawberry</t>
  </si>
  <si>
    <t>kleriker</t>
  </si>
  <si>
    <t>zurückgefahren</t>
  </si>
  <si>
    <t>sensationelle</t>
  </si>
  <si>
    <t>anhängsel</t>
  </si>
  <si>
    <t>workshop</t>
  </si>
  <si>
    <t>vergräbt</t>
  </si>
  <si>
    <t>regens</t>
  </si>
  <si>
    <t>sentimentaler</t>
  </si>
  <si>
    <t>supercool</t>
  </si>
  <si>
    <t>müßten</t>
  </si>
  <si>
    <t>eingehst</t>
  </si>
  <si>
    <t>parkservice</t>
  </si>
  <si>
    <t>sonniger</t>
  </si>
  <si>
    <t>schwerfallen</t>
  </si>
  <si>
    <t>camino</t>
  </si>
  <si>
    <t>hochkommt</t>
  </si>
  <si>
    <t>linux</t>
  </si>
  <si>
    <t>narnia</t>
  </si>
  <si>
    <t>lido</t>
  </si>
  <si>
    <t>toga</t>
  </si>
  <si>
    <t>katey</t>
  </si>
  <si>
    <t>gültigkeit</t>
  </si>
  <si>
    <t>stabiler</t>
  </si>
  <si>
    <t>tempelritter</t>
  </si>
  <si>
    <t>bonnet</t>
  </si>
  <si>
    <t>ergänzt</t>
  </si>
  <si>
    <t>riggins</t>
  </si>
  <si>
    <t>neils</t>
  </si>
  <si>
    <t>süchtiger</t>
  </si>
  <si>
    <t>variationen</t>
  </si>
  <si>
    <t>ayse</t>
  </si>
  <si>
    <t>starts</t>
  </si>
  <si>
    <t>allerschönste</t>
  </si>
  <si>
    <t>einsparungen</t>
  </si>
  <si>
    <t>ausstrahlen</t>
  </si>
  <si>
    <t>glückskind</t>
  </si>
  <si>
    <t>contessa</t>
  </si>
  <si>
    <t>enkels</t>
  </si>
  <si>
    <t>regionalen</t>
  </si>
  <si>
    <t>15-jährigen</t>
  </si>
  <si>
    <t>überfalle</t>
  </si>
  <si>
    <t>wacklig</t>
  </si>
  <si>
    <t>fünfziger</t>
  </si>
  <si>
    <t>charlie36</t>
  </si>
  <si>
    <t>eldon</t>
  </si>
  <si>
    <t>verbeuge</t>
  </si>
  <si>
    <t>fehlalarm</t>
  </si>
  <si>
    <t>slow</t>
  </si>
  <si>
    <t>raf</t>
  </si>
  <si>
    <t>großartigsten</t>
  </si>
  <si>
    <t>nuschelt</t>
  </si>
  <si>
    <t>rollfeld</t>
  </si>
  <si>
    <t>echsen</t>
  </si>
  <si>
    <t>pfähle</t>
  </si>
  <si>
    <t>einsteins</t>
  </si>
  <si>
    <t>herumtreiben</t>
  </si>
  <si>
    <t>excelsior</t>
  </si>
  <si>
    <t>polizistenmörder</t>
  </si>
  <si>
    <t>kosovo</t>
  </si>
  <si>
    <t>reinschicken</t>
  </si>
  <si>
    <t>arbeitskleidung</t>
  </si>
  <si>
    <t>konkurrenzkampf</t>
  </si>
  <si>
    <t>voranzukommen</t>
  </si>
  <si>
    <t>telefonsex</t>
  </si>
  <si>
    <t>ziegelstein</t>
  </si>
  <si>
    <t>sadisten</t>
  </si>
  <si>
    <t>baldige</t>
  </si>
  <si>
    <t>gereift</t>
  </si>
  <si>
    <t>ion</t>
  </si>
  <si>
    <t>beibringe</t>
  </si>
  <si>
    <t>gumbo</t>
  </si>
  <si>
    <t>raumanzug</t>
  </si>
  <si>
    <t>räumung</t>
  </si>
  <si>
    <t>augenhöhe</t>
  </si>
  <si>
    <t>versenkung</t>
  </si>
  <si>
    <t>deer</t>
  </si>
  <si>
    <t>abfliegen</t>
  </si>
  <si>
    <t>anfangt</t>
  </si>
  <si>
    <t>granville</t>
  </si>
  <si>
    <t>zocker</t>
  </si>
  <si>
    <t>schutzzauber</t>
  </si>
  <si>
    <t>maxi</t>
  </si>
  <si>
    <t>hergefallen</t>
  </si>
  <si>
    <t>halse</t>
  </si>
  <si>
    <t>bratkartoffeln</t>
  </si>
  <si>
    <t>gioberti</t>
  </si>
  <si>
    <t>unklaren</t>
  </si>
  <si>
    <t>carcetti</t>
  </si>
  <si>
    <t>maki</t>
  </si>
  <si>
    <t>year</t>
  </si>
  <si>
    <t>hinausgeworfen</t>
  </si>
  <si>
    <t>gadget</t>
  </si>
  <si>
    <t>gekritzel</t>
  </si>
  <si>
    <t>raum-zeit-kontinuum</t>
  </si>
  <si>
    <t>braithwaite</t>
  </si>
  <si>
    <t>erhol</t>
  </si>
  <si>
    <t>prall</t>
  </si>
  <si>
    <t>beschreibst</t>
  </si>
  <si>
    <t>abdeckung</t>
  </si>
  <si>
    <t>sammel</t>
  </si>
  <si>
    <t>nicolai</t>
  </si>
  <si>
    <t>schlüsselwort</t>
  </si>
  <si>
    <t>synthetischen</t>
  </si>
  <si>
    <t>ermutigte</t>
  </si>
  <si>
    <t>geringfügig</t>
  </si>
  <si>
    <t>sussex</t>
  </si>
  <si>
    <t>provisorische</t>
  </si>
  <si>
    <t>überreagierst</t>
  </si>
  <si>
    <t>ehrengäste</t>
  </si>
  <si>
    <t>aggie</t>
  </si>
  <si>
    <t>marylin</t>
  </si>
  <si>
    <t>cruella</t>
  </si>
  <si>
    <t>überspielen</t>
  </si>
  <si>
    <t>erfüllten</t>
  </si>
  <si>
    <t>vive</t>
  </si>
  <si>
    <t>schrecklichsten</t>
  </si>
  <si>
    <t>antanzen</t>
  </si>
  <si>
    <t>getto</t>
  </si>
  <si>
    <t>blitzblank</t>
  </si>
  <si>
    <t>fischbein</t>
  </si>
  <si>
    <t>sebastien</t>
  </si>
  <si>
    <t>waverider</t>
  </si>
  <si>
    <t>gravur</t>
  </si>
  <si>
    <t>fleischwolf</t>
  </si>
  <si>
    <t>beweglichkeit</t>
  </si>
  <si>
    <t>äquator</t>
  </si>
  <si>
    <t>scheißloch</t>
  </si>
  <si>
    <t>glatten</t>
  </si>
  <si>
    <t>privilegiert</t>
  </si>
  <si>
    <t>gewänder</t>
  </si>
  <si>
    <t>bauchredner</t>
  </si>
  <si>
    <t>somerset</t>
  </si>
  <si>
    <t>staunt</t>
  </si>
  <si>
    <t>beans</t>
  </si>
  <si>
    <t>optik</t>
  </si>
  <si>
    <t>dome</t>
  </si>
  <si>
    <t>glänzendes</t>
  </si>
  <si>
    <t>feurige</t>
  </si>
  <si>
    <t>weggestoßen</t>
  </si>
  <si>
    <t>segle</t>
  </si>
  <si>
    <t>realistischer</t>
  </si>
  <si>
    <t>fahrern</t>
  </si>
  <si>
    <t>gebrauchsanweisung</t>
  </si>
  <si>
    <t>chandra</t>
  </si>
  <si>
    <t>presslufthammer</t>
  </si>
  <si>
    <t>verduftet</t>
  </si>
  <si>
    <t>already</t>
  </si>
  <si>
    <t>gert</t>
  </si>
  <si>
    <t>detoniert</t>
  </si>
  <si>
    <t>riskierten</t>
  </si>
  <si>
    <t>dez</t>
  </si>
  <si>
    <t>hektische</t>
  </si>
  <si>
    <t>ausgestopft</t>
  </si>
  <si>
    <t>nordwestlich</t>
  </si>
  <si>
    <t>kalk</t>
  </si>
  <si>
    <t>josefa</t>
  </si>
  <si>
    <t>mittelamerika</t>
  </si>
  <si>
    <t>arbeitsstunden</t>
  </si>
  <si>
    <t>erspartes</t>
  </si>
  <si>
    <t>bürgt</t>
  </si>
  <si>
    <t>rika</t>
  </si>
  <si>
    <t>gehstock</t>
  </si>
  <si>
    <t>überspielt</t>
  </si>
  <si>
    <t>wunderknabe</t>
  </si>
  <si>
    <t>katalogisiert</t>
  </si>
  <si>
    <t>pogo</t>
  </si>
  <si>
    <t>schlafwandler</t>
  </si>
  <si>
    <t>alliierte</t>
  </si>
  <si>
    <t>comprende</t>
  </si>
  <si>
    <t>nachfahre</t>
  </si>
  <si>
    <t>tc</t>
  </si>
  <si>
    <t>gunilla</t>
  </si>
  <si>
    <t>werdegang</t>
  </si>
  <si>
    <t>mentalist</t>
  </si>
  <si>
    <t>besatzungsmitglieder</t>
  </si>
  <si>
    <t>mehrzahl</t>
  </si>
  <si>
    <t>fehlender</t>
  </si>
  <si>
    <t>construction</t>
  </si>
  <si>
    <t>qualifizierte</t>
  </si>
  <si>
    <t>gewährleistet</t>
  </si>
  <si>
    <t>ventilatoren</t>
  </si>
  <si>
    <t>passabel</t>
  </si>
  <si>
    <t>ronan</t>
  </si>
  <si>
    <t>mengele</t>
  </si>
  <si>
    <t>koji</t>
  </si>
  <si>
    <t>deva</t>
  </si>
  <si>
    <t>erscheinungsbild</t>
  </si>
  <si>
    <t>sputnik</t>
  </si>
  <si>
    <t>flachmann</t>
  </si>
  <si>
    <t>verwarnt</t>
  </si>
  <si>
    <t>sommersprosse</t>
  </si>
  <si>
    <t>beschuldigung</t>
  </si>
  <si>
    <t>lachnummer</t>
  </si>
  <si>
    <t>anschwellen</t>
  </si>
  <si>
    <t>spielberg</t>
  </si>
  <si>
    <t>beschäftigst</t>
  </si>
  <si>
    <t>sparschwein</t>
  </si>
  <si>
    <t>ehrenvollen</t>
  </si>
  <si>
    <t>boxey</t>
  </si>
  <si>
    <t>bekämpfst</t>
  </si>
  <si>
    <t>viertels</t>
  </si>
  <si>
    <t>gestaltung</t>
  </si>
  <si>
    <t>tippfehler</t>
  </si>
  <si>
    <t>einmaliger</t>
  </si>
  <si>
    <t>niners</t>
  </si>
  <si>
    <t>pubs</t>
  </si>
  <si>
    <t>mus</t>
  </si>
  <si>
    <t>komantschen</t>
  </si>
  <si>
    <t>zarter</t>
  </si>
  <si>
    <t>weggeholt</t>
  </si>
  <si>
    <t>vincke</t>
  </si>
  <si>
    <t>cluster</t>
  </si>
  <si>
    <t>psychotische</t>
  </si>
  <si>
    <t>auschecken</t>
  </si>
  <si>
    <t>regeneriert</t>
  </si>
  <si>
    <t>diamantring</t>
  </si>
  <si>
    <t>ox</t>
  </si>
  <si>
    <t>genauere</t>
  </si>
  <si>
    <t>brant</t>
  </si>
  <si>
    <t>entlassungspapiere</t>
  </si>
  <si>
    <t>verlege</t>
  </si>
  <si>
    <t>proteus</t>
  </si>
  <si>
    <t>zustellen</t>
  </si>
  <si>
    <t>widerfuhr</t>
  </si>
  <si>
    <t>cosa</t>
  </si>
  <si>
    <t>undine</t>
  </si>
  <si>
    <t>stumpfes</t>
  </si>
  <si>
    <t>strapazen</t>
  </si>
  <si>
    <t>witch</t>
  </si>
  <si>
    <t>stryfe</t>
  </si>
  <si>
    <t>regte</t>
  </si>
  <si>
    <t>wenigste</t>
  </si>
  <si>
    <t>pharmaceuticals</t>
  </si>
  <si>
    <t>pulsierende</t>
  </si>
  <si>
    <t>landmine</t>
  </si>
  <si>
    <t>herbeigeführt</t>
  </si>
  <si>
    <t>autodieb</t>
  </si>
  <si>
    <t>gelistet</t>
  </si>
  <si>
    <t>runtergezogen</t>
  </si>
  <si>
    <t>sadistisch</t>
  </si>
  <si>
    <t>erübrigen</t>
  </si>
  <si>
    <t>geblickt</t>
  </si>
  <si>
    <t>treck</t>
  </si>
  <si>
    <t>übermenschliche</t>
  </si>
  <si>
    <t>1o</t>
  </si>
  <si>
    <t>evey</t>
  </si>
  <si>
    <t>voigt</t>
  </si>
  <si>
    <t>erkundigungen</t>
  </si>
  <si>
    <t>ela</t>
  </si>
  <si>
    <t>mundwasser</t>
  </si>
  <si>
    <t>schrottkarre</t>
  </si>
  <si>
    <t>elizabeths</t>
  </si>
  <si>
    <t>lerner</t>
  </si>
  <si>
    <t>zuko</t>
  </si>
  <si>
    <t>christelle</t>
  </si>
  <si>
    <t>wüten</t>
  </si>
  <si>
    <t>vermeintlichen</t>
  </si>
  <si>
    <t>rieke</t>
  </si>
  <si>
    <t>blitzableiter</t>
  </si>
  <si>
    <t>buggy</t>
  </si>
  <si>
    <t>gekochtes</t>
  </si>
  <si>
    <t>hales</t>
  </si>
  <si>
    <t>lieblingsblumen</t>
  </si>
  <si>
    <t>apollonia</t>
  </si>
  <si>
    <t>genetischer</t>
  </si>
  <si>
    <t>protzig</t>
  </si>
  <si>
    <t>klargeworden</t>
  </si>
  <si>
    <t>bereute</t>
  </si>
  <si>
    <t>kurzum</t>
  </si>
  <si>
    <t>beschleunigte</t>
  </si>
  <si>
    <t>wassertank</t>
  </si>
  <si>
    <t>corona</t>
  </si>
  <si>
    <t>überraschenden</t>
  </si>
  <si>
    <t>eigentums</t>
  </si>
  <si>
    <t>craven</t>
  </si>
  <si>
    <t>gare</t>
  </si>
  <si>
    <t>dynamics</t>
  </si>
  <si>
    <t>ränder</t>
  </si>
  <si>
    <t>schwesterlein</t>
  </si>
  <si>
    <t>oh.</t>
  </si>
  <si>
    <t>scheitel</t>
  </si>
  <si>
    <t>verträumte</t>
  </si>
  <si>
    <t>josette</t>
  </si>
  <si>
    <t>abrufen</t>
  </si>
  <si>
    <t>heteros</t>
  </si>
  <si>
    <t>isi</t>
  </si>
  <si>
    <t>abgestritten</t>
  </si>
  <si>
    <t>stimm</t>
  </si>
  <si>
    <t>establishment</t>
  </si>
  <si>
    <t>entzweit</t>
  </si>
  <si>
    <t>fickte</t>
  </si>
  <si>
    <t>wasserturm</t>
  </si>
  <si>
    <t>weidet</t>
  </si>
  <si>
    <t>einschlief</t>
  </si>
  <si>
    <t>kenzi</t>
  </si>
  <si>
    <t>achtete</t>
  </si>
  <si>
    <t>apo</t>
  </si>
  <si>
    <t>latnok</t>
  </si>
  <si>
    <t>überfliegen</t>
  </si>
  <si>
    <t>pharaos</t>
  </si>
  <si>
    <t>büfett</t>
  </si>
  <si>
    <t>pokale</t>
  </si>
  <si>
    <t>zwinger</t>
  </si>
  <si>
    <t>financial</t>
  </si>
  <si>
    <t>aktenkundig</t>
  </si>
  <si>
    <t>psychologischer</t>
  </si>
  <si>
    <t>schwinge</t>
  </si>
  <si>
    <t>vierer</t>
  </si>
  <si>
    <t>abfolge</t>
  </si>
  <si>
    <t>rino</t>
  </si>
  <si>
    <t>damn</t>
  </si>
  <si>
    <t>gewürzen</t>
  </si>
  <si>
    <t>gave</t>
  </si>
  <si>
    <t>maisbrot</t>
  </si>
  <si>
    <t>gesetzgebung</t>
  </si>
  <si>
    <t>roxie</t>
  </si>
  <si>
    <t>bowers</t>
  </si>
  <si>
    <t>standst</t>
  </si>
  <si>
    <t>creel</t>
  </si>
  <si>
    <t>phils</t>
  </si>
  <si>
    <t>herumschleichen</t>
  </si>
  <si>
    <t>freisprechen</t>
  </si>
  <si>
    <t>goodnight</t>
  </si>
  <si>
    <t>entziehe</t>
  </si>
  <si>
    <t>hauptattraktion</t>
  </si>
  <si>
    <t>walnuss</t>
  </si>
  <si>
    <t>verführte</t>
  </si>
  <si>
    <t>kinderbuch</t>
  </si>
  <si>
    <t>booty</t>
  </si>
  <si>
    <t>zeitstempel</t>
  </si>
  <si>
    <t>jüngeres</t>
  </si>
  <si>
    <t>vertrauliches</t>
  </si>
  <si>
    <t>erforderliche</t>
  </si>
  <si>
    <t>appelliere</t>
  </si>
  <si>
    <t>betreibst</t>
  </si>
  <si>
    <t>genetisches</t>
  </si>
  <si>
    <t>caspar</t>
  </si>
  <si>
    <t>liberace</t>
  </si>
  <si>
    <t>alices</t>
  </si>
  <si>
    <t>einflößend</t>
  </si>
  <si>
    <t>selbsterhaltung</t>
  </si>
  <si>
    <t>hardwicke</t>
  </si>
  <si>
    <t>probierten</t>
  </si>
  <si>
    <t>luxuriös</t>
  </si>
  <si>
    <t>obdachlosenheim</t>
  </si>
  <si>
    <t>spätschicht</t>
  </si>
  <si>
    <t>erholst</t>
  </si>
  <si>
    <t>wahrheitsserum</t>
  </si>
  <si>
    <t>gebührenden</t>
  </si>
  <si>
    <t>schwielen</t>
  </si>
  <si>
    <t>verliess</t>
  </si>
  <si>
    <t>raider</t>
  </si>
  <si>
    <t>weiterzugehen</t>
  </si>
  <si>
    <t>rangeht</t>
  </si>
  <si>
    <t>us-botschaft</t>
  </si>
  <si>
    <t>smithsonian</t>
  </si>
  <si>
    <t>erling</t>
  </si>
  <si>
    <t>fitnesscenter</t>
  </si>
  <si>
    <t>unwichtigen</t>
  </si>
  <si>
    <t>büffet</t>
  </si>
  <si>
    <t>daenerys</t>
  </si>
  <si>
    <t>irritieren</t>
  </si>
  <si>
    <t>abstauben</t>
  </si>
  <si>
    <t>knödel</t>
  </si>
  <si>
    <t>dao</t>
  </si>
  <si>
    <t>reingeschlichen</t>
  </si>
  <si>
    <t>verletzbar</t>
  </si>
  <si>
    <t>podcast</t>
  </si>
  <si>
    <t>seeley</t>
  </si>
  <si>
    <t>carlito</t>
  </si>
  <si>
    <t>queequeg</t>
  </si>
  <si>
    <t>akkurat</t>
  </si>
  <si>
    <t>fahrlässig</t>
  </si>
  <si>
    <t>seminare</t>
  </si>
  <si>
    <t>diktatoren</t>
  </si>
  <si>
    <t>düse</t>
  </si>
  <si>
    <t>bomb</t>
  </si>
  <si>
    <t>spartan</t>
  </si>
  <si>
    <t>ehrenvolle</t>
  </si>
  <si>
    <t>lecks</t>
  </si>
  <si>
    <t>abholte</t>
  </si>
  <si>
    <t>oppenheimer</t>
  </si>
  <si>
    <t>forschungszentrum</t>
  </si>
  <si>
    <t>ausgewählten</t>
  </si>
  <si>
    <t>gm</t>
  </si>
  <si>
    <t>dreidel</t>
  </si>
  <si>
    <t>restaurieren</t>
  </si>
  <si>
    <t>einzusehen</t>
  </si>
  <si>
    <t>unechte</t>
  </si>
  <si>
    <t>übereilen</t>
  </si>
  <si>
    <t>chanukka</t>
  </si>
  <si>
    <t>tollwütiger</t>
  </si>
  <si>
    <t>telekinese</t>
  </si>
  <si>
    <t>pädiatrie</t>
  </si>
  <si>
    <t>surehand</t>
  </si>
  <si>
    <t>klargestellt</t>
  </si>
  <si>
    <t>recycling</t>
  </si>
  <si>
    <t>winona</t>
  </si>
  <si>
    <t>mittelmäßigkeit</t>
  </si>
  <si>
    <t>freudenhaus</t>
  </si>
  <si>
    <t>ch19fff8</t>
  </si>
  <si>
    <t>spanky</t>
  </si>
  <si>
    <t>chruschtschow</t>
  </si>
  <si>
    <t>relevanten</t>
  </si>
  <si>
    <t>abschlüsse</t>
  </si>
  <si>
    <t>belästigst</t>
  </si>
  <si>
    <t>cannabis</t>
  </si>
  <si>
    <t>anschlags</t>
  </si>
  <si>
    <t>arabischer</t>
  </si>
  <si>
    <t>baskerville</t>
  </si>
  <si>
    <t>badlands</t>
  </si>
  <si>
    <t>segler</t>
  </si>
  <si>
    <t>büstenhalter</t>
  </si>
  <si>
    <t>zoltan</t>
  </si>
  <si>
    <t>hilfreiche</t>
  </si>
  <si>
    <t>mäßigen</t>
  </si>
  <si>
    <t>ketamin</t>
  </si>
  <si>
    <t>aufmerksamer</t>
  </si>
  <si>
    <t>verdrehst</t>
  </si>
  <si>
    <t>zuschaut</t>
  </si>
  <si>
    <t>hoben</t>
  </si>
  <si>
    <t>obduktionsbericht</t>
  </si>
  <si>
    <t>margarete</t>
  </si>
  <si>
    <t>nächstbeste</t>
  </si>
  <si>
    <t>schottlands</t>
  </si>
  <si>
    <t>anderton</t>
  </si>
  <si>
    <t>willigte</t>
  </si>
  <si>
    <t>trist</t>
  </si>
  <si>
    <t>columbo</t>
  </si>
  <si>
    <t>brüderschaft</t>
  </si>
  <si>
    <t>versohle</t>
  </si>
  <si>
    <t>vollendete</t>
  </si>
  <si>
    <t>verhüten</t>
  </si>
  <si>
    <t>gepunktet</t>
  </si>
  <si>
    <t>zölibat</t>
  </si>
  <si>
    <t>tuba</t>
  </si>
  <si>
    <t>fälscht</t>
  </si>
  <si>
    <t>verziert</t>
  </si>
  <si>
    <t>glühst</t>
  </si>
  <si>
    <t>hoffnungsschimmer</t>
  </si>
  <si>
    <t>lotsen</t>
  </si>
  <si>
    <t>jauchzen</t>
  </si>
  <si>
    <t>jón</t>
  </si>
  <si>
    <t>bloods</t>
  </si>
  <si>
    <t>varianten</t>
  </si>
  <si>
    <t>erstrahlen</t>
  </si>
  <si>
    <t>crandall</t>
  </si>
  <si>
    <t>hipster</t>
  </si>
  <si>
    <t>erneutes</t>
  </si>
  <si>
    <t>lebensweg</t>
  </si>
  <si>
    <t>explizit</t>
  </si>
  <si>
    <t>gesellt</t>
  </si>
  <si>
    <t>verworren</t>
  </si>
  <si>
    <t>einberufung</t>
  </si>
  <si>
    <t>martok</t>
  </si>
  <si>
    <t>cagney</t>
  </si>
  <si>
    <t>knöllchen</t>
  </si>
  <si>
    <t>kinderlos</t>
  </si>
  <si>
    <t>herumzusitzen</t>
  </si>
  <si>
    <t>makaber</t>
  </si>
  <si>
    <t>roggen</t>
  </si>
  <si>
    <t>sitzplatz</t>
  </si>
  <si>
    <t>wärmflasche</t>
  </si>
  <si>
    <t>übertriebene</t>
  </si>
  <si>
    <t>ekelerregend</t>
  </si>
  <si>
    <t>überschuss</t>
  </si>
  <si>
    <t>blechen</t>
  </si>
  <si>
    <t>hinauswerfen</t>
  </si>
  <si>
    <t>alto</t>
  </si>
  <si>
    <t>ökonomie</t>
  </si>
  <si>
    <t>patriotisch</t>
  </si>
  <si>
    <t>fiept</t>
  </si>
  <si>
    <t>biggi</t>
  </si>
  <si>
    <t>spürbar</t>
  </si>
  <si>
    <t>platon</t>
  </si>
  <si>
    <t>dicks</t>
  </si>
  <si>
    <t>medizinstudent</t>
  </si>
  <si>
    <t>hineinsehen</t>
  </si>
  <si>
    <t>disketten</t>
  </si>
  <si>
    <t>guerillas</t>
  </si>
  <si>
    <t>wachhunde</t>
  </si>
  <si>
    <t>teehaus</t>
  </si>
  <si>
    <t>händeschütteln</t>
  </si>
  <si>
    <t>ollen</t>
  </si>
  <si>
    <t>reibst</t>
  </si>
  <si>
    <t>lahmer</t>
  </si>
  <si>
    <t>bikes</t>
  </si>
  <si>
    <t>wylie</t>
  </si>
  <si>
    <t>kanonenkugel</t>
  </si>
  <si>
    <t>väterlichen</t>
  </si>
  <si>
    <t>entflammt</t>
  </si>
  <si>
    <t>tödlichste</t>
  </si>
  <si>
    <t>nunnally</t>
  </si>
  <si>
    <t>epizentrum</t>
  </si>
  <si>
    <t>emanuel</t>
  </si>
  <si>
    <t>pfft</t>
  </si>
  <si>
    <t>sabbert</t>
  </si>
  <si>
    <t>verschwieg</t>
  </si>
  <si>
    <t>corrected</t>
  </si>
  <si>
    <t>beaker</t>
  </si>
  <si>
    <t>cottonmouth</t>
  </si>
  <si>
    <t>gebilde</t>
  </si>
  <si>
    <t>symbolisieren</t>
  </si>
  <si>
    <t>herzlose</t>
  </si>
  <si>
    <t>experimentellen</t>
  </si>
  <si>
    <t>radfahrer</t>
  </si>
  <si>
    <t>whitfield</t>
  </si>
  <si>
    <t>cali</t>
  </si>
  <si>
    <t>bänke</t>
  </si>
  <si>
    <t>kriecher</t>
  </si>
  <si>
    <t>forschungsprojekt</t>
  </si>
  <si>
    <t>stammkunde</t>
  </si>
  <si>
    <t>betreffende</t>
  </si>
  <si>
    <t>irena</t>
  </si>
  <si>
    <t>genähert</t>
  </si>
  <si>
    <t>hearst</t>
  </si>
  <si>
    <t>parkwächter</t>
  </si>
  <si>
    <t>unterstreichen</t>
  </si>
  <si>
    <t>witterung</t>
  </si>
  <si>
    <t>umkleidekabine</t>
  </si>
  <si>
    <t>vorbeigelaufen</t>
  </si>
  <si>
    <t>österreichischen</t>
  </si>
  <si>
    <t>kell</t>
  </si>
  <si>
    <t>topfit</t>
  </si>
  <si>
    <t>explorer</t>
  </si>
  <si>
    <t>rätselhaften</t>
  </si>
  <si>
    <t>beretta</t>
  </si>
  <si>
    <t>schleimig</t>
  </si>
  <si>
    <t>wespennest</t>
  </si>
  <si>
    <t>vorschlage</t>
  </si>
  <si>
    <t>ausgewertet</t>
  </si>
  <si>
    <t>hausmannskost</t>
  </si>
  <si>
    <t>aufwuchsen</t>
  </si>
  <si>
    <t>airline</t>
  </si>
  <si>
    <t>milizen</t>
  </si>
  <si>
    <t>paranoiden</t>
  </si>
  <si>
    <t>hande</t>
  </si>
  <si>
    <t>schoko</t>
  </si>
  <si>
    <t>spätere</t>
  </si>
  <si>
    <t>kniescheiben</t>
  </si>
  <si>
    <t>aline</t>
  </si>
  <si>
    <t>südwestlich</t>
  </si>
  <si>
    <t>tadeln</t>
  </si>
  <si>
    <t>erweichen</t>
  </si>
  <si>
    <t>twittern</t>
  </si>
  <si>
    <t>gedankenlos</t>
  </si>
  <si>
    <t>fausto</t>
  </si>
  <si>
    <t>dynamisch</t>
  </si>
  <si>
    <t>choice</t>
  </si>
  <si>
    <t>jiri</t>
  </si>
  <si>
    <t>eierlikör</t>
  </si>
  <si>
    <t>errettet</t>
  </si>
  <si>
    <t>taubheit</t>
  </si>
  <si>
    <t>unterbewusst</t>
  </si>
  <si>
    <t>rostig</t>
  </si>
  <si>
    <t>franklyn</t>
  </si>
  <si>
    <t>obstgarten</t>
  </si>
  <si>
    <t>gewalttaten</t>
  </si>
  <si>
    <t>landessprache</t>
  </si>
  <si>
    <t>rescue</t>
  </si>
  <si>
    <t>wiedergewählt</t>
  </si>
  <si>
    <t>streitig</t>
  </si>
  <si>
    <t>körperbau</t>
  </si>
  <si>
    <t>nissan</t>
  </si>
  <si>
    <t>zwängen</t>
  </si>
  <si>
    <t>abilene</t>
  </si>
  <si>
    <t>streberin</t>
  </si>
  <si>
    <t>gelehnt</t>
  </si>
  <si>
    <t>fixen</t>
  </si>
  <si>
    <t>durchläuft</t>
  </si>
  <si>
    <t>sortiere</t>
  </si>
  <si>
    <t>dorne</t>
  </si>
  <si>
    <t>glockenturm</t>
  </si>
  <si>
    <t>ontario</t>
  </si>
  <si>
    <t>crain</t>
  </si>
  <si>
    <t>klamm</t>
  </si>
  <si>
    <t>starteten</t>
  </si>
  <si>
    <t>gaos</t>
  </si>
  <si>
    <t>entleeren</t>
  </si>
  <si>
    <t>übliches</t>
  </si>
  <si>
    <t>kerr</t>
  </si>
  <si>
    <t>versiegt</t>
  </si>
  <si>
    <t>zweifach</t>
  </si>
  <si>
    <t>kono</t>
  </si>
  <si>
    <t>volks</t>
  </si>
  <si>
    <t>jeeps</t>
  </si>
  <si>
    <t>ferry</t>
  </si>
  <si>
    <t>erachten</t>
  </si>
  <si>
    <t>bacall</t>
  </si>
  <si>
    <t>versicherungsbetrug</t>
  </si>
  <si>
    <t>ehr</t>
  </si>
  <si>
    <t>phi</t>
  </si>
  <si>
    <t>figgis</t>
  </si>
  <si>
    <t>lal</t>
  </si>
  <si>
    <t>regentin</t>
  </si>
  <si>
    <t>hatake</t>
  </si>
  <si>
    <t>frankfurter</t>
  </si>
  <si>
    <t>nüchternen</t>
  </si>
  <si>
    <t>adjutanten</t>
  </si>
  <si>
    <t>tendieren</t>
  </si>
  <si>
    <t>schlussverkauf</t>
  </si>
  <si>
    <t>nachdenkliche</t>
  </si>
  <si>
    <t>peña</t>
  </si>
  <si>
    <t>mercier</t>
  </si>
  <si>
    <t>südkalifornien</t>
  </si>
  <si>
    <t>hd</t>
  </si>
  <si>
    <t>wikipedia</t>
  </si>
  <si>
    <t>stehts</t>
  </si>
  <si>
    <t>nnte</t>
  </si>
  <si>
    <t>smog</t>
  </si>
  <si>
    <t>normen</t>
  </si>
  <si>
    <t>wegwischen</t>
  </si>
  <si>
    <t>viech</t>
  </si>
  <si>
    <t>bos</t>
  </si>
  <si>
    <t>geplänkel</t>
  </si>
  <si>
    <t>carpentier</t>
  </si>
  <si>
    <t>vorwahlen</t>
  </si>
  <si>
    <t>formiert</t>
  </si>
  <si>
    <t>haette</t>
  </si>
  <si>
    <t>allegra</t>
  </si>
  <si>
    <t>angeeignet</t>
  </si>
  <si>
    <t>pull</t>
  </si>
  <si>
    <t>geburtstagen</t>
  </si>
  <si>
    <t>irisches</t>
  </si>
  <si>
    <t>genom</t>
  </si>
  <si>
    <t>emiliano</t>
  </si>
  <si>
    <t>durchmachten</t>
  </si>
  <si>
    <t>sous</t>
  </si>
  <si>
    <t>eheschließung</t>
  </si>
  <si>
    <t>vorbau</t>
  </si>
  <si>
    <t>madsen</t>
  </si>
  <si>
    <t>innehalten</t>
  </si>
  <si>
    <t>shakespeares</t>
  </si>
  <si>
    <t>bardame</t>
  </si>
  <si>
    <t>katharine</t>
  </si>
  <si>
    <t>energieversorgung</t>
  </si>
  <si>
    <t>befummeln</t>
  </si>
  <si>
    <t>gen.</t>
  </si>
  <si>
    <t>caseys</t>
  </si>
  <si>
    <t>namentlich</t>
  </si>
  <si>
    <t>riesenfan</t>
  </si>
  <si>
    <t>duggan</t>
  </si>
  <si>
    <t>beauftragten</t>
  </si>
  <si>
    <t>blitzsauber</t>
  </si>
  <si>
    <t>websites</t>
  </si>
  <si>
    <t>verbitterung</t>
  </si>
  <si>
    <t>reime</t>
  </si>
  <si>
    <t>mikaelsons</t>
  </si>
  <si>
    <t>islamische</t>
  </si>
  <si>
    <t>manisch</t>
  </si>
  <si>
    <t>barkley</t>
  </si>
  <si>
    <t>c.k.</t>
  </si>
  <si>
    <t>juristen</t>
  </si>
  <si>
    <t>hochmütig</t>
  </si>
  <si>
    <t>radau</t>
  </si>
  <si>
    <t>coming-out</t>
  </si>
  <si>
    <t>beanspruche</t>
  </si>
  <si>
    <t>semper</t>
  </si>
  <si>
    <t>concorde</t>
  </si>
  <si>
    <t>gefrierfach</t>
  </si>
  <si>
    <t>türgriff</t>
  </si>
  <si>
    <t>nervöses</t>
  </si>
  <si>
    <t>gerungen</t>
  </si>
  <si>
    <t>dianas</t>
  </si>
  <si>
    <t>raubes</t>
  </si>
  <si>
    <t>übernachtete</t>
  </si>
  <si>
    <t>heuschnupfen</t>
  </si>
  <si>
    <t>kirchenchor</t>
  </si>
  <si>
    <t>organisches</t>
  </si>
  <si>
    <t>überfüllten</t>
  </si>
  <si>
    <t>habgierig</t>
  </si>
  <si>
    <t>spratt</t>
  </si>
  <si>
    <t>erwar</t>
  </si>
  <si>
    <t>rhythm</t>
  </si>
  <si>
    <t>isolationshaft</t>
  </si>
  <si>
    <t>johanne</t>
  </si>
  <si>
    <t>automechaniker</t>
  </si>
  <si>
    <t>adem</t>
  </si>
  <si>
    <t>auszurotten</t>
  </si>
  <si>
    <t>konkreter</t>
  </si>
  <si>
    <t>erforderte</t>
  </si>
  <si>
    <t>verheerende</t>
  </si>
  <si>
    <t>ante</t>
  </si>
  <si>
    <t>baylin</t>
  </si>
  <si>
    <t>haß</t>
  </si>
  <si>
    <t>seska</t>
  </si>
  <si>
    <t>wintergarten</t>
  </si>
  <si>
    <t>majestätische</t>
  </si>
  <si>
    <t>schnurren</t>
  </si>
  <si>
    <t>fotogen</t>
  </si>
  <si>
    <t>entwirft</t>
  </si>
  <si>
    <t>schüttelfrost</t>
  </si>
  <si>
    <t>type</t>
  </si>
  <si>
    <t>anerkannte</t>
  </si>
  <si>
    <t>deluca</t>
  </si>
  <si>
    <t>menschenhand</t>
  </si>
  <si>
    <t>schwarzenegger</t>
  </si>
  <si>
    <t>schrägstrich</t>
  </si>
  <si>
    <t>geringere</t>
  </si>
  <si>
    <t>wegwirfst</t>
  </si>
  <si>
    <t>spit</t>
  </si>
  <si>
    <t>ritus</t>
  </si>
  <si>
    <t>langfristigen</t>
  </si>
  <si>
    <t>ermittelte</t>
  </si>
  <si>
    <t>veräppelst</t>
  </si>
  <si>
    <t>schakale</t>
  </si>
  <si>
    <t>wasserfälle</t>
  </si>
  <si>
    <t>kalfa</t>
  </si>
  <si>
    <t>klavierspieler</t>
  </si>
  <si>
    <t>beharren</t>
  </si>
  <si>
    <t>pryor</t>
  </si>
  <si>
    <t>trinkerei</t>
  </si>
  <si>
    <t>logischerweise</t>
  </si>
  <si>
    <t>gedeutet</t>
  </si>
  <si>
    <t>lebensaufgabe</t>
  </si>
  <si>
    <t>eisenstein</t>
  </si>
  <si>
    <t>chronisch</t>
  </si>
  <si>
    <t>groucho</t>
  </si>
  <si>
    <t>stumpy</t>
  </si>
  <si>
    <t>sänfte</t>
  </si>
  <si>
    <t>behandelbar</t>
  </si>
  <si>
    <t>shaughnessy</t>
  </si>
  <si>
    <t>rettungsboote</t>
  </si>
  <si>
    <t>auseinandergerissen</t>
  </si>
  <si>
    <t>analogie</t>
  </si>
  <si>
    <t>startrampe</t>
  </si>
  <si>
    <t>prada</t>
  </si>
  <si>
    <t>surreal</t>
  </si>
  <si>
    <t>zerdrücken</t>
  </si>
  <si>
    <t>legierung</t>
  </si>
  <si>
    <t>ajax</t>
  </si>
  <si>
    <t>zivilistin</t>
  </si>
  <si>
    <t>realistische</t>
  </si>
  <si>
    <t>häuptlings</t>
  </si>
  <si>
    <t>anzugucken</t>
  </si>
  <si>
    <t>drängten</t>
  </si>
  <si>
    <t>luftschiff</t>
  </si>
  <si>
    <t>blutgefäße</t>
  </si>
  <si>
    <t>spalding</t>
  </si>
  <si>
    <t>anwaltskammer</t>
  </si>
  <si>
    <t>eingestanden</t>
  </si>
  <si>
    <t>dio</t>
  </si>
  <si>
    <t>fai</t>
  </si>
  <si>
    <t>naturgewalt</t>
  </si>
  <si>
    <t>ausgesandt</t>
  </si>
  <si>
    <t>überfährt</t>
  </si>
  <si>
    <t>luce</t>
  </si>
  <si>
    <t>17-jährigen</t>
  </si>
  <si>
    <t>pee</t>
  </si>
  <si>
    <t>gutgetan</t>
  </si>
  <si>
    <t>minor</t>
  </si>
  <si>
    <t>doodle</t>
  </si>
  <si>
    <t>unmut</t>
  </si>
  <si>
    <t>criminal</t>
  </si>
  <si>
    <t>kalibriert</t>
  </si>
  <si>
    <t>léo</t>
  </si>
  <si>
    <t>gabs</t>
  </si>
  <si>
    <t>ehrgeiziger</t>
  </si>
  <si>
    <t>gnom</t>
  </si>
  <si>
    <t>steinchen</t>
  </si>
  <si>
    <t>10er</t>
  </si>
  <si>
    <t>heere</t>
  </si>
  <si>
    <t>gehemmt</t>
  </si>
  <si>
    <t>rowdys</t>
  </si>
  <si>
    <t>großwesir</t>
  </si>
  <si>
    <t>source</t>
  </si>
  <si>
    <t>verkleinert</t>
  </si>
  <si>
    <t>frankies</t>
  </si>
  <si>
    <t>stussy</t>
  </si>
  <si>
    <t>versüßt</t>
  </si>
  <si>
    <t>jamieson</t>
  </si>
  <si>
    <t>ends</t>
  </si>
  <si>
    <t>düsteres</t>
  </si>
  <si>
    <t>zecken</t>
  </si>
  <si>
    <t>beatmen</t>
  </si>
  <si>
    <t>wiedererlangen</t>
  </si>
  <si>
    <t>beamtin</t>
  </si>
  <si>
    <t>hisst</t>
  </si>
  <si>
    <t>supermärkte</t>
  </si>
  <si>
    <t>tywin</t>
  </si>
  <si>
    <t>leonidas</t>
  </si>
  <si>
    <t>begreiflich</t>
  </si>
  <si>
    <t>kroko</t>
  </si>
  <si>
    <t>empfangskomitee</t>
  </si>
  <si>
    <t>landesweiten</t>
  </si>
  <si>
    <t>zeltlager</t>
  </si>
  <si>
    <t>bundesrichter</t>
  </si>
  <si>
    <t>laib</t>
  </si>
  <si>
    <t>ritters</t>
  </si>
  <si>
    <t>allgemeinwohl</t>
  </si>
  <si>
    <t>jahrhundertwende</t>
  </si>
  <si>
    <t>kartelle</t>
  </si>
  <si>
    <t>singing</t>
  </si>
  <si>
    <t>brieföffner</t>
  </si>
  <si>
    <t>drogensüchtige</t>
  </si>
  <si>
    <t>ruhr</t>
  </si>
  <si>
    <t>jays</t>
  </si>
  <si>
    <t>vorging</t>
  </si>
  <si>
    <t>verwalte</t>
  </si>
  <si>
    <t>ausgerenkt</t>
  </si>
  <si>
    <t>nobis</t>
  </si>
  <si>
    <t>beglückwünsche</t>
  </si>
  <si>
    <t>nuklearwaffen</t>
  </si>
  <si>
    <t>baylor</t>
  </si>
  <si>
    <t>calderone</t>
  </si>
  <si>
    <t>ziviler</t>
  </si>
  <si>
    <t>limbo</t>
  </si>
  <si>
    <t>dramatisches</t>
  </si>
  <si>
    <t>umgekrempelt</t>
  </si>
  <si>
    <t>baff</t>
  </si>
  <si>
    <t>hooker</t>
  </si>
  <si>
    <t>ansehnlich</t>
  </si>
  <si>
    <t>wirte</t>
  </si>
  <si>
    <t>lausiges</t>
  </si>
  <si>
    <t>blasser</t>
  </si>
  <si>
    <t>idealer</t>
  </si>
  <si>
    <t>anhörungen</t>
  </si>
  <si>
    <t>entgleist</t>
  </si>
  <si>
    <t>juilliard</t>
  </si>
  <si>
    <t>schädelbruch</t>
  </si>
  <si>
    <t>lichtes</t>
  </si>
  <si>
    <t>adlai</t>
  </si>
  <si>
    <t>eta</t>
  </si>
  <si>
    <t>protegé</t>
  </si>
  <si>
    <t>bevormunden</t>
  </si>
  <si>
    <t>familienoberhaupt</t>
  </si>
  <si>
    <t>gefahrenzone</t>
  </si>
  <si>
    <t>merde</t>
  </si>
  <si>
    <t>ye</t>
  </si>
  <si>
    <t>zusammenflicken</t>
  </si>
  <si>
    <t>shel</t>
  </si>
  <si>
    <t>verstieß</t>
  </si>
  <si>
    <t>klemm</t>
  </si>
  <si>
    <t>dougs</t>
  </si>
  <si>
    <t>akley</t>
  </si>
  <si>
    <t>saïd</t>
  </si>
  <si>
    <t>reflexion</t>
  </si>
  <si>
    <t>liebhaberin</t>
  </si>
  <si>
    <t>gastwirt</t>
  </si>
  <si>
    <t>hieronymus</t>
  </si>
  <si>
    <t>bimse</t>
  </si>
  <si>
    <t>reb</t>
  </si>
  <si>
    <t>brendans</t>
  </si>
  <si>
    <t>erlöschen</t>
  </si>
  <si>
    <t>reena</t>
  </si>
  <si>
    <t>überwachte</t>
  </si>
  <si>
    <t>voorhees</t>
  </si>
  <si>
    <t>richtigstellen</t>
  </si>
  <si>
    <t>rodrick</t>
  </si>
  <si>
    <t>schlaukopf</t>
  </si>
  <si>
    <t>redford</t>
  </si>
  <si>
    <t>stolpere</t>
  </si>
  <si>
    <t>praktiziere</t>
  </si>
  <si>
    <t>euphorisch</t>
  </si>
  <si>
    <t>betört</t>
  </si>
  <si>
    <t>vollgetankt</t>
  </si>
  <si>
    <t>hö</t>
  </si>
  <si>
    <t>süßstoff</t>
  </si>
  <si>
    <t>spielereien</t>
  </si>
  <si>
    <t>achillesferse</t>
  </si>
  <si>
    <t>jarrod</t>
  </si>
  <si>
    <t>gestörter</t>
  </si>
  <si>
    <t>randys</t>
  </si>
  <si>
    <t>privatangelegenheit</t>
  </si>
  <si>
    <t>willem</t>
  </si>
  <si>
    <t>ostberlin</t>
  </si>
  <si>
    <t>simran</t>
  </si>
  <si>
    <t>zögernd</t>
  </si>
  <si>
    <t>belastungen</t>
  </si>
  <si>
    <t>runtergespült</t>
  </si>
  <si>
    <t>untragbar</t>
  </si>
  <si>
    <t>geölt</t>
  </si>
  <si>
    <t>schüttelst</t>
  </si>
  <si>
    <t>brayden</t>
  </si>
  <si>
    <t>bongo</t>
  </si>
  <si>
    <t>schweifen</t>
  </si>
  <si>
    <t>thee</t>
  </si>
  <si>
    <t>schlauchboot</t>
  </si>
  <si>
    <t>extremitäten</t>
  </si>
  <si>
    <t>vorbesitzer</t>
  </si>
  <si>
    <t>versohl</t>
  </si>
  <si>
    <t>wehtat</t>
  </si>
  <si>
    <t>ak</t>
  </si>
  <si>
    <t>giorno</t>
  </si>
  <si>
    <t>mare</t>
  </si>
  <si>
    <t>verwitwet</t>
  </si>
  <si>
    <t>unterweltler</t>
  </si>
  <si>
    <t>gelenk</t>
  </si>
  <si>
    <t>zara</t>
  </si>
  <si>
    <t>gepflastert</t>
  </si>
  <si>
    <t>mutierte</t>
  </si>
  <si>
    <t>kader</t>
  </si>
  <si>
    <t>ishikawa</t>
  </si>
  <si>
    <t>akuten</t>
  </si>
  <si>
    <t>roher</t>
  </si>
  <si>
    <t>alberta</t>
  </si>
  <si>
    <t>hauptes</t>
  </si>
  <si>
    <t>rather</t>
  </si>
  <si>
    <t>schilf</t>
  </si>
  <si>
    <t>anbetteln</t>
  </si>
  <si>
    <t>lebensdauer</t>
  </si>
  <si>
    <t>sachbearbeiter</t>
  </si>
  <si>
    <t>intoleranz</t>
  </si>
  <si>
    <t>jara</t>
  </si>
  <si>
    <t>geklaute</t>
  </si>
  <si>
    <t>krätze</t>
  </si>
  <si>
    <t>bewirten</t>
  </si>
  <si>
    <t>bemalen</t>
  </si>
  <si>
    <t>soledad</t>
  </si>
  <si>
    <t>mörtel</t>
  </si>
  <si>
    <t>efsun</t>
  </si>
  <si>
    <t>treuhänder</t>
  </si>
  <si>
    <t>isolierung</t>
  </si>
  <si>
    <t>expo</t>
  </si>
  <si>
    <t>heiland</t>
  </si>
  <si>
    <t>ur</t>
  </si>
  <si>
    <t>vorzuenthalten</t>
  </si>
  <si>
    <t>leuchtendes</t>
  </si>
  <si>
    <t>wolverine</t>
  </si>
  <si>
    <t>saying</t>
  </si>
  <si>
    <t>angestiegen</t>
  </si>
  <si>
    <t>hawkeye</t>
  </si>
  <si>
    <t>abscheuliches</t>
  </si>
  <si>
    <t>freiberuflich</t>
  </si>
  <si>
    <t>redmond</t>
  </si>
  <si>
    <t>zapp</t>
  </si>
  <si>
    <t>getty</t>
  </si>
  <si>
    <t>prozeß</t>
  </si>
  <si>
    <t>autorisierte</t>
  </si>
  <si>
    <t>pauke</t>
  </si>
  <si>
    <t>vitalzeichen</t>
  </si>
  <si>
    <t>kontrovers</t>
  </si>
  <si>
    <t>vertagung</t>
  </si>
  <si>
    <t>heraufbeschwören</t>
  </si>
  <si>
    <t>rückblick</t>
  </si>
  <si>
    <t>warnsignal</t>
  </si>
  <si>
    <t>raupen</t>
  </si>
  <si>
    <t>sade</t>
  </si>
  <si>
    <t>geschenkpapier</t>
  </si>
  <si>
    <t>kingsbridge</t>
  </si>
  <si>
    <t>gaunern</t>
  </si>
  <si>
    <t>ranhalten</t>
  </si>
  <si>
    <t>wants</t>
  </si>
  <si>
    <t>kanes</t>
  </si>
  <si>
    <t>beinhaltete</t>
  </si>
  <si>
    <t>vorwirft</t>
  </si>
  <si>
    <t>unsagbar</t>
  </si>
  <si>
    <t>höhlenmensch</t>
  </si>
  <si>
    <t>kaste</t>
  </si>
  <si>
    <t>einzufordern</t>
  </si>
  <si>
    <t>prognosen</t>
  </si>
  <si>
    <t>weitergereicht</t>
  </si>
  <si>
    <t>nugent</t>
  </si>
  <si>
    <t>hurst</t>
  </si>
  <si>
    <t>gottesanbeterin</t>
  </si>
  <si>
    <t>drac</t>
  </si>
  <si>
    <t>streets</t>
  </si>
  <si>
    <t>connery</t>
  </si>
  <si>
    <t>frankel</t>
  </si>
  <si>
    <t>rassentrennung</t>
  </si>
  <si>
    <t>kräftiges</t>
  </si>
  <si>
    <t>tommi</t>
  </si>
  <si>
    <t>geschützten</t>
  </si>
  <si>
    <t>bezirken</t>
  </si>
  <si>
    <t>verbrechensbekämpfung</t>
  </si>
  <si>
    <t>dusch</t>
  </si>
  <si>
    <t>klassenraum</t>
  </si>
  <si>
    <t>ferrars</t>
  </si>
  <si>
    <t>haskell</t>
  </si>
  <si>
    <t>hundemüde</t>
  </si>
  <si>
    <t>morn</t>
  </si>
  <si>
    <t>anästhesie</t>
  </si>
  <si>
    <t>kagan</t>
  </si>
  <si>
    <t>offenlegung</t>
  </si>
  <si>
    <t>jägerinnen</t>
  </si>
  <si>
    <t>mater</t>
  </si>
  <si>
    <t>majestäten</t>
  </si>
  <si>
    <t>konstanz</t>
  </si>
  <si>
    <t>wundermittel</t>
  </si>
  <si>
    <t>brasilianische</t>
  </si>
  <si>
    <t>mathematisch</t>
  </si>
  <si>
    <t>manage</t>
  </si>
  <si>
    <t>skills</t>
  </si>
  <si>
    <t>hatcher</t>
  </si>
  <si>
    <t>hinderte</t>
  </si>
  <si>
    <t>logischer</t>
  </si>
  <si>
    <t>körnchen</t>
  </si>
  <si>
    <t>nützlichen</t>
  </si>
  <si>
    <t>ivanhoe</t>
  </si>
  <si>
    <t>read</t>
  </si>
  <si>
    <t>folgend</t>
  </si>
  <si>
    <t>zamani</t>
  </si>
  <si>
    <t>seems</t>
  </si>
  <si>
    <t>piercings</t>
  </si>
  <si>
    <t>erläutert</t>
  </si>
  <si>
    <t>fahrstunden</t>
  </si>
  <si>
    <t>liberal</t>
  </si>
  <si>
    <t>nager</t>
  </si>
  <si>
    <t>akrobaten</t>
  </si>
  <si>
    <t>lebenswichtige</t>
  </si>
  <si>
    <t>surfbrett</t>
  </si>
  <si>
    <t>klärung</t>
  </si>
  <si>
    <t>ausgequetscht</t>
  </si>
  <si>
    <t>cloe</t>
  </si>
  <si>
    <t>pinto</t>
  </si>
  <si>
    <t>mietkerl</t>
  </si>
  <si>
    <t>reinspaziert</t>
  </si>
  <si>
    <t>säubert</t>
  </si>
  <si>
    <t>knechte</t>
  </si>
  <si>
    <t>disc</t>
  </si>
  <si>
    <t>todessehnsucht</t>
  </si>
  <si>
    <t>unsichtbares</t>
  </si>
  <si>
    <t>auflauern</t>
  </si>
  <si>
    <t>durchgearbeitet</t>
  </si>
  <si>
    <t>paraden</t>
  </si>
  <si>
    <t>runtergefahren</t>
  </si>
  <si>
    <t>zurã</t>
  </si>
  <si>
    <t>magere</t>
  </si>
  <si>
    <t>sicherheitsbereich</t>
  </si>
  <si>
    <t>zugangscodes</t>
  </si>
  <si>
    <t>spaltung</t>
  </si>
  <si>
    <t>bet</t>
  </si>
  <si>
    <t>benoît</t>
  </si>
  <si>
    <t>bannion</t>
  </si>
  <si>
    <t>perhaps</t>
  </si>
  <si>
    <t>eigne</t>
  </si>
  <si>
    <t>haftanstalt</t>
  </si>
  <si>
    <t>elektroschock</t>
  </si>
  <si>
    <t>flächen</t>
  </si>
  <si>
    <t>gelegenen</t>
  </si>
  <si>
    <t>epische</t>
  </si>
  <si>
    <t>scheinwerferlicht</t>
  </si>
  <si>
    <t>umgenietet</t>
  </si>
  <si>
    <t>bulimie</t>
  </si>
  <si>
    <t>ouvertüre</t>
  </si>
  <si>
    <t>herne</t>
  </si>
  <si>
    <t>phantome</t>
  </si>
  <si>
    <t>bram</t>
  </si>
  <si>
    <t>verspäte</t>
  </si>
  <si>
    <t>lynda</t>
  </si>
  <si>
    <t>blindlings</t>
  </si>
  <si>
    <t>impala</t>
  </si>
  <si>
    <t>petter</t>
  </si>
  <si>
    <t>leichtere</t>
  </si>
  <si>
    <t>folterte</t>
  </si>
  <si>
    <t>prustet</t>
  </si>
  <si>
    <t>schlüter</t>
  </si>
  <si>
    <t>olivias</t>
  </si>
  <si>
    <t>weiterzukommen</t>
  </si>
  <si>
    <t>selbstbewusster</t>
  </si>
  <si>
    <t>haag</t>
  </si>
  <si>
    <t>großmut</t>
  </si>
  <si>
    <t>zurückreisen</t>
  </si>
  <si>
    <t>glücksrad</t>
  </si>
  <si>
    <t>beglaubigt</t>
  </si>
  <si>
    <t>meeresspiegel</t>
  </si>
  <si>
    <t>salome</t>
  </si>
  <si>
    <t>ablief</t>
  </si>
  <si>
    <t>schlafgemach</t>
  </si>
  <si>
    <t>gemolken</t>
  </si>
  <si>
    <t>alltäglich</t>
  </si>
  <si>
    <t>oakley</t>
  </si>
  <si>
    <t>holographische</t>
  </si>
  <si>
    <t>chulak</t>
  </si>
  <si>
    <t>blutwerte</t>
  </si>
  <si>
    <t>hegst</t>
  </si>
  <si>
    <t>durchziehst</t>
  </si>
  <si>
    <t>grauenvollen</t>
  </si>
  <si>
    <t>eierkuchen</t>
  </si>
  <si>
    <t>wegnahm</t>
  </si>
  <si>
    <t>angelehnt</t>
  </si>
  <si>
    <t>shun</t>
  </si>
  <si>
    <t>liessen</t>
  </si>
  <si>
    <t>probelauf</t>
  </si>
  <si>
    <t>babineaux</t>
  </si>
  <si>
    <t>schaurig</t>
  </si>
  <si>
    <t>reingeworfen</t>
  </si>
  <si>
    <t>gegrilltes</t>
  </si>
  <si>
    <t>hintertreppe</t>
  </si>
  <si>
    <t>zek</t>
  </si>
  <si>
    <t>haarnadel</t>
  </si>
  <si>
    <t>nagasaki</t>
  </si>
  <si>
    <t>maexchen</t>
  </si>
  <si>
    <t>fahndet</t>
  </si>
  <si>
    <t>marzipan</t>
  </si>
  <si>
    <t>drive-in</t>
  </si>
  <si>
    <t>fleischklops</t>
  </si>
  <si>
    <t>schlingen</t>
  </si>
  <si>
    <t>aleister</t>
  </si>
  <si>
    <t>nichtmehr</t>
  </si>
  <si>
    <t>weltberühmten</t>
  </si>
  <si>
    <t>anpasst</t>
  </si>
  <si>
    <t>hühnerfarm</t>
  </si>
  <si>
    <t>versorgte</t>
  </si>
  <si>
    <t>sooo</t>
  </si>
  <si>
    <t>vorlese</t>
  </si>
  <si>
    <t>mormonen</t>
  </si>
  <si>
    <t>vertraulichkeit</t>
  </si>
  <si>
    <t>mcmillan</t>
  </si>
  <si>
    <t>zelenka</t>
  </si>
  <si>
    <t>kübel</t>
  </si>
  <si>
    <t>gestraft</t>
  </si>
  <si>
    <t>stabiles</t>
  </si>
  <si>
    <t>sallys</t>
  </si>
  <si>
    <t>kümmre</t>
  </si>
  <si>
    <t>lauffeuer</t>
  </si>
  <si>
    <t>augentropfen</t>
  </si>
  <si>
    <t>lieblingsstelle</t>
  </si>
  <si>
    <t>seitentür</t>
  </si>
  <si>
    <t>einmarschiert</t>
  </si>
  <si>
    <t>windbeutel</t>
  </si>
  <si>
    <t>dienstmagd</t>
  </si>
  <si>
    <t>übergeht</t>
  </si>
  <si>
    <t>gedankenleser</t>
  </si>
  <si>
    <t>varga</t>
  </si>
  <si>
    <t>ersatzteil</t>
  </si>
  <si>
    <t>körperteilen</t>
  </si>
  <si>
    <t>mil</t>
  </si>
  <si>
    <t>herumtragen</t>
  </si>
  <si>
    <t>hundefänger</t>
  </si>
  <si>
    <t>wegschauen</t>
  </si>
  <si>
    <t>commanders</t>
  </si>
  <si>
    <t>aufgebläht</t>
  </si>
  <si>
    <t>pummelchen</t>
  </si>
  <si>
    <t>okey-dokey</t>
  </si>
  <si>
    <t>stempeln</t>
  </si>
  <si>
    <t>mineral</t>
  </si>
  <si>
    <t>kaitlin</t>
  </si>
  <si>
    <t>reinzubringen</t>
  </si>
  <si>
    <t>monokel</t>
  </si>
  <si>
    <t>vergrößere</t>
  </si>
  <si>
    <t>ränge</t>
  </si>
  <si>
    <t>wendigo</t>
  </si>
  <si>
    <t>hawley</t>
  </si>
  <si>
    <t>judentum</t>
  </si>
  <si>
    <t>orientiert</t>
  </si>
  <si>
    <t>bedeutendste</t>
  </si>
  <si>
    <t>technicolor</t>
  </si>
  <si>
    <t>breitete</t>
  </si>
  <si>
    <t>16-jährigen</t>
  </si>
  <si>
    <t>chalky</t>
  </si>
  <si>
    <t>morgendlichen</t>
  </si>
  <si>
    <t>jean-baptiste</t>
  </si>
  <si>
    <t>rouen</t>
  </si>
  <si>
    <t>messenger</t>
  </si>
  <si>
    <t>posttraumatische</t>
  </si>
  <si>
    <t>stargates</t>
  </si>
  <si>
    <t>phobie</t>
  </si>
  <si>
    <t>löffelchen</t>
  </si>
  <si>
    <t>messerstecherei</t>
  </si>
  <si>
    <t>alleinlassen</t>
  </si>
  <si>
    <t>dummy</t>
  </si>
  <si>
    <t>gael</t>
  </si>
  <si>
    <t>bordelle</t>
  </si>
  <si>
    <t>erhängte</t>
  </si>
  <si>
    <t>scheibenwischer</t>
  </si>
  <si>
    <t>zerspringt</t>
  </si>
  <si>
    <t>platziere</t>
  </si>
  <si>
    <t>arztpraxis</t>
  </si>
  <si>
    <t>laredo</t>
  </si>
  <si>
    <t>erstarrte</t>
  </si>
  <si>
    <t>nelke</t>
  </si>
  <si>
    <t>passepartout</t>
  </si>
  <si>
    <t>unumgänglich</t>
  </si>
  <si>
    <t>zusammenfügen</t>
  </si>
  <si>
    <t>zerhacken</t>
  </si>
  <si>
    <t>iß</t>
  </si>
  <si>
    <t>notwendiges</t>
  </si>
  <si>
    <t>bohrmaschine</t>
  </si>
  <si>
    <t>unterhältst</t>
  </si>
  <si>
    <t>gekracht</t>
  </si>
  <si>
    <t>gefürchtete</t>
  </si>
  <si>
    <t>expandiert</t>
  </si>
  <si>
    <t>hochwasser</t>
  </si>
  <si>
    <t>heldenmut</t>
  </si>
  <si>
    <t>corrado</t>
  </si>
  <si>
    <t>erziehe</t>
  </si>
  <si>
    <t>melman</t>
  </si>
  <si>
    <t>dortigen</t>
  </si>
  <si>
    <t>konsistenz</t>
  </si>
  <si>
    <t>fechter</t>
  </si>
  <si>
    <t>cheney</t>
  </si>
  <si>
    <t>trott</t>
  </si>
  <si>
    <t>hypothetische</t>
  </si>
  <si>
    <t>flugkörper</t>
  </si>
  <si>
    <t>jona</t>
  </si>
  <si>
    <t>das-</t>
  </si>
  <si>
    <t>reina</t>
  </si>
  <si>
    <t>durchgefahren</t>
  </si>
  <si>
    <t>füllten</t>
  </si>
  <si>
    <t>vampirjäger</t>
  </si>
  <si>
    <t>hütchen</t>
  </si>
  <si>
    <t>sägemühle</t>
  </si>
  <si>
    <t>osterhasen</t>
  </si>
  <si>
    <t>schweinebacke</t>
  </si>
  <si>
    <t>ut</t>
  </si>
  <si>
    <t>neurologischen</t>
  </si>
  <si>
    <t>heineken</t>
  </si>
  <si>
    <t>griselda</t>
  </si>
  <si>
    <t>excuse</t>
  </si>
  <si>
    <t>weiterfliegen</t>
  </si>
  <si>
    <t>survivor</t>
  </si>
  <si>
    <t>halbtags</t>
  </si>
  <si>
    <t>kühnsten</t>
  </si>
  <si>
    <t>prägt</t>
  </si>
  <si>
    <t>berufungsgericht</t>
  </si>
  <si>
    <t>gelenkig</t>
  </si>
  <si>
    <t>hurenhaus</t>
  </si>
  <si>
    <t>rangenommen</t>
  </si>
  <si>
    <t>präfekten</t>
  </si>
  <si>
    <t>reibung</t>
  </si>
  <si>
    <t>hüah</t>
  </si>
  <si>
    <t>umfällt</t>
  </si>
  <si>
    <t>heit</t>
  </si>
  <si>
    <t>capt.</t>
  </si>
  <si>
    <t>amtshandlung</t>
  </si>
  <si>
    <t>carmilla</t>
  </si>
  <si>
    <t>faschistischen</t>
  </si>
  <si>
    <t>session</t>
  </si>
  <si>
    <t>ehrenwert</t>
  </si>
  <si>
    <t>großmütter</t>
  </si>
  <si>
    <t>umweltschützer</t>
  </si>
  <si>
    <t>boudoir</t>
  </si>
  <si>
    <t>geneviève</t>
  </si>
  <si>
    <t>moreland</t>
  </si>
  <si>
    <t>schneekönigin</t>
  </si>
  <si>
    <t>kunstschule</t>
  </si>
  <si>
    <t>fabelhaftes</t>
  </si>
  <si>
    <t>olesons</t>
  </si>
  <si>
    <t>bezichtigen</t>
  </si>
  <si>
    <t>lektor</t>
  </si>
  <si>
    <t>erstaunlicherweise</t>
  </si>
  <si>
    <t>befruchtet</t>
  </si>
  <si>
    <t>steinberg</t>
  </si>
  <si>
    <t>raufbold</t>
  </si>
  <si>
    <t>abzusichern</t>
  </si>
  <si>
    <t>polizeilichen</t>
  </si>
  <si>
    <t>golfkrieg</t>
  </si>
  <si>
    <t>feuernation</t>
  </si>
  <si>
    <t>hanswurst</t>
  </si>
  <si>
    <t>kampfstern</t>
  </si>
  <si>
    <t>ausgestoßene</t>
  </si>
  <si>
    <t>parish</t>
  </si>
  <si>
    <t>phantastische</t>
  </si>
  <si>
    <t>nachhut</t>
  </si>
  <si>
    <t>toros</t>
  </si>
  <si>
    <t>deut</t>
  </si>
  <si>
    <t>rückst</t>
  </si>
  <si>
    <t>einziehst</t>
  </si>
  <si>
    <t>leidenschaftlichen</t>
  </si>
  <si>
    <t>ekelhafter</t>
  </si>
  <si>
    <t>zusetzen</t>
  </si>
  <si>
    <t>fürsprecher</t>
  </si>
  <si>
    <t>oink</t>
  </si>
  <si>
    <t>halbjahr</t>
  </si>
  <si>
    <t>ungelöst</t>
  </si>
  <si>
    <t>rai</t>
  </si>
  <si>
    <t>bildnis</t>
  </si>
  <si>
    <t>efraim</t>
  </si>
  <si>
    <t>raufen</t>
  </si>
  <si>
    <t>ruber</t>
  </si>
  <si>
    <t>ansporn</t>
  </si>
  <si>
    <t>ausgewachsene</t>
  </si>
  <si>
    <t>semmeln</t>
  </si>
  <si>
    <t>aden</t>
  </si>
  <si>
    <t>rumschubsen</t>
  </si>
  <si>
    <t>abgedroschen</t>
  </si>
  <si>
    <t>detektor</t>
  </si>
  <si>
    <t>émilie</t>
  </si>
  <si>
    <t>gehoert</t>
  </si>
  <si>
    <t>esser</t>
  </si>
  <si>
    <t>grass</t>
  </si>
  <si>
    <t>tobte</t>
  </si>
  <si>
    <t>bout</t>
  </si>
  <si>
    <t>kröger</t>
  </si>
  <si>
    <t>geistergeschichten</t>
  </si>
  <si>
    <t>informativ</t>
  </si>
  <si>
    <t>handabdruck</t>
  </si>
  <si>
    <t>trauerst</t>
  </si>
  <si>
    <t>meinesgleichen</t>
  </si>
  <si>
    <t>valiant</t>
  </si>
  <si>
    <t>erschlägt</t>
  </si>
  <si>
    <t>vermachen</t>
  </si>
  <si>
    <t>scheißkarre</t>
  </si>
  <si>
    <t>missen</t>
  </si>
  <si>
    <t>anleger</t>
  </si>
  <si>
    <t>parkverbot</t>
  </si>
  <si>
    <t>elektra</t>
  </si>
  <si>
    <t>u-bahn-station</t>
  </si>
  <si>
    <t>trill</t>
  </si>
  <si>
    <t>besenstiel</t>
  </si>
  <si>
    <t>höfe</t>
  </si>
  <si>
    <t>verrieten</t>
  </si>
  <si>
    <t>ungetüm</t>
  </si>
  <si>
    <t>riegelt</t>
  </si>
  <si>
    <t>baumeister</t>
  </si>
  <si>
    <t>matuschek</t>
  </si>
  <si>
    <t>defizit</t>
  </si>
  <si>
    <t>verschollenen</t>
  </si>
  <si>
    <t>todeszone</t>
  </si>
  <si>
    <t>jagdsaison</t>
  </si>
  <si>
    <t>plappert</t>
  </si>
  <si>
    <t>vermutest</t>
  </si>
  <si>
    <t>briefbeschwerer</t>
  </si>
  <si>
    <t>fürchterlicher</t>
  </si>
  <si>
    <t>entweichen</t>
  </si>
  <si>
    <t>schärpe</t>
  </si>
  <si>
    <t>attica</t>
  </si>
  <si>
    <t>einfacheren</t>
  </si>
  <si>
    <t>befürwortet</t>
  </si>
  <si>
    <t>schoen</t>
  </si>
  <si>
    <t>ausgebildeten</t>
  </si>
  <si>
    <t>vorladungen</t>
  </si>
  <si>
    <t>unas</t>
  </si>
  <si>
    <t>randel</t>
  </si>
  <si>
    <t>tus</t>
  </si>
  <si>
    <t>kurtisane</t>
  </si>
  <si>
    <t>bonds</t>
  </si>
  <si>
    <t>sonstwas</t>
  </si>
  <si>
    <t>pod</t>
  </si>
  <si>
    <t>zweitrangig</t>
  </si>
  <si>
    <t>anden</t>
  </si>
  <si>
    <t>rücksichtslose</t>
  </si>
  <si>
    <t>poste</t>
  </si>
  <si>
    <t>flower</t>
  </si>
  <si>
    <t>kristoffer</t>
  </si>
  <si>
    <t>auftrags</t>
  </si>
  <si>
    <t>angehoben</t>
  </si>
  <si>
    <t>router</t>
  </si>
  <si>
    <t>unerwarteter</t>
  </si>
  <si>
    <t>blitzt</t>
  </si>
  <si>
    <t>legionäre</t>
  </si>
  <si>
    <t>registrierten</t>
  </si>
  <si>
    <t>zustieß</t>
  </si>
  <si>
    <t>fossilien</t>
  </si>
  <si>
    <t>petite</t>
  </si>
  <si>
    <t>faxgerät</t>
  </si>
  <si>
    <t>gekaut</t>
  </si>
  <si>
    <t>größenwahnsinnig</t>
  </si>
  <si>
    <t>ausmisten</t>
  </si>
  <si>
    <t>fähnchen</t>
  </si>
  <si>
    <t>manga</t>
  </si>
  <si>
    <t>quasimodo</t>
  </si>
  <si>
    <t>aisha</t>
  </si>
  <si>
    <t>hochgehoben</t>
  </si>
  <si>
    <t>latimer</t>
  </si>
  <si>
    <t>hoffa</t>
  </si>
  <si>
    <t>aussichtspunkt</t>
  </si>
  <si>
    <t>verprügelst</t>
  </si>
  <si>
    <t>bolzenschneider</t>
  </si>
  <si>
    <t>fütter</t>
  </si>
  <si>
    <t>tetsu</t>
  </si>
  <si>
    <t>wassermelonen</t>
  </si>
  <si>
    <t>beabsichtigte</t>
  </si>
  <si>
    <t>lissa</t>
  </si>
  <si>
    <t>magnesium</t>
  </si>
  <si>
    <t>bewohnbar</t>
  </si>
  <si>
    <t>vidal</t>
  </si>
  <si>
    <t>begutachtet</t>
  </si>
  <si>
    <t>chefredakteurin</t>
  </si>
  <si>
    <t>aufzukreuzen</t>
  </si>
  <si>
    <t>passé</t>
  </si>
  <si>
    <t>tsukiko</t>
  </si>
  <si>
    <t>gerüchteküche</t>
  </si>
  <si>
    <t>eck</t>
  </si>
  <si>
    <t>sprengkörper</t>
  </si>
  <si>
    <t>tiefschlaf</t>
  </si>
  <si>
    <t>usher</t>
  </si>
  <si>
    <t>reiseroute</t>
  </si>
  <si>
    <t>brutzeln</t>
  </si>
  <si>
    <t>hinzufahren</t>
  </si>
  <si>
    <t>plattgemacht</t>
  </si>
  <si>
    <t>tagchen</t>
  </si>
  <si>
    <t>aktueller</t>
  </si>
  <si>
    <t>momma</t>
  </si>
  <si>
    <t>unger</t>
  </si>
  <si>
    <t>beryl</t>
  </si>
  <si>
    <t>fishers</t>
  </si>
  <si>
    <t>plausible</t>
  </si>
  <si>
    <t>behaglich</t>
  </si>
  <si>
    <t>blödian</t>
  </si>
  <si>
    <t>anstarrst</t>
  </si>
  <si>
    <t>dashwood</t>
  </si>
  <si>
    <t>schändlichen</t>
  </si>
  <si>
    <t>pujol</t>
  </si>
  <si>
    <t>supergut</t>
  </si>
  <si>
    <t>downs</t>
  </si>
  <si>
    <t>oberschule</t>
  </si>
  <si>
    <t>engster</t>
  </si>
  <si>
    <t>rückgang</t>
  </si>
  <si>
    <t>jungfern</t>
  </si>
  <si>
    <t>klimawandel</t>
  </si>
  <si>
    <t>sichereren</t>
  </si>
  <si>
    <t>gewissem</t>
  </si>
  <si>
    <t>sima</t>
  </si>
  <si>
    <t>zwerchfell</t>
  </si>
  <si>
    <t>traumes</t>
  </si>
  <si>
    <t>klassenfahrt</t>
  </si>
  <si>
    <t>sporttasche</t>
  </si>
  <si>
    <t>bodenständig</t>
  </si>
  <si>
    <t>grantig</t>
  </si>
  <si>
    <t>bescheuertes</t>
  </si>
  <si>
    <t>zusammenarbeite</t>
  </si>
  <si>
    <t>bemitleidet</t>
  </si>
  <si>
    <t>flammenschwert</t>
  </si>
  <si>
    <t>ostwind</t>
  </si>
  <si>
    <t>allens</t>
  </si>
  <si>
    <t>hauptcomputer</t>
  </si>
  <si>
    <t>tide</t>
  </si>
  <si>
    <t>ausgehoben</t>
  </si>
  <si>
    <t>woodrow</t>
  </si>
  <si>
    <t>blogger</t>
  </si>
  <si>
    <t>trauten</t>
  </si>
  <si>
    <t>fahrzeugs</t>
  </si>
  <si>
    <t>chess</t>
  </si>
  <si>
    <t>sniper</t>
  </si>
  <si>
    <t>juanito</t>
  </si>
  <si>
    <t>laroche</t>
  </si>
  <si>
    <t>nahestehen</t>
  </si>
  <si>
    <t>schoner</t>
  </si>
  <si>
    <t>waffengeschäft</t>
  </si>
  <si>
    <t>entgegengesetzte</t>
  </si>
  <si>
    <t>codiert</t>
  </si>
  <si>
    <t>gelöbnis</t>
  </si>
  <si>
    <t>byrde</t>
  </si>
  <si>
    <t>heraufbeschworen</t>
  </si>
  <si>
    <t>weihnachtslieder</t>
  </si>
  <si>
    <t>nachweisbar</t>
  </si>
  <si>
    <t>symposium</t>
  </si>
  <si>
    <t>jobe</t>
  </si>
  <si>
    <t>fünkchen</t>
  </si>
  <si>
    <t>chte</t>
  </si>
  <si>
    <t>manitowoc</t>
  </si>
  <si>
    <t>gesundheitswesen</t>
  </si>
  <si>
    <t>fate</t>
  </si>
  <si>
    <t>thronfolge</t>
  </si>
  <si>
    <t>überdeckt</t>
  </si>
  <si>
    <t>haleh</t>
  </si>
  <si>
    <t>erwisch</t>
  </si>
  <si>
    <t>achille</t>
  </si>
  <si>
    <t>conrads</t>
  </si>
  <si>
    <t>fehlschläge</t>
  </si>
  <si>
    <t>bewirbst</t>
  </si>
  <si>
    <t>neune</t>
  </si>
  <si>
    <t>lauwarm</t>
  </si>
  <si>
    <t>playoffs</t>
  </si>
  <si>
    <t>entflohene</t>
  </si>
  <si>
    <t>piraterie</t>
  </si>
  <si>
    <t>was-</t>
  </si>
  <si>
    <t>checker</t>
  </si>
  <si>
    <t>fahrgemeinschaft</t>
  </si>
  <si>
    <t>prachtvolle</t>
  </si>
  <si>
    <t>generieren</t>
  </si>
  <si>
    <t>stirnband</t>
  </si>
  <si>
    <t>jahrzehntelang</t>
  </si>
  <si>
    <t>widerruf</t>
  </si>
  <si>
    <t>heaulme</t>
  </si>
  <si>
    <t>bestimmungsort</t>
  </si>
  <si>
    <t>toleriere</t>
  </si>
  <si>
    <t>telegraph</t>
  </si>
  <si>
    <t>fluche</t>
  </si>
  <si>
    <t>zweideutig</t>
  </si>
  <si>
    <t>rüstungen</t>
  </si>
  <si>
    <t>tellerrand</t>
  </si>
  <si>
    <t>entleert</t>
  </si>
  <si>
    <t>skaten</t>
  </si>
  <si>
    <t>autobiografie</t>
  </si>
  <si>
    <t>revolutionieren</t>
  </si>
  <si>
    <t>ziffer</t>
  </si>
  <si>
    <t>portugiese</t>
  </si>
  <si>
    <t>strapazieren</t>
  </si>
  <si>
    <t>prominenter</t>
  </si>
  <si>
    <t>yachthafen</t>
  </si>
  <si>
    <t>eindeutiger</t>
  </si>
  <si>
    <t>kaltherzig</t>
  </si>
  <si>
    <t>aussortiert</t>
  </si>
  <si>
    <t>salate</t>
  </si>
  <si>
    <t>reissen</t>
  </si>
  <si>
    <t>portugiesen</t>
  </si>
  <si>
    <t>titelsong</t>
  </si>
  <si>
    <t>bundesbehörden</t>
  </si>
  <si>
    <t>sickert</t>
  </si>
  <si>
    <t>zubringen</t>
  </si>
  <si>
    <t>grütze</t>
  </si>
  <si>
    <t>sergeants</t>
  </si>
  <si>
    <t>trüb</t>
  </si>
  <si>
    <t>tonto</t>
  </si>
  <si>
    <t>edwardes</t>
  </si>
  <si>
    <t>pessimist</t>
  </si>
  <si>
    <t>lapdance</t>
  </si>
  <si>
    <t>operations</t>
  </si>
  <si>
    <t>beschränkte</t>
  </si>
  <si>
    <t>nachahmung</t>
  </si>
  <si>
    <t>bestatten</t>
  </si>
  <si>
    <t>geschöpft</t>
  </si>
  <si>
    <t>joyful</t>
  </si>
  <si>
    <t>rausging</t>
  </si>
  <si>
    <t>stooges</t>
  </si>
  <si>
    <t>verzauberten</t>
  </si>
  <si>
    <t>verkriecht</t>
  </si>
  <si>
    <t>todesstern</t>
  </si>
  <si>
    <t>spiegelung</t>
  </si>
  <si>
    <t>mathilda</t>
  </si>
  <si>
    <t>durchgegeben</t>
  </si>
  <si>
    <t>tweed</t>
  </si>
  <si>
    <t>slum</t>
  </si>
  <si>
    <t>bescheinigung</t>
  </si>
  <si>
    <t>hingenommen</t>
  </si>
  <si>
    <t>raschelt</t>
  </si>
  <si>
    <t>aragon</t>
  </si>
  <si>
    <t>tomatensoße</t>
  </si>
  <si>
    <t>kognitive</t>
  </si>
  <si>
    <t>angetroffen</t>
  </si>
  <si>
    <t>vintage</t>
  </si>
  <si>
    <t>zacken</t>
  </si>
  <si>
    <t>daytona</t>
  </si>
  <si>
    <t>genozid</t>
  </si>
  <si>
    <t>bonne</t>
  </si>
  <si>
    <t>weiterverfolgen</t>
  </si>
  <si>
    <t>arabella</t>
  </si>
  <si>
    <t>ausschreitungen</t>
  </si>
  <si>
    <t>beeindruckenden</t>
  </si>
  <si>
    <t>befreist</t>
  </si>
  <si>
    <t>notdienst</t>
  </si>
  <si>
    <t>barýþ</t>
  </si>
  <si>
    <t>mandi</t>
  </si>
  <si>
    <t>kellers</t>
  </si>
  <si>
    <t>hallihallo</t>
  </si>
  <si>
    <t>amateuren</t>
  </si>
  <si>
    <t>reinhardt</t>
  </si>
  <si>
    <t>ning</t>
  </si>
  <si>
    <t>draufhaben</t>
  </si>
  <si>
    <t>runder</t>
  </si>
  <si>
    <t>ermittlern</t>
  </si>
  <si>
    <t>teufelin</t>
  </si>
  <si>
    <t>rauslässt</t>
  </si>
  <si>
    <t>giftiger</t>
  </si>
  <si>
    <t>petri</t>
  </si>
  <si>
    <t>unabhängigkeitserklärung</t>
  </si>
  <si>
    <t>azrael</t>
  </si>
  <si>
    <t>zöllner</t>
  </si>
  <si>
    <t>sowjetischer</t>
  </si>
  <si>
    <t>haitianer</t>
  </si>
  <si>
    <t>kardiologie</t>
  </si>
  <si>
    <t>tschechische</t>
  </si>
  <si>
    <t>17-jährige</t>
  </si>
  <si>
    <t>züchter</t>
  </si>
  <si>
    <t>beruflicher</t>
  </si>
  <si>
    <t>unhold</t>
  </si>
  <si>
    <t>harpers</t>
  </si>
  <si>
    <t>zurückbekomme</t>
  </si>
  <si>
    <t>klecks</t>
  </si>
  <si>
    <t>stadthaus</t>
  </si>
  <si>
    <t>sichten</t>
  </si>
  <si>
    <t>gehorsamst</t>
  </si>
  <si>
    <t>standes</t>
  </si>
  <si>
    <t>säugetier</t>
  </si>
  <si>
    <t>klärst</t>
  </si>
  <si>
    <t>begabten</t>
  </si>
  <si>
    <t>geldautomat</t>
  </si>
  <si>
    <t>spendete</t>
  </si>
  <si>
    <t>hendrik</t>
  </si>
  <si>
    <t>bitcoin</t>
  </si>
  <si>
    <t>fraktionen</t>
  </si>
  <si>
    <t>lachende</t>
  </si>
  <si>
    <t>bestärkt</t>
  </si>
  <si>
    <t>zahllosen</t>
  </si>
  <si>
    <t>fahrbahn</t>
  </si>
  <si>
    <t>beklagten</t>
  </si>
  <si>
    <t>verbreiteten</t>
  </si>
  <si>
    <t>himmelswillen</t>
  </si>
  <si>
    <t>ranges</t>
  </si>
  <si>
    <t>gewieft</t>
  </si>
  <si>
    <t>ssr</t>
  </si>
  <si>
    <t>megafon</t>
  </si>
  <si>
    <t>sammele</t>
  </si>
  <si>
    <t>parkst</t>
  </si>
  <si>
    <t>empfindsam</t>
  </si>
  <si>
    <t>vorletzten</t>
  </si>
  <si>
    <t>geschichtsbücher</t>
  </si>
  <si>
    <t>orientierungssinn</t>
  </si>
  <si>
    <t>laie</t>
  </si>
  <si>
    <t>botenjunge</t>
  </si>
  <si>
    <t>streunende</t>
  </si>
  <si>
    <t>gebellt</t>
  </si>
  <si>
    <t>prellung</t>
  </si>
  <si>
    <t>schmierige</t>
  </si>
  <si>
    <t>innovativ</t>
  </si>
  <si>
    <t>fremdenlegion</t>
  </si>
  <si>
    <t>klügere</t>
  </si>
  <si>
    <t>pornographie</t>
  </si>
  <si>
    <t>bewach</t>
  </si>
  <si>
    <t>weihnachtsstimmung</t>
  </si>
  <si>
    <t>materials</t>
  </si>
  <si>
    <t>außerordentlichen</t>
  </si>
  <si>
    <t>sprengfalle</t>
  </si>
  <si>
    <t>uneingeladen</t>
  </si>
  <si>
    <t>kriegsgefangenenlager</t>
  </si>
  <si>
    <t>öfen</t>
  </si>
  <si>
    <t>20-jährigen</t>
  </si>
  <si>
    <t>gestüt</t>
  </si>
  <si>
    <t>heiligem</t>
  </si>
  <si>
    <t>kollidieren</t>
  </si>
  <si>
    <t>kollabierte</t>
  </si>
  <si>
    <t>cc</t>
  </si>
  <si>
    <t>faltet</t>
  </si>
  <si>
    <t>zurückweichen</t>
  </si>
  <si>
    <t>heilst</t>
  </si>
  <si>
    <t>intimes</t>
  </si>
  <si>
    <t>reling</t>
  </si>
  <si>
    <t>nähten</t>
  </si>
  <si>
    <t>freikarten</t>
  </si>
  <si>
    <t>svensson</t>
  </si>
  <si>
    <t>arbeitsbedingungen</t>
  </si>
  <si>
    <t>herzlichst</t>
  </si>
  <si>
    <t>bowlingkugel</t>
  </si>
  <si>
    <t>stoney</t>
  </si>
  <si>
    <t>wohnblock</t>
  </si>
  <si>
    <t>besessener</t>
  </si>
  <si>
    <t>kiefern</t>
  </si>
  <si>
    <t>scheffeln</t>
  </si>
  <si>
    <t>chauncey</t>
  </si>
  <si>
    <t>flexibilität</t>
  </si>
  <si>
    <t>eckat</t>
  </si>
  <si>
    <t>trivial</t>
  </si>
  <si>
    <t>vertrauensvoll</t>
  </si>
  <si>
    <t>lägen</t>
  </si>
  <si>
    <t>c.j.</t>
  </si>
  <si>
    <t>weltbevölkerung</t>
  </si>
  <si>
    <t>nadir</t>
  </si>
  <si>
    <t>epps</t>
  </si>
  <si>
    <t>dascha</t>
  </si>
  <si>
    <t>kortex</t>
  </si>
  <si>
    <t>ou</t>
  </si>
  <si>
    <t>hughie</t>
  </si>
  <si>
    <t>bedrohst</t>
  </si>
  <si>
    <t>coffy</t>
  </si>
  <si>
    <t>durchhaltevermögen</t>
  </si>
  <si>
    <t>minh</t>
  </si>
  <si>
    <t>englischlehrer</t>
  </si>
  <si>
    <t>suppen</t>
  </si>
  <si>
    <t>nachzumachen</t>
  </si>
  <si>
    <t>genny</t>
  </si>
  <si>
    <t>schlägern</t>
  </si>
  <si>
    <t>würg</t>
  </si>
  <si>
    <t>geröntgt</t>
  </si>
  <si>
    <t>ritze</t>
  </si>
  <si>
    <t>obenauf</t>
  </si>
  <si>
    <t>saber</t>
  </si>
  <si>
    <t>abflussrohr</t>
  </si>
  <si>
    <t>calamity</t>
  </si>
  <si>
    <t>stepptanz</t>
  </si>
  <si>
    <t>hinzustellen</t>
  </si>
  <si>
    <t>behagt</t>
  </si>
  <si>
    <t>mms</t>
  </si>
  <si>
    <t>fregatte</t>
  </si>
  <si>
    <t>leffingwell</t>
  </si>
  <si>
    <t>goode</t>
  </si>
  <si>
    <t>isolierband</t>
  </si>
  <si>
    <t>regierungsgebäude</t>
  </si>
  <si>
    <t>geklagt</t>
  </si>
  <si>
    <t>tight</t>
  </si>
  <si>
    <t>griesgrämig</t>
  </si>
  <si>
    <t>oregano</t>
  </si>
  <si>
    <t>chapel</t>
  </si>
  <si>
    <t>horizontal</t>
  </si>
  <si>
    <t>holzkohle</t>
  </si>
  <si>
    <t>laborratten</t>
  </si>
  <si>
    <t>armbruster</t>
  </si>
  <si>
    <t>beruhte</t>
  </si>
  <si>
    <t>polizeistaat</t>
  </si>
  <si>
    <t>hochgefahren</t>
  </si>
  <si>
    <t>gelockert</t>
  </si>
  <si>
    <t>leberversagen</t>
  </si>
  <si>
    <t>lazar</t>
  </si>
  <si>
    <t>vonnöten</t>
  </si>
  <si>
    <t>kostest</t>
  </si>
  <si>
    <t>lab</t>
  </si>
  <si>
    <t>lito</t>
  </si>
  <si>
    <t>eingehende</t>
  </si>
  <si>
    <t>verweigerst</t>
  </si>
  <si>
    <t>heroische</t>
  </si>
  <si>
    <t>startschuss</t>
  </si>
  <si>
    <t>pearly</t>
  </si>
  <si>
    <t>couture</t>
  </si>
  <si>
    <t>löffeln</t>
  </si>
  <si>
    <t>tuscheln</t>
  </si>
  <si>
    <t>doron</t>
  </si>
  <si>
    <t>zurechtkommt</t>
  </si>
  <si>
    <t>plattenladen</t>
  </si>
  <si>
    <t>turbinen</t>
  </si>
  <si>
    <t>ängstliches</t>
  </si>
  <si>
    <t>h.r.</t>
  </si>
  <si>
    <t>wasserflasche</t>
  </si>
  <si>
    <t>zielerfassung</t>
  </si>
  <si>
    <t>spult</t>
  </si>
  <si>
    <t>iljitsch</t>
  </si>
  <si>
    <t>feenstaub</t>
  </si>
  <si>
    <t>riesenarschloch</t>
  </si>
  <si>
    <t>lax</t>
  </si>
  <si>
    <t>brüten</t>
  </si>
  <si>
    <t>flats</t>
  </si>
  <si>
    <t>ägeus</t>
  </si>
  <si>
    <t>akzeptierten</t>
  </si>
  <si>
    <t>gemütlichkeit</t>
  </si>
  <si>
    <t>reingehauen</t>
  </si>
  <si>
    <t>wass</t>
  </si>
  <si>
    <t>bummeln</t>
  </si>
  <si>
    <t>verrutscht</t>
  </si>
  <si>
    <t>headset</t>
  </si>
  <si>
    <t>tudor</t>
  </si>
  <si>
    <t>heraushalten</t>
  </si>
  <si>
    <t>southfork</t>
  </si>
  <si>
    <t>sharma</t>
  </si>
  <si>
    <t>nachspionieren</t>
  </si>
  <si>
    <t>verkomplizieren</t>
  </si>
  <si>
    <t>mirko</t>
  </si>
  <si>
    <t>ausgeteilt</t>
  </si>
  <si>
    <t>jiddisch</t>
  </si>
  <si>
    <t>draufmachen</t>
  </si>
  <si>
    <t>frühlings</t>
  </si>
  <si>
    <t>albatros</t>
  </si>
  <si>
    <t>fabien</t>
  </si>
  <si>
    <t>know-how</t>
  </si>
  <si>
    <t>bas</t>
  </si>
  <si>
    <t>penetration</t>
  </si>
  <si>
    <t>vorfeld</t>
  </si>
  <si>
    <t>periskop</t>
  </si>
  <si>
    <t>kool</t>
  </si>
  <si>
    <t>babcock</t>
  </si>
  <si>
    <t>hausieren</t>
  </si>
  <si>
    <t>schnittstelle</t>
  </si>
  <si>
    <t>zugesprochen</t>
  </si>
  <si>
    <t>sitcom</t>
  </si>
  <si>
    <t>gallone</t>
  </si>
  <si>
    <t>gerichtsmediziners</t>
  </si>
  <si>
    <t>wunderlich</t>
  </si>
  <si>
    <t>stattlicher</t>
  </si>
  <si>
    <t>freikarte</t>
  </si>
  <si>
    <t>knietief</t>
  </si>
  <si>
    <t>résistance</t>
  </si>
  <si>
    <t>sali</t>
  </si>
  <si>
    <t>besichtigt</t>
  </si>
  <si>
    <t>sonderagent</t>
  </si>
  <si>
    <t>belaste</t>
  </si>
  <si>
    <t>highlight</t>
  </si>
  <si>
    <t>straßenecken</t>
  </si>
  <si>
    <t>lieblingsort</t>
  </si>
  <si>
    <t>parton</t>
  </si>
  <si>
    <t>vertreterin</t>
  </si>
  <si>
    <t>enthielten</t>
  </si>
  <si>
    <t>delegierte</t>
  </si>
  <si>
    <t>vergrub</t>
  </si>
  <si>
    <t>sheldons</t>
  </si>
  <si>
    <t>darrow</t>
  </si>
  <si>
    <t>implantieren</t>
  </si>
  <si>
    <t>garvin</t>
  </si>
  <si>
    <t>brodelt</t>
  </si>
  <si>
    <t>aufgetankt</t>
  </si>
  <si>
    <t>schmerzensgeld</t>
  </si>
  <si>
    <t>konditorei</t>
  </si>
  <si>
    <t>zusammenschluss</t>
  </si>
  <si>
    <t>kanton</t>
  </si>
  <si>
    <t>chocolat</t>
  </si>
  <si>
    <t>abgewartet</t>
  </si>
  <si>
    <t>durchforsten</t>
  </si>
  <si>
    <t>abgeglichen</t>
  </si>
  <si>
    <t>bewilligung</t>
  </si>
  <si>
    <t>borge</t>
  </si>
  <si>
    <t>vorlieb</t>
  </si>
  <si>
    <t>raushaben</t>
  </si>
  <si>
    <t>raumkapsel</t>
  </si>
  <si>
    <t>entlastung</t>
  </si>
  <si>
    <t>besprühen</t>
  </si>
  <si>
    <t>schatzamt</t>
  </si>
  <si>
    <t>kaffeekanne</t>
  </si>
  <si>
    <t>oeuvres</t>
  </si>
  <si>
    <t>kochkunst</t>
  </si>
  <si>
    <t>heimgebracht</t>
  </si>
  <si>
    <t>abenteuers</t>
  </si>
  <si>
    <t>aussetzt</t>
  </si>
  <si>
    <t>gestrüpp</t>
  </si>
  <si>
    <t>nebenraum</t>
  </si>
  <si>
    <t>bracken</t>
  </si>
  <si>
    <t>hechelt</t>
  </si>
  <si>
    <t>anheuerte</t>
  </si>
  <si>
    <t>duc</t>
  </si>
  <si>
    <t>stapelt</t>
  </si>
  <si>
    <t>passagen</t>
  </si>
  <si>
    <t>vergeudete</t>
  </si>
  <si>
    <t>verplempern</t>
  </si>
  <si>
    <t>albertine</t>
  </si>
  <si>
    <t>nachzügler</t>
  </si>
  <si>
    <t>kreißsaal</t>
  </si>
  <si>
    <t>urvampir</t>
  </si>
  <si>
    <t>yoyo</t>
  </si>
  <si>
    <t>badehaus</t>
  </si>
  <si>
    <t>buhrufe</t>
  </si>
  <si>
    <t>cleve</t>
  </si>
  <si>
    <t>schmerzhaften</t>
  </si>
  <si>
    <t>strickler</t>
  </si>
  <si>
    <t>manly</t>
  </si>
  <si>
    <t>naturkatastrophe</t>
  </si>
  <si>
    <t>mantra</t>
  </si>
  <si>
    <t>unreine</t>
  </si>
  <si>
    <t>singenden</t>
  </si>
  <si>
    <t>softie</t>
  </si>
  <si>
    <t>pedantisch</t>
  </si>
  <si>
    <t>malkovich</t>
  </si>
  <si>
    <t>roarke</t>
  </si>
  <si>
    <t>überflogen</t>
  </si>
  <si>
    <t>spitzenmäßig</t>
  </si>
  <si>
    <t>rasputin</t>
  </si>
  <si>
    <t>ransom</t>
  </si>
  <si>
    <t>wohlfühlt</t>
  </si>
  <si>
    <t>angibt</t>
  </si>
  <si>
    <t>sprudelt</t>
  </si>
  <si>
    <t>moneypenny</t>
  </si>
  <si>
    <t>vorzubringen</t>
  </si>
  <si>
    <t>blutzellen</t>
  </si>
  <si>
    <t>guitar</t>
  </si>
  <si>
    <t>trunken</t>
  </si>
  <si>
    <t>kulturell</t>
  </si>
  <si>
    <t>stanfield</t>
  </si>
  <si>
    <t>üb</t>
  </si>
  <si>
    <t>streichelte</t>
  </si>
  <si>
    <t>schrapnell</t>
  </si>
  <si>
    <t>geographic</t>
  </si>
  <si>
    <t>wiedersiehst</t>
  </si>
  <si>
    <t>mordserie</t>
  </si>
  <si>
    <t>froher</t>
  </si>
  <si>
    <t>tsui</t>
  </si>
  <si>
    <t>airbags</t>
  </si>
  <si>
    <t>mohr</t>
  </si>
  <si>
    <t>rogan</t>
  </si>
  <si>
    <t>tyra</t>
  </si>
  <si>
    <t>zusätzlicher</t>
  </si>
  <si>
    <t>miko</t>
  </si>
  <si>
    <t>pyle</t>
  </si>
  <si>
    <t>gwyneth</t>
  </si>
  <si>
    <t>schwellen</t>
  </si>
  <si>
    <t>datest</t>
  </si>
  <si>
    <t>frostbeulen</t>
  </si>
  <si>
    <t>metropole</t>
  </si>
  <si>
    <t>kurzgeschichte</t>
  </si>
  <si>
    <t>zähe</t>
  </si>
  <si>
    <t>bump</t>
  </si>
  <si>
    <t>hinzunehmen</t>
  </si>
  <si>
    <t>schleuderte</t>
  </si>
  <si>
    <t>rasmussen</t>
  </si>
  <si>
    <t>amberson</t>
  </si>
  <si>
    <t>klöster</t>
  </si>
  <si>
    <t>brit</t>
  </si>
  <si>
    <t>halter</t>
  </si>
  <si>
    <t>begrenzung</t>
  </si>
  <si>
    <t>putzig</t>
  </si>
  <si>
    <t>gestapelt</t>
  </si>
  <si>
    <t>lockst</t>
  </si>
  <si>
    <t>jogger</t>
  </si>
  <si>
    <t>inserat</t>
  </si>
  <si>
    <t>weihnachtsmänner</t>
  </si>
  <si>
    <t>subventionen</t>
  </si>
  <si>
    <t>haaransatz</t>
  </si>
  <si>
    <t>goldrichtig</t>
  </si>
  <si>
    <t>which</t>
  </si>
  <si>
    <t>schekel</t>
  </si>
  <si>
    <t>guilala</t>
  </si>
  <si>
    <t>angespuckt</t>
  </si>
  <si>
    <t>dinosauriern</t>
  </si>
  <si>
    <t>verschulden</t>
  </si>
  <si>
    <t>ermächtigt</t>
  </si>
  <si>
    <t>getting</t>
  </si>
  <si>
    <t>warrick</t>
  </si>
  <si>
    <t>beunruhigendes</t>
  </si>
  <si>
    <t>stöckelschuhe</t>
  </si>
  <si>
    <t>clou</t>
  </si>
  <si>
    <t>akustik</t>
  </si>
  <si>
    <t>überschwemmungen</t>
  </si>
  <si>
    <t>fsb</t>
  </si>
  <si>
    <t>rücke</t>
  </si>
  <si>
    <t>yvon</t>
  </si>
  <si>
    <t>drogendeal</t>
  </si>
  <si>
    <t>greifer</t>
  </si>
  <si>
    <t>ängstlicher</t>
  </si>
  <si>
    <t>wheaton</t>
  </si>
  <si>
    <t>entlegenen</t>
  </si>
  <si>
    <t>delano</t>
  </si>
  <si>
    <t>zeitverschiebung</t>
  </si>
  <si>
    <t>frömmigkeit</t>
  </si>
  <si>
    <t>mertens</t>
  </si>
  <si>
    <t>jagdhund</t>
  </si>
  <si>
    <t>finesse</t>
  </si>
  <si>
    <t>putzte</t>
  </si>
  <si>
    <t>kommentiert</t>
  </si>
  <si>
    <t>jungfräulich</t>
  </si>
  <si>
    <t>eingezeichnet</t>
  </si>
  <si>
    <t>dargelegt</t>
  </si>
  <si>
    <t>heiner</t>
  </si>
  <si>
    <t>furchtlose</t>
  </si>
  <si>
    <t>hinhören</t>
  </si>
  <si>
    <t>galiläa</t>
  </si>
  <si>
    <t>schlaglöcher</t>
  </si>
  <si>
    <t>webseiten</t>
  </si>
  <si>
    <t>rajesh</t>
  </si>
  <si>
    <t>trotteln</t>
  </si>
  <si>
    <t>konsultiert</t>
  </si>
  <si>
    <t>sicherheitsnetz</t>
  </si>
  <si>
    <t>mclaren</t>
  </si>
  <si>
    <t>schirme</t>
  </si>
  <si>
    <t>ruckzuck</t>
  </si>
  <si>
    <t>hereingelassen</t>
  </si>
  <si>
    <t>wärtern</t>
  </si>
  <si>
    <t>herumgeschnüffelt</t>
  </si>
  <si>
    <t>sichtungen</t>
  </si>
  <si>
    <t>mak</t>
  </si>
  <si>
    <t>häufigste</t>
  </si>
  <si>
    <t>verantwortlichkeit</t>
  </si>
  <si>
    <t>wettkämpfe</t>
  </si>
  <si>
    <t>hollys</t>
  </si>
  <si>
    <t>stewardessen</t>
  </si>
  <si>
    <t>stunk</t>
  </si>
  <si>
    <t>regentropfen</t>
  </si>
  <si>
    <t>förderer</t>
  </si>
  <si>
    <t>medizinschrank</t>
  </si>
  <si>
    <t>pu</t>
  </si>
  <si>
    <t>tierney</t>
  </si>
  <si>
    <t>briens</t>
  </si>
  <si>
    <t>doppelagentin</t>
  </si>
  <si>
    <t>salinas</t>
  </si>
  <si>
    <t>scheißteil</t>
  </si>
  <si>
    <t>panzerfaust</t>
  </si>
  <si>
    <t>argentinier</t>
  </si>
  <si>
    <t>veritas</t>
  </si>
  <si>
    <t>corinna</t>
  </si>
  <si>
    <t>musashi</t>
  </si>
  <si>
    <t>kearney</t>
  </si>
  <si>
    <t>durchgekaut</t>
  </si>
  <si>
    <t>satellitenbilder</t>
  </si>
  <si>
    <t>happyend</t>
  </si>
  <si>
    <t>random</t>
  </si>
  <si>
    <t>trotzig</t>
  </si>
  <si>
    <t>absahnen</t>
  </si>
  <si>
    <t>mcgrath</t>
  </si>
  <si>
    <t>schussbereit</t>
  </si>
  <si>
    <t>rausschmeißer</t>
  </si>
  <si>
    <t>nebenprodukt</t>
  </si>
  <si>
    <t>potomac</t>
  </si>
  <si>
    <t>zuzubereiten</t>
  </si>
  <si>
    <t>orang-utan</t>
  </si>
  <si>
    <t>exhumieren</t>
  </si>
  <si>
    <t>moshe</t>
  </si>
  <si>
    <t>schmort</t>
  </si>
  <si>
    <t>exizor</t>
  </si>
  <si>
    <t>wohlgefühlt</t>
  </si>
  <si>
    <t>scheuern</t>
  </si>
  <si>
    <t>kläglich</t>
  </si>
  <si>
    <t>küchenmesser</t>
  </si>
  <si>
    <t>dienstweg</t>
  </si>
  <si>
    <t>umfangreich</t>
  </si>
  <si>
    <t>dyle</t>
  </si>
  <si>
    <t>flugdeck</t>
  </si>
  <si>
    <t>vampirs</t>
  </si>
  <si>
    <t>rauskriege</t>
  </si>
  <si>
    <t>fußnägel</t>
  </si>
  <si>
    <t>aurelio</t>
  </si>
  <si>
    <t>nä</t>
  </si>
  <si>
    <t>piratenschiff</t>
  </si>
  <si>
    <t>umhaut</t>
  </si>
  <si>
    <t>friedvoll</t>
  </si>
  <si>
    <t>griesgram</t>
  </si>
  <si>
    <t>r-2</t>
  </si>
  <si>
    <t>einheizen</t>
  </si>
  <si>
    <t>gunner</t>
  </si>
  <si>
    <t>hydranten</t>
  </si>
  <si>
    <t>botanik</t>
  </si>
  <si>
    <t>rausgeschafft</t>
  </si>
  <si>
    <t>raffinesse</t>
  </si>
  <si>
    <t>schlagfertig</t>
  </si>
  <si>
    <t>geschworenengericht</t>
  </si>
  <si>
    <t>anzufreunden</t>
  </si>
  <si>
    <t>hochstaplerin</t>
  </si>
  <si>
    <t>warlocks</t>
  </si>
  <si>
    <t>gaza</t>
  </si>
  <si>
    <t>rumsitzt</t>
  </si>
  <si>
    <t>verneinen</t>
  </si>
  <si>
    <t>ibuprofen</t>
  </si>
  <si>
    <t>seepferdchen</t>
  </si>
  <si>
    <t>morgendliche</t>
  </si>
  <si>
    <t>syncro</t>
  </si>
  <si>
    <t>nidge</t>
  </si>
  <si>
    <t>vollends</t>
  </si>
  <si>
    <t>agrestic</t>
  </si>
  <si>
    <t>patin</t>
  </si>
  <si>
    <t>presseausweis</t>
  </si>
  <si>
    <t>motorrädern</t>
  </si>
  <si>
    <t>gekrallt</t>
  </si>
  <si>
    <t>unterrichts</t>
  </si>
  <si>
    <t>aufweist</t>
  </si>
  <si>
    <t>überdauert</t>
  </si>
  <si>
    <t>werkstätten</t>
  </si>
  <si>
    <t>fratz</t>
  </si>
  <si>
    <t>schwedin</t>
  </si>
  <si>
    <t>chuny</t>
  </si>
  <si>
    <t>abgerichtet</t>
  </si>
  <si>
    <t>liberaler</t>
  </si>
  <si>
    <t>drollig</t>
  </si>
  <si>
    <t>sture</t>
  </si>
  <si>
    <t>antworteten</t>
  </si>
  <si>
    <t>zeno</t>
  </si>
  <si>
    <t>kubo</t>
  </si>
  <si>
    <t>corrine</t>
  </si>
  <si>
    <t>ergreifst</t>
  </si>
  <si>
    <t>führern</t>
  </si>
  <si>
    <t>hinzusetzen</t>
  </si>
  <si>
    <t>bedürftige</t>
  </si>
  <si>
    <t>keuchend</t>
  </si>
  <si>
    <t>wohlwollend</t>
  </si>
  <si>
    <t>eicheln</t>
  </si>
  <si>
    <t>geisteskranker</t>
  </si>
  <si>
    <t>schwarzpulver</t>
  </si>
  <si>
    <t>gegenüberzutreten</t>
  </si>
  <si>
    <t>obszöne</t>
  </si>
  <si>
    <t>fenwick</t>
  </si>
  <si>
    <t>hehe</t>
  </si>
  <si>
    <t>fluchs</t>
  </si>
  <si>
    <t>glühwein</t>
  </si>
  <si>
    <t>haruka</t>
  </si>
  <si>
    <t>macintosh</t>
  </si>
  <si>
    <t>landru</t>
  </si>
  <si>
    <t>auszuräumen</t>
  </si>
  <si>
    <t>stummer</t>
  </si>
  <si>
    <t>festzunageln</t>
  </si>
  <si>
    <t>godseys</t>
  </si>
  <si>
    <t>besudeln</t>
  </si>
  <si>
    <t>neblig</t>
  </si>
  <si>
    <t>lemmon</t>
  </si>
  <si>
    <t>sinfonie</t>
  </si>
  <si>
    <t>stã</t>
  </si>
  <si>
    <t>mitessen</t>
  </si>
  <si>
    <t>bedienst</t>
  </si>
  <si>
    <t>stinkendes</t>
  </si>
  <si>
    <t>aschenbrödel</t>
  </si>
  <si>
    <t>ellington</t>
  </si>
  <si>
    <t>bärtige</t>
  </si>
  <si>
    <t>unbeteiligt</t>
  </si>
  <si>
    <t>quartiermeister</t>
  </si>
  <si>
    <t>zerbrechliche</t>
  </si>
  <si>
    <t>mitläufer</t>
  </si>
  <si>
    <t>saphira</t>
  </si>
  <si>
    <t>entgleitet</t>
  </si>
  <si>
    <t>nacktes</t>
  </si>
  <si>
    <t>saurer</t>
  </si>
  <si>
    <t>rauer</t>
  </si>
  <si>
    <t>geburtstagstorte</t>
  </si>
  <si>
    <t>albion</t>
  </si>
  <si>
    <t>generälen</t>
  </si>
  <si>
    <t>irisa</t>
  </si>
  <si>
    <t>trenn</t>
  </si>
  <si>
    <t>stoner</t>
  </si>
  <si>
    <t>windmühlen</t>
  </si>
  <si>
    <t>ersetzbar</t>
  </si>
  <si>
    <t>qualifizieren</t>
  </si>
  <si>
    <t>hinzubekommen</t>
  </si>
  <si>
    <t>atmer</t>
  </si>
  <si>
    <t>streisand</t>
  </si>
  <si>
    <t>twister</t>
  </si>
  <si>
    <t>artist</t>
  </si>
  <si>
    <t>ebnen</t>
  </si>
  <si>
    <t>ayesha</t>
  </si>
  <si>
    <t>dranzukriegen</t>
  </si>
  <si>
    <t>familienangehörige</t>
  </si>
  <si>
    <t>atemgeräusche</t>
  </si>
  <si>
    <t>eingepfercht</t>
  </si>
  <si>
    <t>editor</t>
  </si>
  <si>
    <t>bestechlich</t>
  </si>
  <si>
    <t>abzahlen</t>
  </si>
  <si>
    <t>faxe</t>
  </si>
  <si>
    <t>gelyncht</t>
  </si>
  <si>
    <t>weggeschossen</t>
  </si>
  <si>
    <t>süßigkeit</t>
  </si>
  <si>
    <t>sour</t>
  </si>
  <si>
    <t>zigeunern</t>
  </si>
  <si>
    <t>verhaltensweisen</t>
  </si>
  <si>
    <t>craigslist</t>
  </si>
  <si>
    <t>terrorakte</t>
  </si>
  <si>
    <t>wichtel</t>
  </si>
  <si>
    <t>enthaltsamkeit</t>
  </si>
  <si>
    <t>kugelhagel</t>
  </si>
  <si>
    <t>unterholz</t>
  </si>
  <si>
    <t>exotisches</t>
  </si>
  <si>
    <t>favoritin</t>
  </si>
  <si>
    <t>lineal</t>
  </si>
  <si>
    <t>ethnische</t>
  </si>
  <si>
    <t>schulausflug</t>
  </si>
  <si>
    <t>silicon</t>
  </si>
  <si>
    <t>datai</t>
  </si>
  <si>
    <t>ute</t>
  </si>
  <si>
    <t>gebogen</t>
  </si>
  <si>
    <t>pei</t>
  </si>
  <si>
    <t>eigenartiger</t>
  </si>
  <si>
    <t>magazinen</t>
  </si>
  <si>
    <t>superstars</t>
  </si>
  <si>
    <t>anrichte</t>
  </si>
  <si>
    <t>bärtigen</t>
  </si>
  <si>
    <t>mott</t>
  </si>
  <si>
    <t>sauerstoffsättigung</t>
  </si>
  <si>
    <t>alarmanlagen</t>
  </si>
  <si>
    <t>noren</t>
  </si>
  <si>
    <t>fabriziert</t>
  </si>
  <si>
    <t>gegenwehr</t>
  </si>
  <si>
    <t>resten</t>
  </si>
  <si>
    <t>stinkefinger</t>
  </si>
  <si>
    <t>picknicks</t>
  </si>
  <si>
    <t>pädophile</t>
  </si>
  <si>
    <t>wegfährt</t>
  </si>
  <si>
    <t>hierherkam</t>
  </si>
  <si>
    <t>sche</t>
  </si>
  <si>
    <t>gewürz</t>
  </si>
  <si>
    <t>merritt</t>
  </si>
  <si>
    <t>weites</t>
  </si>
  <si>
    <t>chou</t>
  </si>
  <si>
    <t>ammenmärchen</t>
  </si>
  <si>
    <t>sesam</t>
  </si>
  <si>
    <t>amish</t>
  </si>
  <si>
    <t>abkühlung</t>
  </si>
  <si>
    <t>chanson</t>
  </si>
  <si>
    <t>maharadscha</t>
  </si>
  <si>
    <t>hindenburg</t>
  </si>
  <si>
    <t>gewaltsame</t>
  </si>
  <si>
    <t>traditionelles</t>
  </si>
  <si>
    <t>deauville</t>
  </si>
  <si>
    <t>unerlaubten</t>
  </si>
  <si>
    <t>ringsum</t>
  </si>
  <si>
    <t>unerschütterlich</t>
  </si>
  <si>
    <t>kanaken</t>
  </si>
  <si>
    <t>jin-sung</t>
  </si>
  <si>
    <t>christl</t>
  </si>
  <si>
    <t>doom</t>
  </si>
  <si>
    <t>sprossen</t>
  </si>
  <si>
    <t>lockert</t>
  </si>
  <si>
    <t>kleiderordnung</t>
  </si>
  <si>
    <t>pressefreiheit</t>
  </si>
  <si>
    <t>ausstatten</t>
  </si>
  <si>
    <t>schluchten</t>
  </si>
  <si>
    <t>adrett</t>
  </si>
  <si>
    <t>ignaz</t>
  </si>
  <si>
    <t>synchronisieren</t>
  </si>
  <si>
    <t>schen</t>
  </si>
  <si>
    <t>aufatmen</t>
  </si>
  <si>
    <t>festhielt</t>
  </si>
  <si>
    <t>abhilfe</t>
  </si>
  <si>
    <t>ungeschlagen</t>
  </si>
  <si>
    <t>os</t>
  </si>
  <si>
    <t>urzeiten</t>
  </si>
  <si>
    <t>comedian</t>
  </si>
  <si>
    <t>eskalation</t>
  </si>
  <si>
    <t>geraldine</t>
  </si>
  <si>
    <t>thiel</t>
  </si>
  <si>
    <t>kolibri</t>
  </si>
  <si>
    <t>abtun</t>
  </si>
  <si>
    <t>inland</t>
  </si>
  <si>
    <t>schwerwiegend</t>
  </si>
  <si>
    <t>separaten</t>
  </si>
  <si>
    <t>eigentumswohnungen</t>
  </si>
  <si>
    <t>unbestreitbar</t>
  </si>
  <si>
    <t>türklinke</t>
  </si>
  <si>
    <t>geringeren</t>
  </si>
  <si>
    <t>saukalt</t>
  </si>
  <si>
    <t>ochmonek</t>
  </si>
  <si>
    <t>vereine</t>
  </si>
  <si>
    <t>fesch</t>
  </si>
  <si>
    <t>willigen</t>
  </si>
  <si>
    <t>dreifaltigkeit</t>
  </si>
  <si>
    <t>geloben</t>
  </si>
  <si>
    <t>1a</t>
  </si>
  <si>
    <t>wasserdruck</t>
  </si>
  <si>
    <t>einzelhandel</t>
  </si>
  <si>
    <t>kritisierst</t>
  </si>
  <si>
    <t>aufkommt</t>
  </si>
  <si>
    <t>zigmal</t>
  </si>
  <si>
    <t>frontlinie</t>
  </si>
  <si>
    <t>nickt</t>
  </si>
  <si>
    <t>synapsen</t>
  </si>
  <si>
    <t>fuchtel</t>
  </si>
  <si>
    <t>halbieren</t>
  </si>
  <si>
    <t>anregung</t>
  </si>
  <si>
    <t>besitzurkunde</t>
  </si>
  <si>
    <t>moskito</t>
  </si>
  <si>
    <t>persönlichem</t>
  </si>
  <si>
    <t>napier</t>
  </si>
  <si>
    <t>räudiger</t>
  </si>
  <si>
    <t>unkontrolliert</t>
  </si>
  <si>
    <t>kooperierst</t>
  </si>
  <si>
    <t>abschürfungen</t>
  </si>
  <si>
    <t>anhaltende</t>
  </si>
  <si>
    <t>tapeten</t>
  </si>
  <si>
    <t>falschspieler</t>
  </si>
  <si>
    <t>zwist</t>
  </si>
  <si>
    <t>gurgeln</t>
  </si>
  <si>
    <t>anpflanzen</t>
  </si>
  <si>
    <t>fauna</t>
  </si>
  <si>
    <t>ausharren</t>
  </si>
  <si>
    <t>jabba</t>
  </si>
  <si>
    <t>bevorstehen</t>
  </si>
  <si>
    <t>süsser</t>
  </si>
  <si>
    <t>vortag</t>
  </si>
  <si>
    <t>giant</t>
  </si>
  <si>
    <t>fahrstil</t>
  </si>
  <si>
    <t>zweitschlüssel</t>
  </si>
  <si>
    <t>tupac</t>
  </si>
  <si>
    <t>temporalen</t>
  </si>
  <si>
    <t>pax</t>
  </si>
  <si>
    <t>spacecenter</t>
  </si>
  <si>
    <t>minbar</t>
  </si>
  <si>
    <t>deodorant</t>
  </si>
  <si>
    <t>eisenhut</t>
  </si>
  <si>
    <t>lieblingsgericht</t>
  </si>
  <si>
    <t>gitarristen</t>
  </si>
  <si>
    <t>bequemes</t>
  </si>
  <si>
    <t>dädalus</t>
  </si>
  <si>
    <t>abberufen</t>
  </si>
  <si>
    <t>hirnblutung</t>
  </si>
  <si>
    <t>americano</t>
  </si>
  <si>
    <t>gedankenstimme</t>
  </si>
  <si>
    <t>hobbits</t>
  </si>
  <si>
    <t>abscheulicher</t>
  </si>
  <si>
    <t>vorgebracht</t>
  </si>
  <si>
    <t>ausfiel</t>
  </si>
  <si>
    <t>finnen</t>
  </si>
  <si>
    <t>okkulten</t>
  </si>
  <si>
    <t>acres</t>
  </si>
  <si>
    <t>ishii</t>
  </si>
  <si>
    <t>spieltest</t>
  </si>
  <si>
    <t>bodens</t>
  </si>
  <si>
    <t>stereo</t>
  </si>
  <si>
    <t>viechern</t>
  </si>
  <si>
    <t>zehnjährigen</t>
  </si>
  <si>
    <t>picken</t>
  </si>
  <si>
    <t>cantor</t>
  </si>
  <si>
    <t>schummelt</t>
  </si>
  <si>
    <t>antreffen</t>
  </si>
  <si>
    <t>galaxy</t>
  </si>
  <si>
    <t>spektakulären</t>
  </si>
  <si>
    <t>haariger</t>
  </si>
  <si>
    <t>elbe</t>
  </si>
  <si>
    <t>kirchliche</t>
  </si>
  <si>
    <t>verwundung</t>
  </si>
  <si>
    <t>russischem</t>
  </si>
  <si>
    <t>excusez-moi</t>
  </si>
  <si>
    <t>jeremys</t>
  </si>
  <si>
    <t>hergibt</t>
  </si>
  <si>
    <t>anbieter</t>
  </si>
  <si>
    <t>verzagen</t>
  </si>
  <si>
    <t>widrigkeiten</t>
  </si>
  <si>
    <t>wendungen</t>
  </si>
  <si>
    <t>pippin</t>
  </si>
  <si>
    <t>geläufig</t>
  </si>
  <si>
    <t>optimus</t>
  </si>
  <si>
    <t>fabel</t>
  </si>
  <si>
    <t>schalldicht</t>
  </si>
  <si>
    <t>schmiedet</t>
  </si>
  <si>
    <t>schwächeren</t>
  </si>
  <si>
    <t>snoopy</t>
  </si>
  <si>
    <t>edmunds</t>
  </si>
  <si>
    <t>maggy</t>
  </si>
  <si>
    <t>tuna</t>
  </si>
  <si>
    <t>tietjens</t>
  </si>
  <si>
    <t>ooch</t>
  </si>
  <si>
    <t>deadshot</t>
  </si>
  <si>
    <t>glumpf</t>
  </si>
  <si>
    <t>indianischer</t>
  </si>
  <si>
    <t>warnten</t>
  </si>
  <si>
    <t>universelle</t>
  </si>
  <si>
    <t>hammonds</t>
  </si>
  <si>
    <t>arschgeigen</t>
  </si>
  <si>
    <t>bubby</t>
  </si>
  <si>
    <t>pringle</t>
  </si>
  <si>
    <t>erledigten</t>
  </si>
  <si>
    <t>brackett</t>
  </si>
  <si>
    <t>stachelschwein</t>
  </si>
  <si>
    <t>ausgeknockt</t>
  </si>
  <si>
    <t>taktisch</t>
  </si>
  <si>
    <t>elba</t>
  </si>
  <si>
    <t>kontra</t>
  </si>
  <si>
    <t>sklavinnen</t>
  </si>
  <si>
    <t>reinfahren</t>
  </si>
  <si>
    <t>jagdhütte</t>
  </si>
  <si>
    <t>masons</t>
  </si>
  <si>
    <t>athletisch</t>
  </si>
  <si>
    <t>morland</t>
  </si>
  <si>
    <t>eiskaltes</t>
  </si>
  <si>
    <t>generiert</t>
  </si>
  <si>
    <t>ludovico</t>
  </si>
  <si>
    <t>selbstlose</t>
  </si>
  <si>
    <t>heuern</t>
  </si>
  <si>
    <t>dürstet</t>
  </si>
  <si>
    <t>farragut</t>
  </si>
  <si>
    <t>bespritzt</t>
  </si>
  <si>
    <t>spendengala</t>
  </si>
  <si>
    <t>witt</t>
  </si>
  <si>
    <t>kennzeichnen</t>
  </si>
  <si>
    <t>gribble</t>
  </si>
  <si>
    <t>kontaktlinse</t>
  </si>
  <si>
    <t>gehüpft</t>
  </si>
  <si>
    <t>totzuschlagen</t>
  </si>
  <si>
    <t>karp</t>
  </si>
  <si>
    <t>abnahm</t>
  </si>
  <si>
    <t>friedman</t>
  </si>
  <si>
    <t>fuma</t>
  </si>
  <si>
    <t>kosmetikerin</t>
  </si>
  <si>
    <t>vorgehaltener</t>
  </si>
  <si>
    <t>missetaten</t>
  </si>
  <si>
    <t>angeborene</t>
  </si>
  <si>
    <t>grabmal</t>
  </si>
  <si>
    <t>hierin</t>
  </si>
  <si>
    <t>sandrigo</t>
  </si>
  <si>
    <t>fountain</t>
  </si>
  <si>
    <t>tetanus</t>
  </si>
  <si>
    <t>schnurstracks</t>
  </si>
  <si>
    <t>meeresrauschen</t>
  </si>
  <si>
    <t>rikard</t>
  </si>
  <si>
    <t>grandmas</t>
  </si>
  <si>
    <t>vogt</t>
  </si>
  <si>
    <t>emmit</t>
  </si>
  <si>
    <t>tippin</t>
  </si>
  <si>
    <t>klebst</t>
  </si>
  <si>
    <t>ursus</t>
  </si>
  <si>
    <t>rash</t>
  </si>
  <si>
    <t>sameen</t>
  </si>
  <si>
    <t>dolph</t>
  </si>
  <si>
    <t>wegholen</t>
  </si>
  <si>
    <t>wörz</t>
  </si>
  <si>
    <t>munro</t>
  </si>
  <si>
    <t>pygmäen</t>
  </si>
  <si>
    <t>meißel</t>
  </si>
  <si>
    <t>ambrosia</t>
  </si>
  <si>
    <t>kriegsherr</t>
  </si>
  <si>
    <t>petros</t>
  </si>
  <si>
    <t>wohnungstür</t>
  </si>
  <si>
    <t>fachbereich</t>
  </si>
  <si>
    <t>sommercamp</t>
  </si>
  <si>
    <t>lieblingssorte</t>
  </si>
  <si>
    <t>gesundheitsministerium</t>
  </si>
  <si>
    <t>arbeitsgruppe</t>
  </si>
  <si>
    <t>physikalischen</t>
  </si>
  <si>
    <t>smalls</t>
  </si>
  <si>
    <t>abzuladen</t>
  </si>
  <si>
    <t>vollkommenen</t>
  </si>
  <si>
    <t>skalpiert</t>
  </si>
  <si>
    <t>ungefähre</t>
  </si>
  <si>
    <t>issa</t>
  </si>
  <si>
    <t>uneheliches</t>
  </si>
  <si>
    <t>numero</t>
  </si>
  <si>
    <t>babu</t>
  </si>
  <si>
    <t>vino</t>
  </si>
  <si>
    <t>vik</t>
  </si>
  <si>
    <t>machiavelli</t>
  </si>
  <si>
    <t>gabelstapler</t>
  </si>
  <si>
    <t>raumschiffen</t>
  </si>
  <si>
    <t>irreführung</t>
  </si>
  <si>
    <t>stasis</t>
  </si>
  <si>
    <t>loren</t>
  </si>
  <si>
    <t>verarztet</t>
  </si>
  <si>
    <t>fischers</t>
  </si>
  <si>
    <t>östrogen</t>
  </si>
  <si>
    <t>morgenröte</t>
  </si>
  <si>
    <t>kikuchiyo</t>
  </si>
  <si>
    <t>maries</t>
  </si>
  <si>
    <t>marschierten</t>
  </si>
  <si>
    <t>elway</t>
  </si>
  <si>
    <t>gato</t>
  </si>
  <si>
    <t>fords</t>
  </si>
  <si>
    <t>pups</t>
  </si>
  <si>
    <t>blumenmädchen</t>
  </si>
  <si>
    <t>vanderbilt</t>
  </si>
  <si>
    <t>fidschi</t>
  </si>
  <si>
    <t>unterstrichen</t>
  </si>
  <si>
    <t>apu</t>
  </si>
  <si>
    <t>donkey</t>
  </si>
  <si>
    <t>taschenuhr</t>
  </si>
  <si>
    <t>mohinder</t>
  </si>
  <si>
    <t>blackwood</t>
  </si>
  <si>
    <t>auszukennen</t>
  </si>
  <si>
    <t>addams</t>
  </si>
  <si>
    <t>müllschlucker</t>
  </si>
  <si>
    <t>techtelmechtel</t>
  </si>
  <si>
    <t>hertz</t>
  </si>
  <si>
    <t>showdown</t>
  </si>
  <si>
    <t>ungezwungen</t>
  </si>
  <si>
    <t>bimbo</t>
  </si>
  <si>
    <t>fortschicken</t>
  </si>
  <si>
    <t>blechmann</t>
  </si>
  <si>
    <t>anführern</t>
  </si>
  <si>
    <t>weins</t>
  </si>
  <si>
    <t>schnarche</t>
  </si>
  <si>
    <t>einbrüchen</t>
  </si>
  <si>
    <t>mästen</t>
  </si>
  <si>
    <t>verhätscheln</t>
  </si>
  <si>
    <t>thors</t>
  </si>
  <si>
    <t>extraktion</t>
  </si>
  <si>
    <t>nationalisten</t>
  </si>
  <si>
    <t>überboten</t>
  </si>
  <si>
    <t>besessene</t>
  </si>
  <si>
    <t>klängen</t>
  </si>
  <si>
    <t>autowäsche</t>
  </si>
  <si>
    <t>heuer</t>
  </si>
  <si>
    <t>überrennen</t>
  </si>
  <si>
    <t>burner</t>
  </si>
  <si>
    <t>sicherheitsmaßnahme</t>
  </si>
  <si>
    <t>neurochirurg</t>
  </si>
  <si>
    <t>fristlos</t>
  </si>
  <si>
    <t>wyatts</t>
  </si>
  <si>
    <t>beschützerin</t>
  </si>
  <si>
    <t>rollschuhe</t>
  </si>
  <si>
    <t>konfus</t>
  </si>
  <si>
    <t>geschwätzig</t>
  </si>
  <si>
    <t>rangelassen</t>
  </si>
  <si>
    <t>aprikosen</t>
  </si>
  <si>
    <t>malware</t>
  </si>
  <si>
    <t>paschtu</t>
  </si>
  <si>
    <t>knallkopf</t>
  </si>
  <si>
    <t>hrafn</t>
  </si>
  <si>
    <t>allerliebst</t>
  </si>
  <si>
    <t>fächern</t>
  </si>
  <si>
    <t>verwundeter</t>
  </si>
  <si>
    <t>arlen</t>
  </si>
  <si>
    <t>schadenfroh</t>
  </si>
  <si>
    <t>lachse</t>
  </si>
  <si>
    <t>vorzudringen</t>
  </si>
  <si>
    <t>gefallener</t>
  </si>
  <si>
    <t>aufzufinden</t>
  </si>
  <si>
    <t>vorgetäuschte</t>
  </si>
  <si>
    <t>hinge</t>
  </si>
  <si>
    <t>sagenhafte</t>
  </si>
  <si>
    <t>addieren</t>
  </si>
  <si>
    <t>paper</t>
  </si>
  <si>
    <t>x-mal</t>
  </si>
  <si>
    <t>leerlauf</t>
  </si>
  <si>
    <t>junker</t>
  </si>
  <si>
    <t>gestalkt</t>
  </si>
  <si>
    <t>löwenherz</t>
  </si>
  <si>
    <t>scheppert</t>
  </si>
  <si>
    <t>apparatur</t>
  </si>
  <si>
    <t>verweise</t>
  </si>
  <si>
    <t>vanilla</t>
  </si>
  <si>
    <t>fernsehens</t>
  </si>
  <si>
    <t>zugemutet</t>
  </si>
  <si>
    <t>nixie</t>
  </si>
  <si>
    <t>hineinkommen</t>
  </si>
  <si>
    <t>boucher</t>
  </si>
  <si>
    <t>shih</t>
  </si>
  <si>
    <t>doppelagenten</t>
  </si>
  <si>
    <t>verbrauch</t>
  </si>
  <si>
    <t>tässchen</t>
  </si>
  <si>
    <t>verglühen</t>
  </si>
  <si>
    <t>streichst</t>
  </si>
  <si>
    <t>krümmt</t>
  </si>
  <si>
    <t>schweife</t>
  </si>
  <si>
    <t>geweitet</t>
  </si>
  <si>
    <t>torsten</t>
  </si>
  <si>
    <t>ria</t>
  </si>
  <si>
    <t>kindheitserinnerungen</t>
  </si>
  <si>
    <t>wasserski</t>
  </si>
  <si>
    <t>convenio</t>
  </si>
  <si>
    <t>soiree</t>
  </si>
  <si>
    <t>drugstore</t>
  </si>
  <si>
    <t>pilgern</t>
  </si>
  <si>
    <t>flugkontrolle</t>
  </si>
  <si>
    <t>zurechtmachen</t>
  </si>
  <si>
    <t>traumatisches</t>
  </si>
  <si>
    <t>consolidated</t>
  </si>
  <si>
    <t>männerabend</t>
  </si>
  <si>
    <t>schutze</t>
  </si>
  <si>
    <t>zwickt</t>
  </si>
  <si>
    <t>selbstmordattentäter</t>
  </si>
  <si>
    <t>umwerben</t>
  </si>
  <si>
    <t>entzückender</t>
  </si>
  <si>
    <t>henk</t>
  </si>
  <si>
    <t>nobelpreisträger</t>
  </si>
  <si>
    <t>magna</t>
  </si>
  <si>
    <t>karls</t>
  </si>
  <si>
    <t>koloss</t>
  </si>
  <si>
    <t>tanzstunden</t>
  </si>
  <si>
    <t>ansprechend</t>
  </si>
  <si>
    <t>abgebildet</t>
  </si>
  <si>
    <t>delfinen</t>
  </si>
  <si>
    <t>dchen</t>
  </si>
  <si>
    <t>hintergehst</t>
  </si>
  <si>
    <t>pflückt</t>
  </si>
  <si>
    <t>umhängen</t>
  </si>
  <si>
    <t>seitenlinie</t>
  </si>
  <si>
    <t>falafel</t>
  </si>
  <si>
    <t>reichtums</t>
  </si>
  <si>
    <t>biberkopf</t>
  </si>
  <si>
    <t>mud</t>
  </si>
  <si>
    <t>zurechtgemacht</t>
  </si>
  <si>
    <t>vipern</t>
  </si>
  <si>
    <t>halliday</t>
  </si>
  <si>
    <t>talkshows</t>
  </si>
  <si>
    <t>erweiterten</t>
  </si>
  <si>
    <t>lagos</t>
  </si>
  <si>
    <t>mandalore</t>
  </si>
  <si>
    <t>krippenspiel</t>
  </si>
  <si>
    <t>bezaubernder</t>
  </si>
  <si>
    <t>villefort</t>
  </si>
  <si>
    <t>verlierern</t>
  </si>
  <si>
    <t>laborwerte</t>
  </si>
  <si>
    <t>händchenhalten</t>
  </si>
  <si>
    <t>raffinierten</t>
  </si>
  <si>
    <t>wohlgefallen</t>
  </si>
  <si>
    <t>ausbügeln</t>
  </si>
  <si>
    <t>multipliziert</t>
  </si>
  <si>
    <t>suzan</t>
  </si>
  <si>
    <t>bloch</t>
  </si>
  <si>
    <t>warrior</t>
  </si>
  <si>
    <t>ungläubig</t>
  </si>
  <si>
    <t>verkehrsmittel</t>
  </si>
  <si>
    <t>himmelsherr</t>
  </si>
  <si>
    <t>friedl</t>
  </si>
  <si>
    <t>erfriere</t>
  </si>
  <si>
    <t>strähnchen</t>
  </si>
  <si>
    <t>straffen</t>
  </si>
  <si>
    <t>explodiere</t>
  </si>
  <si>
    <t>schocks</t>
  </si>
  <si>
    <t>wiederaufnahme</t>
  </si>
  <si>
    <t>herfahren</t>
  </si>
  <si>
    <t>hermetisch</t>
  </si>
  <si>
    <t>lacroix</t>
  </si>
  <si>
    <t>ravn</t>
  </si>
  <si>
    <t>colts</t>
  </si>
  <si>
    <t>absegnen</t>
  </si>
  <si>
    <t>begibst</t>
  </si>
  <si>
    <t>badest</t>
  </si>
  <si>
    <t>beatrix</t>
  </si>
  <si>
    <t>prasselt</t>
  </si>
  <si>
    <t>darstellerin</t>
  </si>
  <si>
    <t>sachverhalt</t>
  </si>
  <si>
    <t>unwürdigen</t>
  </si>
  <si>
    <t>vorgetäuschten</t>
  </si>
  <si>
    <t>bergarbeiter</t>
  </si>
  <si>
    <t>18-jährige</t>
  </si>
  <si>
    <t>sinnlichkeit</t>
  </si>
  <si>
    <t>bixby</t>
  </si>
  <si>
    <t>buford</t>
  </si>
  <si>
    <t>grabräuber</t>
  </si>
  <si>
    <t>nagelneue</t>
  </si>
  <si>
    <t>frozen</t>
  </si>
  <si>
    <t>einzuschließen</t>
  </si>
  <si>
    <t>aktives</t>
  </si>
  <si>
    <t>janni</t>
  </si>
  <si>
    <t>schneeflocken</t>
  </si>
  <si>
    <t>überstehst</t>
  </si>
  <si>
    <t>vergöttern</t>
  </si>
  <si>
    <t>kafka</t>
  </si>
  <si>
    <t>einzutauschen</t>
  </si>
  <si>
    <t>legitimen</t>
  </si>
  <si>
    <t>farbton</t>
  </si>
  <si>
    <t>aufsparen</t>
  </si>
  <si>
    <t>nachdrücklich</t>
  </si>
  <si>
    <t>befürworter</t>
  </si>
  <si>
    <t>drohbriefe</t>
  </si>
  <si>
    <t>dales</t>
  </si>
  <si>
    <t>mutieren</t>
  </si>
  <si>
    <t>barris</t>
  </si>
  <si>
    <t>angewandte</t>
  </si>
  <si>
    <t>islamabad</t>
  </si>
  <si>
    <t>steilen</t>
  </si>
  <si>
    <t>fußabtreter</t>
  </si>
  <si>
    <t>verschanzen</t>
  </si>
  <si>
    <t>sukkubus</t>
  </si>
  <si>
    <t>tops</t>
  </si>
  <si>
    <t>eintönig</t>
  </si>
  <si>
    <t>wolfs</t>
  </si>
  <si>
    <t>schaukelt</t>
  </si>
  <si>
    <t>maschinengewehren</t>
  </si>
  <si>
    <t>alarmsignal</t>
  </si>
  <si>
    <t>marit</t>
  </si>
  <si>
    <t>verdunkeln</t>
  </si>
  <si>
    <t>märtyrerin</t>
  </si>
  <si>
    <t>frauengefängnis</t>
  </si>
  <si>
    <t>irreparabel</t>
  </si>
  <si>
    <t>battosai</t>
  </si>
  <si>
    <t>promotion</t>
  </si>
  <si>
    <t>treiber</t>
  </si>
  <si>
    <t>ziegenkäse</t>
  </si>
  <si>
    <t>un-lun</t>
  </si>
  <si>
    <t>anzuklopfen</t>
  </si>
  <si>
    <t>sturzbetrunken</t>
  </si>
  <si>
    <t>aarons</t>
  </si>
  <si>
    <t>pflegekind</t>
  </si>
  <si>
    <t>verlässlicher</t>
  </si>
  <si>
    <t>henkersmahlzeit</t>
  </si>
  <si>
    <t>wave</t>
  </si>
  <si>
    <t>hours</t>
  </si>
  <si>
    <t>beeinflusste</t>
  </si>
  <si>
    <t>segelten</t>
  </si>
  <si>
    <t>betrachteten</t>
  </si>
  <si>
    <t>finnischen</t>
  </si>
  <si>
    <t>bewunderten</t>
  </si>
  <si>
    <t>weiterlesen</t>
  </si>
  <si>
    <t>rindern</t>
  </si>
  <si>
    <t>polyester</t>
  </si>
  <si>
    <t>pcp</t>
  </si>
  <si>
    <t>geschriebene</t>
  </si>
  <si>
    <t>r.j.</t>
  </si>
  <si>
    <t>privatisierung</t>
  </si>
  <si>
    <t>stalking</t>
  </si>
  <si>
    <t>skin</t>
  </si>
  <si>
    <t>überschattet</t>
  </si>
  <si>
    <t>intensives</t>
  </si>
  <si>
    <t>rickwaert</t>
  </si>
  <si>
    <t>erblindet</t>
  </si>
  <si>
    <t>vips</t>
  </si>
  <si>
    <t>maßgeschneidert</t>
  </si>
  <si>
    <t>putt</t>
  </si>
  <si>
    <t>wechseljahre</t>
  </si>
  <si>
    <t>mojito</t>
  </si>
  <si>
    <t>ausguck</t>
  </si>
  <si>
    <t>farrow</t>
  </si>
  <si>
    <t>kriegsrat</t>
  </si>
  <si>
    <t>jaclyn</t>
  </si>
  <si>
    <t>zilong</t>
  </si>
  <si>
    <t>aufsässig</t>
  </si>
  <si>
    <t>muslimischen</t>
  </si>
  <si>
    <t>hilliard</t>
  </si>
  <si>
    <t>entbehrungen</t>
  </si>
  <si>
    <t>fußmassage</t>
  </si>
  <si>
    <t>maniac</t>
  </si>
  <si>
    <t>firmenwagen</t>
  </si>
  <si>
    <t>saubergemacht</t>
  </si>
  <si>
    <t>militärakademie</t>
  </si>
  <si>
    <t>physikalische</t>
  </si>
  <si>
    <t>conners</t>
  </si>
  <si>
    <t>ugo</t>
  </si>
  <si>
    <t>intimer</t>
  </si>
  <si>
    <t>piers</t>
  </si>
  <si>
    <t>went</t>
  </si>
  <si>
    <t>flugstunden</t>
  </si>
  <si>
    <t>ac</t>
  </si>
  <si>
    <t>geheimversteck</t>
  </si>
  <si>
    <t>filmes</t>
  </si>
  <si>
    <t>zupfen</t>
  </si>
  <si>
    <t>achtsam</t>
  </si>
  <si>
    <t>gasmasken</t>
  </si>
  <si>
    <t>einsparen</t>
  </si>
  <si>
    <t>anleihe</t>
  </si>
  <si>
    <t>windet</t>
  </si>
  <si>
    <t>aurel</t>
  </si>
  <si>
    <t>selbstgemacht</t>
  </si>
  <si>
    <t>riechsalz</t>
  </si>
  <si>
    <t>sedja</t>
  </si>
  <si>
    <t>pezuela</t>
  </si>
  <si>
    <t>effendi</t>
  </si>
  <si>
    <t>sabina</t>
  </si>
  <si>
    <t>digest</t>
  </si>
  <si>
    <t>kirara</t>
  </si>
  <si>
    <t>rapha</t>
  </si>
  <si>
    <t>firewood</t>
  </si>
  <si>
    <t>gummis</t>
  </si>
  <si>
    <t>driften</t>
  </si>
  <si>
    <t>vorzulegen</t>
  </si>
  <si>
    <t>höhepunkte</t>
  </si>
  <si>
    <t>schwedischer</t>
  </si>
  <si>
    <t>edi</t>
  </si>
  <si>
    <t>ritalin</t>
  </si>
  <si>
    <t>lobbyisten</t>
  </si>
  <si>
    <t>erdgas</t>
  </si>
  <si>
    <t>kor</t>
  </si>
  <si>
    <t>utopium</t>
  </si>
  <si>
    <t>mutierten</t>
  </si>
  <si>
    <t>aufhetzen</t>
  </si>
  <si>
    <t>t.p.</t>
  </si>
  <si>
    <t>schwärme</t>
  </si>
  <si>
    <t>juicy</t>
  </si>
  <si>
    <t>beatmung</t>
  </si>
  <si>
    <t>sandten</t>
  </si>
  <si>
    <t>nudelsuppe</t>
  </si>
  <si>
    <t>ungezogenes</t>
  </si>
  <si>
    <t>hessington</t>
  </si>
  <si>
    <t>durchlöchern</t>
  </si>
  <si>
    <t>freigehalten</t>
  </si>
  <si>
    <t>wettbewerbe</t>
  </si>
  <si>
    <t>lovell</t>
  </si>
  <si>
    <t>kalibrieren</t>
  </si>
  <si>
    <t>vordrängeln</t>
  </si>
  <si>
    <t>wassiljewitsch</t>
  </si>
  <si>
    <t>karosserie</t>
  </si>
  <si>
    <t>psychischer</t>
  </si>
  <si>
    <t>jakarta</t>
  </si>
  <si>
    <t>tum</t>
  </si>
  <si>
    <t>stromschnellen</t>
  </si>
  <si>
    <t>widersprochen</t>
  </si>
  <si>
    <t>bedürftig</t>
  </si>
  <si>
    <t>steffi</t>
  </si>
  <si>
    <t>boni</t>
  </si>
  <si>
    <t>knife</t>
  </si>
  <si>
    <t>lehrerinnen</t>
  </si>
  <si>
    <t>quatermass</t>
  </si>
  <si>
    <t>productions</t>
  </si>
  <si>
    <t>ians</t>
  </si>
  <si>
    <t>verwerfen</t>
  </si>
  <si>
    <t>strahlendes</t>
  </si>
  <si>
    <t>ergebenen</t>
  </si>
  <si>
    <t>leuchtete</t>
  </si>
  <si>
    <t>abzuweisen</t>
  </si>
  <si>
    <t>zuweisen</t>
  </si>
  <si>
    <t>dachau</t>
  </si>
  <si>
    <t>hinwerfen</t>
  </si>
  <si>
    <t>plemplem</t>
  </si>
  <si>
    <t>einfühlungsvermögen</t>
  </si>
  <si>
    <t>ästen</t>
  </si>
  <si>
    <t>abgeschworen</t>
  </si>
  <si>
    <t>rabbiner</t>
  </si>
  <si>
    <t>eindringlingen</t>
  </si>
  <si>
    <t>schwerfällig</t>
  </si>
  <si>
    <t>bemannt</t>
  </si>
  <si>
    <t>deeds</t>
  </si>
  <si>
    <t>grillparty</t>
  </si>
  <si>
    <t>bezirksgericht</t>
  </si>
  <si>
    <t>ressort</t>
  </si>
  <si>
    <t>staatsanwaltes</t>
  </si>
  <si>
    <t>apart</t>
  </si>
  <si>
    <t>wirkungslos</t>
  </si>
  <si>
    <t>kontrollier</t>
  </si>
  <si>
    <t>urheber</t>
  </si>
  <si>
    <t>sanduhr</t>
  </si>
  <si>
    <t>penrose</t>
  </si>
  <si>
    <t>wasserleitung</t>
  </si>
  <si>
    <t>blutlache</t>
  </si>
  <si>
    <t>mitzufahren</t>
  </si>
  <si>
    <t>berufliches</t>
  </si>
  <si>
    <t>wandelte</t>
  </si>
  <si>
    <t>dauerhaftes</t>
  </si>
  <si>
    <t>führend</t>
  </si>
  <si>
    <t>dredd</t>
  </si>
  <si>
    <t>zaubere</t>
  </si>
  <si>
    <t>fallakte</t>
  </si>
  <si>
    <t>aufzog</t>
  </si>
  <si>
    <t>arbeitstier</t>
  </si>
  <si>
    <t>süßem</t>
  </si>
  <si>
    <t>glitter</t>
  </si>
  <si>
    <t>unverheiratete</t>
  </si>
  <si>
    <t>wiederschauen</t>
  </si>
  <si>
    <t>begrapscht</t>
  </si>
  <si>
    <t>führet</t>
  </si>
  <si>
    <t>röntgenblick</t>
  </si>
  <si>
    <t>bucklige</t>
  </si>
  <si>
    <t>nichtsein</t>
  </si>
  <si>
    <t>ausläuft</t>
  </si>
  <si>
    <t>kaue</t>
  </si>
  <si>
    <t>hilflosigkeit</t>
  </si>
  <si>
    <t>moments</t>
  </si>
  <si>
    <t>eingemauert</t>
  </si>
  <si>
    <t>spirituelles</t>
  </si>
  <si>
    <t>nebenkosten</t>
  </si>
  <si>
    <t>drähten</t>
  </si>
  <si>
    <t>aufgebrachte</t>
  </si>
  <si>
    <t>täuschungsmanöver</t>
  </si>
  <si>
    <t>nantucket</t>
  </si>
  <si>
    <t>hochzujagen</t>
  </si>
  <si>
    <t>gefühlsmäßig</t>
  </si>
  <si>
    <t>geir</t>
  </si>
  <si>
    <t>12-jährigen</t>
  </si>
  <si>
    <t>vorschreibt</t>
  </si>
  <si>
    <t>abschätzen</t>
  </si>
  <si>
    <t>uffe</t>
  </si>
  <si>
    <t>pulitzer-preis</t>
  </si>
  <si>
    <t>trafalgar</t>
  </si>
  <si>
    <t>kollekte</t>
  </si>
  <si>
    <t>trainingsanzug</t>
  </si>
  <si>
    <t>gridley</t>
  </si>
  <si>
    <t>davonzukommen</t>
  </si>
  <si>
    <t>exorzist</t>
  </si>
  <si>
    <t>bundesstaaten</t>
  </si>
  <si>
    <t>vergab</t>
  </si>
  <si>
    <t>22er</t>
  </si>
  <si>
    <t>frühlingsrolle</t>
  </si>
  <si>
    <t>urteilsverkündung</t>
  </si>
  <si>
    <t>bewusstlosigkeit</t>
  </si>
  <si>
    <t>amina</t>
  </si>
  <si>
    <t>umfassenden</t>
  </si>
  <si>
    <t>niedergemetzelt</t>
  </si>
  <si>
    <t>bewaffnung</t>
  </si>
  <si>
    <t>hineinversetzen</t>
  </si>
  <si>
    <t>sticken</t>
  </si>
  <si>
    <t>großbritanniens</t>
  </si>
  <si>
    <t>spanierin</t>
  </si>
  <si>
    <t>schlachtbank</t>
  </si>
  <si>
    <t>freiwild</t>
  </si>
  <si>
    <t>freigelegt</t>
  </si>
  <si>
    <t>fbis</t>
  </si>
  <si>
    <t>scannt</t>
  </si>
  <si>
    <t>gekoppelt</t>
  </si>
  <si>
    <t>überschreite</t>
  </si>
  <si>
    <t>baptisten</t>
  </si>
  <si>
    <t>seliger</t>
  </si>
  <si>
    <t>andiamo</t>
  </si>
  <si>
    <t>pianistin</t>
  </si>
  <si>
    <t>drifter</t>
  </si>
  <si>
    <t>musikbox</t>
  </si>
  <si>
    <t>morello</t>
  </si>
  <si>
    <t>gillingham</t>
  </si>
  <si>
    <t>kaputtgeht</t>
  </si>
  <si>
    <t>rivalin</t>
  </si>
  <si>
    <t>heidnische</t>
  </si>
  <si>
    <t>gewiesen</t>
  </si>
  <si>
    <t>bäumchen</t>
  </si>
  <si>
    <t>shuttlerampe</t>
  </si>
  <si>
    <t>hineinzuziehen</t>
  </si>
  <si>
    <t>rena</t>
  </si>
  <si>
    <t>rlich</t>
  </si>
  <si>
    <t>taktgefühl</t>
  </si>
  <si>
    <t>verbleibt</t>
  </si>
  <si>
    <t>ronson</t>
  </si>
  <si>
    <t>schielt</t>
  </si>
  <si>
    <t>pfadfinderin</t>
  </si>
  <si>
    <t>pfeifst</t>
  </si>
  <si>
    <t>drill</t>
  </si>
  <si>
    <t>beinchen</t>
  </si>
  <si>
    <t>verhörs</t>
  </si>
  <si>
    <t>bros</t>
  </si>
  <si>
    <t>calling</t>
  </si>
  <si>
    <t>steinhart</t>
  </si>
  <si>
    <t>interest</t>
  </si>
  <si>
    <t>straßburg</t>
  </si>
  <si>
    <t>frauenkleider</t>
  </si>
  <si>
    <t>belt</t>
  </si>
  <si>
    <t>tendiere</t>
  </si>
  <si>
    <t>vector</t>
  </si>
  <si>
    <t>schibetta</t>
  </si>
  <si>
    <t>fez</t>
  </si>
  <si>
    <t>erträumen</t>
  </si>
  <si>
    <t>krankenbett</t>
  </si>
  <si>
    <t>scheiterten</t>
  </si>
  <si>
    <t>eene</t>
  </si>
  <si>
    <t>maybourne</t>
  </si>
  <si>
    <t>mystisch</t>
  </si>
  <si>
    <t>bewacher</t>
  </si>
  <si>
    <t>bekanntgegeben</t>
  </si>
  <si>
    <t>freizusetzen</t>
  </si>
  <si>
    <t>wachablösung</t>
  </si>
  <si>
    <t>gärtnern</t>
  </si>
  <si>
    <t>analyst</t>
  </si>
  <si>
    <t>sprüht</t>
  </si>
  <si>
    <t>unbefleckte</t>
  </si>
  <si>
    <t>scheissegal</t>
  </si>
  <si>
    <t>einsteigt</t>
  </si>
  <si>
    <t>gackert</t>
  </si>
  <si>
    <t>vorhandene</t>
  </si>
  <si>
    <t>hie</t>
  </si>
  <si>
    <t>perfektionist</t>
  </si>
  <si>
    <t>soto</t>
  </si>
  <si>
    <t>dov</t>
  </si>
  <si>
    <t>industriegebiet</t>
  </si>
  <si>
    <t>hybride</t>
  </si>
  <si>
    <t>zephyr</t>
  </si>
  <si>
    <t>geisterhaus</t>
  </si>
  <si>
    <t>kommend</t>
  </si>
  <si>
    <t>jägers</t>
  </si>
  <si>
    <t>tarif</t>
  </si>
  <si>
    <t>sitzengelassen</t>
  </si>
  <si>
    <t>spätes</t>
  </si>
  <si>
    <t>wucher</t>
  </si>
  <si>
    <t>rumführen</t>
  </si>
  <si>
    <t>ersticht</t>
  </si>
  <si>
    <t>gummizelle</t>
  </si>
  <si>
    <t>einäscherung</t>
  </si>
  <si>
    <t>zwinker</t>
  </si>
  <si>
    <t>spencers</t>
  </si>
  <si>
    <t>chatten</t>
  </si>
  <si>
    <t>verschwenderisch</t>
  </si>
  <si>
    <t>dächte</t>
  </si>
  <si>
    <t>raubüberfalls</t>
  </si>
  <si>
    <t>bastards</t>
  </si>
  <si>
    <t>umarm</t>
  </si>
  <si>
    <t>zustands</t>
  </si>
  <si>
    <t>düfte</t>
  </si>
  <si>
    <t>sounds</t>
  </si>
  <si>
    <t>kopiere</t>
  </si>
  <si>
    <t>boß</t>
  </si>
  <si>
    <t>gefaxt</t>
  </si>
  <si>
    <t>kaidu</t>
  </si>
  <si>
    <t>ruhmes</t>
  </si>
  <si>
    <t>metalle</t>
  </si>
  <si>
    <t>raushauen</t>
  </si>
  <si>
    <t>lieberman</t>
  </si>
  <si>
    <t>privatdetektivin</t>
  </si>
  <si>
    <t>verleih</t>
  </si>
  <si>
    <t>bauers</t>
  </si>
  <si>
    <t>neon</t>
  </si>
  <si>
    <t>aufwendig</t>
  </si>
  <si>
    <t>mimen</t>
  </si>
  <si>
    <t>urenkel</t>
  </si>
  <si>
    <t>milchgesicht</t>
  </si>
  <si>
    <t>inhalieren</t>
  </si>
  <si>
    <t>strukturiert</t>
  </si>
  <si>
    <t>beidseitig</t>
  </si>
  <si>
    <t>comlink</t>
  </si>
  <si>
    <t>aufsetzt</t>
  </si>
  <si>
    <t>gewackelt</t>
  </si>
  <si>
    <t>auszuflippen</t>
  </si>
  <si>
    <t>claremont</t>
  </si>
  <si>
    <t>wm</t>
  </si>
  <si>
    <t>wendys</t>
  </si>
  <si>
    <t>riesenbaby</t>
  </si>
  <si>
    <t>scorch</t>
  </si>
  <si>
    <t>oceanic</t>
  </si>
  <si>
    <t>frühaufsteher</t>
  </si>
  <si>
    <t>händigen</t>
  </si>
  <si>
    <t>bildschirme</t>
  </si>
  <si>
    <t>weißrussland</t>
  </si>
  <si>
    <t>seriöser</t>
  </si>
  <si>
    <t>rémi</t>
  </si>
  <si>
    <t>works</t>
  </si>
  <si>
    <t>gefühlsduselei</t>
  </si>
  <si>
    <t>retriever</t>
  </si>
  <si>
    <t>einzustecken</t>
  </si>
  <si>
    <t>stillwater</t>
  </si>
  <si>
    <t>karosse</t>
  </si>
  <si>
    <t>stack</t>
  </si>
  <si>
    <t>harumi</t>
  </si>
  <si>
    <t>schmerzmitteln</t>
  </si>
  <si>
    <t>quinton</t>
  </si>
  <si>
    <t>arztrechnungen</t>
  </si>
  <si>
    <t>kompost</t>
  </si>
  <si>
    <t>chon</t>
  </si>
  <si>
    <t>yoshi</t>
  </si>
  <si>
    <t>orangenen</t>
  </si>
  <si>
    <t>plünderung</t>
  </si>
  <si>
    <t>preysing</t>
  </si>
  <si>
    <t>viii.</t>
  </si>
  <si>
    <t>aufblühen</t>
  </si>
  <si>
    <t>stitch</t>
  </si>
  <si>
    <t>ortszeit</t>
  </si>
  <si>
    <t>erwähntest</t>
  </si>
  <si>
    <t>überanstrengen</t>
  </si>
  <si>
    <t>khalil</t>
  </si>
  <si>
    <t>juliens</t>
  </si>
  <si>
    <t>einschlug</t>
  </si>
  <si>
    <t>raushole</t>
  </si>
  <si>
    <t>blökt</t>
  </si>
  <si>
    <t>strafrecht</t>
  </si>
  <si>
    <t>photoshop</t>
  </si>
  <si>
    <t>ermutigung</t>
  </si>
  <si>
    <t>französischem</t>
  </si>
  <si>
    <t>nachgeholfen</t>
  </si>
  <si>
    <t>odyssey</t>
  </si>
  <si>
    <t>mannequin</t>
  </si>
  <si>
    <t>überragend</t>
  </si>
  <si>
    <t>lehnsherr</t>
  </si>
  <si>
    <t>koffeinfreien</t>
  </si>
  <si>
    <t>erfasse</t>
  </si>
  <si>
    <t>durchblutung</t>
  </si>
  <si>
    <t>gekitzelt</t>
  </si>
  <si>
    <t>soap</t>
  </si>
  <si>
    <t>sektionen</t>
  </si>
  <si>
    <t>mclintock</t>
  </si>
  <si>
    <t>kristian</t>
  </si>
  <si>
    <t>ergattern</t>
  </si>
  <si>
    <t>mittelberg</t>
  </si>
  <si>
    <t>sentox</t>
  </si>
  <si>
    <t>gigantisches</t>
  </si>
  <si>
    <t>erfreuliches</t>
  </si>
  <si>
    <t>gefundenen</t>
  </si>
  <si>
    <t>verschiffen</t>
  </si>
  <si>
    <t>tréville</t>
  </si>
  <si>
    <t>untergejubelt</t>
  </si>
  <si>
    <t>polente</t>
  </si>
  <si>
    <t>blanco</t>
  </si>
  <si>
    <t>comic-con</t>
  </si>
  <si>
    <t>seemeilen</t>
  </si>
  <si>
    <t>österreichische</t>
  </si>
  <si>
    <t>litauen</t>
  </si>
  <si>
    <t>einging</t>
  </si>
  <si>
    <t>schneepflug</t>
  </si>
  <si>
    <t>enigma</t>
  </si>
  <si>
    <t>beschlossene</t>
  </si>
  <si>
    <t>erbeten</t>
  </si>
  <si>
    <t>lymphom</t>
  </si>
  <si>
    <t>elften</t>
  </si>
  <si>
    <t>zitierst</t>
  </si>
  <si>
    <t>layton</t>
  </si>
  <si>
    <t>näherst</t>
  </si>
  <si>
    <t>notendurchschnitt</t>
  </si>
  <si>
    <t>abo</t>
  </si>
  <si>
    <t>bögen</t>
  </si>
  <si>
    <t>recyceln</t>
  </si>
  <si>
    <t>überzeugten</t>
  </si>
  <si>
    <t>hausverwalter</t>
  </si>
  <si>
    <t>sagenhaften</t>
  </si>
  <si>
    <t>rottweiler</t>
  </si>
  <si>
    <t>verantwortungsvolle</t>
  </si>
  <si>
    <t>manni</t>
  </si>
  <si>
    <t>aufgefasst</t>
  </si>
  <si>
    <t>aufzufüllen</t>
  </si>
  <si>
    <t>flow</t>
  </si>
  <si>
    <t>animalische</t>
  </si>
  <si>
    <t>umsätze</t>
  </si>
  <si>
    <t>rauchten</t>
  </si>
  <si>
    <t>bedecke</t>
  </si>
  <si>
    <t>nachfühlen</t>
  </si>
  <si>
    <t>verehrteste</t>
  </si>
  <si>
    <t>zureden</t>
  </si>
  <si>
    <t>anfeuerungsrufe</t>
  </si>
  <si>
    <t>wels</t>
  </si>
  <si>
    <t>christliches</t>
  </si>
  <si>
    <t>laben</t>
  </si>
  <si>
    <t>schulklingel</t>
  </si>
  <si>
    <t>habicht</t>
  </si>
  <si>
    <t>mozzarella</t>
  </si>
  <si>
    <t>stile</t>
  </si>
  <si>
    <t>erde-2</t>
  </si>
  <si>
    <t>geflutet</t>
  </si>
  <si>
    <t>belüftung</t>
  </si>
  <si>
    <t>ekelhaftes</t>
  </si>
  <si>
    <t>hintun</t>
  </si>
  <si>
    <t>smyth</t>
  </si>
  <si>
    <t>galina</t>
  </si>
  <si>
    <t>julianna</t>
  </si>
  <si>
    <t>lexx</t>
  </si>
  <si>
    <t>glitt</t>
  </si>
  <si>
    <t>großherzig</t>
  </si>
  <si>
    <t>öffnungen</t>
  </si>
  <si>
    <t>kostenloser</t>
  </si>
  <si>
    <t>secretariat</t>
  </si>
  <si>
    <t>knospen</t>
  </si>
  <si>
    <t>unterkühlt</t>
  </si>
  <si>
    <t>mousse</t>
  </si>
  <si>
    <t>behausung</t>
  </si>
  <si>
    <t>bordkarte</t>
  </si>
  <si>
    <t>fredo</t>
  </si>
  <si>
    <t>sole</t>
  </si>
  <si>
    <t>snickers</t>
  </si>
  <si>
    <t>fruchtbare</t>
  </si>
  <si>
    <t>fraulein</t>
  </si>
  <si>
    <t>sashi</t>
  </si>
  <si>
    <t>crime</t>
  </si>
  <si>
    <t>freibrief</t>
  </si>
  <si>
    <t>nomi</t>
  </si>
  <si>
    <t>katholischer</t>
  </si>
  <si>
    <t>overalls</t>
  </si>
  <si>
    <t>verleihung</t>
  </si>
  <si>
    <t>robespierre</t>
  </si>
  <si>
    <t>junuh</t>
  </si>
  <si>
    <t>ackroyd</t>
  </si>
  <si>
    <t>verderbtheit</t>
  </si>
  <si>
    <t>fernab</t>
  </si>
  <si>
    <t>winkeln</t>
  </si>
  <si>
    <t>garbo</t>
  </si>
  <si>
    <t>gegrillten</t>
  </si>
  <si>
    <t>bitterlich</t>
  </si>
  <si>
    <t>winkelmann</t>
  </si>
  <si>
    <t>randal</t>
  </si>
  <si>
    <t>abschließend</t>
  </si>
  <si>
    <t>entweicht</t>
  </si>
  <si>
    <t>gesäß</t>
  </si>
  <si>
    <t>julians</t>
  </si>
  <si>
    <t>ladenschluss</t>
  </si>
  <si>
    <t>brillanz</t>
  </si>
  <si>
    <t>zerstörerisch</t>
  </si>
  <si>
    <t>investigation</t>
  </si>
  <si>
    <t>feinschmecker</t>
  </si>
  <si>
    <t>manchem</t>
  </si>
  <si>
    <t>gehabe</t>
  </si>
  <si>
    <t>muntere</t>
  </si>
  <si>
    <t>mußtest</t>
  </si>
  <si>
    <t>durchzusehen</t>
  </si>
  <si>
    <t>lindholm</t>
  </si>
  <si>
    <t>wasserbett</t>
  </si>
  <si>
    <t>zehnfache</t>
  </si>
  <si>
    <t>beendigung</t>
  </si>
  <si>
    <t>ausgewachsen</t>
  </si>
  <si>
    <t>krischan</t>
  </si>
  <si>
    <t>balzac</t>
  </si>
  <si>
    <t>eingewöhnen</t>
  </si>
  <si>
    <t>bulstrode</t>
  </si>
  <si>
    <t>tansania</t>
  </si>
  <si>
    <t>wagnis</t>
  </si>
  <si>
    <t>terrors</t>
  </si>
  <si>
    <t>millennium-gruppe</t>
  </si>
  <si>
    <t>gefahrlos</t>
  </si>
  <si>
    <t>außeneinsatz</t>
  </si>
  <si>
    <t>zahlmeister</t>
  </si>
  <si>
    <t>trigger</t>
  </si>
  <si>
    <t>backenzahn</t>
  </si>
  <si>
    <t>theben</t>
  </si>
  <si>
    <t>josiah</t>
  </si>
  <si>
    <t>mathelehrer</t>
  </si>
  <si>
    <t>henson</t>
  </si>
  <si>
    <t>äuglein</t>
  </si>
  <si>
    <t>ausstopfen</t>
  </si>
  <si>
    <t>sartre</t>
  </si>
  <si>
    <t>genossenschaft</t>
  </si>
  <si>
    <t>sojamilch</t>
  </si>
  <si>
    <t>grossartige</t>
  </si>
  <si>
    <t>särgen</t>
  </si>
  <si>
    <t>arischen</t>
  </si>
  <si>
    <t>tauber</t>
  </si>
  <si>
    <t>flugzeit</t>
  </si>
  <si>
    <t>unscheinbar</t>
  </si>
  <si>
    <t>durcheinanderbringen</t>
  </si>
  <si>
    <t>steile</t>
  </si>
  <si>
    <t>verdrängung</t>
  </si>
  <si>
    <t>vorrätig</t>
  </si>
  <si>
    <t>montez</t>
  </si>
  <si>
    <t>einfluß</t>
  </si>
  <si>
    <t>masseuse</t>
  </si>
  <si>
    <t>befreiungsfront</t>
  </si>
  <si>
    <t>erfasste</t>
  </si>
  <si>
    <t>trickbetrüger</t>
  </si>
  <si>
    <t>maximaler</t>
  </si>
  <si>
    <t>plattmachen</t>
  </si>
  <si>
    <t>rettungssanitäter</t>
  </si>
  <si>
    <t>horchen</t>
  </si>
  <si>
    <t>gültige</t>
  </si>
  <si>
    <t>vorhaut</t>
  </si>
  <si>
    <t>schwächere</t>
  </si>
  <si>
    <t>unmenge</t>
  </si>
  <si>
    <t>alfalfa</t>
  </si>
  <si>
    <t>verschließe</t>
  </si>
  <si>
    <t>liliane</t>
  </si>
  <si>
    <t>getrauert</t>
  </si>
  <si>
    <t>feldflasche</t>
  </si>
  <si>
    <t>bonsai</t>
  </si>
  <si>
    <t>angewöhnt</t>
  </si>
  <si>
    <t>ausgeladen</t>
  </si>
  <si>
    <t>manner</t>
  </si>
  <si>
    <t>vikings</t>
  </si>
  <si>
    <t>erdrosseln</t>
  </si>
  <si>
    <t>ernsthaftigkeit</t>
  </si>
  <si>
    <t>kiwi</t>
  </si>
  <si>
    <t>bilderbuch</t>
  </si>
  <si>
    <t>tv-show</t>
  </si>
  <si>
    <t>kampfkünste</t>
  </si>
  <si>
    <t>ruanda</t>
  </si>
  <si>
    <t>garantierte</t>
  </si>
  <si>
    <t>gewäsch</t>
  </si>
  <si>
    <t>verlieb</t>
  </si>
  <si>
    <t>clips</t>
  </si>
  <si>
    <t>umdenken</t>
  </si>
  <si>
    <t>sirenengeheul</t>
  </si>
  <si>
    <t>teilabdruck</t>
  </si>
  <si>
    <t>crêpes</t>
  </si>
  <si>
    <t>schlägertypen</t>
  </si>
  <si>
    <t>fingerhut</t>
  </si>
  <si>
    <t>lidschatten</t>
  </si>
  <si>
    <t>bleek</t>
  </si>
  <si>
    <t>funkelnden</t>
  </si>
  <si>
    <t>hodes</t>
  </si>
  <si>
    <t>hievt</t>
  </si>
  <si>
    <t>nichtsnutze</t>
  </si>
  <si>
    <t>schlafsäcke</t>
  </si>
  <si>
    <t>herausragenden</t>
  </si>
  <si>
    <t>brülle</t>
  </si>
  <si>
    <t>beete</t>
  </si>
  <si>
    <t>umgesiedelt</t>
  </si>
  <si>
    <t>griechisches</t>
  </si>
  <si>
    <t>zwiebelringe</t>
  </si>
  <si>
    <t>grabes</t>
  </si>
  <si>
    <t>generalschlüssel</t>
  </si>
  <si>
    <t>treat</t>
  </si>
  <si>
    <t>muskat</t>
  </si>
  <si>
    <t>katzenklo</t>
  </si>
  <si>
    <t>duce</t>
  </si>
  <si>
    <t>thunderbird</t>
  </si>
  <si>
    <t>godwyn</t>
  </si>
  <si>
    <t>bevölkern</t>
  </si>
  <si>
    <t>schwang</t>
  </si>
  <si>
    <t>doran</t>
  </si>
  <si>
    <t>swain</t>
  </si>
  <si>
    <t>feels</t>
  </si>
  <si>
    <t>zugesichert</t>
  </si>
  <si>
    <t>spülbecken</t>
  </si>
  <si>
    <t>voyeur</t>
  </si>
  <si>
    <t>vereinzelte</t>
  </si>
  <si>
    <t>jämmerliches</t>
  </si>
  <si>
    <t>einband</t>
  </si>
  <si>
    <t>malcom</t>
  </si>
  <si>
    <t>freibeuter</t>
  </si>
  <si>
    <t>sachbeschädigung</t>
  </si>
  <si>
    <t>mops</t>
  </si>
  <si>
    <t>rumgehen</t>
  </si>
  <si>
    <t>ambrosius</t>
  </si>
  <si>
    <t>verwandele</t>
  </si>
  <si>
    <t>badewasser</t>
  </si>
  <si>
    <t>mathews</t>
  </si>
  <si>
    <t>stalkerin</t>
  </si>
  <si>
    <t>vorzuspielen</t>
  </si>
  <si>
    <t>ebola</t>
  </si>
  <si>
    <t>chicka</t>
  </si>
  <si>
    <t>bumerang</t>
  </si>
  <si>
    <t>informationsquelle</t>
  </si>
  <si>
    <t>pannen</t>
  </si>
  <si>
    <t>grisham</t>
  </si>
  <si>
    <t>background</t>
  </si>
  <si>
    <t>spielerin</t>
  </si>
  <si>
    <t>wimbledon</t>
  </si>
  <si>
    <t>darmspiegelung</t>
  </si>
  <si>
    <t>advokat</t>
  </si>
  <si>
    <t>cyber</t>
  </si>
  <si>
    <t>gita</t>
  </si>
  <si>
    <t>eingelagert</t>
  </si>
  <si>
    <t>dust</t>
  </si>
  <si>
    <t>kraftfelder</t>
  </si>
  <si>
    <t>geschehens</t>
  </si>
  <si>
    <t>christoffer</t>
  </si>
  <si>
    <t>kovak</t>
  </si>
  <si>
    <t>begrüßte</t>
  </si>
  <si>
    <t>glaubwürdiger</t>
  </si>
  <si>
    <t>fordernd</t>
  </si>
  <si>
    <t>paley</t>
  </si>
  <si>
    <t>generalmajor</t>
  </si>
  <si>
    <t>nascar</t>
  </si>
  <si>
    <t>potenz</t>
  </si>
  <si>
    <t>kilos</t>
  </si>
  <si>
    <t>mandrake</t>
  </si>
  <si>
    <t>laderampe</t>
  </si>
  <si>
    <t>schwangerschaften</t>
  </si>
  <si>
    <t>geldern</t>
  </si>
  <si>
    <t>unvollkommen</t>
  </si>
  <si>
    <t>roben</t>
  </si>
  <si>
    <t>dirigenten</t>
  </si>
  <si>
    <t>knapper</t>
  </si>
  <si>
    <t>schnappdudel</t>
  </si>
  <si>
    <t>alisha</t>
  </si>
  <si>
    <t>zerquetschte</t>
  </si>
  <si>
    <t>polnischer</t>
  </si>
  <si>
    <t>andrés</t>
  </si>
  <si>
    <t>herumgehen</t>
  </si>
  <si>
    <t>impotenz</t>
  </si>
  <si>
    <t>schmerzte</t>
  </si>
  <si>
    <t>streichhölzern</t>
  </si>
  <si>
    <t>grimasse</t>
  </si>
  <si>
    <t>gesamter</t>
  </si>
  <si>
    <t>verscharrt</t>
  </si>
  <si>
    <t>pucci</t>
  </si>
  <si>
    <t>widerspenstig</t>
  </si>
  <si>
    <t>begießen</t>
  </si>
  <si>
    <t>scratch</t>
  </si>
  <si>
    <t>memory</t>
  </si>
  <si>
    <t>haushaltshilfe</t>
  </si>
  <si>
    <t>ungeahnte</t>
  </si>
  <si>
    <t>boeing</t>
  </si>
  <si>
    <t>hasi</t>
  </si>
  <si>
    <t>scheffel</t>
  </si>
  <si>
    <t>tauschst</t>
  </si>
  <si>
    <t>vorstandsmitglieder</t>
  </si>
  <si>
    <t>l.a</t>
  </si>
  <si>
    <t>mutterzelle</t>
  </si>
  <si>
    <t>caden</t>
  </si>
  <si>
    <t>grundy</t>
  </si>
  <si>
    <t>vielversprechenden</t>
  </si>
  <si>
    <t>odi</t>
  </si>
  <si>
    <t>philosophische</t>
  </si>
  <si>
    <t>liegestützen</t>
  </si>
  <si>
    <t>gekämmt</t>
  </si>
  <si>
    <t>schhh</t>
  </si>
  <si>
    <t>spielend</t>
  </si>
  <si>
    <t>council</t>
  </si>
  <si>
    <t>aufschwung</t>
  </si>
  <si>
    <t>margy</t>
  </si>
  <si>
    <t>selbstsüchtige</t>
  </si>
  <si>
    <t>peiniger</t>
  </si>
  <si>
    <t>fernsehstar</t>
  </si>
  <si>
    <t>hochgearbeitet</t>
  </si>
  <si>
    <t>seb</t>
  </si>
  <si>
    <t>anrechnen</t>
  </si>
  <si>
    <t>buff</t>
  </si>
  <si>
    <t>stauffenberg</t>
  </si>
  <si>
    <t>überholspur</t>
  </si>
  <si>
    <t>krapfen</t>
  </si>
  <si>
    <t>rausholst</t>
  </si>
  <si>
    <t>nichtjetzt</t>
  </si>
  <si>
    <t>niño</t>
  </si>
  <si>
    <t>hermano</t>
  </si>
  <si>
    <t>freigeist</t>
  </si>
  <si>
    <t>katsu</t>
  </si>
  <si>
    <t>paläste</t>
  </si>
  <si>
    <t>vermassele</t>
  </si>
  <si>
    <t>buddhist</t>
  </si>
  <si>
    <t>katsushiro</t>
  </si>
  <si>
    <t>hindu</t>
  </si>
  <si>
    <t>verbietest</t>
  </si>
  <si>
    <t>greggs</t>
  </si>
  <si>
    <t>prosa</t>
  </si>
  <si>
    <t>surprise</t>
  </si>
  <si>
    <t>verliererin</t>
  </si>
  <si>
    <t>schäbiger</t>
  </si>
  <si>
    <t>sinai</t>
  </si>
  <si>
    <t>foxtrot</t>
  </si>
  <si>
    <t>babes</t>
  </si>
  <si>
    <t>essensreste</t>
  </si>
  <si>
    <t>zurückgibt</t>
  </si>
  <si>
    <t>traumatischen</t>
  </si>
  <si>
    <t>1.000-mal</t>
  </si>
  <si>
    <t>streitkräften</t>
  </si>
  <si>
    <t>v8</t>
  </si>
  <si>
    <t>waruu</t>
  </si>
  <si>
    <t>sydneys</t>
  </si>
  <si>
    <t>überwachungsbänder</t>
  </si>
  <si>
    <t>herzfehler</t>
  </si>
  <si>
    <t>pritsche</t>
  </si>
  <si>
    <t>eindämmung</t>
  </si>
  <si>
    <t>mamiya</t>
  </si>
  <si>
    <t>kompressor</t>
  </si>
  <si>
    <t>verweichlicht</t>
  </si>
  <si>
    <t>keramik</t>
  </si>
  <si>
    <t>schmutzfink</t>
  </si>
  <si>
    <t>deponie</t>
  </si>
  <si>
    <t>nippeln</t>
  </si>
  <si>
    <t>empfanden</t>
  </si>
  <si>
    <t>oberinspektor</t>
  </si>
  <si>
    <t>zufahrt</t>
  </si>
  <si>
    <t>goldesel</t>
  </si>
  <si>
    <t>ehrbarer</t>
  </si>
  <si>
    <t>rußland</t>
  </si>
  <si>
    <t>entgegenbringen</t>
  </si>
  <si>
    <t>ingvar</t>
  </si>
  <si>
    <t>intro</t>
  </si>
  <si>
    <t>fröschen</t>
  </si>
  <si>
    <t>vorliegenden</t>
  </si>
  <si>
    <t>seelenverwandter</t>
  </si>
  <si>
    <t>mehdi</t>
  </si>
  <si>
    <t>autopsien</t>
  </si>
  <si>
    <t>sonntage</t>
  </si>
  <si>
    <t>gezielte</t>
  </si>
  <si>
    <t>grillt</t>
  </si>
  <si>
    <t>tora</t>
  </si>
  <si>
    <t>gefrieren</t>
  </si>
  <si>
    <t>spioniere</t>
  </si>
  <si>
    <t>orientierungslos</t>
  </si>
  <si>
    <t>grauenhaften</t>
  </si>
  <si>
    <t>20-jährige</t>
  </si>
  <si>
    <t>morgenrock</t>
  </si>
  <si>
    <t>komplimenten</t>
  </si>
  <si>
    <t>gewählter</t>
  </si>
  <si>
    <t>tita</t>
  </si>
  <si>
    <t>tatsu</t>
  </si>
  <si>
    <t>cyndee</t>
  </si>
  <si>
    <t>einparken</t>
  </si>
  <si>
    <t>gäule</t>
  </si>
  <si>
    <t>diensthabende</t>
  </si>
  <si>
    <t>loswirst</t>
  </si>
  <si>
    <t>verguckt</t>
  </si>
  <si>
    <t>überheblichkeit</t>
  </si>
  <si>
    <t>unweit</t>
  </si>
  <si>
    <t>kontinuierlich</t>
  </si>
  <si>
    <t>hanoi</t>
  </si>
  <si>
    <t>beteiligte</t>
  </si>
  <si>
    <t>krim</t>
  </si>
  <si>
    <t>aufputschmittel</t>
  </si>
  <si>
    <t>wendete</t>
  </si>
  <si>
    <t>drohende</t>
  </si>
  <si>
    <t>unbefugt</t>
  </si>
  <si>
    <t>näschen</t>
  </si>
  <si>
    <t>reitern</t>
  </si>
  <si>
    <t>schiesserei</t>
  </si>
  <si>
    <t>allerbester</t>
  </si>
  <si>
    <t>hilfreicher</t>
  </si>
  <si>
    <t>carrera</t>
  </si>
  <si>
    <t>verirrten</t>
  </si>
  <si>
    <t>verbreitest</t>
  </si>
  <si>
    <t>eldritch</t>
  </si>
  <si>
    <t>prüften</t>
  </si>
  <si>
    <t>jinx</t>
  </si>
  <si>
    <t>lolli</t>
  </si>
  <si>
    <t>vorzeitigen</t>
  </si>
  <si>
    <t>herrschers</t>
  </si>
  <si>
    <t>philosophisch</t>
  </si>
  <si>
    <t>latrine</t>
  </si>
  <si>
    <t>alais</t>
  </si>
  <si>
    <t>umgestimmt</t>
  </si>
  <si>
    <t>zierlich</t>
  </si>
  <si>
    <t>multiplizieren</t>
  </si>
  <si>
    <t>einreise</t>
  </si>
  <si>
    <t>geborenen</t>
  </si>
  <si>
    <t>fünftel</t>
  </si>
  <si>
    <t>ringkampf</t>
  </si>
  <si>
    <t>plakaten</t>
  </si>
  <si>
    <t>automobile</t>
  </si>
  <si>
    <t>barbarischen</t>
  </si>
  <si>
    <t>wünschenswert</t>
  </si>
  <si>
    <t>avignon</t>
  </si>
  <si>
    <t>glockengeläut</t>
  </si>
  <si>
    <t>promoter</t>
  </si>
  <si>
    <t>generalleutnant</t>
  </si>
  <si>
    <t>valance</t>
  </si>
  <si>
    <t>leonora</t>
  </si>
  <si>
    <t>nã</t>
  </si>
  <si>
    <t>zusammengetragen</t>
  </si>
  <si>
    <t>opferten</t>
  </si>
  <si>
    <t>michonne</t>
  </si>
  <si>
    <t>einstufen</t>
  </si>
  <si>
    <t>ramiro</t>
  </si>
  <si>
    <t>satire</t>
  </si>
  <si>
    <t>feminismus</t>
  </si>
  <si>
    <t>dekadent</t>
  </si>
  <si>
    <t>playboys</t>
  </si>
  <si>
    <t>faseln</t>
  </si>
  <si>
    <t>kampfhandlungen</t>
  </si>
  <si>
    <t>psychotherapie</t>
  </si>
  <si>
    <t>mcc</t>
  </si>
  <si>
    <t>alarmglocken</t>
  </si>
  <si>
    <t>aktivist</t>
  </si>
  <si>
    <t>hakenkreuz</t>
  </si>
  <si>
    <t>whiteside</t>
  </si>
  <si>
    <t>himmelblau</t>
  </si>
  <si>
    <t>pfiffig</t>
  </si>
  <si>
    <t>dienstschluss</t>
  </si>
  <si>
    <t>skrupellose</t>
  </si>
  <si>
    <t>eleven</t>
  </si>
  <si>
    <t>sprague</t>
  </si>
  <si>
    <t>räucherstäbchen</t>
  </si>
  <si>
    <t>shasta</t>
  </si>
  <si>
    <t>stimulierend</t>
  </si>
  <si>
    <t>stehlt</t>
  </si>
  <si>
    <t>jugendstrafanstalt</t>
  </si>
  <si>
    <t>pastis</t>
  </si>
  <si>
    <t>cemil</t>
  </si>
  <si>
    <t>durchforstet</t>
  </si>
  <si>
    <t>mumien</t>
  </si>
  <si>
    <t>lounds</t>
  </si>
  <si>
    <t>kindlein</t>
  </si>
  <si>
    <t>lieblingsrestaurant</t>
  </si>
  <si>
    <t>staubsaugen</t>
  </si>
  <si>
    <t>geschwärzt</t>
  </si>
  <si>
    <t>operative</t>
  </si>
  <si>
    <t>hofstadter</t>
  </si>
  <si>
    <t>glückspilze</t>
  </si>
  <si>
    <t>wurmlochs</t>
  </si>
  <si>
    <t>milena</t>
  </si>
  <si>
    <t>support</t>
  </si>
  <si>
    <t>unendlicher</t>
  </si>
  <si>
    <t>muttern</t>
  </si>
  <si>
    <t>dämonenblut</t>
  </si>
  <si>
    <t>erstbeste</t>
  </si>
  <si>
    <t>jarrett</t>
  </si>
  <si>
    <t>tabby</t>
  </si>
  <si>
    <t>erschließen</t>
  </si>
  <si>
    <t>rieb</t>
  </si>
  <si>
    <t>sicherheitsprotokoll</t>
  </si>
  <si>
    <t>streif</t>
  </si>
  <si>
    <t>seismische</t>
  </si>
  <si>
    <t>lebenswandel</t>
  </si>
  <si>
    <t>begutachtung</t>
  </si>
  <si>
    <t>berechnend</t>
  </si>
  <si>
    <t>abzuheben</t>
  </si>
  <si>
    <t>vettern</t>
  </si>
  <si>
    <t>gejammert</t>
  </si>
  <si>
    <t>tierquälerei</t>
  </si>
  <si>
    <t>ismael</t>
  </si>
  <si>
    <t>familienbetrieb</t>
  </si>
  <si>
    <t>klipp</t>
  </si>
  <si>
    <t>denzel</t>
  </si>
  <si>
    <t>junk</t>
  </si>
  <si>
    <t>auda</t>
  </si>
  <si>
    <t>baumelt</t>
  </si>
  <si>
    <t>aufteilung</t>
  </si>
  <si>
    <t>jamaikaner</t>
  </si>
  <si>
    <t>lhasa</t>
  </si>
  <si>
    <t>zehnjährige</t>
  </si>
  <si>
    <t>purdy</t>
  </si>
  <si>
    <t>wasserpistole</t>
  </si>
  <si>
    <t>spielzeugladen</t>
  </si>
  <si>
    <t>musikanten</t>
  </si>
  <si>
    <t>mündlichen</t>
  </si>
  <si>
    <t>superheldin</t>
  </si>
  <si>
    <t>lustmolch</t>
  </si>
  <si>
    <t>weltraums</t>
  </si>
  <si>
    <t>heeyong</t>
  </si>
  <si>
    <t>erhabenheit</t>
  </si>
  <si>
    <t>spurensuche</t>
  </si>
  <si>
    <t>zeitweilig</t>
  </si>
  <si>
    <t>tückisch</t>
  </si>
  <si>
    <t>smithy</t>
  </si>
  <si>
    <t>möbelstück</t>
  </si>
  <si>
    <t>störten</t>
  </si>
  <si>
    <t>burchell</t>
  </si>
  <si>
    <t>strauch</t>
  </si>
  <si>
    <t>ergebnislos</t>
  </si>
  <si>
    <t>schlaftrunk</t>
  </si>
  <si>
    <t>atemberaubende</t>
  </si>
  <si>
    <t>grüezi</t>
  </si>
  <si>
    <t>kopfverletzungen</t>
  </si>
  <si>
    <t>blacky</t>
  </si>
  <si>
    <t>vorschlägt</t>
  </si>
  <si>
    <t>eingespannt</t>
  </si>
  <si>
    <t>ciark</t>
  </si>
  <si>
    <t>gemachten</t>
  </si>
  <si>
    <t>wildlinge</t>
  </si>
  <si>
    <t>schubkraft</t>
  </si>
  <si>
    <t>unbeabsichtigt</t>
  </si>
  <si>
    <t>winch</t>
  </si>
  <si>
    <t>ester</t>
  </si>
  <si>
    <t>glücksspiele</t>
  </si>
  <si>
    <t>camembert</t>
  </si>
  <si>
    <t>past</t>
  </si>
  <si>
    <t>wälzt</t>
  </si>
  <si>
    <t>lefebvre</t>
  </si>
  <si>
    <t>zuverlässigkeit</t>
  </si>
  <si>
    <t>hervorbringt</t>
  </si>
  <si>
    <t>kombüse</t>
  </si>
  <si>
    <t>abnormal</t>
  </si>
  <si>
    <t>überstehe</t>
  </si>
  <si>
    <t>persisch</t>
  </si>
  <si>
    <t>deflektor</t>
  </si>
  <si>
    <t>wolfman</t>
  </si>
  <si>
    <t>rager</t>
  </si>
  <si>
    <t>gliedern</t>
  </si>
  <si>
    <t>gepanzerten</t>
  </si>
  <si>
    <t>mafiaboss</t>
  </si>
  <si>
    <t>dostojewski</t>
  </si>
  <si>
    <t>kirsch</t>
  </si>
  <si>
    <t>nachgibt</t>
  </si>
  <si>
    <t>tanzes</t>
  </si>
  <si>
    <t>stapleton</t>
  </si>
  <si>
    <t>hannas</t>
  </si>
  <si>
    <t>porgy</t>
  </si>
  <si>
    <t>torrio</t>
  </si>
  <si>
    <t>hübschesten</t>
  </si>
  <si>
    <t>übermannt</t>
  </si>
  <si>
    <t>zsa</t>
  </si>
  <si>
    <t>orm</t>
  </si>
  <si>
    <t>keanu</t>
  </si>
  <si>
    <t>warfst</t>
  </si>
  <si>
    <t>freitagnacht</t>
  </si>
  <si>
    <t>kindesmissbrauch</t>
  </si>
  <si>
    <t>eisprung</t>
  </si>
  <si>
    <t>widerstrebt</t>
  </si>
  <si>
    <t>sat</t>
  </si>
  <si>
    <t>angehäuft</t>
  </si>
  <si>
    <t>kovar</t>
  </si>
  <si>
    <t>gerader</t>
  </si>
  <si>
    <t>gegenspieler</t>
  </si>
  <si>
    <t>zuru</t>
  </si>
  <si>
    <t>weltalls</t>
  </si>
  <si>
    <t>anpassungen</t>
  </si>
  <si>
    <t>beklagst</t>
  </si>
  <si>
    <t>indianisch</t>
  </si>
  <si>
    <t>schulleiterin</t>
  </si>
  <si>
    <t>aufzufangen</t>
  </si>
  <si>
    <t>denunzieren</t>
  </si>
  <si>
    <t>zwicken</t>
  </si>
  <si>
    <t>stichen</t>
  </si>
  <si>
    <t>nordöstlich</t>
  </si>
  <si>
    <t>mes</t>
  </si>
  <si>
    <t>campos</t>
  </si>
  <si>
    <t>dreckschweine</t>
  </si>
  <si>
    <t>kack</t>
  </si>
  <si>
    <t>wataru</t>
  </si>
  <si>
    <t>vorstellungsgespräche</t>
  </si>
  <si>
    <t>unaufmerksam</t>
  </si>
  <si>
    <t>schlaffen</t>
  </si>
  <si>
    <t>kardiologe</t>
  </si>
  <si>
    <t>blogs</t>
  </si>
  <si>
    <t>vorprogrammiert</t>
  </si>
  <si>
    <t>mittelschicht</t>
  </si>
  <si>
    <t>waldbrand</t>
  </si>
  <si>
    <t>iraker</t>
  </si>
  <si>
    <t>robocop</t>
  </si>
  <si>
    <t>stiftet</t>
  </si>
  <si>
    <t>rostet</t>
  </si>
  <si>
    <t>rücksichtsloser</t>
  </si>
  <si>
    <t>praline</t>
  </si>
  <si>
    <t>schlamperei</t>
  </si>
  <si>
    <t>lada</t>
  </si>
  <si>
    <t>vernetzt</t>
  </si>
  <si>
    <t>abspülen</t>
  </si>
  <si>
    <t>martel</t>
  </si>
  <si>
    <t>rios</t>
  </si>
  <si>
    <t>veröffentlichten</t>
  </si>
  <si>
    <t>reingewaschen</t>
  </si>
  <si>
    <t>luann</t>
  </si>
  <si>
    <t>itchy</t>
  </si>
  <si>
    <t>namenlose</t>
  </si>
  <si>
    <t>drakes</t>
  </si>
  <si>
    <t>liebschaften</t>
  </si>
  <si>
    <t>ignoranten</t>
  </si>
  <si>
    <t>grammophon</t>
  </si>
  <si>
    <t>amadeus</t>
  </si>
  <si>
    <t>blockierte</t>
  </si>
  <si>
    <t>terroranschläge</t>
  </si>
  <si>
    <t>gebüßt</t>
  </si>
  <si>
    <t>x5</t>
  </si>
  <si>
    <t>sec</t>
  </si>
  <si>
    <t>mint</t>
  </si>
  <si>
    <t>warlow</t>
  </si>
  <si>
    <t>zoran</t>
  </si>
  <si>
    <t>herrschten</t>
  </si>
  <si>
    <t>meeren</t>
  </si>
  <si>
    <t>timbuktu</t>
  </si>
  <si>
    <t>edgware</t>
  </si>
  <si>
    <t>piotr</t>
  </si>
  <si>
    <t>überliefert</t>
  </si>
  <si>
    <t>vietkong</t>
  </si>
  <si>
    <t>losreißen</t>
  </si>
  <si>
    <t>knechten</t>
  </si>
  <si>
    <t>grundstücks</t>
  </si>
  <si>
    <t>macs</t>
  </si>
  <si>
    <t>rundes</t>
  </si>
  <si>
    <t>barrymore</t>
  </si>
  <si>
    <t>fackelt</t>
  </si>
  <si>
    <t>räuchern</t>
  </si>
  <si>
    <t>table</t>
  </si>
  <si>
    <t>anweisen</t>
  </si>
  <si>
    <t>ziegler</t>
  </si>
  <si>
    <t>post-it</t>
  </si>
  <si>
    <t>m5</t>
  </si>
  <si>
    <t>grasen</t>
  </si>
  <si>
    <t>odd</t>
  </si>
  <si>
    <t>krachte</t>
  </si>
  <si>
    <t>edition</t>
  </si>
  <si>
    <t>verkümmert</t>
  </si>
  <si>
    <t>fränze</t>
  </si>
  <si>
    <t>beratungen</t>
  </si>
  <si>
    <t>muldoon</t>
  </si>
  <si>
    <t>verhätschelt</t>
  </si>
  <si>
    <t>goines</t>
  </si>
  <si>
    <t>ausreichende</t>
  </si>
  <si>
    <t>gallery</t>
  </si>
  <si>
    <t>spe</t>
  </si>
  <si>
    <t>anforderung</t>
  </si>
  <si>
    <t>funksignal</t>
  </si>
  <si>
    <t>kaida</t>
  </si>
  <si>
    <t>aufgeblasene</t>
  </si>
  <si>
    <t>hundi</t>
  </si>
  <si>
    <t>meisterwerke</t>
  </si>
  <si>
    <t>techno</t>
  </si>
  <si>
    <t>sto</t>
  </si>
  <si>
    <t>schutzpatron</t>
  </si>
  <si>
    <t>fianders</t>
  </si>
  <si>
    <t>darfur</t>
  </si>
  <si>
    <t>poltergeist</t>
  </si>
  <si>
    <t>abklappern</t>
  </si>
  <si>
    <t>obacht</t>
  </si>
  <si>
    <t>heimgeschickt</t>
  </si>
  <si>
    <t>würgte</t>
  </si>
  <si>
    <t>disput</t>
  </si>
  <si>
    <t>seefahrt</t>
  </si>
  <si>
    <t>gefechtsstationen</t>
  </si>
  <si>
    <t>lauge</t>
  </si>
  <si>
    <t>rühmen</t>
  </si>
  <si>
    <t>tonny</t>
  </si>
  <si>
    <t>griffbereit</t>
  </si>
  <si>
    <t>dicksten</t>
  </si>
  <si>
    <t>nachhaltig</t>
  </si>
  <si>
    <t>ramen</t>
  </si>
  <si>
    <t>vortäuscht</t>
  </si>
  <si>
    <t>tropez</t>
  </si>
  <si>
    <t>schieber</t>
  </si>
  <si>
    <t>identischen</t>
  </si>
  <si>
    <t>quillt</t>
  </si>
  <si>
    <t>vorgibst</t>
  </si>
  <si>
    <t>bligh</t>
  </si>
  <si>
    <t>vorherzusagen</t>
  </si>
  <si>
    <t>bersten</t>
  </si>
  <si>
    <t>potters</t>
  </si>
  <si>
    <t>perth</t>
  </si>
  <si>
    <t>durchgehend</t>
  </si>
  <si>
    <t>übersiehst</t>
  </si>
  <si>
    <t>verdamme</t>
  </si>
  <si>
    <t>flügen</t>
  </si>
  <si>
    <t>instabile</t>
  </si>
  <si>
    <t>hoffnungslosigkeit</t>
  </si>
  <si>
    <t>äquivalent</t>
  </si>
  <si>
    <t>dickicht</t>
  </si>
  <si>
    <t>käm</t>
  </si>
  <si>
    <t>margherita</t>
  </si>
  <si>
    <t>skandalöse</t>
  </si>
  <si>
    <t>kritischem</t>
  </si>
  <si>
    <t>wildcats</t>
  </si>
  <si>
    <t>cheerios</t>
  </si>
  <si>
    <t>bediente</t>
  </si>
  <si>
    <t>gelte</t>
  </si>
  <si>
    <t>marceau</t>
  </si>
  <si>
    <t>umlege</t>
  </si>
  <si>
    <t>xifeng</t>
  </si>
  <si>
    <t>estes</t>
  </si>
  <si>
    <t>hochgeklettert</t>
  </si>
  <si>
    <t>einprägen</t>
  </si>
  <si>
    <t>siedlern</t>
  </si>
  <si>
    <t>basen</t>
  </si>
  <si>
    <t>unterstand</t>
  </si>
  <si>
    <t>felswand</t>
  </si>
  <si>
    <t>waldrand</t>
  </si>
  <si>
    <t>sprechchor</t>
  </si>
  <si>
    <t>gebräunt</t>
  </si>
  <si>
    <t>richelieu</t>
  </si>
  <si>
    <t>katapultiert</t>
  </si>
  <si>
    <t>asiatisch</t>
  </si>
  <si>
    <t>boa</t>
  </si>
  <si>
    <t>trout</t>
  </si>
  <si>
    <t>hölzerne</t>
  </si>
  <si>
    <t>pennies</t>
  </si>
  <si>
    <t>kinderbücher</t>
  </si>
  <si>
    <t>mogli</t>
  </si>
  <si>
    <t>nihal</t>
  </si>
  <si>
    <t>geheul</t>
  </si>
  <si>
    <t>rauslocken</t>
  </si>
  <si>
    <t>notizbücher</t>
  </si>
  <si>
    <t>organspender</t>
  </si>
  <si>
    <t>trooper</t>
  </si>
  <si>
    <t>asenkerschbaumer</t>
  </si>
  <si>
    <t>abzuhören</t>
  </si>
  <si>
    <t>pepi</t>
  </si>
  <si>
    <t>apotheken</t>
  </si>
  <si>
    <t>culpa</t>
  </si>
  <si>
    <t>streep</t>
  </si>
  <si>
    <t>hüpfer</t>
  </si>
  <si>
    <t>kimberley</t>
  </si>
  <si>
    <t>sackgassen</t>
  </si>
  <si>
    <t>cailin</t>
  </si>
  <si>
    <t>sangria</t>
  </si>
  <si>
    <t>lego</t>
  </si>
  <si>
    <t>rezeptur</t>
  </si>
  <si>
    <t>unähnlich</t>
  </si>
  <si>
    <t>orly</t>
  </si>
  <si>
    <t>ho-ho</t>
  </si>
  <si>
    <t>schuldspruch</t>
  </si>
  <si>
    <t>glasauge</t>
  </si>
  <si>
    <t>chev</t>
  </si>
  <si>
    <t>grauens</t>
  </si>
  <si>
    <t>countess</t>
  </si>
  <si>
    <t>tale</t>
  </si>
  <si>
    <t>heringe</t>
  </si>
  <si>
    <t>einhaltung</t>
  </si>
  <si>
    <t>verneint</t>
  </si>
  <si>
    <t>gewebeproben</t>
  </si>
  <si>
    <t>familienfeier</t>
  </si>
  <si>
    <t>verhalt</t>
  </si>
  <si>
    <t>begrüssen</t>
  </si>
  <si>
    <t>interferenz</t>
  </si>
  <si>
    <t>volkswagen</t>
  </si>
  <si>
    <t>danby</t>
  </si>
  <si>
    <t>indisponiert</t>
  </si>
  <si>
    <t>schaufensterpuppe</t>
  </si>
  <si>
    <t>furchtlosen</t>
  </si>
  <si>
    <t>sprudeln</t>
  </si>
  <si>
    <t>chesapeake</t>
  </si>
  <si>
    <t>vernachlässigung</t>
  </si>
  <si>
    <t>zubereitung</t>
  </si>
  <si>
    <t>mannys</t>
  </si>
  <si>
    <t>davos</t>
  </si>
  <si>
    <t>chaussy</t>
  </si>
  <si>
    <t>gesammelten</t>
  </si>
  <si>
    <t>plummer</t>
  </si>
  <si>
    <t>praktisches</t>
  </si>
  <si>
    <t>siebert</t>
  </si>
  <si>
    <t>marschiere</t>
  </si>
  <si>
    <t>treme</t>
  </si>
  <si>
    <t>letterman</t>
  </si>
  <si>
    <t>donnerschlag</t>
  </si>
  <si>
    <t>gourmet</t>
  </si>
  <si>
    <t>mistkerlen</t>
  </si>
  <si>
    <t>auszuleihen</t>
  </si>
  <si>
    <t>kelle</t>
  </si>
  <si>
    <t>befreundeten</t>
  </si>
  <si>
    <t>gülnihal</t>
  </si>
  <si>
    <t>meckerst</t>
  </si>
  <si>
    <t>kerben</t>
  </si>
  <si>
    <t>zusammengefügt</t>
  </si>
  <si>
    <t>jenson</t>
  </si>
  <si>
    <t>nugget</t>
  </si>
  <si>
    <t>noreen</t>
  </si>
  <si>
    <t>unzugänglich</t>
  </si>
  <si>
    <t>buttons</t>
  </si>
  <si>
    <t>davontragen</t>
  </si>
  <si>
    <t>temporäre</t>
  </si>
  <si>
    <t>analsex</t>
  </si>
  <si>
    <t>due</t>
  </si>
  <si>
    <t>konsortium</t>
  </si>
  <si>
    <t>staatliches</t>
  </si>
  <si>
    <t>eingelaufen</t>
  </si>
  <si>
    <t>alonso</t>
  </si>
  <si>
    <t>gespaltene</t>
  </si>
  <si>
    <t>höllenqualen</t>
  </si>
  <si>
    <t>janos</t>
  </si>
  <si>
    <t>guevara</t>
  </si>
  <si>
    <t>vernünftigste</t>
  </si>
  <si>
    <t>voraussichtliche</t>
  </si>
  <si>
    <t>hinzurichten</t>
  </si>
  <si>
    <t>schmerzliche</t>
  </si>
  <si>
    <t>soundcheck</t>
  </si>
  <si>
    <t>nullpunkt</t>
  </si>
  <si>
    <t>listig</t>
  </si>
  <si>
    <t>zeta</t>
  </si>
  <si>
    <t>s01e05</t>
  </si>
  <si>
    <t>halloween-party</t>
  </si>
  <si>
    <t>dewitt</t>
  </si>
  <si>
    <t>gaffney</t>
  </si>
  <si>
    <t>kanako</t>
  </si>
  <si>
    <t>bewohnen</t>
  </si>
  <si>
    <t>kinofilm</t>
  </si>
  <si>
    <t>stiefschwester</t>
  </si>
  <si>
    <t>ausgestanden</t>
  </si>
  <si>
    <t>vögle</t>
  </si>
  <si>
    <t>delorean</t>
  </si>
  <si>
    <t>vaginas</t>
  </si>
  <si>
    <t>kontroversen</t>
  </si>
  <si>
    <t>barden</t>
  </si>
  <si>
    <t>haftbar</t>
  </si>
  <si>
    <t>whatever</t>
  </si>
  <si>
    <t>shields</t>
  </si>
  <si>
    <t>forschungsergebnisse</t>
  </si>
  <si>
    <t>elysium</t>
  </si>
  <si>
    <t>sheffield</t>
  </si>
  <si>
    <t>campbells</t>
  </si>
  <si>
    <t>knacki</t>
  </si>
  <si>
    <t>verdächtigst</t>
  </si>
  <si>
    <t>thoraxdrainage</t>
  </si>
  <si>
    <t>glasisch</t>
  </si>
  <si>
    <t>claw</t>
  </si>
  <si>
    <t>einschleimen</t>
  </si>
  <si>
    <t>abzuwaschen</t>
  </si>
  <si>
    <t>markierte</t>
  </si>
  <si>
    <t>shifu</t>
  </si>
  <si>
    <t>spore</t>
  </si>
  <si>
    <t>b.b.</t>
  </si>
  <si>
    <t>kyra</t>
  </si>
  <si>
    <t>magazins</t>
  </si>
  <si>
    <t>märkten</t>
  </si>
  <si>
    <t>statische</t>
  </si>
  <si>
    <t>dienstleistung</t>
  </si>
  <si>
    <t>loslasse</t>
  </si>
  <si>
    <t>runterzuholen</t>
  </si>
  <si>
    <t>flecke</t>
  </si>
  <si>
    <t>verplant</t>
  </si>
  <si>
    <t>buckner</t>
  </si>
  <si>
    <t>energies</t>
  </si>
  <si>
    <t>vila</t>
  </si>
  <si>
    <t>qaida</t>
  </si>
  <si>
    <t>pierson</t>
  </si>
  <si>
    <t>übertragbar</t>
  </si>
  <si>
    <t>grimaud</t>
  </si>
  <si>
    <t>fremdem</t>
  </si>
  <si>
    <t>hierdurch</t>
  </si>
  <si>
    <t>tuts</t>
  </si>
  <si>
    <t>gepanzert</t>
  </si>
  <si>
    <t>health</t>
  </si>
  <si>
    <t>nordwind</t>
  </si>
  <si>
    <t>kühlschränke</t>
  </si>
  <si>
    <t>flacher</t>
  </si>
  <si>
    <t>marschierte</t>
  </si>
  <si>
    <t>merkwürdigerweise</t>
  </si>
  <si>
    <t>chiffre</t>
  </si>
  <si>
    <t>pianisten</t>
  </si>
  <si>
    <t>charter</t>
  </si>
  <si>
    <t>aktionären</t>
  </si>
  <si>
    <t>kraftlos</t>
  </si>
  <si>
    <t>zündest</t>
  </si>
  <si>
    <t>suaheli</t>
  </si>
  <si>
    <t>pettigrew</t>
  </si>
  <si>
    <t>treasure</t>
  </si>
  <si>
    <t>controller</t>
  </si>
  <si>
    <t>kaulder</t>
  </si>
  <si>
    <t>blutrünstige</t>
  </si>
  <si>
    <t>reynholm</t>
  </si>
  <si>
    <t>seifenblasen</t>
  </si>
  <si>
    <t>whitehead</t>
  </si>
  <si>
    <t>sachiko</t>
  </si>
  <si>
    <t>schlafrock</t>
  </si>
  <si>
    <t>schlafzimmern</t>
  </si>
  <si>
    <t>weihnachtslied</t>
  </si>
  <si>
    <t>lockeren</t>
  </si>
  <si>
    <t>digby</t>
  </si>
  <si>
    <t>verhandelst</t>
  </si>
  <si>
    <t>gaspard</t>
  </si>
  <si>
    <t>wohngegend</t>
  </si>
  <si>
    <t>bonzen</t>
  </si>
  <si>
    <t>hakenzahn</t>
  </si>
  <si>
    <t>doppelschichten</t>
  </si>
  <si>
    <t>trügerisch</t>
  </si>
  <si>
    <t>snobs</t>
  </si>
  <si>
    <t>elia</t>
  </si>
  <si>
    <t>umsiedlung</t>
  </si>
  <si>
    <t>nixons</t>
  </si>
  <si>
    <t>negativer</t>
  </si>
  <si>
    <t>skrupelloser</t>
  </si>
  <si>
    <t>dressiert</t>
  </si>
  <si>
    <t>unreife</t>
  </si>
  <si>
    <t>gefreiten</t>
  </si>
  <si>
    <t>opal</t>
  </si>
  <si>
    <t>kaffees</t>
  </si>
  <si>
    <t>formte</t>
  </si>
  <si>
    <t>points</t>
  </si>
  <si>
    <t>pray</t>
  </si>
  <si>
    <t>zwanzigern</t>
  </si>
  <si>
    <t>grausamste</t>
  </si>
  <si>
    <t>umdrehst</t>
  </si>
  <si>
    <t>auflisten</t>
  </si>
  <si>
    <t>happiness</t>
  </si>
  <si>
    <t>modifizierte</t>
  </si>
  <si>
    <t>lappalie</t>
  </si>
  <si>
    <t>loops</t>
  </si>
  <si>
    <t>coyle</t>
  </si>
  <si>
    <t>eingehe</t>
  </si>
  <si>
    <t>zedd</t>
  </si>
  <si>
    <t>versengt</t>
  </si>
  <si>
    <t>lolly</t>
  </si>
  <si>
    <t>hinkam</t>
  </si>
  <si>
    <t>himmlisches</t>
  </si>
  <si>
    <t>teii</t>
  </si>
  <si>
    <t>wissenschaftsoffizier</t>
  </si>
  <si>
    <t>duncans</t>
  </si>
  <si>
    <t>hoods</t>
  </si>
  <si>
    <t>semesters</t>
  </si>
  <si>
    <t>brainpower</t>
  </si>
  <si>
    <t>schachbrett</t>
  </si>
  <si>
    <t>piri</t>
  </si>
  <si>
    <t>manhattans</t>
  </si>
  <si>
    <t>galaktischen</t>
  </si>
  <si>
    <t>wegwirft</t>
  </si>
  <si>
    <t>manipulierst</t>
  </si>
  <si>
    <t>ghislaine</t>
  </si>
  <si>
    <t>erdrücken</t>
  </si>
  <si>
    <t>gebildeten</t>
  </si>
  <si>
    <t>fiktive</t>
  </si>
  <si>
    <t>daisys</t>
  </si>
  <si>
    <t>kowloon</t>
  </si>
  <si>
    <t>gesicherte</t>
  </si>
  <si>
    <t>grégoire</t>
  </si>
  <si>
    <t>existierenden</t>
  </si>
  <si>
    <t>orlow</t>
  </si>
  <si>
    <t>spezialistin</t>
  </si>
  <si>
    <t>dezimiert</t>
  </si>
  <si>
    <t>geheiminformationen</t>
  </si>
  <si>
    <t>schulgelände</t>
  </si>
  <si>
    <t>subjekte</t>
  </si>
  <si>
    <t>yea</t>
  </si>
  <si>
    <t>kühlsystem</t>
  </si>
  <si>
    <t>hutton</t>
  </si>
  <si>
    <t>slang</t>
  </si>
  <si>
    <t>kasim</t>
  </si>
  <si>
    <t>lucía</t>
  </si>
  <si>
    <t>heilungsprozess</t>
  </si>
  <si>
    <t>ivana</t>
  </si>
  <si>
    <t>rumgespielt</t>
  </si>
  <si>
    <t>karabiner</t>
  </si>
  <si>
    <t>heizkörper</t>
  </si>
  <si>
    <t>barley</t>
  </si>
  <si>
    <t>telegrafieren</t>
  </si>
  <si>
    <t>zuviele</t>
  </si>
  <si>
    <t>rasenden</t>
  </si>
  <si>
    <t>torero</t>
  </si>
  <si>
    <t>gunny</t>
  </si>
  <si>
    <t>taras</t>
  </si>
  <si>
    <t>roanoke</t>
  </si>
  <si>
    <t>maybelle</t>
  </si>
  <si>
    <t>chromosomen</t>
  </si>
  <si>
    <t>beeindruckte</t>
  </si>
  <si>
    <t>juliane</t>
  </si>
  <si>
    <t>kitano</t>
  </si>
  <si>
    <t>produktionsfirma</t>
  </si>
  <si>
    <t>gleichgestellt</t>
  </si>
  <si>
    <t>beelzebub</t>
  </si>
  <si>
    <t>erkenntnissen</t>
  </si>
  <si>
    <t>funktionierten</t>
  </si>
  <si>
    <t>tombola</t>
  </si>
  <si>
    <t>frohsinn</t>
  </si>
  <si>
    <t>artischocken</t>
  </si>
  <si>
    <t>michels</t>
  </si>
  <si>
    <t>lalala</t>
  </si>
  <si>
    <t>gebrauchtes</t>
  </si>
  <si>
    <t>schwachköpfen</t>
  </si>
  <si>
    <t>edam</t>
  </si>
  <si>
    <t>genügte</t>
  </si>
  <si>
    <t>wettkämpfer</t>
  </si>
  <si>
    <t>marein</t>
  </si>
  <si>
    <t>marschbefehl</t>
  </si>
  <si>
    <t>navarra</t>
  </si>
  <si>
    <t>bubbs</t>
  </si>
  <si>
    <t>sexappeal</t>
  </si>
  <si>
    <t>traumas</t>
  </si>
  <si>
    <t>bigelow</t>
  </si>
  <si>
    <t>fassten</t>
  </si>
  <si>
    <t>vorstandsmitglied</t>
  </si>
  <si>
    <t>weitergegangen</t>
  </si>
  <si>
    <t>boing</t>
  </si>
  <si>
    <t>dobby</t>
  </si>
  <si>
    <t>fixierung</t>
  </si>
  <si>
    <t>elk</t>
  </si>
  <si>
    <t>abchecken</t>
  </si>
  <si>
    <t>calderon</t>
  </si>
  <si>
    <t>mlle</t>
  </si>
  <si>
    <t>devore</t>
  </si>
  <si>
    <t>mitzählen</t>
  </si>
  <si>
    <t>zandt</t>
  </si>
  <si>
    <t>scullys</t>
  </si>
  <si>
    <t>standhält</t>
  </si>
  <si>
    <t>ungewollte</t>
  </si>
  <si>
    <t>auslese</t>
  </si>
  <si>
    <t>eindeutiges</t>
  </si>
  <si>
    <t>cavendish</t>
  </si>
  <si>
    <t>stoppten</t>
  </si>
  <si>
    <t>mirjetzt</t>
  </si>
  <si>
    <t>zipfel</t>
  </si>
  <si>
    <t>rausgerannt</t>
  </si>
  <si>
    <t>läsionen</t>
  </si>
  <si>
    <t>balla</t>
  </si>
  <si>
    <t>gotteshaus</t>
  </si>
  <si>
    <t>auspackt</t>
  </si>
  <si>
    <t>wachten</t>
  </si>
  <si>
    <t>peugeot</t>
  </si>
  <si>
    <t>geologische</t>
  </si>
  <si>
    <t>klassik</t>
  </si>
  <si>
    <t>überlasten</t>
  </si>
  <si>
    <t>marat</t>
  </si>
  <si>
    <t>pasteur</t>
  </si>
  <si>
    <t>zauberformel</t>
  </si>
  <si>
    <t>onkologie</t>
  </si>
  <si>
    <t>weinprobe</t>
  </si>
  <si>
    <t>bösartiges</t>
  </si>
  <si>
    <t>ultron</t>
  </si>
  <si>
    <t>versorger</t>
  </si>
  <si>
    <t>mädchenhaft</t>
  </si>
  <si>
    <t>negerin</t>
  </si>
  <si>
    <t>ljudmila</t>
  </si>
  <si>
    <t>tonart</t>
  </si>
  <si>
    <t>umrühren</t>
  </si>
  <si>
    <t>thorin</t>
  </si>
  <si>
    <t>allerhöchste</t>
  </si>
  <si>
    <t>entzündete</t>
  </si>
  <si>
    <t>shreveport</t>
  </si>
  <si>
    <t>glaber</t>
  </si>
  <si>
    <t>torgeir</t>
  </si>
  <si>
    <t>ausführliche</t>
  </si>
  <si>
    <t>blaskapelle</t>
  </si>
  <si>
    <t>hrothgar</t>
  </si>
  <si>
    <t>sacken</t>
  </si>
  <si>
    <t>tacho</t>
  </si>
  <si>
    <t>spinnern</t>
  </si>
  <si>
    <t>haldeman</t>
  </si>
  <si>
    <t>subcommander</t>
  </si>
  <si>
    <t>entwirren</t>
  </si>
  <si>
    <t>ausbrecher</t>
  </si>
  <si>
    <t>reingucken</t>
  </si>
  <si>
    <t>muntert</t>
  </si>
  <si>
    <t>hinterherlaufen</t>
  </si>
  <si>
    <t>raff</t>
  </si>
  <si>
    <t>herzurichten</t>
  </si>
  <si>
    <t>vail</t>
  </si>
  <si>
    <t>eingebüßt</t>
  </si>
  <si>
    <t>weinenden</t>
  </si>
  <si>
    <t>lateinische</t>
  </si>
  <si>
    <t>vertikale</t>
  </si>
  <si>
    <t>quartieren</t>
  </si>
  <si>
    <t>hundebellen</t>
  </si>
  <si>
    <t>biologisches</t>
  </si>
  <si>
    <t>gemeinwohl</t>
  </si>
  <si>
    <t>abgetan</t>
  </si>
  <si>
    <t>cancan</t>
  </si>
  <si>
    <t>auslöscht</t>
  </si>
  <si>
    <t>catelyn</t>
  </si>
  <si>
    <t>verpfänden</t>
  </si>
  <si>
    <t>chemisches</t>
  </si>
  <si>
    <t>hochrangiger</t>
  </si>
  <si>
    <t>bademeister</t>
  </si>
  <si>
    <t>einser</t>
  </si>
  <si>
    <t>schwätzchen</t>
  </si>
  <si>
    <t>silly</t>
  </si>
  <si>
    <t>probeessen</t>
  </si>
  <si>
    <t>livius</t>
  </si>
  <si>
    <t>aaarrrgghh</t>
  </si>
  <si>
    <t>ratsmitglied</t>
  </si>
  <si>
    <t>furio</t>
  </si>
  <si>
    <t>miri</t>
  </si>
  <si>
    <t>machtkampf</t>
  </si>
  <si>
    <t>konzession</t>
  </si>
  <si>
    <t>misserfolge</t>
  </si>
  <si>
    <t>festtag</t>
  </si>
  <si>
    <t>shado</t>
  </si>
  <si>
    <t>richtlinie</t>
  </si>
  <si>
    <t>terrell</t>
  </si>
  <si>
    <t>trinkgelder</t>
  </si>
  <si>
    <t>slipper</t>
  </si>
  <si>
    <t>preisrichter</t>
  </si>
  <si>
    <t>epischen</t>
  </si>
  <si>
    <t>airbag</t>
  </si>
  <si>
    <t>deflektoren</t>
  </si>
  <si>
    <t>unbenutzt</t>
  </si>
  <si>
    <t>zing</t>
  </si>
  <si>
    <t>kampfunfähig</t>
  </si>
  <si>
    <t>kindlichen</t>
  </si>
  <si>
    <t>manifestiert</t>
  </si>
  <si>
    <t>schutzbrille</t>
  </si>
  <si>
    <t>betreue</t>
  </si>
  <si>
    <t>hoppy</t>
  </si>
  <si>
    <t>regenbögen</t>
  </si>
  <si>
    <t>nagle</t>
  </si>
  <si>
    <t>bereithält</t>
  </si>
  <si>
    <t>indiens</t>
  </si>
  <si>
    <t>sodomie</t>
  </si>
  <si>
    <t>sümmchen</t>
  </si>
  <si>
    <t>stoffen</t>
  </si>
  <si>
    <t>gütern</t>
  </si>
  <si>
    <t>niederzubrennen</t>
  </si>
  <si>
    <t>konventionellen</t>
  </si>
  <si>
    <t>vichy</t>
  </si>
  <si>
    <t>merc</t>
  </si>
  <si>
    <t>floor</t>
  </si>
  <si>
    <t>bronchitis</t>
  </si>
  <si>
    <t>erzog</t>
  </si>
  <si>
    <t>reisst</t>
  </si>
  <si>
    <t>mikrowellen</t>
  </si>
  <si>
    <t>symbolik</t>
  </si>
  <si>
    <t>bouquet</t>
  </si>
  <si>
    <t>diktiere</t>
  </si>
  <si>
    <t>zobel</t>
  </si>
  <si>
    <t>picture</t>
  </si>
  <si>
    <t>florentine</t>
  </si>
  <si>
    <t>rigby</t>
  </si>
  <si>
    <t>minotaurus</t>
  </si>
  <si>
    <t>zoeys</t>
  </si>
  <si>
    <t>vergangener</t>
  </si>
  <si>
    <t>luftangriffe</t>
  </si>
  <si>
    <t>ausgängen</t>
  </si>
  <si>
    <t>südwest</t>
  </si>
  <si>
    <t>godfather</t>
  </si>
  <si>
    <t>ausgeprägten</t>
  </si>
  <si>
    <t>briar</t>
  </si>
  <si>
    <t>boarding</t>
  </si>
  <si>
    <t>budd</t>
  </si>
  <si>
    <t>namensliste</t>
  </si>
  <si>
    <t>dhabi</t>
  </si>
  <si>
    <t>toxische</t>
  </si>
  <si>
    <t>mikros</t>
  </si>
  <si>
    <t>würgegriff</t>
  </si>
  <si>
    <t>exkommuniziert</t>
  </si>
  <si>
    <t>aye-aye</t>
  </si>
  <si>
    <t>beths</t>
  </si>
  <si>
    <t>zaghaft</t>
  </si>
  <si>
    <t>geschähe</t>
  </si>
  <si>
    <t>abmurksen</t>
  </si>
  <si>
    <t>umschreibung</t>
  </si>
  <si>
    <t>strasser</t>
  </si>
  <si>
    <t>klöße</t>
  </si>
  <si>
    <t>nonsens</t>
  </si>
  <si>
    <t>bleu</t>
  </si>
  <si>
    <t>weiserthomas</t>
  </si>
  <si>
    <t>verwelken</t>
  </si>
  <si>
    <t>klavierstunden</t>
  </si>
  <si>
    <t>eigennutz</t>
  </si>
  <si>
    <t>borns</t>
  </si>
  <si>
    <t>jedwede</t>
  </si>
  <si>
    <t>quittiert</t>
  </si>
  <si>
    <t>rauszuziehen</t>
  </si>
  <si>
    <t>dekadenz</t>
  </si>
  <si>
    <t>heitert</t>
  </si>
  <si>
    <t>hairy</t>
  </si>
  <si>
    <t>überschüttet</t>
  </si>
  <si>
    <t>dvd-player</t>
  </si>
  <si>
    <t>untergebene</t>
  </si>
  <si>
    <t>quantenphysik</t>
  </si>
  <si>
    <t>leichenstarre</t>
  </si>
  <si>
    <t>entchen</t>
  </si>
  <si>
    <t>rubicon</t>
  </si>
  <si>
    <t>washburn</t>
  </si>
  <si>
    <t>kinderkriegen</t>
  </si>
  <si>
    <t>unbefugtes</t>
  </si>
  <si>
    <t>sonderbericht</t>
  </si>
  <si>
    <t>weinstein</t>
  </si>
  <si>
    <t>liebesbeziehung</t>
  </si>
  <si>
    <t>bekleckert</t>
  </si>
  <si>
    <t>bärenhunger</t>
  </si>
  <si>
    <t>programmvorschau</t>
  </si>
  <si>
    <t>verbeugung</t>
  </si>
  <si>
    <t>kinderlachen</t>
  </si>
  <si>
    <t>purge</t>
  </si>
  <si>
    <t>couldn</t>
  </si>
  <si>
    <t>hochland</t>
  </si>
  <si>
    <t>heparin</t>
  </si>
  <si>
    <t>chaotischen</t>
  </si>
  <si>
    <t>städter</t>
  </si>
  <si>
    <t>rechtsberatung</t>
  </si>
  <si>
    <t>proudly</t>
  </si>
  <si>
    <t>glockenspiel</t>
  </si>
  <si>
    <t>exklusives</t>
  </si>
  <si>
    <t>schwenk</t>
  </si>
  <si>
    <t>endgültiges</t>
  </si>
  <si>
    <t>lebenspartner</t>
  </si>
  <si>
    <t>yui</t>
  </si>
  <si>
    <t>wizard</t>
  </si>
  <si>
    <t>meene</t>
  </si>
  <si>
    <t>telefonkonferenz</t>
  </si>
  <si>
    <t>léna</t>
  </si>
  <si>
    <t>platzes</t>
  </si>
  <si>
    <t>woodbine</t>
  </si>
  <si>
    <t>mantle</t>
  </si>
  <si>
    <t>vineyard</t>
  </si>
  <si>
    <t>leidner</t>
  </si>
  <si>
    <t>bestieg</t>
  </si>
  <si>
    <t>john-boys</t>
  </si>
  <si>
    <t>bestform</t>
  </si>
  <si>
    <t>beruhigende</t>
  </si>
  <si>
    <t>ncls</t>
  </si>
  <si>
    <t>rausfindest</t>
  </si>
  <si>
    <t>tagträume</t>
  </si>
  <si>
    <t>hochspannung</t>
  </si>
  <si>
    <t>tweets</t>
  </si>
  <si>
    <t>marston</t>
  </si>
  <si>
    <t>hypochonder</t>
  </si>
  <si>
    <t>rülpser</t>
  </si>
  <si>
    <t>seiteneingang</t>
  </si>
  <si>
    <t>ruinierten</t>
  </si>
  <si>
    <t>sticks</t>
  </si>
  <si>
    <t>iñigo</t>
  </si>
  <si>
    <t>paares</t>
  </si>
  <si>
    <t>feuerstein</t>
  </si>
  <si>
    <t>shilo</t>
  </si>
  <si>
    <t>kataloge</t>
  </si>
  <si>
    <t>lettland</t>
  </si>
  <si>
    <t>frans</t>
  </si>
  <si>
    <t>taka</t>
  </si>
  <si>
    <t>arty</t>
  </si>
  <si>
    <t>lozano</t>
  </si>
  <si>
    <t>umberto</t>
  </si>
  <si>
    <t>schweigeminute</t>
  </si>
  <si>
    <t>betriebsbereit</t>
  </si>
  <si>
    <t>bly</t>
  </si>
  <si>
    <t>notfallwagen</t>
  </si>
  <si>
    <t>beeman</t>
  </si>
  <si>
    <t>slide</t>
  </si>
  <si>
    <t>northwestern</t>
  </si>
  <si>
    <t>funkel</t>
  </si>
  <si>
    <t>delikatessen</t>
  </si>
  <si>
    <t>thorsten</t>
  </si>
  <si>
    <t>bengtzon</t>
  </si>
  <si>
    <t>magoo</t>
  </si>
  <si>
    <t>mitgedacht</t>
  </si>
  <si>
    <t>cd-player</t>
  </si>
  <si>
    <t>schleppten</t>
  </si>
  <si>
    <t>öhm</t>
  </si>
  <si>
    <t>mannheim</t>
  </si>
  <si>
    <t>aufgerollt</t>
  </si>
  <si>
    <t>subtiler</t>
  </si>
  <si>
    <t>augenblicks</t>
  </si>
  <si>
    <t>auswaschen</t>
  </si>
  <si>
    <t>unerträglichen</t>
  </si>
  <si>
    <t>trällert</t>
  </si>
  <si>
    <t>schauspielers</t>
  </si>
  <si>
    <t>ahn</t>
  </si>
  <si>
    <t>polizeidienst</t>
  </si>
  <si>
    <t>dirigiert</t>
  </si>
  <si>
    <t>jagdgewehr</t>
  </si>
  <si>
    <t>ausblenden</t>
  </si>
  <si>
    <t>überhol</t>
  </si>
  <si>
    <t>tokugawa</t>
  </si>
  <si>
    <t>sumida</t>
  </si>
  <si>
    <t>underground</t>
  </si>
  <si>
    <t>brauchbaren</t>
  </si>
  <si>
    <t>beijing</t>
  </si>
  <si>
    <t>football-spieler</t>
  </si>
  <si>
    <t>porte</t>
  </si>
  <si>
    <t>promille</t>
  </si>
  <si>
    <t>anseht</t>
  </si>
  <si>
    <t>georgi</t>
  </si>
  <si>
    <t>fastfood</t>
  </si>
  <si>
    <t>sendern</t>
  </si>
  <si>
    <t>sanftmütig</t>
  </si>
  <si>
    <t>stabschefs</t>
  </si>
  <si>
    <t>gummistiefel</t>
  </si>
  <si>
    <t>jacko</t>
  </si>
  <si>
    <t>umgestoßen</t>
  </si>
  <si>
    <t>träfe</t>
  </si>
  <si>
    <t>guardia</t>
  </si>
  <si>
    <t>amc</t>
  </si>
  <si>
    <t>freiheitsberaubung</t>
  </si>
  <si>
    <t>klassifiziert</t>
  </si>
  <si>
    <t>überdecken</t>
  </si>
  <si>
    <t>betatschen</t>
  </si>
  <si>
    <t>beschränkten</t>
  </si>
  <si>
    <t>schecter</t>
  </si>
  <si>
    <t>devonshire</t>
  </si>
  <si>
    <t>schlitzen</t>
  </si>
  <si>
    <t>reinbekommen</t>
  </si>
  <si>
    <t>dynamite</t>
  </si>
  <si>
    <t>zuwachs</t>
  </si>
  <si>
    <t>erforsche</t>
  </si>
  <si>
    <t>unwahrscheinlichen</t>
  </si>
  <si>
    <t>eingeprägt</t>
  </si>
  <si>
    <t>messlatte</t>
  </si>
  <si>
    <t>sonntagnachmittag</t>
  </si>
  <si>
    <t>krauss</t>
  </si>
  <si>
    <t>bms</t>
  </si>
  <si>
    <t>verjährungsfrist</t>
  </si>
  <si>
    <t>staatsmann</t>
  </si>
  <si>
    <t>verfügte</t>
  </si>
  <si>
    <t>memmen</t>
  </si>
  <si>
    <t>beobachtungsgabe</t>
  </si>
  <si>
    <t>rosten</t>
  </si>
  <si>
    <t>gipfeltreffen</t>
  </si>
  <si>
    <t>krell</t>
  </si>
  <si>
    <t>taystee</t>
  </si>
  <si>
    <t>längeres</t>
  </si>
  <si>
    <t>kahle</t>
  </si>
  <si>
    <t>landau</t>
  </si>
  <si>
    <t>shawna</t>
  </si>
  <si>
    <t>seeluft</t>
  </si>
  <si>
    <t>skilaufen</t>
  </si>
  <si>
    <t>verflixter</t>
  </si>
  <si>
    <t>rains</t>
  </si>
  <si>
    <t>straffreiheit</t>
  </si>
  <si>
    <t>hirogen</t>
  </si>
  <si>
    <t>rätsels</t>
  </si>
  <si>
    <t>zusammentrommeln</t>
  </si>
  <si>
    <t>assassins</t>
  </si>
  <si>
    <t>sonstigen</t>
  </si>
  <si>
    <t>raumfähre</t>
  </si>
  <si>
    <t>belehrung</t>
  </si>
  <si>
    <t>phileas</t>
  </si>
  <si>
    <t>beigesetzt</t>
  </si>
  <si>
    <t>tatet</t>
  </si>
  <si>
    <t>fusionieren</t>
  </si>
  <si>
    <t>seitensprung</t>
  </si>
  <si>
    <t>invasoren</t>
  </si>
  <si>
    <t>beschäftigten</t>
  </si>
  <si>
    <t>neary</t>
  </si>
  <si>
    <t>finnegan</t>
  </si>
  <si>
    <t>deprimieren</t>
  </si>
  <si>
    <t>zurückschauen</t>
  </si>
  <si>
    <t>steuerst</t>
  </si>
  <si>
    <t>fußmatte</t>
  </si>
  <si>
    <t>darauffolgenden</t>
  </si>
  <si>
    <t>fälschte</t>
  </si>
  <si>
    <t>mieterin</t>
  </si>
  <si>
    <t>naevia</t>
  </si>
  <si>
    <t>unnütze</t>
  </si>
  <si>
    <t>tutu</t>
  </si>
  <si>
    <t>paarweise</t>
  </si>
  <si>
    <t>grünkohl</t>
  </si>
  <si>
    <t>gothams</t>
  </si>
  <si>
    <t>liebestrank</t>
  </si>
  <si>
    <t>scheißtyp</t>
  </si>
  <si>
    <t>mgm</t>
  </si>
  <si>
    <t>rostige</t>
  </si>
  <si>
    <t>wameru-forschungszentrum</t>
  </si>
  <si>
    <t>pluspunkte</t>
  </si>
  <si>
    <t>bewegliche</t>
  </si>
  <si>
    <t>verzwickt</t>
  </si>
  <si>
    <t>muckis</t>
  </si>
  <si>
    <t>drankommen</t>
  </si>
  <si>
    <t>unschlüssig</t>
  </si>
  <si>
    <t>wegnimmst</t>
  </si>
  <si>
    <t>kaltblütigen</t>
  </si>
  <si>
    <t>gifford</t>
  </si>
  <si>
    <t>bluto</t>
  </si>
  <si>
    <t>tobbe</t>
  </si>
  <si>
    <t>mahmut</t>
  </si>
  <si>
    <t>spezifischen</t>
  </si>
  <si>
    <t>ghostbusters</t>
  </si>
  <si>
    <t>fairerweise</t>
  </si>
  <si>
    <t>drogenhandels</t>
  </si>
  <si>
    <t>kundendienst</t>
  </si>
  <si>
    <t>tyree</t>
  </si>
  <si>
    <t>sicherheitsverstoß</t>
  </si>
  <si>
    <t>bucephalus</t>
  </si>
  <si>
    <t>skeeter</t>
  </si>
  <si>
    <t>knebeln</t>
  </si>
  <si>
    <t>ahnungslosen</t>
  </si>
  <si>
    <t>ahnungslose</t>
  </si>
  <si>
    <t>furchtloser</t>
  </si>
  <si>
    <t>stopfst</t>
  </si>
  <si>
    <t>duty</t>
  </si>
  <si>
    <t>trachtet</t>
  </si>
  <si>
    <t>mecker</t>
  </si>
  <si>
    <t>bancroft</t>
  </si>
  <si>
    <t>sina</t>
  </si>
  <si>
    <t>bachmann</t>
  </si>
  <si>
    <t>wohltätigen</t>
  </si>
  <si>
    <t>paz</t>
  </si>
  <si>
    <t>canfield</t>
  </si>
  <si>
    <t>tirol</t>
  </si>
  <si>
    <t>und-und</t>
  </si>
  <si>
    <t>tierwelt</t>
  </si>
  <si>
    <t>montpellier</t>
  </si>
  <si>
    <t>zeitkapsel</t>
  </si>
  <si>
    <t>botanischen</t>
  </si>
  <si>
    <t>indiskretion</t>
  </si>
  <si>
    <t>fastenzeit</t>
  </si>
  <si>
    <t>anpfiff</t>
  </si>
  <si>
    <t>kean</t>
  </si>
  <si>
    <t>edelsteinen</t>
  </si>
  <si>
    <t>teenie</t>
  </si>
  <si>
    <t>saftladen</t>
  </si>
  <si>
    <t>rassel</t>
  </si>
  <si>
    <t>grundregel</t>
  </si>
  <si>
    <t>befruchten</t>
  </si>
  <si>
    <t>sellars</t>
  </si>
  <si>
    <t>hochzeitsmarsch</t>
  </si>
  <si>
    <t>erobere</t>
  </si>
  <si>
    <t>bangen</t>
  </si>
  <si>
    <t>wirwerden</t>
  </si>
  <si>
    <t>sponsern</t>
  </si>
  <si>
    <t>sterbender</t>
  </si>
  <si>
    <t>cannoli</t>
  </si>
  <si>
    <t>quetsch</t>
  </si>
  <si>
    <t>betrügerische</t>
  </si>
  <si>
    <t>wegzugeben</t>
  </si>
  <si>
    <t>farmhaus</t>
  </si>
  <si>
    <t>sao</t>
  </si>
  <si>
    <t>tie</t>
  </si>
  <si>
    <t>aguirre</t>
  </si>
  <si>
    <t>zerteilt</t>
  </si>
  <si>
    <t>skandinavien</t>
  </si>
  <si>
    <t>kopfzerbrechen</t>
  </si>
  <si>
    <t>hierbleibt</t>
  </si>
  <si>
    <t>lauschte</t>
  </si>
  <si>
    <t>gaukler</t>
  </si>
  <si>
    <t>granatwerfer</t>
  </si>
  <si>
    <t>vergeudung</t>
  </si>
  <si>
    <t>trapez</t>
  </si>
  <si>
    <t>leichenschmaus</t>
  </si>
  <si>
    <t>ziegenmilch</t>
  </si>
  <si>
    <t>sterile</t>
  </si>
  <si>
    <t>einzuschleusen</t>
  </si>
  <si>
    <t>okkulte</t>
  </si>
  <si>
    <t>essensgeld</t>
  </si>
  <si>
    <t>literarischen</t>
  </si>
  <si>
    <t>wooley</t>
  </si>
  <si>
    <t>aufgeblasenen</t>
  </si>
  <si>
    <t>hafenarbeiter</t>
  </si>
  <si>
    <t>borgst</t>
  </si>
  <si>
    <t>laufwerk</t>
  </si>
  <si>
    <t>warteschlange</t>
  </si>
  <si>
    <t>verbranntes</t>
  </si>
  <si>
    <t>reeve</t>
  </si>
  <si>
    <t>losfliegen</t>
  </si>
  <si>
    <t>linde</t>
  </si>
  <si>
    <t>tricksen</t>
  </si>
  <si>
    <t>zugfahrt</t>
  </si>
  <si>
    <t>förderlich</t>
  </si>
  <si>
    <t>entblößen</t>
  </si>
  <si>
    <t>stativ</t>
  </si>
  <si>
    <t>abermals</t>
  </si>
  <si>
    <t>cthulhu</t>
  </si>
  <si>
    <t>grüss</t>
  </si>
  <si>
    <t>doomsday</t>
  </si>
  <si>
    <t>griechenlands</t>
  </si>
  <si>
    <t>möbliert</t>
  </si>
  <si>
    <t>unbeantwortet</t>
  </si>
  <si>
    <t>having</t>
  </si>
  <si>
    <t>aufstellt</t>
  </si>
  <si>
    <t>mem</t>
  </si>
  <si>
    <t>brest</t>
  </si>
  <si>
    <t>abberline</t>
  </si>
  <si>
    <t>erwidere</t>
  </si>
  <si>
    <t>curtin</t>
  </si>
  <si>
    <t>bok</t>
  </si>
  <si>
    <t>privatgelände</t>
  </si>
  <si>
    <t>posiert</t>
  </si>
  <si>
    <t>autobots</t>
  </si>
  <si>
    <t>privilegierten</t>
  </si>
  <si>
    <t>zusammentreiben</t>
  </si>
  <si>
    <t>henkel</t>
  </si>
  <si>
    <t>buckman</t>
  </si>
  <si>
    <t>willkürliche</t>
  </si>
  <si>
    <t>rüberschicken</t>
  </si>
  <si>
    <t>tendiert</t>
  </si>
  <si>
    <t>miep</t>
  </si>
  <si>
    <t>huss</t>
  </si>
  <si>
    <t>übten</t>
  </si>
  <si>
    <t>scrubs</t>
  </si>
  <si>
    <t>poolhaus</t>
  </si>
  <si>
    <t>matsumoto</t>
  </si>
  <si>
    <t>verprügle</t>
  </si>
  <si>
    <t>hereinlegen</t>
  </si>
  <si>
    <t>syrer</t>
  </si>
  <si>
    <t>angabe</t>
  </si>
  <si>
    <t>edit</t>
  </si>
  <si>
    <t>ubba</t>
  </si>
  <si>
    <t>oktoberfest</t>
  </si>
  <si>
    <t>sträuben</t>
  </si>
  <si>
    <t>velrans</t>
  </si>
  <si>
    <t>spocks</t>
  </si>
  <si>
    <t>irakischen</t>
  </si>
  <si>
    <t>anbinden</t>
  </si>
  <si>
    <t>klaustrophobisch</t>
  </si>
  <si>
    <t>zurückfällt</t>
  </si>
  <si>
    <t>permanenten</t>
  </si>
  <si>
    <t>lansing</t>
  </si>
  <si>
    <t>regler</t>
  </si>
  <si>
    <t>dastehe</t>
  </si>
  <si>
    <t>zurückbringst</t>
  </si>
  <si>
    <t>kale</t>
  </si>
  <si>
    <t>gespickt</t>
  </si>
  <si>
    <t>campion</t>
  </si>
  <si>
    <t>kippst</t>
  </si>
  <si>
    <t>gabelung</t>
  </si>
  <si>
    <t>fracking</t>
  </si>
  <si>
    <t>gebürgt</t>
  </si>
  <si>
    <t>remake</t>
  </si>
  <si>
    <t>bits</t>
  </si>
  <si>
    <t>schlafzimmerfenster</t>
  </si>
  <si>
    <t>capisce</t>
  </si>
  <si>
    <t>mikrophon</t>
  </si>
  <si>
    <t>hamlin</t>
  </si>
  <si>
    <t>werkzeugkiste</t>
  </si>
  <si>
    <t>macallan</t>
  </si>
  <si>
    <t>geschichtsbuch</t>
  </si>
  <si>
    <t>kleinkriegen</t>
  </si>
  <si>
    <t>stream</t>
  </si>
  <si>
    <t>spaziere</t>
  </si>
  <si>
    <t>pistazien</t>
  </si>
  <si>
    <t>amüsanter</t>
  </si>
  <si>
    <t>abgab</t>
  </si>
  <si>
    <t>lauda</t>
  </si>
  <si>
    <t>polizeiakte</t>
  </si>
  <si>
    <t>dämme</t>
  </si>
  <si>
    <t>hergefunden</t>
  </si>
  <si>
    <t>reign</t>
  </si>
  <si>
    <t>verbuchen</t>
  </si>
  <si>
    <t>bracht</t>
  </si>
  <si>
    <t>jenni</t>
  </si>
  <si>
    <t>sachlage</t>
  </si>
  <si>
    <t>keyser</t>
  </si>
  <si>
    <t>resolution</t>
  </si>
  <si>
    <t>kartentricks</t>
  </si>
  <si>
    <t>vogelhaus</t>
  </si>
  <si>
    <t>sienna</t>
  </si>
  <si>
    <t>einlieferung</t>
  </si>
  <si>
    <t>niederlande</t>
  </si>
  <si>
    <t>kindermörder</t>
  </si>
  <si>
    <t>trommler</t>
  </si>
  <si>
    <t>südsee</t>
  </si>
  <si>
    <t>schaffung</t>
  </si>
  <si>
    <t>kommerzielle</t>
  </si>
  <si>
    <t>zusammenrücken</t>
  </si>
  <si>
    <t>fbi-hauptsitz</t>
  </si>
  <si>
    <t>kitschige</t>
  </si>
  <si>
    <t>gershwin</t>
  </si>
  <si>
    <t>cia-agenten</t>
  </si>
  <si>
    <t>arnett</t>
  </si>
  <si>
    <t>eigenwillig</t>
  </si>
  <si>
    <t>coq</t>
  </si>
  <si>
    <t>abbricht</t>
  </si>
  <si>
    <t>getreu</t>
  </si>
  <si>
    <t>muskelkraft</t>
  </si>
  <si>
    <t>steifer</t>
  </si>
  <si>
    <t>geländes</t>
  </si>
  <si>
    <t>salzsäure</t>
  </si>
  <si>
    <t>regiere</t>
  </si>
  <si>
    <t>zugeführt</t>
  </si>
  <si>
    <t>sesemann</t>
  </si>
  <si>
    <t>geologie</t>
  </si>
  <si>
    <t>haddie</t>
  </si>
  <si>
    <t>lita</t>
  </si>
  <si>
    <t>angriffsplan</t>
  </si>
  <si>
    <t>beauftrage</t>
  </si>
  <si>
    <t>schlawiner</t>
  </si>
  <si>
    <t>angry</t>
  </si>
  <si>
    <t>beharrt</t>
  </si>
  <si>
    <t>joaquín</t>
  </si>
  <si>
    <t>appleby</t>
  </si>
  <si>
    <t>pastrami</t>
  </si>
  <si>
    <t>masseria</t>
  </si>
  <si>
    <t>crank</t>
  </si>
  <si>
    <t>zellengenosse</t>
  </si>
  <si>
    <t>büroklammer</t>
  </si>
  <si>
    <t>resi</t>
  </si>
  <si>
    <t>padma</t>
  </si>
  <si>
    <t>einvernehmen</t>
  </si>
  <si>
    <t>erweitere</t>
  </si>
  <si>
    <t>donnas</t>
  </si>
  <si>
    <t>lobster</t>
  </si>
  <si>
    <t>kopilot</t>
  </si>
  <si>
    <t>gequälte</t>
  </si>
  <si>
    <t>r-zwo</t>
  </si>
  <si>
    <t>geisterwelt</t>
  </si>
  <si>
    <t>sanne</t>
  </si>
  <si>
    <t>pancake</t>
  </si>
  <si>
    <t>karens</t>
  </si>
  <si>
    <t>köstlicher</t>
  </si>
  <si>
    <t>zugeschrieben</t>
  </si>
  <si>
    <t>northumberland</t>
  </si>
  <si>
    <t>chandier</t>
  </si>
  <si>
    <t>sammlerstück</t>
  </si>
  <si>
    <t>seiji</t>
  </si>
  <si>
    <t>airways</t>
  </si>
  <si>
    <t>unbefugten</t>
  </si>
  <si>
    <t>doge</t>
  </si>
  <si>
    <t>auflehnen</t>
  </si>
  <si>
    <t>bitterer</t>
  </si>
  <si>
    <t>geschaufelt</t>
  </si>
  <si>
    <t>jebediah</t>
  </si>
  <si>
    <t>drops</t>
  </si>
  <si>
    <t>gesichtszüge</t>
  </si>
  <si>
    <t>hornblower</t>
  </si>
  <si>
    <t>schmitthenner</t>
  </si>
  <si>
    <t>tian</t>
  </si>
  <si>
    <t>zierde</t>
  </si>
  <si>
    <t>künstlerischer</t>
  </si>
  <si>
    <t>salons</t>
  </si>
  <si>
    <t>sterb</t>
  </si>
  <si>
    <t>infusionen</t>
  </si>
  <si>
    <t>reinigungsmittel</t>
  </si>
  <si>
    <t>konstruktiv</t>
  </si>
  <si>
    <t>niederer</t>
  </si>
  <si>
    <t>zauberkünstler</t>
  </si>
  <si>
    <t>fotografierst</t>
  </si>
  <si>
    <t>pfaffe</t>
  </si>
  <si>
    <t>kartoffelpüree</t>
  </si>
  <si>
    <t>fussel</t>
  </si>
  <si>
    <t>constanze</t>
  </si>
  <si>
    <t>droh</t>
  </si>
  <si>
    <t>shepherds</t>
  </si>
  <si>
    <t>ausgeschnitten</t>
  </si>
  <si>
    <t>hochzuheben</t>
  </si>
  <si>
    <t>colvin</t>
  </si>
  <si>
    <t>stadthalle</t>
  </si>
  <si>
    <t>machtlosen</t>
  </si>
  <si>
    <t>geringem</t>
  </si>
  <si>
    <t>judäa</t>
  </si>
  <si>
    <t>sadistische</t>
  </si>
  <si>
    <t>spontaner</t>
  </si>
  <si>
    <t>zusammenschließen</t>
  </si>
  <si>
    <t>surf</t>
  </si>
  <si>
    <t>bricks</t>
  </si>
  <si>
    <t>unterzugehen</t>
  </si>
  <si>
    <t>demolieren</t>
  </si>
  <si>
    <t>guess</t>
  </si>
  <si>
    <t>angreifst</t>
  </si>
  <si>
    <t>michala</t>
  </si>
  <si>
    <t>rausschmiss</t>
  </si>
  <si>
    <t>comin</t>
  </si>
  <si>
    <t>zensuren</t>
  </si>
  <si>
    <t>blaise</t>
  </si>
  <si>
    <t>klingonenschiff</t>
  </si>
  <si>
    <t>punktet</t>
  </si>
  <si>
    <t>umweltschutz</t>
  </si>
  <si>
    <t>angepackt</t>
  </si>
  <si>
    <t>singleton</t>
  </si>
  <si>
    <t>zachariah</t>
  </si>
  <si>
    <t>kampfstil</t>
  </si>
  <si>
    <t>vollständiges</t>
  </si>
  <si>
    <t>superkräften</t>
  </si>
  <si>
    <t>fema</t>
  </si>
  <si>
    <t>sirs</t>
  </si>
  <si>
    <t>normalisiert</t>
  </si>
  <si>
    <t>resistance</t>
  </si>
  <si>
    <t>parr</t>
  </si>
  <si>
    <t>hänger</t>
  </si>
  <si>
    <t>verwelkt</t>
  </si>
  <si>
    <t>zitronensaft</t>
  </si>
  <si>
    <t>aufräumt</t>
  </si>
  <si>
    <t>uneingeschränkte</t>
  </si>
  <si>
    <t>zurückkamst</t>
  </si>
  <si>
    <t>graceland</t>
  </si>
  <si>
    <t>hingeführt</t>
  </si>
  <si>
    <t>zerstörerische</t>
  </si>
  <si>
    <t>kotzte</t>
  </si>
  <si>
    <t>meehan</t>
  </si>
  <si>
    <t>shame</t>
  </si>
  <si>
    <t>lebensgefährtin</t>
  </si>
  <si>
    <t>karikatur</t>
  </si>
  <si>
    <t>kodai</t>
  </si>
  <si>
    <t>quax</t>
  </si>
  <si>
    <t>verfilmt</t>
  </si>
  <si>
    <t>dreyfus</t>
  </si>
  <si>
    <t>schreite</t>
  </si>
  <si>
    <t>liane</t>
  </si>
  <si>
    <t>symmetrisch</t>
  </si>
  <si>
    <t>dagesessen</t>
  </si>
  <si>
    <t>hartmut</t>
  </si>
  <si>
    <t>aufder</t>
  </si>
  <si>
    <t>revidieren</t>
  </si>
  <si>
    <t>jup</t>
  </si>
  <si>
    <t>lynly</t>
  </si>
  <si>
    <t>säuferin</t>
  </si>
  <si>
    <t>respektabel</t>
  </si>
  <si>
    <t>shady</t>
  </si>
  <si>
    <t>schlafentzug</t>
  </si>
  <si>
    <t>hinfällt</t>
  </si>
  <si>
    <t>barbra</t>
  </si>
  <si>
    <t>schnapsidee</t>
  </si>
  <si>
    <t>fahrzeugschein</t>
  </si>
  <si>
    <t>karibu</t>
  </si>
  <si>
    <t>boatwright</t>
  </si>
  <si>
    <t>beläuft</t>
  </si>
  <si>
    <t>anwählen</t>
  </si>
  <si>
    <t>jugendfrei</t>
  </si>
  <si>
    <t>eindrang</t>
  </si>
  <si>
    <t>unterkiefer</t>
  </si>
  <si>
    <t>resistent</t>
  </si>
  <si>
    <t>sandman</t>
  </si>
  <si>
    <t>gegenseitiges</t>
  </si>
  <si>
    <t>angelrute</t>
  </si>
  <si>
    <t>feuchtes</t>
  </si>
  <si>
    <t>killmer</t>
  </si>
  <si>
    <t>whenke</t>
  </si>
  <si>
    <t>belastendes</t>
  </si>
  <si>
    <t>korrespondent</t>
  </si>
  <si>
    <t>gilde</t>
  </si>
  <si>
    <t>hier.</t>
  </si>
  <si>
    <t>tatis</t>
  </si>
  <si>
    <t>baywatch</t>
  </si>
  <si>
    <t>highways</t>
  </si>
  <si>
    <t>keitel</t>
  </si>
  <si>
    <t>vierhundert</t>
  </si>
  <si>
    <t>schwerelos</t>
  </si>
  <si>
    <t>mailer</t>
  </si>
  <si>
    <t>pauly</t>
  </si>
  <si>
    <t>stocken</t>
  </si>
  <si>
    <t>10-jährigen</t>
  </si>
  <si>
    <t>potsdam</t>
  </si>
  <si>
    <t>aggressives</t>
  </si>
  <si>
    <t>fortging</t>
  </si>
  <si>
    <t>octave</t>
  </si>
  <si>
    <t>zöpfen</t>
  </si>
  <si>
    <t>fliegerei</t>
  </si>
  <si>
    <t>rettungsring</t>
  </si>
  <si>
    <t>tash</t>
  </si>
  <si>
    <t>widersprüchliche</t>
  </si>
  <si>
    <t>verschlüsseln</t>
  </si>
  <si>
    <t>megans</t>
  </si>
  <si>
    <t>ángeles</t>
  </si>
  <si>
    <t>hodensack</t>
  </si>
  <si>
    <t>sycamore</t>
  </si>
  <si>
    <t>wolfsblut</t>
  </si>
  <si>
    <t>kürzliche</t>
  </si>
  <si>
    <t>noches</t>
  </si>
  <si>
    <t>culebras</t>
  </si>
  <si>
    <t>eingenistet</t>
  </si>
  <si>
    <t>00ffff</t>
  </si>
  <si>
    <t>fanatisch</t>
  </si>
  <si>
    <t>muff</t>
  </si>
  <si>
    <t>adal</t>
  </si>
  <si>
    <t>eisenbahnen</t>
  </si>
  <si>
    <t>festivals</t>
  </si>
  <si>
    <t>vermint</t>
  </si>
  <si>
    <t>padischah</t>
  </si>
  <si>
    <t>deutschem</t>
  </si>
  <si>
    <t>puderzucker</t>
  </si>
  <si>
    <t>aufrechten</t>
  </si>
  <si>
    <t>wanderten</t>
  </si>
  <si>
    <t>schilddrüse</t>
  </si>
  <si>
    <t>teleportiert</t>
  </si>
  <si>
    <t>angedreht</t>
  </si>
  <si>
    <t>dringe</t>
  </si>
  <si>
    <t>merve</t>
  </si>
  <si>
    <t>staatlicher</t>
  </si>
  <si>
    <t>dulcinea</t>
  </si>
  <si>
    <t>schnüre</t>
  </si>
  <si>
    <t>abgeflogen</t>
  </si>
  <si>
    <t>sühnen</t>
  </si>
  <si>
    <t>einzustehen</t>
  </si>
  <si>
    <t>effektivität</t>
  </si>
  <si>
    <t>nasenlöcher</t>
  </si>
  <si>
    <t>elfmeter</t>
  </si>
  <si>
    <t>clouds</t>
  </si>
  <si>
    <t>royalle</t>
  </si>
  <si>
    <t>schlüssels</t>
  </si>
  <si>
    <t>gefolgsmann</t>
  </si>
  <si>
    <t>regiments</t>
  </si>
  <si>
    <t>arno</t>
  </si>
  <si>
    <t>ansteigen</t>
  </si>
  <si>
    <t>schier</t>
  </si>
  <si>
    <t>kanzlerin</t>
  </si>
  <si>
    <t>beweisaufnahme</t>
  </si>
  <si>
    <t>galvin</t>
  </si>
  <si>
    <t>schriftstück</t>
  </si>
  <si>
    <t>gewichst</t>
  </si>
  <si>
    <t>heiteres</t>
  </si>
  <si>
    <t>datas</t>
  </si>
  <si>
    <t>kohler</t>
  </si>
  <si>
    <t>embryos</t>
  </si>
  <si>
    <t>aufgedrängt</t>
  </si>
  <si>
    <t>springsteen</t>
  </si>
  <si>
    <t>motorradunfall</t>
  </si>
  <si>
    <t>verweist</t>
  </si>
  <si>
    <t>evergreen</t>
  </si>
  <si>
    <t>presseerklärung</t>
  </si>
  <si>
    <t>díaz</t>
  </si>
  <si>
    <t>botaniker</t>
  </si>
  <si>
    <t>wellness</t>
  </si>
  <si>
    <t>fatah</t>
  </si>
  <si>
    <t>heartbeat</t>
  </si>
  <si>
    <t>grillfest</t>
  </si>
  <si>
    <t>schmiergelder</t>
  </si>
  <si>
    <t>juniors</t>
  </si>
  <si>
    <t>sabber</t>
  </si>
  <si>
    <t>magnifique</t>
  </si>
  <si>
    <t>erderwärmung</t>
  </si>
  <si>
    <t>anlegestelle</t>
  </si>
  <si>
    <t>einliefern</t>
  </si>
  <si>
    <t>zweigstelle</t>
  </si>
  <si>
    <t>d-day</t>
  </si>
  <si>
    <t>weltliche</t>
  </si>
  <si>
    <t>moogie</t>
  </si>
  <si>
    <t>schuluniform</t>
  </si>
  <si>
    <t>derlei</t>
  </si>
  <si>
    <t>nikos</t>
  </si>
  <si>
    <t>seel</t>
  </si>
  <si>
    <t>adeligen</t>
  </si>
  <si>
    <t>telex</t>
  </si>
  <si>
    <t>minami</t>
  </si>
  <si>
    <t>ralston</t>
  </si>
  <si>
    <t>nini</t>
  </si>
  <si>
    <t>shounen</t>
  </si>
  <si>
    <t>videospielen</t>
  </si>
  <si>
    <t>raube</t>
  </si>
  <si>
    <t>abonniert</t>
  </si>
  <si>
    <t>anbetet</t>
  </si>
  <si>
    <t>törichter</t>
  </si>
  <si>
    <t>schulung</t>
  </si>
  <si>
    <t>safran</t>
  </si>
  <si>
    <t>neuestem</t>
  </si>
  <si>
    <t>palazzo</t>
  </si>
  <si>
    <t>schleierhaft</t>
  </si>
  <si>
    <t>kampfspuren</t>
  </si>
  <si>
    <t>einzahlungen</t>
  </si>
  <si>
    <t>entmutigend</t>
  </si>
  <si>
    <t>ishtar</t>
  </si>
  <si>
    <t>andren</t>
  </si>
  <si>
    <t>hornissen</t>
  </si>
  <si>
    <t>strömte</t>
  </si>
  <si>
    <t>gruppensex</t>
  </si>
  <si>
    <t>paiges</t>
  </si>
  <si>
    <t>herzrasen</t>
  </si>
  <si>
    <t>unterstützend</t>
  </si>
  <si>
    <t>kavaliere</t>
  </si>
  <si>
    <t>gustaf</t>
  </si>
  <si>
    <t>verkompliziert</t>
  </si>
  <si>
    <t>unruhigen</t>
  </si>
  <si>
    <t>endzone</t>
  </si>
  <si>
    <t>manipulierten</t>
  </si>
  <si>
    <t>sani</t>
  </si>
  <si>
    <t>demütigt</t>
  </si>
  <si>
    <t>bergdorf</t>
  </si>
  <si>
    <t>käufern</t>
  </si>
  <si>
    <t>einhalb</t>
  </si>
  <si>
    <t>escalade</t>
  </si>
  <si>
    <t>landis</t>
  </si>
  <si>
    <t>nis</t>
  </si>
  <si>
    <t>geschiedenen</t>
  </si>
  <si>
    <t>aue</t>
  </si>
  <si>
    <t>reinlässt</t>
  </si>
  <si>
    <t>erbeben</t>
  </si>
  <si>
    <t>schallwellen</t>
  </si>
  <si>
    <t>säufst</t>
  </si>
  <si>
    <t>luci</t>
  </si>
  <si>
    <t>bedauerlichen</t>
  </si>
  <si>
    <t>weinkarte</t>
  </si>
  <si>
    <t>pil</t>
  </si>
  <si>
    <t>schnüren</t>
  </si>
  <si>
    <t>likes</t>
  </si>
  <si>
    <t>sechsjährige</t>
  </si>
  <si>
    <t>wiedereröffnung</t>
  </si>
  <si>
    <t>jacobi</t>
  </si>
  <si>
    <t>doria</t>
  </si>
  <si>
    <t>beliebtes</t>
  </si>
  <si>
    <t>grausige</t>
  </si>
  <si>
    <t>summ</t>
  </si>
  <si>
    <t>bendix</t>
  </si>
  <si>
    <t>angeekelt</t>
  </si>
  <si>
    <t>bishops</t>
  </si>
  <si>
    <t>apps</t>
  </si>
  <si>
    <t>gaspar</t>
  </si>
  <si>
    <t>gehirnwellen</t>
  </si>
  <si>
    <t>nachzustellen</t>
  </si>
  <si>
    <t>kosteten</t>
  </si>
  <si>
    <t>notgroschen</t>
  </si>
  <si>
    <t>tatbestand</t>
  </si>
  <si>
    <t>folgendem</t>
  </si>
  <si>
    <t>dupré</t>
  </si>
  <si>
    <t>exzellentes</t>
  </si>
  <si>
    <t>azur</t>
  </si>
  <si>
    <t>kumpanen</t>
  </si>
  <si>
    <t>plünderungen</t>
  </si>
  <si>
    <t>wirksame</t>
  </si>
  <si>
    <t>stepford</t>
  </si>
  <si>
    <t>synonym</t>
  </si>
  <si>
    <t>rosemonde</t>
  </si>
  <si>
    <t>wagenladung</t>
  </si>
  <si>
    <t>rollschuh</t>
  </si>
  <si>
    <t>verlustes</t>
  </si>
  <si>
    <t>ono</t>
  </si>
  <si>
    <t>leidenden</t>
  </si>
  <si>
    <t>stage</t>
  </si>
  <si>
    <t>kämm</t>
  </si>
  <si>
    <t>chuy</t>
  </si>
  <si>
    <t>countrymusik</t>
  </si>
  <si>
    <t>daniele</t>
  </si>
  <si>
    <t>benachbarten</t>
  </si>
  <si>
    <t>regenschirme</t>
  </si>
  <si>
    <t>ähnelte</t>
  </si>
  <si>
    <t>vertraglich</t>
  </si>
  <si>
    <t>geheimfach</t>
  </si>
  <si>
    <t>thomson</t>
  </si>
  <si>
    <t>piak</t>
  </si>
  <si>
    <t>schuhmacher</t>
  </si>
  <si>
    <t>tragbaren</t>
  </si>
  <si>
    <t>aufhebt</t>
  </si>
  <si>
    <t>spiritualität</t>
  </si>
  <si>
    <t>wunschliste</t>
  </si>
  <si>
    <t>transportierte</t>
  </si>
  <si>
    <t>böhmen</t>
  </si>
  <si>
    <t>minds</t>
  </si>
  <si>
    <t>kojima</t>
  </si>
  <si>
    <t>prothesen</t>
  </si>
  <si>
    <t>nordwärts</t>
  </si>
  <si>
    <t>iona</t>
  </si>
  <si>
    <t>machtwort</t>
  </si>
  <si>
    <t>vite</t>
  </si>
  <si>
    <t>rezian</t>
  </si>
  <si>
    <t>lebhafter</t>
  </si>
  <si>
    <t>innings</t>
  </si>
  <si>
    <t>mundi</t>
  </si>
  <si>
    <t>reanimation</t>
  </si>
  <si>
    <t>mindesten</t>
  </si>
  <si>
    <t>euter</t>
  </si>
  <si>
    <t>jaden</t>
  </si>
  <si>
    <t>handtüchern</t>
  </si>
  <si>
    <t>droschke</t>
  </si>
  <si>
    <t>zylonische</t>
  </si>
  <si>
    <t>kohlkopf</t>
  </si>
  <si>
    <t>schrecklaut</t>
  </si>
  <si>
    <t>biowaffe</t>
  </si>
  <si>
    <t>lannisters</t>
  </si>
  <si>
    <t>heathers</t>
  </si>
  <si>
    <t>kämme</t>
  </si>
  <si>
    <t>jemima</t>
  </si>
  <si>
    <t>fortbringen</t>
  </si>
  <si>
    <t>cinema</t>
  </si>
  <si>
    <t>fed</t>
  </si>
  <si>
    <t>kurios</t>
  </si>
  <si>
    <t>medizinschule</t>
  </si>
  <si>
    <t>football-spiel</t>
  </si>
  <si>
    <t>vorspann</t>
  </si>
  <si>
    <t>antikes</t>
  </si>
  <si>
    <t>kopflose</t>
  </si>
  <si>
    <t>luftballon</t>
  </si>
  <si>
    <t>commissario</t>
  </si>
  <si>
    <t>vertun</t>
  </si>
  <si>
    <t>quayle</t>
  </si>
  <si>
    <t>aljoscha</t>
  </si>
  <si>
    <t>eizelle</t>
  </si>
  <si>
    <t>anklagepunkt</t>
  </si>
  <si>
    <t>thronsaal</t>
  </si>
  <si>
    <t>eisdiele</t>
  </si>
  <si>
    <t>kellern</t>
  </si>
  <si>
    <t>krokodilen</t>
  </si>
  <si>
    <t>fortgelaufen</t>
  </si>
  <si>
    <t>harsch</t>
  </si>
  <si>
    <t>getratscht</t>
  </si>
  <si>
    <t>zudrehen</t>
  </si>
  <si>
    <t>meggie</t>
  </si>
  <si>
    <t>sonnige</t>
  </si>
  <si>
    <t>verzichtserklärung</t>
  </si>
  <si>
    <t>riders</t>
  </si>
  <si>
    <t>leth</t>
  </si>
  <si>
    <t>unmittelbaren</t>
  </si>
  <si>
    <t>durchgebrochen</t>
  </si>
  <si>
    <t>greenleaf</t>
  </si>
  <si>
    <t>daan</t>
  </si>
  <si>
    <t>slash</t>
  </si>
  <si>
    <t>anwerfen</t>
  </si>
  <si>
    <t>autopanne</t>
  </si>
  <si>
    <t>fahrschule</t>
  </si>
  <si>
    <t>abgeleitet</t>
  </si>
  <si>
    <t>arav</t>
  </si>
  <si>
    <t>nogoro</t>
  </si>
  <si>
    <t>fernbeziehung</t>
  </si>
  <si>
    <t>versuchsperson</t>
  </si>
  <si>
    <t>blödeste</t>
  </si>
  <si>
    <t>tagelöhner</t>
  </si>
  <si>
    <t>vorzubeugen</t>
  </si>
  <si>
    <t>entschlossener</t>
  </si>
  <si>
    <t>tafelrunde</t>
  </si>
  <si>
    <t>menstruation</t>
  </si>
  <si>
    <t>gros</t>
  </si>
  <si>
    <t>anschieben</t>
  </si>
  <si>
    <t>pigalle</t>
  </si>
  <si>
    <t>authentizität</t>
  </si>
  <si>
    <t>verführerin</t>
  </si>
  <si>
    <t>huston</t>
  </si>
  <si>
    <t>geschmacks</t>
  </si>
  <si>
    <t>rostov</t>
  </si>
  <si>
    <t>sabbath</t>
  </si>
  <si>
    <t>zerronnen</t>
  </si>
  <si>
    <t>genieren</t>
  </si>
  <si>
    <t>bajonette</t>
  </si>
  <si>
    <t>gefall</t>
  </si>
  <si>
    <t>faszinierte</t>
  </si>
  <si>
    <t>durchbrach</t>
  </si>
  <si>
    <t>abgestumpft</t>
  </si>
  <si>
    <t>aylin</t>
  </si>
  <si>
    <t>blecha</t>
  </si>
  <si>
    <t>chain</t>
  </si>
  <si>
    <t>vitalität</t>
  </si>
  <si>
    <t>lauch</t>
  </si>
  <si>
    <t>thruster</t>
  </si>
  <si>
    <t>tribbiani</t>
  </si>
  <si>
    <t>véro</t>
  </si>
  <si>
    <t>maximalen</t>
  </si>
  <si>
    <t>verhielten</t>
  </si>
  <si>
    <t>translation</t>
  </si>
  <si>
    <t>aufzufrischen</t>
  </si>
  <si>
    <t>unauffälliger</t>
  </si>
  <si>
    <t>pepa</t>
  </si>
  <si>
    <t>geheimrezept</t>
  </si>
  <si>
    <t>dido</t>
  </si>
  <si>
    <t>vorzeichen</t>
  </si>
  <si>
    <t>umzugswagen</t>
  </si>
  <si>
    <t>stromleitungen</t>
  </si>
  <si>
    <t>terran</t>
  </si>
  <si>
    <t>empfindlicher</t>
  </si>
  <si>
    <t>geklatscht</t>
  </si>
  <si>
    <t>geek</t>
  </si>
  <si>
    <t>zivilisierter</t>
  </si>
  <si>
    <t>allemann</t>
  </si>
  <si>
    <t>brutstätte</t>
  </si>
  <si>
    <t>aufträgen</t>
  </si>
  <si>
    <t>vi.</t>
  </si>
  <si>
    <t>körperwärme</t>
  </si>
  <si>
    <t>hoh</t>
  </si>
  <si>
    <t>stränden</t>
  </si>
  <si>
    <t>gehenlassen</t>
  </si>
  <si>
    <t>rumänen</t>
  </si>
  <si>
    <t>operandi</t>
  </si>
  <si>
    <t>duvall</t>
  </si>
  <si>
    <t>gegnerin</t>
  </si>
  <si>
    <t>reality-show</t>
  </si>
  <si>
    <t>ruinier</t>
  </si>
  <si>
    <t>schrubbe</t>
  </si>
  <si>
    <t>ex-ehemann</t>
  </si>
  <si>
    <t>rickie</t>
  </si>
  <si>
    <t>meinungsfreiheit</t>
  </si>
  <si>
    <t>döner</t>
  </si>
  <si>
    <t>hofnarr</t>
  </si>
  <si>
    <t>diözese</t>
  </si>
  <si>
    <t>offensichtlicher</t>
  </si>
  <si>
    <t>marianna</t>
  </si>
  <si>
    <t>einsacken</t>
  </si>
  <si>
    <t>bestialisch</t>
  </si>
  <si>
    <t>rmã</t>
  </si>
  <si>
    <t>dassey</t>
  </si>
  <si>
    <t>tulse</t>
  </si>
  <si>
    <t>scheißladen</t>
  </si>
  <si>
    <t>silbernes</t>
  </si>
  <si>
    <t>julián</t>
  </si>
  <si>
    <t>erhebst</t>
  </si>
  <si>
    <t>dealst</t>
  </si>
  <si>
    <t>lebenswichtigen</t>
  </si>
  <si>
    <t>unbewaffnete</t>
  </si>
  <si>
    <t>gemixt</t>
  </si>
  <si>
    <t>frederica</t>
  </si>
  <si>
    <t>fristen</t>
  </si>
  <si>
    <t>frühjahrsputz</t>
  </si>
  <si>
    <t>sock</t>
  </si>
  <si>
    <t>susannah</t>
  </si>
  <si>
    <t>rough</t>
  </si>
  <si>
    <t>semiramis</t>
  </si>
  <si>
    <t>variation</t>
  </si>
  <si>
    <t>goo</t>
  </si>
  <si>
    <t>entsetzliches</t>
  </si>
  <si>
    <t>dörrfleisch</t>
  </si>
  <si>
    <t>legba</t>
  </si>
  <si>
    <t>rosengarten</t>
  </si>
  <si>
    <t>manege</t>
  </si>
  <si>
    <t>bindeglied</t>
  </si>
  <si>
    <t>mitgearbeitet</t>
  </si>
  <si>
    <t>akio</t>
  </si>
  <si>
    <t>waco</t>
  </si>
  <si>
    <t>eingekesselt</t>
  </si>
  <si>
    <t>concha</t>
  </si>
  <si>
    <t>stromquelle</t>
  </si>
  <si>
    <t>tosca</t>
  </si>
  <si>
    <t>vorbildlicher</t>
  </si>
  <si>
    <t>schussbahn</t>
  </si>
  <si>
    <t>verführe</t>
  </si>
  <si>
    <t>aufhältst</t>
  </si>
  <si>
    <t>rückhalt</t>
  </si>
  <si>
    <t>krebsgeschwür</t>
  </si>
  <si>
    <t>iwo</t>
  </si>
  <si>
    <t>liebesszene</t>
  </si>
  <si>
    <t>schiefen</t>
  </si>
  <si>
    <t>bedeutungslosen</t>
  </si>
  <si>
    <t>variieren</t>
  </si>
  <si>
    <t>speiseplan</t>
  </si>
  <si>
    <t>junko</t>
  </si>
  <si>
    <t>geräts</t>
  </si>
  <si>
    <t>barbas</t>
  </si>
  <si>
    <t>alys</t>
  </si>
  <si>
    <t>clarkes</t>
  </si>
  <si>
    <t>zusammengestoßen</t>
  </si>
  <si>
    <t>wehte</t>
  </si>
  <si>
    <t>rüberkommt</t>
  </si>
  <si>
    <t>weltberühmt</t>
  </si>
  <si>
    <t>schürhaken</t>
  </si>
  <si>
    <t>facharzt</t>
  </si>
  <si>
    <t>großbuchstaben</t>
  </si>
  <si>
    <t>schöpfers</t>
  </si>
  <si>
    <t>mulch</t>
  </si>
  <si>
    <t>mitteilt</t>
  </si>
  <si>
    <t>gómez</t>
  </si>
  <si>
    <t>versprochenen</t>
  </si>
  <si>
    <t>pfuschen</t>
  </si>
  <si>
    <t>rhetorisch</t>
  </si>
  <si>
    <t>überlieferung</t>
  </si>
  <si>
    <t>bestehende</t>
  </si>
  <si>
    <t>zeigtest</t>
  </si>
  <si>
    <t>netzhaut</t>
  </si>
  <si>
    <t>visor</t>
  </si>
  <si>
    <t>eingeschneit</t>
  </si>
  <si>
    <t>mayla2012</t>
  </si>
  <si>
    <t>besticht</t>
  </si>
  <si>
    <t>regelmäßiges</t>
  </si>
  <si>
    <t>anrufliste</t>
  </si>
  <si>
    <t>bonny</t>
  </si>
  <si>
    <t>clinch</t>
  </si>
  <si>
    <t>couchtisch</t>
  </si>
  <si>
    <t>philibert</t>
  </si>
  <si>
    <t>gefällts</t>
  </si>
  <si>
    <t>sharpe</t>
  </si>
  <si>
    <t>hindernissen</t>
  </si>
  <si>
    <t>halteverbot</t>
  </si>
  <si>
    <t>milano</t>
  </si>
  <si>
    <t>baumstämme</t>
  </si>
  <si>
    <t>simsalabim</t>
  </si>
  <si>
    <t>whitlock</t>
  </si>
  <si>
    <t>episch</t>
  </si>
  <si>
    <t>zustimmte</t>
  </si>
  <si>
    <t>rarität</t>
  </si>
  <si>
    <t>pru</t>
  </si>
  <si>
    <t>jamies</t>
  </si>
  <si>
    <t>armreif</t>
  </si>
  <si>
    <t>kindersitz</t>
  </si>
  <si>
    <t>zielgeraden</t>
  </si>
  <si>
    <t>heidelberg</t>
  </si>
  <si>
    <t>margeir</t>
  </si>
  <si>
    <t>klapperschlangen</t>
  </si>
  <si>
    <t>geschäftspartnerin</t>
  </si>
  <si>
    <t>sly</t>
  </si>
  <si>
    <t>hle</t>
  </si>
  <si>
    <t>quinns</t>
  </si>
  <si>
    <t>combo</t>
  </si>
  <si>
    <t>kakteen</t>
  </si>
  <si>
    <t>vergast</t>
  </si>
  <si>
    <t>danko</t>
  </si>
  <si>
    <t>operativ</t>
  </si>
  <si>
    <t>moderiert</t>
  </si>
  <si>
    <t>angstlaute</t>
  </si>
  <si>
    <t>fring</t>
  </si>
  <si>
    <t>erdolcht</t>
  </si>
  <si>
    <t>sle</t>
  </si>
  <si>
    <t>aufschneider</t>
  </si>
  <si>
    <t>gannon</t>
  </si>
  <si>
    <t>fehlgeleitet</t>
  </si>
  <si>
    <t>latina</t>
  </si>
  <si>
    <t>scheußlicher</t>
  </si>
  <si>
    <t>faa</t>
  </si>
  <si>
    <t>reddle</t>
  </si>
  <si>
    <t>lügnern</t>
  </si>
  <si>
    <t>todfeind</t>
  </si>
  <si>
    <t>midas</t>
  </si>
  <si>
    <t>mitteilte</t>
  </si>
  <si>
    <t>schalteten</t>
  </si>
  <si>
    <t>nachmittage</t>
  </si>
  <si>
    <t>knattern</t>
  </si>
  <si>
    <t>sobel</t>
  </si>
  <si>
    <t>geblockt</t>
  </si>
  <si>
    <t>trap</t>
  </si>
  <si>
    <t>überflüssigen</t>
  </si>
  <si>
    <t>unmöglichkeit</t>
  </si>
  <si>
    <t>erhoffte</t>
  </si>
  <si>
    <t>wampe</t>
  </si>
  <si>
    <t>stromstoß</t>
  </si>
  <si>
    <t>wham</t>
  </si>
  <si>
    <t>umsorgt</t>
  </si>
  <si>
    <t>ausschreiben</t>
  </si>
  <si>
    <t>mahagoni</t>
  </si>
  <si>
    <t>jahrelanger</t>
  </si>
  <si>
    <t>haggerty</t>
  </si>
  <si>
    <t>crocodile</t>
  </si>
  <si>
    <t>canton</t>
  </si>
  <si>
    <t>lenker</t>
  </si>
  <si>
    <t>doofer</t>
  </si>
  <si>
    <t>ergebene</t>
  </si>
  <si>
    <t>fragliche</t>
  </si>
  <si>
    <t>attentäterin</t>
  </si>
  <si>
    <t>ottos</t>
  </si>
  <si>
    <t>jeffersons</t>
  </si>
  <si>
    <t>schuhcreme</t>
  </si>
  <si>
    <t>mucke</t>
  </si>
  <si>
    <t>geheimbund</t>
  </si>
  <si>
    <t>tachykardie</t>
  </si>
  <si>
    <t>katastrophalen</t>
  </si>
  <si>
    <t>geologe</t>
  </si>
  <si>
    <t>rosebud</t>
  </si>
  <si>
    <t>siringo</t>
  </si>
  <si>
    <t>väterliche</t>
  </si>
  <si>
    <t>mutterland</t>
  </si>
  <si>
    <t>kreuzungen</t>
  </si>
  <si>
    <t>schmerzerfüllt</t>
  </si>
  <si>
    <t>fügten</t>
  </si>
  <si>
    <t>mordverdächtigen</t>
  </si>
  <si>
    <t>fuego</t>
  </si>
  <si>
    <t>ginas</t>
  </si>
  <si>
    <t>schwalben</t>
  </si>
  <si>
    <t>eintracht</t>
  </si>
  <si>
    <t>carpe</t>
  </si>
  <si>
    <t>angeflogen</t>
  </si>
  <si>
    <t>klavierspielen</t>
  </si>
  <si>
    <t>mordmotiv</t>
  </si>
  <si>
    <t>anfahren</t>
  </si>
  <si>
    <t>weiß.</t>
  </si>
  <si>
    <t>kandahar</t>
  </si>
  <si>
    <t>zufügt</t>
  </si>
  <si>
    <t>kartells</t>
  </si>
  <si>
    <t>reaktoren</t>
  </si>
  <si>
    <t>türgeräusch</t>
  </si>
  <si>
    <t>vaterlandes</t>
  </si>
  <si>
    <t>pippa</t>
  </si>
  <si>
    <t>hinkomme</t>
  </si>
  <si>
    <t>ehrgefühl</t>
  </si>
  <si>
    <t>bedeutungen</t>
  </si>
  <si>
    <t>garnett</t>
  </si>
  <si>
    <t>frauenhaus</t>
  </si>
  <si>
    <t>saffron</t>
  </si>
  <si>
    <t>jeopardy</t>
  </si>
  <si>
    <t>gr</t>
  </si>
  <si>
    <t>schonungslos</t>
  </si>
  <si>
    <t>eisbeutel</t>
  </si>
  <si>
    <t>whitley</t>
  </si>
  <si>
    <t>weapon</t>
  </si>
  <si>
    <t>bimmeln</t>
  </si>
  <si>
    <t>fernzubleiben</t>
  </si>
  <si>
    <t>heilbutt</t>
  </si>
  <si>
    <t>levon</t>
  </si>
  <si>
    <t>julianne</t>
  </si>
  <si>
    <t>jabbar</t>
  </si>
  <si>
    <t>kindergeschrei</t>
  </si>
  <si>
    <t>impulskraft</t>
  </si>
  <si>
    <t>milli</t>
  </si>
  <si>
    <t>schippe</t>
  </si>
  <si>
    <t>sicherheitsabteilung</t>
  </si>
  <si>
    <t>bienchen</t>
  </si>
  <si>
    <t>twins</t>
  </si>
  <si>
    <t>jervis</t>
  </si>
  <si>
    <t>schuldscheine</t>
  </si>
  <si>
    <t>warja</t>
  </si>
  <si>
    <t>verblendet</t>
  </si>
  <si>
    <t>mardon</t>
  </si>
  <si>
    <t>reader</t>
  </si>
  <si>
    <t>jeeter</t>
  </si>
  <si>
    <t>alsbald</t>
  </si>
  <si>
    <t>piè</t>
  </si>
  <si>
    <t>urteilst</t>
  </si>
  <si>
    <t>lieblingssendung</t>
  </si>
  <si>
    <t>zugenagelt</t>
  </si>
  <si>
    <t>expertise</t>
  </si>
  <si>
    <t>louisville</t>
  </si>
  <si>
    <t>anno2512</t>
  </si>
  <si>
    <t>attention</t>
  </si>
  <si>
    <t>schulmeister</t>
  </si>
  <si>
    <t>fünfjährige</t>
  </si>
  <si>
    <t>kerne</t>
  </si>
  <si>
    <t>fancie</t>
  </si>
  <si>
    <t>admirals</t>
  </si>
  <si>
    <t>zehe</t>
  </si>
  <si>
    <t>anstecker</t>
  </si>
  <si>
    <t>beherrschten</t>
  </si>
  <si>
    <t>hubble</t>
  </si>
  <si>
    <t>voraussicht</t>
  </si>
  <si>
    <t>saphir</t>
  </si>
  <si>
    <t>bürokrat</t>
  </si>
  <si>
    <t>monitoren</t>
  </si>
  <si>
    <t>wildhüter</t>
  </si>
  <si>
    <t>zuließ</t>
  </si>
  <si>
    <t>schläfen</t>
  </si>
  <si>
    <t>galway</t>
  </si>
  <si>
    <t>reiseziel</t>
  </si>
  <si>
    <t>nachzujagen</t>
  </si>
  <si>
    <t>vorangeht</t>
  </si>
  <si>
    <t>rudere</t>
  </si>
  <si>
    <t>kurdisch</t>
  </si>
  <si>
    <t>danas</t>
  </si>
  <si>
    <t>lotse</t>
  </si>
  <si>
    <t>carols</t>
  </si>
  <si>
    <t>witzbolde</t>
  </si>
  <si>
    <t>defcon</t>
  </si>
  <si>
    <t>kusanagi</t>
  </si>
  <si>
    <t>schutzanzug</t>
  </si>
  <si>
    <t>kolossal</t>
  </si>
  <si>
    <t>provozier</t>
  </si>
  <si>
    <t>heerführer</t>
  </si>
  <si>
    <t>gencoin</t>
  </si>
  <si>
    <t>zahlende</t>
  </si>
  <si>
    <t>ladentisch</t>
  </si>
  <si>
    <t>nachbarschaftswache</t>
  </si>
  <si>
    <t>bindend</t>
  </si>
  <si>
    <t>putzfrauen</t>
  </si>
  <si>
    <t>leisen</t>
  </si>
  <si>
    <t>fosters</t>
  </si>
  <si>
    <t>ausgeblutet</t>
  </si>
  <si>
    <t>peterman</t>
  </si>
  <si>
    <t>staubigen</t>
  </si>
  <si>
    <t>fischfutter</t>
  </si>
  <si>
    <t>besäufnis</t>
  </si>
  <si>
    <t>versprühen</t>
  </si>
  <si>
    <t>würzen</t>
  </si>
  <si>
    <t>verbale</t>
  </si>
  <si>
    <t>bim</t>
  </si>
  <si>
    <t>lissy</t>
  </si>
  <si>
    <t>gesalbt</t>
  </si>
  <si>
    <t>isolierte</t>
  </si>
  <si>
    <t>modellen</t>
  </si>
  <si>
    <t>bewähren</t>
  </si>
  <si>
    <t>möbelpacker</t>
  </si>
  <si>
    <t>abartigen</t>
  </si>
  <si>
    <t>wortspiele</t>
  </si>
  <si>
    <t>enkelkindern</t>
  </si>
  <si>
    <t>eingeborenensprache</t>
  </si>
  <si>
    <t>lusche</t>
  </si>
  <si>
    <t>elementar</t>
  </si>
  <si>
    <t>mäht</t>
  </si>
  <si>
    <t>auslässt</t>
  </si>
  <si>
    <t>fahnenmast</t>
  </si>
  <si>
    <t>braust</t>
  </si>
  <si>
    <t>delenn</t>
  </si>
  <si>
    <t>befremdlich</t>
  </si>
  <si>
    <t>kniff</t>
  </si>
  <si>
    <t>reingeschaut</t>
  </si>
  <si>
    <t>verträumt</t>
  </si>
  <si>
    <t>neunzig</t>
  </si>
  <si>
    <t>lives</t>
  </si>
  <si>
    <t>faust-sama</t>
  </si>
  <si>
    <t>silverman</t>
  </si>
  <si>
    <t>naylor</t>
  </si>
  <si>
    <t>todds</t>
  </si>
  <si>
    <t>kanye</t>
  </si>
  <si>
    <t>überwältigenden</t>
  </si>
  <si>
    <t>ridgeway</t>
  </si>
  <si>
    <t>interner</t>
  </si>
  <si>
    <t>fiedel</t>
  </si>
  <si>
    <t>hartem</t>
  </si>
  <si>
    <t>hoffnungsvolle</t>
  </si>
  <si>
    <t>nygma</t>
  </si>
  <si>
    <t>verzählt</t>
  </si>
  <si>
    <t>teammitglied</t>
  </si>
  <si>
    <t>aaa</t>
  </si>
  <si>
    <t>transformator</t>
  </si>
  <si>
    <t>rosalind</t>
  </si>
  <si>
    <t>ausfallend</t>
  </si>
  <si>
    <t>idiotisches</t>
  </si>
  <si>
    <t>lochs</t>
  </si>
  <si>
    <t>lka</t>
  </si>
  <si>
    <t>blütezeit</t>
  </si>
  <si>
    <t>hüterin</t>
  </si>
  <si>
    <t>strolchi</t>
  </si>
  <si>
    <t>spielball</t>
  </si>
  <si>
    <t>humanitären</t>
  </si>
  <si>
    <t>durchzuschneiden</t>
  </si>
  <si>
    <t>auszuleben</t>
  </si>
  <si>
    <t>koriander</t>
  </si>
  <si>
    <t>miststücke</t>
  </si>
  <si>
    <t>einsatzbefehl</t>
  </si>
  <si>
    <t>unsichere</t>
  </si>
  <si>
    <t>mehrfachen</t>
  </si>
  <si>
    <t>verseuchten</t>
  </si>
  <si>
    <t>ex-knacki</t>
  </si>
  <si>
    <t>designierte</t>
  </si>
  <si>
    <t>cammy</t>
  </si>
  <si>
    <t>torvald</t>
  </si>
  <si>
    <t>gerückt</t>
  </si>
  <si>
    <t>uhu</t>
  </si>
  <si>
    <t>airforce</t>
  </si>
  <si>
    <t>kyi</t>
  </si>
  <si>
    <t>medlock</t>
  </si>
  <si>
    <t>protestant</t>
  </si>
  <si>
    <t>cooley</t>
  </si>
  <si>
    <t>lisette</t>
  </si>
  <si>
    <t>exposé</t>
  </si>
  <si>
    <t>butterbrot</t>
  </si>
  <si>
    <t>ohrringen</t>
  </si>
  <si>
    <t>scanlon</t>
  </si>
  <si>
    <t>eingebildeten</t>
  </si>
  <si>
    <t>verwirrst</t>
  </si>
  <si>
    <t>kostbarste</t>
  </si>
  <si>
    <t>maloney</t>
  </si>
  <si>
    <t>kutter</t>
  </si>
  <si>
    <t>presidente</t>
  </si>
  <si>
    <t>maison</t>
  </si>
  <si>
    <t>richterlichen</t>
  </si>
  <si>
    <t>sekou</t>
  </si>
  <si>
    <t>unwissentlich</t>
  </si>
  <si>
    <t>humvee</t>
  </si>
  <si>
    <t>bilderrahmen</t>
  </si>
  <si>
    <t>ott</t>
  </si>
  <si>
    <t>hinzulegen</t>
  </si>
  <si>
    <t>eyeliner</t>
  </si>
  <si>
    <t>crook</t>
  </si>
  <si>
    <t>halfst</t>
  </si>
  <si>
    <t>sedativum</t>
  </si>
  <si>
    <t>örtchen</t>
  </si>
  <si>
    <t>kursänderung</t>
  </si>
  <si>
    <t>p.j.</t>
  </si>
  <si>
    <t>verhütungsmittel</t>
  </si>
  <si>
    <t>wine</t>
  </si>
  <si>
    <t>immense</t>
  </si>
  <si>
    <t>himalaja</t>
  </si>
  <si>
    <t>hamel</t>
  </si>
  <si>
    <t>yuka</t>
  </si>
  <si>
    <t>einarbeiten</t>
  </si>
  <si>
    <t>basketballspieler</t>
  </si>
  <si>
    <t>gesülze</t>
  </si>
  <si>
    <t>nischt</t>
  </si>
  <si>
    <t>fortescue</t>
  </si>
  <si>
    <t>gleichwertig</t>
  </si>
  <si>
    <t>dennison</t>
  </si>
  <si>
    <t>verdana</t>
  </si>
  <si>
    <t>verbundene</t>
  </si>
  <si>
    <t>finanzielles</t>
  </si>
  <si>
    <t>mageren</t>
  </si>
  <si>
    <t>verschüttete</t>
  </si>
  <si>
    <t>hosenstall</t>
  </si>
  <si>
    <t>two-face</t>
  </si>
  <si>
    <t>glaser</t>
  </si>
  <si>
    <t>generaloberst</t>
  </si>
  <si>
    <t>rothaarig</t>
  </si>
  <si>
    <t>entdeckst</t>
  </si>
  <si>
    <t>zo</t>
  </si>
  <si>
    <t>rubio</t>
  </si>
  <si>
    <t>talmud</t>
  </si>
  <si>
    <t>gummiband</t>
  </si>
  <si>
    <t>selbstredend</t>
  </si>
  <si>
    <t>üppige</t>
  </si>
  <si>
    <t>lf</t>
  </si>
  <si>
    <t>bermuda</t>
  </si>
  <si>
    <t>heiligste</t>
  </si>
  <si>
    <t>kham</t>
  </si>
  <si>
    <t>bedienungsanleitung</t>
  </si>
  <si>
    <t>bestehenden</t>
  </si>
  <si>
    <t>14-jährige</t>
  </si>
  <si>
    <t>intelligenteste</t>
  </si>
  <si>
    <t>abnimmst</t>
  </si>
  <si>
    <t>murder</t>
  </si>
  <si>
    <t>luo</t>
  </si>
  <si>
    <t>methodisch</t>
  </si>
  <si>
    <t>amazone</t>
  </si>
  <si>
    <t>throne-tier</t>
  </si>
  <si>
    <t>schleudersitz</t>
  </si>
  <si>
    <t>maßstäben</t>
  </si>
  <si>
    <t>bewundernswerte</t>
  </si>
  <si>
    <t>lieblingssohn</t>
  </si>
  <si>
    <t>niggas</t>
  </si>
  <si>
    <t>pixel</t>
  </si>
  <si>
    <t>ausgebrütet</t>
  </si>
  <si>
    <t>weasley</t>
  </si>
  <si>
    <t>gefälschter</t>
  </si>
  <si>
    <t>bekannteste</t>
  </si>
  <si>
    <t>zusammenzuziehen</t>
  </si>
  <si>
    <t>ehrlichste</t>
  </si>
  <si>
    <t>überdenke</t>
  </si>
  <si>
    <t>forestier</t>
  </si>
  <si>
    <t>aufkriegen</t>
  </si>
  <si>
    <t>stadtmauern</t>
  </si>
  <si>
    <t>gastronomie</t>
  </si>
  <si>
    <t>pennington</t>
  </si>
  <si>
    <t>naquadria</t>
  </si>
  <si>
    <t>mor</t>
  </si>
  <si>
    <t>gedenkgottesdienst</t>
  </si>
  <si>
    <t>newcastle</t>
  </si>
  <si>
    <t>ungereimtheiten</t>
  </si>
  <si>
    <t>unlängst</t>
  </si>
  <si>
    <t>porters</t>
  </si>
  <si>
    <t>menschengestalt</t>
  </si>
  <si>
    <t>ä</t>
  </si>
  <si>
    <t>vetternwirtschaft</t>
  </si>
  <si>
    <t>denunziert</t>
  </si>
  <si>
    <t>heiko</t>
  </si>
  <si>
    <t>testfahrt</t>
  </si>
  <si>
    <t>verlockung</t>
  </si>
  <si>
    <t>verna</t>
  </si>
  <si>
    <t>nachzuahmen</t>
  </si>
  <si>
    <t>vernachlässigte</t>
  </si>
  <si>
    <t>spaz</t>
  </si>
  <si>
    <t>verpfeife</t>
  </si>
  <si>
    <t>vergreift</t>
  </si>
  <si>
    <t>pathologen</t>
  </si>
  <si>
    <t>tschechischen</t>
  </si>
  <si>
    <t>s01e08</t>
  </si>
  <si>
    <t>fahrlässige</t>
  </si>
  <si>
    <t>kampfmaschine</t>
  </si>
  <si>
    <t>anhöre</t>
  </si>
  <si>
    <t>privatflugzeug</t>
  </si>
  <si>
    <t>dämonin</t>
  </si>
  <si>
    <t>verfeinern</t>
  </si>
  <si>
    <t>mikroskopisch</t>
  </si>
  <si>
    <t>kloake</t>
  </si>
  <si>
    <t>unfreiwillig</t>
  </si>
  <si>
    <t>erdkunde</t>
  </si>
  <si>
    <t>informierten</t>
  </si>
  <si>
    <t>spin</t>
  </si>
  <si>
    <t>burroughs</t>
  </si>
  <si>
    <t>jurek</t>
  </si>
  <si>
    <t>liddell</t>
  </si>
  <si>
    <t>pleasant</t>
  </si>
  <si>
    <t>s02e01</t>
  </si>
  <si>
    <t>schrittmacher</t>
  </si>
  <si>
    <t>anatole</t>
  </si>
  <si>
    <t>broccoli</t>
  </si>
  <si>
    <t>albernheiten</t>
  </si>
  <si>
    <t>erkranken</t>
  </si>
  <si>
    <t>erzielte</t>
  </si>
  <si>
    <t>glücklichsein</t>
  </si>
  <si>
    <t>rechtsprechung</t>
  </si>
  <si>
    <t>tanzunterricht</t>
  </si>
  <si>
    <t>sortiment</t>
  </si>
  <si>
    <t>colum</t>
  </si>
  <si>
    <t>königinmutter</t>
  </si>
  <si>
    <t>eigelb</t>
  </si>
  <si>
    <t>intimsten</t>
  </si>
  <si>
    <t>kermie</t>
  </si>
  <si>
    <t>gepflogenheiten</t>
  </si>
  <si>
    <t>verschroben</t>
  </si>
  <si>
    <t>schlichtes</t>
  </si>
  <si>
    <t>alphas</t>
  </si>
  <si>
    <t>magellan</t>
  </si>
  <si>
    <t>stattfanden</t>
  </si>
  <si>
    <t>misslungen</t>
  </si>
  <si>
    <t>incorporated</t>
  </si>
  <si>
    <t>angesehensten</t>
  </si>
  <si>
    <t>mcgraw</t>
  </si>
  <si>
    <t>audra</t>
  </si>
  <si>
    <t>spieße</t>
  </si>
  <si>
    <t>jimenez</t>
  </si>
  <si>
    <t>urteils</t>
  </si>
  <si>
    <t>befähigt</t>
  </si>
  <si>
    <t>sicherheitsteams</t>
  </si>
  <si>
    <t>eindrucksvolle</t>
  </si>
  <si>
    <t>shanes</t>
  </si>
  <si>
    <t>gaviria</t>
  </si>
  <si>
    <t>layout</t>
  </si>
  <si>
    <t>rack</t>
  </si>
  <si>
    <t>jennas</t>
  </si>
  <si>
    <t>fingst</t>
  </si>
  <si>
    <t>krull</t>
  </si>
  <si>
    <t>pluspunkt</t>
  </si>
  <si>
    <t>piscatella</t>
  </si>
  <si>
    <t>hergehört</t>
  </si>
  <si>
    <t>flaggschiff</t>
  </si>
  <si>
    <t>thermoskanne</t>
  </si>
  <si>
    <t>vitus</t>
  </si>
  <si>
    <t>auszutragen</t>
  </si>
  <si>
    <t>milligan</t>
  </si>
  <si>
    <t>aussperren</t>
  </si>
  <si>
    <t>visconti</t>
  </si>
  <si>
    <t>tapferkeitsmedaille</t>
  </si>
  <si>
    <t>cowboyhut</t>
  </si>
  <si>
    <t>corvax</t>
  </si>
  <si>
    <t>operationsbasis</t>
  </si>
  <si>
    <t>weihnachtskarten</t>
  </si>
  <si>
    <t>telefonierten</t>
  </si>
  <si>
    <t>wildfremden</t>
  </si>
  <si>
    <t>tigerin</t>
  </si>
  <si>
    <t>ansichtssache</t>
  </si>
  <si>
    <t>dadrin</t>
  </si>
  <si>
    <t>fußnote</t>
  </si>
  <si>
    <t>bamford</t>
  </si>
  <si>
    <t>cravat</t>
  </si>
  <si>
    <t>japst</t>
  </si>
  <si>
    <t>mitchells</t>
  </si>
  <si>
    <t>quicklebendig</t>
  </si>
  <si>
    <t>kaltblütige</t>
  </si>
  <si>
    <t>imposant</t>
  </si>
  <si>
    <t>aufleuchten</t>
  </si>
  <si>
    <t>uzi</t>
  </si>
  <si>
    <t>alarmiere</t>
  </si>
  <si>
    <t>volksarmee</t>
  </si>
  <si>
    <t>bluthunde</t>
  </si>
  <si>
    <t>troubadour</t>
  </si>
  <si>
    <t>niederträchtigen</t>
  </si>
  <si>
    <t>apocalypse</t>
  </si>
  <si>
    <t>lesters</t>
  </si>
  <si>
    <t>zweifelsfall</t>
  </si>
  <si>
    <t>leiteten</t>
  </si>
  <si>
    <t>raubmord</t>
  </si>
  <si>
    <t>lastwagenfahrer</t>
  </si>
  <si>
    <t>schaben</t>
  </si>
  <si>
    <t>aufschnitt</t>
  </si>
  <si>
    <t>kissinger</t>
  </si>
  <si>
    <t>klebrigen</t>
  </si>
  <si>
    <t>telepathen</t>
  </si>
  <si>
    <t>gewaltsames</t>
  </si>
  <si>
    <t>servier</t>
  </si>
  <si>
    <t>unechten</t>
  </si>
  <si>
    <t>ausspreche</t>
  </si>
  <si>
    <t>vulkaniern</t>
  </si>
  <si>
    <t>nagelneuen</t>
  </si>
  <si>
    <t>vorangekommen</t>
  </si>
  <si>
    <t>pinkerton</t>
  </si>
  <si>
    <t>nyx</t>
  </si>
  <si>
    <t>schlendern</t>
  </si>
  <si>
    <t>sm</t>
  </si>
  <si>
    <t>zerbrichst</t>
  </si>
  <si>
    <t>ausgedient</t>
  </si>
  <si>
    <t>getappt</t>
  </si>
  <si>
    <t>peso</t>
  </si>
  <si>
    <t>allwissend</t>
  </si>
  <si>
    <t>ackern</t>
  </si>
  <si>
    <t>gewittert</t>
  </si>
  <si>
    <t>mitnichten</t>
  </si>
  <si>
    <t>regenwasser</t>
  </si>
  <si>
    <t>meera</t>
  </si>
  <si>
    <t>polizeiakademie</t>
  </si>
  <si>
    <t>f.b.i.</t>
  </si>
  <si>
    <t>schwebst</t>
  </si>
  <si>
    <t>traditioneller</t>
  </si>
  <si>
    <t>herzelinde</t>
  </si>
  <si>
    <t>dunkelste</t>
  </si>
  <si>
    <t>krankenhausbett</t>
  </si>
  <si>
    <t>dazusetzen</t>
  </si>
  <si>
    <t>verfärbt</t>
  </si>
  <si>
    <t>abgesoffen</t>
  </si>
  <si>
    <t>banion</t>
  </si>
  <si>
    <t>unbekanntem</t>
  </si>
  <si>
    <t>wichst</t>
  </si>
  <si>
    <t>schaufelt</t>
  </si>
  <si>
    <t>anrücken</t>
  </si>
  <si>
    <t>rumgeknutscht</t>
  </si>
  <si>
    <t>bodie</t>
  </si>
  <si>
    <t>chefetage</t>
  </si>
  <si>
    <t>überzeugungskraft</t>
  </si>
  <si>
    <t>mistviecher</t>
  </si>
  <si>
    <t>stimmungen</t>
  </si>
  <si>
    <t>verhökert</t>
  </si>
  <si>
    <t>einundzwanzig</t>
  </si>
  <si>
    <t>verkohlen</t>
  </si>
  <si>
    <t>weggejagt</t>
  </si>
  <si>
    <t>zunahme</t>
  </si>
  <si>
    <t>tombstone</t>
  </si>
  <si>
    <t>widersprichst</t>
  </si>
  <si>
    <t>kriterium</t>
  </si>
  <si>
    <t>konstitution</t>
  </si>
  <si>
    <t>verdorbenes</t>
  </si>
  <si>
    <t>postet</t>
  </si>
  <si>
    <t>bic</t>
  </si>
  <si>
    <t>mitgehe</t>
  </si>
  <si>
    <t>ansprichst</t>
  </si>
  <si>
    <t>aime</t>
  </si>
  <si>
    <t>riga</t>
  </si>
  <si>
    <t>augusto</t>
  </si>
  <si>
    <t>defiance</t>
  </si>
  <si>
    <t>stew</t>
  </si>
  <si>
    <t>gefürchteten</t>
  </si>
  <si>
    <t>muerte</t>
  </si>
  <si>
    <t>bestandsaufnahme</t>
  </si>
  <si>
    <t>dreister</t>
  </si>
  <si>
    <t>affekt</t>
  </si>
  <si>
    <t>aufgeblüht</t>
  </si>
  <si>
    <t>huck</t>
  </si>
  <si>
    <t>transportschiff</t>
  </si>
  <si>
    <t>suggeriert</t>
  </si>
  <si>
    <t>rostow</t>
  </si>
  <si>
    <t>ausschusses</t>
  </si>
  <si>
    <t>monks</t>
  </si>
  <si>
    <t>einfängt</t>
  </si>
  <si>
    <t>halil</t>
  </si>
  <si>
    <t>wegzuschaffen</t>
  </si>
  <si>
    <t>carli</t>
  </si>
  <si>
    <t>herumgekommen</t>
  </si>
  <si>
    <t>führerin</t>
  </si>
  <si>
    <t>fernfahrer</t>
  </si>
  <si>
    <t>sommerlager</t>
  </si>
  <si>
    <t>moonlight</t>
  </si>
  <si>
    <t>gewunken</t>
  </si>
  <si>
    <t>glassplitter</t>
  </si>
  <si>
    <t>unerlaubte</t>
  </si>
  <si>
    <t>hamdi</t>
  </si>
  <si>
    <t>faselt</t>
  </si>
  <si>
    <t>liebkosen</t>
  </si>
  <si>
    <t>nullmaterie</t>
  </si>
  <si>
    <t>asuka</t>
  </si>
  <si>
    <t>target</t>
  </si>
  <si>
    <t>stürz</t>
  </si>
  <si>
    <t>schreiberling</t>
  </si>
  <si>
    <t>berichtest</t>
  </si>
  <si>
    <t>feathers</t>
  </si>
  <si>
    <t>feuerwasser</t>
  </si>
  <si>
    <t>undichten</t>
  </si>
  <si>
    <t>enter</t>
  </si>
  <si>
    <t>menschenkenner</t>
  </si>
  <si>
    <t>toxine</t>
  </si>
  <si>
    <t>brutkasten</t>
  </si>
  <si>
    <t>geschildert</t>
  </si>
  <si>
    <t>auslagen</t>
  </si>
  <si>
    <t>einzutreiben</t>
  </si>
  <si>
    <t>mangas</t>
  </si>
  <si>
    <t>juchhu</t>
  </si>
  <si>
    <t>fluchtgefahr</t>
  </si>
  <si>
    <t>hörsaal</t>
  </si>
  <si>
    <t>baek</t>
  </si>
  <si>
    <t>aufbrach</t>
  </si>
  <si>
    <t>beduinen</t>
  </si>
  <si>
    <t>stofftier</t>
  </si>
  <si>
    <t>lui</t>
  </si>
  <si>
    <t>decima</t>
  </si>
  <si>
    <t>wahnsinniges</t>
  </si>
  <si>
    <t>skaara</t>
  </si>
  <si>
    <t>lohengrin</t>
  </si>
  <si>
    <t>befahren</t>
  </si>
  <si>
    <t>signalhorn</t>
  </si>
  <si>
    <t>geldmittel</t>
  </si>
  <si>
    <t>draculas</t>
  </si>
  <si>
    <t>zylonischen</t>
  </si>
  <si>
    <t>disa</t>
  </si>
  <si>
    <t>heuert</t>
  </si>
  <si>
    <t>vernichteten</t>
  </si>
  <si>
    <t>frame</t>
  </si>
  <si>
    <t>blutrünstig</t>
  </si>
  <si>
    <t>originalität</t>
  </si>
  <si>
    <t>geldverdienen</t>
  </si>
  <si>
    <t>nachttopf</t>
  </si>
  <si>
    <t>belastungsstörung</t>
  </si>
  <si>
    <t>boyce</t>
  </si>
  <si>
    <t>kacka</t>
  </si>
  <si>
    <t>hak</t>
  </si>
  <si>
    <t>friseuse</t>
  </si>
  <si>
    <t>eingewöhnt</t>
  </si>
  <si>
    <t>adoptierten</t>
  </si>
  <si>
    <t>sopran</t>
  </si>
  <si>
    <t>monogam</t>
  </si>
  <si>
    <t>vorzutragen</t>
  </si>
  <si>
    <t>camel</t>
  </si>
  <si>
    <t>bandwurm</t>
  </si>
  <si>
    <t>rasender</t>
  </si>
  <si>
    <t>precrime</t>
  </si>
  <si>
    <t>bespricht</t>
  </si>
  <si>
    <t>hängten</t>
  </si>
  <si>
    <t>godric</t>
  </si>
  <si>
    <t>morbus</t>
  </si>
  <si>
    <t>signals</t>
  </si>
  <si>
    <t>greenhorn</t>
  </si>
  <si>
    <t>kultivierte</t>
  </si>
  <si>
    <t>angola</t>
  </si>
  <si>
    <t>desiree</t>
  </si>
  <si>
    <t>ödipus</t>
  </si>
  <si>
    <t>benachteiligt</t>
  </si>
  <si>
    <t>disziplinarverfahren</t>
  </si>
  <si>
    <t>stiefbruder</t>
  </si>
  <si>
    <t>zurschaustellung</t>
  </si>
  <si>
    <t>roussel</t>
  </si>
  <si>
    <t>sok</t>
  </si>
  <si>
    <t>einquartiert</t>
  </si>
  <si>
    <t>alpträumen</t>
  </si>
  <si>
    <t>paw</t>
  </si>
  <si>
    <t>degas</t>
  </si>
  <si>
    <t>untergangs</t>
  </si>
  <si>
    <t>lobte</t>
  </si>
  <si>
    <t>administration</t>
  </si>
  <si>
    <t>microsoft</t>
  </si>
  <si>
    <t>kästen</t>
  </si>
  <si>
    <t>6-mal</t>
  </si>
  <si>
    <t>hume</t>
  </si>
  <si>
    <t>kläffen</t>
  </si>
  <si>
    <t>umwerfenden</t>
  </si>
  <si>
    <t>dutchman</t>
  </si>
  <si>
    <t>benachrichtigung</t>
  </si>
  <si>
    <t>wimperntusche</t>
  </si>
  <si>
    <t>samstagnacht</t>
  </si>
  <si>
    <t>mullen</t>
  </si>
  <si>
    <t>auspusten</t>
  </si>
  <si>
    <t>trumps</t>
  </si>
  <si>
    <t>ersehnte</t>
  </si>
  <si>
    <t>gefeit</t>
  </si>
  <si>
    <t>heucheln</t>
  </si>
  <si>
    <t>wibbel</t>
  </si>
  <si>
    <t>blender</t>
  </si>
  <si>
    <t>rendite</t>
  </si>
  <si>
    <t>verziehst</t>
  </si>
  <si>
    <t>arbeitslosengeld</t>
  </si>
  <si>
    <t>sepsis</t>
  </si>
  <si>
    <t>brakebills</t>
  </si>
  <si>
    <t>engagierter</t>
  </si>
  <si>
    <t>bemessen</t>
  </si>
  <si>
    <t>gebraut</t>
  </si>
  <si>
    <t>einschussloch</t>
  </si>
  <si>
    <t>martys</t>
  </si>
  <si>
    <t>sprinkler</t>
  </si>
  <si>
    <t>trilogie</t>
  </si>
  <si>
    <t>gutenachtgeschichte</t>
  </si>
  <si>
    <t>hafenmeister</t>
  </si>
  <si>
    <t>fleet</t>
  </si>
  <si>
    <t>drums</t>
  </si>
  <si>
    <t>murren</t>
  </si>
  <si>
    <t>dylans</t>
  </si>
  <si>
    <t>dynamic</t>
  </si>
  <si>
    <t>schober</t>
  </si>
  <si>
    <t>geröll</t>
  </si>
  <si>
    <t>nisten</t>
  </si>
  <si>
    <t>kinney</t>
  </si>
  <si>
    <t>gaalan</t>
  </si>
  <si>
    <t>devin</t>
  </si>
  <si>
    <t>charlton</t>
  </si>
  <si>
    <t>chronischen</t>
  </si>
  <si>
    <t>randalls</t>
  </si>
  <si>
    <t>geklammert</t>
  </si>
  <si>
    <t>jovan</t>
  </si>
  <si>
    <t>reinbitten</t>
  </si>
  <si>
    <t>arastoo</t>
  </si>
  <si>
    <t>erstrahlt</t>
  </si>
  <si>
    <t>harrow</t>
  </si>
  <si>
    <t>farms</t>
  </si>
  <si>
    <t>edgars</t>
  </si>
  <si>
    <t>ragt</t>
  </si>
  <si>
    <t>weiterkomm</t>
  </si>
  <si>
    <t>sonderausgabe</t>
  </si>
  <si>
    <t>ausgewandert</t>
  </si>
  <si>
    <t>versagens</t>
  </si>
  <si>
    <t>tiefkühltruhe</t>
  </si>
  <si>
    <t>hiv-positiv</t>
  </si>
  <si>
    <t>bezeuge</t>
  </si>
  <si>
    <t>cottle</t>
  </si>
  <si>
    <t>hungernde</t>
  </si>
  <si>
    <t>pfarrei</t>
  </si>
  <si>
    <t>zeitzone</t>
  </si>
  <si>
    <t>verweigerung</t>
  </si>
  <si>
    <t>ruhigstellen</t>
  </si>
  <si>
    <t>wirren</t>
  </si>
  <si>
    <t>newlin</t>
  </si>
  <si>
    <t>katalogisieren</t>
  </si>
  <si>
    <t>errichteten</t>
  </si>
  <si>
    <t>startsequenz</t>
  </si>
  <si>
    <t>stahlwerk</t>
  </si>
  <si>
    <t>landarbeiter</t>
  </si>
  <si>
    <t>gizmo</t>
  </si>
  <si>
    <t>gennà</t>
  </si>
  <si>
    <t>boxenstopp</t>
  </si>
  <si>
    <t>oberfeldwebel</t>
  </si>
  <si>
    <t>notstrom</t>
  </si>
  <si>
    <t>archy</t>
  </si>
  <si>
    <t>bindest</t>
  </si>
  <si>
    <t>todeskampf</t>
  </si>
  <si>
    <t>hippo</t>
  </si>
  <si>
    <t>eiskönigin</t>
  </si>
  <si>
    <t>vierteln</t>
  </si>
  <si>
    <t>spots</t>
  </si>
  <si>
    <t>newtons</t>
  </si>
  <si>
    <t>nackig</t>
  </si>
  <si>
    <t>rook</t>
  </si>
  <si>
    <t>erbricht</t>
  </si>
  <si>
    <t>quetscht</t>
  </si>
  <si>
    <t>abzuschleppen</t>
  </si>
  <si>
    <t>uneins</t>
  </si>
  <si>
    <t>liras</t>
  </si>
  <si>
    <t>ungehörig</t>
  </si>
  <si>
    <t>begriffsstutzig</t>
  </si>
  <si>
    <t>missliche</t>
  </si>
  <si>
    <t>mägde</t>
  </si>
  <si>
    <t>verrotte</t>
  </si>
  <si>
    <t>riesenhunger</t>
  </si>
  <si>
    <t>beschwingt</t>
  </si>
  <si>
    <t>wallenstein</t>
  </si>
  <si>
    <t>brandwunden</t>
  </si>
  <si>
    <t>vlies</t>
  </si>
  <si>
    <t>durchgesickert</t>
  </si>
  <si>
    <t>warn</t>
  </si>
  <si>
    <t>location</t>
  </si>
  <si>
    <t>heureka</t>
  </si>
  <si>
    <t>bekämst</t>
  </si>
  <si>
    <t>entladung</t>
  </si>
  <si>
    <t>brüchig</t>
  </si>
  <si>
    <t>andauernde</t>
  </si>
  <si>
    <t>modak</t>
  </si>
  <si>
    <t>umrisse</t>
  </si>
  <si>
    <t>kappt</t>
  </si>
  <si>
    <t>sternschnuppen</t>
  </si>
  <si>
    <t>monden</t>
  </si>
  <si>
    <t>kontinents</t>
  </si>
  <si>
    <t>zaubers</t>
  </si>
  <si>
    <t>schmuckkästchen</t>
  </si>
  <si>
    <t>menschenmögliche</t>
  </si>
  <si>
    <t>magnete</t>
  </si>
  <si>
    <t>gesponnen</t>
  </si>
  <si>
    <t>says</t>
  </si>
  <si>
    <t>margret</t>
  </si>
  <si>
    <t>christines</t>
  </si>
  <si>
    <t>automatischer</t>
  </si>
  <si>
    <t>angelhaken</t>
  </si>
  <si>
    <t>parzelle</t>
  </si>
  <si>
    <t>schreibfehler</t>
  </si>
  <si>
    <t>luftfahrt</t>
  </si>
  <si>
    <t>doughnut</t>
  </si>
  <si>
    <t>solly</t>
  </si>
  <si>
    <t>erkämpft</t>
  </si>
  <si>
    <t>klingonischer</t>
  </si>
  <si>
    <t>amtierender</t>
  </si>
  <si>
    <t>kaffeebecher</t>
  </si>
  <si>
    <t>silvana</t>
  </si>
  <si>
    <t>andauernden</t>
  </si>
  <si>
    <t>beschütz</t>
  </si>
  <si>
    <t>klavierunterricht</t>
  </si>
  <si>
    <t>verschleudert</t>
  </si>
  <si>
    <t>ginn</t>
  </si>
  <si>
    <t>leger</t>
  </si>
  <si>
    <t>cordell</t>
  </si>
  <si>
    <t>amyas</t>
  </si>
  <si>
    <t>geteilte</t>
  </si>
  <si>
    <t>punchy</t>
  </si>
  <si>
    <t>quai</t>
  </si>
  <si>
    <t>zurückgibst</t>
  </si>
  <si>
    <t>zweitgrößte</t>
  </si>
  <si>
    <t>frobisher</t>
  </si>
  <si>
    <t>rallye</t>
  </si>
  <si>
    <t>weichteile</t>
  </si>
  <si>
    <t>hightower</t>
  </si>
  <si>
    <t>anstalten</t>
  </si>
  <si>
    <t>zwieback</t>
  </si>
  <si>
    <t>stöhnend</t>
  </si>
  <si>
    <t>está</t>
  </si>
  <si>
    <t>ökonomischen</t>
  </si>
  <si>
    <t>fortgeführt</t>
  </si>
  <si>
    <t>erkämpfen</t>
  </si>
  <si>
    <t>austauschbar</t>
  </si>
  <si>
    <t>spinnerin</t>
  </si>
  <si>
    <t>auszuarbeiten</t>
  </si>
  <si>
    <t>lastenaufzug</t>
  </si>
  <si>
    <t>masten</t>
  </si>
  <si>
    <t>widerstanden</t>
  </si>
  <si>
    <t>fehlfunktionen</t>
  </si>
  <si>
    <t>würzig</t>
  </si>
  <si>
    <t>galerien</t>
  </si>
  <si>
    <t>fournier</t>
  </si>
  <si>
    <t>zukunftspläne</t>
  </si>
  <si>
    <t>zugedrückt</t>
  </si>
  <si>
    <t>trüge</t>
  </si>
  <si>
    <t>frikadellen</t>
  </si>
  <si>
    <t>billigem</t>
  </si>
  <si>
    <t>ladefläche</t>
  </si>
  <si>
    <t>trog</t>
  </si>
  <si>
    <t>ärztlicher</t>
  </si>
  <si>
    <t>boykottieren</t>
  </si>
  <si>
    <t>dichters</t>
  </si>
  <si>
    <t>wielange</t>
  </si>
  <si>
    <t>eingefordert</t>
  </si>
  <si>
    <t>vertragsbruch</t>
  </si>
  <si>
    <t>handelsabkommen</t>
  </si>
  <si>
    <t>sozialstunden</t>
  </si>
  <si>
    <t>mutt</t>
  </si>
  <si>
    <t>lamas</t>
  </si>
  <si>
    <t>furchterregende</t>
  </si>
  <si>
    <t>schwips</t>
  </si>
  <si>
    <t>abtransport</t>
  </si>
  <si>
    <t>lucretia</t>
  </si>
  <si>
    <t>hlen</t>
  </si>
  <si>
    <t>canaan</t>
  </si>
  <si>
    <t>profiler</t>
  </si>
  <si>
    <t>gazpacho</t>
  </si>
  <si>
    <t>kirre</t>
  </si>
  <si>
    <t>pfarrers</t>
  </si>
  <si>
    <t>zeitungsjunge</t>
  </si>
  <si>
    <t>außenhülle</t>
  </si>
  <si>
    <t>pussies</t>
  </si>
  <si>
    <t>doofes</t>
  </si>
  <si>
    <t>absolvent</t>
  </si>
  <si>
    <t>repräsentantenhaus</t>
  </si>
  <si>
    <t>atul</t>
  </si>
  <si>
    <t>niedermachen</t>
  </si>
  <si>
    <t>leno</t>
  </si>
  <si>
    <t>yuria</t>
  </si>
  <si>
    <t>paff</t>
  </si>
  <si>
    <t>fanclub</t>
  </si>
  <si>
    <t>sheen</t>
  </si>
  <si>
    <t>verschlossener</t>
  </si>
  <si>
    <t>trader</t>
  </si>
  <si>
    <t>kraftstoff</t>
  </si>
  <si>
    <t>narzissmus</t>
  </si>
  <si>
    <t>kumar</t>
  </si>
  <si>
    <t>martinshorn</t>
  </si>
  <si>
    <t>anbricht</t>
  </si>
  <si>
    <t>hinfahre</t>
  </si>
  <si>
    <t>ambiente</t>
  </si>
  <si>
    <t>urmel</t>
  </si>
  <si>
    <t>días</t>
  </si>
  <si>
    <t>aufschauen</t>
  </si>
  <si>
    <t>hotelbar</t>
  </si>
  <si>
    <t>heiligsten</t>
  </si>
  <si>
    <t>üppigen</t>
  </si>
  <si>
    <t>u2</t>
  </si>
  <si>
    <t>hirns</t>
  </si>
  <si>
    <t>rebellischen</t>
  </si>
  <si>
    <t>homes</t>
  </si>
  <si>
    <t>highlander</t>
  </si>
  <si>
    <t>tector</t>
  </si>
  <si>
    <t>mütterliche</t>
  </si>
  <si>
    <t>blödheit</t>
  </si>
  <si>
    <t>leander</t>
  </si>
  <si>
    <t>unterschieden</t>
  </si>
  <si>
    <t>bürgerpflicht</t>
  </si>
  <si>
    <t>keppler</t>
  </si>
  <si>
    <t>southside</t>
  </si>
  <si>
    <t>pinglet</t>
  </si>
  <si>
    <t>täuschungen</t>
  </si>
  <si>
    <t>abgeschreckt</t>
  </si>
  <si>
    <t>ausspülen</t>
  </si>
  <si>
    <t>kollektiven</t>
  </si>
  <si>
    <t>bakshi</t>
  </si>
  <si>
    <t>gestreikt</t>
  </si>
  <si>
    <t>kursen</t>
  </si>
  <si>
    <t>zurückgestellt</t>
  </si>
  <si>
    <t>überspannt</t>
  </si>
  <si>
    <t>radioaktives</t>
  </si>
  <si>
    <t>dizzy</t>
  </si>
  <si>
    <t>fiktiv</t>
  </si>
  <si>
    <t>verbessere</t>
  </si>
  <si>
    <t>gasmaske</t>
  </si>
  <si>
    <t>sicherheitsalarm</t>
  </si>
  <si>
    <t>winner</t>
  </si>
  <si>
    <t>anagramm</t>
  </si>
  <si>
    <t>micawber</t>
  </si>
  <si>
    <t>namenlos</t>
  </si>
  <si>
    <t>rosy</t>
  </si>
  <si>
    <t>preiselbeeren</t>
  </si>
  <si>
    <t>verleugne</t>
  </si>
  <si>
    <t>speisekarten</t>
  </si>
  <si>
    <t>unehrlichkeit</t>
  </si>
  <si>
    <t>clays</t>
  </si>
  <si>
    <t>natalja</t>
  </si>
  <si>
    <t>söldnern</t>
  </si>
  <si>
    <t>skunk</t>
  </si>
  <si>
    <t>soze</t>
  </si>
  <si>
    <t>beantwortete</t>
  </si>
  <si>
    <t>tätowierte</t>
  </si>
  <si>
    <t>brösel</t>
  </si>
  <si>
    <t>fluchtwege</t>
  </si>
  <si>
    <t>sigi</t>
  </si>
  <si>
    <t>umprogrammieren</t>
  </si>
  <si>
    <t>mixt</t>
  </si>
  <si>
    <t>folgsam</t>
  </si>
  <si>
    <t>nomen</t>
  </si>
  <si>
    <t>peppi</t>
  </si>
  <si>
    <t>lazy</t>
  </si>
  <si>
    <t>thora</t>
  </si>
  <si>
    <t>dal</t>
  </si>
  <si>
    <t>jüngern</t>
  </si>
  <si>
    <t>vittoria</t>
  </si>
  <si>
    <t>bürgschaft</t>
  </si>
  <si>
    <t>qualifizierter</t>
  </si>
  <si>
    <t>borneo</t>
  </si>
  <si>
    <t>funktionierendes</t>
  </si>
  <si>
    <t>zugedreht</t>
  </si>
  <si>
    <t>ls</t>
  </si>
  <si>
    <t>schimmert</t>
  </si>
  <si>
    <t>wiedergabe</t>
  </si>
  <si>
    <t>diamonds</t>
  </si>
  <si>
    <t>comment</t>
  </si>
  <si>
    <t>kopfschmuck</t>
  </si>
  <si>
    <t>comfort</t>
  </si>
  <si>
    <t>türschloss</t>
  </si>
  <si>
    <t>ausgemustert</t>
  </si>
  <si>
    <t>kamil</t>
  </si>
  <si>
    <t>niedergemacht</t>
  </si>
  <si>
    <t>stabilisatoren</t>
  </si>
  <si>
    <t>copper</t>
  </si>
  <si>
    <t>finalisten</t>
  </si>
  <si>
    <t>protokolliert</t>
  </si>
  <si>
    <t>good-bye</t>
  </si>
  <si>
    <t>bistja</t>
  </si>
  <si>
    <t>mathematischen</t>
  </si>
  <si>
    <t>rotznasen</t>
  </si>
  <si>
    <t>tracks</t>
  </si>
  <si>
    <t>vorsorge</t>
  </si>
  <si>
    <t>toomey</t>
  </si>
  <si>
    <t>überbrückung</t>
  </si>
  <si>
    <t>krisensitzung</t>
  </si>
  <si>
    <t>geistesblitz</t>
  </si>
  <si>
    <t>scheuklappen</t>
  </si>
  <si>
    <t>sprint</t>
  </si>
  <si>
    <t>prom</t>
  </si>
  <si>
    <t>beschaffung</t>
  </si>
  <si>
    <t>loo</t>
  </si>
  <si>
    <t>lüstern</t>
  </si>
  <si>
    <t>sprachrohr</t>
  </si>
  <si>
    <t>jolinar</t>
  </si>
  <si>
    <t>einzuschränken</t>
  </si>
  <si>
    <t>lizenzen</t>
  </si>
  <si>
    <t>entschlüsselung</t>
  </si>
  <si>
    <t>neueren</t>
  </si>
  <si>
    <t>kläfft</t>
  </si>
  <si>
    <t>xy</t>
  </si>
  <si>
    <t>ak-47</t>
  </si>
  <si>
    <t>tobruk</t>
  </si>
  <si>
    <t>franklins</t>
  </si>
  <si>
    <t>sadler</t>
  </si>
  <si>
    <t>reinlegt</t>
  </si>
  <si>
    <t>leaf</t>
  </si>
  <si>
    <t>ergibst</t>
  </si>
  <si>
    <t>kitten</t>
  </si>
  <si>
    <t>unbequeme</t>
  </si>
  <si>
    <t>bleichgesichter</t>
  </si>
  <si>
    <t>aufgeholt</t>
  </si>
  <si>
    <t>loskommen</t>
  </si>
  <si>
    <t>anschlüsse</t>
  </si>
  <si>
    <t>schreienden</t>
  </si>
  <si>
    <t>eigentümerin</t>
  </si>
  <si>
    <t>heckt</t>
  </si>
  <si>
    <t>portman</t>
  </si>
  <si>
    <t>macon</t>
  </si>
  <si>
    <t>klingonisch</t>
  </si>
  <si>
    <t>kurzgeschlossen</t>
  </si>
  <si>
    <t>verschrottet</t>
  </si>
  <si>
    <t>narbengewebe</t>
  </si>
  <si>
    <t>unabhängiges</t>
  </si>
  <si>
    <t>mittleres</t>
  </si>
  <si>
    <t>ersteigert</t>
  </si>
  <si>
    <t>johs</t>
  </si>
  <si>
    <t>lovett</t>
  </si>
  <si>
    <t>patentieren</t>
  </si>
  <si>
    <t>hirni</t>
  </si>
  <si>
    <t>naiver</t>
  </si>
  <si>
    <t>mutterinstinkt</t>
  </si>
  <si>
    <t>wiederauferstehen</t>
  </si>
  <si>
    <t>atomraketen</t>
  </si>
  <si>
    <t>ankamst</t>
  </si>
  <si>
    <t>erzdiözese</t>
  </si>
  <si>
    <t>bain</t>
  </si>
  <si>
    <t>griffins</t>
  </si>
  <si>
    <t>zusammenpasst</t>
  </si>
  <si>
    <t>jehova</t>
  </si>
  <si>
    <t>golfball</t>
  </si>
  <si>
    <t>zana</t>
  </si>
  <si>
    <t>tibbs</t>
  </si>
  <si>
    <t>dienstfrei</t>
  </si>
  <si>
    <t>sanni</t>
  </si>
  <si>
    <t>evolet</t>
  </si>
  <si>
    <t>percys</t>
  </si>
  <si>
    <t>angefragt</t>
  </si>
  <si>
    <t>durchgedrungen</t>
  </si>
  <si>
    <t>makellosen</t>
  </si>
  <si>
    <t>firestorm</t>
  </si>
  <si>
    <t>nachforschung</t>
  </si>
  <si>
    <t>shangri-la</t>
  </si>
  <si>
    <t>loved</t>
  </si>
  <si>
    <t>longworth</t>
  </si>
  <si>
    <t>ehrgeizigen</t>
  </si>
  <si>
    <t>stockdunkel</t>
  </si>
  <si>
    <t>paganini</t>
  </si>
  <si>
    <t>vergütung</t>
  </si>
  <si>
    <t>haarbürste</t>
  </si>
  <si>
    <t>goldenem</t>
  </si>
  <si>
    <t>diensthabenden</t>
  </si>
  <si>
    <t>tötungen</t>
  </si>
  <si>
    <t>totti</t>
  </si>
  <si>
    <t>akustische</t>
  </si>
  <si>
    <t>hirnlose</t>
  </si>
  <si>
    <t>tars</t>
  </si>
  <si>
    <t>galra</t>
  </si>
  <si>
    <t>vermittle</t>
  </si>
  <si>
    <t>türrahmen</t>
  </si>
  <si>
    <t>planchet</t>
  </si>
  <si>
    <t>anketten</t>
  </si>
  <si>
    <t>humpty</t>
  </si>
  <si>
    <t>aufenthaltsgenehmigung</t>
  </si>
  <si>
    <t>medizinstudenten</t>
  </si>
  <si>
    <t>charon</t>
  </si>
  <si>
    <t>bezeichnest</t>
  </si>
  <si>
    <t>kraus</t>
  </si>
  <si>
    <t>wal-mart</t>
  </si>
  <si>
    <t>ausmerzen</t>
  </si>
  <si>
    <t>zugeknallt</t>
  </si>
  <si>
    <t>mutmaßungen</t>
  </si>
  <si>
    <t>ringfinger</t>
  </si>
  <si>
    <t>chameleon</t>
  </si>
  <si>
    <t>emblem</t>
  </si>
  <si>
    <t>streifenhörnchen</t>
  </si>
  <si>
    <t>rausspazieren</t>
  </si>
  <si>
    <t>ater</t>
  </si>
  <si>
    <t>rums</t>
  </si>
  <si>
    <t>barista</t>
  </si>
  <si>
    <t>geologen</t>
  </si>
  <si>
    <t>degra</t>
  </si>
  <si>
    <t>konsens</t>
  </si>
  <si>
    <t>höllenhunde</t>
  </si>
  <si>
    <t>genna</t>
  </si>
  <si>
    <t>souvenirladen</t>
  </si>
  <si>
    <t>plündert</t>
  </si>
  <si>
    <t>rileys</t>
  </si>
  <si>
    <t>o-saft</t>
  </si>
  <si>
    <t>presto</t>
  </si>
  <si>
    <t>einschaltet</t>
  </si>
  <si>
    <t>worthington</t>
  </si>
  <si>
    <t>beobachtungsposten</t>
  </si>
  <si>
    <t>pee-wee</t>
  </si>
  <si>
    <t>präsentierteller</t>
  </si>
  <si>
    <t>durchsprechen</t>
  </si>
  <si>
    <t>erzieherin</t>
  </si>
  <si>
    <t>entlohnen</t>
  </si>
  <si>
    <t>bogotá</t>
  </si>
  <si>
    <t>kürbiskuchen</t>
  </si>
  <si>
    <t>verantwortungsvoller</t>
  </si>
  <si>
    <t>verwechselte</t>
  </si>
  <si>
    <t>zischl</t>
  </si>
  <si>
    <t>sportlichen</t>
  </si>
  <si>
    <t>gründerin</t>
  </si>
  <si>
    <t>calle</t>
  </si>
  <si>
    <t>zogst</t>
  </si>
  <si>
    <t>normalisieren</t>
  </si>
  <si>
    <t>bestechungsgelder</t>
  </si>
  <si>
    <t>insektenspray</t>
  </si>
  <si>
    <t>mundtot</t>
  </si>
  <si>
    <t>geldscheine</t>
  </si>
  <si>
    <t>vesper</t>
  </si>
  <si>
    <t>constantin</t>
  </si>
  <si>
    <t>piccadilly</t>
  </si>
  <si>
    <t>überzeugter</t>
  </si>
  <si>
    <t>xanadu</t>
  </si>
  <si>
    <t>anzuregen</t>
  </si>
  <si>
    <t>vollzieht</t>
  </si>
  <si>
    <t>augustin</t>
  </si>
  <si>
    <t>übermaß</t>
  </si>
  <si>
    <t>gilliam</t>
  </si>
  <si>
    <t>verschwitzten</t>
  </si>
  <si>
    <t>osmanischen</t>
  </si>
  <si>
    <t>aufeinandertreffen</t>
  </si>
  <si>
    <t>naiven</t>
  </si>
  <si>
    <t>nüchternheit</t>
  </si>
  <si>
    <t>thibault</t>
  </si>
  <si>
    <t>abschlussprüfungen</t>
  </si>
  <si>
    <t>aufständische</t>
  </si>
  <si>
    <t>michal</t>
  </si>
  <si>
    <t>entgegenstellen</t>
  </si>
  <si>
    <t>anfängen</t>
  </si>
  <si>
    <t>taipeh</t>
  </si>
  <si>
    <t>fork</t>
  </si>
  <si>
    <t>amnesty</t>
  </si>
  <si>
    <t>bliebst</t>
  </si>
  <si>
    <t>joakim</t>
  </si>
  <si>
    <t>montrose</t>
  </si>
  <si>
    <t>derbe</t>
  </si>
  <si>
    <t>gesundheitliche</t>
  </si>
  <si>
    <t>search</t>
  </si>
  <si>
    <t>mignon</t>
  </si>
  <si>
    <t>raffi</t>
  </si>
  <si>
    <t>überwachst</t>
  </si>
  <si>
    <t>göttinnen</t>
  </si>
  <si>
    <t>mangelhaft</t>
  </si>
  <si>
    <t>lothringen</t>
  </si>
  <si>
    <t>befangenheit</t>
  </si>
  <si>
    <t>ventress</t>
  </si>
  <si>
    <t>huf</t>
  </si>
  <si>
    <t>riddler</t>
  </si>
  <si>
    <t>kreditwürdigkeit</t>
  </si>
  <si>
    <t>kolya</t>
  </si>
  <si>
    <t>streichermusik</t>
  </si>
  <si>
    <t>dna-spuren</t>
  </si>
  <si>
    <t>schönheitskönigin</t>
  </si>
  <si>
    <t>bezeichneten</t>
  </si>
  <si>
    <t>flugzeuges</t>
  </si>
  <si>
    <t>silverado</t>
  </si>
  <si>
    <t>mikkel</t>
  </si>
  <si>
    <t>zerzaust</t>
  </si>
  <si>
    <t>beiboot</t>
  </si>
  <si>
    <t>entourage</t>
  </si>
  <si>
    <t>unwiderstehliche</t>
  </si>
  <si>
    <t>chatswin</t>
  </si>
  <si>
    <t>schuldeingeständnis</t>
  </si>
  <si>
    <t>jette</t>
  </si>
  <si>
    <t>wendt</t>
  </si>
  <si>
    <t>trittbrettfahrer</t>
  </si>
  <si>
    <t>dreifaches</t>
  </si>
  <si>
    <t>payton</t>
  </si>
  <si>
    <t>körperfunktionen</t>
  </si>
  <si>
    <t>stadträte</t>
  </si>
  <si>
    <t>umkehr</t>
  </si>
  <si>
    <t>reederei</t>
  </si>
  <si>
    <t>kandidatinnen</t>
  </si>
  <si>
    <t>durchschlafen</t>
  </si>
  <si>
    <t>push</t>
  </si>
  <si>
    <t>geheimhalten</t>
  </si>
  <si>
    <t>liefer</t>
  </si>
  <si>
    <t>magi</t>
  </si>
  <si>
    <t>salisbury</t>
  </si>
  <si>
    <t>gepolter</t>
  </si>
  <si>
    <t>windrichtung</t>
  </si>
  <si>
    <t>klingende</t>
  </si>
  <si>
    <t>centurio</t>
  </si>
  <si>
    <t>laughlin</t>
  </si>
  <si>
    <t>desertieren</t>
  </si>
  <si>
    <t>trenchcoat</t>
  </si>
  <si>
    <t>finish</t>
  </si>
  <si>
    <t>beurlauben</t>
  </si>
  <si>
    <t>kojak</t>
  </si>
  <si>
    <t>annähern</t>
  </si>
  <si>
    <t>kleidchen</t>
  </si>
  <si>
    <t>cowan</t>
  </si>
  <si>
    <t>offensiv</t>
  </si>
  <si>
    <t>kuala</t>
  </si>
  <si>
    <t>schals</t>
  </si>
  <si>
    <t>abstrakte</t>
  </si>
  <si>
    <t>linguchon</t>
  </si>
  <si>
    <t>hofdamen</t>
  </si>
  <si>
    <t>missbilligen</t>
  </si>
  <si>
    <t>zurückziehe</t>
  </si>
  <si>
    <t>techno-musik</t>
  </si>
  <si>
    <t>verseuchung</t>
  </si>
  <si>
    <t>higher</t>
  </si>
  <si>
    <t>reichstag</t>
  </si>
  <si>
    <t>kribbelig</t>
  </si>
  <si>
    <t>schnappschuss</t>
  </si>
  <si>
    <t>maréchal</t>
  </si>
  <si>
    <t>stampft</t>
  </si>
  <si>
    <t>uuh</t>
  </si>
  <si>
    <t>firmament</t>
  </si>
  <si>
    <t>tanzstunde</t>
  </si>
  <si>
    <t>verwirrende</t>
  </si>
  <si>
    <t>hedgefonds</t>
  </si>
  <si>
    <t>ocho</t>
  </si>
  <si>
    <t>kartenhaus</t>
  </si>
  <si>
    <t>stillt</t>
  </si>
  <si>
    <t>pazifischen</t>
  </si>
  <si>
    <t>giftspritze</t>
  </si>
  <si>
    <t>riesenparty</t>
  </si>
  <si>
    <t>zudröhnen</t>
  </si>
  <si>
    <t>wiederbringen</t>
  </si>
  <si>
    <t>enthüllte</t>
  </si>
  <si>
    <t>rubens</t>
  </si>
  <si>
    <t>lemur</t>
  </si>
  <si>
    <t>halbmond</t>
  </si>
  <si>
    <t>verfälscht</t>
  </si>
  <si>
    <t>derzui</t>
  </si>
  <si>
    <t>zurückzukriegen</t>
  </si>
  <si>
    <t>shakaar</t>
  </si>
  <si>
    <t>anleitungen</t>
  </si>
  <si>
    <t>blakely</t>
  </si>
  <si>
    <t>hüpfburg</t>
  </si>
  <si>
    <t>besorgniserregend</t>
  </si>
  <si>
    <t>sicherheitspolizei</t>
  </si>
  <si>
    <t>scoob</t>
  </si>
  <si>
    <t>neutralität</t>
  </si>
  <si>
    <t>adelige</t>
  </si>
  <si>
    <t>floty</t>
  </si>
  <si>
    <t>übertönen</t>
  </si>
  <si>
    <t>klackern</t>
  </si>
  <si>
    <t>sweater</t>
  </si>
  <si>
    <t>seuchenschutzbehörde</t>
  </si>
  <si>
    <t>blanken</t>
  </si>
  <si>
    <t>leichteres</t>
  </si>
  <si>
    <t>sprichwörtlich</t>
  </si>
  <si>
    <t>irrtümer</t>
  </si>
  <si>
    <t>ritterlich</t>
  </si>
  <si>
    <t>kusch</t>
  </si>
  <si>
    <t>geheimcode</t>
  </si>
  <si>
    <t>typs</t>
  </si>
  <si>
    <t>zunähen</t>
  </si>
  <si>
    <t>abschleppdienst</t>
  </si>
  <si>
    <t>steigende</t>
  </si>
  <si>
    <t>colada</t>
  </si>
  <si>
    <t>stund</t>
  </si>
  <si>
    <t>matsuko</t>
  </si>
  <si>
    <t>ausflippst</t>
  </si>
  <si>
    <t>unterhaltszahlungen</t>
  </si>
  <si>
    <t>umkamen</t>
  </si>
  <si>
    <t>firmenpolitik</t>
  </si>
  <si>
    <t>hausherrin</t>
  </si>
  <si>
    <t>inschallah</t>
  </si>
  <si>
    <t>latham</t>
  </si>
  <si>
    <t>hoboken</t>
  </si>
  <si>
    <t>erprobt</t>
  </si>
  <si>
    <t>ersaufen</t>
  </si>
  <si>
    <t>kommilitonen</t>
  </si>
  <si>
    <t>spaßige</t>
  </si>
  <si>
    <t>mcclure</t>
  </si>
  <si>
    <t>emanzipation</t>
  </si>
  <si>
    <t>turning</t>
  </si>
  <si>
    <t>stallbursche</t>
  </si>
  <si>
    <t>männlein</t>
  </si>
  <si>
    <t>absieht</t>
  </si>
  <si>
    <t>fertigmacht</t>
  </si>
  <si>
    <t>mangelnder</t>
  </si>
  <si>
    <t>ankleiden</t>
  </si>
  <si>
    <t>geprellt</t>
  </si>
  <si>
    <t>tubus</t>
  </si>
  <si>
    <t>schürt</t>
  </si>
  <si>
    <t>stromkabel</t>
  </si>
  <si>
    <t>weggerissen</t>
  </si>
  <si>
    <t>versprüht</t>
  </si>
  <si>
    <t>kazumi</t>
  </si>
  <si>
    <t>fälschlich</t>
  </si>
  <si>
    <t>hingeworfen</t>
  </si>
  <si>
    <t>treville</t>
  </si>
  <si>
    <t>kyuzo</t>
  </si>
  <si>
    <t>bezüge</t>
  </si>
  <si>
    <t>gesell</t>
  </si>
  <si>
    <t>streitsüchtig</t>
  </si>
  <si>
    <t>züchte</t>
  </si>
  <si>
    <t>ungleich</t>
  </si>
  <si>
    <t>zauberers</t>
  </si>
  <si>
    <t>hypnotiseur</t>
  </si>
  <si>
    <t>dannen</t>
  </si>
  <si>
    <t>durchwahl</t>
  </si>
  <si>
    <t>vergnügens</t>
  </si>
  <si>
    <t>betrinke</t>
  </si>
  <si>
    <t>übermittlung</t>
  </si>
  <si>
    <t>ältestenrat</t>
  </si>
  <si>
    <t>nachgucken</t>
  </si>
  <si>
    <t>marriott</t>
  </si>
  <si>
    <t>vermasselte</t>
  </si>
  <si>
    <t>jonni</t>
  </si>
  <si>
    <t>schauspielunterricht</t>
  </si>
  <si>
    <t>gunmar</t>
  </si>
  <si>
    <t>plädiere</t>
  </si>
  <si>
    <t>ankurbeln</t>
  </si>
  <si>
    <t>verschleppen</t>
  </si>
  <si>
    <t>lockdown</t>
  </si>
  <si>
    <t>forsche</t>
  </si>
  <si>
    <t>diakon</t>
  </si>
  <si>
    <t>unverkennbar</t>
  </si>
  <si>
    <t>devils</t>
  </si>
  <si>
    <t>evangeline</t>
  </si>
  <si>
    <t>teebeutel</t>
  </si>
  <si>
    <t>vertretbar</t>
  </si>
  <si>
    <t>babysachen</t>
  </si>
  <si>
    <t>friedensstifter</t>
  </si>
  <si>
    <t>durchschnitten</t>
  </si>
  <si>
    <t>kir</t>
  </si>
  <si>
    <t>doller</t>
  </si>
  <si>
    <t>jenner</t>
  </si>
  <si>
    <t>kalibers</t>
  </si>
  <si>
    <t>achtmal</t>
  </si>
  <si>
    <t>engere</t>
  </si>
  <si>
    <t>kampagnen</t>
  </si>
  <si>
    <t>instabilen</t>
  </si>
  <si>
    <t>verlässlichen</t>
  </si>
  <si>
    <t>gap</t>
  </si>
  <si>
    <t>sabata</t>
  </si>
  <si>
    <t>boxe</t>
  </si>
  <si>
    <t>erdbeer</t>
  </si>
  <si>
    <t>eheleute</t>
  </si>
  <si>
    <t>spukhaus</t>
  </si>
  <si>
    <t>verhaftest</t>
  </si>
  <si>
    <t>nagut</t>
  </si>
  <si>
    <t>irakische</t>
  </si>
  <si>
    <t>rayborn</t>
  </si>
  <si>
    <t>gegebenheiten</t>
  </si>
  <si>
    <t>bedrohlicher</t>
  </si>
  <si>
    <t>mmmm</t>
  </si>
  <si>
    <t>schwindsucht</t>
  </si>
  <si>
    <t>fischmarkt</t>
  </si>
  <si>
    <t>kragenweite</t>
  </si>
  <si>
    <t>kala</t>
  </si>
  <si>
    <t>abrasieren</t>
  </si>
  <si>
    <t>yonkers</t>
  </si>
  <si>
    <t>kinderbetreuung</t>
  </si>
  <si>
    <t>peitscht</t>
  </si>
  <si>
    <t>hintreten</t>
  </si>
  <si>
    <t>festhältst</t>
  </si>
  <si>
    <t>angle</t>
  </si>
  <si>
    <t>kanonenboot</t>
  </si>
  <si>
    <t>rotzbakke</t>
  </si>
  <si>
    <t>aufzuschneiden</t>
  </si>
  <si>
    <t>traktoren</t>
  </si>
  <si>
    <t>psychospielchen</t>
  </si>
  <si>
    <t>tauchgang</t>
  </si>
  <si>
    <t>eingraben</t>
  </si>
  <si>
    <t>fettigen</t>
  </si>
  <si>
    <t>taubert</t>
  </si>
  <si>
    <t>salander</t>
  </si>
  <si>
    <t>übelnehmen</t>
  </si>
  <si>
    <t>gentry</t>
  </si>
  <si>
    <t>fertigwerden</t>
  </si>
  <si>
    <t>svartman</t>
  </si>
  <si>
    <t>kindererziehung</t>
  </si>
  <si>
    <t>rumspricht</t>
  </si>
  <si>
    <t>naqahdah</t>
  </si>
  <si>
    <t>efeu</t>
  </si>
  <si>
    <t>illia</t>
  </si>
  <si>
    <t>unterrock</t>
  </si>
  <si>
    <t>koitus</t>
  </si>
  <si>
    <t>lisi</t>
  </si>
  <si>
    <t>begründete</t>
  </si>
  <si>
    <t>ponce</t>
  </si>
  <si>
    <t>entgegenzutreten</t>
  </si>
  <si>
    <t>fütterung</t>
  </si>
  <si>
    <t>partikeln</t>
  </si>
  <si>
    <t>vorsätze</t>
  </si>
  <si>
    <t>schwächeanfall</t>
  </si>
  <si>
    <t>süßwarenladen</t>
  </si>
  <si>
    <t>keisha</t>
  </si>
  <si>
    <t>hüpfte</t>
  </si>
  <si>
    <t>überreaktion</t>
  </si>
  <si>
    <t>liegenbleiben</t>
  </si>
  <si>
    <t>umzuwandeln</t>
  </si>
  <si>
    <t>verhexen</t>
  </si>
  <si>
    <t>nathans</t>
  </si>
  <si>
    <t>argwohn</t>
  </si>
  <si>
    <t>attraktionen</t>
  </si>
  <si>
    <t>cowgirl</t>
  </si>
  <si>
    <t>höchstbietenden</t>
  </si>
  <si>
    <t>mcmahon</t>
  </si>
  <si>
    <t>plauderei</t>
  </si>
  <si>
    <t>recherchierte</t>
  </si>
  <si>
    <t>erschießung</t>
  </si>
  <si>
    <t>lächele</t>
  </si>
  <si>
    <t>blutsbrüder</t>
  </si>
  <si>
    <t>ausreißerin</t>
  </si>
  <si>
    <t>brautstrauß</t>
  </si>
  <si>
    <t>verwicklung</t>
  </si>
  <si>
    <t>abzuschrecken</t>
  </si>
  <si>
    <t>relikte</t>
  </si>
  <si>
    <t>ansprachen</t>
  </si>
  <si>
    <t>erwird</t>
  </si>
  <si>
    <t>perimeter</t>
  </si>
  <si>
    <t>bedauernswerten</t>
  </si>
  <si>
    <t>blossoms</t>
  </si>
  <si>
    <t>glitzernden</t>
  </si>
  <si>
    <t>monroes</t>
  </si>
  <si>
    <t>wasserbomben</t>
  </si>
  <si>
    <t>mosambik</t>
  </si>
  <si>
    <t>genovien</t>
  </si>
  <si>
    <t>miserablen</t>
  </si>
  <si>
    <t>lächerlichste</t>
  </si>
  <si>
    <t>cord</t>
  </si>
  <si>
    <t>herzblut</t>
  </si>
  <si>
    <t>sängerinnen</t>
  </si>
  <si>
    <t>verwettet</t>
  </si>
  <si>
    <t>bärbel</t>
  </si>
  <si>
    <t>verletzlichkeit</t>
  </si>
  <si>
    <t>besessenen</t>
  </si>
  <si>
    <t>kleist</t>
  </si>
  <si>
    <t>unterteilt</t>
  </si>
  <si>
    <t>ausschreibung</t>
  </si>
  <si>
    <t>preußischen</t>
  </si>
  <si>
    <t>enterben</t>
  </si>
  <si>
    <t>lebensabend</t>
  </si>
  <si>
    <t>runterkommst</t>
  </si>
  <si>
    <t>erschütterte</t>
  </si>
  <si>
    <t>ukrainer</t>
  </si>
  <si>
    <t>symphony</t>
  </si>
  <si>
    <t>elyse</t>
  </si>
  <si>
    <t>jugendgefängnis</t>
  </si>
  <si>
    <t>dagestanden</t>
  </si>
  <si>
    <t>sicherheitskontrolle</t>
  </si>
  <si>
    <t>belladonna</t>
  </si>
  <si>
    <t>wirkstoff</t>
  </si>
  <si>
    <t>stoßdämpfer</t>
  </si>
  <si>
    <t>vergewaltige</t>
  </si>
  <si>
    <t>vorbereiteten</t>
  </si>
  <si>
    <t>stockt</t>
  </si>
  <si>
    <t>boz</t>
  </si>
  <si>
    <t>daiquiri</t>
  </si>
  <si>
    <t>verrücktheiten</t>
  </si>
  <si>
    <t>ungeliebt</t>
  </si>
  <si>
    <t>moderieren</t>
  </si>
  <si>
    <t>huxley</t>
  </si>
  <si>
    <t>farn</t>
  </si>
  <si>
    <t>kühlung</t>
  </si>
  <si>
    <t>salazars</t>
  </si>
  <si>
    <t>brunt</t>
  </si>
  <si>
    <t>flunder</t>
  </si>
  <si>
    <t>marktes</t>
  </si>
  <si>
    <t>bälger</t>
  </si>
  <si>
    <t>baran</t>
  </si>
  <si>
    <t>herausragend</t>
  </si>
  <si>
    <t>herumzuschnüffeln</t>
  </si>
  <si>
    <t>nobby</t>
  </si>
  <si>
    <t>schlappe</t>
  </si>
  <si>
    <t>franchise</t>
  </si>
  <si>
    <t>bradbury</t>
  </si>
  <si>
    <t>richy</t>
  </si>
  <si>
    <t>unaufrichtig</t>
  </si>
  <si>
    <t>blutrünstigen</t>
  </si>
  <si>
    <t>biggie</t>
  </si>
  <si>
    <t>lallend</t>
  </si>
  <si>
    <t>beigeben</t>
  </si>
  <si>
    <t>einrahmen</t>
  </si>
  <si>
    <t>krister</t>
  </si>
  <si>
    <t>gelegentliche</t>
  </si>
  <si>
    <t>shamoto</t>
  </si>
  <si>
    <t>shizuku</t>
  </si>
  <si>
    <t>matterhorn</t>
  </si>
  <si>
    <t>abwirft</t>
  </si>
  <si>
    <t>shishio</t>
  </si>
  <si>
    <t>bedrohliches</t>
  </si>
  <si>
    <t>ewigem</t>
  </si>
  <si>
    <t>fever</t>
  </si>
  <si>
    <t>römisches</t>
  </si>
  <si>
    <t>zitierte</t>
  </si>
  <si>
    <t>teenagerin</t>
  </si>
  <si>
    <t>seemänner</t>
  </si>
  <si>
    <t>barometer</t>
  </si>
  <si>
    <t>entspringen</t>
  </si>
  <si>
    <t>modisch</t>
  </si>
  <si>
    <t>lille</t>
  </si>
  <si>
    <t>föderationsschiff</t>
  </si>
  <si>
    <t>vorbehalt</t>
  </si>
  <si>
    <t>globaler</t>
  </si>
  <si>
    <t>seany</t>
  </si>
  <si>
    <t>sprechgesang</t>
  </si>
  <si>
    <t>massagesalon</t>
  </si>
  <si>
    <t>anzeigetafel</t>
  </si>
  <si>
    <t>fatty</t>
  </si>
  <si>
    <t>steckdosen</t>
  </si>
  <si>
    <t>hock</t>
  </si>
  <si>
    <t>eingehüllt</t>
  </si>
  <si>
    <t>poldi</t>
  </si>
  <si>
    <t>gefrorenes</t>
  </si>
  <si>
    <t>abenteuerlich</t>
  </si>
  <si>
    <t>rumzuspielen</t>
  </si>
  <si>
    <t>reinkriegen</t>
  </si>
  <si>
    <t>angerempelt</t>
  </si>
  <si>
    <t>kalkuliert</t>
  </si>
  <si>
    <t>sahnehäubchen</t>
  </si>
  <si>
    <t>rer</t>
  </si>
  <si>
    <t>tutti</t>
  </si>
  <si>
    <t>schwertfisch</t>
  </si>
  <si>
    <t>konzentrierten</t>
  </si>
  <si>
    <t>tausendfach</t>
  </si>
  <si>
    <t>hufschmied</t>
  </si>
  <si>
    <t>anchovis</t>
  </si>
  <si>
    <t>schädeldecke</t>
  </si>
  <si>
    <t>cherbourg</t>
  </si>
  <si>
    <t>bonney</t>
  </si>
  <si>
    <t>schießübungen</t>
  </si>
  <si>
    <t>gaunerei</t>
  </si>
  <si>
    <t>freibier</t>
  </si>
  <si>
    <t>milner</t>
  </si>
  <si>
    <t>primitiver</t>
  </si>
  <si>
    <t>silberdollar</t>
  </si>
  <si>
    <t>verhandele</t>
  </si>
  <si>
    <t>gemäht</t>
  </si>
  <si>
    <t>fremdenführer</t>
  </si>
  <si>
    <t>mädchenschule</t>
  </si>
  <si>
    <t>reinfällt</t>
  </si>
  <si>
    <t>mireille</t>
  </si>
  <si>
    <t>kitzelig</t>
  </si>
  <si>
    <t>anlaufstelle</t>
  </si>
  <si>
    <t>abzusuchen</t>
  </si>
  <si>
    <t>kniest</t>
  </si>
  <si>
    <t>zivilbevölkerung</t>
  </si>
  <si>
    <t>battlestar</t>
  </si>
  <si>
    <t>spärlich</t>
  </si>
  <si>
    <t>teigtaschen</t>
  </si>
  <si>
    <t>manifestation</t>
  </si>
  <si>
    <t>elfte</t>
  </si>
  <si>
    <t>dünkirchen</t>
  </si>
  <si>
    <t>negern</t>
  </si>
  <si>
    <t>müllsäcke</t>
  </si>
  <si>
    <t>prallte</t>
  </si>
  <si>
    <t>herumgetrieben</t>
  </si>
  <si>
    <t>verschränken</t>
  </si>
  <si>
    <t>karine</t>
  </si>
  <si>
    <t>nautilus</t>
  </si>
  <si>
    <t>fortbestehen</t>
  </si>
  <si>
    <t>tessie</t>
  </si>
  <si>
    <t>musikgeschäft</t>
  </si>
  <si>
    <t>minerva</t>
  </si>
  <si>
    <t>analphabeten</t>
  </si>
  <si>
    <t>roar</t>
  </si>
  <si>
    <t>lebhaften</t>
  </si>
  <si>
    <t>weltberühmte</t>
  </si>
  <si>
    <t>stichhaltig</t>
  </si>
  <si>
    <t>blutdurst</t>
  </si>
  <si>
    <t>reingelaufen</t>
  </si>
  <si>
    <t>mahir</t>
  </si>
  <si>
    <t>zustehen</t>
  </si>
  <si>
    <t>tischtuch</t>
  </si>
  <si>
    <t>capito</t>
  </si>
  <si>
    <t>sexspielzeug</t>
  </si>
  <si>
    <t>ordnungshüter</t>
  </si>
  <si>
    <t>zurückrufst</t>
  </si>
  <si>
    <t>railroad</t>
  </si>
  <si>
    <t>jörgen</t>
  </si>
  <si>
    <t>babou</t>
  </si>
  <si>
    <t>sinkende</t>
  </si>
  <si>
    <t>alarme</t>
  </si>
  <si>
    <t>artefakten</t>
  </si>
  <si>
    <t>tschaikowski</t>
  </si>
  <si>
    <t>getürkt</t>
  </si>
  <si>
    <t>wolga</t>
  </si>
  <si>
    <t>hauptteil</t>
  </si>
  <si>
    <t>sozialistische</t>
  </si>
  <si>
    <t>kleinerer</t>
  </si>
  <si>
    <t>struensee</t>
  </si>
  <si>
    <t>legend</t>
  </si>
  <si>
    <t>dichterin</t>
  </si>
  <si>
    <t>schlappohr</t>
  </si>
  <si>
    <t>umkehrung</t>
  </si>
  <si>
    <t>alatriste</t>
  </si>
  <si>
    <t>jian</t>
  </si>
  <si>
    <t>tiefschlag</t>
  </si>
  <si>
    <t>bonanza</t>
  </si>
  <si>
    <t>flauschig</t>
  </si>
  <si>
    <t>fiddler</t>
  </si>
  <si>
    <t>villiers</t>
  </si>
  <si>
    <t>krimskrams</t>
  </si>
  <si>
    <t>veräppelt</t>
  </si>
  <si>
    <t>cindys</t>
  </si>
  <si>
    <t>angestrengte</t>
  </si>
  <si>
    <t>truhen</t>
  </si>
  <si>
    <t>gatorade</t>
  </si>
  <si>
    <t>tüchtigen</t>
  </si>
  <si>
    <t>geldübergabe</t>
  </si>
  <si>
    <t>fjord</t>
  </si>
  <si>
    <t>sia</t>
  </si>
  <si>
    <t>abgeklärt</t>
  </si>
  <si>
    <t>abregen</t>
  </si>
  <si>
    <t>benzintank</t>
  </si>
  <si>
    <t>rhythmisch</t>
  </si>
  <si>
    <t>nisse</t>
  </si>
  <si>
    <t>madgett</t>
  </si>
  <si>
    <t>deportation</t>
  </si>
  <si>
    <t>pupille</t>
  </si>
  <si>
    <t>lebkuchen</t>
  </si>
  <si>
    <t>raubst</t>
  </si>
  <si>
    <t>alchemie</t>
  </si>
  <si>
    <t>wüst</t>
  </si>
  <si>
    <t>shizuko</t>
  </si>
  <si>
    <t>angina</t>
  </si>
  <si>
    <t>zerquetsche</t>
  </si>
  <si>
    <t>unverschlossen</t>
  </si>
  <si>
    <t>selbstsüchtiger</t>
  </si>
  <si>
    <t>partyservice</t>
  </si>
  <si>
    <t>stöbern</t>
  </si>
  <si>
    <t>satanisten</t>
  </si>
  <si>
    <t>nylon</t>
  </si>
  <si>
    <t>biblische</t>
  </si>
  <si>
    <t>rikichi</t>
  </si>
  <si>
    <t>herztransplantation</t>
  </si>
  <si>
    <t>anzustoßen</t>
  </si>
  <si>
    <t>lemuren</t>
  </si>
  <si>
    <t>mickrige</t>
  </si>
  <si>
    <t>greenpeace</t>
  </si>
  <si>
    <t>zufriedenzustellen</t>
  </si>
  <si>
    <t>teenies</t>
  </si>
  <si>
    <t>tunichtgut</t>
  </si>
  <si>
    <t>vinyl</t>
  </si>
  <si>
    <t>caderousse</t>
  </si>
  <si>
    <t>pontifex</t>
  </si>
  <si>
    <t>aufwachraum</t>
  </si>
  <si>
    <t>seo</t>
  </si>
  <si>
    <t>tanne</t>
  </si>
  <si>
    <t>mendel</t>
  </si>
  <si>
    <t>verdun</t>
  </si>
  <si>
    <t>geschäftsidee</t>
  </si>
  <si>
    <t>tigern</t>
  </si>
  <si>
    <t>briarcliff</t>
  </si>
  <si>
    <t>darkness</t>
  </si>
  <si>
    <t>sexier</t>
  </si>
  <si>
    <t>slink</t>
  </si>
  <si>
    <t>selbstmordmission</t>
  </si>
  <si>
    <t>ertrinkst</t>
  </si>
  <si>
    <t>schnüffle</t>
  </si>
  <si>
    <t>gulag</t>
  </si>
  <si>
    <t>nettie</t>
  </si>
  <si>
    <t>wiederzugeben</t>
  </si>
  <si>
    <t>host</t>
  </si>
  <si>
    <t>kunsthochschule</t>
  </si>
  <si>
    <t>auslegung</t>
  </si>
  <si>
    <t>osmanen</t>
  </si>
  <si>
    <t>blackburn</t>
  </si>
  <si>
    <t>zurückdenken</t>
  </si>
  <si>
    <t>anjou</t>
  </si>
  <si>
    <t>hautkrebs</t>
  </si>
  <si>
    <t>renaldo</t>
  </si>
  <si>
    <t>leibarzt</t>
  </si>
  <si>
    <t>trostlosen</t>
  </si>
  <si>
    <t>flugbegleiterin</t>
  </si>
  <si>
    <t>hinterhältiges</t>
  </si>
  <si>
    <t>macchiato</t>
  </si>
  <si>
    <t>zerfrisst</t>
  </si>
  <si>
    <t>vorbeiging</t>
  </si>
  <si>
    <t>revenge</t>
  </si>
  <si>
    <t>feed</t>
  </si>
  <si>
    <t>störend</t>
  </si>
  <si>
    <t>ccpd</t>
  </si>
  <si>
    <t>hingearbeitet</t>
  </si>
  <si>
    <t>elterliche</t>
  </si>
  <si>
    <t>besucherin</t>
  </si>
  <si>
    <t>vorreiter</t>
  </si>
  <si>
    <t>persische</t>
  </si>
  <si>
    <t>menschenkind</t>
  </si>
  <si>
    <t>vulva</t>
  </si>
  <si>
    <t>weitsicht</t>
  </si>
  <si>
    <t>cherien</t>
  </si>
  <si>
    <t>spielkameraden</t>
  </si>
  <si>
    <t>lópez</t>
  </si>
  <si>
    <t>sassenach</t>
  </si>
  <si>
    <t>0rdnung</t>
  </si>
  <si>
    <t>loxley</t>
  </si>
  <si>
    <t>törichtes</t>
  </si>
  <si>
    <t>kaleb</t>
  </si>
  <si>
    <t>dna-analyse</t>
  </si>
  <si>
    <t>gefuttert</t>
  </si>
  <si>
    <t>schuyler</t>
  </si>
  <si>
    <t>vegan</t>
  </si>
  <si>
    <t>vertrauenslehrer</t>
  </si>
  <si>
    <t>drachenkrieger</t>
  </si>
  <si>
    <t>unsicherheiten</t>
  </si>
  <si>
    <t>pfifferling</t>
  </si>
  <si>
    <t>zeltplatz</t>
  </si>
  <si>
    <t>kajak</t>
  </si>
  <si>
    <t>dutt</t>
  </si>
  <si>
    <t>ansteckung</t>
  </si>
  <si>
    <t>kontraproduktiv</t>
  </si>
  <si>
    <t>schlagkraft</t>
  </si>
  <si>
    <t>behinderter</t>
  </si>
  <si>
    <t>hausordnung</t>
  </si>
  <si>
    <t>menschsein</t>
  </si>
  <si>
    <t>camerons</t>
  </si>
  <si>
    <t>wettkämpfen</t>
  </si>
  <si>
    <t>vorbereite</t>
  </si>
  <si>
    <t>gesöff</t>
  </si>
  <si>
    <t>vermindern</t>
  </si>
  <si>
    <t>morast</t>
  </si>
  <si>
    <t>kreditwürdig</t>
  </si>
  <si>
    <t>fensterputzer</t>
  </si>
  <si>
    <t>rumliegt</t>
  </si>
  <si>
    <t>vorstands</t>
  </si>
  <si>
    <t>liebhabern</t>
  </si>
  <si>
    <t>tümpel</t>
  </si>
  <si>
    <t>rosé</t>
  </si>
  <si>
    <t>eingeschenkt</t>
  </si>
  <si>
    <t>selmak</t>
  </si>
  <si>
    <t>monastario</t>
  </si>
  <si>
    <t>luftdicht</t>
  </si>
  <si>
    <t>schikanen</t>
  </si>
  <si>
    <t>aufzuschlitzen</t>
  </si>
  <si>
    <t>bedeckte</t>
  </si>
  <si>
    <t>vorgesprochen</t>
  </si>
  <si>
    <t>verblutete</t>
  </si>
  <si>
    <t>knutscht</t>
  </si>
  <si>
    <t>broke</t>
  </si>
  <si>
    <t>sharky1980</t>
  </si>
  <si>
    <t>blutenden</t>
  </si>
  <si>
    <t>authentische</t>
  </si>
  <si>
    <t>latour</t>
  </si>
  <si>
    <t>zentner</t>
  </si>
  <si>
    <t>geldeintreiber</t>
  </si>
  <si>
    <t>bombenangriff</t>
  </si>
  <si>
    <t>pins</t>
  </si>
  <si>
    <t>entlohnt</t>
  </si>
  <si>
    <t>musikalisches</t>
  </si>
  <si>
    <t>renly</t>
  </si>
  <si>
    <t>schönheitschirurg</t>
  </si>
  <si>
    <t>großspurig</t>
  </si>
  <si>
    <t>impossible</t>
  </si>
  <si>
    <t>blindenhund</t>
  </si>
  <si>
    <t>fungiert</t>
  </si>
  <si>
    <t>mitziehen</t>
  </si>
  <si>
    <t>marderhunde</t>
  </si>
  <si>
    <t>misstraue</t>
  </si>
  <si>
    <t>verkümmern</t>
  </si>
  <si>
    <t>jaffe</t>
  </si>
  <si>
    <t>hürmüz</t>
  </si>
  <si>
    <t>reinsetzen</t>
  </si>
  <si>
    <t>steiler</t>
  </si>
  <si>
    <t>verheerenden</t>
  </si>
  <si>
    <t>wohlan</t>
  </si>
  <si>
    <t>depesche</t>
  </si>
  <si>
    <t>aufgehalst</t>
  </si>
  <si>
    <t>wegschnappen</t>
  </si>
  <si>
    <t>vivienne</t>
  </si>
  <si>
    <t>radiowellen</t>
  </si>
  <si>
    <t>hirnstamm</t>
  </si>
  <si>
    <t>crying</t>
  </si>
  <si>
    <t>gisele</t>
  </si>
  <si>
    <t>implosion</t>
  </si>
  <si>
    <t>lasch</t>
  </si>
  <si>
    <t>gequirlte</t>
  </si>
  <si>
    <t>zärtlichen</t>
  </si>
  <si>
    <t>gerissenen</t>
  </si>
  <si>
    <t>mobiltelefone</t>
  </si>
  <si>
    <t>verkehrs</t>
  </si>
  <si>
    <t>reinschleichen</t>
  </si>
  <si>
    <t>täterin</t>
  </si>
  <si>
    <t>überwältigte</t>
  </si>
  <si>
    <t>indizienbeweise</t>
  </si>
  <si>
    <t>pinkelte</t>
  </si>
  <si>
    <t>craddock</t>
  </si>
  <si>
    <t>wichtigstes</t>
  </si>
  <si>
    <t>verlockendes</t>
  </si>
  <si>
    <t>waliser</t>
  </si>
  <si>
    <t>konfiguration</t>
  </si>
  <si>
    <t>begünstigte</t>
  </si>
  <si>
    <t>aufgezeigt</t>
  </si>
  <si>
    <t>schlummer</t>
  </si>
  <si>
    <t>kollegium</t>
  </si>
  <si>
    <t>bukowski</t>
  </si>
  <si>
    <t>frivol</t>
  </si>
  <si>
    <t>spielkarten</t>
  </si>
  <si>
    <t>öle</t>
  </si>
  <si>
    <t>ungar</t>
  </si>
  <si>
    <t>interstellaren</t>
  </si>
  <si>
    <t>strafvollzug</t>
  </si>
  <si>
    <t>potentiell</t>
  </si>
  <si>
    <t>spähtrupp</t>
  </si>
  <si>
    <t>natã</t>
  </si>
  <si>
    <t>schwämme</t>
  </si>
  <si>
    <t>teach</t>
  </si>
  <si>
    <t>lieblingsteil</t>
  </si>
  <si>
    <t>tragbar</t>
  </si>
  <si>
    <t>verpestet</t>
  </si>
  <si>
    <t>niederschlag</t>
  </si>
  <si>
    <t>aufdie</t>
  </si>
  <si>
    <t>göttlichkeit</t>
  </si>
  <si>
    <t>dereks</t>
  </si>
  <si>
    <t>baptist</t>
  </si>
  <si>
    <t>warpfeld</t>
  </si>
  <si>
    <t>protestantischen</t>
  </si>
  <si>
    <t>handfesten</t>
  </si>
  <si>
    <t>day-day</t>
  </si>
  <si>
    <t>vorbote</t>
  </si>
  <si>
    <t>dawkins</t>
  </si>
  <si>
    <t>jahrelangen</t>
  </si>
  <si>
    <t>anno</t>
  </si>
  <si>
    <t>schmierst</t>
  </si>
  <si>
    <t>raubten</t>
  </si>
  <si>
    <t>chubby</t>
  </si>
  <si>
    <t>heroisch</t>
  </si>
  <si>
    <t>zuschreiben</t>
  </si>
  <si>
    <t>streifenpolizist</t>
  </si>
  <si>
    <t>verbüßt</t>
  </si>
  <si>
    <t>johansen</t>
  </si>
  <si>
    <t>aufwirft</t>
  </si>
  <si>
    <t>strangulation</t>
  </si>
  <si>
    <t>hope1403</t>
  </si>
  <si>
    <t>spezialagent</t>
  </si>
  <si>
    <t>stockend</t>
  </si>
  <si>
    <t>bunkern</t>
  </si>
  <si>
    <t>steuerte</t>
  </si>
  <si>
    <t>puzzleteil</t>
  </si>
  <si>
    <t>lockenwickler</t>
  </si>
  <si>
    <t>zärtlicher</t>
  </si>
  <si>
    <t>konstanten</t>
  </si>
  <si>
    <t>schwankungen</t>
  </si>
  <si>
    <t>einmarsch</t>
  </si>
  <si>
    <t>höchstform</t>
  </si>
  <si>
    <t>unbefriedigend</t>
  </si>
  <si>
    <t>bläschen</t>
  </si>
  <si>
    <t>leids</t>
  </si>
  <si>
    <t>zyankali</t>
  </si>
  <si>
    <t>dunja</t>
  </si>
  <si>
    <t>spürhunde</t>
  </si>
  <si>
    <t>entflohener</t>
  </si>
  <si>
    <t>sosa</t>
  </si>
  <si>
    <t>obergruppenführer</t>
  </si>
  <si>
    <t>aufhängt</t>
  </si>
  <si>
    <t>mirandas</t>
  </si>
  <si>
    <t>karloff</t>
  </si>
  <si>
    <t>eingerissen</t>
  </si>
  <si>
    <t>abgearbeitet</t>
  </si>
  <si>
    <t>handelsminister</t>
  </si>
  <si>
    <t>12-jährige</t>
  </si>
  <si>
    <t>rotten</t>
  </si>
  <si>
    <t>nirrti</t>
  </si>
  <si>
    <t>lagerung</t>
  </si>
  <si>
    <t>5th</t>
  </si>
  <si>
    <t>duchemin</t>
  </si>
  <si>
    <t>verewigt</t>
  </si>
  <si>
    <t>cake</t>
  </si>
  <si>
    <t>gedämpfter</t>
  </si>
  <si>
    <t>weibe</t>
  </si>
  <si>
    <t>s02e03</t>
  </si>
  <si>
    <t>scheichs</t>
  </si>
  <si>
    <t>beckwith</t>
  </si>
  <si>
    <t>schlagabtausch</t>
  </si>
  <si>
    <t>vorbereitete</t>
  </si>
  <si>
    <t>sheng</t>
  </si>
  <si>
    <t>reaktionszeit</t>
  </si>
  <si>
    <t>gefilde</t>
  </si>
  <si>
    <t>statuten</t>
  </si>
  <si>
    <t>caesars</t>
  </si>
  <si>
    <t>langjähriger</t>
  </si>
  <si>
    <t>prolet</t>
  </si>
  <si>
    <t>erträge</t>
  </si>
  <si>
    <t>synapse</t>
  </si>
  <si>
    <t>überzeugendes</t>
  </si>
  <si>
    <t>playback</t>
  </si>
  <si>
    <t>fürsorgliche</t>
  </si>
  <si>
    <t>sas</t>
  </si>
  <si>
    <t>jeannot</t>
  </si>
  <si>
    <t>leckerli</t>
  </si>
  <si>
    <t>privatklinik</t>
  </si>
  <si>
    <t>weitblick</t>
  </si>
  <si>
    <t>salamanca</t>
  </si>
  <si>
    <t>schnelleren</t>
  </si>
  <si>
    <t>schulaufführung</t>
  </si>
  <si>
    <t>zurückerobert</t>
  </si>
  <si>
    <t>einkauft</t>
  </si>
  <si>
    <t>europäischer</t>
  </si>
  <si>
    <t>stef</t>
  </si>
  <si>
    <t>ausschaut</t>
  </si>
  <si>
    <t>verkorkste</t>
  </si>
  <si>
    <t>bohr</t>
  </si>
  <si>
    <t>zufälliger</t>
  </si>
  <si>
    <t>allerwichtigsten</t>
  </si>
  <si>
    <t>giscard</t>
  </si>
  <si>
    <t>angeborenen</t>
  </si>
  <si>
    <t>versiegelten</t>
  </si>
  <si>
    <t>systemherren</t>
  </si>
  <si>
    <t>erwecke</t>
  </si>
  <si>
    <t>geleuchtet</t>
  </si>
  <si>
    <t>hummeln</t>
  </si>
  <si>
    <t>pont</t>
  </si>
  <si>
    <t>petrie</t>
  </si>
  <si>
    <t>zusicherung</t>
  </si>
  <si>
    <t>aruba</t>
  </si>
  <si>
    <t>industrieller</t>
  </si>
  <si>
    <t>afghanischen</t>
  </si>
  <si>
    <t>flötenspiel</t>
  </si>
  <si>
    <t>schmeiss</t>
  </si>
  <si>
    <t>blutrot</t>
  </si>
  <si>
    <t>subway</t>
  </si>
  <si>
    <t>thurman</t>
  </si>
  <si>
    <t>jiminy</t>
  </si>
  <si>
    <t>wicker</t>
  </si>
  <si>
    <t>hühneraugen</t>
  </si>
  <si>
    <t>nazarener</t>
  </si>
  <si>
    <t>renten</t>
  </si>
  <si>
    <t>wahrscheinlichste</t>
  </si>
  <si>
    <t>drogensüchtigen</t>
  </si>
  <si>
    <t>ezequiel</t>
  </si>
  <si>
    <t>gebräuche</t>
  </si>
  <si>
    <t>scusi</t>
  </si>
  <si>
    <t>unterzutauchen</t>
  </si>
  <si>
    <t>goscinny</t>
  </si>
  <si>
    <t>computerprogramm</t>
  </si>
  <si>
    <t>ozonschicht</t>
  </si>
  <si>
    <t>bebbanburg</t>
  </si>
  <si>
    <t>lehrstuhl</t>
  </si>
  <si>
    <t>stillsitzen</t>
  </si>
  <si>
    <t>einäschern</t>
  </si>
  <si>
    <t>stützpunkte</t>
  </si>
  <si>
    <t>filmabend</t>
  </si>
  <si>
    <t>gesprächsfetzen</t>
  </si>
  <si>
    <t>tinas</t>
  </si>
  <si>
    <t>weihnachtsgeld</t>
  </si>
  <si>
    <t>verneigt</t>
  </si>
  <si>
    <t>cimbom1905</t>
  </si>
  <si>
    <t>seco</t>
  </si>
  <si>
    <t>schliess</t>
  </si>
  <si>
    <t>plackerei</t>
  </si>
  <si>
    <t>privatunterricht</t>
  </si>
  <si>
    <t>narcos</t>
  </si>
  <si>
    <t>guerilla</t>
  </si>
  <si>
    <t>jüngst</t>
  </si>
  <si>
    <t>dara</t>
  </si>
  <si>
    <t>eruption</t>
  </si>
  <si>
    <t>suchaktion</t>
  </si>
  <si>
    <t>literweise</t>
  </si>
  <si>
    <t>knipsen</t>
  </si>
  <si>
    <t>verärgere</t>
  </si>
  <si>
    <t>addiert</t>
  </si>
  <si>
    <t>supersoldaten</t>
  </si>
  <si>
    <t>autovermietung</t>
  </si>
  <si>
    <t>medellín</t>
  </si>
  <si>
    <t>standbild</t>
  </si>
  <si>
    <t>vermiest</t>
  </si>
  <si>
    <t>ausgeprägte</t>
  </si>
  <si>
    <t>wirtschaftsprüfer</t>
  </si>
  <si>
    <t>einlenken</t>
  </si>
  <si>
    <t>schwanensee</t>
  </si>
  <si>
    <t>hubschraubern</t>
  </si>
  <si>
    <t>duu</t>
  </si>
  <si>
    <t>umkrempeln</t>
  </si>
  <si>
    <t>ezri</t>
  </si>
  <si>
    <t>stehenlassen</t>
  </si>
  <si>
    <t>fleur</t>
  </si>
  <si>
    <t>merdle</t>
  </si>
  <si>
    <t>bullauge</t>
  </si>
  <si>
    <t>heimzukehren</t>
  </si>
  <si>
    <t>konstrukt</t>
  </si>
  <si>
    <t>karriereleiter</t>
  </si>
  <si>
    <t>quinjet</t>
  </si>
  <si>
    <t>hebammen</t>
  </si>
  <si>
    <t>herzinfarkte</t>
  </si>
  <si>
    <t>pferdemist</t>
  </si>
  <si>
    <t>absägen</t>
  </si>
  <si>
    <t>renjie</t>
  </si>
  <si>
    <t>stachen</t>
  </si>
  <si>
    <t>handyempfang</t>
  </si>
  <si>
    <t>tico</t>
  </si>
  <si>
    <t>verspätungen</t>
  </si>
  <si>
    <t>schulbildung</t>
  </si>
  <si>
    <t>proleten</t>
  </si>
  <si>
    <t>guadalupe</t>
  </si>
  <si>
    <t>kriegshelden</t>
  </si>
  <si>
    <t>folgern</t>
  </si>
  <si>
    <t>abhörgerät</t>
  </si>
  <si>
    <t>cyper</t>
  </si>
  <si>
    <t>tarrant</t>
  </si>
  <si>
    <t>radu</t>
  </si>
  <si>
    <t>turnschuh</t>
  </si>
  <si>
    <t>internetseite</t>
  </si>
  <si>
    <t>drinbleiben</t>
  </si>
  <si>
    <t>schröter</t>
  </si>
  <si>
    <t>hoo</t>
  </si>
  <si>
    <t>ashe</t>
  </si>
  <si>
    <t>sitzenbleiben</t>
  </si>
  <si>
    <t>abgase</t>
  </si>
  <si>
    <t>mittäterschaft</t>
  </si>
  <si>
    <t>eingeflößt</t>
  </si>
  <si>
    <t>angelausflug</t>
  </si>
  <si>
    <t>belohne</t>
  </si>
  <si>
    <t>pris</t>
  </si>
  <si>
    <t>kreuzfahrtschiff</t>
  </si>
  <si>
    <t>huan</t>
  </si>
  <si>
    <t>gute-nacht-kuss</t>
  </si>
  <si>
    <t>weiterbringen</t>
  </si>
  <si>
    <t>ausgeschüttet</t>
  </si>
  <si>
    <t>walmart</t>
  </si>
  <si>
    <t>unfassbare</t>
  </si>
  <si>
    <t>sorata</t>
  </si>
  <si>
    <t>kamerateam</t>
  </si>
  <si>
    <t>kurzfilm</t>
  </si>
  <si>
    <t>abkratzt</t>
  </si>
  <si>
    <t>deaktiviere</t>
  </si>
  <si>
    <t>durchdrang</t>
  </si>
  <si>
    <t>dahinterkommen</t>
  </si>
  <si>
    <t>reds</t>
  </si>
  <si>
    <t>zusammenzufügen</t>
  </si>
  <si>
    <t>vernichtest</t>
  </si>
  <si>
    <t>anzustrengen</t>
  </si>
  <si>
    <t>abzuwischen</t>
  </si>
  <si>
    <t>schmarrn</t>
  </si>
  <si>
    <t>reinbeißen</t>
  </si>
  <si>
    <t>erlebnissen</t>
  </si>
  <si>
    <t>zusammenzukommen</t>
  </si>
  <si>
    <t>südöstlich</t>
  </si>
  <si>
    <t>imperiale</t>
  </si>
  <si>
    <t>betriebe</t>
  </si>
  <si>
    <t>taut</t>
  </si>
  <si>
    <t>loras</t>
  </si>
  <si>
    <t>maritza</t>
  </si>
  <si>
    <t>pflichtbewusstsein</t>
  </si>
  <si>
    <t>skrupellosen</t>
  </si>
  <si>
    <t>filmrolle</t>
  </si>
  <si>
    <t>fait</t>
  </si>
  <si>
    <t>tinder</t>
  </si>
  <si>
    <t>kallen</t>
  </si>
  <si>
    <t>beweismitteln</t>
  </si>
  <si>
    <t>afghanen</t>
  </si>
  <si>
    <t>racquetball</t>
  </si>
  <si>
    <t>bequemeres</t>
  </si>
  <si>
    <t>liegenden</t>
  </si>
  <si>
    <t>spielplan</t>
  </si>
  <si>
    <t>anhaltendes</t>
  </si>
  <si>
    <t>milky</t>
  </si>
  <si>
    <t>abgefuckte</t>
  </si>
  <si>
    <t>hoheitsgebiet</t>
  </si>
  <si>
    <t>bischofs</t>
  </si>
  <si>
    <t>zuckerrohr</t>
  </si>
  <si>
    <t>limitierte</t>
  </si>
  <si>
    <t>raccoon</t>
  </si>
  <si>
    <t>zweifelhafte</t>
  </si>
  <si>
    <t>strupp</t>
  </si>
  <si>
    <t>patt</t>
  </si>
  <si>
    <t>paartherapie</t>
  </si>
  <si>
    <t>nintendo</t>
  </si>
  <si>
    <t>sonderling</t>
  </si>
  <si>
    <t>sokka</t>
  </si>
  <si>
    <t>zuführen</t>
  </si>
  <si>
    <t>neddy</t>
  </si>
  <si>
    <t>unbeweglich</t>
  </si>
  <si>
    <t>selbstdisziplin</t>
  </si>
  <si>
    <t>zheng</t>
  </si>
  <si>
    <t>leutnants</t>
  </si>
  <si>
    <t>kodiert</t>
  </si>
  <si>
    <t>taurus</t>
  </si>
  <si>
    <t>roque</t>
  </si>
  <si>
    <t>organischer</t>
  </si>
  <si>
    <t>exportieren</t>
  </si>
  <si>
    <t>wingman</t>
  </si>
  <si>
    <t>ora</t>
  </si>
  <si>
    <t>juju</t>
  </si>
  <si>
    <t>siralos</t>
  </si>
  <si>
    <t>thousand</t>
  </si>
  <si>
    <t>stoke</t>
  </si>
  <si>
    <t>schafskopf</t>
  </si>
  <si>
    <t>sehnerv</t>
  </si>
  <si>
    <t>unbesiegbare</t>
  </si>
  <si>
    <t>kopfhörern</t>
  </si>
  <si>
    <t>lunar</t>
  </si>
  <si>
    <t>jonathans</t>
  </si>
  <si>
    <t>zehrt</t>
  </si>
  <si>
    <t>tappt</t>
  </si>
  <si>
    <t>schulleitung</t>
  </si>
  <si>
    <t>bowden</t>
  </si>
  <si>
    <t>hinne</t>
  </si>
  <si>
    <t>gemusst</t>
  </si>
  <si>
    <t>kindskopf</t>
  </si>
  <si>
    <t>feuerstelle</t>
  </si>
  <si>
    <t>gekuschelt</t>
  </si>
  <si>
    <t>widersetzte</t>
  </si>
  <si>
    <t>teilzuhaben</t>
  </si>
  <si>
    <t>heime</t>
  </si>
  <si>
    <t>palo</t>
  </si>
  <si>
    <t>vehement</t>
  </si>
  <si>
    <t>trimester</t>
  </si>
  <si>
    <t>gepoppt</t>
  </si>
  <si>
    <t>dachdecker</t>
  </si>
  <si>
    <t>erdacht</t>
  </si>
  <si>
    <t>igen</t>
  </si>
  <si>
    <t>abgelegene</t>
  </si>
  <si>
    <t>tuvia</t>
  </si>
  <si>
    <t>elektromagnetischer</t>
  </si>
  <si>
    <t>geisterjäger</t>
  </si>
  <si>
    <t>loswird</t>
  </si>
  <si>
    <t>todsünden</t>
  </si>
  <si>
    <t>rosetti</t>
  </si>
  <si>
    <t>warrens</t>
  </si>
  <si>
    <t>fedex</t>
  </si>
  <si>
    <t>zweiundzwanzig</t>
  </si>
  <si>
    <t>kosh</t>
  </si>
  <si>
    <t>rauschgiftdezernat</t>
  </si>
  <si>
    <t>symbiose</t>
  </si>
  <si>
    <t>rumgesprochen</t>
  </si>
  <si>
    <t>traumhafte</t>
  </si>
  <si>
    <t>rumzustehen</t>
  </si>
  <si>
    <t>lauteten</t>
  </si>
  <si>
    <t>schuldlos</t>
  </si>
  <si>
    <t>leichenteile</t>
  </si>
  <si>
    <t>grundbesitzer</t>
  </si>
  <si>
    <t>natacha</t>
  </si>
  <si>
    <t>mirakuru</t>
  </si>
  <si>
    <t>tsa</t>
  </si>
  <si>
    <t>fortgeschrittener</t>
  </si>
  <si>
    <t>goldgräber</t>
  </si>
  <si>
    <t>barbarossa</t>
  </si>
  <si>
    <t>herausgezogen</t>
  </si>
  <si>
    <t>erjetzt</t>
  </si>
  <si>
    <t>stripes</t>
  </si>
  <si>
    <t>geächtet</t>
  </si>
  <si>
    <t>luftwaffenstützpunkt</t>
  </si>
  <si>
    <t>massengrab</t>
  </si>
  <si>
    <t>freifahrtschein</t>
  </si>
  <si>
    <t>einkaufsbummel</t>
  </si>
  <si>
    <t>predigte</t>
  </si>
  <si>
    <t>saudis</t>
  </si>
  <si>
    <t>marky</t>
  </si>
  <si>
    <t>wiederholungstäter</t>
  </si>
  <si>
    <t>aufpeppen</t>
  </si>
  <si>
    <t>untot</t>
  </si>
  <si>
    <t>verschrotten</t>
  </si>
  <si>
    <t>saboteure</t>
  </si>
  <si>
    <t>lundgren</t>
  </si>
  <si>
    <t>prahlte</t>
  </si>
  <si>
    <t>eineiige</t>
  </si>
  <si>
    <t>chemical</t>
  </si>
  <si>
    <t>proportionen</t>
  </si>
  <si>
    <t>unglücks</t>
  </si>
  <si>
    <t>marcels</t>
  </si>
  <si>
    <t>draufhauen</t>
  </si>
  <si>
    <t>deadlysins</t>
  </si>
  <si>
    <t>blickten</t>
  </si>
  <si>
    <t>androhung</t>
  </si>
  <si>
    <t>estrada</t>
  </si>
  <si>
    <t>neunmal</t>
  </si>
  <si>
    <t>shah</t>
  </si>
  <si>
    <t>elektroauto</t>
  </si>
  <si>
    <t>schnäpse</t>
  </si>
  <si>
    <t>vollzeitjob</t>
  </si>
  <si>
    <t>muharrem</t>
  </si>
  <si>
    <t>ernährer</t>
  </si>
  <si>
    <t>pummelig</t>
  </si>
  <si>
    <t>windstoß</t>
  </si>
  <si>
    <t>zurückbekommt</t>
  </si>
  <si>
    <t>unterton</t>
  </si>
  <si>
    <t>beschützten</t>
  </si>
  <si>
    <t>eisnation</t>
  </si>
  <si>
    <t>übriggeblieben</t>
  </si>
  <si>
    <t>abtransportiert</t>
  </si>
  <si>
    <t>midge</t>
  </si>
  <si>
    <t>höflichkeitsbesuch</t>
  </si>
  <si>
    <t>auswerfen</t>
  </si>
  <si>
    <t>errichtete</t>
  </si>
  <si>
    <t>montieren</t>
  </si>
  <si>
    <t>schweif</t>
  </si>
  <si>
    <t>eleonore</t>
  </si>
  <si>
    <t>weltanschauung</t>
  </si>
  <si>
    <t>gepfählt</t>
  </si>
  <si>
    <t>pepito</t>
  </si>
  <si>
    <t>s01e06</t>
  </si>
  <si>
    <t>accord</t>
  </si>
  <si>
    <t>sparkasse</t>
  </si>
  <si>
    <t>nummeriert</t>
  </si>
  <si>
    <t>jaspers</t>
  </si>
  <si>
    <t>espn</t>
  </si>
  <si>
    <t>blühenden</t>
  </si>
  <si>
    <t>fertigzustellen</t>
  </si>
  <si>
    <t>schuhgeschäft</t>
  </si>
  <si>
    <t>ausbrennen</t>
  </si>
  <si>
    <t>herumspielen</t>
  </si>
  <si>
    <t>fonda</t>
  </si>
  <si>
    <t>zouri</t>
  </si>
  <si>
    <t>comme</t>
  </si>
  <si>
    <t>gamble</t>
  </si>
  <si>
    <t>gebrechen</t>
  </si>
  <si>
    <t>neigte</t>
  </si>
  <si>
    <t>einkassiert</t>
  </si>
  <si>
    <t>versuchsobjekt</t>
  </si>
  <si>
    <t>antillen</t>
  </si>
  <si>
    <t>fawn</t>
  </si>
  <si>
    <t>überhäuft</t>
  </si>
  <si>
    <t>hado</t>
  </si>
  <si>
    <t>treadwell</t>
  </si>
  <si>
    <t>silberstücke</t>
  </si>
  <si>
    <t>seesack</t>
  </si>
  <si>
    <t>fußböden</t>
  </si>
  <si>
    <t>handgemenge</t>
  </si>
  <si>
    <t>happening</t>
  </si>
  <si>
    <t>goffredo</t>
  </si>
  <si>
    <t>klammere</t>
  </si>
  <si>
    <t>bidet</t>
  </si>
  <si>
    <t>ausgekugelt</t>
  </si>
  <si>
    <t>solid</t>
  </si>
  <si>
    <t>opfergaben</t>
  </si>
  <si>
    <t>olympic</t>
  </si>
  <si>
    <t>regional</t>
  </si>
  <si>
    <t>kelche</t>
  </si>
  <si>
    <t>aussteige</t>
  </si>
  <si>
    <t>abgewöhnt</t>
  </si>
  <si>
    <t>schnuckelig</t>
  </si>
  <si>
    <t>anzog</t>
  </si>
  <si>
    <t>doinel</t>
  </si>
  <si>
    <t>aufwiedersehen</t>
  </si>
  <si>
    <t>sturen</t>
  </si>
  <si>
    <t>mittelmäßigen</t>
  </si>
  <si>
    <t>hausgast</t>
  </si>
  <si>
    <t>äußerlichkeiten</t>
  </si>
  <si>
    <t>hedwig</t>
  </si>
  <si>
    <t>privatparty</t>
  </si>
  <si>
    <t>namenstag</t>
  </si>
  <si>
    <t>makellose</t>
  </si>
  <si>
    <t>boyz</t>
  </si>
  <si>
    <t>zeliha</t>
  </si>
  <si>
    <t>streibig</t>
  </si>
  <si>
    <t>lebowski</t>
  </si>
  <si>
    <t>rã</t>
  </si>
  <si>
    <t>lowenstein</t>
  </si>
  <si>
    <t>teresas</t>
  </si>
  <si>
    <t>hervorheben</t>
  </si>
  <si>
    <t>losschlagen</t>
  </si>
  <si>
    <t>gemischtwarenladen</t>
  </si>
  <si>
    <t>recken</t>
  </si>
  <si>
    <t>hl</t>
  </si>
  <si>
    <t>kleeblatt</t>
  </si>
  <si>
    <t>witzfiguren</t>
  </si>
  <si>
    <t>falschheit</t>
  </si>
  <si>
    <t>gull</t>
  </si>
  <si>
    <t>friedensverhandlungen</t>
  </si>
  <si>
    <t>cree</t>
  </si>
  <si>
    <t>nights</t>
  </si>
  <si>
    <t>christkind</t>
  </si>
  <si>
    <t>glasscheibe</t>
  </si>
  <si>
    <t>schweigegeld</t>
  </si>
  <si>
    <t>misa</t>
  </si>
  <si>
    <t>gurgelt</t>
  </si>
  <si>
    <t>muchacho</t>
  </si>
  <si>
    <t>todesfee</t>
  </si>
  <si>
    <t>lidocain</t>
  </si>
  <si>
    <t>kulturelles</t>
  </si>
  <si>
    <t>dringendsten</t>
  </si>
  <si>
    <t>durchdrehe</t>
  </si>
  <si>
    <t>ausgedehnt</t>
  </si>
  <si>
    <t>staatsdiener</t>
  </si>
  <si>
    <t>endo</t>
  </si>
  <si>
    <t>schlummern</t>
  </si>
  <si>
    <t>herbeizuführen</t>
  </si>
  <si>
    <t>konditor</t>
  </si>
  <si>
    <t>jugendliebe</t>
  </si>
  <si>
    <t>pilgerreise</t>
  </si>
  <si>
    <t>rauferei</t>
  </si>
  <si>
    <t>ferox</t>
  </si>
  <si>
    <t>rebellisch</t>
  </si>
  <si>
    <t>dagobert</t>
  </si>
  <si>
    <t>pappas</t>
  </si>
  <si>
    <t>tippst</t>
  </si>
  <si>
    <t>kängurus</t>
  </si>
  <si>
    <t>vollstreckung</t>
  </si>
  <si>
    <t>küchendienst</t>
  </si>
  <si>
    <t>platzanweiser</t>
  </si>
  <si>
    <t>jauchzt</t>
  </si>
  <si>
    <t>lines</t>
  </si>
  <si>
    <t>janina</t>
  </si>
  <si>
    <t>übergewichtig</t>
  </si>
  <si>
    <t>zuzüglich</t>
  </si>
  <si>
    <t>fehlerhaften</t>
  </si>
  <si>
    <t>lorca</t>
  </si>
  <si>
    <t>shaitana</t>
  </si>
  <si>
    <t>sonnenschirm</t>
  </si>
  <si>
    <t>ulysses</t>
  </si>
  <si>
    <t>uv-licht</t>
  </si>
  <si>
    <t>indes</t>
  </si>
  <si>
    <t>chisum</t>
  </si>
  <si>
    <t>geburtstagskarte</t>
  </si>
  <si>
    <t>fentanyl</t>
  </si>
  <si>
    <t>oates</t>
  </si>
  <si>
    <t>pappy</t>
  </si>
  <si>
    <t>destabilisieren</t>
  </si>
  <si>
    <t>selbstlosigkeit</t>
  </si>
  <si>
    <t>verruckt</t>
  </si>
  <si>
    <t>newly</t>
  </si>
  <si>
    <t>provozierst</t>
  </si>
  <si>
    <t>hanley</t>
  </si>
  <si>
    <t>äusserst</t>
  </si>
  <si>
    <t>knackis</t>
  </si>
  <si>
    <t>anzubauen</t>
  </si>
  <si>
    <t>kriegsherren</t>
  </si>
  <si>
    <t>gemenon</t>
  </si>
  <si>
    <t>parbat</t>
  </si>
  <si>
    <t>übervorsichtig</t>
  </si>
  <si>
    <t>architektin</t>
  </si>
  <si>
    <t>rausgehauen</t>
  </si>
  <si>
    <t>beschönigen</t>
  </si>
  <si>
    <t>aktienmarkt</t>
  </si>
  <si>
    <t>physisches</t>
  </si>
  <si>
    <t>allerschlimmste</t>
  </si>
  <si>
    <t>vorhattest</t>
  </si>
  <si>
    <t>pulsieren</t>
  </si>
  <si>
    <t>naturgesetze</t>
  </si>
  <si>
    <t>arrhythmie</t>
  </si>
  <si>
    <t>lohnliste</t>
  </si>
  <si>
    <t>mitsu</t>
  </si>
  <si>
    <t>frischluft</t>
  </si>
  <si>
    <t>su-jin</t>
  </si>
  <si>
    <t>bewogen</t>
  </si>
  <si>
    <t>leibhaftige</t>
  </si>
  <si>
    <t>illustrierte</t>
  </si>
  <si>
    <t>programmen</t>
  </si>
  <si>
    <t>flüssigem</t>
  </si>
  <si>
    <t>zusiehst</t>
  </si>
  <si>
    <t>auflockern</t>
  </si>
  <si>
    <t>petersons</t>
  </si>
  <si>
    <t>suvarov</t>
  </si>
  <si>
    <t>elektromagnetisches</t>
  </si>
  <si>
    <t>flossie</t>
  </si>
  <si>
    <t>hitzewallungen</t>
  </si>
  <si>
    <t>sonett</t>
  </si>
  <si>
    <t>reinhängen</t>
  </si>
  <si>
    <t>nanotechnologie</t>
  </si>
  <si>
    <t>herberts</t>
  </si>
  <si>
    <t>belohnungen</t>
  </si>
  <si>
    <t>split</t>
  </si>
  <si>
    <t>eugenie</t>
  </si>
  <si>
    <t>unbefleckten</t>
  </si>
  <si>
    <t>künftiger</t>
  </si>
  <si>
    <t>mordred</t>
  </si>
  <si>
    <t>joosep</t>
  </si>
  <si>
    <t>grashalm</t>
  </si>
  <si>
    <t>grobes</t>
  </si>
  <si>
    <t>bühnen</t>
  </si>
  <si>
    <t>anlaufen</t>
  </si>
  <si>
    <t>wasserstoffbombe</t>
  </si>
  <si>
    <t>anklageschrift</t>
  </si>
  <si>
    <t>assistentinnen</t>
  </si>
  <si>
    <t>piercing</t>
  </si>
  <si>
    <t>vollnarkose</t>
  </si>
  <si>
    <t>elektronischer</t>
  </si>
  <si>
    <t>würge</t>
  </si>
  <si>
    <t>satellite</t>
  </si>
  <si>
    <t>boomt</t>
  </si>
  <si>
    <t>tragischerweise</t>
  </si>
  <si>
    <t>angeblicher</t>
  </si>
  <si>
    <t>cleaner</t>
  </si>
  <si>
    <t>geldsack</t>
  </si>
  <si>
    <t>harmonika</t>
  </si>
  <si>
    <t>voreingenommenheit</t>
  </si>
  <si>
    <t>scheinwerfern</t>
  </si>
  <si>
    <t>eun-young</t>
  </si>
  <si>
    <t>angekreuzt</t>
  </si>
  <si>
    <t>aussähe</t>
  </si>
  <si>
    <t>bodenlose</t>
  </si>
  <si>
    <t>schnappschüsse</t>
  </si>
  <si>
    <t>tyrannisiert</t>
  </si>
  <si>
    <t>kidd</t>
  </si>
  <si>
    <t>fundamentale</t>
  </si>
  <si>
    <t>rao</t>
  </si>
  <si>
    <t>davonfliegen</t>
  </si>
  <si>
    <t>verteidigungssystem</t>
  </si>
  <si>
    <t>hinauswillst</t>
  </si>
  <si>
    <t>heckenschütze</t>
  </si>
  <si>
    <t>verschmutzen</t>
  </si>
  <si>
    <t>animiert</t>
  </si>
  <si>
    <t>krankgemeldet</t>
  </si>
  <si>
    <t>embolie</t>
  </si>
  <si>
    <t>einmische</t>
  </si>
  <si>
    <t>planken</t>
  </si>
  <si>
    <t>jodeln</t>
  </si>
  <si>
    <t>schädigung</t>
  </si>
  <si>
    <t>verzerrungen</t>
  </si>
  <si>
    <t>gewachst</t>
  </si>
  <si>
    <t>phipps</t>
  </si>
  <si>
    <t>kochendes</t>
  </si>
  <si>
    <t>bö</t>
  </si>
  <si>
    <t>seniorenheim</t>
  </si>
  <si>
    <t>gunnery</t>
  </si>
  <si>
    <t>fahrlehrer</t>
  </si>
  <si>
    <t>bürgerkriegs</t>
  </si>
  <si>
    <t>pferdescheiße</t>
  </si>
  <si>
    <t>verprassen</t>
  </si>
  <si>
    <t>bolognese</t>
  </si>
  <si>
    <t>jahrgangs</t>
  </si>
  <si>
    <t>scheißtür</t>
  </si>
  <si>
    <t>grandpas</t>
  </si>
  <si>
    <t>anmaßung</t>
  </si>
  <si>
    <t>lash</t>
  </si>
  <si>
    <t>verschnaufpause</t>
  </si>
  <si>
    <t>seifenblase</t>
  </si>
  <si>
    <t>aufgeregter</t>
  </si>
  <si>
    <t>cohens</t>
  </si>
  <si>
    <t>echos</t>
  </si>
  <si>
    <t>trauerrede</t>
  </si>
  <si>
    <t>venture</t>
  </si>
  <si>
    <t>swallow</t>
  </si>
  <si>
    <t>holländisch</t>
  </si>
  <si>
    <t>liebschaft</t>
  </si>
  <si>
    <t>netzen</t>
  </si>
  <si>
    <t>tunfisch</t>
  </si>
  <si>
    <t>zuckte</t>
  </si>
  <si>
    <t>raustreten</t>
  </si>
  <si>
    <t>samenspender</t>
  </si>
  <si>
    <t>hogg</t>
  </si>
  <si>
    <t>verbrechers</t>
  </si>
  <si>
    <t>beschlagnahmten</t>
  </si>
  <si>
    <t>revers</t>
  </si>
  <si>
    <t>hadschi</t>
  </si>
  <si>
    <t>ersatzbank</t>
  </si>
  <si>
    <t>mishima</t>
  </si>
  <si>
    <t>bagatelle</t>
  </si>
  <si>
    <t>herzkrank</t>
  </si>
  <si>
    <t>setauket</t>
  </si>
  <si>
    <t>chou-heung</t>
  </si>
  <si>
    <t>erkennbaren</t>
  </si>
  <si>
    <t>aalglatt</t>
  </si>
  <si>
    <t>modesto</t>
  </si>
  <si>
    <t>hiya</t>
  </si>
  <si>
    <t>gesundheitlichen</t>
  </si>
  <si>
    <t>ronnies</t>
  </si>
  <si>
    <t>heizer</t>
  </si>
  <si>
    <t>mcclaren</t>
  </si>
  <si>
    <t>provo</t>
  </si>
  <si>
    <t>ungezogene</t>
  </si>
  <si>
    <t>lombardi</t>
  </si>
  <si>
    <t>vierfache</t>
  </si>
  <si>
    <t>kanaan</t>
  </si>
  <si>
    <t>carney</t>
  </si>
  <si>
    <t>auskenne</t>
  </si>
  <si>
    <t>meridian</t>
  </si>
  <si>
    <t>chao-li</t>
  </si>
  <si>
    <t>herzloser</t>
  </si>
  <si>
    <t>geringes</t>
  </si>
  <si>
    <t>wesir</t>
  </si>
  <si>
    <t>vorauszusehen</t>
  </si>
  <si>
    <t>lebensmittelgeschäft</t>
  </si>
  <si>
    <t>plunkett</t>
  </si>
  <si>
    <t>umkommt</t>
  </si>
  <si>
    <t>verklickern</t>
  </si>
  <si>
    <t>verglüht</t>
  </si>
  <si>
    <t>gehorchte</t>
  </si>
  <si>
    <t>ranjit</t>
  </si>
  <si>
    <t>mclean</t>
  </si>
  <si>
    <t>research</t>
  </si>
  <si>
    <t>notier</t>
  </si>
  <si>
    <t>backgammon</t>
  </si>
  <si>
    <t>glashaus</t>
  </si>
  <si>
    <t>hochlegen</t>
  </si>
  <si>
    <t>wortlos</t>
  </si>
  <si>
    <t>usc</t>
  </si>
  <si>
    <t>verzogene</t>
  </si>
  <si>
    <t>linebacker</t>
  </si>
  <si>
    <t>filmstudio</t>
  </si>
  <si>
    <t>lungenflügel</t>
  </si>
  <si>
    <t>aufmacher</t>
  </si>
  <si>
    <t>zentrales</t>
  </si>
  <si>
    <t>plünderten</t>
  </si>
  <si>
    <t>nose</t>
  </si>
  <si>
    <t>styropor</t>
  </si>
  <si>
    <t>autumn</t>
  </si>
  <si>
    <t>überschüssige</t>
  </si>
  <si>
    <t>abgeknöpft</t>
  </si>
  <si>
    <t>fettige</t>
  </si>
  <si>
    <t>höret</t>
  </si>
  <si>
    <t>zeugung</t>
  </si>
  <si>
    <t>siegreichen</t>
  </si>
  <si>
    <t>wehwehchen</t>
  </si>
  <si>
    <t>banale</t>
  </si>
  <si>
    <t>windows</t>
  </si>
  <si>
    <t>crump</t>
  </si>
  <si>
    <t>shara</t>
  </si>
  <si>
    <t>steckengeblieben</t>
  </si>
  <si>
    <t>inhaliert</t>
  </si>
  <si>
    <t>schauspielschule</t>
  </si>
  <si>
    <t>undurchdringlich</t>
  </si>
  <si>
    <t>raheem</t>
  </si>
  <si>
    <t>kiyomaru</t>
  </si>
  <si>
    <t>bewährungshelferin</t>
  </si>
  <si>
    <t>ausgewachsenen</t>
  </si>
  <si>
    <t>strip-club</t>
  </si>
  <si>
    <t>geschwindelt</t>
  </si>
  <si>
    <t>mofa</t>
  </si>
  <si>
    <t>beschimpfte</t>
  </si>
  <si>
    <t>stallone</t>
  </si>
  <si>
    <t>verschreibt</t>
  </si>
  <si>
    <t>reservisten</t>
  </si>
  <si>
    <t>tob</t>
  </si>
  <si>
    <t>bedauerliche</t>
  </si>
  <si>
    <t>vergewaltigten</t>
  </si>
  <si>
    <t>bower</t>
  </si>
  <si>
    <t>tug</t>
  </si>
  <si>
    <t>rustikal</t>
  </si>
  <si>
    <t>s02e02</t>
  </si>
  <si>
    <t>ferrante</t>
  </si>
  <si>
    <t>klerus</t>
  </si>
  <si>
    <t>alleingelassen</t>
  </si>
  <si>
    <t>pero</t>
  </si>
  <si>
    <t>cronus</t>
  </si>
  <si>
    <t>elfie</t>
  </si>
  <si>
    <t>verbesserten</t>
  </si>
  <si>
    <t>geschlossenes</t>
  </si>
  <si>
    <t>abenteuerlustig</t>
  </si>
  <si>
    <t>buckaroo</t>
  </si>
  <si>
    <t>kuroda</t>
  </si>
  <si>
    <t>handfeuerwaffen</t>
  </si>
  <si>
    <t>fahrstunde</t>
  </si>
  <si>
    <t>hongsawadi</t>
  </si>
  <si>
    <t>onkologen</t>
  </si>
  <si>
    <t>naresuan</t>
  </si>
  <si>
    <t>geschärft</t>
  </si>
  <si>
    <t>geheizt</t>
  </si>
  <si>
    <t>mizushima</t>
  </si>
  <si>
    <t>überlagert</t>
  </si>
  <si>
    <t>rhinozeros</t>
  </si>
  <si>
    <t>kernkraftwerk</t>
  </si>
  <si>
    <t>weiterreichen</t>
  </si>
  <si>
    <t>ausraubt</t>
  </si>
  <si>
    <t>geschont</t>
  </si>
  <si>
    <t>fischsuppe</t>
  </si>
  <si>
    <t>prepaid-handy</t>
  </si>
  <si>
    <t>huntzberger</t>
  </si>
  <si>
    <t>aufgreifen</t>
  </si>
  <si>
    <t>wochenschau</t>
  </si>
  <si>
    <t>bedurfte</t>
  </si>
  <si>
    <t>erweckung</t>
  </si>
  <si>
    <t>tarantel</t>
  </si>
  <si>
    <t>charismatisch</t>
  </si>
  <si>
    <t>rauchzeichen</t>
  </si>
  <si>
    <t>skyline</t>
  </si>
  <si>
    <t>sandi</t>
  </si>
  <si>
    <t>koennte</t>
  </si>
  <si>
    <t>beocca</t>
  </si>
  <si>
    <t>clamp</t>
  </si>
  <si>
    <t>pfaden</t>
  </si>
  <si>
    <t>forschern</t>
  </si>
  <si>
    <t>soir</t>
  </si>
  <si>
    <t>hoer</t>
  </si>
  <si>
    <t>alljährlichen</t>
  </si>
  <si>
    <t>analphabet</t>
  </si>
  <si>
    <t>derb</t>
  </si>
  <si>
    <t>tageszeitung</t>
  </si>
  <si>
    <t>lehman</t>
  </si>
  <si>
    <t>geiz</t>
  </si>
  <si>
    <t>pignon</t>
  </si>
  <si>
    <t>käfern</t>
  </si>
  <si>
    <t>hemlock</t>
  </si>
  <si>
    <t>rud</t>
  </si>
  <si>
    <t>niederlanden</t>
  </si>
  <si>
    <t>ideales</t>
  </si>
  <si>
    <t>rebhuhn</t>
  </si>
  <si>
    <t>dankend</t>
  </si>
  <si>
    <t>bedauerlicher</t>
  </si>
  <si>
    <t>trends</t>
  </si>
  <si>
    <t>vorbeilaufen</t>
  </si>
  <si>
    <t>rückständig</t>
  </si>
  <si>
    <t>easton</t>
  </si>
  <si>
    <t>napf</t>
  </si>
  <si>
    <t>nerviger</t>
  </si>
  <si>
    <t>staus</t>
  </si>
  <si>
    <t>drift</t>
  </si>
  <si>
    <t>abgrunds</t>
  </si>
  <si>
    <t>kevlar</t>
  </si>
  <si>
    <t>gehütet</t>
  </si>
  <si>
    <t>zugestanden</t>
  </si>
  <si>
    <t>zugehörigkeit</t>
  </si>
  <si>
    <t>coffin</t>
  </si>
  <si>
    <t>vorübergehender</t>
  </si>
  <si>
    <t>déjà</t>
  </si>
  <si>
    <t>schulbücher</t>
  </si>
  <si>
    <t>winkle</t>
  </si>
  <si>
    <t>slaughter</t>
  </si>
  <si>
    <t>jett</t>
  </si>
  <si>
    <t>urlaubs</t>
  </si>
  <si>
    <t>mcallister</t>
  </si>
  <si>
    <t>portraits</t>
  </si>
  <si>
    <t>harolds</t>
  </si>
  <si>
    <t>michse</t>
  </si>
  <si>
    <t>santi</t>
  </si>
  <si>
    <t>mojitos</t>
  </si>
  <si>
    <t>av</t>
  </si>
  <si>
    <t>duh</t>
  </si>
  <si>
    <t>ece</t>
  </si>
  <si>
    <t>iger</t>
  </si>
  <si>
    <t>lübeck</t>
  </si>
  <si>
    <t>kôichi</t>
  </si>
  <si>
    <t>triumphe</t>
  </si>
  <si>
    <t>grabkammer</t>
  </si>
  <si>
    <t>xian</t>
  </si>
  <si>
    <t>alvo</t>
  </si>
  <si>
    <t>heldenhafter</t>
  </si>
  <si>
    <t>attraktivste</t>
  </si>
  <si>
    <t>abzocke</t>
  </si>
  <si>
    <t>verfeindet</t>
  </si>
  <si>
    <t>weißglut</t>
  </si>
  <si>
    <t>endergebnis</t>
  </si>
  <si>
    <t>westham</t>
  </si>
  <si>
    <t>rottenmeier</t>
  </si>
  <si>
    <t>duroc</t>
  </si>
  <si>
    <t>piggott</t>
  </si>
  <si>
    <t>kommerziell</t>
  </si>
  <si>
    <t>nobles</t>
  </si>
  <si>
    <t>engeren</t>
  </si>
  <si>
    <t>westwood</t>
  </si>
  <si>
    <t>geschützte</t>
  </si>
  <si>
    <t>gerrard</t>
  </si>
  <si>
    <t>militärgefängnis</t>
  </si>
  <si>
    <t>fabienne</t>
  </si>
  <si>
    <t>kampfgeschrei</t>
  </si>
  <si>
    <t>zitterten</t>
  </si>
  <si>
    <t>arbeitserlaubnis</t>
  </si>
  <si>
    <t>mondoberfläche</t>
  </si>
  <si>
    <t>täusch</t>
  </si>
  <si>
    <t>gewichen</t>
  </si>
  <si>
    <t>mixe</t>
  </si>
  <si>
    <t>sogge377</t>
  </si>
  <si>
    <t>babel</t>
  </si>
  <si>
    <t>händel</t>
  </si>
  <si>
    <t>schärft</t>
  </si>
  <si>
    <t>toy</t>
  </si>
  <si>
    <t>rottmann</t>
  </si>
  <si>
    <t>tekin</t>
  </si>
  <si>
    <t>anwaltschaft</t>
  </si>
  <si>
    <t>rezitieren</t>
  </si>
  <si>
    <t>hilfloses</t>
  </si>
  <si>
    <t>entwürdigend</t>
  </si>
  <si>
    <t>discomusik</t>
  </si>
  <si>
    <t>iwf</t>
  </si>
  <si>
    <t>bewußtsein</t>
  </si>
  <si>
    <t>kerrigan</t>
  </si>
  <si>
    <t>befehlshabender</t>
  </si>
  <si>
    <t>gebärdensprache</t>
  </si>
  <si>
    <t>angelst</t>
  </si>
  <si>
    <t>fruchtsaft</t>
  </si>
  <si>
    <t>stotternd</t>
  </si>
  <si>
    <t>traubensaft</t>
  </si>
  <si>
    <t>zersetzen</t>
  </si>
  <si>
    <t>kraulen</t>
  </si>
  <si>
    <t>auszubreiten</t>
  </si>
  <si>
    <t>toots</t>
  </si>
  <si>
    <t>delancey</t>
  </si>
  <si>
    <t>unsichtbarkeit</t>
  </si>
  <si>
    <t>gilson</t>
  </si>
  <si>
    <t>looping</t>
  </si>
  <si>
    <t>kommentaren</t>
  </si>
  <si>
    <t>optischen</t>
  </si>
  <si>
    <t>wiederkriegen</t>
  </si>
  <si>
    <t>kochend</t>
  </si>
  <si>
    <t>zugekommen</t>
  </si>
  <si>
    <t>forscherin</t>
  </si>
  <si>
    <t>eierpunsch</t>
  </si>
  <si>
    <t>unvorhergesehene</t>
  </si>
  <si>
    <t>serienmörders</t>
  </si>
  <si>
    <t>hirne</t>
  </si>
  <si>
    <t>schockwelle</t>
  </si>
  <si>
    <t>rumknutschen</t>
  </si>
  <si>
    <t>nutzer</t>
  </si>
  <si>
    <t>schimpfte</t>
  </si>
  <si>
    <t>haustieren</t>
  </si>
  <si>
    <t>platzierten</t>
  </si>
  <si>
    <t>og</t>
  </si>
  <si>
    <t>zerkratzen</t>
  </si>
  <si>
    <t>notlüge</t>
  </si>
  <si>
    <t>tätlicher</t>
  </si>
  <si>
    <t>schmolz</t>
  </si>
  <si>
    <t>firewalls</t>
  </si>
  <si>
    <t>wax</t>
  </si>
  <si>
    <t>schoker</t>
  </si>
  <si>
    <t>heilmann</t>
  </si>
  <si>
    <t>aldridge</t>
  </si>
  <si>
    <t>nebensache</t>
  </si>
  <si>
    <t>schulsystem</t>
  </si>
  <si>
    <t>chaotische</t>
  </si>
  <si>
    <t>erkundigte</t>
  </si>
  <si>
    <t>okja</t>
  </si>
  <si>
    <t>kurbeln</t>
  </si>
  <si>
    <t>lani</t>
  </si>
  <si>
    <t>frampton</t>
  </si>
  <si>
    <t>nordirland</t>
  </si>
  <si>
    <t>wolfsrudel</t>
  </si>
  <si>
    <t>nui</t>
  </si>
  <si>
    <t>ghosts</t>
  </si>
  <si>
    <t>beteuert</t>
  </si>
  <si>
    <t>zurückschrecken</t>
  </si>
  <si>
    <t>flanell</t>
  </si>
  <si>
    <t>würdelos</t>
  </si>
  <si>
    <t>mitverschwörer</t>
  </si>
  <si>
    <t>schächte</t>
  </si>
  <si>
    <t>vibe</t>
  </si>
  <si>
    <t>maike</t>
  </si>
  <si>
    <t>aufgedunsen</t>
  </si>
  <si>
    <t>rike</t>
  </si>
  <si>
    <t>schuljahres</t>
  </si>
  <si>
    <t>sota</t>
  </si>
  <si>
    <t>gefechte</t>
  </si>
  <si>
    <t>sturzbesoffen</t>
  </si>
  <si>
    <t>fluren</t>
  </si>
  <si>
    <t>äxte</t>
  </si>
  <si>
    <t>bescherte</t>
  </si>
  <si>
    <t>bühnenbild</t>
  </si>
  <si>
    <t>mietshaus</t>
  </si>
  <si>
    <t>entgleisen</t>
  </si>
  <si>
    <t>neutron</t>
  </si>
  <si>
    <t>deane</t>
  </si>
  <si>
    <t>raffst</t>
  </si>
  <si>
    <t>anführungszeichen</t>
  </si>
  <si>
    <t>dwyer</t>
  </si>
  <si>
    <t>leicester</t>
  </si>
  <si>
    <t>heimischen</t>
  </si>
  <si>
    <t>verwanzen</t>
  </si>
  <si>
    <t>uneingeschränkt</t>
  </si>
  <si>
    <t>cave</t>
  </si>
  <si>
    <t>einsiehst</t>
  </si>
  <si>
    <t>hauptenergie</t>
  </si>
  <si>
    <t>chalet</t>
  </si>
  <si>
    <t>ausbau</t>
  </si>
  <si>
    <t>unerwünschten</t>
  </si>
  <si>
    <t>abkriegt</t>
  </si>
  <si>
    <t>einschnitte</t>
  </si>
  <si>
    <t>einarmigen</t>
  </si>
  <si>
    <t>silla</t>
  </si>
  <si>
    <t>t.s.</t>
  </si>
  <si>
    <t>fehlgeburten</t>
  </si>
  <si>
    <t>widow</t>
  </si>
  <si>
    <t>jota</t>
  </si>
  <si>
    <t>lausebengel</t>
  </si>
  <si>
    <t>benzinkanister</t>
  </si>
  <si>
    <t>unwissenden</t>
  </si>
  <si>
    <t>unreinen</t>
  </si>
  <si>
    <t>gerippe</t>
  </si>
  <si>
    <t>mütterlichen</t>
  </si>
  <si>
    <t>nutzbar</t>
  </si>
  <si>
    <t>solarium</t>
  </si>
  <si>
    <t>scholl</t>
  </si>
  <si>
    <t>anschaute</t>
  </si>
  <si>
    <t>aymes</t>
  </si>
  <si>
    <t>led</t>
  </si>
  <si>
    <t>aufzuschlagen</t>
  </si>
  <si>
    <t>betrachter</t>
  </si>
  <si>
    <t>tyrannisieren</t>
  </si>
  <si>
    <t>vesuv</t>
  </si>
  <si>
    <t>mayumi</t>
  </si>
  <si>
    <t>aufzulegen</t>
  </si>
  <si>
    <t>sammys</t>
  </si>
  <si>
    <t>wettete</t>
  </si>
  <si>
    <t>steeles</t>
  </si>
  <si>
    <t>katjuscha</t>
  </si>
  <si>
    <t>hamza</t>
  </si>
  <si>
    <t>tröstete</t>
  </si>
  <si>
    <t>chaucer</t>
  </si>
  <si>
    <t>jahrzehnts</t>
  </si>
  <si>
    <t>spinning</t>
  </si>
  <si>
    <t>blacklist</t>
  </si>
  <si>
    <t>koenig</t>
  </si>
  <si>
    <t>unermessliche</t>
  </si>
  <si>
    <t>nanaka</t>
  </si>
  <si>
    <t>yalcin</t>
  </si>
  <si>
    <t>buren</t>
  </si>
  <si>
    <t>werbebranche</t>
  </si>
  <si>
    <t>messung</t>
  </si>
  <si>
    <t>cirque</t>
  </si>
  <si>
    <t>saad</t>
  </si>
  <si>
    <t>nebels</t>
  </si>
  <si>
    <t>errechnet</t>
  </si>
  <si>
    <t>duschst</t>
  </si>
  <si>
    <t>casaubon</t>
  </si>
  <si>
    <t>endsieg</t>
  </si>
  <si>
    <t>rausschmeißt</t>
  </si>
  <si>
    <t>unterbreitet</t>
  </si>
  <si>
    <t>turniere</t>
  </si>
  <si>
    <t>arbeits</t>
  </si>
  <si>
    <t>geheimtür</t>
  </si>
  <si>
    <t>schulweg</t>
  </si>
  <si>
    <t>barhocker</t>
  </si>
  <si>
    <t>mahlt</t>
  </si>
  <si>
    <t>felton</t>
  </si>
  <si>
    <t>einprogrammiert</t>
  </si>
  <si>
    <t>blackbird</t>
  </si>
  <si>
    <t>erwählte</t>
  </si>
  <si>
    <t>fremdkörper</t>
  </si>
  <si>
    <t>orléans</t>
  </si>
  <si>
    <t>astronom</t>
  </si>
  <si>
    <t>aksel</t>
  </si>
  <si>
    <t>glaubs</t>
  </si>
  <si>
    <t>zentren</t>
  </si>
  <si>
    <t>abrechnungen</t>
  </si>
  <si>
    <t>demi</t>
  </si>
  <si>
    <t>umzieht</t>
  </si>
  <si>
    <t>spreu</t>
  </si>
  <si>
    <t>stace</t>
  </si>
  <si>
    <t>informatik</t>
  </si>
  <si>
    <t>statist</t>
  </si>
  <si>
    <t>verdreschen</t>
  </si>
  <si>
    <t>perrier</t>
  </si>
  <si>
    <t>gevatter</t>
  </si>
  <si>
    <t>blamier</t>
  </si>
  <si>
    <t>gotho</t>
  </si>
  <si>
    <t>glockenschläge</t>
  </si>
  <si>
    <t>huntoon</t>
  </si>
  <si>
    <t>easter</t>
  </si>
  <si>
    <t>tremaine</t>
  </si>
  <si>
    <t>widerwärtige</t>
  </si>
  <si>
    <t>schabbach</t>
  </si>
  <si>
    <t>bloßer</t>
  </si>
  <si>
    <t>geiss</t>
  </si>
  <si>
    <t>kumbaya</t>
  </si>
  <si>
    <t>americans</t>
  </si>
  <si>
    <t>punisher</t>
  </si>
  <si>
    <t>geringerer</t>
  </si>
  <si>
    <t>wegener</t>
  </si>
  <si>
    <t>pferch</t>
  </si>
  <si>
    <t>folterten</t>
  </si>
  <si>
    <t>zeitrechnung</t>
  </si>
  <si>
    <t>samenbank</t>
  </si>
  <si>
    <t>pennst</t>
  </si>
  <si>
    <t>saublöd</t>
  </si>
  <si>
    <t>abgemagert</t>
  </si>
  <si>
    <t>brentwood</t>
  </si>
  <si>
    <t>rüschen</t>
  </si>
  <si>
    <t>sympathisanten</t>
  </si>
  <si>
    <t>onion</t>
  </si>
  <si>
    <t>akrobat</t>
  </si>
  <si>
    <t>vaughan</t>
  </si>
  <si>
    <t>zugangskarte</t>
  </si>
  <si>
    <t>mmm-hmm</t>
  </si>
  <si>
    <t>ersteche</t>
  </si>
  <si>
    <t>wr</t>
  </si>
  <si>
    <t>unterernährt</t>
  </si>
  <si>
    <t>explodierenden</t>
  </si>
  <si>
    <t>schrottkiste</t>
  </si>
  <si>
    <t>brillantes</t>
  </si>
  <si>
    <t>reinhard</t>
  </si>
  <si>
    <t>halifax</t>
  </si>
  <si>
    <t>kandinsky</t>
  </si>
  <si>
    <t>überanstrengt</t>
  </si>
  <si>
    <t>grrr</t>
  </si>
  <si>
    <t>explodierende</t>
  </si>
  <si>
    <t>daya</t>
  </si>
  <si>
    <t>eintragung</t>
  </si>
  <si>
    <t>pausieren</t>
  </si>
  <si>
    <t>knock</t>
  </si>
  <si>
    <t>slate</t>
  </si>
  <si>
    <t>essbare</t>
  </si>
  <si>
    <t>kollektive</t>
  </si>
  <si>
    <t>benennt</t>
  </si>
  <si>
    <t>hayworth</t>
  </si>
  <si>
    <t>aprils</t>
  </si>
  <si>
    <t>geranien</t>
  </si>
  <si>
    <t>foon</t>
  </si>
  <si>
    <t>torben</t>
  </si>
  <si>
    <t>lieblingsspiel</t>
  </si>
  <si>
    <t>walfänger</t>
  </si>
  <si>
    <t>riesenapplaus</t>
  </si>
  <si>
    <t>waterford</t>
  </si>
  <si>
    <t>bridgeport</t>
  </si>
  <si>
    <t>jasna</t>
  </si>
  <si>
    <t>lyne</t>
  </si>
  <si>
    <t>hochschicken</t>
  </si>
  <si>
    <t>härteren</t>
  </si>
  <si>
    <t>geniestreich</t>
  </si>
  <si>
    <t>renato</t>
  </si>
  <si>
    <t>herrmann</t>
  </si>
  <si>
    <t>einfachem</t>
  </si>
  <si>
    <t>pflegten</t>
  </si>
  <si>
    <t>heruntergefallen</t>
  </si>
  <si>
    <t>gomorra</t>
  </si>
  <si>
    <t>zugestochen</t>
  </si>
  <si>
    <t>fürn</t>
  </si>
  <si>
    <t>asiatischer</t>
  </si>
  <si>
    <t>salerno</t>
  </si>
  <si>
    <t>anselmo</t>
  </si>
  <si>
    <t>vagen</t>
  </si>
  <si>
    <t>wassja</t>
  </si>
  <si>
    <t>hinhaut</t>
  </si>
  <si>
    <t>kosename</t>
  </si>
  <si>
    <t>zusammenkratzen</t>
  </si>
  <si>
    <t>niña</t>
  </si>
  <si>
    <t>datteln</t>
  </si>
  <si>
    <t>versammelte</t>
  </si>
  <si>
    <t>panco</t>
  </si>
  <si>
    <t>zusammenstehen</t>
  </si>
  <si>
    <t>öre</t>
  </si>
  <si>
    <t>lebenslinie</t>
  </si>
  <si>
    <t>blackberry</t>
  </si>
  <si>
    <t>beispiellos</t>
  </si>
  <si>
    <t>mhmm</t>
  </si>
  <si>
    <t>gemeingefährlich</t>
  </si>
  <si>
    <t>brings</t>
  </si>
  <si>
    <t>finnisch</t>
  </si>
  <si>
    <t>daumenabdruck</t>
  </si>
  <si>
    <t>sou</t>
  </si>
  <si>
    <t>lahey</t>
  </si>
  <si>
    <t>matze</t>
  </si>
  <si>
    <t>josephs</t>
  </si>
  <si>
    <t>nonna</t>
  </si>
  <si>
    <t>terroristischer</t>
  </si>
  <si>
    <t>brandenburg</t>
  </si>
  <si>
    <t>rubbeln</t>
  </si>
  <si>
    <t>intergalaktischen</t>
  </si>
  <si>
    <t>knarzen</t>
  </si>
  <si>
    <t>lonny</t>
  </si>
  <si>
    <t>höllischer</t>
  </si>
  <si>
    <t>pistazie</t>
  </si>
  <si>
    <t>brandopfer</t>
  </si>
  <si>
    <t>giftiges</t>
  </si>
  <si>
    <t>garstig</t>
  </si>
  <si>
    <t>corcoran</t>
  </si>
  <si>
    <t>verbeult</t>
  </si>
  <si>
    <t>wärmstens</t>
  </si>
  <si>
    <t>seltenheit</t>
  </si>
  <si>
    <t>verknüpfen</t>
  </si>
  <si>
    <t>angeschrieben</t>
  </si>
  <si>
    <t>rannveig</t>
  </si>
  <si>
    <t>maile</t>
  </si>
  <si>
    <t>stonehaven</t>
  </si>
  <si>
    <t>doucet</t>
  </si>
  <si>
    <t>qualifizierten</t>
  </si>
  <si>
    <t>spaghettifresser</t>
  </si>
  <si>
    <t>countys</t>
  </si>
  <si>
    <t>übergossen</t>
  </si>
  <si>
    <t>delegieren</t>
  </si>
  <si>
    <t>verängstigten</t>
  </si>
  <si>
    <t>unterhaltsamer</t>
  </si>
  <si>
    <t>champs</t>
  </si>
  <si>
    <t>vermeintlich</t>
  </si>
  <si>
    <t>homers</t>
  </si>
  <si>
    <t>zeki</t>
  </si>
  <si>
    <t>überflieger</t>
  </si>
  <si>
    <t>aufwühlen</t>
  </si>
  <si>
    <t>schneite</t>
  </si>
  <si>
    <t>billigsten</t>
  </si>
  <si>
    <t>beidrehen</t>
  </si>
  <si>
    <t>überreizt</t>
  </si>
  <si>
    <t>nostra</t>
  </si>
  <si>
    <t>gewürfelt</t>
  </si>
  <si>
    <t>gewitzt</t>
  </si>
  <si>
    <t>landsleuten</t>
  </si>
  <si>
    <t>appartment</t>
  </si>
  <si>
    <t>wunders</t>
  </si>
  <si>
    <t>isla</t>
  </si>
  <si>
    <t>gouverneure</t>
  </si>
  <si>
    <t>humorvoll</t>
  </si>
  <si>
    <t>nymphe</t>
  </si>
  <si>
    <t>glückes</t>
  </si>
  <si>
    <t>coran</t>
  </si>
  <si>
    <t>abydos</t>
  </si>
  <si>
    <t>luftgewehr</t>
  </si>
  <si>
    <t>eisern</t>
  </si>
  <si>
    <t>hypothesen</t>
  </si>
  <si>
    <t>freisetzung</t>
  </si>
  <si>
    <t>reagenzglas</t>
  </si>
  <si>
    <t>grausig</t>
  </si>
  <si>
    <t>motoröl</t>
  </si>
  <si>
    <t>rosmarie</t>
  </si>
  <si>
    <t>venna</t>
  </si>
  <si>
    <t>druckerpresse</t>
  </si>
  <si>
    <t>koppeln</t>
  </si>
  <si>
    <t>herausfordernd</t>
  </si>
  <si>
    <t>schulprojekt</t>
  </si>
  <si>
    <t>siebeneinhalb</t>
  </si>
  <si>
    <t>vermindert</t>
  </si>
  <si>
    <t>klemmte</t>
  </si>
  <si>
    <t>kurierdienst</t>
  </si>
  <si>
    <t>geweihten</t>
  </si>
  <si>
    <t>rimini</t>
  </si>
  <si>
    <t>greise</t>
  </si>
  <si>
    <t>file</t>
  </si>
  <si>
    <t>geplatzte</t>
  </si>
  <si>
    <t>intubation</t>
  </si>
  <si>
    <t>kurzzeitgedächtnis</t>
  </si>
  <si>
    <t>spedition</t>
  </si>
  <si>
    <t>schlafprobleme</t>
  </si>
  <si>
    <t>crewes</t>
  </si>
  <si>
    <t>hehlerei</t>
  </si>
  <si>
    <t>zugeschaltet</t>
  </si>
  <si>
    <t>kontaktierten</t>
  </si>
  <si>
    <t>schrotflinten</t>
  </si>
  <si>
    <t>roffe</t>
  </si>
  <si>
    <t>überweist</t>
  </si>
  <si>
    <t>hella</t>
  </si>
  <si>
    <t>wertschätzen</t>
  </si>
  <si>
    <t>u.n.</t>
  </si>
  <si>
    <t>koksen</t>
  </si>
  <si>
    <t>samthandschuhen</t>
  </si>
  <si>
    <t>colony</t>
  </si>
  <si>
    <t>ambitioniert</t>
  </si>
  <si>
    <t>getuschel</t>
  </si>
  <si>
    <t>anas</t>
  </si>
  <si>
    <t>weinstock</t>
  </si>
  <si>
    <t>haji</t>
  </si>
  <si>
    <t>gesundem</t>
  </si>
  <si>
    <t>maggi</t>
  </si>
  <si>
    <t>verwöhnten</t>
  </si>
  <si>
    <t>gebieterin</t>
  </si>
  <si>
    <t>weggewischt</t>
  </si>
  <si>
    <t>unzivilisiert</t>
  </si>
  <si>
    <t>toxikologische</t>
  </si>
  <si>
    <t>bodhi</t>
  </si>
  <si>
    <t>ostwärts</t>
  </si>
  <si>
    <t>stagg</t>
  </si>
  <si>
    <t>heywood</t>
  </si>
  <si>
    <t>widerwärtigen</t>
  </si>
  <si>
    <t>mally</t>
  </si>
  <si>
    <t>unverblümt</t>
  </si>
  <si>
    <t>linderung</t>
  </si>
  <si>
    <t>maskierter</t>
  </si>
  <si>
    <t>schielen</t>
  </si>
  <si>
    <t>meck</t>
  </si>
  <si>
    <t>zander</t>
  </si>
  <si>
    <t>einsetze</t>
  </si>
  <si>
    <t>riesenärger</t>
  </si>
  <si>
    <t>massakers</t>
  </si>
  <si>
    <t>nebenhöhlen</t>
  </si>
  <si>
    <t>aufschlug</t>
  </si>
  <si>
    <t>rührselig</t>
  </si>
  <si>
    <t>milliardäre</t>
  </si>
  <si>
    <t>muto</t>
  </si>
  <si>
    <t>pk</t>
  </si>
  <si>
    <t>maigret</t>
  </si>
  <si>
    <t>trotwood</t>
  </si>
  <si>
    <t>adjektive</t>
  </si>
  <si>
    <t>sprengkraft</t>
  </si>
  <si>
    <t>anlasten</t>
  </si>
  <si>
    <t>gespenstisch</t>
  </si>
  <si>
    <t>yangs</t>
  </si>
  <si>
    <t>verunglückte</t>
  </si>
  <si>
    <t>automatisches</t>
  </si>
  <si>
    <t>jagdgründe</t>
  </si>
  <si>
    <t>popstar</t>
  </si>
  <si>
    <t>exkremente</t>
  </si>
  <si>
    <t>sombrero</t>
  </si>
  <si>
    <t>kognitiven</t>
  </si>
  <si>
    <t>takata</t>
  </si>
  <si>
    <t>prachtvollen</t>
  </si>
  <si>
    <t>störche</t>
  </si>
  <si>
    <t>landgut</t>
  </si>
  <si>
    <t>britischem</t>
  </si>
  <si>
    <t>bowler</t>
  </si>
  <si>
    <t>kaffeetrinken</t>
  </si>
  <si>
    <t>pferdestärken</t>
  </si>
  <si>
    <t>patzer</t>
  </si>
  <si>
    <t>viggo</t>
  </si>
  <si>
    <t>abkürzen</t>
  </si>
  <si>
    <t>savior</t>
  </si>
  <si>
    <t>mandel</t>
  </si>
  <si>
    <t>auswärtigen</t>
  </si>
  <si>
    <t>sandberg</t>
  </si>
  <si>
    <t>merzien</t>
  </si>
  <si>
    <t>vierteilen</t>
  </si>
  <si>
    <t>med-lab</t>
  </si>
  <si>
    <t>fangzähne</t>
  </si>
  <si>
    <t>marcelle</t>
  </si>
  <si>
    <t>review</t>
  </si>
  <si>
    <t>einleben</t>
  </si>
  <si>
    <t>señoritas</t>
  </si>
  <si>
    <t>janssen</t>
  </si>
  <si>
    <t>cesares</t>
  </si>
  <si>
    <t>heuschrecke</t>
  </si>
  <si>
    <t>beckys</t>
  </si>
  <si>
    <t>djinn-djinn</t>
  </si>
  <si>
    <t>freitagmorgen</t>
  </si>
  <si>
    <t>dortmund</t>
  </si>
  <si>
    <t>angebettelt</t>
  </si>
  <si>
    <t>kleiderbügel</t>
  </si>
  <si>
    <t>narzissen</t>
  </si>
  <si>
    <t>to-do-liste</t>
  </si>
  <si>
    <t>mickrig</t>
  </si>
  <si>
    <t>digitales</t>
  </si>
  <si>
    <t>nächstgelegenen</t>
  </si>
  <si>
    <t>toffee</t>
  </si>
  <si>
    <t>hinstecken</t>
  </si>
  <si>
    <t>einsamste</t>
  </si>
  <si>
    <t>ljuda</t>
  </si>
  <si>
    <t>gaffen</t>
  </si>
  <si>
    <t>wischst</t>
  </si>
  <si>
    <t>mortem</t>
  </si>
  <si>
    <t>unwichtiges</t>
  </si>
  <si>
    <t>finder</t>
  </si>
  <si>
    <t>kapuzen</t>
  </si>
  <si>
    <t>kriegsbemalung</t>
  </si>
  <si>
    <t>frühschicht</t>
  </si>
  <si>
    <t>caddie</t>
  </si>
  <si>
    <t>ärmelkanal</t>
  </si>
  <si>
    <t>pasha</t>
  </si>
  <si>
    <t>bozo</t>
  </si>
  <si>
    <t>deppert</t>
  </si>
  <si>
    <t>hinwillst</t>
  </si>
  <si>
    <t>lächel</t>
  </si>
  <si>
    <t>pina</t>
  </si>
  <si>
    <t>pips</t>
  </si>
  <si>
    <t>pjotr</t>
  </si>
  <si>
    <t>soleil</t>
  </si>
  <si>
    <t>caymans</t>
  </si>
  <si>
    <t>tiramisu</t>
  </si>
  <si>
    <t>treffsicherheit</t>
  </si>
  <si>
    <t>rauskamen</t>
  </si>
  <si>
    <t>botengänge</t>
  </si>
  <si>
    <t>überschreitest</t>
  </si>
  <si>
    <t>ausrutschen</t>
  </si>
  <si>
    <t>boudreau</t>
  </si>
  <si>
    <t>patentochter</t>
  </si>
  <si>
    <t>auburn</t>
  </si>
  <si>
    <t>schüttele</t>
  </si>
  <si>
    <t>unterhemd</t>
  </si>
  <si>
    <t>stiehl</t>
  </si>
  <si>
    <t>hinläufst</t>
  </si>
  <si>
    <t>shran</t>
  </si>
  <si>
    <t>hineingeboren</t>
  </si>
  <si>
    <t>essensmarken</t>
  </si>
  <si>
    <t>zugeflüstert</t>
  </si>
  <si>
    <t>karakurt</t>
  </si>
  <si>
    <t>ha-young</t>
  </si>
  <si>
    <t>fremdsprachen</t>
  </si>
  <si>
    <t>kenntnissen</t>
  </si>
  <si>
    <t>lider</t>
  </si>
  <si>
    <t>cheerleading</t>
  </si>
  <si>
    <t>administrator</t>
  </si>
  <si>
    <t>kotori</t>
  </si>
  <si>
    <t>absacker</t>
  </si>
  <si>
    <t>ptolemäus</t>
  </si>
  <si>
    <t>rushmore</t>
  </si>
  <si>
    <t>abprallen</t>
  </si>
  <si>
    <t>fossa</t>
  </si>
  <si>
    <t>gings</t>
  </si>
  <si>
    <t>psychiatrisches</t>
  </si>
  <si>
    <t>bestrebungen</t>
  </si>
  <si>
    <t>tierhandlung</t>
  </si>
  <si>
    <t>synthetisch</t>
  </si>
  <si>
    <t>rekrutierte</t>
  </si>
  <si>
    <t>tanzabend</t>
  </si>
  <si>
    <t>wiii</t>
  </si>
  <si>
    <t>grimoire</t>
  </si>
  <si>
    <t>vinz</t>
  </si>
  <si>
    <t>chupacabra</t>
  </si>
  <si>
    <t>hpd</t>
  </si>
  <si>
    <t>verkehre</t>
  </si>
  <si>
    <t>untersuchungsergebnisse</t>
  </si>
  <si>
    <t>bockig</t>
  </si>
  <si>
    <t>saftsack</t>
  </si>
  <si>
    <t>erlogen</t>
  </si>
  <si>
    <t>intendant</t>
  </si>
  <si>
    <t>sharkey</t>
  </si>
  <si>
    <t>erfreue</t>
  </si>
  <si>
    <t>gebackenen</t>
  </si>
  <si>
    <t>baklava</t>
  </si>
  <si>
    <t>gültigen</t>
  </si>
  <si>
    <t>nachtlager</t>
  </si>
  <si>
    <t>schwänzchen</t>
  </si>
  <si>
    <t>schwierigkeitsgrad</t>
  </si>
  <si>
    <t>eisbahn</t>
  </si>
  <si>
    <t>bekräftigen</t>
  </si>
  <si>
    <t>gegenangebot</t>
  </si>
  <si>
    <t>goober</t>
  </si>
  <si>
    <t>reinschmuggeln</t>
  </si>
  <si>
    <t>erlasse</t>
  </si>
  <si>
    <t>zapfenstreich</t>
  </si>
  <si>
    <t>fp</t>
  </si>
  <si>
    <t>sterbehilfe</t>
  </si>
  <si>
    <t>verzichtete</t>
  </si>
  <si>
    <t>umgarnen</t>
  </si>
  <si>
    <t>mess</t>
  </si>
  <si>
    <t>verschwörungstheorie</t>
  </si>
  <si>
    <t>chunk</t>
  </si>
  <si>
    <t>abweichende</t>
  </si>
  <si>
    <t>tales</t>
  </si>
  <si>
    <t>grimaldi</t>
  </si>
  <si>
    <t>pelant</t>
  </si>
  <si>
    <t>bewegungsfreiheit</t>
  </si>
  <si>
    <t>durchdrehst</t>
  </si>
  <si>
    <t>anette</t>
  </si>
  <si>
    <t>schulfreundin</t>
  </si>
  <si>
    <t>zurückgeschrieben</t>
  </si>
  <si>
    <t>bezweckt</t>
  </si>
  <si>
    <t>ausversehen</t>
  </si>
  <si>
    <t>investigations</t>
  </si>
  <si>
    <t>maricruz</t>
  </si>
  <si>
    <t>ancient</t>
  </si>
  <si>
    <t>anchorage</t>
  </si>
  <si>
    <t>ziegelsteine</t>
  </si>
  <si>
    <t>schamhaar</t>
  </si>
  <si>
    <t>katies</t>
  </si>
  <si>
    <t>überraschungseffekt</t>
  </si>
  <si>
    <t>testergebnis</t>
  </si>
  <si>
    <t>zufriedene</t>
  </si>
  <si>
    <t>losgelöst</t>
  </si>
  <si>
    <t>tonlos</t>
  </si>
  <si>
    <t>unbestimmt</t>
  </si>
  <si>
    <t>ausfälle</t>
  </si>
  <si>
    <t>jindrich</t>
  </si>
  <si>
    <t>teilnehmern</t>
  </si>
  <si>
    <t>abging</t>
  </si>
  <si>
    <t>bezweifel</t>
  </si>
  <si>
    <t>baldwin-schwestern</t>
  </si>
  <si>
    <t>chiharu</t>
  </si>
  <si>
    <t>abzusitzen</t>
  </si>
  <si>
    <t>verdi</t>
  </si>
  <si>
    <t>seehund</t>
  </si>
  <si>
    <t>schwindelgefühl</t>
  </si>
  <si>
    <t>pokerspieler</t>
  </si>
  <si>
    <t>schlugst</t>
  </si>
  <si>
    <t>translations</t>
  </si>
  <si>
    <t>predator</t>
  </si>
  <si>
    <t>olav</t>
  </si>
  <si>
    <t>gleichauf</t>
  </si>
  <si>
    <t>joo</t>
  </si>
  <si>
    <t>chc0c0c0</t>
  </si>
  <si>
    <t>sprengten</t>
  </si>
  <si>
    <t>abenddämmerung</t>
  </si>
  <si>
    <t>ohrwurm</t>
  </si>
  <si>
    <t>peacock</t>
  </si>
  <si>
    <t>klospülung</t>
  </si>
  <si>
    <t>überwindung</t>
  </si>
  <si>
    <t>coughlin</t>
  </si>
  <si>
    <t>heißluftballon</t>
  </si>
  <si>
    <t>anhaltender</t>
  </si>
  <si>
    <t>nachbarhaus</t>
  </si>
  <si>
    <t>kneipenschlägerei</t>
  </si>
  <si>
    <t>mutterseelenallein</t>
  </si>
  <si>
    <t>hisbollah</t>
  </si>
  <si>
    <t>wittere</t>
  </si>
  <si>
    <t>suse</t>
  </si>
  <si>
    <t>unehelichen</t>
  </si>
  <si>
    <t>meistbietenden</t>
  </si>
  <si>
    <t>transcript</t>
  </si>
  <si>
    <t>peder</t>
  </si>
  <si>
    <t>algernon</t>
  </si>
  <si>
    <t>rieten</t>
  </si>
  <si>
    <t>plaudere</t>
  </si>
  <si>
    <t>gutartig</t>
  </si>
  <si>
    <t>hilfsenergie</t>
  </si>
  <si>
    <t>beet</t>
  </si>
  <si>
    <t>spielsucht</t>
  </si>
  <si>
    <t>harmonieren</t>
  </si>
  <si>
    <t>kens</t>
  </si>
  <si>
    <t>orchard</t>
  </si>
  <si>
    <t>lieblingsstück</t>
  </si>
  <si>
    <t>raubzug</t>
  </si>
  <si>
    <t>systemfehler</t>
  </si>
  <si>
    <t>ingenieurin</t>
  </si>
  <si>
    <t>ausgetrieben</t>
  </si>
  <si>
    <t>buddhisten</t>
  </si>
  <si>
    <t>raph</t>
  </si>
  <si>
    <t>seilbahn</t>
  </si>
  <si>
    <t>unverwüstlich</t>
  </si>
  <si>
    <t>volksmusik</t>
  </si>
  <si>
    <t>seeger</t>
  </si>
  <si>
    <t>teufelszeug</t>
  </si>
  <si>
    <t>zivilklage</t>
  </si>
  <si>
    <t>herta</t>
  </si>
  <si>
    <t>schülers</t>
  </si>
  <si>
    <t>jiji</t>
  </si>
  <si>
    <t>stowaway</t>
  </si>
  <si>
    <t>heimtückische</t>
  </si>
  <si>
    <t>tribute</t>
  </si>
  <si>
    <t>basel</t>
  </si>
  <si>
    <t>weiterging</t>
  </si>
  <si>
    <t>niedergeschrieben</t>
  </si>
  <si>
    <t>3-d</t>
  </si>
  <si>
    <t>färbung</t>
  </si>
  <si>
    <t>tomie</t>
  </si>
  <si>
    <t>yamada</t>
  </si>
  <si>
    <t>urca</t>
  </si>
  <si>
    <t>zeros</t>
  </si>
  <si>
    <t>lutsche</t>
  </si>
  <si>
    <t>schmerzfrei</t>
  </si>
  <si>
    <t>prep</t>
  </si>
  <si>
    <t>selbstgefälligkeit</t>
  </si>
  <si>
    <t>herumfliegen</t>
  </si>
  <si>
    <t>aufwühlende</t>
  </si>
  <si>
    <t>yoshie</t>
  </si>
  <si>
    <t>eingelegte</t>
  </si>
  <si>
    <t>routineuntersuchung</t>
  </si>
  <si>
    <t>zustechen</t>
  </si>
  <si>
    <t>evtl.</t>
  </si>
  <si>
    <t>kampftechnik</t>
  </si>
  <si>
    <t>starter</t>
  </si>
  <si>
    <t>wahrheitsgemäß</t>
  </si>
  <si>
    <t>cab</t>
  </si>
  <si>
    <t>wegrennt</t>
  </si>
  <si>
    <t>geheimsache</t>
  </si>
  <si>
    <t>baelfire</t>
  </si>
  <si>
    <t>pico</t>
  </si>
  <si>
    <t>fatbrat</t>
  </si>
  <si>
    <t>kriegsveteran</t>
  </si>
  <si>
    <t>anika</t>
  </si>
  <si>
    <t>muslimen</t>
  </si>
  <si>
    <t>roquefort</t>
  </si>
  <si>
    <t>prozedere</t>
  </si>
  <si>
    <t>droben</t>
  </si>
  <si>
    <t>spesenkonto</t>
  </si>
  <si>
    <t>kubikmeter</t>
  </si>
  <si>
    <t>herangewachsen</t>
  </si>
  <si>
    <t>committee</t>
  </si>
  <si>
    <t>installiere</t>
  </si>
  <si>
    <t>traumland</t>
  </si>
  <si>
    <t>verschaffst</t>
  </si>
  <si>
    <t>eheberater</t>
  </si>
  <si>
    <t>schmunzelt</t>
  </si>
  <si>
    <t>herausgenommen</t>
  </si>
  <si>
    <t>störsender</t>
  </si>
  <si>
    <t>13-jährige</t>
  </si>
  <si>
    <t>laude</t>
  </si>
  <si>
    <t>feldarbeit</t>
  </si>
  <si>
    <t>saltzman</t>
  </si>
  <si>
    <t>turbolift</t>
  </si>
  <si>
    <t>unterlass</t>
  </si>
  <si>
    <t>renommierten</t>
  </si>
  <si>
    <t>riton</t>
  </si>
  <si>
    <t>freddys</t>
  </si>
  <si>
    <t>urteilsspruch</t>
  </si>
  <si>
    <t>orangene</t>
  </si>
  <si>
    <t>kartoffelpuffer</t>
  </si>
  <si>
    <t>paroli</t>
  </si>
  <si>
    <t>sicherheitsoffizier</t>
  </si>
  <si>
    <t>haffner</t>
  </si>
  <si>
    <t>amtseinführung</t>
  </si>
  <si>
    <t>haudegen</t>
  </si>
  <si>
    <t>ausschweifungen</t>
  </si>
  <si>
    <t>serbischen</t>
  </si>
  <si>
    <t>felsenfest</t>
  </si>
  <si>
    <t>eheringe</t>
  </si>
  <si>
    <t>privatschulen</t>
  </si>
  <si>
    <t>sandkorn</t>
  </si>
  <si>
    <t>lev</t>
  </si>
  <si>
    <t>côte</t>
  </si>
  <si>
    <t>durchzumachen</t>
  </si>
  <si>
    <t>auerbach</t>
  </si>
  <si>
    <t>kisha</t>
  </si>
  <si>
    <t>wandelnder</t>
  </si>
  <si>
    <t>einseitige</t>
  </si>
  <si>
    <t>ereignen</t>
  </si>
  <si>
    <t>prop</t>
  </si>
  <si>
    <t>misslichen</t>
  </si>
  <si>
    <t>radek</t>
  </si>
  <si>
    <t>stolziert</t>
  </si>
  <si>
    <t>kontinuität</t>
  </si>
  <si>
    <t>immobiliengeschäft</t>
  </si>
  <si>
    <t>eri</t>
  </si>
  <si>
    <t>leichtathletik</t>
  </si>
  <si>
    <t>jennifers</t>
  </si>
  <si>
    <t>untersatz</t>
  </si>
  <si>
    <t>schleimbeutel</t>
  </si>
  <si>
    <t>p3</t>
  </si>
  <si>
    <t>schmerzenslaut</t>
  </si>
  <si>
    <t>fänge</t>
  </si>
  <si>
    <t>kayo</t>
  </si>
  <si>
    <t>mhn</t>
  </si>
  <si>
    <t>arbeitsvertrag</t>
  </si>
  <si>
    <t>são</t>
  </si>
  <si>
    <t>neunen</t>
  </si>
  <si>
    <t>stolperst</t>
  </si>
  <si>
    <t>sasas</t>
  </si>
  <si>
    <t>holdings</t>
  </si>
  <si>
    <t>jae</t>
  </si>
  <si>
    <t>parkway</t>
  </si>
  <si>
    <t>individuums</t>
  </si>
  <si>
    <t>xan</t>
  </si>
  <si>
    <t>hennessy</t>
  </si>
  <si>
    <t>jena</t>
  </si>
  <si>
    <t>versace</t>
  </si>
  <si>
    <t>verwahrlost</t>
  </si>
  <si>
    <t>being</t>
  </si>
  <si>
    <t>ngaio</t>
  </si>
  <si>
    <t>klammerte</t>
  </si>
  <si>
    <t>foyle</t>
  </si>
  <si>
    <t>supi</t>
  </si>
  <si>
    <t>ethyl</t>
  </si>
  <si>
    <t>vs</t>
  </si>
  <si>
    <t>ticks</t>
  </si>
  <si>
    <t>veganerin</t>
  </si>
  <si>
    <t>anzugs</t>
  </si>
  <si>
    <t>novick</t>
  </si>
  <si>
    <t>flackern</t>
  </si>
  <si>
    <t>bettys</t>
  </si>
  <si>
    <t>synthetisches</t>
  </si>
  <si>
    <t>ostdeutschland</t>
  </si>
  <si>
    <t>laugh</t>
  </si>
  <si>
    <t>akzente</t>
  </si>
  <si>
    <t>bedeutungslose</t>
  </si>
  <si>
    <t>schicktest</t>
  </si>
  <si>
    <t>abschiedsfeier</t>
  </si>
  <si>
    <t>gefestigt</t>
  </si>
  <si>
    <t>blacklock</t>
  </si>
  <si>
    <t>uberhaupt</t>
  </si>
  <si>
    <t>goldschatz</t>
  </si>
  <si>
    <t>übersetzungen</t>
  </si>
  <si>
    <t>sonderkommission</t>
  </si>
  <si>
    <t>nervensägen</t>
  </si>
  <si>
    <t>stadtmitte</t>
  </si>
  <si>
    <t>zurückbrachte</t>
  </si>
  <si>
    <t>bettlägerig</t>
  </si>
  <si>
    <t>severus</t>
  </si>
  <si>
    <t>edelmut</t>
  </si>
  <si>
    <t>merete</t>
  </si>
  <si>
    <t>versteckter</t>
  </si>
  <si>
    <t>nippen</t>
  </si>
  <si>
    <t>timon</t>
  </si>
  <si>
    <t>grenouille</t>
  </si>
  <si>
    <t>littleton</t>
  </si>
  <si>
    <t>zersetzung</t>
  </si>
  <si>
    <t>zuck</t>
  </si>
  <si>
    <t>hochzeitssuite</t>
  </si>
  <si>
    <t>projektes</t>
  </si>
  <si>
    <t>fouroux</t>
  </si>
  <si>
    <t>bookman</t>
  </si>
  <si>
    <t>röcken</t>
  </si>
  <si>
    <t>trugbild</t>
  </si>
  <si>
    <t>lichtet</t>
  </si>
  <si>
    <t>verunstaltet</t>
  </si>
  <si>
    <t>menschenmassen</t>
  </si>
  <si>
    <t>umworben</t>
  </si>
  <si>
    <t>dazuzugehören</t>
  </si>
  <si>
    <t>dakara</t>
  </si>
  <si>
    <t>dragan</t>
  </si>
  <si>
    <t>melba</t>
  </si>
  <si>
    <t>auszufragen</t>
  </si>
  <si>
    <t>unwohlsein</t>
  </si>
  <si>
    <t>tab</t>
  </si>
  <si>
    <t>patriotischen</t>
  </si>
  <si>
    <t>defi</t>
  </si>
  <si>
    <t>verfeinert</t>
  </si>
  <si>
    <t>abändern</t>
  </si>
  <si>
    <t>limette</t>
  </si>
  <si>
    <t>sightseeing</t>
  </si>
  <si>
    <t>thraker</t>
  </si>
  <si>
    <t>naturwissenschaft</t>
  </si>
  <si>
    <t>spontaneität</t>
  </si>
  <si>
    <t>culper</t>
  </si>
  <si>
    <t>rosette</t>
  </si>
  <si>
    <t>velasco</t>
  </si>
  <si>
    <t>blackwater</t>
  </si>
  <si>
    <t>missing</t>
  </si>
  <si>
    <t>16-jähriger</t>
  </si>
  <si>
    <t>versinke</t>
  </si>
  <si>
    <t>vermittelte</t>
  </si>
  <si>
    <t>rausstellen</t>
  </si>
  <si>
    <t>naa</t>
  </si>
  <si>
    <t>drogenkonsum</t>
  </si>
  <si>
    <t>östlicher</t>
  </si>
  <si>
    <t>jurassic</t>
  </si>
  <si>
    <t>flip-flops</t>
  </si>
  <si>
    <t>zentralkommando</t>
  </si>
  <si>
    <t>einreisen</t>
  </si>
  <si>
    <t>ernestine</t>
  </si>
  <si>
    <t>clegg</t>
  </si>
  <si>
    <t>panisches</t>
  </si>
  <si>
    <t>gesprächsstoff</t>
  </si>
  <si>
    <t>tafelsilber</t>
  </si>
  <si>
    <t>beekman</t>
  </si>
  <si>
    <t>gleichgesinnte</t>
  </si>
  <si>
    <t>fingiert</t>
  </si>
  <si>
    <t>coolidge</t>
  </si>
  <si>
    <t>tunis</t>
  </si>
  <si>
    <t>geldhahn</t>
  </si>
  <si>
    <t>imperialismus</t>
  </si>
  <si>
    <t>flik</t>
  </si>
  <si>
    <t>stilllegen</t>
  </si>
  <si>
    <t>a.d.</t>
  </si>
  <si>
    <t>maggio</t>
  </si>
  <si>
    <t>hickory</t>
  </si>
  <si>
    <t>gesamtsumme</t>
  </si>
  <si>
    <t>drogendealern</t>
  </si>
  <si>
    <t>nagetier</t>
  </si>
  <si>
    <t>herumtreibt</t>
  </si>
  <si>
    <t>anlächeln</t>
  </si>
  <si>
    <t>zerplatzen</t>
  </si>
  <si>
    <t>gitterstäbe</t>
  </si>
  <si>
    <t>polizeilich</t>
  </si>
  <si>
    <t>westley</t>
  </si>
  <si>
    <t>hound</t>
  </si>
  <si>
    <t>kopflos</t>
  </si>
  <si>
    <t>cissie</t>
  </si>
  <si>
    <t>harriman</t>
  </si>
  <si>
    <t>hentai</t>
  </si>
  <si>
    <t>aufbricht</t>
  </si>
  <si>
    <t>dogge</t>
  </si>
  <si>
    <t>redselig</t>
  </si>
  <si>
    <t>fremdling</t>
  </si>
  <si>
    <t>auseinanderreißen</t>
  </si>
  <si>
    <t>fußballmannschaft</t>
  </si>
  <si>
    <t>afraid</t>
  </si>
  <si>
    <t>luau</t>
  </si>
  <si>
    <t>aquarius</t>
  </si>
  <si>
    <t>ruhte</t>
  </si>
  <si>
    <t>s01e07</t>
  </si>
  <si>
    <t>shinwell</t>
  </si>
  <si>
    <t>names</t>
  </si>
  <si>
    <t>amtliche</t>
  </si>
  <si>
    <t>sinnbild</t>
  </si>
  <si>
    <t>leibgarde</t>
  </si>
  <si>
    <t>hämisches</t>
  </si>
  <si>
    <t>kash</t>
  </si>
  <si>
    <t>unbesiegbaren</t>
  </si>
  <si>
    <t>platzwunde</t>
  </si>
  <si>
    <t>einsichten</t>
  </si>
  <si>
    <t>andersons</t>
  </si>
  <si>
    <t>reiters</t>
  </si>
  <si>
    <t>hartnäckiger</t>
  </si>
  <si>
    <t>felt</t>
  </si>
  <si>
    <t>destabilisiert</t>
  </si>
  <si>
    <t>gaunt</t>
  </si>
  <si>
    <t>triebtäter</t>
  </si>
  <si>
    <t>festgelegten</t>
  </si>
  <si>
    <t>ermuntern</t>
  </si>
  <si>
    <t>finlay</t>
  </si>
  <si>
    <t>feinkostladen</t>
  </si>
  <si>
    <t>rumläufst</t>
  </si>
  <si>
    <t>schlangenbiss</t>
  </si>
  <si>
    <t>estland</t>
  </si>
  <si>
    <t>erübrigt</t>
  </si>
  <si>
    <t>errate</t>
  </si>
  <si>
    <t>molekularstruktur</t>
  </si>
  <si>
    <t>finsteres</t>
  </si>
  <si>
    <t>krabs</t>
  </si>
  <si>
    <t>ätsch</t>
  </si>
  <si>
    <t>einhandeln</t>
  </si>
  <si>
    <t>bakterielle</t>
  </si>
  <si>
    <t>vixen</t>
  </si>
  <si>
    <t>luftmatratze</t>
  </si>
  <si>
    <t>aufgesprungen</t>
  </si>
  <si>
    <t>debakel</t>
  </si>
  <si>
    <t>mitterrand</t>
  </si>
  <si>
    <t>billigere</t>
  </si>
  <si>
    <t>mitbringsel</t>
  </si>
  <si>
    <t>elementare</t>
  </si>
  <si>
    <t>begrab</t>
  </si>
  <si>
    <t>solonius</t>
  </si>
  <si>
    <t>entzweien</t>
  </si>
  <si>
    <t>nachste</t>
  </si>
  <si>
    <t>gezwitschert</t>
  </si>
  <si>
    <t>lauerte</t>
  </si>
  <si>
    <t>wicket</t>
  </si>
  <si>
    <t>verdonnert</t>
  </si>
  <si>
    <t>vögelte</t>
  </si>
  <si>
    <t>nachgekommen</t>
  </si>
  <si>
    <t>zurückließen</t>
  </si>
  <si>
    <t>iverson</t>
  </si>
  <si>
    <t>minirock</t>
  </si>
  <si>
    <t>mixtur</t>
  </si>
  <si>
    <t>lygia</t>
  </si>
  <si>
    <t>upload</t>
  </si>
  <si>
    <t>asuna</t>
  </si>
  <si>
    <t>leichteren</t>
  </si>
  <si>
    <t>kaneda</t>
  </si>
  <si>
    <t>breitseite</t>
  </si>
  <si>
    <t>clu</t>
  </si>
  <si>
    <t>loggins</t>
  </si>
  <si>
    <t>erotischer</t>
  </si>
  <si>
    <t>besuchsrecht</t>
  </si>
  <si>
    <t>reiseplan</t>
  </si>
  <si>
    <t>wildfang</t>
  </si>
  <si>
    <t>verwicklungen</t>
  </si>
  <si>
    <t>schützin</t>
  </si>
  <si>
    <t>trinkerin</t>
  </si>
  <si>
    <t>potthässlich</t>
  </si>
  <si>
    <t>ankotzt</t>
  </si>
  <si>
    <t>daryll</t>
  </si>
  <si>
    <t>deus</t>
  </si>
  <si>
    <t>stet</t>
  </si>
  <si>
    <t>statistische</t>
  </si>
  <si>
    <t>seton</t>
  </si>
  <si>
    <t>exklusivinterview</t>
  </si>
  <si>
    <t>kamine</t>
  </si>
  <si>
    <t>herhaben</t>
  </si>
  <si>
    <t>zuschieben</t>
  </si>
  <si>
    <t>herzkammer</t>
  </si>
  <si>
    <t>einfacheres</t>
  </si>
  <si>
    <t>riesengroßer</t>
  </si>
  <si>
    <t>wegkomme</t>
  </si>
  <si>
    <t>superbowl</t>
  </si>
  <si>
    <t>monteur</t>
  </si>
  <si>
    <t>metin</t>
  </si>
  <si>
    <t>ambition</t>
  </si>
  <si>
    <t>lausanne</t>
  </si>
  <si>
    <t>stromausfälle</t>
  </si>
  <si>
    <t>leighton</t>
  </si>
  <si>
    <t>organisator</t>
  </si>
  <si>
    <t>wiedergänger</t>
  </si>
  <si>
    <t>zeichentrickfilm</t>
  </si>
  <si>
    <t>aneignen</t>
  </si>
  <si>
    <t>gadreel</t>
  </si>
  <si>
    <t>mieder</t>
  </si>
  <si>
    <t>yoshimura</t>
  </si>
  <si>
    <t>astro</t>
  </si>
  <si>
    <t>strenges</t>
  </si>
  <si>
    <t>durchgeschüttelt</t>
  </si>
  <si>
    <t>stilinski</t>
  </si>
  <si>
    <t>tödlichsten</t>
  </si>
  <si>
    <t>überrollen</t>
  </si>
  <si>
    <t>fig</t>
  </si>
  <si>
    <t>toru</t>
  </si>
  <si>
    <t>polizeiberichte</t>
  </si>
  <si>
    <t>dobermann</t>
  </si>
  <si>
    <t>bündig</t>
  </si>
  <si>
    <t>handrücken</t>
  </si>
  <si>
    <t>ökonomische</t>
  </si>
  <si>
    <t>mensa</t>
  </si>
  <si>
    <t>süßwasser</t>
  </si>
  <si>
    <t>abreißt</t>
  </si>
  <si>
    <t>amaya</t>
  </si>
  <si>
    <t>doppeldate</t>
  </si>
  <si>
    <t>abgründe</t>
  </si>
  <si>
    <t>walkie-talkies</t>
  </si>
  <si>
    <t>blutfleck</t>
  </si>
  <si>
    <t>glorreich</t>
  </si>
  <si>
    <t>margarethe</t>
  </si>
  <si>
    <t>lammkeule</t>
  </si>
  <si>
    <t>komparsen</t>
  </si>
  <si>
    <t>zeitlimit</t>
  </si>
  <si>
    <t>snowy</t>
  </si>
  <si>
    <t>brummer</t>
  </si>
  <si>
    <t>begrapschen</t>
  </si>
  <si>
    <t>zusammenfinden</t>
  </si>
  <si>
    <t>hey.</t>
  </si>
  <si>
    <t>beförderungen</t>
  </si>
  <si>
    <t>mütterlich</t>
  </si>
  <si>
    <t>annalen</t>
  </si>
  <si>
    <t>verscherbeln</t>
  </si>
  <si>
    <t>banku</t>
  </si>
  <si>
    <t>abgefahrenen</t>
  </si>
  <si>
    <t>hookstraten</t>
  </si>
  <si>
    <t>kopflosen</t>
  </si>
  <si>
    <t>rauswirft</t>
  </si>
  <si>
    <t>puzzleteile</t>
  </si>
  <si>
    <t>geheimnisses</t>
  </si>
  <si>
    <t>ansätze</t>
  </si>
  <si>
    <t>doesn</t>
  </si>
  <si>
    <t>kaffeekränzchen</t>
  </si>
  <si>
    <t>hüpfe</t>
  </si>
  <si>
    <t>neiman</t>
  </si>
  <si>
    <t>ansteckt</t>
  </si>
  <si>
    <t>verwöhne</t>
  </si>
  <si>
    <t>sitzungssaal</t>
  </si>
  <si>
    <t>bestimmtheit</t>
  </si>
  <si>
    <t>bombenanschläge</t>
  </si>
  <si>
    <t>rajiv</t>
  </si>
  <si>
    <t>stockwerken</t>
  </si>
  <si>
    <t>laube</t>
  </si>
  <si>
    <t>hoodie</t>
  </si>
  <si>
    <t>auffordert</t>
  </si>
  <si>
    <t>vereinbare</t>
  </si>
  <si>
    <t>eingedämmt</t>
  </si>
  <si>
    <t>dudelsack</t>
  </si>
  <si>
    <t>sardine</t>
  </si>
  <si>
    <t>steigenden</t>
  </si>
  <si>
    <t>tierschutz</t>
  </si>
  <si>
    <t>fremdwort</t>
  </si>
  <si>
    <t>bainbridge</t>
  </si>
  <si>
    <t>getümmel</t>
  </si>
  <si>
    <t>freudiger</t>
  </si>
  <si>
    <t>trying</t>
  </si>
  <si>
    <t>feuchtigkeitscreme</t>
  </si>
  <si>
    <t>sonora</t>
  </si>
  <si>
    <t>colombo</t>
  </si>
  <si>
    <t>mobiles</t>
  </si>
  <si>
    <t>garrick</t>
  </si>
  <si>
    <t>milchpulver</t>
  </si>
  <si>
    <t>fahrscheine</t>
  </si>
  <si>
    <t>hippe</t>
  </si>
  <si>
    <t>hygienisch</t>
  </si>
  <si>
    <t>koo</t>
  </si>
  <si>
    <t>unterdrücktes</t>
  </si>
  <si>
    <t>lastern</t>
  </si>
  <si>
    <t>g-kräfte</t>
  </si>
  <si>
    <t>faschistische</t>
  </si>
  <si>
    <t>unstimmigkeit</t>
  </si>
  <si>
    <t>gainey</t>
  </si>
  <si>
    <t>darstellungen</t>
  </si>
  <si>
    <t>schopf</t>
  </si>
  <si>
    <t>aussen</t>
  </si>
  <si>
    <t>leitstelle</t>
  </si>
  <si>
    <t>bündnisse</t>
  </si>
  <si>
    <t>strammen</t>
  </si>
  <si>
    <t>wechselkurs</t>
  </si>
  <si>
    <t>legionär</t>
  </si>
  <si>
    <t>alltags</t>
  </si>
  <si>
    <t>streut</t>
  </si>
  <si>
    <t>teilzeitjob</t>
  </si>
  <si>
    <t>geleite</t>
  </si>
  <si>
    <t>textilien</t>
  </si>
  <si>
    <t>liliputaner</t>
  </si>
  <si>
    <t>ogata</t>
  </si>
  <si>
    <t>leisesten</t>
  </si>
  <si>
    <t>zurechtfinden</t>
  </si>
  <si>
    <t>ballaststoffe</t>
  </si>
  <si>
    <t>hwang</t>
  </si>
  <si>
    <t>drinstecken</t>
  </si>
  <si>
    <t>risikos</t>
  </si>
  <si>
    <t>coupon</t>
  </si>
  <si>
    <t>maskulin</t>
  </si>
  <si>
    <t>schimpfe</t>
  </si>
  <si>
    <t>scorsese</t>
  </si>
  <si>
    <t>sakamoto</t>
  </si>
  <si>
    <t>schuldenfrei</t>
  </si>
  <si>
    <t>kochtopf</t>
  </si>
  <si>
    <t>nervte</t>
  </si>
  <si>
    <t>durchgestrichen</t>
  </si>
  <si>
    <t>sputen</t>
  </si>
  <si>
    <t>pcs</t>
  </si>
  <si>
    <t>zinn</t>
  </si>
  <si>
    <t>schütt</t>
  </si>
  <si>
    <t>mietfrei</t>
  </si>
  <si>
    <t>taijun</t>
  </si>
  <si>
    <t>dienstreise</t>
  </si>
  <si>
    <t>eskild</t>
  </si>
  <si>
    <t>verheiratetes</t>
  </si>
  <si>
    <t>ex-partner</t>
  </si>
  <si>
    <t>rasierschaum</t>
  </si>
  <si>
    <t>laborkittel</t>
  </si>
  <si>
    <t>tatkraft</t>
  </si>
  <si>
    <t>koller</t>
  </si>
  <si>
    <t>mh-hm</t>
  </si>
  <si>
    <t>cihan</t>
  </si>
  <si>
    <t>bekräftigt</t>
  </si>
  <si>
    <t>anzuzetteln</t>
  </si>
  <si>
    <t>cosmopolitan</t>
  </si>
  <si>
    <t>willigt</t>
  </si>
  <si>
    <t>duschvorhang</t>
  </si>
  <si>
    <t>soßen</t>
  </si>
  <si>
    <t>kopernikus</t>
  </si>
  <si>
    <t>klopfer</t>
  </si>
  <si>
    <t>runterschalten</t>
  </si>
  <si>
    <t>kicks</t>
  </si>
  <si>
    <t>ghettos</t>
  </si>
  <si>
    <t>babelfisch</t>
  </si>
  <si>
    <t>howl</t>
  </si>
  <si>
    <t>einfädeln</t>
  </si>
  <si>
    <t>quahog</t>
  </si>
  <si>
    <t>serenade</t>
  </si>
  <si>
    <t>ativan</t>
  </si>
  <si>
    <t>graydal</t>
  </si>
  <si>
    <t>scheibenkleister</t>
  </si>
  <si>
    <t>garance</t>
  </si>
  <si>
    <t>örtlicher</t>
  </si>
  <si>
    <t>zurückgesetzt</t>
  </si>
  <si>
    <t>qualmen</t>
  </si>
  <si>
    <t>grausigen</t>
  </si>
  <si>
    <t>shiner</t>
  </si>
  <si>
    <t>isses</t>
  </si>
  <si>
    <t>absetzt</t>
  </si>
  <si>
    <t>reinschieben</t>
  </si>
  <si>
    <t>spokane</t>
  </si>
  <si>
    <t>drehkörper</t>
  </si>
  <si>
    <t>übermittle</t>
  </si>
  <si>
    <t>kamille</t>
  </si>
  <si>
    <t>selbstsucht</t>
  </si>
  <si>
    <t>raffaele</t>
  </si>
  <si>
    <t>vorstandsvorsitzender</t>
  </si>
  <si>
    <t>ergötzen</t>
  </si>
  <si>
    <t>tracys</t>
  </si>
  <si>
    <t>lark</t>
  </si>
  <si>
    <t>t-rex</t>
  </si>
  <si>
    <t>uppsala</t>
  </si>
  <si>
    <t>spezialauftrag</t>
  </si>
  <si>
    <t>greenwood</t>
  </si>
  <si>
    <t>ermuntert</t>
  </si>
  <si>
    <t>carley</t>
  </si>
  <si>
    <t>noa</t>
  </si>
  <si>
    <t>peitschenhiebe</t>
  </si>
  <si>
    <t>blutbahn</t>
  </si>
  <si>
    <t>reingeholt</t>
  </si>
  <si>
    <t>perfektem</t>
  </si>
  <si>
    <t>erfrierungen</t>
  </si>
  <si>
    <t>betreiber</t>
  </si>
  <si>
    <t>georgiana</t>
  </si>
  <si>
    <t>schwesternstation</t>
  </si>
  <si>
    <t>benannte</t>
  </si>
  <si>
    <t>erwürgte</t>
  </si>
  <si>
    <t>quaid</t>
  </si>
  <si>
    <t>azumi</t>
  </si>
  <si>
    <t>giften</t>
  </si>
  <si>
    <t>ausbeuter</t>
  </si>
  <si>
    <t>mädelsabend</t>
  </si>
  <si>
    <t>aufpolieren</t>
  </si>
  <si>
    <t>magenta</t>
  </si>
  <si>
    <t>chandlers</t>
  </si>
  <si>
    <t>auszunehmen</t>
  </si>
  <si>
    <t>izumi</t>
  </si>
  <si>
    <t>hel</t>
  </si>
  <si>
    <t>gotti</t>
  </si>
  <si>
    <t>umgab</t>
  </si>
  <si>
    <t>vorwort</t>
  </si>
  <si>
    <t>mikrochips</t>
  </si>
  <si>
    <t>ijon</t>
  </si>
  <si>
    <t>gartenschlauch</t>
  </si>
  <si>
    <t>zweisamkeit</t>
  </si>
  <si>
    <t>klubhaus</t>
  </si>
  <si>
    <t>scharlach</t>
  </si>
  <si>
    <t>schwingung</t>
  </si>
  <si>
    <t>panem</t>
  </si>
  <si>
    <t>boo-boo</t>
  </si>
  <si>
    <t>körperhaltung</t>
  </si>
  <si>
    <t>anzustecken</t>
  </si>
  <si>
    <t>knalltüte</t>
  </si>
  <si>
    <t>sg-3</t>
  </si>
  <si>
    <t>knauserig</t>
  </si>
  <si>
    <t>ableiten</t>
  </si>
  <si>
    <t>durchzubringen</t>
  </si>
  <si>
    <t>lenkung</t>
  </si>
  <si>
    <t>radkappen</t>
  </si>
  <si>
    <t>jogginghose</t>
  </si>
  <si>
    <t>esthers</t>
  </si>
  <si>
    <t>vorschlägst</t>
  </si>
  <si>
    <t>phuong</t>
  </si>
  <si>
    <t>abstammen</t>
  </si>
  <si>
    <t>anrede</t>
  </si>
  <si>
    <t>ratatouille</t>
  </si>
  <si>
    <t>marschierst</t>
  </si>
  <si>
    <t>loszugehen</t>
  </si>
  <si>
    <t>reiterin</t>
  </si>
  <si>
    <t>segnete</t>
  </si>
  <si>
    <t>kostümfest</t>
  </si>
  <si>
    <t>elternteile</t>
  </si>
  <si>
    <t>großfürstin</t>
  </si>
  <si>
    <t>zacharias</t>
  </si>
  <si>
    <t>rituals</t>
  </si>
  <si>
    <t>ressource</t>
  </si>
  <si>
    <t>kalinka</t>
  </si>
  <si>
    <t>abzustatten</t>
  </si>
  <si>
    <t>kommandoschiff</t>
  </si>
  <si>
    <t>alright</t>
  </si>
  <si>
    <t>gorski</t>
  </si>
  <si>
    <t>abzurechnen</t>
  </si>
  <si>
    <t>ruhmreiche</t>
  </si>
  <si>
    <t>hochkriegen</t>
  </si>
  <si>
    <t>miyamoto</t>
  </si>
  <si>
    <t>strickt</t>
  </si>
  <si>
    <t>wimmelte</t>
  </si>
  <si>
    <t>menschenmengen</t>
  </si>
  <si>
    <t>heterosexuelle</t>
  </si>
  <si>
    <t>ladehemmung</t>
  </si>
  <si>
    <t>watty</t>
  </si>
  <si>
    <t>hinzubringen</t>
  </si>
  <si>
    <t>ruskin</t>
  </si>
  <si>
    <t>ico</t>
  </si>
  <si>
    <t>tappe</t>
  </si>
  <si>
    <t>lasern</t>
  </si>
  <si>
    <t>gerätschaften</t>
  </si>
  <si>
    <t>moto</t>
  </si>
  <si>
    <t>missgeburten</t>
  </si>
  <si>
    <t>aux</t>
  </si>
  <si>
    <t>regierungsbeamte</t>
  </si>
  <si>
    <t>erlösers</t>
  </si>
  <si>
    <t>college-abschluss</t>
  </si>
  <si>
    <t>korty</t>
  </si>
  <si>
    <t>capo</t>
  </si>
  <si>
    <t>abmelden</t>
  </si>
  <si>
    <t>ferkelchen</t>
  </si>
  <si>
    <t>jagdmesser</t>
  </si>
  <si>
    <t>jesper</t>
  </si>
  <si>
    <t>less</t>
  </si>
  <si>
    <t>calico</t>
  </si>
  <si>
    <t>ansässigen</t>
  </si>
  <si>
    <t>helenas</t>
  </si>
  <si>
    <t>viehtreiber</t>
  </si>
  <si>
    <t>haggis</t>
  </si>
  <si>
    <t>verschissener</t>
  </si>
  <si>
    <t>unfähigen</t>
  </si>
  <si>
    <t>technikern</t>
  </si>
  <si>
    <t>mitspielst</t>
  </si>
  <si>
    <t>ausstoßen</t>
  </si>
  <si>
    <t>hungry</t>
  </si>
  <si>
    <t>uneinig</t>
  </si>
  <si>
    <t>durchstoßen</t>
  </si>
  <si>
    <t>knoxville</t>
  </si>
  <si>
    <t>giulietta</t>
  </si>
  <si>
    <t>ikes</t>
  </si>
  <si>
    <t>ingenieuren</t>
  </si>
  <si>
    <t>privatsekretär</t>
  </si>
  <si>
    <t>zuleika</t>
  </si>
  <si>
    <t>croix</t>
  </si>
  <si>
    <t>pakistani</t>
  </si>
  <si>
    <t>hasenfuß</t>
  </si>
  <si>
    <t>baroness</t>
  </si>
  <si>
    <t>hansel</t>
  </si>
  <si>
    <t>sanae</t>
  </si>
  <si>
    <t>einflößen</t>
  </si>
  <si>
    <t>schleimiger</t>
  </si>
  <si>
    <t>etui</t>
  </si>
  <si>
    <t>superidee</t>
  </si>
  <si>
    <t>bohrte</t>
  </si>
  <si>
    <t>schmerzenslaute</t>
  </si>
  <si>
    <t>saugst</t>
  </si>
  <si>
    <t>willies</t>
  </si>
  <si>
    <t>luxushotel</t>
  </si>
  <si>
    <t>designt</t>
  </si>
  <si>
    <t>synergie</t>
  </si>
  <si>
    <t>schwarzwald</t>
  </si>
  <si>
    <t>energieverlust</t>
  </si>
  <si>
    <t>mitbewerber</t>
  </si>
  <si>
    <t>unablässig</t>
  </si>
  <si>
    <t>raumfahrer</t>
  </si>
  <si>
    <t>achteinhalb</t>
  </si>
  <si>
    <t>krampfanfälle</t>
  </si>
  <si>
    <t>leistenbruch</t>
  </si>
  <si>
    <t>he-man</t>
  </si>
  <si>
    <t>kontrollturm</t>
  </si>
  <si>
    <t>tanzwettbewerb</t>
  </si>
  <si>
    <t>vine</t>
  </si>
  <si>
    <t>dürrer</t>
  </si>
  <si>
    <t>fatzke</t>
  </si>
  <si>
    <t>drohend</t>
  </si>
  <si>
    <t>abgefuckten</t>
  </si>
  <si>
    <t>bewährungsausschuss</t>
  </si>
  <si>
    <t>djaq</t>
  </si>
  <si>
    <t>derzeitiger</t>
  </si>
  <si>
    <t>gewalttätiges</t>
  </si>
  <si>
    <t>verstärkten</t>
  </si>
  <si>
    <t>turniers</t>
  </si>
  <si>
    <t>magnusson</t>
  </si>
  <si>
    <t>spöttelt</t>
  </si>
  <si>
    <t>allianzen</t>
  </si>
  <si>
    <t>marga</t>
  </si>
  <si>
    <t>geseh</t>
  </si>
  <si>
    <t>gemeindemitglieder</t>
  </si>
  <si>
    <t>tucci</t>
  </si>
  <si>
    <t>herunterfahren</t>
  </si>
  <si>
    <t>bax</t>
  </si>
  <si>
    <t>auszumerzen</t>
  </si>
  <si>
    <t>wischte</t>
  </si>
  <si>
    <t>schraub</t>
  </si>
  <si>
    <t>klischeehaft</t>
  </si>
  <si>
    <t>drogenkartell</t>
  </si>
  <si>
    <t>stoppst</t>
  </si>
  <si>
    <t>kfc</t>
  </si>
  <si>
    <t>operator</t>
  </si>
  <si>
    <t>pon</t>
  </si>
  <si>
    <t>buchclub</t>
  </si>
  <si>
    <t>lay</t>
  </si>
  <si>
    <t>polonius</t>
  </si>
  <si>
    <t>eldorado</t>
  </si>
  <si>
    <t>bissel</t>
  </si>
  <si>
    <t>tüchern</t>
  </si>
  <si>
    <t>sedgwick</t>
  </si>
  <si>
    <t>grandiosen</t>
  </si>
  <si>
    <t>sicherheitsleuten</t>
  </si>
  <si>
    <t>ängstlichen</t>
  </si>
  <si>
    <t>cleverste</t>
  </si>
  <si>
    <t>rohling</t>
  </si>
  <si>
    <t>ignorierten</t>
  </si>
  <si>
    <t>großkhan</t>
  </si>
  <si>
    <t>staatskasse</t>
  </si>
  <si>
    <t>savastano</t>
  </si>
  <si>
    <t>sicherte</t>
  </si>
  <si>
    <t>riesenhaufen</t>
  </si>
  <si>
    <t>blechdose</t>
  </si>
  <si>
    <t>lügende</t>
  </si>
  <si>
    <t>antilope</t>
  </si>
  <si>
    <t>schwirr</t>
  </si>
  <si>
    <t>quatsche</t>
  </si>
  <si>
    <t>pullman</t>
  </si>
  <si>
    <t>goldfarb</t>
  </si>
  <si>
    <t>pah-geister</t>
  </si>
  <si>
    <t>ergattert</t>
  </si>
  <si>
    <t>geburtshilfe</t>
  </si>
  <si>
    <t>grässlicher</t>
  </si>
  <si>
    <t>genannter</t>
  </si>
  <si>
    <t>meinhard</t>
  </si>
  <si>
    <t>kackwurst</t>
  </si>
  <si>
    <t>unbewusste</t>
  </si>
  <si>
    <t>obszönen</t>
  </si>
  <si>
    <t>optimieren</t>
  </si>
  <si>
    <t>saba</t>
  </si>
  <si>
    <t>atherton</t>
  </si>
  <si>
    <t>strümpfen</t>
  </si>
  <si>
    <t>specialist</t>
  </si>
  <si>
    <t>unterstellungen</t>
  </si>
  <si>
    <t>schummler</t>
  </si>
  <si>
    <t>loris</t>
  </si>
  <si>
    <t>gleichaltrigen</t>
  </si>
  <si>
    <t>bauerntrampel</t>
  </si>
  <si>
    <t>netzwerken</t>
  </si>
  <si>
    <t>gürtelschnalle</t>
  </si>
  <si>
    <t>beschieden</t>
  </si>
  <si>
    <t>bravo-rufe</t>
  </si>
  <si>
    <t>zetrov</t>
  </si>
  <si>
    <t>waldi</t>
  </si>
  <si>
    <t>nachtschwester</t>
  </si>
  <si>
    <t>simona</t>
  </si>
  <si>
    <t>verabredest</t>
  </si>
  <si>
    <t>therapeutisch</t>
  </si>
  <si>
    <t>atreju</t>
  </si>
  <si>
    <t>gewordene</t>
  </si>
  <si>
    <t>vierbeiner</t>
  </si>
  <si>
    <t>unmenschen</t>
  </si>
  <si>
    <t>mastani</t>
  </si>
  <si>
    <t>schweigegelübde</t>
  </si>
  <si>
    <t>raiko</t>
  </si>
  <si>
    <t>sozialist</t>
  </si>
  <si>
    <t>willkommensparty</t>
  </si>
  <si>
    <t>mitspiele</t>
  </si>
  <si>
    <t>hufgetrappel</t>
  </si>
  <si>
    <t>rabauken</t>
  </si>
  <si>
    <t>coogan</t>
  </si>
  <si>
    <t>vollstopfen</t>
  </si>
  <si>
    <t>chianti</t>
  </si>
  <si>
    <t>rettungsversuch</t>
  </si>
  <si>
    <t>consuelo</t>
  </si>
  <si>
    <t>lieblingssong</t>
  </si>
  <si>
    <t>überschritt</t>
  </si>
  <si>
    <t>überquerten</t>
  </si>
  <si>
    <t>verneige</t>
  </si>
  <si>
    <t>tobbi</t>
  </si>
  <si>
    <t>rumzualbern</t>
  </si>
  <si>
    <t>kinderstation</t>
  </si>
  <si>
    <t>gewähr</t>
  </si>
  <si>
    <t>letztere</t>
  </si>
  <si>
    <t>schäbiges</t>
  </si>
  <si>
    <t>warnst</t>
  </si>
  <si>
    <t>gef</t>
  </si>
  <si>
    <t>offenhalten</t>
  </si>
  <si>
    <t>reinspringen</t>
  </si>
  <si>
    <t>lechero</t>
  </si>
  <si>
    <t>meeker</t>
  </si>
  <si>
    <t>sanborn</t>
  </si>
  <si>
    <t>gärtnerei</t>
  </si>
  <si>
    <t>hinreichenden</t>
  </si>
  <si>
    <t>wiederkehrt</t>
  </si>
  <si>
    <t>schafspelz</t>
  </si>
  <si>
    <t>vizedirektor</t>
  </si>
  <si>
    <t>einkreisen</t>
  </si>
  <si>
    <t>testeten</t>
  </si>
  <si>
    <t>gottfried</t>
  </si>
  <si>
    <t>lehrbücher</t>
  </si>
  <si>
    <t>mahmud</t>
  </si>
  <si>
    <t>mauritz</t>
  </si>
  <si>
    <t>kennys</t>
  </si>
  <si>
    <t>eingießen</t>
  </si>
  <si>
    <t>überarbeitete</t>
  </si>
  <si>
    <t>betriebsrat</t>
  </si>
  <si>
    <t>mercado</t>
  </si>
  <si>
    <t>endrunde</t>
  </si>
  <si>
    <t>fimpen</t>
  </si>
  <si>
    <t>schäumt</t>
  </si>
  <si>
    <t>kniebeugen</t>
  </si>
  <si>
    <t>arbeitskollege</t>
  </si>
  <si>
    <t>anzuheben</t>
  </si>
  <si>
    <t>dacier</t>
  </si>
  <si>
    <t>britannier</t>
  </si>
  <si>
    <t>parieren</t>
  </si>
  <si>
    <t>eggsy</t>
  </si>
  <si>
    <t>freundschaftlichen</t>
  </si>
  <si>
    <t>seeungeheuer</t>
  </si>
  <si>
    <t>costanza</t>
  </si>
  <si>
    <t>lilian</t>
  </si>
  <si>
    <t>konstruktive</t>
  </si>
  <si>
    <t>trainingsprogramm</t>
  </si>
  <si>
    <t>rummacht</t>
  </si>
  <si>
    <t>aufwachten</t>
  </si>
  <si>
    <t>wäscheleine</t>
  </si>
  <si>
    <t>quake</t>
  </si>
  <si>
    <t>lohan</t>
  </si>
  <si>
    <t>purpur</t>
  </si>
  <si>
    <t>joelle</t>
  </si>
  <si>
    <t>emerenc</t>
  </si>
  <si>
    <t>roggenbrot</t>
  </si>
  <si>
    <t>leguan</t>
  </si>
  <si>
    <t>managers</t>
  </si>
  <si>
    <t>fifty</t>
  </si>
  <si>
    <t>europol</t>
  </si>
  <si>
    <t>jungbrunnen</t>
  </si>
  <si>
    <t>verriegelung</t>
  </si>
  <si>
    <t>quintessenz</t>
  </si>
  <si>
    <t>versauten</t>
  </si>
  <si>
    <t>pailletten</t>
  </si>
  <si>
    <t>auskratzen</t>
  </si>
  <si>
    <t>tauschhandel</t>
  </si>
  <si>
    <t>collie</t>
  </si>
  <si>
    <t>sitka</t>
  </si>
  <si>
    <t>enteignet</t>
  </si>
  <si>
    <t>stephanies</t>
  </si>
  <si>
    <t>lauscher</t>
  </si>
  <si>
    <t>pasa</t>
  </si>
  <si>
    <t>kabarett</t>
  </si>
  <si>
    <t>milchshakes</t>
  </si>
  <si>
    <t>natrium</t>
  </si>
  <si>
    <t>intervenieren</t>
  </si>
  <si>
    <t>putin</t>
  </si>
  <si>
    <t>100-prozentig</t>
  </si>
  <si>
    <t>weiberheld</t>
  </si>
  <si>
    <t>geschehnissen</t>
  </si>
  <si>
    <t>wiedererkennt</t>
  </si>
  <si>
    <t>werdenden</t>
  </si>
  <si>
    <t>umziehe</t>
  </si>
  <si>
    <t>lebensbedrohlich</t>
  </si>
  <si>
    <t>mauerblümchen</t>
  </si>
  <si>
    <t>elektrizitätswerk</t>
  </si>
  <si>
    <t>promoviert</t>
  </si>
  <si>
    <t>horik</t>
  </si>
  <si>
    <t>reduziere</t>
  </si>
  <si>
    <t>internes</t>
  </si>
  <si>
    <t>nüchterne</t>
  </si>
  <si>
    <t>aufgespart</t>
  </si>
  <si>
    <t>versäumte</t>
  </si>
  <si>
    <t>luli</t>
  </si>
  <si>
    <t>hyun-seo</t>
  </si>
  <si>
    <t>diplome</t>
  </si>
  <si>
    <t>sportteil</t>
  </si>
  <si>
    <t>amidala</t>
  </si>
  <si>
    <t>toshi</t>
  </si>
  <si>
    <t>rückschritt</t>
  </si>
  <si>
    <t>gestreifte</t>
  </si>
  <si>
    <t>chiara</t>
  </si>
  <si>
    <t>rasende</t>
  </si>
  <si>
    <t>maeve</t>
  </si>
  <si>
    <t>schlaflos</t>
  </si>
  <si>
    <t>berglöwen</t>
  </si>
  <si>
    <t>allenfalls</t>
  </si>
  <si>
    <t>putzmittel</t>
  </si>
  <si>
    <t>neff</t>
  </si>
  <si>
    <t>stelzen</t>
  </si>
  <si>
    <t>kentern</t>
  </si>
  <si>
    <t>lädiert</t>
  </si>
  <si>
    <t>schreckensherrschaft</t>
  </si>
  <si>
    <t>waghalsig</t>
  </si>
  <si>
    <t>gebrechlich</t>
  </si>
  <si>
    <t>hinlegt</t>
  </si>
  <si>
    <t>ungeschützten</t>
  </si>
  <si>
    <t>anfänglichen</t>
  </si>
  <si>
    <t>amarillo</t>
  </si>
  <si>
    <t>schwulenbar</t>
  </si>
  <si>
    <t>uliamos</t>
  </si>
  <si>
    <t>18-jährigen</t>
  </si>
  <si>
    <t>geburtsurkunden</t>
  </si>
  <si>
    <t>sexsüchtig</t>
  </si>
  <si>
    <t>abklatschen</t>
  </si>
  <si>
    <t>lebenserhaltungssysteme</t>
  </si>
  <si>
    <t>speaker</t>
  </si>
  <si>
    <t>müsliriegel</t>
  </si>
  <si>
    <t>luftschächte</t>
  </si>
  <si>
    <t>kampieren</t>
  </si>
  <si>
    <t>verschönert</t>
  </si>
  <si>
    <t>zins</t>
  </si>
  <si>
    <t>segelst</t>
  </si>
  <si>
    <t>verspätete</t>
  </si>
  <si>
    <t>traualtar</t>
  </si>
  <si>
    <t>sklaventreiber</t>
  </si>
  <si>
    <t>genehmigten</t>
  </si>
  <si>
    <t>orients</t>
  </si>
  <si>
    <t>rosenthal</t>
  </si>
  <si>
    <t>hus</t>
  </si>
  <si>
    <t>spielzüge</t>
  </si>
  <si>
    <t>empfangshalle</t>
  </si>
  <si>
    <t>vonstatten</t>
  </si>
  <si>
    <t>quack</t>
  </si>
  <si>
    <t>taki</t>
  </si>
  <si>
    <t>vollmachten</t>
  </si>
  <si>
    <t>unkenntlichkeit</t>
  </si>
  <si>
    <t>ersäufen</t>
  </si>
  <si>
    <t>zeng</t>
  </si>
  <si>
    <t>überschwänglich</t>
  </si>
  <si>
    <t>jills</t>
  </si>
  <si>
    <t>mikado</t>
  </si>
  <si>
    <t>vanessas</t>
  </si>
  <si>
    <t>imitationen</t>
  </si>
  <si>
    <t>malory</t>
  </si>
  <si>
    <t>muskelkater</t>
  </si>
  <si>
    <t>boost</t>
  </si>
  <si>
    <t>irin</t>
  </si>
  <si>
    <t>vervollständigt</t>
  </si>
  <si>
    <t>geölter</t>
  </si>
  <si>
    <t>autopiloten</t>
  </si>
  <si>
    <t>gouda</t>
  </si>
  <si>
    <t>unterschieben</t>
  </si>
  <si>
    <t>beknackte</t>
  </si>
  <si>
    <t>leihwagen</t>
  </si>
  <si>
    <t>bestrafte</t>
  </si>
  <si>
    <t>alarmsirene</t>
  </si>
  <si>
    <t>schmälern</t>
  </si>
  <si>
    <t>rafiel</t>
  </si>
  <si>
    <t>ferngesteuerte</t>
  </si>
  <si>
    <t>brandneuer</t>
  </si>
  <si>
    <t>bundeskanzler</t>
  </si>
  <si>
    <t>aufzuzeigen</t>
  </si>
  <si>
    <t>spikes</t>
  </si>
  <si>
    <t>sms-ton</t>
  </si>
  <si>
    <t>crabtree</t>
  </si>
  <si>
    <t>nachgeprüft</t>
  </si>
  <si>
    <t>toxisch</t>
  </si>
  <si>
    <t>küchenboden</t>
  </si>
  <si>
    <t>umnieten</t>
  </si>
  <si>
    <t>traci</t>
  </si>
  <si>
    <t>slogans</t>
  </si>
  <si>
    <t>spreizt</t>
  </si>
  <si>
    <t>blättert</t>
  </si>
  <si>
    <t>elendig</t>
  </si>
  <si>
    <t>straferlass</t>
  </si>
  <si>
    <t>unterstehe</t>
  </si>
  <si>
    <t>shores</t>
  </si>
  <si>
    <t>rubrik</t>
  </si>
  <si>
    <t>sloanes</t>
  </si>
  <si>
    <t>ebenezer</t>
  </si>
  <si>
    <t>maiwald</t>
  </si>
  <si>
    <t>latten</t>
  </si>
  <si>
    <t>weideland</t>
  </si>
  <si>
    <t>kultivieren</t>
  </si>
  <si>
    <t>durchtrieben</t>
  </si>
  <si>
    <t>wet</t>
  </si>
  <si>
    <t>bestach</t>
  </si>
  <si>
    <t>wegschießen</t>
  </si>
  <si>
    <t>hauie</t>
  </si>
  <si>
    <t>abschaltet</t>
  </si>
  <si>
    <t>céline</t>
  </si>
  <si>
    <t>denni331</t>
  </si>
  <si>
    <t>widern</t>
  </si>
  <si>
    <t>großrechner</t>
  </si>
  <si>
    <t>seidel</t>
  </si>
  <si>
    <t>stückes</t>
  </si>
  <si>
    <t>machado</t>
  </si>
  <si>
    <t>nachzulaufen</t>
  </si>
  <si>
    <t>dunkelhaarig</t>
  </si>
  <si>
    <t>kokons</t>
  </si>
  <si>
    <t>wahlkampagne</t>
  </si>
  <si>
    <t>lagerhäuser</t>
  </si>
  <si>
    <t>unbewohnbar</t>
  </si>
  <si>
    <t>püree</t>
  </si>
  <si>
    <t>sakristei</t>
  </si>
  <si>
    <t>clock</t>
  </si>
  <si>
    <t>verkaufs</t>
  </si>
  <si>
    <t>atomen</t>
  </si>
  <si>
    <t>grappa</t>
  </si>
  <si>
    <t>eigenheiten</t>
  </si>
  <si>
    <t>übersah</t>
  </si>
  <si>
    <t>schmetterlingen</t>
  </si>
  <si>
    <t>exekutionskommando</t>
  </si>
  <si>
    <t>holster</t>
  </si>
  <si>
    <t>duster</t>
  </si>
  <si>
    <t>amado</t>
  </si>
  <si>
    <t>schmachten</t>
  </si>
  <si>
    <t>nicklas</t>
  </si>
  <si>
    <t>laurens</t>
  </si>
  <si>
    <t>worldwide</t>
  </si>
  <si>
    <t>spross</t>
  </si>
  <si>
    <t>sonderbarer</t>
  </si>
  <si>
    <t>hamm</t>
  </si>
  <si>
    <t>eragon</t>
  </si>
  <si>
    <t>zugeschnitten</t>
  </si>
  <si>
    <t>freundschaftsbesuch</t>
  </si>
  <si>
    <t>abzustreiten</t>
  </si>
  <si>
    <t>feststeckt</t>
  </si>
  <si>
    <t>arianna</t>
  </si>
  <si>
    <t>dekans</t>
  </si>
  <si>
    <t>aktivposten</t>
  </si>
  <si>
    <t>bodenproben</t>
  </si>
  <si>
    <t>böschung</t>
  </si>
  <si>
    <t>zulieferer</t>
  </si>
  <si>
    <t>herrschende</t>
  </si>
  <si>
    <t>zurechtgekommen</t>
  </si>
  <si>
    <t>fernzusehen</t>
  </si>
  <si>
    <t>wabash</t>
  </si>
  <si>
    <t>überblicken</t>
  </si>
  <si>
    <t>darkhold</t>
  </si>
  <si>
    <t>bettwanzen</t>
  </si>
  <si>
    <t>einnahmequelle</t>
  </si>
  <si>
    <t>toes</t>
  </si>
  <si>
    <t>rechtschaffenen</t>
  </si>
  <si>
    <t>kifft</t>
  </si>
  <si>
    <t>meechum</t>
  </si>
  <si>
    <t>einflussreicher</t>
  </si>
  <si>
    <t>archimedes</t>
  </si>
  <si>
    <t>hirnloser</t>
  </si>
  <si>
    <t>gnu</t>
  </si>
  <si>
    <t>gehirnblutung</t>
  </si>
  <si>
    <t>aktienkurs</t>
  </si>
  <si>
    <t>dubios</t>
  </si>
  <si>
    <t>slattery</t>
  </si>
  <si>
    <t>karpov</t>
  </si>
  <si>
    <t>tanzbein</t>
  </si>
  <si>
    <t>richtigem</t>
  </si>
  <si>
    <t>s11</t>
  </si>
  <si>
    <t>amp</t>
  </si>
  <si>
    <t>mortadella</t>
  </si>
  <si>
    <t>pfandleihe</t>
  </si>
  <si>
    <t>win-win</t>
  </si>
  <si>
    <t>zurückkäme</t>
  </si>
  <si>
    <t>schlachtruf</t>
  </si>
  <si>
    <t>beitrat</t>
  </si>
  <si>
    <t>relevante</t>
  </si>
  <si>
    <t>brodeln</t>
  </si>
  <si>
    <t>gibsons</t>
  </si>
  <si>
    <t>rinnstein</t>
  </si>
  <si>
    <t>zentrifuge</t>
  </si>
  <si>
    <t>einzufügen</t>
  </si>
  <si>
    <t>bewohnten</t>
  </si>
  <si>
    <t>serpico</t>
  </si>
  <si>
    <t>ungefragt</t>
  </si>
  <si>
    <t>turnschuhen</t>
  </si>
  <si>
    <t>karlsson</t>
  </si>
  <si>
    <t>neuguinea</t>
  </si>
  <si>
    <t>bluts</t>
  </si>
  <si>
    <t>landmann</t>
  </si>
  <si>
    <t>lipton</t>
  </si>
  <si>
    <t>nacktem</t>
  </si>
  <si>
    <t>zurücklaufen</t>
  </si>
  <si>
    <t>ungenügend</t>
  </si>
  <si>
    <t>aussätzigen</t>
  </si>
  <si>
    <t>klientel</t>
  </si>
  <si>
    <t>abbinden</t>
  </si>
  <si>
    <t>grayza</t>
  </si>
  <si>
    <t>zusammenfällt</t>
  </si>
  <si>
    <t>unerlaubter</t>
  </si>
  <si>
    <t>tragweite</t>
  </si>
  <si>
    <t>beschlagnahmung</t>
  </si>
  <si>
    <t>produktiver</t>
  </si>
  <si>
    <t>kollaborateur</t>
  </si>
  <si>
    <t>drogenschmuggel</t>
  </si>
  <si>
    <t>kohlensäure</t>
  </si>
  <si>
    <t>jahresgehalt</t>
  </si>
  <si>
    <t>us-militär</t>
  </si>
  <si>
    <t>susy</t>
  </si>
  <si>
    <t>brophy</t>
  </si>
  <si>
    <t>friedenskorps</t>
  </si>
  <si>
    <t>bamm</t>
  </si>
  <si>
    <t>diplomatischer</t>
  </si>
  <si>
    <t>fie</t>
  </si>
  <si>
    <t>melly</t>
  </si>
  <si>
    <t>rebirth</t>
  </si>
  <si>
    <t>schmeichelst</t>
  </si>
  <si>
    <t>vernebeln</t>
  </si>
  <si>
    <t>rausspringt</t>
  </si>
  <si>
    <t>near</t>
  </si>
  <si>
    <t>herzuholen</t>
  </si>
  <si>
    <t>schlüpfte</t>
  </si>
  <si>
    <t>arcchancellor</t>
  </si>
  <si>
    <t>mannix</t>
  </si>
  <si>
    <t>speicherkarte</t>
  </si>
  <si>
    <t>siezen</t>
  </si>
  <si>
    <t>cheerio</t>
  </si>
  <si>
    <t>hhm</t>
  </si>
  <si>
    <t>grundsätzen</t>
  </si>
  <si>
    <t>turing</t>
  </si>
  <si>
    <t>idyllisch</t>
  </si>
  <si>
    <t>suliban</t>
  </si>
  <si>
    <t>birma</t>
  </si>
  <si>
    <t>schrillen</t>
  </si>
  <si>
    <t>schlagmal</t>
  </si>
  <si>
    <t>blütenblätter</t>
  </si>
  <si>
    <t>böcke</t>
  </si>
  <si>
    <t>zurückfordern</t>
  </si>
  <si>
    <t>vertreibst</t>
  </si>
  <si>
    <t>entrüstet</t>
  </si>
  <si>
    <t>edelsten</t>
  </si>
  <si>
    <t>unkonventionelle</t>
  </si>
  <si>
    <t>amandine</t>
  </si>
  <si>
    <t>jenige</t>
  </si>
  <si>
    <t>vertikal</t>
  </si>
  <si>
    <t>belästigte</t>
  </si>
  <si>
    <t>hyperion</t>
  </si>
  <si>
    <t>dageblieben</t>
  </si>
  <si>
    <t>gelobten</t>
  </si>
  <si>
    <t>bewährungsanhörung</t>
  </si>
  <si>
    <t>eingreiftruppe</t>
  </si>
  <si>
    <t>taschendiebe</t>
  </si>
  <si>
    <t>reviers</t>
  </si>
  <si>
    <t>dankbaren</t>
  </si>
  <si>
    <t>plantagen</t>
  </si>
  <si>
    <t>jjü</t>
  </si>
  <si>
    <t>cia-agent</t>
  </si>
  <si>
    <t>geschleust</t>
  </si>
  <si>
    <t>lebensgrundlage</t>
  </si>
  <si>
    <t>brünetten</t>
  </si>
  <si>
    <t>handwerklich</t>
  </si>
  <si>
    <t>offenbare</t>
  </si>
  <si>
    <t>dolittle</t>
  </si>
  <si>
    <t>piranha</t>
  </si>
  <si>
    <t>rumerzählt</t>
  </si>
  <si>
    <t>heimen</t>
  </si>
  <si>
    <t>strampeln</t>
  </si>
  <si>
    <t>maiglöckchen</t>
  </si>
  <si>
    <t>robinsons</t>
  </si>
  <si>
    <t>calabria</t>
  </si>
  <si>
    <t>skyes</t>
  </si>
  <si>
    <t>umlegst</t>
  </si>
  <si>
    <t>aladdin</t>
  </si>
  <si>
    <t>knackte</t>
  </si>
  <si>
    <t>pflücke</t>
  </si>
  <si>
    <t>abschiebung</t>
  </si>
  <si>
    <t>kennung</t>
  </si>
  <si>
    <t>iago</t>
  </si>
  <si>
    <t>montenegro</t>
  </si>
  <si>
    <t>stibitzt</t>
  </si>
  <si>
    <t>vorratsraum</t>
  </si>
  <si>
    <t>verschieb</t>
  </si>
  <si>
    <t>machthaber</t>
  </si>
  <si>
    <t>nettigkeiten</t>
  </si>
  <si>
    <t>diebes</t>
  </si>
  <si>
    <t>schraubstock</t>
  </si>
  <si>
    <t>umgehungsstraße</t>
  </si>
  <si>
    <t>zornige</t>
  </si>
  <si>
    <t>brainstorming</t>
  </si>
  <si>
    <t>amamiya</t>
  </si>
  <si>
    <t>wellensittich</t>
  </si>
  <si>
    <t>elche</t>
  </si>
  <si>
    <t>tael</t>
  </si>
  <si>
    <t>youssef</t>
  </si>
  <si>
    <t>zerrissene</t>
  </si>
  <si>
    <t>luschen</t>
  </si>
  <si>
    <t>geo</t>
  </si>
  <si>
    <t>liebeslieder</t>
  </si>
  <si>
    <t>niederzulegen</t>
  </si>
  <si>
    <t>widerstandsfähig</t>
  </si>
  <si>
    <t>partout</t>
  </si>
  <si>
    <t>unkooperativ</t>
  </si>
  <si>
    <t>umgerannt</t>
  </si>
  <si>
    <t>duelle</t>
  </si>
  <si>
    <t>diddy</t>
  </si>
  <si>
    <t>pässen</t>
  </si>
  <si>
    <t>parcours</t>
  </si>
  <si>
    <t>aufgekommen</t>
  </si>
  <si>
    <t>staatsoberhaupt</t>
  </si>
  <si>
    <t>immobilienmaklerin</t>
  </si>
  <si>
    <t>fransen</t>
  </si>
  <si>
    <t>segment</t>
  </si>
  <si>
    <t>takayama</t>
  </si>
  <si>
    <t>schleudertrauma</t>
  </si>
  <si>
    <t>j.c.</t>
  </si>
  <si>
    <t>sozialarbeit</t>
  </si>
  <si>
    <t>anwendungen</t>
  </si>
  <si>
    <t>sodawasser</t>
  </si>
  <si>
    <t>nachwachsen</t>
  </si>
  <si>
    <t>abhielt</t>
  </si>
  <si>
    <t>française</t>
  </si>
  <si>
    <t>mürrische</t>
  </si>
  <si>
    <t>schmutzwäsche</t>
  </si>
  <si>
    <t>erhebung</t>
  </si>
  <si>
    <t>verschollene</t>
  </si>
  <si>
    <t>hausierer</t>
  </si>
  <si>
    <t>sherri</t>
  </si>
  <si>
    <t>anbietest</t>
  </si>
  <si>
    <t>omnis</t>
  </si>
  <si>
    <t>reagans</t>
  </si>
  <si>
    <t>satzes</t>
  </si>
  <si>
    <t>taue</t>
  </si>
  <si>
    <t>durchgebraten</t>
  </si>
  <si>
    <t>sozialleben</t>
  </si>
  <si>
    <t>geschäftsplan</t>
  </si>
  <si>
    <t>weltraumstation</t>
  </si>
  <si>
    <t>x-men</t>
  </si>
  <si>
    <t>riesengroßes</t>
  </si>
  <si>
    <t>ascanio</t>
  </si>
  <si>
    <t>robi</t>
  </si>
  <si>
    <t>attackierte</t>
  </si>
  <si>
    <t>schweins</t>
  </si>
  <si>
    <t>crispin</t>
  </si>
  <si>
    <t>langstreckensensoren</t>
  </si>
  <si>
    <t>beunruhigte</t>
  </si>
  <si>
    <t>lustvoll</t>
  </si>
  <si>
    <t>schreibmaschinen</t>
  </si>
  <si>
    <t>schuldner</t>
  </si>
  <si>
    <t>lyra</t>
  </si>
  <si>
    <t>bachman</t>
  </si>
  <si>
    <t>seezunge</t>
  </si>
  <si>
    <t>mitschuld</t>
  </si>
  <si>
    <t>dijon</t>
  </si>
  <si>
    <t>wunschtraum</t>
  </si>
  <si>
    <t>davongetragen</t>
  </si>
  <si>
    <t>nuri</t>
  </si>
  <si>
    <t>geblitzt</t>
  </si>
  <si>
    <t>unbedeutendes</t>
  </si>
  <si>
    <t>alvy</t>
  </si>
  <si>
    <t>njet</t>
  </si>
  <si>
    <t>unklarheiten</t>
  </si>
  <si>
    <t>kreationen</t>
  </si>
  <si>
    <t>britin</t>
  </si>
  <si>
    <t>zuzumachen</t>
  </si>
  <si>
    <t>salben</t>
  </si>
  <si>
    <t>brandbeschleuniger</t>
  </si>
  <si>
    <t>loszukommen</t>
  </si>
  <si>
    <t>sause</t>
  </si>
  <si>
    <t>unausgeglichen</t>
  </si>
  <si>
    <t>shakes</t>
  </si>
  <si>
    <t>ahead</t>
  </si>
  <si>
    <t>pädagogik</t>
  </si>
  <si>
    <t>schlagermusik</t>
  </si>
  <si>
    <t>rosarote</t>
  </si>
  <si>
    <t>schulfreunde</t>
  </si>
  <si>
    <t>errötet</t>
  </si>
  <si>
    <t>obskuren</t>
  </si>
  <si>
    <t>zuhälterei</t>
  </si>
  <si>
    <t>serbische</t>
  </si>
  <si>
    <t>rosine</t>
  </si>
  <si>
    <t>suat</t>
  </si>
  <si>
    <t>chirurgischer</t>
  </si>
  <si>
    <t>nachgiebig</t>
  </si>
  <si>
    <t>zorniger</t>
  </si>
  <si>
    <t>zweifele</t>
  </si>
  <si>
    <t>zurückpfeifen</t>
  </si>
  <si>
    <t>waten</t>
  </si>
  <si>
    <t>gorgo</t>
  </si>
  <si>
    <t>einnahm</t>
  </si>
  <si>
    <t>glückssache</t>
  </si>
  <si>
    <t>adamsapfel</t>
  </si>
  <si>
    <t>alchemy</t>
  </si>
  <si>
    <t>südwärts</t>
  </si>
  <si>
    <t>staatsgeheimnis</t>
  </si>
  <si>
    <t>unterjubeln</t>
  </si>
  <si>
    <t>freibekommen</t>
  </si>
  <si>
    <t>bauernmarkt</t>
  </si>
  <si>
    <t>ländliche</t>
  </si>
  <si>
    <t>bedeutsames</t>
  </si>
  <si>
    <t>bedeutsame</t>
  </si>
  <si>
    <t>geburtshelfer</t>
  </si>
  <si>
    <t>playing</t>
  </si>
  <si>
    <t>gutherzig</t>
  </si>
  <si>
    <t>tiefgang</t>
  </si>
  <si>
    <t>gehsteig</t>
  </si>
  <si>
    <t>heimgefahren</t>
  </si>
  <si>
    <t>seriöses</t>
  </si>
  <si>
    <t>mub</t>
  </si>
  <si>
    <t>buffys</t>
  </si>
  <si>
    <t>weltbild</t>
  </si>
  <si>
    <t>farblos</t>
  </si>
  <si>
    <t>gwynne</t>
  </si>
  <si>
    <t>rasche</t>
  </si>
  <si>
    <t>gestreiften</t>
  </si>
  <si>
    <t>wegzulocken</t>
  </si>
  <si>
    <t>quälgeist</t>
  </si>
  <si>
    <t>exhumierung</t>
  </si>
  <si>
    <t>beweises</t>
  </si>
  <si>
    <t>rothaariger</t>
  </si>
  <si>
    <t>schleimigen</t>
  </si>
  <si>
    <t>erstaunlichste</t>
  </si>
  <si>
    <t>auskennst</t>
  </si>
  <si>
    <t>hauptperson</t>
  </si>
  <si>
    <t>zurückgereist</t>
  </si>
  <si>
    <t>hetzte</t>
  </si>
  <si>
    <t>verstauchung</t>
  </si>
  <si>
    <t>eifriger</t>
  </si>
  <si>
    <t>zusammennehmen</t>
  </si>
  <si>
    <t>neuville</t>
  </si>
  <si>
    <t>warscheinlich</t>
  </si>
  <si>
    <t>starlight</t>
  </si>
  <si>
    <t>biegung</t>
  </si>
  <si>
    <t>sadik</t>
  </si>
  <si>
    <t>austrittswunde</t>
  </si>
  <si>
    <t>dwarves</t>
  </si>
  <si>
    <t>egoisten</t>
  </si>
  <si>
    <t>entbinde</t>
  </si>
  <si>
    <t>nonnatus-haus</t>
  </si>
  <si>
    <t>geziemt</t>
  </si>
  <si>
    <t>dazugeben</t>
  </si>
  <si>
    <t>cas</t>
  </si>
  <si>
    <t>vorangetrieben</t>
  </si>
  <si>
    <t>dabehalten</t>
  </si>
  <si>
    <t>wildeste</t>
  </si>
  <si>
    <t>kompensiert</t>
  </si>
  <si>
    <t>schuljungen</t>
  </si>
  <si>
    <t>catrina</t>
  </si>
  <si>
    <t>riskantes</t>
  </si>
  <si>
    <t>vermeintliche</t>
  </si>
  <si>
    <t>allerwertesten</t>
  </si>
  <si>
    <t>gekreische</t>
  </si>
  <si>
    <t>abschneide</t>
  </si>
  <si>
    <t>greenville</t>
  </si>
  <si>
    <t>bride</t>
  </si>
  <si>
    <t>buttermilch</t>
  </si>
  <si>
    <t>zerspringen</t>
  </si>
  <si>
    <t>afrikanisch</t>
  </si>
  <si>
    <t>fluggäste</t>
  </si>
  <si>
    <t>skorbut</t>
  </si>
  <si>
    <t>sicherheitsberater</t>
  </si>
  <si>
    <t>recycelt</t>
  </si>
  <si>
    <t>vertrocknete</t>
  </si>
  <si>
    <t>panikraum</t>
  </si>
  <si>
    <t>gesteinigt</t>
  </si>
  <si>
    <t>damons</t>
  </si>
  <si>
    <t>inschriften</t>
  </si>
  <si>
    <t>jingles</t>
  </si>
  <si>
    <t>poltert</t>
  </si>
  <si>
    <t>dreiundzwanzig</t>
  </si>
  <si>
    <t>highlands</t>
  </si>
  <si>
    <t>mookie</t>
  </si>
  <si>
    <t>einbehalten</t>
  </si>
  <si>
    <t>anzuzapfen</t>
  </si>
  <si>
    <t>tabor</t>
  </si>
  <si>
    <t>schwimmteam</t>
  </si>
  <si>
    <t>pxxx</t>
  </si>
  <si>
    <t>schwerverbrechen</t>
  </si>
  <si>
    <t>salina</t>
  </si>
  <si>
    <t>maschen</t>
  </si>
  <si>
    <t>hexenbiest</t>
  </si>
  <si>
    <t>hauptzeuge</t>
  </si>
  <si>
    <t>prissy</t>
  </si>
  <si>
    <t>mckinney</t>
  </si>
  <si>
    <t>ärztekammer</t>
  </si>
  <si>
    <t>bettnässer</t>
  </si>
  <si>
    <t>steuerprüfung</t>
  </si>
  <si>
    <t>kretin</t>
  </si>
  <si>
    <t>cougars</t>
  </si>
  <si>
    <t>verursachst</t>
  </si>
  <si>
    <t>zurückdenke</t>
  </si>
  <si>
    <t>sikozu</t>
  </si>
  <si>
    <t>dembe</t>
  </si>
  <si>
    <t>sekundenkleber</t>
  </si>
  <si>
    <t>zumacht</t>
  </si>
  <si>
    <t>spröde</t>
  </si>
  <si>
    <t>ausnüchterungszelle</t>
  </si>
  <si>
    <t>rausschlagen</t>
  </si>
  <si>
    <t>rekordzeit</t>
  </si>
  <si>
    <t>konzerns</t>
  </si>
  <si>
    <t>suchmaschine</t>
  </si>
  <si>
    <t>politikerin</t>
  </si>
  <si>
    <t>feindselige</t>
  </si>
  <si>
    <t>walen</t>
  </si>
  <si>
    <t>wirksamkeit</t>
  </si>
  <si>
    <t>buntes</t>
  </si>
  <si>
    <t>camilo</t>
  </si>
  <si>
    <t>mhh</t>
  </si>
  <si>
    <t>schleicher</t>
  </si>
  <si>
    <t>überwachten</t>
  </si>
  <si>
    <t>rizvan</t>
  </si>
  <si>
    <t>zubeißen</t>
  </si>
  <si>
    <t>rainey</t>
  </si>
  <si>
    <t>jodelt</t>
  </si>
  <si>
    <t>chronischer</t>
  </si>
  <si>
    <t>megs</t>
  </si>
  <si>
    <t>angemietet</t>
  </si>
  <si>
    <t>ethnischen</t>
  </si>
  <si>
    <t>naturgesetz</t>
  </si>
  <si>
    <t>versicherungsvertreter</t>
  </si>
  <si>
    <t>lakes</t>
  </si>
  <si>
    <t>clothes</t>
  </si>
  <si>
    <t>sumatra</t>
  </si>
  <si>
    <t>otilia</t>
  </si>
  <si>
    <t>aufwarten</t>
  </si>
  <si>
    <t>einsetzten</t>
  </si>
  <si>
    <t>finnische</t>
  </si>
  <si>
    <t>paisley</t>
  </si>
  <si>
    <t>durchhalte</t>
  </si>
  <si>
    <t>neuengland</t>
  </si>
  <si>
    <t>2te</t>
  </si>
  <si>
    <t>gondeln</t>
  </si>
  <si>
    <t>stützräder</t>
  </si>
  <si>
    <t>pornofilme</t>
  </si>
  <si>
    <t>leblose</t>
  </si>
  <si>
    <t>kriegerischen</t>
  </si>
  <si>
    <t>lagertha</t>
  </si>
  <si>
    <t>hautausschlag</t>
  </si>
  <si>
    <t>flan</t>
  </si>
  <si>
    <t>abzuschlachten</t>
  </si>
  <si>
    <t>rivalisierenden</t>
  </si>
  <si>
    <t>kondomen</t>
  </si>
  <si>
    <t>gesamtheit</t>
  </si>
  <si>
    <t>gambini</t>
  </si>
  <si>
    <t>ausgereift</t>
  </si>
  <si>
    <t>mya</t>
  </si>
  <si>
    <t>geschöpfen</t>
  </si>
  <si>
    <t>reston</t>
  </si>
  <si>
    <t>welken</t>
  </si>
  <si>
    <t>anschwärzen</t>
  </si>
  <si>
    <t>farbstoff</t>
  </si>
  <si>
    <t>chemiefabrik</t>
  </si>
  <si>
    <t>abtrennung</t>
  </si>
  <si>
    <t>ausrastet</t>
  </si>
  <si>
    <t>streusel</t>
  </si>
  <si>
    <t>kommandoposten</t>
  </si>
  <si>
    <t>sonder</t>
  </si>
  <si>
    <t>viehzüchter</t>
  </si>
  <si>
    <t>abstellraum</t>
  </si>
  <si>
    <t>gimme</t>
  </si>
  <si>
    <t>m-16</t>
  </si>
  <si>
    <t>unterwandert</t>
  </si>
  <si>
    <t>abertausende</t>
  </si>
  <si>
    <t>rasante</t>
  </si>
  <si>
    <t>makrelen</t>
  </si>
  <si>
    <t>broad</t>
  </si>
  <si>
    <t>umbenannt</t>
  </si>
  <si>
    <t>tomahawk</t>
  </si>
  <si>
    <t>dun</t>
  </si>
  <si>
    <t>vaughns</t>
  </si>
  <si>
    <t>abklemmen</t>
  </si>
  <si>
    <t>escort</t>
  </si>
  <si>
    <t>nanna</t>
  </si>
  <si>
    <t>krumitz</t>
  </si>
  <si>
    <t>schwedisches</t>
  </si>
  <si>
    <t>verstopfte</t>
  </si>
  <si>
    <t>puritaner</t>
  </si>
  <si>
    <t>sonderbares</t>
  </si>
  <si>
    <t>vibes</t>
  </si>
  <si>
    <t>aufführungen</t>
  </si>
  <si>
    <t>norén</t>
  </si>
  <si>
    <t>nachrede</t>
  </si>
  <si>
    <t>poetische</t>
  </si>
  <si>
    <t>sullivans</t>
  </si>
  <si>
    <t>brandons</t>
  </si>
  <si>
    <t>yoichi</t>
  </si>
  <si>
    <t>reduzierung</t>
  </si>
  <si>
    <t>manilow</t>
  </si>
  <si>
    <t>gedächtnislücken</t>
  </si>
  <si>
    <t>cujo</t>
  </si>
  <si>
    <t>accessoire</t>
  </si>
  <si>
    <t>büschel</t>
  </si>
  <si>
    <t>fingerspitzengefühl</t>
  </si>
  <si>
    <t>beaujolais</t>
  </si>
  <si>
    <t>bekanntmachen</t>
  </si>
  <si>
    <t>übermut</t>
  </si>
  <si>
    <t>schüchterner</t>
  </si>
  <si>
    <t>aristokrat</t>
  </si>
  <si>
    <t>polina</t>
  </si>
  <si>
    <t>mobley</t>
  </si>
  <si>
    <t>scho</t>
  </si>
  <si>
    <t>ruhme</t>
  </si>
  <si>
    <t>44er</t>
  </si>
  <si>
    <t>wutausbruch</t>
  </si>
  <si>
    <t>liaison</t>
  </si>
  <si>
    <t>libre</t>
  </si>
  <si>
    <t>zärtlichkeiten</t>
  </si>
  <si>
    <t>wahrscheinlichsten</t>
  </si>
  <si>
    <t>roadie</t>
  </si>
  <si>
    <t>greenberg</t>
  </si>
  <si>
    <t>gesetzgeber</t>
  </si>
  <si>
    <t>knüpft</t>
  </si>
  <si>
    <t>beizeiten</t>
  </si>
  <si>
    <t>sicherheitsrat</t>
  </si>
  <si>
    <t>vorzügliche</t>
  </si>
  <si>
    <t>anspruchsvollen</t>
  </si>
  <si>
    <t>einheimsen</t>
  </si>
  <si>
    <t>tui</t>
  </si>
  <si>
    <t>trollen</t>
  </si>
  <si>
    <t>aufmachte</t>
  </si>
  <si>
    <t>stirling</t>
  </si>
  <si>
    <t>zuckerbrot</t>
  </si>
  <si>
    <t>akiko</t>
  </si>
  <si>
    <t>zusammenkamen</t>
  </si>
  <si>
    <t>sinkenden</t>
  </si>
  <si>
    <t>zielfernrohr</t>
  </si>
  <si>
    <t>sussman</t>
  </si>
  <si>
    <t>rekrutierung</t>
  </si>
  <si>
    <t>inszenierte</t>
  </si>
  <si>
    <t>durango</t>
  </si>
  <si>
    <t>pfizer</t>
  </si>
  <si>
    <t>europäisch</t>
  </si>
  <si>
    <t>hmhm</t>
  </si>
  <si>
    <t>eingearbeitet</t>
  </si>
  <si>
    <t>sprechstundenhilfe</t>
  </si>
  <si>
    <t>geschäftsleuten</t>
  </si>
  <si>
    <t>toddy</t>
  </si>
  <si>
    <t>maribel</t>
  </si>
  <si>
    <t>kleides</t>
  </si>
  <si>
    <t>einklinken</t>
  </si>
  <si>
    <t>mystischer</t>
  </si>
  <si>
    <t>tupfen</t>
  </si>
  <si>
    <t>hendersons</t>
  </si>
  <si>
    <t>gelbsucht</t>
  </si>
  <si>
    <t>tipi</t>
  </si>
  <si>
    <t>albright</t>
  </si>
  <si>
    <t>stanleys</t>
  </si>
  <si>
    <t>beizulegen</t>
  </si>
  <si>
    <t>foy</t>
  </si>
  <si>
    <t>filz</t>
  </si>
  <si>
    <t>kerzenschein</t>
  </si>
  <si>
    <t>wi-i-i-i-i-i-i-ll</t>
  </si>
  <si>
    <t>erstickung</t>
  </si>
  <si>
    <t>abbildung</t>
  </si>
  <si>
    <t>cielo</t>
  </si>
  <si>
    <t>kommander</t>
  </si>
  <si>
    <t>jagdunfall</t>
  </si>
  <si>
    <t>entwenden</t>
  </si>
  <si>
    <t>gelegentlichen</t>
  </si>
  <si>
    <t>blödsinnig</t>
  </si>
  <si>
    <t>audreys</t>
  </si>
  <si>
    <t>papis</t>
  </si>
  <si>
    <t>megaphon</t>
  </si>
  <si>
    <t>dschingim</t>
  </si>
  <si>
    <t>götzen</t>
  </si>
  <si>
    <t>meereen</t>
  </si>
  <si>
    <t>gefängnisausbruch</t>
  </si>
  <si>
    <t>zücken</t>
  </si>
  <si>
    <t>ratsmitglieder</t>
  </si>
  <si>
    <t>pfennige</t>
  </si>
  <si>
    <t>stimmzettel</t>
  </si>
  <si>
    <t>sixtinische</t>
  </si>
  <si>
    <t>berti</t>
  </si>
  <si>
    <t>regelmäßiger</t>
  </si>
  <si>
    <t>achselhöhlen</t>
  </si>
  <si>
    <t>wirrwarr</t>
  </si>
  <si>
    <t>magali</t>
  </si>
  <si>
    <t>großhändler</t>
  </si>
  <si>
    <t>gantry</t>
  </si>
  <si>
    <t>schubse</t>
  </si>
  <si>
    <t>hauslehrer</t>
  </si>
  <si>
    <t>jovi</t>
  </si>
  <si>
    <t>lieblingsbeschäftigung</t>
  </si>
  <si>
    <t>gehörnte</t>
  </si>
  <si>
    <t>aussätziger</t>
  </si>
  <si>
    <t>aufspürt</t>
  </si>
  <si>
    <t>kriegszustand</t>
  </si>
  <si>
    <t>spektakuläres</t>
  </si>
  <si>
    <t>verklebt</t>
  </si>
  <si>
    <t>nanette</t>
  </si>
  <si>
    <t>pakistanischen</t>
  </si>
  <si>
    <t>streitlustig</t>
  </si>
  <si>
    <t>marybeth</t>
  </si>
  <si>
    <t>luper</t>
  </si>
  <si>
    <t>reifenpanne</t>
  </si>
  <si>
    <t>bevorzugten</t>
  </si>
  <si>
    <t>reben</t>
  </si>
  <si>
    <t>verdrängte</t>
  </si>
  <si>
    <t>milden</t>
  </si>
  <si>
    <t>bespringen</t>
  </si>
  <si>
    <t>verbocken</t>
  </si>
  <si>
    <t>atrium</t>
  </si>
  <si>
    <t>rodolphe</t>
  </si>
  <si>
    <t>llewellyn</t>
  </si>
  <si>
    <t>reflektion</t>
  </si>
  <si>
    <t>kreissäge</t>
  </si>
  <si>
    <t>tae-il</t>
  </si>
  <si>
    <t>rüstet</t>
  </si>
  <si>
    <t>zwanghafte</t>
  </si>
  <si>
    <t>photonen</t>
  </si>
  <si>
    <t>morningstar</t>
  </si>
  <si>
    <t>leistungsfähigkeit</t>
  </si>
  <si>
    <t>sho</t>
  </si>
  <si>
    <t>melina</t>
  </si>
  <si>
    <t>faustschlag</t>
  </si>
  <si>
    <t>ballkleid</t>
  </si>
  <si>
    <t>dorbeck</t>
  </si>
  <si>
    <t>lazare</t>
  </si>
  <si>
    <t>querschläger</t>
  </si>
  <si>
    <t>spendensammlung</t>
  </si>
  <si>
    <t>clemente</t>
  </si>
  <si>
    <t>wildpferde</t>
  </si>
  <si>
    <t>tobys</t>
  </si>
  <si>
    <t>bekleidung</t>
  </si>
  <si>
    <t>erfolgsbilanz</t>
  </si>
  <si>
    <t>absaufen</t>
  </si>
  <si>
    <t>vermurkst</t>
  </si>
  <si>
    <t>unangemessene</t>
  </si>
  <si>
    <t>matias</t>
  </si>
  <si>
    <t>dorsey</t>
  </si>
  <si>
    <t>ausbessern</t>
  </si>
  <si>
    <t>rinne</t>
  </si>
  <si>
    <t>zurückwerfen</t>
  </si>
  <si>
    <t>rea</t>
  </si>
  <si>
    <t>grayer</t>
  </si>
  <si>
    <t>scheuchen</t>
  </si>
  <si>
    <t>flavius</t>
  </si>
  <si>
    <t>fortschritten</t>
  </si>
  <si>
    <t>primitives</t>
  </si>
  <si>
    <t>zugs</t>
  </si>
  <si>
    <t>schu</t>
  </si>
  <si>
    <t>loudon</t>
  </si>
  <si>
    <t>panorama</t>
  </si>
  <si>
    <t>niagarafälle</t>
  </si>
  <si>
    <t>ärmeln</t>
  </si>
  <si>
    <t>besorgung</t>
  </si>
  <si>
    <t>umzuleiten</t>
  </si>
  <si>
    <t>strucker</t>
  </si>
  <si>
    <t>westdeutschland</t>
  </si>
  <si>
    <t>hanna27</t>
  </si>
  <si>
    <t>gewühlt</t>
  </si>
  <si>
    <t>grim</t>
  </si>
  <si>
    <t>schmeissen</t>
  </si>
  <si>
    <t>connally</t>
  </si>
  <si>
    <t>rebadow</t>
  </si>
  <si>
    <t>stecht</t>
  </si>
  <si>
    <t>zerteilen</t>
  </si>
  <si>
    <t>schwächlich</t>
  </si>
  <si>
    <t>obstsalat</t>
  </si>
  <si>
    <t>mystisches</t>
  </si>
  <si>
    <t>klassenbester</t>
  </si>
  <si>
    <t>trecker</t>
  </si>
  <si>
    <t>hinkle</t>
  </si>
  <si>
    <t>runtergeschluckt</t>
  </si>
  <si>
    <t>streu</t>
  </si>
  <si>
    <t>mutterliebe</t>
  </si>
  <si>
    <t>cj</t>
  </si>
  <si>
    <t>revanchiere</t>
  </si>
  <si>
    <t>bravour</t>
  </si>
  <si>
    <t>theres</t>
  </si>
  <si>
    <t>einäugigen</t>
  </si>
  <si>
    <t>malm</t>
  </si>
  <si>
    <t>gewichts</t>
  </si>
  <si>
    <t>befiehl</t>
  </si>
  <si>
    <t>eladio</t>
  </si>
  <si>
    <t>verdünnt</t>
  </si>
  <si>
    <t>salpeter</t>
  </si>
  <si>
    <t>helms</t>
  </si>
  <si>
    <t>verschluckte</t>
  </si>
  <si>
    <t>imperialen</t>
  </si>
  <si>
    <t>stockbesoffen</t>
  </si>
  <si>
    <t>ausfechten</t>
  </si>
  <si>
    <t>philanthrop</t>
  </si>
  <si>
    <t>gegenüberliegenden</t>
  </si>
  <si>
    <t>wassa</t>
  </si>
  <si>
    <t>zufälliges</t>
  </si>
  <si>
    <t>polarität</t>
  </si>
  <si>
    <t>süsses</t>
  </si>
  <si>
    <t>auftragsmord</t>
  </si>
  <si>
    <t>erfrischen</t>
  </si>
  <si>
    <t>bratensoße</t>
  </si>
  <si>
    <t>druckplatten</t>
  </si>
  <si>
    <t>lasky</t>
  </si>
  <si>
    <t>eingespielt</t>
  </si>
  <si>
    <t>europäisches</t>
  </si>
  <si>
    <t>diskriminiert</t>
  </si>
  <si>
    <t>koffeinfrei</t>
  </si>
  <si>
    <t>oberflächen</t>
  </si>
  <si>
    <t>kiras</t>
  </si>
  <si>
    <t>tilney</t>
  </si>
  <si>
    <t>turks</t>
  </si>
  <si>
    <t>aufgefahren</t>
  </si>
  <si>
    <t>demetri</t>
  </si>
  <si>
    <t>fürstentum</t>
  </si>
  <si>
    <t>kopfjäger</t>
  </si>
  <si>
    <t>gegenseitiger</t>
  </si>
  <si>
    <t>kaffeetisch</t>
  </si>
  <si>
    <t>gwenda</t>
  </si>
  <si>
    <t>ausreise</t>
  </si>
  <si>
    <t>kitzbühel</t>
  </si>
  <si>
    <t>galindo</t>
  </si>
  <si>
    <t>bewirkte</t>
  </si>
  <si>
    <t>vorbeischicken</t>
  </si>
  <si>
    <t>lloyds</t>
  </si>
  <si>
    <t>kinderstube</t>
  </si>
  <si>
    <t>edelste</t>
  </si>
  <si>
    <t>gangsterboss</t>
  </si>
  <si>
    <t>strafkolonie</t>
  </si>
  <si>
    <t>pork</t>
  </si>
  <si>
    <t>hineingegangen</t>
  </si>
  <si>
    <t>chinin</t>
  </si>
  <si>
    <t>killermaschine</t>
  </si>
  <si>
    <t>kenai</t>
  </si>
  <si>
    <t>bettelarm</t>
  </si>
  <si>
    <t>picknickkorb</t>
  </si>
  <si>
    <t>grüssen</t>
  </si>
  <si>
    <t>ausreisen</t>
  </si>
  <si>
    <t>oyster</t>
  </si>
  <si>
    <t>bahnbrechende</t>
  </si>
  <si>
    <t>eisenbahner</t>
  </si>
  <si>
    <t>anreise</t>
  </si>
  <si>
    <t>seeigel</t>
  </si>
  <si>
    <t>anzusetzen</t>
  </si>
  <si>
    <t>dress</t>
  </si>
  <si>
    <t>bemalte</t>
  </si>
  <si>
    <t>amman</t>
  </si>
  <si>
    <t>erwähn</t>
  </si>
  <si>
    <t>todeswunsch</t>
  </si>
  <si>
    <t>dorado</t>
  </si>
  <si>
    <t>laust</t>
  </si>
  <si>
    <t>blutgruppen</t>
  </si>
  <si>
    <t>feuerprobe</t>
  </si>
  <si>
    <t>auslauf</t>
  </si>
  <si>
    <t>shue</t>
  </si>
  <si>
    <t>beweglichen</t>
  </si>
  <si>
    <t>spinnennetz</t>
  </si>
  <si>
    <t>blutverschmiert</t>
  </si>
  <si>
    <t>wertgegenstände</t>
  </si>
  <si>
    <t>irs</t>
  </si>
  <si>
    <t>leblosen</t>
  </si>
  <si>
    <t>morcerf</t>
  </si>
  <si>
    <t>weltausstellung</t>
  </si>
  <si>
    <t>hauptfeldwebel</t>
  </si>
  <si>
    <t>reinzuplatzen</t>
  </si>
  <si>
    <t>crisval</t>
  </si>
  <si>
    <t>nebeneffekte</t>
  </si>
  <si>
    <t>bottich</t>
  </si>
  <si>
    <t>pobacken</t>
  </si>
  <si>
    <t>muskatnuss</t>
  </si>
  <si>
    <t>deformiert</t>
  </si>
  <si>
    <t>pff</t>
  </si>
  <si>
    <t>stout</t>
  </si>
  <si>
    <t>schreihals</t>
  </si>
  <si>
    <t>übergabeort</t>
  </si>
  <si>
    <t>bammel</t>
  </si>
  <si>
    <t>abgöttisch</t>
  </si>
  <si>
    <t>fesselten</t>
  </si>
  <si>
    <t>marokkaner</t>
  </si>
  <si>
    <t>quijote</t>
  </si>
  <si>
    <t>alfreds</t>
  </si>
  <si>
    <t>dah</t>
  </si>
  <si>
    <t>misshandelte</t>
  </si>
  <si>
    <t>lasalle</t>
  </si>
  <si>
    <t>syndikats</t>
  </si>
  <si>
    <t>blutrausch</t>
  </si>
  <si>
    <t>guthrum</t>
  </si>
  <si>
    <t>stattlichen</t>
  </si>
  <si>
    <t>himbeere</t>
  </si>
  <si>
    <t>geschmacklosen</t>
  </si>
  <si>
    <t>dauerten</t>
  </si>
  <si>
    <t>fruchtwasser</t>
  </si>
  <si>
    <t>pierres</t>
  </si>
  <si>
    <t>unübertroffen</t>
  </si>
  <si>
    <t>flocken</t>
  </si>
  <si>
    <t>vogelgrippe</t>
  </si>
  <si>
    <t>fortzupflanzen</t>
  </si>
  <si>
    <t>phantastischen</t>
  </si>
  <si>
    <t>artgenossen</t>
  </si>
  <si>
    <t>herunterladen</t>
  </si>
  <si>
    <t>konservieren</t>
  </si>
  <si>
    <t>purvis</t>
  </si>
  <si>
    <t>gonzague</t>
  </si>
  <si>
    <t>ewiglich</t>
  </si>
  <si>
    <t>radiergummi</t>
  </si>
  <si>
    <t>baseballkarten</t>
  </si>
  <si>
    <t>knattert</t>
  </si>
  <si>
    <t>sekundären</t>
  </si>
  <si>
    <t>türkis</t>
  </si>
  <si>
    <t>maia</t>
  </si>
  <si>
    <t>vroni</t>
  </si>
  <si>
    <t>schweinekoteletts</t>
  </si>
  <si>
    <t>sheldrake</t>
  </si>
  <si>
    <t>nächtlicher</t>
  </si>
  <si>
    <t>geschaukelt</t>
  </si>
  <si>
    <t>matata</t>
  </si>
  <si>
    <t>cayenne</t>
  </si>
  <si>
    <t>begib</t>
  </si>
  <si>
    <t>sinnlichen</t>
  </si>
  <si>
    <t>bitterkalt</t>
  </si>
  <si>
    <t>außenseiterin</t>
  </si>
  <si>
    <t>sklavenarbeit</t>
  </si>
  <si>
    <t>bestrebt</t>
  </si>
  <si>
    <t>zickzack</t>
  </si>
  <si>
    <t>verängstigtes</t>
  </si>
  <si>
    <t>adoptionsagentur</t>
  </si>
  <si>
    <t>fielst</t>
  </si>
  <si>
    <t>sigismund</t>
  </si>
  <si>
    <t>besprechungsraum</t>
  </si>
  <si>
    <t>voulez</t>
  </si>
  <si>
    <t>neubau</t>
  </si>
  <si>
    <t>beschwerlich</t>
  </si>
  <si>
    <t>bügelt</t>
  </si>
  <si>
    <t>rookie</t>
  </si>
  <si>
    <t>flackert</t>
  </si>
  <si>
    <t>umprogrammiert</t>
  </si>
  <si>
    <t>zugange</t>
  </si>
  <si>
    <t>innendienst</t>
  </si>
  <si>
    <t>verteidigten</t>
  </si>
  <si>
    <t>spezifischer</t>
  </si>
  <si>
    <t>touvier</t>
  </si>
  <si>
    <t>zwänge</t>
  </si>
  <si>
    <t>sandbank</t>
  </si>
  <si>
    <t>mitzuerleben</t>
  </si>
  <si>
    <t>unfrieden</t>
  </si>
  <si>
    <t>einstweilen</t>
  </si>
  <si>
    <t>grillenzirpen</t>
  </si>
  <si>
    <t>wok</t>
  </si>
  <si>
    <t>dionne</t>
  </si>
  <si>
    <t>durchzubrennen</t>
  </si>
  <si>
    <t>sauerstoffgehalt</t>
  </si>
  <si>
    <t>marching</t>
  </si>
  <si>
    <t>faceplant</t>
  </si>
  <si>
    <t>dumpty</t>
  </si>
  <si>
    <t>riddick</t>
  </si>
  <si>
    <t>omicron</t>
  </si>
  <si>
    <t>brettspiele</t>
  </si>
  <si>
    <t>anzündet</t>
  </si>
  <si>
    <t>dienerinnen</t>
  </si>
  <si>
    <t>herauszuhalten</t>
  </si>
  <si>
    <t>vornimmt</t>
  </si>
  <si>
    <t>rostlaube</t>
  </si>
  <si>
    <t>blutsverwandt</t>
  </si>
  <si>
    <t>verkracht</t>
  </si>
  <si>
    <t>gartenparty</t>
  </si>
  <si>
    <t>zwischenzeitlich</t>
  </si>
  <si>
    <t>morgensonne</t>
  </si>
  <si>
    <t>wiggins</t>
  </si>
  <si>
    <t>warenlager</t>
  </si>
  <si>
    <t>badeanzüge</t>
  </si>
  <si>
    <t>stelldichein</t>
  </si>
  <si>
    <t>unabdingbar</t>
  </si>
  <si>
    <t>pils</t>
  </si>
  <si>
    <t>veranstalter</t>
  </si>
  <si>
    <t>wüsst</t>
  </si>
  <si>
    <t>begehr</t>
  </si>
  <si>
    <t>moralapostel</t>
  </si>
  <si>
    <t>kletterten</t>
  </si>
  <si>
    <t>prof</t>
  </si>
  <si>
    <t>raymonds</t>
  </si>
  <si>
    <t>depressive</t>
  </si>
  <si>
    <t>ehrenamtliche</t>
  </si>
  <si>
    <t>inkarnation</t>
  </si>
  <si>
    <t>bambino</t>
  </si>
  <si>
    <t>nub4u</t>
  </si>
  <si>
    <t>schatztruhe</t>
  </si>
  <si>
    <t>meb</t>
  </si>
  <si>
    <t>zurückbeordert</t>
  </si>
  <si>
    <t>außenstehender</t>
  </si>
  <si>
    <t>silberstreif</t>
  </si>
  <si>
    <t>erfassung</t>
  </si>
  <si>
    <t>holts</t>
  </si>
  <si>
    <t>meerenge</t>
  </si>
  <si>
    <t>prostituieren</t>
  </si>
  <si>
    <t>glücksgefühl</t>
  </si>
  <si>
    <t>disco-musik</t>
  </si>
  <si>
    <t>afrikanisches</t>
  </si>
  <si>
    <t>wiegand</t>
  </si>
  <si>
    <t>shayla</t>
  </si>
  <si>
    <t>ex-frauen</t>
  </si>
  <si>
    <t>akupunktur</t>
  </si>
  <si>
    <t>petschek</t>
  </si>
  <si>
    <t>vulgäre</t>
  </si>
  <si>
    <t>hysterischen</t>
  </si>
  <si>
    <t>stonehenge</t>
  </si>
  <si>
    <t>sternhagelvoll</t>
  </si>
  <si>
    <t>flachzulegen</t>
  </si>
  <si>
    <t>festsitze</t>
  </si>
  <si>
    <t>scheinfirma</t>
  </si>
  <si>
    <t>kilt</t>
  </si>
  <si>
    <t>gigant</t>
  </si>
  <si>
    <t>vergis</t>
  </si>
  <si>
    <t>scharfschützengewehr</t>
  </si>
  <si>
    <t>zurückzufahren</t>
  </si>
  <si>
    <t>familienangehörigen</t>
  </si>
  <si>
    <t>feindkontakt</t>
  </si>
  <si>
    <t>rastete</t>
  </si>
  <si>
    <t>eingekerkert</t>
  </si>
  <si>
    <t>wagten</t>
  </si>
  <si>
    <t>fortsetzt</t>
  </si>
  <si>
    <t>wohltätigkeitsorganisation</t>
  </si>
  <si>
    <t>stink</t>
  </si>
  <si>
    <t>gedrungen</t>
  </si>
  <si>
    <t>eintragungen</t>
  </si>
  <si>
    <t>kränkung</t>
  </si>
  <si>
    <t>guatrau</t>
  </si>
  <si>
    <t>smash</t>
  </si>
  <si>
    <t>republikanern</t>
  </si>
  <si>
    <t>lebensstandard</t>
  </si>
  <si>
    <t>durchzug</t>
  </si>
  <si>
    <t>längengrad</t>
  </si>
  <si>
    <t>wildern</t>
  </si>
  <si>
    <t>sarkoidose</t>
  </si>
  <si>
    <t>oy</t>
  </si>
  <si>
    <t>platzierung</t>
  </si>
  <si>
    <t>fischfabrik</t>
  </si>
  <si>
    <t>restarick</t>
  </si>
  <si>
    <t>geschäftsleben</t>
  </si>
  <si>
    <t>versicherungssumme</t>
  </si>
  <si>
    <t>hüllt</t>
  </si>
  <si>
    <t>volkszählung</t>
  </si>
  <si>
    <t>siggy</t>
  </si>
  <si>
    <t>übersinnlich</t>
  </si>
  <si>
    <t>liebenswerten</t>
  </si>
  <si>
    <t>tanzschritte</t>
  </si>
  <si>
    <t>finanzkrise</t>
  </si>
  <si>
    <t>aitan</t>
  </si>
  <si>
    <t>books</t>
  </si>
  <si>
    <t>kanonenfutter</t>
  </si>
  <si>
    <t>verkehrskontrolle</t>
  </si>
  <si>
    <t>weckten</t>
  </si>
  <si>
    <t>bierflasche</t>
  </si>
  <si>
    <t>azusa</t>
  </si>
  <si>
    <t>nachtsicht</t>
  </si>
  <si>
    <t>dazukommen</t>
  </si>
  <si>
    <t>lauthals</t>
  </si>
  <si>
    <t>pornofilm</t>
  </si>
  <si>
    <t>angelacht</t>
  </si>
  <si>
    <t>bissl</t>
  </si>
  <si>
    <t>anspreche</t>
  </si>
  <si>
    <t>krankenhausreif</t>
  </si>
  <si>
    <t>konferenzzimmer</t>
  </si>
  <si>
    <t>ilithyia</t>
  </si>
  <si>
    <t>spagat</t>
  </si>
  <si>
    <t>jelena</t>
  </si>
  <si>
    <t>involvieren</t>
  </si>
  <si>
    <t>pfaffen</t>
  </si>
  <si>
    <t>heuboden</t>
  </si>
  <si>
    <t>tennisschläger</t>
  </si>
  <si>
    <t>hightech</t>
  </si>
  <si>
    <t>lafitte</t>
  </si>
  <si>
    <t>herauskriegen</t>
  </si>
  <si>
    <t>zunder</t>
  </si>
  <si>
    <t>saust</t>
  </si>
  <si>
    <t>talents</t>
  </si>
  <si>
    <t>xiv.</t>
  </si>
  <si>
    <t>versagern</t>
  </si>
  <si>
    <t>masseurin</t>
  </si>
  <si>
    <t>dianes</t>
  </si>
  <si>
    <t>tarnt</t>
  </si>
  <si>
    <t>artisten</t>
  </si>
  <si>
    <t>umbrella</t>
  </si>
  <si>
    <t>kurses</t>
  </si>
  <si>
    <t>erforschte</t>
  </si>
  <si>
    <t>lebenswillen</t>
  </si>
  <si>
    <t>mailänder</t>
  </si>
  <si>
    <t>selbstgemachte</t>
  </si>
  <si>
    <t>guo</t>
  </si>
  <si>
    <t>trödelt</t>
  </si>
  <si>
    <t>elroy</t>
  </si>
  <si>
    <t>zurückblicke</t>
  </si>
  <si>
    <t>wertet</t>
  </si>
  <si>
    <t>rumgealbert</t>
  </si>
  <si>
    <t>denkfabrik</t>
  </si>
  <si>
    <t>parkschein</t>
  </si>
  <si>
    <t>s01e09</t>
  </si>
  <si>
    <t>verachtete</t>
  </si>
  <si>
    <t>manifestieren</t>
  </si>
  <si>
    <t>geschichtsstunde</t>
  </si>
  <si>
    <t>ergreif</t>
  </si>
  <si>
    <t>tröten</t>
  </si>
  <si>
    <t>lead</t>
  </si>
  <si>
    <t>strotzt</t>
  </si>
  <si>
    <t>selbstzweifel</t>
  </si>
  <si>
    <t>colfax</t>
  </si>
  <si>
    <t>sinkflug</t>
  </si>
  <si>
    <t>mitfeiern</t>
  </si>
  <si>
    <t>lästiger</t>
  </si>
  <si>
    <t>gutgläubig</t>
  </si>
  <si>
    <t>lesebrille</t>
  </si>
  <si>
    <t>jilly</t>
  </si>
  <si>
    <t>elends</t>
  </si>
  <si>
    <t>politesse</t>
  </si>
  <si>
    <t>gerafft</t>
  </si>
  <si>
    <t>chuckles</t>
  </si>
  <si>
    <t>potentieller</t>
  </si>
  <si>
    <t>pallas</t>
  </si>
  <si>
    <t>vitale</t>
  </si>
  <si>
    <t>verständlicher</t>
  </si>
  <si>
    <t>formuliere</t>
  </si>
  <si>
    <t>beltran</t>
  </si>
  <si>
    <t>blutsbruder</t>
  </si>
  <si>
    <t>kavanaugh</t>
  </si>
  <si>
    <t>devine</t>
  </si>
  <si>
    <t>fledermäusen</t>
  </si>
  <si>
    <t>friedensabkommen</t>
  </si>
  <si>
    <t>instand</t>
  </si>
  <si>
    <t>mundschutz</t>
  </si>
  <si>
    <t>zweitklassigen</t>
  </si>
  <si>
    <t>abzuschlagen</t>
  </si>
  <si>
    <t>dastan</t>
  </si>
  <si>
    <t>enzian</t>
  </si>
  <si>
    <t>canadian</t>
  </si>
  <si>
    <t>drumlin</t>
  </si>
  <si>
    <t>pikant</t>
  </si>
  <si>
    <t>hidden</t>
  </si>
  <si>
    <t>castings</t>
  </si>
  <si>
    <t>gangmitglied</t>
  </si>
  <si>
    <t>metcalf</t>
  </si>
  <si>
    <t>konventionell</t>
  </si>
  <si>
    <t>hilferufe</t>
  </si>
  <si>
    <t>zielgerade</t>
  </si>
  <si>
    <t>riesengroßen</t>
  </si>
  <si>
    <t>sicherheitsbüro</t>
  </si>
  <si>
    <t>globalisierung</t>
  </si>
  <si>
    <t>dior</t>
  </si>
  <si>
    <t>neurosen</t>
  </si>
  <si>
    <t>beiträgt</t>
  </si>
  <si>
    <t>cooperman</t>
  </si>
  <si>
    <t>hunsrück</t>
  </si>
  <si>
    <t>schweißer</t>
  </si>
  <si>
    <t>nebelhorn</t>
  </si>
  <si>
    <t>patrouilliert</t>
  </si>
  <si>
    <t>pflanz</t>
  </si>
  <si>
    <t>bacchus</t>
  </si>
  <si>
    <t>teasdale</t>
  </si>
  <si>
    <t>kapitalistischen</t>
  </si>
  <si>
    <t>kalaschnikow</t>
  </si>
  <si>
    <t>systemausfall</t>
  </si>
  <si>
    <t>unfallstelle</t>
  </si>
  <si>
    <t>diaphragma</t>
  </si>
  <si>
    <t>kriminallabor</t>
  </si>
  <si>
    <t>hôtel</t>
  </si>
  <si>
    <t>gejagten</t>
  </si>
  <si>
    <t>upton</t>
  </si>
  <si>
    <t>inglethorp</t>
  </si>
  <si>
    <t>daffy</t>
  </si>
  <si>
    <t>profits</t>
  </si>
  <si>
    <t>geckos</t>
  </si>
  <si>
    <t>brandmal</t>
  </si>
  <si>
    <t>riordan</t>
  </si>
  <si>
    <t>kingdom</t>
  </si>
  <si>
    <t>jugendzentrum</t>
  </si>
  <si>
    <t>hängengeblieben</t>
  </si>
  <si>
    <t>knappes</t>
  </si>
  <si>
    <t>angeschwemmt</t>
  </si>
  <si>
    <t>ausgeklügelt</t>
  </si>
  <si>
    <t>schleimen</t>
  </si>
  <si>
    <t>ausführlicher</t>
  </si>
  <si>
    <t>allisons</t>
  </si>
  <si>
    <t>illegalem</t>
  </si>
  <si>
    <t>tötens</t>
  </si>
  <si>
    <t>zugelaufen</t>
  </si>
  <si>
    <t>allet</t>
  </si>
  <si>
    <t>ü</t>
  </si>
  <si>
    <t>gio</t>
  </si>
  <si>
    <t>künstlerisches</t>
  </si>
  <si>
    <t>murmelst</t>
  </si>
  <si>
    <t>überspringt</t>
  </si>
  <si>
    <t>hausdiener</t>
  </si>
  <si>
    <t>limone</t>
  </si>
  <si>
    <t>rangehst</t>
  </si>
  <si>
    <t>sternenstaub</t>
  </si>
  <si>
    <t>hewlett</t>
  </si>
  <si>
    <t>nygaard</t>
  </si>
  <si>
    <t>stamford</t>
  </si>
  <si>
    <t>trille</t>
  </si>
  <si>
    <t>newsweek</t>
  </si>
  <si>
    <t>blutrache</t>
  </si>
  <si>
    <t>tashi</t>
  </si>
  <si>
    <t>überquere</t>
  </si>
  <si>
    <t>pelzigen</t>
  </si>
  <si>
    <t>sperber</t>
  </si>
  <si>
    <t>tribeca</t>
  </si>
  <si>
    <t>gruyter</t>
  </si>
  <si>
    <t>fehleinschätzung</t>
  </si>
  <si>
    <t>experimentell</t>
  </si>
  <si>
    <t>dato</t>
  </si>
  <si>
    <t>treues</t>
  </si>
  <si>
    <t>büchlein</t>
  </si>
  <si>
    <t>m.j.</t>
  </si>
  <si>
    <t>prinzesschen</t>
  </si>
  <si>
    <t>nähmen</t>
  </si>
  <si>
    <t>neptune</t>
  </si>
  <si>
    <t>bodo</t>
  </si>
  <si>
    <t>beflecken</t>
  </si>
  <si>
    <t>psychiatrischer</t>
  </si>
  <si>
    <t>taubenschlag</t>
  </si>
  <si>
    <t>khal</t>
  </si>
  <si>
    <t>jb</t>
  </si>
  <si>
    <t>sonnenblumen</t>
  </si>
  <si>
    <t>estates</t>
  </si>
  <si>
    <t>facetten</t>
  </si>
  <si>
    <t>rhabarber</t>
  </si>
  <si>
    <t>eames</t>
  </si>
  <si>
    <t>anfängerfehler</t>
  </si>
  <si>
    <t>kittridge</t>
  </si>
  <si>
    <t>hauptsturmführer</t>
  </si>
  <si>
    <t>dozenten</t>
  </si>
  <si>
    <t>ernstlich</t>
  </si>
  <si>
    <t>glã</t>
  </si>
  <si>
    <t>pompeius</t>
  </si>
  <si>
    <t>gebrabbel</t>
  </si>
  <si>
    <t>maciste</t>
  </si>
  <si>
    <t>aufzuschieben</t>
  </si>
  <si>
    <t>davongemacht</t>
  </si>
  <si>
    <t>margery</t>
  </si>
  <si>
    <t>hauptbuch</t>
  </si>
  <si>
    <t>eingepennt</t>
  </si>
  <si>
    <t>geisterschiff</t>
  </si>
  <si>
    <t>kricket</t>
  </si>
  <si>
    <t>fahrprüfung</t>
  </si>
  <si>
    <t>senkte</t>
  </si>
  <si>
    <t>scoop</t>
  </si>
  <si>
    <t>mitgewirkt</t>
  </si>
  <si>
    <t>verbitterte</t>
  </si>
  <si>
    <t>fluchtmöglichkeit</t>
  </si>
  <si>
    <t>porta</t>
  </si>
  <si>
    <t>jeter</t>
  </si>
  <si>
    <t>bäche</t>
  </si>
  <si>
    <t>riten</t>
  </si>
  <si>
    <t>bastion</t>
  </si>
  <si>
    <t>darfich</t>
  </si>
  <si>
    <t>zunehmenden</t>
  </si>
  <si>
    <t>glimpflich</t>
  </si>
  <si>
    <t>aladin</t>
  </si>
  <si>
    <t>anklopft</t>
  </si>
  <si>
    <t>drogengeschäfte</t>
  </si>
  <si>
    <t>tachibana</t>
  </si>
  <si>
    <t>bahrain</t>
  </si>
  <si>
    <t>klatschpresse</t>
  </si>
  <si>
    <t>theron</t>
  </si>
  <si>
    <t>unterstreicht</t>
  </si>
  <si>
    <t>paranormalen</t>
  </si>
  <si>
    <t>dessler</t>
  </si>
  <si>
    <t>tribbles</t>
  </si>
  <si>
    <t>admiralität</t>
  </si>
  <si>
    <t>wellesley</t>
  </si>
  <si>
    <t>borschtsch</t>
  </si>
  <si>
    <t>myspace</t>
  </si>
  <si>
    <t>verspürst</t>
  </si>
  <si>
    <t>verfärbung</t>
  </si>
  <si>
    <t>berner</t>
  </si>
  <si>
    <t>seebarsch</t>
  </si>
  <si>
    <t>alleinerziehend</t>
  </si>
  <si>
    <t>mathers</t>
  </si>
  <si>
    <t>attentats</t>
  </si>
  <si>
    <t>druckverband</t>
  </si>
  <si>
    <t>anfallen</t>
  </si>
  <si>
    <t>pharaoh</t>
  </si>
  <si>
    <t>charmantes</t>
  </si>
  <si>
    <t>bigamie</t>
  </si>
  <si>
    <t>proktor</t>
  </si>
  <si>
    <t>majestét</t>
  </si>
  <si>
    <t>bettlerin</t>
  </si>
  <si>
    <t>eaton</t>
  </si>
  <si>
    <t>hereinplatzen</t>
  </si>
  <si>
    <t>jockeys</t>
  </si>
  <si>
    <t>abbé</t>
  </si>
  <si>
    <t>magma</t>
  </si>
  <si>
    <t>ramada</t>
  </si>
  <si>
    <t>ramponiert</t>
  </si>
  <si>
    <t>anthropologin</t>
  </si>
  <si>
    <t>angestrengtes</t>
  </si>
  <si>
    <t>tabasco</t>
  </si>
  <si>
    <t>weihnachtsgeschichte</t>
  </si>
  <si>
    <t>rust</t>
  </si>
  <si>
    <t>verschwimmen</t>
  </si>
  <si>
    <t>uriniert</t>
  </si>
  <si>
    <t>draufhat</t>
  </si>
  <si>
    <t>jaeger</t>
  </si>
  <si>
    <t>präsentierten</t>
  </si>
  <si>
    <t>abenteuerliche</t>
  </si>
  <si>
    <t>hortensien</t>
  </si>
  <si>
    <t>bohre</t>
  </si>
  <si>
    <t>villette</t>
  </si>
  <si>
    <t>ehrenhalber</t>
  </si>
  <si>
    <t>mechanikerin</t>
  </si>
  <si>
    <t>geistergeschichte</t>
  </si>
  <si>
    <t>rambaldis</t>
  </si>
  <si>
    <t>unpünktlich</t>
  </si>
  <si>
    <t>mccoys</t>
  </si>
  <si>
    <t>kulle</t>
  </si>
  <si>
    <t>hedda</t>
  </si>
  <si>
    <t>klimaanlagen</t>
  </si>
  <si>
    <t>gurney</t>
  </si>
  <si>
    <t>principal</t>
  </si>
  <si>
    <t>kimchi</t>
  </si>
  <si>
    <t>missbilligt</t>
  </si>
  <si>
    <t>abkommens</t>
  </si>
  <si>
    <t>kriegsverletzung</t>
  </si>
  <si>
    <t>walts</t>
  </si>
  <si>
    <t>lethal</t>
  </si>
  <si>
    <t>sönke</t>
  </si>
  <si>
    <t>konvois</t>
  </si>
  <si>
    <t>renkt</t>
  </si>
  <si>
    <t>tachykard</t>
  </si>
  <si>
    <t>stimmrecht</t>
  </si>
  <si>
    <t>kirill</t>
  </si>
  <si>
    <t>einflussreichsten</t>
  </si>
  <si>
    <t>teleportation</t>
  </si>
  <si>
    <t>vorbildliche</t>
  </si>
  <si>
    <t>äfft</t>
  </si>
  <si>
    <t>beasley</t>
  </si>
  <si>
    <t>estella</t>
  </si>
  <si>
    <t>abnormale</t>
  </si>
  <si>
    <t>m.k.</t>
  </si>
  <si>
    <t>hübschere</t>
  </si>
  <si>
    <t>sonderbaren</t>
  </si>
  <si>
    <t>reiskuchen</t>
  </si>
  <si>
    <t>trübsinnig</t>
  </si>
  <si>
    <t>uk-serien</t>
  </si>
  <si>
    <t>jessas</t>
  </si>
  <si>
    <t>beurlaubung</t>
  </si>
  <si>
    <t>impfstoffe</t>
  </si>
  <si>
    <t>schwefelsäure</t>
  </si>
  <si>
    <t>krampfanfall</t>
  </si>
  <si>
    <t>vorauszahlung</t>
  </si>
  <si>
    <t>azgeda</t>
  </si>
  <si>
    <t>absehbarer</t>
  </si>
  <si>
    <t>gaudi</t>
  </si>
  <si>
    <t>hakuna</t>
  </si>
  <si>
    <t>geteiltes</t>
  </si>
  <si>
    <t>abdichten</t>
  </si>
  <si>
    <t>justieren</t>
  </si>
  <si>
    <t>angélica</t>
  </si>
  <si>
    <t>jugendfreund</t>
  </si>
  <si>
    <t>zunimmt</t>
  </si>
  <si>
    <t>koda</t>
  </si>
  <si>
    <t>waagerecht</t>
  </si>
  <si>
    <t>nöte</t>
  </si>
  <si>
    <t>ausbildungslager</t>
  </si>
  <si>
    <t>gehalts</t>
  </si>
  <si>
    <t>streikbrecher</t>
  </si>
  <si>
    <t>bunting</t>
  </si>
  <si>
    <t>branntwein</t>
  </si>
  <si>
    <t>unterzeichneten</t>
  </si>
  <si>
    <t>schwermut</t>
  </si>
  <si>
    <t>strategischer</t>
  </si>
  <si>
    <t>tiara</t>
  </si>
  <si>
    <t>gianopolous</t>
  </si>
  <si>
    <t>tallmadge</t>
  </si>
  <si>
    <t>energiequellen</t>
  </si>
  <si>
    <t>lokales</t>
  </si>
  <si>
    <t>ferraris</t>
  </si>
  <si>
    <t>melchior</t>
  </si>
  <si>
    <t>coil</t>
  </si>
  <si>
    <t>narita</t>
  </si>
  <si>
    <t>überfürsorglich</t>
  </si>
  <si>
    <t>mcphee</t>
  </si>
  <si>
    <t>aileen</t>
  </si>
  <si>
    <t>konfirmation</t>
  </si>
  <si>
    <t>startlinie</t>
  </si>
  <si>
    <t>sauferei</t>
  </si>
  <si>
    <t>mißverständnis</t>
  </si>
  <si>
    <t>ltd</t>
  </si>
  <si>
    <t>erstgeborener</t>
  </si>
  <si>
    <t>geschäftsreisen</t>
  </si>
  <si>
    <t>ausgepumpt</t>
  </si>
  <si>
    <t>angeheitert</t>
  </si>
  <si>
    <t>damenunterwäsche</t>
  </si>
  <si>
    <t>grässliches</t>
  </si>
  <si>
    <t>hilfskräfte</t>
  </si>
  <si>
    <t>fourth</t>
  </si>
  <si>
    <t>stranden</t>
  </si>
  <si>
    <t>smirre</t>
  </si>
  <si>
    <t>komödiant</t>
  </si>
  <si>
    <t>anbeißt</t>
  </si>
  <si>
    <t>zerrissenen</t>
  </si>
  <si>
    <t>willkür</t>
  </si>
  <si>
    <t>untätigkeit</t>
  </si>
  <si>
    <t>an.</t>
  </si>
  <si>
    <t>protokollieren</t>
  </si>
  <si>
    <t>mallard</t>
  </si>
  <si>
    <t>butt</t>
  </si>
  <si>
    <t>unschätzbar</t>
  </si>
  <si>
    <t>hinauslaufen</t>
  </si>
  <si>
    <t>mordor</t>
  </si>
  <si>
    <t>edgington</t>
  </si>
  <si>
    <t>bestechungsgeld</t>
  </si>
  <si>
    <t>kindergeburtstag</t>
  </si>
  <si>
    <t>bedauernswerte</t>
  </si>
  <si>
    <t>gerechtes</t>
  </si>
  <si>
    <t>sweetwater</t>
  </si>
  <si>
    <t>konturen</t>
  </si>
  <si>
    <t>eingeritzt</t>
  </si>
  <si>
    <t>farell</t>
  </si>
  <si>
    <t>vivat</t>
  </si>
  <si>
    <t>troys</t>
  </si>
  <si>
    <t>verkleide</t>
  </si>
  <si>
    <t>compadre</t>
  </si>
  <si>
    <t>eingereist</t>
  </si>
  <si>
    <t>lüstling</t>
  </si>
  <si>
    <t>morsch</t>
  </si>
  <si>
    <t>freizubekommen</t>
  </si>
  <si>
    <t>charakterstärke</t>
  </si>
  <si>
    <t>deutlichen</t>
  </si>
  <si>
    <t>opry</t>
  </si>
  <si>
    <t>grafton</t>
  </si>
  <si>
    <t>brechreiz</t>
  </si>
  <si>
    <t>meta-mensch</t>
  </si>
  <si>
    <t>bockhorn</t>
  </si>
  <si>
    <t>happened</t>
  </si>
  <si>
    <t>mulmig</t>
  </si>
  <si>
    <t>vitaminen</t>
  </si>
  <si>
    <t>zermahlen</t>
  </si>
  <si>
    <t>psychoanalytiker</t>
  </si>
  <si>
    <t>wildman</t>
  </si>
  <si>
    <t>destruktiv</t>
  </si>
  <si>
    <t>patna</t>
  </si>
  <si>
    <t>taik</t>
  </si>
  <si>
    <t>implodieren</t>
  </si>
  <si>
    <t>hep</t>
  </si>
  <si>
    <t>wohltätig</t>
  </si>
  <si>
    <t>dahmer</t>
  </si>
  <si>
    <t>halbgott</t>
  </si>
  <si>
    <t>unterführung</t>
  </si>
  <si>
    <t>einschluss</t>
  </si>
  <si>
    <t>verdorbener</t>
  </si>
  <si>
    <t>barrie</t>
  </si>
  <si>
    <t>privilegierte</t>
  </si>
  <si>
    <t>schnuffi</t>
  </si>
  <si>
    <t>gelage</t>
  </si>
  <si>
    <t>aragorn</t>
  </si>
  <si>
    <t>nanda</t>
  </si>
  <si>
    <t>wiederhabe</t>
  </si>
  <si>
    <t>sympathische</t>
  </si>
  <si>
    <t>spielstand</t>
  </si>
  <si>
    <t>verprasst</t>
  </si>
  <si>
    <t>herkömmlichen</t>
  </si>
  <si>
    <t>überschwemmen</t>
  </si>
  <si>
    <t>janne</t>
  </si>
  <si>
    <t>kittredge</t>
  </si>
  <si>
    <t>kinderkrankenhaus</t>
  </si>
  <si>
    <t>todschick</t>
  </si>
  <si>
    <t>inch</t>
  </si>
  <si>
    <t>lwaxana</t>
  </si>
  <si>
    <t>anthonys</t>
  </si>
  <si>
    <t>benning</t>
  </si>
  <si>
    <t>trinidad</t>
  </si>
  <si>
    <t>vermisstenmeldung</t>
  </si>
  <si>
    <t>fischhändler</t>
  </si>
  <si>
    <t>highlights</t>
  </si>
  <si>
    <t>aquitanien</t>
  </si>
  <si>
    <t>hasegawa</t>
  </si>
  <si>
    <t>daliegen</t>
  </si>
  <si>
    <t>lateiner</t>
  </si>
  <si>
    <t>aminosäuren</t>
  </si>
  <si>
    <t>gräten</t>
  </si>
  <si>
    <t>wetteifern</t>
  </si>
  <si>
    <t>stechenden</t>
  </si>
  <si>
    <t>belesen</t>
  </si>
  <si>
    <t>doktorin</t>
  </si>
  <si>
    <t>horns</t>
  </si>
  <si>
    <t>cyr</t>
  </si>
  <si>
    <t>giftschlange</t>
  </si>
  <si>
    <t>viertelmeile</t>
  </si>
  <si>
    <t>sommerzeit</t>
  </si>
  <si>
    <t>ehegatten</t>
  </si>
  <si>
    <t>darstellte</t>
  </si>
  <si>
    <t>margarine</t>
  </si>
  <si>
    <t>damenhaft</t>
  </si>
  <si>
    <t>guinan</t>
  </si>
  <si>
    <t>mute</t>
  </si>
  <si>
    <t>saratoga</t>
  </si>
  <si>
    <t>ereilen</t>
  </si>
  <si>
    <t>abkoppeln</t>
  </si>
  <si>
    <t>entlohnung</t>
  </si>
  <si>
    <t>fernhältst</t>
  </si>
  <si>
    <t>goblin</t>
  </si>
  <si>
    <t>schleppend</t>
  </si>
  <si>
    <t>italia</t>
  </si>
  <si>
    <t>cairo</t>
  </si>
  <si>
    <t>aleksei</t>
  </si>
  <si>
    <t>marti</t>
  </si>
  <si>
    <t>vergöttere</t>
  </si>
  <si>
    <t>bäuerchen</t>
  </si>
  <si>
    <t>ersparnissen</t>
  </si>
  <si>
    <t>verabredeten</t>
  </si>
  <si>
    <t>abgebrüht</t>
  </si>
  <si>
    <t>übersetz</t>
  </si>
  <si>
    <t>gebunkert</t>
  </si>
  <si>
    <t>molkerei</t>
  </si>
  <si>
    <t>gutmütigkeit</t>
  </si>
  <si>
    <t>geraldo</t>
  </si>
  <si>
    <t>rausbringt</t>
  </si>
  <si>
    <t>bodine</t>
  </si>
  <si>
    <t>friedensgespräche</t>
  </si>
  <si>
    <t>gesetzbuch</t>
  </si>
  <si>
    <t>leith</t>
  </si>
  <si>
    <t>reproduziert</t>
  </si>
  <si>
    <t>intubiert</t>
  </si>
  <si>
    <t>ratchett</t>
  </si>
  <si>
    <t>türkisches</t>
  </si>
  <si>
    <t>geirmundur</t>
  </si>
  <si>
    <t>eigenarten</t>
  </si>
  <si>
    <t>flaschengeister</t>
  </si>
  <si>
    <t>steinbock</t>
  </si>
  <si>
    <t>satomi</t>
  </si>
  <si>
    <t>menüs</t>
  </si>
  <si>
    <t>solutions</t>
  </si>
  <si>
    <t>mosaik</t>
  </si>
  <si>
    <t>kryptonische</t>
  </si>
  <si>
    <t>siren</t>
  </si>
  <si>
    <t>auffällige</t>
  </si>
  <si>
    <t>abgetrennte</t>
  </si>
  <si>
    <t>gescheiterter</t>
  </si>
  <si>
    <t>reihenhaus</t>
  </si>
  <si>
    <t>alisa</t>
  </si>
  <si>
    <t>belli</t>
  </si>
  <si>
    <t>hausflur</t>
  </si>
  <si>
    <t>feuerwehrauto</t>
  </si>
  <si>
    <t>foie</t>
  </si>
  <si>
    <t>akut</t>
  </si>
  <si>
    <t>hierhergezogen</t>
  </si>
  <si>
    <t>merchant</t>
  </si>
  <si>
    <t>verkrampfen</t>
  </si>
  <si>
    <t>konfrontierte</t>
  </si>
  <si>
    <t>kepler</t>
  </si>
  <si>
    <t>videokameras</t>
  </si>
  <si>
    <t>hocharbeiten</t>
  </si>
  <si>
    <t>mija</t>
  </si>
  <si>
    <t>räudige</t>
  </si>
  <si>
    <t>drea</t>
  </si>
  <si>
    <t>akademisch</t>
  </si>
  <si>
    <t>anästhesist</t>
  </si>
  <si>
    <t>feiglingen</t>
  </si>
  <si>
    <t>radford</t>
  </si>
  <si>
    <t>x-beliebigen</t>
  </si>
  <si>
    <t>salzige</t>
  </si>
  <si>
    <t>optisch</t>
  </si>
  <si>
    <t>verdauungstrakt</t>
  </si>
  <si>
    <t>mani</t>
  </si>
  <si>
    <t>pulsiert</t>
  </si>
  <si>
    <t>oberliga</t>
  </si>
  <si>
    <t>gepokert</t>
  </si>
  <si>
    <t>orangefarbenen</t>
  </si>
  <si>
    <t>ahhhh</t>
  </si>
  <si>
    <t>interstellare</t>
  </si>
  <si>
    <t>bodenkontrolle</t>
  </si>
  <si>
    <t>macoco</t>
  </si>
  <si>
    <t>saxofon</t>
  </si>
  <si>
    <t>owl</t>
  </si>
  <si>
    <t>record</t>
  </si>
  <si>
    <t>sammlerstücke</t>
  </si>
  <si>
    <t>kompromisslos</t>
  </si>
  <si>
    <t>zollbehörde</t>
  </si>
  <si>
    <t>schlanken</t>
  </si>
  <si>
    <t>galeeren</t>
  </si>
  <si>
    <t>containern</t>
  </si>
  <si>
    <t>heterosexuell</t>
  </si>
  <si>
    <t>bumble</t>
  </si>
  <si>
    <t>jamba</t>
  </si>
  <si>
    <t>straßennamen</t>
  </si>
  <si>
    <t>moro</t>
  </si>
  <si>
    <t>heuchlerisch</t>
  </si>
  <si>
    <t>französinnen</t>
  </si>
  <si>
    <t>goodweather</t>
  </si>
  <si>
    <t>deedee</t>
  </si>
  <si>
    <t>könnens</t>
  </si>
  <si>
    <t>herumgeschubst</t>
  </si>
  <si>
    <t>kurts</t>
  </si>
  <si>
    <t>fleury</t>
  </si>
  <si>
    <t>reykjavík</t>
  </si>
  <si>
    <t>opferung</t>
  </si>
  <si>
    <t>darken</t>
  </si>
  <si>
    <t>anzüglich</t>
  </si>
  <si>
    <t>mclaughlin</t>
  </si>
  <si>
    <t>handhabung</t>
  </si>
  <si>
    <t>herzensgüte</t>
  </si>
  <si>
    <t>jeannies</t>
  </si>
  <si>
    <t>greys</t>
  </si>
  <si>
    <t>thursby</t>
  </si>
  <si>
    <t>limoges</t>
  </si>
  <si>
    <t>floriert</t>
  </si>
  <si>
    <t>draufstehen</t>
  </si>
  <si>
    <t>schmuckstücke</t>
  </si>
  <si>
    <t>verena</t>
  </si>
  <si>
    <t>tristin</t>
  </si>
  <si>
    <t>gestöhnt</t>
  </si>
  <si>
    <t>bazillus</t>
  </si>
  <si>
    <t>gemeinnützigen</t>
  </si>
  <si>
    <t>drewe</t>
  </si>
  <si>
    <t>verweigerten</t>
  </si>
  <si>
    <t>entzog</t>
  </si>
  <si>
    <t>besuchszeiten</t>
  </si>
  <si>
    <t>multimillionär</t>
  </si>
  <si>
    <t>haddock</t>
  </si>
  <si>
    <t>schnitzereien</t>
  </si>
  <si>
    <t>hervorgehen</t>
  </si>
  <si>
    <t>micke</t>
  </si>
  <si>
    <t>verfolg</t>
  </si>
  <si>
    <t>krummes</t>
  </si>
  <si>
    <t>nahmt</t>
  </si>
  <si>
    <t>angedroht</t>
  </si>
  <si>
    <t>bösartigkeit</t>
  </si>
  <si>
    <t>plastischer</t>
  </si>
  <si>
    <t>weisser</t>
  </si>
  <si>
    <t>sekundäre</t>
  </si>
  <si>
    <t>gerad</t>
  </si>
  <si>
    <t>unrechtmäßig</t>
  </si>
  <si>
    <t>unterhaus</t>
  </si>
  <si>
    <t>regungslos</t>
  </si>
  <si>
    <t>pell</t>
  </si>
  <si>
    <t>stacie</t>
  </si>
  <si>
    <t>marchese</t>
  </si>
  <si>
    <t>nuklear</t>
  </si>
  <si>
    <t>fußballtraining</t>
  </si>
  <si>
    <t>gewöhnte</t>
  </si>
  <si>
    <t>mundschenk</t>
  </si>
  <si>
    <t>einverständniserklärung</t>
  </si>
  <si>
    <t>versicherten</t>
  </si>
  <si>
    <t>gian</t>
  </si>
  <si>
    <t>mindert</t>
  </si>
  <si>
    <t>fuad</t>
  </si>
  <si>
    <t>wortgewandt</t>
  </si>
  <si>
    <t>wunschzettel</t>
  </si>
  <si>
    <t>einweihungsparty</t>
  </si>
  <si>
    <t>manneskraft</t>
  </si>
  <si>
    <t>rahim</t>
  </si>
  <si>
    <t>hauptschalter</t>
  </si>
  <si>
    <t>streicherklänge</t>
  </si>
  <si>
    <t>mulholland</t>
  </si>
  <si>
    <t>respektable</t>
  </si>
  <si>
    <t>entsprang</t>
  </si>
  <si>
    <t>grußfrequenzen</t>
  </si>
  <si>
    <t>kastration</t>
  </si>
  <si>
    <t>twan</t>
  </si>
  <si>
    <t>tauglich</t>
  </si>
  <si>
    <t>ilan</t>
  </si>
  <si>
    <t>tätowierten</t>
  </si>
  <si>
    <t>verspottest</t>
  </si>
  <si>
    <t>durchzudringen</t>
  </si>
  <si>
    <t>spülst</t>
  </si>
  <si>
    <t>belebten</t>
  </si>
  <si>
    <t>reims</t>
  </si>
  <si>
    <t>notebook</t>
  </si>
  <si>
    <t>choreografie</t>
  </si>
  <si>
    <t>musikunterricht</t>
  </si>
  <si>
    <t>schwuli</t>
  </si>
  <si>
    <t>piepston</t>
  </si>
  <si>
    <t>verfasste</t>
  </si>
  <si>
    <t>produktive</t>
  </si>
  <si>
    <t>ostafrika</t>
  </si>
  <si>
    <t>kriminalitätsrate</t>
  </si>
  <si>
    <t>lor</t>
  </si>
  <si>
    <t>promoten</t>
  </si>
  <si>
    <t>knallharten</t>
  </si>
  <si>
    <t>schatzinsel</t>
  </si>
  <si>
    <t>lutschst</t>
  </si>
  <si>
    <t>entsendet</t>
  </si>
  <si>
    <t>verhasst</t>
  </si>
  <si>
    <t>cic</t>
  </si>
  <si>
    <t>dickem</t>
  </si>
  <si>
    <t>cath</t>
  </si>
  <si>
    <t>koexistenz</t>
  </si>
  <si>
    <t>transsilvanien</t>
  </si>
  <si>
    <t>brächten</t>
  </si>
  <si>
    <t>beschriften</t>
  </si>
  <si>
    <t>vertrauensselig</t>
  </si>
  <si>
    <t>einstreichen</t>
  </si>
  <si>
    <t>weight</t>
  </si>
  <si>
    <t>berufsleben</t>
  </si>
  <si>
    <t>säubere</t>
  </si>
  <si>
    <t>wartens</t>
  </si>
  <si>
    <t>signaturen</t>
  </si>
  <si>
    <t>sobotka</t>
  </si>
  <si>
    <t>irgendeins</t>
  </si>
  <si>
    <t>torrey</t>
  </si>
  <si>
    <t>vámonos</t>
  </si>
  <si>
    <t>augenwinkel</t>
  </si>
  <si>
    <t>sacht</t>
  </si>
  <si>
    <t>brunswick</t>
  </si>
  <si>
    <t>lurch</t>
  </si>
  <si>
    <t>ansatzpunkt</t>
  </si>
  <si>
    <t>u.s.a.</t>
  </si>
  <si>
    <t>schilden</t>
  </si>
  <si>
    <t>hintretet</t>
  </si>
  <si>
    <t>muffit</t>
  </si>
  <si>
    <t>inspektoren</t>
  </si>
  <si>
    <t>philosophischen</t>
  </si>
  <si>
    <t>aufzusammeln</t>
  </si>
  <si>
    <t>auszüge</t>
  </si>
  <si>
    <t>wählerschaft</t>
  </si>
  <si>
    <t>five-0</t>
  </si>
  <si>
    <t>unbefangen</t>
  </si>
  <si>
    <t>erzahlen</t>
  </si>
  <si>
    <t>kapellmeister</t>
  </si>
  <si>
    <t>diskus</t>
  </si>
  <si>
    <t>anfällt</t>
  </si>
  <si>
    <t>ly</t>
  </si>
  <si>
    <t>stallungen</t>
  </si>
  <si>
    <t>trockeneis</t>
  </si>
  <si>
    <t>wohnraum</t>
  </si>
  <si>
    <t>umgestiegen</t>
  </si>
  <si>
    <t>gleichwohl</t>
  </si>
  <si>
    <t>greek</t>
  </si>
  <si>
    <t>zor-el</t>
  </si>
  <si>
    <t>schattens</t>
  </si>
  <si>
    <t>hefner</t>
  </si>
  <si>
    <t>mimsy</t>
  </si>
  <si>
    <t>verkehrspolizei</t>
  </si>
  <si>
    <t>ausleeren</t>
  </si>
  <si>
    <t>prominenz</t>
  </si>
  <si>
    <t>karthago</t>
  </si>
  <si>
    <t>schornsteinfeger</t>
  </si>
  <si>
    <t>lessing</t>
  </si>
  <si>
    <t>gently</t>
  </si>
  <si>
    <t>kritikern</t>
  </si>
  <si>
    <t>forney</t>
  </si>
  <si>
    <t>bourgeois</t>
  </si>
  <si>
    <t>brummbär</t>
  </si>
  <si>
    <t>lexy</t>
  </si>
  <si>
    <t>aman</t>
  </si>
  <si>
    <t>pup</t>
  </si>
  <si>
    <t>stürbe</t>
  </si>
  <si>
    <t>grenoble</t>
  </si>
  <si>
    <t>versuchtest</t>
  </si>
  <si>
    <t>affaire</t>
  </si>
  <si>
    <t>authority</t>
  </si>
  <si>
    <t>hexenjäger</t>
  </si>
  <si>
    <t>ruthy</t>
  </si>
  <si>
    <t>debbies</t>
  </si>
  <si>
    <t>nom</t>
  </si>
  <si>
    <t>puffy</t>
  </si>
  <si>
    <t>dirt</t>
  </si>
  <si>
    <t>durchblicken</t>
  </si>
  <si>
    <t>hafturlaub</t>
  </si>
  <si>
    <t>rettich</t>
  </si>
  <si>
    <t>fürcht</t>
  </si>
  <si>
    <t>gilberts</t>
  </si>
  <si>
    <t>gürkchen</t>
  </si>
  <si>
    <t>schützlinge</t>
  </si>
  <si>
    <t>wedelt</t>
  </si>
  <si>
    <t>montecito</t>
  </si>
  <si>
    <t>schnippen</t>
  </si>
  <si>
    <t>autorisation</t>
  </si>
  <si>
    <t>aufstocken</t>
  </si>
  <si>
    <t>weinberge</t>
  </si>
  <si>
    <t>fehlschlägt</t>
  </si>
  <si>
    <t>verantwortlicher</t>
  </si>
  <si>
    <t>steakhaus</t>
  </si>
  <si>
    <t>tish</t>
  </si>
  <si>
    <t>doss</t>
  </si>
  <si>
    <t>einschleichen</t>
  </si>
  <si>
    <t>quiero</t>
  </si>
  <si>
    <t>körbchengröße</t>
  </si>
  <si>
    <t>flood</t>
  </si>
  <si>
    <t>hinweggekommen</t>
  </si>
  <si>
    <t>hasso</t>
  </si>
  <si>
    <t>hlt</t>
  </si>
  <si>
    <t>eyre</t>
  </si>
  <si>
    <t>verantwortungen</t>
  </si>
  <si>
    <t>betrauert</t>
  </si>
  <si>
    <t>parolen</t>
  </si>
  <si>
    <t>verhungerst</t>
  </si>
  <si>
    <t>aufriss</t>
  </si>
  <si>
    <t>erdnüssen</t>
  </si>
  <si>
    <t>hershey</t>
  </si>
  <si>
    <t>unfruchtbarkeit</t>
  </si>
  <si>
    <t>schausteller</t>
  </si>
  <si>
    <t>hectors</t>
  </si>
  <si>
    <t>aufzuzwingen</t>
  </si>
  <si>
    <t>scherst</t>
  </si>
  <si>
    <t>raser</t>
  </si>
  <si>
    <t>oberflächlichen</t>
  </si>
  <si>
    <t>feindseligen</t>
  </si>
  <si>
    <t>cyb</t>
  </si>
  <si>
    <t>gwens</t>
  </si>
  <si>
    <t>warmhalten</t>
  </si>
  <si>
    <t>spaßiger</t>
  </si>
  <si>
    <t>knabbert</t>
  </si>
  <si>
    <t>wohnungssuche</t>
  </si>
  <si>
    <t>verben</t>
  </si>
  <si>
    <t>schalttafel</t>
  </si>
  <si>
    <t>warpfaktor</t>
  </si>
  <si>
    <t>dries</t>
  </si>
  <si>
    <t>huldigung</t>
  </si>
  <si>
    <t>one-night-stands</t>
  </si>
  <si>
    <t>augenhöhle</t>
  </si>
  <si>
    <t>justizsystem</t>
  </si>
  <si>
    <t>kochkurs</t>
  </si>
  <si>
    <t>zukam</t>
  </si>
  <si>
    <t>selbstschutz</t>
  </si>
  <si>
    <t>großherzog</t>
  </si>
  <si>
    <t>gateway</t>
  </si>
  <si>
    <t>entlaufen</t>
  </si>
  <si>
    <t>bauerntölpel</t>
  </si>
  <si>
    <t>gaye</t>
  </si>
  <si>
    <t>norville</t>
  </si>
  <si>
    <t>anymore</t>
  </si>
  <si>
    <t>fünfen</t>
  </si>
  <si>
    <t>schlappmachen</t>
  </si>
  <si>
    <t>argumenten</t>
  </si>
  <si>
    <t>allura</t>
  </si>
  <si>
    <t>musizieren</t>
  </si>
  <si>
    <t>zweifache</t>
  </si>
  <si>
    <t>bezaubert</t>
  </si>
  <si>
    <t>innenleben</t>
  </si>
  <si>
    <t>unmenschliche</t>
  </si>
  <si>
    <t>bundesbehörde</t>
  </si>
  <si>
    <t>unfallopfer</t>
  </si>
  <si>
    <t>piekst</t>
  </si>
  <si>
    <t>metzler</t>
  </si>
  <si>
    <t>mendes</t>
  </si>
  <si>
    <t>geentert</t>
  </si>
  <si>
    <t>stuff</t>
  </si>
  <si>
    <t>anfunken</t>
  </si>
  <si>
    <t>studebaker</t>
  </si>
  <si>
    <t>glucke</t>
  </si>
  <si>
    <t>zeitreisenden</t>
  </si>
  <si>
    <t>tanzlehrer</t>
  </si>
  <si>
    <t>einwirken</t>
  </si>
  <si>
    <t>baldigen</t>
  </si>
  <si>
    <t>bevis</t>
  </si>
  <si>
    <t>fügst</t>
  </si>
  <si>
    <t>unzulänglich</t>
  </si>
  <si>
    <t>jauchegrube</t>
  </si>
  <si>
    <t>nacktbaden</t>
  </si>
  <si>
    <t>ungeheuren</t>
  </si>
  <si>
    <t>thompkins</t>
  </si>
  <si>
    <t>ungeteilte</t>
  </si>
  <si>
    <t>blitzer</t>
  </si>
  <si>
    <t>jal</t>
  </si>
  <si>
    <t>eckbüro</t>
  </si>
  <si>
    <t>engem</t>
  </si>
  <si>
    <t>tunken</t>
  </si>
  <si>
    <t>smokings</t>
  </si>
  <si>
    <t>geschehn</t>
  </si>
  <si>
    <t>outside</t>
  </si>
  <si>
    <t>unverbindlich</t>
  </si>
  <si>
    <t>nia</t>
  </si>
  <si>
    <t>runterspringen</t>
  </si>
  <si>
    <t>chin-chin</t>
  </si>
  <si>
    <t>anbei</t>
  </si>
  <si>
    <t>mechanischer</t>
  </si>
  <si>
    <t>nordkoreaner</t>
  </si>
  <si>
    <t>lean</t>
  </si>
  <si>
    <t>bronski</t>
  </si>
  <si>
    <t>scherbatsky</t>
  </si>
  <si>
    <t>betrank</t>
  </si>
  <si>
    <t>narzisst</t>
  </si>
  <si>
    <t>bulldogs</t>
  </si>
  <si>
    <t>biologe</t>
  </si>
  <si>
    <t>versiegelte</t>
  </si>
  <si>
    <t>korrumpieren</t>
  </si>
  <si>
    <t>klemmbrett</t>
  </si>
  <si>
    <t>begleiche</t>
  </si>
  <si>
    <t>nirwana</t>
  </si>
  <si>
    <t>landbesitzer</t>
  </si>
  <si>
    <t>strahle</t>
  </si>
  <si>
    <t>halsketten</t>
  </si>
  <si>
    <t>unbefleckt</t>
  </si>
  <si>
    <t>ziyal</t>
  </si>
  <si>
    <t>ethans</t>
  </si>
  <si>
    <t>trigonometrie</t>
  </si>
  <si>
    <t>reingekriegt</t>
  </si>
  <si>
    <t>14-jähriger</t>
  </si>
  <si>
    <t>übergangsphase</t>
  </si>
  <si>
    <t>benützt</t>
  </si>
  <si>
    <t>lukrative</t>
  </si>
  <si>
    <t>schreibtische</t>
  </si>
  <si>
    <t>prioren</t>
  </si>
  <si>
    <t>lumbalpunktion</t>
  </si>
  <si>
    <t>anzuwerben</t>
  </si>
  <si>
    <t>ips</t>
  </si>
  <si>
    <t>más</t>
  </si>
  <si>
    <t>across</t>
  </si>
  <si>
    <t>reißleine</t>
  </si>
  <si>
    <t>landgang</t>
  </si>
  <si>
    <t>auslacht</t>
  </si>
  <si>
    <t>maximieren</t>
  </si>
  <si>
    <t>anhaltenden</t>
  </si>
  <si>
    <t>dahingerafft</t>
  </si>
  <si>
    <t>es.</t>
  </si>
  <si>
    <t>us-soldaten</t>
  </si>
  <si>
    <t>forme</t>
  </si>
  <si>
    <t>d.b.</t>
  </si>
  <si>
    <t>häretiker</t>
  </si>
  <si>
    <t>küchentür</t>
  </si>
  <si>
    <t>familienprobleme</t>
  </si>
  <si>
    <t>polizeieinsatz</t>
  </si>
  <si>
    <t>primär</t>
  </si>
  <si>
    <t>za</t>
  </si>
  <si>
    <t>leidende</t>
  </si>
  <si>
    <t>schützenfest</t>
  </si>
  <si>
    <t>schuhsohlen</t>
  </si>
  <si>
    <t>verstaubt</t>
  </si>
  <si>
    <t>abschießt</t>
  </si>
  <si>
    <t>teamkollegen</t>
  </si>
  <si>
    <t>teufelsanbeter</t>
  </si>
  <si>
    <t>zammis</t>
  </si>
  <si>
    <t>muzzy</t>
  </si>
  <si>
    <t>terrys</t>
  </si>
  <si>
    <t>adels</t>
  </si>
  <si>
    <t>garagentor</t>
  </si>
  <si>
    <t>beehive</t>
  </si>
  <si>
    <t>gottloser</t>
  </si>
  <si>
    <t>vulkans</t>
  </si>
  <si>
    <t>joggt</t>
  </si>
  <si>
    <t>lügengeschichten</t>
  </si>
  <si>
    <t>quantität</t>
  </si>
  <si>
    <t>mui</t>
  </si>
  <si>
    <t>thoreau</t>
  </si>
  <si>
    <t>absetzung</t>
  </si>
  <si>
    <t>färbte</t>
  </si>
  <si>
    <t>deckers</t>
  </si>
  <si>
    <t>unheilbare</t>
  </si>
  <si>
    <t>mexiko-stadt</t>
  </si>
  <si>
    <t>dns-test</t>
  </si>
  <si>
    <t>paladin</t>
  </si>
  <si>
    <t>beurteilungen</t>
  </si>
  <si>
    <t>lovisa</t>
  </si>
  <si>
    <t>homies</t>
  </si>
  <si>
    <t>hallandsen</t>
  </si>
  <si>
    <t>alvarado</t>
  </si>
  <si>
    <t>schadens</t>
  </si>
  <si>
    <t>kif</t>
  </si>
  <si>
    <t>syl</t>
  </si>
  <si>
    <t>morsezeichen</t>
  </si>
  <si>
    <t>dellen</t>
  </si>
  <si>
    <t>vorbeikamen</t>
  </si>
  <si>
    <t>kaminfeuer</t>
  </si>
  <si>
    <t>insiderinformationen</t>
  </si>
  <si>
    <t>grease</t>
  </si>
  <si>
    <t>fliegeralarm</t>
  </si>
  <si>
    <t>originelles</t>
  </si>
  <si>
    <t>bestände</t>
  </si>
  <si>
    <t>startposition</t>
  </si>
  <si>
    <t>lnuki</t>
  </si>
  <si>
    <t>blaubart</t>
  </si>
  <si>
    <t>gesalzen</t>
  </si>
  <si>
    <t>lukrativen</t>
  </si>
  <si>
    <t>überraschendes</t>
  </si>
  <si>
    <t>verzweifeltes</t>
  </si>
  <si>
    <t>verbindlichsten</t>
  </si>
  <si>
    <t>allo</t>
  </si>
  <si>
    <t>dae</t>
  </si>
  <si>
    <t>windgeschwindigkeit</t>
  </si>
  <si>
    <t>arkadia</t>
  </si>
  <si>
    <t>hintergrundinformationen</t>
  </si>
  <si>
    <t>ausschöpfen</t>
  </si>
  <si>
    <t>scheunen</t>
  </si>
  <si>
    <t>dämmerte</t>
  </si>
  <si>
    <t>kooperativer</t>
  </si>
  <si>
    <t>puren</t>
  </si>
  <si>
    <t>zehn-vorne</t>
  </si>
  <si>
    <t>edelmänner</t>
  </si>
  <si>
    <t>verrücktwerden</t>
  </si>
  <si>
    <t>verteufelt</t>
  </si>
  <si>
    <t>stalins</t>
  </si>
  <si>
    <t>rabauke</t>
  </si>
  <si>
    <t>pe</t>
  </si>
  <si>
    <t>abzukühlen</t>
  </si>
  <si>
    <t>trickfilm</t>
  </si>
  <si>
    <t>jihad</t>
  </si>
  <si>
    <t>telly</t>
  </si>
  <si>
    <t>provokativ</t>
  </si>
  <si>
    <t>unterrichtsstunde</t>
  </si>
  <si>
    <t>anti</t>
  </si>
  <si>
    <t>draufhalten</t>
  </si>
  <si>
    <t>umstrukturierung</t>
  </si>
  <si>
    <t>landluft</t>
  </si>
  <si>
    <t>zirkels</t>
  </si>
  <si>
    <t>vorsätzliche</t>
  </si>
  <si>
    <t>thanksgiving-essen</t>
  </si>
  <si>
    <t>klapperkiste</t>
  </si>
  <si>
    <t>tollkühn</t>
  </si>
  <si>
    <t>lächelns</t>
  </si>
  <si>
    <t>nature</t>
  </si>
  <si>
    <t>beatty</t>
  </si>
  <si>
    <t>epileptiker</t>
  </si>
  <si>
    <t>schreibstil</t>
  </si>
  <si>
    <t>delbert</t>
  </si>
  <si>
    <t>bissell</t>
  </si>
  <si>
    <t>kaleu</t>
  </si>
  <si>
    <t>underwoods</t>
  </si>
  <si>
    <t>schlussplädoyer</t>
  </si>
  <si>
    <t>ici</t>
  </si>
  <si>
    <t>kugelfisch</t>
  </si>
  <si>
    <t>challenger</t>
  </si>
  <si>
    <t>iori</t>
  </si>
  <si>
    <t>schmissen</t>
  </si>
  <si>
    <t>verlaß</t>
  </si>
  <si>
    <t>entsetzlicher</t>
  </si>
  <si>
    <t>bless</t>
  </si>
  <si>
    <t>dazugehörigen</t>
  </si>
  <si>
    <t>malina</t>
  </si>
  <si>
    <t>hashimoto</t>
  </si>
  <si>
    <t>warschauer</t>
  </si>
  <si>
    <t>eintüten</t>
  </si>
  <si>
    <t>bedrohe</t>
  </si>
  <si>
    <t>kundenservice</t>
  </si>
  <si>
    <t>anpiepsen</t>
  </si>
  <si>
    <t>freundschaftliche</t>
  </si>
  <si>
    <t>ausliefere</t>
  </si>
  <si>
    <t>sitzplätze</t>
  </si>
  <si>
    <t>flaschenöffner</t>
  </si>
  <si>
    <t>lohse</t>
  </si>
  <si>
    <t>wear</t>
  </si>
  <si>
    <t>heimzugehen</t>
  </si>
  <si>
    <t>rundfahrt</t>
  </si>
  <si>
    <t>verantwortungsgefühl</t>
  </si>
  <si>
    <t>yours</t>
  </si>
  <si>
    <t>score</t>
  </si>
  <si>
    <t>förmlichkeiten</t>
  </si>
  <si>
    <t>hochhäuser</t>
  </si>
  <si>
    <t>huckleberry</t>
  </si>
  <si>
    <t>trächtig</t>
  </si>
  <si>
    <t>journey</t>
  </si>
  <si>
    <t>scheckheft</t>
  </si>
  <si>
    <t>calista</t>
  </si>
  <si>
    <t>obelisk</t>
  </si>
  <si>
    <t>verklemmte</t>
  </si>
  <si>
    <t>trine</t>
  </si>
  <si>
    <t>hrt</t>
  </si>
  <si>
    <t>gatewood</t>
  </si>
  <si>
    <t>selbstsüchtigen</t>
  </si>
  <si>
    <t>halls</t>
  </si>
  <si>
    <t>verschlag</t>
  </si>
  <si>
    <t>iglu</t>
  </si>
  <si>
    <t>eckpfeiler</t>
  </si>
  <si>
    <t>unidentifizierte</t>
  </si>
  <si>
    <t>seraphim</t>
  </si>
  <si>
    <t>rumzuschnüffeln</t>
  </si>
  <si>
    <t>torstein</t>
  </si>
  <si>
    <t>verbürgen</t>
  </si>
  <si>
    <t>ape</t>
  </si>
  <si>
    <t>achselhöhle</t>
  </si>
  <si>
    <t>herausgeberin</t>
  </si>
  <si>
    <t>flüchtest</t>
  </si>
  <si>
    <t>verkorksten</t>
  </si>
  <si>
    <t>tierärzte</t>
  </si>
  <si>
    <t>verzollen</t>
  </si>
  <si>
    <t>blockt</t>
  </si>
  <si>
    <t>pt</t>
  </si>
  <si>
    <t>respektierten</t>
  </si>
  <si>
    <t>heimgezahlt</t>
  </si>
  <si>
    <t>bejubelt</t>
  </si>
  <si>
    <t>catcher</t>
  </si>
  <si>
    <t>schulfest</t>
  </si>
  <si>
    <t>heads</t>
  </si>
  <si>
    <t>embargo</t>
  </si>
  <si>
    <t>samanthas</t>
  </si>
  <si>
    <t>jakobowsky</t>
  </si>
  <si>
    <t>ads</t>
  </si>
  <si>
    <t>schussverletzungen</t>
  </si>
  <si>
    <t>kunz</t>
  </si>
  <si>
    <t>nuklearer</t>
  </si>
  <si>
    <t>nachkommt</t>
  </si>
  <si>
    <t>kassierst</t>
  </si>
  <si>
    <t>langfinger</t>
  </si>
  <si>
    <t>hinschaut</t>
  </si>
  <si>
    <t>jubelschreie</t>
  </si>
  <si>
    <t>vielfraß</t>
  </si>
  <si>
    <t>nordischen</t>
  </si>
  <si>
    <t>anlüge</t>
  </si>
  <si>
    <t>thane</t>
  </si>
  <si>
    <t>fahrgeld</t>
  </si>
  <si>
    <t>mias</t>
  </si>
  <si>
    <t>goldsucher</t>
  </si>
  <si>
    <t>nymphen</t>
  </si>
  <si>
    <t>umging</t>
  </si>
  <si>
    <t>verteidigungs</t>
  </si>
  <si>
    <t>lehrstunde</t>
  </si>
  <si>
    <t>überraschender</t>
  </si>
  <si>
    <t>neuere</t>
  </si>
  <si>
    <t>toxikologischen</t>
  </si>
  <si>
    <t>jugendlich</t>
  </si>
  <si>
    <t>jaaaa</t>
  </si>
  <si>
    <t>schwermütig</t>
  </si>
  <si>
    <t>fehlerhafte</t>
  </si>
  <si>
    <t>simonis</t>
  </si>
  <si>
    <t>orca</t>
  </si>
  <si>
    <t>haruko</t>
  </si>
  <si>
    <t>bs</t>
  </si>
  <si>
    <t>edelmütig</t>
  </si>
  <si>
    <t>pancamo</t>
  </si>
  <si>
    <t>kreuzzüge</t>
  </si>
  <si>
    <t>bauprojekt</t>
  </si>
  <si>
    <t>pendejo</t>
  </si>
  <si>
    <t>eisenstange</t>
  </si>
  <si>
    <t>beantragte</t>
  </si>
  <si>
    <t>arbeitsunfall</t>
  </si>
  <si>
    <t>abschlussarbeit</t>
  </si>
  <si>
    <t>sechserpack</t>
  </si>
  <si>
    <t>galoppieren</t>
  </si>
  <si>
    <t>cortex</t>
  </si>
  <si>
    <t>eliminierung</t>
  </si>
  <si>
    <t>bewandert</t>
  </si>
  <si>
    <t>zeitgenosse</t>
  </si>
  <si>
    <t>norwich</t>
  </si>
  <si>
    <t>tavern</t>
  </si>
  <si>
    <t>filmrechte</t>
  </si>
  <si>
    <t>s01</t>
  </si>
  <si>
    <t>klobrille</t>
  </si>
  <si>
    <t>solaris</t>
  </si>
  <si>
    <t>eigner</t>
  </si>
  <si>
    <t>komfortzone</t>
  </si>
  <si>
    <t>boykott</t>
  </si>
  <si>
    <t>butterblume</t>
  </si>
  <si>
    <t>ratschlägen</t>
  </si>
  <si>
    <t>beneidenswert</t>
  </si>
  <si>
    <t>gq</t>
  </si>
  <si>
    <t>rankomme</t>
  </si>
  <si>
    <t>hirnlosen</t>
  </si>
  <si>
    <t>blickes</t>
  </si>
  <si>
    <t>cordova</t>
  </si>
  <si>
    <t>hinlaufen</t>
  </si>
  <si>
    <t>stummel</t>
  </si>
  <si>
    <t>pfefferkuchen</t>
  </si>
  <si>
    <t>säuglinge</t>
  </si>
  <si>
    <t>jackies</t>
  </si>
  <si>
    <t>sondieren</t>
  </si>
  <si>
    <t>cleves</t>
  </si>
  <si>
    <t>hänseln</t>
  </si>
  <si>
    <t>ruhmreich</t>
  </si>
  <si>
    <t>zinken</t>
  </si>
  <si>
    <t>tempolimit</t>
  </si>
  <si>
    <t>malatesta</t>
  </si>
  <si>
    <t>herkömmliche</t>
  </si>
  <si>
    <t>sherpa</t>
  </si>
  <si>
    <t>verdampfen</t>
  </si>
  <si>
    <t>aufstoßen</t>
  </si>
  <si>
    <t>sheeta</t>
  </si>
  <si>
    <t>auszubeuten</t>
  </si>
  <si>
    <t>feststellte</t>
  </si>
  <si>
    <t>mühsal</t>
  </si>
  <si>
    <t>tanzsaal</t>
  </si>
  <si>
    <t>gottlos</t>
  </si>
  <si>
    <t>bürgers</t>
  </si>
  <si>
    <t>coffey</t>
  </si>
  <si>
    <t>verdoppele</t>
  </si>
  <si>
    <t>vierundzwanzig</t>
  </si>
  <si>
    <t>sicherheitslücke</t>
  </si>
  <si>
    <t>yukie</t>
  </si>
  <si>
    <t>nowak</t>
  </si>
  <si>
    <t>feuille</t>
  </si>
  <si>
    <t>screen</t>
  </si>
  <si>
    <t>assoziiert</t>
  </si>
  <si>
    <t>candle</t>
  </si>
  <si>
    <t>detaillierten</t>
  </si>
  <si>
    <t>fenchel</t>
  </si>
  <si>
    <t>scannte</t>
  </si>
  <si>
    <t>cadillacs</t>
  </si>
  <si>
    <t>gefleht</t>
  </si>
  <si>
    <t>musikgeschmack</t>
  </si>
  <si>
    <t>fantastic</t>
  </si>
  <si>
    <t>holzmann</t>
  </si>
  <si>
    <t>dominikaner</t>
  </si>
  <si>
    <t>prätor</t>
  </si>
  <si>
    <t>geurteilt</t>
  </si>
  <si>
    <t>überlebens</t>
  </si>
  <si>
    <t>population</t>
  </si>
  <si>
    <t>henley</t>
  </si>
  <si>
    <t>flugbegleiter</t>
  </si>
  <si>
    <t>drax</t>
  </si>
  <si>
    <t>flaches</t>
  </si>
  <si>
    <t>zuckungen</t>
  </si>
  <si>
    <t>hessen</t>
  </si>
  <si>
    <t>veröffentlichungen</t>
  </si>
  <si>
    <t>sach</t>
  </si>
  <si>
    <t>bennys</t>
  </si>
  <si>
    <t>nikolas</t>
  </si>
  <si>
    <t>schlaufe</t>
  </si>
  <si>
    <t>jawort</t>
  </si>
  <si>
    <t>mobiliar</t>
  </si>
  <si>
    <t>unerschrocken</t>
  </si>
  <si>
    <t>fliesst</t>
  </si>
  <si>
    <t>abschriften</t>
  </si>
  <si>
    <t>lykos</t>
  </si>
  <si>
    <t>shéhérazade</t>
  </si>
  <si>
    <t>s.s.</t>
  </si>
  <si>
    <t>urteilskraft</t>
  </si>
  <si>
    <t>ers</t>
  </si>
  <si>
    <t>digitaler</t>
  </si>
  <si>
    <t>dissoziative</t>
  </si>
  <si>
    <t>notte</t>
  </si>
  <si>
    <t>rosso</t>
  </si>
  <si>
    <t>nagelpistole</t>
  </si>
  <si>
    <t>rituellen</t>
  </si>
  <si>
    <t>versiert</t>
  </si>
  <si>
    <t>amboy</t>
  </si>
  <si>
    <t>nagelstudio</t>
  </si>
  <si>
    <t>geschenkten</t>
  </si>
  <si>
    <t>verderbt</t>
  </si>
  <si>
    <t>citys</t>
  </si>
  <si>
    <t>gefilzt</t>
  </si>
  <si>
    <t>bällchen</t>
  </si>
  <si>
    <t>beantwortung</t>
  </si>
  <si>
    <t>reptilianer</t>
  </si>
  <si>
    <t>taxen</t>
  </si>
  <si>
    <t>bar-mizwa</t>
  </si>
  <si>
    <t>blubbert</t>
  </si>
  <si>
    <t>maida</t>
  </si>
  <si>
    <t>xing</t>
  </si>
  <si>
    <t>xev</t>
  </si>
  <si>
    <t>verzückung</t>
  </si>
  <si>
    <t>landesinnere</t>
  </si>
  <si>
    <t>mcgarrett</t>
  </si>
  <si>
    <t>direktes</t>
  </si>
  <si>
    <t>blockhütte</t>
  </si>
  <si>
    <t>radiomusik</t>
  </si>
  <si>
    <t>nervenbahnen</t>
  </si>
  <si>
    <t>gehende</t>
  </si>
  <si>
    <t>lakeman</t>
  </si>
  <si>
    <t>frell</t>
  </si>
  <si>
    <t>schießbefehl</t>
  </si>
  <si>
    <t>nationalmannschaft</t>
  </si>
  <si>
    <t>großangriff</t>
  </si>
  <si>
    <t>tores</t>
  </si>
  <si>
    <t>vogelkäfig</t>
  </si>
  <si>
    <t>vorübergehenden</t>
  </si>
  <si>
    <t>bayard</t>
  </si>
  <si>
    <t>ausdrückst</t>
  </si>
  <si>
    <t>filmgesellschaft</t>
  </si>
  <si>
    <t>gesundheitsminister</t>
  </si>
  <si>
    <t>pferdediebe</t>
  </si>
  <si>
    <t>verfüttere</t>
  </si>
  <si>
    <t>masterplan</t>
  </si>
  <si>
    <t>brunner</t>
  </si>
  <si>
    <t>marquesa</t>
  </si>
  <si>
    <t>kraftvolle</t>
  </si>
  <si>
    <t>geweht</t>
  </si>
  <si>
    <t>sprudel</t>
  </si>
  <si>
    <t>energiesignatur</t>
  </si>
  <si>
    <t>angreifers</t>
  </si>
  <si>
    <t>wanderschaft</t>
  </si>
  <si>
    <t>walkie</t>
  </si>
  <si>
    <t>kneife</t>
  </si>
  <si>
    <t>sith</t>
  </si>
  <si>
    <t>costco</t>
  </si>
  <si>
    <t>überwinde</t>
  </si>
  <si>
    <t>musikzimmer</t>
  </si>
  <si>
    <t>semtex</t>
  </si>
  <si>
    <t>geparden</t>
  </si>
  <si>
    <t>mundwinkel</t>
  </si>
  <si>
    <t>zwielichtig</t>
  </si>
  <si>
    <t>umschlungen</t>
  </si>
  <si>
    <t>spieltisch</t>
  </si>
  <si>
    <t>verordnungen</t>
  </si>
  <si>
    <t>milzbrand</t>
  </si>
  <si>
    <t>kanus</t>
  </si>
  <si>
    <t>scannern</t>
  </si>
  <si>
    <t>kontrollierbar</t>
  </si>
  <si>
    <t>scratchy</t>
  </si>
  <si>
    <t>nachtflug</t>
  </si>
  <si>
    <t>sicherheitsabstand</t>
  </si>
  <si>
    <t>antrat</t>
  </si>
  <si>
    <t>matten</t>
  </si>
  <si>
    <t>waschmaschinen</t>
  </si>
  <si>
    <t>yah</t>
  </si>
  <si>
    <t>leh</t>
  </si>
  <si>
    <t>abschaltung</t>
  </si>
  <si>
    <t>stuarts</t>
  </si>
  <si>
    <t>nails</t>
  </si>
  <si>
    <t>aussteuer</t>
  </si>
  <si>
    <t>simonson</t>
  </si>
  <si>
    <t>martinique</t>
  </si>
  <si>
    <t>nordost</t>
  </si>
  <si>
    <t>fernhält</t>
  </si>
  <si>
    <t>geworben</t>
  </si>
  <si>
    <t>busmalis</t>
  </si>
  <si>
    <t>belästigungen</t>
  </si>
  <si>
    <t>unity</t>
  </si>
  <si>
    <t>ausländisches</t>
  </si>
  <si>
    <t>versiegen</t>
  </si>
  <si>
    <t>es-es</t>
  </si>
  <si>
    <t>schlüpfrig</t>
  </si>
  <si>
    <t>gespenstern</t>
  </si>
  <si>
    <t>arrondissement</t>
  </si>
  <si>
    <t>gesonnen</t>
  </si>
  <si>
    <t>steuergeldern</t>
  </si>
  <si>
    <t>patensohn</t>
  </si>
  <si>
    <t>kelp</t>
  </si>
  <si>
    <t>vole</t>
  </si>
  <si>
    <t>membran</t>
  </si>
  <si>
    <t>allermeisten</t>
  </si>
  <si>
    <t>nissen</t>
  </si>
  <si>
    <t>gründerväter</t>
  </si>
  <si>
    <t>anstrengt</t>
  </si>
  <si>
    <t>petro</t>
  </si>
  <si>
    <t>legs</t>
  </si>
  <si>
    <t>schlüsselfigur</t>
  </si>
  <si>
    <t>frankiin</t>
  </si>
  <si>
    <t>gepäckwagen</t>
  </si>
  <si>
    <t>sids</t>
  </si>
  <si>
    <t>herauszugeben</t>
  </si>
  <si>
    <t>nachsichtiger</t>
  </si>
  <si>
    <t>untersuch</t>
  </si>
  <si>
    <t>karaffe</t>
  </si>
  <si>
    <t>loxi</t>
  </si>
  <si>
    <t>glaubhafte</t>
  </si>
  <si>
    <t>bräunen</t>
  </si>
  <si>
    <t>pancks</t>
  </si>
  <si>
    <t>hype</t>
  </si>
  <si>
    <t>versammle</t>
  </si>
  <si>
    <t>tamtam</t>
  </si>
  <si>
    <t>diagramme</t>
  </si>
  <si>
    <t>justizirrtum</t>
  </si>
  <si>
    <t>schuester</t>
  </si>
  <si>
    <t>festanstellung</t>
  </si>
  <si>
    <t>geschwulst</t>
  </si>
  <si>
    <t>verzückt</t>
  </si>
  <si>
    <t>tapas</t>
  </si>
  <si>
    <t>hjörtur</t>
  </si>
  <si>
    <t>schiefer</t>
  </si>
  <si>
    <t>mijo</t>
  </si>
  <si>
    <t>married</t>
  </si>
  <si>
    <t>brandmarken</t>
  </si>
  <si>
    <t>schuldzuweisungen</t>
  </si>
  <si>
    <t>boyfriend</t>
  </si>
  <si>
    <t>einmaleins</t>
  </si>
  <si>
    <t>bernburg</t>
  </si>
  <si>
    <t>unschicklich</t>
  </si>
  <si>
    <t>ausnützen</t>
  </si>
  <si>
    <t>schuldigung</t>
  </si>
  <si>
    <t>walpole</t>
  </si>
  <si>
    <t>zachs</t>
  </si>
  <si>
    <t>hundekuchen</t>
  </si>
  <si>
    <t>musa</t>
  </si>
  <si>
    <t>schwimmende</t>
  </si>
  <si>
    <t>angeberin</t>
  </si>
  <si>
    <t>dennert</t>
  </si>
  <si>
    <t>treter</t>
  </si>
  <si>
    <t>schul</t>
  </si>
  <si>
    <t>keita</t>
  </si>
  <si>
    <t>bewusster</t>
  </si>
  <si>
    <t>abstempeln</t>
  </si>
  <si>
    <t>zaubertränke</t>
  </si>
  <si>
    <t>zugegebenermaßen</t>
  </si>
  <si>
    <t>gregs</t>
  </si>
  <si>
    <t>helferin</t>
  </si>
  <si>
    <t>zurechtgelegt</t>
  </si>
  <si>
    <t>walid</t>
  </si>
  <si>
    <t>bipolar</t>
  </si>
  <si>
    <t>prednison</t>
  </si>
  <si>
    <t>küchenschabe</t>
  </si>
  <si>
    <t>malerisch</t>
  </si>
  <si>
    <t>zentimetern</t>
  </si>
  <si>
    <t>mun</t>
  </si>
  <si>
    <t>vorta</t>
  </si>
  <si>
    <t>vertrödeln</t>
  </si>
  <si>
    <t>langweiligste</t>
  </si>
  <si>
    <t>ultraschallbild</t>
  </si>
  <si>
    <t>0-negativ</t>
  </si>
  <si>
    <t>großraum</t>
  </si>
  <si>
    <t>verängstigter</t>
  </si>
  <si>
    <t>jugendherberge</t>
  </si>
  <si>
    <t>laserstrahl</t>
  </si>
  <si>
    <t>blutopfer</t>
  </si>
  <si>
    <t>widerlinge</t>
  </si>
  <si>
    <t>lesli</t>
  </si>
  <si>
    <t>corley</t>
  </si>
  <si>
    <t>regierungstruppen</t>
  </si>
  <si>
    <t>tropfte</t>
  </si>
  <si>
    <t>wunderwerk</t>
  </si>
  <si>
    <t>zusammensitzen</t>
  </si>
  <si>
    <t>ottawa</t>
  </si>
  <si>
    <t>kiffst</t>
  </si>
  <si>
    <t>messerstich</t>
  </si>
  <si>
    <t>granatsplitter</t>
  </si>
  <si>
    <t>nellies</t>
  </si>
  <si>
    <t>leticia</t>
  </si>
  <si>
    <t>broussard</t>
  </si>
  <si>
    <t>widerspiegeln</t>
  </si>
  <si>
    <t>blakes</t>
  </si>
  <si>
    <t>tratscht</t>
  </si>
  <si>
    <t>computerspiele</t>
  </si>
  <si>
    <t>skins</t>
  </si>
  <si>
    <t>hereingefallen</t>
  </si>
  <si>
    <t>securities</t>
  </si>
  <si>
    <t>kornfeld</t>
  </si>
  <si>
    <t>icheb</t>
  </si>
  <si>
    <t>ausraster</t>
  </si>
  <si>
    <t>grundmauern</t>
  </si>
  <si>
    <t>stinkend</t>
  </si>
  <si>
    <t>pow</t>
  </si>
  <si>
    <t>erskine</t>
  </si>
  <si>
    <t>mittelmäßige</t>
  </si>
  <si>
    <t>regatta</t>
  </si>
  <si>
    <t>vernahm</t>
  </si>
  <si>
    <t>randale</t>
  </si>
  <si>
    <t>behandel</t>
  </si>
  <si>
    <t>imker</t>
  </si>
  <si>
    <t>instandhaltung</t>
  </si>
  <si>
    <t>ineffizient</t>
  </si>
  <si>
    <t>backstein</t>
  </si>
  <si>
    <t>prominent</t>
  </si>
  <si>
    <t>anschlagen</t>
  </si>
  <si>
    <t>runzeln</t>
  </si>
  <si>
    <t>natura</t>
  </si>
  <si>
    <t>juma</t>
  </si>
  <si>
    <t>kiddi</t>
  </si>
  <si>
    <t>hooters</t>
  </si>
  <si>
    <t>dienstmann</t>
  </si>
  <si>
    <t>wegzuräumen</t>
  </si>
  <si>
    <t>gum</t>
  </si>
  <si>
    <t>blockbuster</t>
  </si>
  <si>
    <t>noodles</t>
  </si>
  <si>
    <t>kanaille</t>
  </si>
  <si>
    <t>lokalisiere</t>
  </si>
  <si>
    <t>hilfsorganisation</t>
  </si>
  <si>
    <t>spendierst</t>
  </si>
  <si>
    <t>debussy</t>
  </si>
  <si>
    <t>ackerland</t>
  </si>
  <si>
    <t>ausweispapiere</t>
  </si>
  <si>
    <t>drakan</t>
  </si>
  <si>
    <t>partien</t>
  </si>
  <si>
    <t>mondo</t>
  </si>
  <si>
    <t>kategorisch</t>
  </si>
  <si>
    <t>rennpferde</t>
  </si>
  <si>
    <t>deuce</t>
  </si>
  <si>
    <t>ex-freundinnen</t>
  </si>
  <si>
    <t>desinteresse</t>
  </si>
  <si>
    <t>verheißung</t>
  </si>
  <si>
    <t>beigesteuert</t>
  </si>
  <si>
    <t>willows</t>
  </si>
  <si>
    <t>munitionslager</t>
  </si>
  <si>
    <t>vororte</t>
  </si>
  <si>
    <t>escobars</t>
  </si>
  <si>
    <t>tschick</t>
  </si>
  <si>
    <t>hemmen</t>
  </si>
  <si>
    <t>hergegeben</t>
  </si>
  <si>
    <t>aufsaugen</t>
  </si>
  <si>
    <t>transformiert</t>
  </si>
  <si>
    <t>arabisches</t>
  </si>
  <si>
    <t>landesverrat</t>
  </si>
  <si>
    <t>aufreizend</t>
  </si>
  <si>
    <t>töpfern</t>
  </si>
  <si>
    <t>siegreiche</t>
  </si>
  <si>
    <t>s02e08</t>
  </si>
  <si>
    <t>chouchou</t>
  </si>
  <si>
    <t>christbaum</t>
  </si>
  <si>
    <t>fischerei</t>
  </si>
  <si>
    <t>suzu</t>
  </si>
  <si>
    <t>mantera</t>
  </si>
  <si>
    <t>tiber</t>
  </si>
  <si>
    <t>zurückversetzt</t>
  </si>
  <si>
    <t>gehaltsstufe</t>
  </si>
  <si>
    <t>seestern</t>
  </si>
  <si>
    <t>phiole</t>
  </si>
  <si>
    <t>lifestyle</t>
  </si>
  <si>
    <t>keulen</t>
  </si>
  <si>
    <t>gesellschaftlicher</t>
  </si>
  <si>
    <t>kika</t>
  </si>
  <si>
    <t>archers</t>
  </si>
  <si>
    <t>fehltritte</t>
  </si>
  <si>
    <t>weyland</t>
  </si>
  <si>
    <t>kränklich</t>
  </si>
  <si>
    <t>keel</t>
  </si>
  <si>
    <t>juweliergeschäft</t>
  </si>
  <si>
    <t>waffenbrüder</t>
  </si>
  <si>
    <t>stellvertretend</t>
  </si>
  <si>
    <t>brunel</t>
  </si>
  <si>
    <t>refugium</t>
  </si>
  <si>
    <t>dothraki</t>
  </si>
  <si>
    <t>zoé</t>
  </si>
  <si>
    <t>tortilla</t>
  </si>
  <si>
    <t>suiten</t>
  </si>
  <si>
    <t>einzimmerwohnung</t>
  </si>
  <si>
    <t>leit</t>
  </si>
  <si>
    <t>drogenbaron</t>
  </si>
  <si>
    <t>shol</t>
  </si>
  <si>
    <t>bevorstand</t>
  </si>
  <si>
    <t>drossel</t>
  </si>
  <si>
    <t>vigilance</t>
  </si>
  <si>
    <t>dic</t>
  </si>
  <si>
    <t>leto</t>
  </si>
  <si>
    <t>väterlicherseits</t>
  </si>
  <si>
    <t>großväter</t>
  </si>
  <si>
    <t>durchlauf</t>
  </si>
  <si>
    <t>turms</t>
  </si>
  <si>
    <t>rutland</t>
  </si>
  <si>
    <t>zweifels</t>
  </si>
  <si>
    <t>trollmarkt</t>
  </si>
  <si>
    <t>mckernon</t>
  </si>
  <si>
    <t>doggy</t>
  </si>
  <si>
    <t>folke</t>
  </si>
  <si>
    <t>einkäufer</t>
  </si>
  <si>
    <t>hungerlohn</t>
  </si>
  <si>
    <t>oe</t>
  </si>
  <si>
    <t>tischmanieren</t>
  </si>
  <si>
    <t>reinnehmen</t>
  </si>
  <si>
    <t>beschaff</t>
  </si>
  <si>
    <t>kurzwahl</t>
  </si>
  <si>
    <t>adjektiv</t>
  </si>
  <si>
    <t>bemühung</t>
  </si>
  <si>
    <t>fußvolk</t>
  </si>
  <si>
    <t>quixote</t>
  </si>
  <si>
    <t>frenchie</t>
  </si>
  <si>
    <t>write</t>
  </si>
  <si>
    <t>fettleibigkeit</t>
  </si>
  <si>
    <t>eingenäht</t>
  </si>
  <si>
    <t>annäherungsversuche</t>
  </si>
  <si>
    <t>mandalay</t>
  </si>
  <si>
    <t>gleichbedeutend</t>
  </si>
  <si>
    <t>verbitterter</t>
  </si>
  <si>
    <t>dardo</t>
  </si>
  <si>
    <t>namensschilder</t>
  </si>
  <si>
    <t>autonummer</t>
  </si>
  <si>
    <t>hanlon</t>
  </si>
  <si>
    <t>konsultation</t>
  </si>
  <si>
    <t>hinton</t>
  </si>
  <si>
    <t>nachhaken</t>
  </si>
  <si>
    <t>finanzchef</t>
  </si>
  <si>
    <t>caridad</t>
  </si>
  <si>
    <t>rappel</t>
  </si>
  <si>
    <t>ausführte</t>
  </si>
  <si>
    <t>macey</t>
  </si>
  <si>
    <t>hormon</t>
  </si>
  <si>
    <t>manipuliere</t>
  </si>
  <si>
    <t>abwerben</t>
  </si>
  <si>
    <t>gehirnschaden</t>
  </si>
  <si>
    <t>abendgarderobe</t>
  </si>
  <si>
    <t>einzelzelle</t>
  </si>
  <si>
    <t>flat</t>
  </si>
  <si>
    <t>entschärfe</t>
  </si>
  <si>
    <t>demütige</t>
  </si>
  <si>
    <t>testamente</t>
  </si>
  <si>
    <t>schüchtert</t>
  </si>
  <si>
    <t>umgestalten</t>
  </si>
  <si>
    <t>hereinzulegen</t>
  </si>
  <si>
    <t>eignungstest</t>
  </si>
  <si>
    <t>kriegsbeute</t>
  </si>
  <si>
    <t>musiklehrer</t>
  </si>
  <si>
    <t>baelish</t>
  </si>
  <si>
    <t>resultiert</t>
  </si>
  <si>
    <t>wegpacken</t>
  </si>
  <si>
    <t>schädlinge</t>
  </si>
  <si>
    <t>supercomputer</t>
  </si>
  <si>
    <t>talby</t>
  </si>
  <si>
    <t>innerste</t>
  </si>
  <si>
    <t>forster</t>
  </si>
  <si>
    <t>rationieren</t>
  </si>
  <si>
    <t>quad</t>
  </si>
  <si>
    <t>trostlose</t>
  </si>
  <si>
    <t>faustkampf</t>
  </si>
  <si>
    <t>schräges</t>
  </si>
  <si>
    <t>berufstätige</t>
  </si>
  <si>
    <t>sano</t>
  </si>
  <si>
    <t>paulas</t>
  </si>
  <si>
    <t>bresche</t>
  </si>
  <si>
    <t>modells</t>
  </si>
  <si>
    <t>chrysanthemen</t>
  </si>
  <si>
    <t>doggydog</t>
  </si>
  <si>
    <t>mitwirkung</t>
  </si>
  <si>
    <t>technology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</si>
</sst>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board.tv4user.de" TargetMode="External"/><Relationship Id="rId2" Type="http://schemas.openxmlformats.org/officeDocument/2006/relationships/hyperlink" Target="http://subcentral.de" TargetMode="External"/><Relationship Id="rId3" Type="http://schemas.openxmlformats.org/officeDocument/2006/relationships/hyperlink" Target="http://tv4user.de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2" t="str">
        <f>IFERROR(__xludf.DUMMYFUNCTION("GOOGLETRANSLATE(A2, ""de"", ""en"")"),"I")</f>
        <v>I</v>
      </c>
    </row>
    <row r="3">
      <c r="A3" s="1" t="s">
        <v>3</v>
      </c>
      <c r="B3" s="2" t="str">
        <f>IFERROR(__xludf.DUMMYFUNCTION("GOOGLETRANSLATE(A3, ""de"", ""en"")"),"she")</f>
        <v>she</v>
      </c>
    </row>
    <row r="4">
      <c r="A4" s="1" t="s">
        <v>4</v>
      </c>
      <c r="B4" s="2" t="str">
        <f>IFERROR(__xludf.DUMMYFUNCTION("GOOGLETRANSLATE(A4, ""de"", ""en"")"),"the")</f>
        <v>the</v>
      </c>
    </row>
    <row r="5">
      <c r="A5" s="1" t="s">
        <v>5</v>
      </c>
      <c r="B5" s="2" t="str">
        <f>IFERROR(__xludf.DUMMYFUNCTION("GOOGLETRANSLATE(A5, ""de"", ""en"")"),"is")</f>
        <v>is</v>
      </c>
    </row>
    <row r="6">
      <c r="A6" s="1" t="s">
        <v>6</v>
      </c>
      <c r="B6" s="2" t="str">
        <f>IFERROR(__xludf.DUMMYFUNCTION("GOOGLETRANSLATE(A6, ""de"", ""en"")"),"you")</f>
        <v>you</v>
      </c>
    </row>
    <row r="7">
      <c r="A7" s="1" t="s">
        <v>7</v>
      </c>
      <c r="B7" s="2" t="str">
        <f>IFERROR(__xludf.DUMMYFUNCTION("GOOGLETRANSLATE(A7, ""de"", ""en"")"),"not")</f>
        <v>not</v>
      </c>
    </row>
    <row r="8">
      <c r="A8" s="1" t="s">
        <v>8</v>
      </c>
      <c r="B8" s="2" t="str">
        <f>IFERROR(__xludf.DUMMYFUNCTION("GOOGLETRANSLATE(A8, ""de"", ""en"")"),"the")</f>
        <v>the</v>
      </c>
    </row>
    <row r="9">
      <c r="A9" s="1" t="s">
        <v>9</v>
      </c>
      <c r="B9" s="2" t="str">
        <f>IFERROR(__xludf.DUMMYFUNCTION("GOOGLETRANSLATE(A9, ""de"", ""en"")"),"it")</f>
        <v>it</v>
      </c>
    </row>
    <row r="10">
      <c r="A10" s="1" t="s">
        <v>10</v>
      </c>
      <c r="B10" s="2" t="str">
        <f>IFERROR(__xludf.DUMMYFUNCTION("GOOGLETRANSLATE(A10, ""de"", ""en"")"),"and")</f>
        <v>and</v>
      </c>
    </row>
    <row r="11">
      <c r="A11" s="1" t="s">
        <v>11</v>
      </c>
      <c r="B11" s="2" t="str">
        <f>IFERROR(__xludf.DUMMYFUNCTION("GOOGLETRANSLATE(A11, ""de"", ""en"")"),"the")</f>
        <v>the</v>
      </c>
    </row>
    <row r="12">
      <c r="A12" s="1" t="s">
        <v>12</v>
      </c>
      <c r="B12" s="2" t="str">
        <f>IFERROR(__xludf.DUMMYFUNCTION("GOOGLETRANSLATE(A12, ""de"", ""en"")"),"we")</f>
        <v>we</v>
      </c>
    </row>
    <row r="13">
      <c r="A13" s="1" t="s">
        <v>13</v>
      </c>
      <c r="B13" s="2" t="str">
        <f>IFERROR(__xludf.DUMMYFUNCTION("GOOGLETRANSLATE(A13, ""de"", ""en"")"),"What")</f>
        <v>What</v>
      </c>
    </row>
    <row r="14">
      <c r="A14" s="1" t="s">
        <v>14</v>
      </c>
      <c r="B14" s="2" t="str">
        <f>IFERROR(__xludf.DUMMYFUNCTION("GOOGLETRANSLATE(A14, ""de"", ""en"")"),"to")</f>
        <v>to</v>
      </c>
    </row>
    <row r="15">
      <c r="A15" s="1" t="s">
        <v>15</v>
      </c>
      <c r="B15" s="2" t="str">
        <f>IFERROR(__xludf.DUMMYFUNCTION("GOOGLETRANSLATE(A15, ""de"", ""en"")"),"he")</f>
        <v>he</v>
      </c>
    </row>
    <row r="16">
      <c r="A16" s="1" t="s">
        <v>16</v>
      </c>
      <c r="B16" s="2" t="str">
        <f>IFERROR(__xludf.DUMMYFUNCTION("GOOGLETRANSLATE(A16, ""de"", ""en"")"),"a")</f>
        <v>a</v>
      </c>
    </row>
    <row r="17">
      <c r="A17" s="1" t="s">
        <v>17</v>
      </c>
      <c r="B17" s="2" t="str">
        <f>IFERROR(__xludf.DUMMYFUNCTION("GOOGLETRANSLATE(A17, ""de"", ""en"")"),"in")</f>
        <v>in</v>
      </c>
    </row>
    <row r="18">
      <c r="A18" s="1" t="s">
        <v>18</v>
      </c>
      <c r="B18" s="2" t="str">
        <f>IFERROR(__xludf.DUMMYFUNCTION("GOOGLETRANSLATE(A18, ""de"", ""en"")"),"Yes")</f>
        <v>Yes</v>
      </c>
    </row>
    <row r="19">
      <c r="A19" s="1" t="s">
        <v>19</v>
      </c>
      <c r="B19" s="2" t="str">
        <f>IFERROR(__xludf.DUMMYFUNCTION("GOOGLETRANSLATE(A19, ""de"", ""en"")"),"me")</f>
        <v>me</v>
      </c>
    </row>
    <row r="20">
      <c r="A20" s="1" t="s">
        <v>20</v>
      </c>
      <c r="B20" s="2" t="str">
        <f>IFERROR(__xludf.DUMMYFUNCTION("GOOGLETRANSLATE(A20, ""de"", ""en"")"),"with")</f>
        <v>with</v>
      </c>
    </row>
    <row r="21">
      <c r="A21" s="1" t="s">
        <v>21</v>
      </c>
      <c r="B21" s="2" t="str">
        <f>IFERROR(__xludf.DUMMYFUNCTION("GOOGLETRANSLATE(A21, ""de"", ""en"")"),"How")</f>
        <v>How</v>
      </c>
    </row>
    <row r="22">
      <c r="A22" s="1" t="s">
        <v>22</v>
      </c>
      <c r="B22" s="2" t="str">
        <f>IFERROR(__xludf.DUMMYFUNCTION("GOOGLETRANSLATE(A22, ""de"", ""en"")"),"the")</f>
        <v>the</v>
      </c>
    </row>
    <row r="23">
      <c r="A23" s="1" t="s">
        <v>23</v>
      </c>
      <c r="B23" s="2" t="str">
        <f>IFERROR(__xludf.DUMMYFUNCTION("GOOGLETRANSLATE(A23, ""de"", ""en"")"),"me")</f>
        <v>me</v>
      </c>
    </row>
    <row r="24">
      <c r="A24" s="1" t="s">
        <v>24</v>
      </c>
      <c r="B24" s="2" t="str">
        <f>IFERROR(__xludf.DUMMYFUNCTION("GOOGLETRANSLATE(A24, ""de"", ""en"")"),"on")</f>
        <v>on</v>
      </c>
    </row>
    <row r="25">
      <c r="A25" s="1" t="s">
        <v>25</v>
      </c>
      <c r="B25" s="2" t="str">
        <f>IFERROR(__xludf.DUMMYFUNCTION("GOOGLETRANSLATE(A25, ""de"", ""en"")"),"that")</f>
        <v>that</v>
      </c>
    </row>
    <row r="26">
      <c r="A26" s="1" t="s">
        <v>26</v>
      </c>
      <c r="B26" s="2" t="str">
        <f>IFERROR(__xludf.DUMMYFUNCTION("GOOGLETRANSLATE(A26, ""de"", ""en"")"),"but")</f>
        <v>but</v>
      </c>
    </row>
    <row r="27">
      <c r="A27" s="1" t="s">
        <v>27</v>
      </c>
      <c r="B27" s="2" t="str">
        <f>IFERROR(__xludf.DUMMYFUNCTION("GOOGLETRANSLATE(A27, ""de"", ""en"")"),"one")</f>
        <v>one</v>
      </c>
    </row>
    <row r="28">
      <c r="A28" s="1" t="s">
        <v>28</v>
      </c>
      <c r="B28" s="2" t="str">
        <f>IFERROR(__xludf.DUMMYFUNCTION("GOOGLETRANSLATE(A28, ""de"", ""en"")"),"so")</f>
        <v>so</v>
      </c>
    </row>
    <row r="29">
      <c r="A29" s="1" t="s">
        <v>29</v>
      </c>
      <c r="B29" s="2" t="str">
        <f>IFERROR(__xludf.DUMMYFUNCTION("GOOGLETRANSLATE(A29, ""de"", ""en"")"),"has")</f>
        <v>has</v>
      </c>
    </row>
    <row r="30">
      <c r="A30" s="1" t="s">
        <v>30</v>
      </c>
      <c r="B30" s="2" t="str">
        <f>IFERROR(__xludf.DUMMYFUNCTION("GOOGLETRANSLATE(A30, ""de"", ""en"")"),"here")</f>
        <v>here</v>
      </c>
    </row>
    <row r="31">
      <c r="A31" s="1" t="s">
        <v>31</v>
      </c>
      <c r="B31" s="2" t="str">
        <f>IFERROR(__xludf.DUMMYFUNCTION("GOOGLETRANSLATE(A31, ""de"", ""en"")"),"have")</f>
        <v>have</v>
      </c>
    </row>
    <row r="32">
      <c r="A32" s="1" t="s">
        <v>32</v>
      </c>
      <c r="B32" s="2" t="str">
        <f>IFERROR(__xludf.DUMMYFUNCTION("GOOGLETRANSLATE(A32, ""de"", ""en"")"),"for")</f>
        <v>for</v>
      </c>
    </row>
    <row r="33">
      <c r="A33" s="1" t="s">
        <v>33</v>
      </c>
      <c r="B33" s="2" t="str">
        <f>IFERROR(__xludf.DUMMYFUNCTION("GOOGLETRANSLATE(A33, ""de"", ""en"")"),"are")</f>
        <v>are</v>
      </c>
    </row>
    <row r="34">
      <c r="A34" s="1" t="s">
        <v>34</v>
      </c>
      <c r="B34" s="2" t="str">
        <f>IFERROR(__xludf.DUMMYFUNCTION("GOOGLETRANSLATE(A34, ""de"", ""en"")"),"was")</f>
        <v>was</v>
      </c>
    </row>
    <row r="35">
      <c r="A35" s="1" t="s">
        <v>35</v>
      </c>
      <c r="B35" s="2" t="str">
        <f>IFERROR(__xludf.DUMMYFUNCTION("GOOGLETRANSLATE(A35, ""de"", ""en"")"),"from")</f>
        <v>from</v>
      </c>
    </row>
    <row r="36">
      <c r="A36" s="1" t="s">
        <v>36</v>
      </c>
      <c r="B36" s="2" t="str">
        <f>IFERROR(__xludf.DUMMYFUNCTION("GOOGLETRANSLATE(A36, ""de"", ""en"")"),"if")</f>
        <v>if</v>
      </c>
    </row>
    <row r="37">
      <c r="A37" s="1" t="s">
        <v>37</v>
      </c>
      <c r="B37" s="2" t="str">
        <f>IFERROR(__xludf.DUMMYFUNCTION("GOOGLETRANSLATE(A37, ""de"", ""en"")"),"you")</f>
        <v>you</v>
      </c>
    </row>
    <row r="38">
      <c r="A38" s="1" t="s">
        <v>38</v>
      </c>
      <c r="B38" s="2" t="str">
        <f>IFERROR(__xludf.DUMMYFUNCTION("GOOGLETRANSLATE(A38, ""de"", ""en"")"),"her")</f>
        <v>her</v>
      </c>
    </row>
    <row r="39">
      <c r="A39" s="1" t="s">
        <v>39</v>
      </c>
      <c r="B39" s="2" t="str">
        <f>IFERROR(__xludf.DUMMYFUNCTION("GOOGLETRANSLATE(A39, ""de"", ""en"")"),"no")</f>
        <v>no</v>
      </c>
    </row>
    <row r="40">
      <c r="A40" s="1" t="s">
        <v>40</v>
      </c>
      <c r="B40" s="2" t="str">
        <f>IFERROR(__xludf.DUMMYFUNCTION("GOOGLETRANSLATE(A40, ""de"", ""en"")"),"have")</f>
        <v>have</v>
      </c>
    </row>
    <row r="41">
      <c r="A41" s="1" t="s">
        <v>41</v>
      </c>
      <c r="B41" s="2" t="str">
        <f>IFERROR(__xludf.DUMMYFUNCTION("GOOGLETRANSLATE(A41, ""de"", ""en"")"),"to")</f>
        <v>to</v>
      </c>
    </row>
    <row r="42">
      <c r="A42" s="1" t="s">
        <v>42</v>
      </c>
      <c r="B42" s="2" t="str">
        <f>IFERROR(__xludf.DUMMYFUNCTION("GOOGLETRANSLATE(A42, ""de"", ""en"")"),"am")</f>
        <v>am</v>
      </c>
    </row>
    <row r="43">
      <c r="A43" s="1" t="s">
        <v>43</v>
      </c>
      <c r="B43" s="2" t="str">
        <f>IFERROR(__xludf.DUMMYFUNCTION("GOOGLETRANSLATE(A43, ""de"", ""en"")"),"still")</f>
        <v>still</v>
      </c>
    </row>
    <row r="44">
      <c r="A44" s="1" t="s">
        <v>44</v>
      </c>
      <c r="B44" s="2" t="str">
        <f>IFERROR(__xludf.DUMMYFUNCTION("GOOGLETRANSLATE(A44, ""de"", ""en"")"),"only")</f>
        <v>only</v>
      </c>
    </row>
    <row r="45">
      <c r="A45" s="1" t="s">
        <v>45</v>
      </c>
      <c r="B45" s="2" t="str">
        <f>IFERROR(__xludf.DUMMYFUNCTION("GOOGLETRANSLATE(A45, ""de"", ""en"")"),"there")</f>
        <v>there</v>
      </c>
    </row>
    <row r="46">
      <c r="A46" s="1" t="s">
        <v>46</v>
      </c>
      <c r="B46" s="2" t="str">
        <f>IFERROR(__xludf.DUMMYFUNCTION("GOOGLETRANSLATE(A46, ""de"", ""en"")"),"you")</f>
        <v>you</v>
      </c>
    </row>
    <row r="47">
      <c r="A47" s="1" t="s">
        <v>47</v>
      </c>
      <c r="B47" s="2" t="str">
        <f>IFERROR(__xludf.DUMMYFUNCTION("GOOGLETRANSLATE(A47, ""de"", ""en"")"),"itself")</f>
        <v>itself</v>
      </c>
    </row>
    <row r="48">
      <c r="A48" s="1" t="s">
        <v>48</v>
      </c>
      <c r="B48" s="2" t="str">
        <f>IFERROR(__xludf.DUMMYFUNCTION("GOOGLETRANSLATE(A48, ""de"", ""en"")"),"a")</f>
        <v>a</v>
      </c>
    </row>
    <row r="49">
      <c r="A49" s="1" t="s">
        <v>49</v>
      </c>
      <c r="B49" s="2" t="str">
        <f>IFERROR(__xludf.DUMMYFUNCTION("GOOGLETRANSLATE(A49, ""de"", ""en"")"),"us")</f>
        <v>us</v>
      </c>
    </row>
    <row r="50">
      <c r="A50" s="1" t="s">
        <v>50</v>
      </c>
      <c r="B50" s="2" t="str">
        <f>IFERROR(__xludf.DUMMYFUNCTION("GOOGLETRANSLATE(A50, ""de"", ""en"")"),"have")</f>
        <v>have</v>
      </c>
    </row>
    <row r="51">
      <c r="A51" s="1" t="s">
        <v>51</v>
      </c>
      <c r="B51" s="2" t="str">
        <f>IFERROR(__xludf.DUMMYFUNCTION("GOOGLETRANSLATE(A51, ""de"", ""en"")"),"dem")</f>
        <v>dem</v>
      </c>
    </row>
    <row r="52">
      <c r="A52" s="1" t="s">
        <v>52</v>
      </c>
      <c r="B52" s="2" t="str">
        <f>IFERROR(__xludf.DUMMYFUNCTION("GOOGLETRANSLATE(A52, ""de"", ""en"")"),"can")</f>
        <v>can</v>
      </c>
    </row>
    <row r="53">
      <c r="A53" s="1" t="s">
        <v>53</v>
      </c>
      <c r="B53" s="2" t="str">
        <f>IFERROR(__xludf.DUMMYFUNCTION("GOOGLETRANSLATE(A53, ""de"", ""en"")"),"good")</f>
        <v>good</v>
      </c>
    </row>
    <row r="54">
      <c r="A54" s="1" t="s">
        <v>54</v>
      </c>
      <c r="B54" s="2" t="str">
        <f>IFERROR(__xludf.DUMMYFUNCTION("GOOGLETRANSLATE(A54, ""de"", ""en"")"),"also")</f>
        <v>also</v>
      </c>
    </row>
    <row r="55">
      <c r="A55" s="1" t="s">
        <v>55</v>
      </c>
      <c r="B55" s="2" t="str">
        <f>IFERROR(__xludf.DUMMYFUNCTION("GOOGLETRANSLATE(A55, ""de"", ""en"")"),"already")</f>
        <v>already</v>
      </c>
    </row>
    <row r="56">
      <c r="A56" s="1" t="s">
        <v>56</v>
      </c>
      <c r="B56" s="2" t="str">
        <f>IFERROR(__xludf.DUMMYFUNCTION("GOOGLETRANSLATE(A56, ""de"", ""en"")"),"as")</f>
        <v>as</v>
      </c>
    </row>
    <row r="57">
      <c r="A57" s="1" t="s">
        <v>57</v>
      </c>
      <c r="B57" s="2" t="str">
        <f>IFERROR(__xludf.DUMMYFUNCTION("GOOGLETRANSLATE(A57, ""de"", ""en"")"),"be")</f>
        <v>be</v>
      </c>
    </row>
    <row r="58">
      <c r="A58" s="1" t="s">
        <v>58</v>
      </c>
      <c r="B58" s="2" t="str">
        <f>IFERROR(__xludf.DUMMYFUNCTION("GOOGLETRANSLATE(A58, ""de"", ""en"")"),"just")</f>
        <v>just</v>
      </c>
    </row>
    <row r="59">
      <c r="A59" s="1" t="s">
        <v>59</v>
      </c>
      <c r="B59" s="2" t="str">
        <f>IFERROR(__xludf.DUMMYFUNCTION("GOOGLETRANSLATE(A59, ""de"", ""en"")"),"now")</f>
        <v>now</v>
      </c>
    </row>
    <row r="60">
      <c r="A60" s="1" t="s">
        <v>60</v>
      </c>
      <c r="B60" s="2" t="str">
        <f>IFERROR(__xludf.DUMMYFUNCTION("GOOGLETRANSLATE(A60, ""de"", ""en"")"),"him")</f>
        <v>him</v>
      </c>
    </row>
    <row r="61">
      <c r="A61" s="1" t="s">
        <v>61</v>
      </c>
      <c r="B61" s="2" t="str">
        <f>IFERROR(__xludf.DUMMYFUNCTION("GOOGLETRANSLATE(A61, ""de"", ""en"")"),"then")</f>
        <v>then</v>
      </c>
    </row>
    <row r="62">
      <c r="A62" s="1" t="s">
        <v>62</v>
      </c>
      <c r="B62" s="2" t="str">
        <f>IFERROR(__xludf.DUMMYFUNCTION("GOOGLETRANSLATE(A62, ""de"", ""en"")"),"out of")</f>
        <v>out of</v>
      </c>
    </row>
    <row r="63">
      <c r="A63" s="1" t="s">
        <v>63</v>
      </c>
      <c r="B63" s="2" t="str">
        <f>IFERROR(__xludf.DUMMYFUNCTION("GOOGLETRANSLATE(A63, ""de"", ""en"")"),"mine")</f>
        <v>mine</v>
      </c>
    </row>
    <row r="64">
      <c r="A64" s="1" t="s">
        <v>64</v>
      </c>
      <c r="B64" s="2" t="str">
        <f>IFERROR(__xludf.DUMMYFUNCTION("GOOGLETRANSLATE(A64, ""de"", ""en"")"),"around")</f>
        <v>around</v>
      </c>
    </row>
    <row r="65">
      <c r="A65" s="1" t="s">
        <v>65</v>
      </c>
      <c r="B65" s="2" t="str">
        <f>IFERROR(__xludf.DUMMYFUNCTION("GOOGLETRANSLATE(A65, ""de"", ""en"")"),"in the")</f>
        <v>in the</v>
      </c>
    </row>
    <row r="66">
      <c r="A66" s="1" t="s">
        <v>66</v>
      </c>
      <c r="B66" s="2" t="str">
        <f>IFERROR(__xludf.DUMMYFUNCTION("GOOGLETRANSLATE(A66, ""de"", ""en"")"),"becomes")</f>
        <v>becomes</v>
      </c>
    </row>
    <row r="67">
      <c r="A67" s="1" t="s">
        <v>67</v>
      </c>
      <c r="B67" s="2" t="str">
        <f>IFERROR(__xludf.DUMMYFUNCTION("GOOGLETRANSLATE(A67, ""de"", ""en"")"),"my")</f>
        <v>my</v>
      </c>
    </row>
    <row r="68">
      <c r="A68" s="1" t="s">
        <v>68</v>
      </c>
      <c r="B68" s="2" t="str">
        <f>IFERROR(__xludf.DUMMYFUNCTION("GOOGLETRANSLATE(A68, ""de"", ""en"")"),"are")</f>
        <v>are</v>
      </c>
    </row>
    <row r="69">
      <c r="A69" s="1" t="s">
        <v>69</v>
      </c>
      <c r="B69" s="2" t="str">
        <f>IFERROR(__xludf.DUMMYFUNCTION("GOOGLETRANSLATE(A69, ""de"", ""en"")"),"but")</f>
        <v>but</v>
      </c>
    </row>
    <row r="70">
      <c r="A70" s="1" t="s">
        <v>70</v>
      </c>
      <c r="B70" s="2" t="str">
        <f>IFERROR(__xludf.DUMMYFUNCTION("GOOGLETRANSLATE(A70, ""de"", ""en"")"),"everything")</f>
        <v>everything</v>
      </c>
    </row>
    <row r="71">
      <c r="A71" s="1" t="s">
        <v>71</v>
      </c>
      <c r="B71" s="2" t="str">
        <f>IFERROR(__xludf.DUMMYFUNCTION("GOOGLETRANSLATE(A71, ""de"", ""en"")"),"white")</f>
        <v>white</v>
      </c>
    </row>
    <row r="72">
      <c r="A72" s="1" t="s">
        <v>72</v>
      </c>
      <c r="B72" s="2" t="str">
        <f>IFERROR(__xludf.DUMMYFUNCTION("GOOGLETRANSLATE(A72, ""de"", ""en"")"),"no")</f>
        <v>no</v>
      </c>
    </row>
    <row r="73">
      <c r="A73" s="1" t="s">
        <v>73</v>
      </c>
      <c r="B73" s="2" t="str">
        <f>IFERROR(__xludf.DUMMYFUNCTION("GOOGLETRANSLATE(A73, ""de"", ""en"")"),"or")</f>
        <v>or</v>
      </c>
    </row>
    <row r="74">
      <c r="A74" s="1" t="s">
        <v>74</v>
      </c>
      <c r="B74" s="2" t="str">
        <f>IFERROR(__xludf.DUMMYFUNCTION("GOOGLETRANSLATE(A74, ""de"", ""en"")"),"after")</f>
        <v>after</v>
      </c>
    </row>
    <row r="75">
      <c r="A75" s="1" t="s">
        <v>75</v>
      </c>
      <c r="B75" s="2" t="str">
        <f>IFERROR(__xludf.DUMMYFUNCTION("GOOGLETRANSLATE(A75, ""de"", ""en"")"),"s")</f>
        <v>s</v>
      </c>
    </row>
    <row r="76">
      <c r="A76" s="1" t="s">
        <v>76</v>
      </c>
      <c r="B76" s="2" t="str">
        <f>IFERROR(__xludf.DUMMYFUNCTION("GOOGLETRANSLATE(A76, ""de"", ""en"")"),"nothing")</f>
        <v>nothing</v>
      </c>
    </row>
    <row r="77">
      <c r="A77" s="1" t="s">
        <v>77</v>
      </c>
      <c r="B77" s="2" t="str">
        <f>IFERROR(__xludf.DUMMYFUNCTION("GOOGLETRANSLATE(A77, ""de"", ""en"")"),"man")</f>
        <v>man</v>
      </c>
    </row>
    <row r="78">
      <c r="A78" s="1" t="s">
        <v>78</v>
      </c>
      <c r="B78" s="2" t="str">
        <f>IFERROR(__xludf.DUMMYFUNCTION("GOOGLETRANSLATE(A78, ""de"", ""en"")"),"must")</f>
        <v>must</v>
      </c>
    </row>
    <row r="79">
      <c r="A79" s="1" t="s">
        <v>79</v>
      </c>
      <c r="B79" s="2" t="str">
        <f>IFERROR(__xludf.DUMMYFUNCTION("GOOGLETRANSLATE(A79, ""de"", ""en"")"),"become")</f>
        <v>become</v>
      </c>
    </row>
    <row r="80">
      <c r="A80" s="1" t="s">
        <v>80</v>
      </c>
      <c r="B80" s="2" t="str">
        <f>IFERROR(__xludf.DUMMYFUNCTION("GOOGLETRANSLATE(A80, ""de"", ""en"")"),"wants")</f>
        <v>wants</v>
      </c>
    </row>
    <row r="81">
      <c r="A81" s="1" t="s">
        <v>81</v>
      </c>
      <c r="B81" s="2" t="str">
        <f>IFERROR(__xludf.DUMMYFUNCTION("GOOGLETRANSLATE(A81, ""de"", ""en"")"),"them")</f>
        <v>them</v>
      </c>
    </row>
    <row r="82">
      <c r="A82" s="1" t="s">
        <v>82</v>
      </c>
      <c r="B82" s="2" t="str">
        <f>IFERROR(__xludf.DUMMYFUNCTION("GOOGLETRANSLATE(A82, ""de"", ""en"")"),"goes")</f>
        <v>goes</v>
      </c>
    </row>
    <row r="83">
      <c r="A83" s="1" t="s">
        <v>83</v>
      </c>
      <c r="B83" s="2" t="str">
        <f>IFERROR(__xludf.DUMMYFUNCTION("GOOGLETRANSLATE(A83, ""de"", ""en"")"),"where")</f>
        <v>where</v>
      </c>
    </row>
    <row r="84">
      <c r="A84" s="1" t="s">
        <v>84</v>
      </c>
      <c r="B84" s="2" t="str">
        <f>IFERROR(__xludf.DUMMYFUNCTION("GOOGLETRANSLATE(A84, ""de"", ""en"")"),"something")</f>
        <v>something</v>
      </c>
    </row>
    <row r="85">
      <c r="A85" s="1" t="s">
        <v>85</v>
      </c>
      <c r="B85" s="2" t="str">
        <f>IFERROR(__xludf.DUMMYFUNCTION("GOOGLETRANSLATE(A85, ""de"", ""en"")"),"Oh")</f>
        <v>Oh</v>
      </c>
    </row>
    <row r="86">
      <c r="A86" s="1" t="s">
        <v>86</v>
      </c>
      <c r="B86" s="2" t="str">
        <f>IFERROR(__xludf.DUMMYFUNCTION("GOOGLETRANSLATE(A86, ""de"", ""en"")"),"more")</f>
        <v>more</v>
      </c>
    </row>
    <row r="87">
      <c r="A87" s="1" t="s">
        <v>87</v>
      </c>
      <c r="B87" s="2" t="str">
        <f>IFERROR(__xludf.DUMMYFUNCTION("GOOGLETRANSLATE(A87, ""de"", ""en"")"),"at")</f>
        <v>at</v>
      </c>
    </row>
    <row r="88">
      <c r="A88" s="1" t="s">
        <v>88</v>
      </c>
      <c r="B88" s="2" t="str">
        <f>IFERROR(__xludf.DUMMYFUNCTION("GOOGLETRANSLATE(A88, ""de"", ""en"")"),"so")</f>
        <v>so</v>
      </c>
    </row>
    <row r="89">
      <c r="A89" s="1" t="s">
        <v>89</v>
      </c>
      <c r="B89" s="2" t="str">
        <f>IFERROR(__xludf.DUMMYFUNCTION("GOOGLETRANSLATE(A89, ""de"", ""en"")"),"please")</f>
        <v>please</v>
      </c>
    </row>
    <row r="90">
      <c r="A90" s="1" t="s">
        <v>90</v>
      </c>
      <c r="B90" s="2" t="str">
        <f>IFERROR(__xludf.DUMMYFUNCTION("GOOGLETRANSLATE(A90, ""de"", ""en"")"),"always")</f>
        <v>always</v>
      </c>
    </row>
    <row r="91">
      <c r="A91" s="1" t="s">
        <v>91</v>
      </c>
      <c r="B91" s="2" t="str">
        <f>IFERROR(__xludf.DUMMYFUNCTION("GOOGLETRANSLATE(A91, ""de"", ""en"")"),"have")</f>
        <v>have</v>
      </c>
    </row>
    <row r="92">
      <c r="A92" s="1" t="s">
        <v>92</v>
      </c>
      <c r="B92" s="2" t="str">
        <f>IFERROR(__xludf.DUMMYFUNCTION("GOOGLETRANSLATE(A92, ""de"", ""en"")"),"Why")</f>
        <v>Why</v>
      </c>
    </row>
    <row r="93">
      <c r="A93" s="1" t="s">
        <v>93</v>
      </c>
      <c r="B93" s="2" t="str">
        <f>IFERROR(__xludf.DUMMYFUNCTION("GOOGLETRANSLATE(A93, ""de"", ""en"")"),"before")</f>
        <v>before</v>
      </c>
    </row>
    <row r="94">
      <c r="A94" s="1" t="s">
        <v>94</v>
      </c>
      <c r="B94" s="2" t="str">
        <f>IFERROR(__xludf.DUMMYFUNCTION("GOOGLETRANSLATE(A94, ""de"", ""en"")"),"go")</f>
        <v>go</v>
      </c>
    </row>
    <row r="95">
      <c r="A95" s="1" t="s">
        <v>95</v>
      </c>
      <c r="B95" s="2" t="str">
        <f>IFERROR(__xludf.DUMMYFUNCTION("GOOGLETRANSLATE(A95, ""de"", ""en"")"),"can")</f>
        <v>can</v>
      </c>
    </row>
    <row r="96">
      <c r="A96" s="1" t="s">
        <v>96</v>
      </c>
      <c r="B96" s="2" t="str">
        <f>IFERROR(__xludf.DUMMYFUNCTION("GOOGLETRANSLATE(A96, ""de"", ""en"")"),"again")</f>
        <v>again</v>
      </c>
    </row>
    <row r="97">
      <c r="A97" s="1" t="s">
        <v>97</v>
      </c>
      <c r="B97" s="2" t="str">
        <f>IFERROR(__xludf.DUMMYFUNCTION("GOOGLETRANSLATE(A97, ""de"", ""en"")"),"say")</f>
        <v>say</v>
      </c>
    </row>
    <row r="98">
      <c r="A98" s="1" t="s">
        <v>98</v>
      </c>
      <c r="B98" s="2" t="str">
        <f>IFERROR(__xludf.DUMMYFUNCTION("GOOGLETRANSLATE(A98, ""de"", ""en"")"),"make")</f>
        <v>make</v>
      </c>
    </row>
    <row r="99">
      <c r="A99" s="1" t="s">
        <v>99</v>
      </c>
      <c r="B99" s="2" t="str">
        <f>IFERROR(__xludf.DUMMYFUNCTION("GOOGLETRANSLATE(A99, ""de"", ""en"")"),"Thanks")</f>
        <v>Thanks</v>
      </c>
    </row>
    <row r="100">
      <c r="A100" s="1" t="s">
        <v>100</v>
      </c>
      <c r="B100" s="2" t="str">
        <f>IFERROR(__xludf.DUMMYFUNCTION("GOOGLETRANSLATE(A100, ""de"", ""en"")"),"very")</f>
        <v>very</v>
      </c>
    </row>
    <row r="101">
      <c r="A101" s="1" t="s">
        <v>101</v>
      </c>
      <c r="B101" s="2" t="str">
        <f>IFERROR(__xludf.DUMMYFUNCTION("GOOGLETRANSLATE(A101, ""de"", ""en"")"),"all")</f>
        <v>all</v>
      </c>
    </row>
    <row r="102">
      <c r="A102" s="1" t="s">
        <v>102</v>
      </c>
      <c r="B102" s="2" t="str">
        <f>IFERROR(__xludf.DUMMYFUNCTION("GOOGLETRANSLATE(A102, ""de"", ""en"")"),"because")</f>
        <v>because</v>
      </c>
    </row>
    <row r="103">
      <c r="A103" s="1" t="s">
        <v>103</v>
      </c>
      <c r="B103" s="2" t="str">
        <f>IFERROR(__xludf.DUMMYFUNCTION("GOOGLETRANSLATE(A103, ""de"", ""en"")"),"man")</f>
        <v>man</v>
      </c>
    </row>
    <row r="104">
      <c r="A104" s="1" t="s">
        <v>104</v>
      </c>
      <c r="B104" s="2" t="str">
        <f>IFERROR(__xludf.DUMMYFUNCTION("GOOGLETRANSLATE(A104, ""de"", ""en"")"),"do")</f>
        <v>do</v>
      </c>
    </row>
    <row r="105">
      <c r="A105" s="1" t="s">
        <v>105</v>
      </c>
      <c r="B105" s="2" t="str">
        <f>IFERROR(__xludf.DUMMYFUNCTION("GOOGLETRANSLATE(A105, ""de"", ""en"")"),"him")</f>
        <v>him</v>
      </c>
    </row>
    <row r="106">
      <c r="A106" s="1" t="s">
        <v>106</v>
      </c>
      <c r="B106" s="2" t="str">
        <f>IFERROR(__xludf.DUMMYFUNCTION("GOOGLETRANSLATE(A106, ""de"", ""en"")"),"for the")</f>
        <v>for the</v>
      </c>
    </row>
    <row r="107">
      <c r="A107" s="1" t="s">
        <v>107</v>
      </c>
      <c r="B107" s="2" t="str">
        <f>IFERROR(__xludf.DUMMYFUNCTION("GOOGLETRANSLATE(A107, ""de"", ""en"")"),"go")</f>
        <v>go</v>
      </c>
    </row>
    <row r="108">
      <c r="A108" s="1" t="s">
        <v>108</v>
      </c>
      <c r="B108" s="2" t="str">
        <f>IFERROR(__xludf.DUMMYFUNCTION("GOOGLETRANSLATE(A108, ""de"", ""en"")"),"see")</f>
        <v>see</v>
      </c>
    </row>
    <row r="109">
      <c r="A109" s="1" t="s">
        <v>109</v>
      </c>
      <c r="B109" s="2" t="str">
        <f>IFERROR(__xludf.DUMMYFUNCTION("GOOGLETRANSLATE(A109, ""de"", ""en"")"),"perhaps")</f>
        <v>perhaps</v>
      </c>
    </row>
    <row r="110">
      <c r="A110" s="1" t="s">
        <v>110</v>
      </c>
      <c r="B110" s="2" t="str">
        <f>IFERROR(__xludf.DUMMYFUNCTION("GOOGLETRANSLATE(A110, ""de"", ""en"")"),"one")</f>
        <v>one</v>
      </c>
    </row>
    <row r="111">
      <c r="A111" s="1" t="s">
        <v>111</v>
      </c>
      <c r="B111" s="2" t="str">
        <f>IFERROR(__xludf.DUMMYFUNCTION("GOOGLETRANSLATE(A111, ""de"", ""en"")"),"who")</f>
        <v>who</v>
      </c>
    </row>
    <row r="112">
      <c r="A112" s="1" t="s">
        <v>112</v>
      </c>
      <c r="B112" s="2" t="str">
        <f>IFERROR(__xludf.DUMMYFUNCTION("GOOGLETRANSLATE(A112, ""de"", ""en"")"),"her")</f>
        <v>her</v>
      </c>
    </row>
    <row r="113">
      <c r="A113" s="1" t="s">
        <v>113</v>
      </c>
      <c r="B113" s="2" t="str">
        <f>IFERROR(__xludf.DUMMYFUNCTION("GOOGLETRANSLATE(A113, ""de"", ""en"")"),"this")</f>
        <v>this</v>
      </c>
    </row>
    <row r="114">
      <c r="A114" s="1" t="s">
        <v>114</v>
      </c>
      <c r="B114" s="2" t="str">
        <f>IFERROR(__xludf.DUMMYFUNCTION("GOOGLETRANSLATE(A114, ""de"", ""en"")"),"you")</f>
        <v>you</v>
      </c>
    </row>
    <row r="115">
      <c r="A115" s="1" t="s">
        <v>115</v>
      </c>
      <c r="B115" s="2" t="str">
        <f>IFERROR(__xludf.DUMMYFUNCTION("GOOGLETRANSLATE(A115, ""de"", ""en"")"),"one")</f>
        <v>one</v>
      </c>
    </row>
    <row r="116">
      <c r="A116" s="1" t="s">
        <v>116</v>
      </c>
      <c r="B116" s="2" t="str">
        <f>IFERROR(__xludf.DUMMYFUNCTION("GOOGLETRANSLATE(A116, ""de"", ""en"")"),"come")</f>
        <v>come</v>
      </c>
    </row>
    <row r="117">
      <c r="A117" s="1" t="s">
        <v>117</v>
      </c>
      <c r="B117" s="2" t="str">
        <f>IFERROR(__xludf.DUMMYFUNCTION("GOOGLETRANSLATE(A117, ""de"", ""en"")"),"above")</f>
        <v>above</v>
      </c>
    </row>
    <row r="118">
      <c r="A118" s="1" t="s">
        <v>118</v>
      </c>
      <c r="B118" s="2" t="str">
        <f>IFERROR(__xludf.DUMMYFUNCTION("GOOGLETRANSLATE(A118, ""de"", ""en"")"),"gives")</f>
        <v>gives</v>
      </c>
    </row>
    <row r="119">
      <c r="A119" s="1" t="s">
        <v>119</v>
      </c>
      <c r="B119" s="2" t="str">
        <f>IFERROR(__xludf.DUMMYFUNCTION("GOOGLETRANSLATE(A119, ""de"", ""en"")"),"OK")</f>
        <v>OK</v>
      </c>
    </row>
    <row r="120">
      <c r="A120" s="1" t="s">
        <v>120</v>
      </c>
      <c r="B120" s="2" t="str">
        <f>IFERROR(__xludf.DUMMYFUNCTION("GOOGLETRANSLATE(A120, ""de"", ""en"")"),"knowledge")</f>
        <v>knowledge</v>
      </c>
    </row>
    <row r="121">
      <c r="A121" s="1" t="s">
        <v>121</v>
      </c>
      <c r="B121" s="2" t="str">
        <f>IFERROR(__xludf.DUMMYFUNCTION("GOOGLETRANSLATE(A121, ""de"", ""en"")"),"your")</f>
        <v>your</v>
      </c>
    </row>
    <row r="122">
      <c r="A122" s="1" t="s">
        <v>122</v>
      </c>
      <c r="B122" s="2" t="str">
        <f>IFERROR(__xludf.DUMMYFUNCTION("GOOGLETRANSLATE(A122, ""de"", ""en"")"),"must")</f>
        <v>must</v>
      </c>
    </row>
    <row r="123">
      <c r="A123" s="1" t="s">
        <v>123</v>
      </c>
      <c r="B123" s="2" t="str">
        <f>IFERROR(__xludf.DUMMYFUNCTION("GOOGLETRANSLATE(A123, ""de"", ""en"")"),"should")</f>
        <v>should</v>
      </c>
    </row>
    <row r="124">
      <c r="A124" s="1" t="s">
        <v>124</v>
      </c>
      <c r="B124" s="2" t="str">
        <f>IFERROR(__xludf.DUMMYFUNCTION("GOOGLETRANSLATE(A124, ""de"", ""en"")"),"become")</f>
        <v>become</v>
      </c>
    </row>
    <row r="125">
      <c r="A125" s="1" t="s">
        <v>125</v>
      </c>
      <c r="B125" s="2" t="str">
        <f>IFERROR(__xludf.DUMMYFUNCTION("GOOGLETRANSLATE(A125, ""de"", ""en"")"),"never")</f>
        <v>never</v>
      </c>
    </row>
    <row r="126">
      <c r="A126" s="1" t="s">
        <v>126</v>
      </c>
      <c r="B126" s="2" t="str">
        <f>IFERROR(__xludf.DUMMYFUNCTION("GOOGLETRANSLATE(A126, ""de"", ""en"")"),"really")</f>
        <v>really</v>
      </c>
    </row>
    <row r="127">
      <c r="A127" s="1" t="s">
        <v>127</v>
      </c>
      <c r="B127" s="2" t="str">
        <f>IFERROR(__xludf.DUMMYFUNCTION("GOOGLETRANSLATE(A127, ""de"", ""en"")"),"hey")</f>
        <v>hey</v>
      </c>
    </row>
    <row r="128">
      <c r="A128" s="1" t="s">
        <v>128</v>
      </c>
      <c r="B128" s="2" t="str">
        <f>IFERROR(__xludf.DUMMYFUNCTION("GOOGLETRANSLATE(A128, ""de"", ""en"")"),"no")</f>
        <v>no</v>
      </c>
    </row>
    <row r="129">
      <c r="A129" s="1" t="s">
        <v>129</v>
      </c>
      <c r="B129" s="2" t="str">
        <f>IFERROR(__xludf.DUMMYFUNCTION("GOOGLETRANSLATE(A129, ""de"", ""en"")"),"much")</f>
        <v>much</v>
      </c>
    </row>
    <row r="130">
      <c r="A130" s="1" t="s">
        <v>130</v>
      </c>
      <c r="B130" s="2" t="str">
        <f>IFERROR(__xludf.DUMMYFUNCTION("GOOGLETRANSLATE(A130, ""de"", ""en"")"),"away")</f>
        <v>away</v>
      </c>
    </row>
    <row r="131">
      <c r="A131" s="1" t="s">
        <v>131</v>
      </c>
      <c r="B131" s="2" t="str">
        <f>IFERROR(__xludf.DUMMYFUNCTION("GOOGLETRANSLATE(A131, ""de"", ""en"")"),"would")</f>
        <v>would</v>
      </c>
    </row>
    <row r="132">
      <c r="A132" s="1" t="s">
        <v>132</v>
      </c>
      <c r="B132" s="2" t="str">
        <f>IFERROR(__xludf.DUMMYFUNCTION("GOOGLETRANSLATE(A132, ""de"", ""en"")"),"does")</f>
        <v>does</v>
      </c>
    </row>
    <row r="133">
      <c r="A133" s="1" t="s">
        <v>133</v>
      </c>
      <c r="B133" s="2" t="str">
        <f>IFERROR(__xludf.DUMMYFUNCTION("GOOGLETRANSLATE(A133, ""de"", ""en"")"),"on")</f>
        <v>on</v>
      </c>
    </row>
    <row r="134">
      <c r="A134" s="1" t="s">
        <v>134</v>
      </c>
      <c r="B134" s="2" t="str">
        <f>IFERROR(__xludf.DUMMYFUNCTION("GOOGLETRANSLATE(A134, ""de"", ""en"")"),"des")</f>
        <v>des</v>
      </c>
    </row>
    <row r="135">
      <c r="A135" s="1" t="s">
        <v>135</v>
      </c>
      <c r="B135" s="2" t="str">
        <f>IFERROR(__xludf.DUMMYFUNCTION("GOOGLETRANSLATE(A135, ""de"", ""en"")"),"simply")</f>
        <v>simply</v>
      </c>
    </row>
    <row r="136">
      <c r="A136" s="1" t="s">
        <v>136</v>
      </c>
      <c r="B136" s="2" t="str">
        <f>IFERROR(__xludf.DUMMYFUNCTION("GOOGLETRANSLATE(A136, ""de"", ""en"")"),"life")</f>
        <v>life</v>
      </c>
    </row>
    <row r="137">
      <c r="A137" s="1" t="s">
        <v>137</v>
      </c>
      <c r="B137" s="2" t="str">
        <f>IFERROR(__xludf.DUMMYFUNCTION("GOOGLETRANSLATE(A137, ""de"", ""en"")"),"had")</f>
        <v>had</v>
      </c>
    </row>
    <row r="138">
      <c r="A138" s="1" t="s">
        <v>138</v>
      </c>
      <c r="B138" s="2" t="str">
        <f>IFERROR(__xludf.DUMMYFUNCTION("GOOGLETRANSLATE(A138, ""de"", ""en"")"),"time")</f>
        <v>time</v>
      </c>
    </row>
    <row r="139">
      <c r="A139" s="1" t="s">
        <v>139</v>
      </c>
      <c r="B139" s="2" t="str">
        <f>IFERROR(__xludf.DUMMYFUNCTION("GOOGLETRANSLATE(A139, ""de"", ""en"")"),"because")</f>
        <v>because</v>
      </c>
    </row>
    <row r="140">
      <c r="A140" s="1" t="s">
        <v>140</v>
      </c>
      <c r="B140" s="2" t="str">
        <f>IFERROR(__xludf.DUMMYFUNCTION("GOOGLETRANSLATE(A140, ""de"", ""en"")"),"want")</f>
        <v>want</v>
      </c>
    </row>
    <row r="141">
      <c r="A141" s="1" t="s">
        <v>141</v>
      </c>
      <c r="B141" s="2" t="str">
        <f>IFERROR(__xludf.DUMMYFUNCTION("GOOGLETRANSLATE(A141, ""de"", ""en"")"),"come")</f>
        <v>come</v>
      </c>
    </row>
    <row r="142">
      <c r="A142" s="1" t="s">
        <v>142</v>
      </c>
      <c r="B142" s="2" t="str">
        <f>IFERROR(__xludf.DUMMYFUNCTION("GOOGLETRANSLATE(A142, ""de"", ""en"")"),"your")</f>
        <v>your</v>
      </c>
    </row>
    <row r="143">
      <c r="A143" s="1" t="s">
        <v>143</v>
      </c>
      <c r="B143" s="2" t="str">
        <f>IFERROR(__xludf.DUMMYFUNCTION("GOOGLETRANSLATE(A143, ""de"", ""en"")"),"today")</f>
        <v>today</v>
      </c>
    </row>
    <row r="144">
      <c r="A144" s="1" t="s">
        <v>144</v>
      </c>
      <c r="B144" s="2" t="str">
        <f>IFERROR(__xludf.DUMMYFUNCTION("GOOGLETRANSLATE(A144, ""de"", ""en"")"),"comes")</f>
        <v>comes</v>
      </c>
    </row>
    <row r="145">
      <c r="A145" s="1" t="s">
        <v>145</v>
      </c>
      <c r="B145" s="2" t="str">
        <f>IFERROR(__xludf.DUMMYFUNCTION("GOOGLETRANSLATE(A145, ""de"", ""en"")"),"want")</f>
        <v>want</v>
      </c>
    </row>
    <row r="146">
      <c r="A146" s="1" t="s">
        <v>146</v>
      </c>
      <c r="B146" s="2" t="str">
        <f>IFERROR(__xludf.DUMMYFUNCTION("GOOGLETRANSLATE(A146, ""de"", ""en"")"),"with it")</f>
        <v>with it</v>
      </c>
    </row>
    <row r="147">
      <c r="A147" s="1" t="s">
        <v>147</v>
      </c>
      <c r="B147" s="2" t="str">
        <f>IFERROR(__xludf.DUMMYFUNCTION("GOOGLETRANSLATE(A147, ""de"", ""en"")"),"quite")</f>
        <v>quite</v>
      </c>
    </row>
    <row r="148">
      <c r="A148" s="1" t="s">
        <v>148</v>
      </c>
      <c r="B148" s="2" t="str">
        <f>IFERROR(__xludf.DUMMYFUNCTION("GOOGLETRANSLATE(A148, ""de"", ""en"")"),"were")</f>
        <v>were</v>
      </c>
    </row>
    <row r="149">
      <c r="A149" s="1" t="s">
        <v>149</v>
      </c>
      <c r="B149" s="2" t="str">
        <f>IFERROR(__xludf.DUMMYFUNCTION("GOOGLETRANSLATE(A149, ""de"", ""en"")"),"wanted")</f>
        <v>wanted</v>
      </c>
    </row>
    <row r="150">
      <c r="A150" s="1" t="s">
        <v>150</v>
      </c>
      <c r="B150" s="2" t="str">
        <f>IFERROR(__xludf.DUMMYFUNCTION("GOOGLETRANSLATE(A150, ""de"", ""en"")"),"know")</f>
        <v>know</v>
      </c>
    </row>
    <row r="151">
      <c r="A151" s="1" t="s">
        <v>151</v>
      </c>
      <c r="B151" s="2" t="str">
        <f>IFERROR(__xludf.DUMMYFUNCTION("GOOGLETRANSLATE(A151, ""de"", ""en"")"),"OK")</f>
        <v>OK</v>
      </c>
    </row>
    <row r="152">
      <c r="A152" s="1" t="s">
        <v>152</v>
      </c>
      <c r="B152" s="2" t="str">
        <f>IFERROR(__xludf.DUMMYFUNCTION("GOOGLETRANSLATE(A152, ""de"", ""en"")"),"secure")</f>
        <v>secure</v>
      </c>
    </row>
    <row r="153">
      <c r="A153" s="1" t="s">
        <v>153</v>
      </c>
      <c r="B153" s="2" t="str">
        <f>IFERROR(__xludf.DUMMYFUNCTION("GOOGLETRANSLATE(A153, ""de"", ""en"")"),"said")</f>
        <v>said</v>
      </c>
    </row>
    <row r="154">
      <c r="A154" s="1" t="s">
        <v>154</v>
      </c>
      <c r="B154" s="2" t="str">
        <f>IFERROR(__xludf.DUMMYFUNCTION("GOOGLETRANSLATE(A154, ""de"", ""en"")"),"woman")</f>
        <v>woman</v>
      </c>
    </row>
    <row r="155">
      <c r="A155" s="1" t="s">
        <v>155</v>
      </c>
      <c r="B155" s="2" t="str">
        <f>IFERROR(__xludf.DUMMYFUNCTION("GOOGLETRANSLATE(A155, ""de"", ""en"")"),"so")</f>
        <v>so</v>
      </c>
    </row>
    <row r="156">
      <c r="A156" s="1" t="s">
        <v>156</v>
      </c>
      <c r="B156" s="2" t="str">
        <f>IFERROR(__xludf.DUMMYFUNCTION("GOOGLETRANSLATE(A156, ""de"", ""en"")"),"until")</f>
        <v>until</v>
      </c>
    </row>
    <row r="157">
      <c r="A157" s="1" t="s">
        <v>157</v>
      </c>
      <c r="B157" s="2" t="str">
        <f>IFERROR(__xludf.DUMMYFUNCTION("GOOGLETRANSLATE(A157, ""de"", ""en"")"),"became")</f>
        <v>became</v>
      </c>
    </row>
    <row r="158">
      <c r="A158" s="1" t="s">
        <v>158</v>
      </c>
      <c r="B158" s="2" t="str">
        <f>IFERROR(__xludf.DUMMYFUNCTION("GOOGLETRANSLATE(A158, ""de"", ""en"")"),"sorrow")</f>
        <v>sorrow</v>
      </c>
    </row>
    <row r="159">
      <c r="A159" s="1" t="s">
        <v>159</v>
      </c>
      <c r="B159" s="2" t="str">
        <f>IFERROR(__xludf.DUMMYFUNCTION("GOOGLETRANSLATE(A159, ""de"", ""en"")"),"n/a")</f>
        <v>n/a</v>
      </c>
    </row>
    <row r="160">
      <c r="A160" s="1" t="s">
        <v>160</v>
      </c>
      <c r="B160" s="2" t="str">
        <f>IFERROR(__xludf.DUMMYFUNCTION("GOOGLETRANSLATE(A160, ""de"", ""en"")"),"can")</f>
        <v>can</v>
      </c>
    </row>
    <row r="161">
      <c r="A161" s="1" t="s">
        <v>161</v>
      </c>
      <c r="B161" s="2" t="str">
        <f>IFERROR(__xludf.DUMMYFUNCTION("GOOGLETRANSLATE(A161, ""de"", ""en"")"),"might")</f>
        <v>might</v>
      </c>
    </row>
    <row r="162">
      <c r="A162" s="1" t="s">
        <v>162</v>
      </c>
      <c r="B162" s="2" t="str">
        <f>IFERROR(__xludf.DUMMYFUNCTION("GOOGLETRANSLATE(A162, ""de"", ""en"")"),"this")</f>
        <v>this</v>
      </c>
    </row>
    <row r="163">
      <c r="A163" s="1" t="s">
        <v>163</v>
      </c>
      <c r="B163" s="2" t="str">
        <f>IFERROR(__xludf.DUMMYFUNCTION("GOOGLETRANSLATE(A163, ""de"", ""en"")"),"back")</f>
        <v>back</v>
      </c>
    </row>
    <row r="164">
      <c r="A164" s="1" t="s">
        <v>164</v>
      </c>
      <c r="B164" s="2" t="str">
        <f>IFERROR(__xludf.DUMMYFUNCTION("GOOGLETRANSLATE(A164, ""de"", ""en"")"),"let")</f>
        <v>let</v>
      </c>
    </row>
    <row r="165">
      <c r="A165" s="1" t="s">
        <v>165</v>
      </c>
      <c r="B165" s="2" t="str">
        <f>IFERROR(__xludf.DUMMYFUNCTION("GOOGLETRANSLATE(A165, ""de"", ""en"")"),"Hello")</f>
        <v>Hello</v>
      </c>
    </row>
    <row r="166">
      <c r="A166" s="1" t="s">
        <v>166</v>
      </c>
      <c r="B166" s="2" t="str">
        <f>IFERROR(__xludf.DUMMYFUNCTION("GOOGLETRANSLATE(A166, ""de"", ""en"")"),"mean")</f>
        <v>mean</v>
      </c>
    </row>
    <row r="167">
      <c r="A167" s="1" t="s">
        <v>167</v>
      </c>
      <c r="B167" s="2" t="str">
        <f>IFERROR(__xludf.DUMMYFUNCTION("GOOGLETRANSLATE(A167, ""de"", ""en"")"),"God")</f>
        <v>God</v>
      </c>
    </row>
    <row r="168">
      <c r="A168" s="1" t="s">
        <v>168</v>
      </c>
      <c r="B168" s="2" t="str">
        <f>IFERROR(__xludf.DUMMYFUNCTION("GOOGLETRANSLATE(A168, ""de"", ""en"")"),"his")</f>
        <v>his</v>
      </c>
    </row>
    <row r="169">
      <c r="A169" s="1" t="s">
        <v>169</v>
      </c>
      <c r="B169" s="2" t="str">
        <f>IFERROR(__xludf.DUMMYFUNCTION("GOOGLETRANSLATE(A169, ""de"", ""en"")"),"would have")</f>
        <v>would have</v>
      </c>
    </row>
    <row r="170">
      <c r="A170" s="1" t="s">
        <v>170</v>
      </c>
      <c r="B170" s="2" t="str">
        <f>IFERROR(__xludf.DUMMYFUNCTION("GOOGLETRANSLATE(A170, ""de"", ""en"")"),"two")</f>
        <v>two</v>
      </c>
    </row>
    <row r="171">
      <c r="A171" s="1" t="s">
        <v>171</v>
      </c>
      <c r="B171" s="2" t="str">
        <f>IFERROR(__xludf.DUMMYFUNCTION("GOOGLETRANSLATE(A171, ""de"", ""en"")"),"could")</f>
        <v>could</v>
      </c>
    </row>
    <row r="172">
      <c r="A172" s="1" t="s">
        <v>172</v>
      </c>
      <c r="B172" s="2" t="str">
        <f>IFERROR(__xludf.DUMMYFUNCTION("GOOGLETRANSLATE(A172, ""de"", ""en"")"),"Exactly")</f>
        <v>Exactly</v>
      </c>
    </row>
    <row r="173">
      <c r="A173" s="1" t="s">
        <v>173</v>
      </c>
      <c r="B173" s="2" t="str">
        <f>IFERROR(__xludf.DUMMYFUNCTION("GOOGLETRANSLATE(A173, ""de"", ""en"")"),"were")</f>
        <v>were</v>
      </c>
    </row>
    <row r="174">
      <c r="A174" s="1" t="s">
        <v>174</v>
      </c>
      <c r="B174" s="2" t="str">
        <f>IFERROR(__xludf.DUMMYFUNCTION("GOOGLETRANSLATE(A174, ""de"", ""en"")"),"to")</f>
        <v>to</v>
      </c>
    </row>
    <row r="175">
      <c r="A175" s="1" t="s">
        <v>175</v>
      </c>
      <c r="B175" s="2" t="str">
        <f>IFERROR(__xludf.DUMMYFUNCTION("GOOGLETRANSLATE(A175, ""de"", ""en"")"),"let")</f>
        <v>let</v>
      </c>
    </row>
    <row r="176">
      <c r="A176" s="1" t="s">
        <v>176</v>
      </c>
      <c r="B176" s="2" t="str">
        <f>IFERROR(__xludf.DUMMYFUNCTION("GOOGLETRANSLATE(A176, ""de"", ""en"")"),"clear")</f>
        <v>clear</v>
      </c>
    </row>
    <row r="177">
      <c r="A177" s="1" t="s">
        <v>177</v>
      </c>
      <c r="B177" s="2" t="str">
        <f>IFERROR(__xludf.DUMMYFUNCTION("GOOGLETRANSLATE(A177, ""de"", ""en"")"),"morning")</f>
        <v>morning</v>
      </c>
    </row>
    <row r="178">
      <c r="A178" s="1" t="s">
        <v>178</v>
      </c>
      <c r="B178" s="2" t="str">
        <f>IFERROR(__xludf.DUMMYFUNCTION("GOOGLETRANSLATE(A178, ""de"", ""en"")"),"people")</f>
        <v>people</v>
      </c>
    </row>
    <row r="179">
      <c r="A179" s="1" t="s">
        <v>179</v>
      </c>
      <c r="B179" s="2" t="str">
        <f>IFERROR(__xludf.DUMMYFUNCTION("GOOGLETRANSLATE(A179, ""de"", ""en"")"),"father")</f>
        <v>father</v>
      </c>
    </row>
    <row r="180">
      <c r="A180" s="1" t="s">
        <v>180</v>
      </c>
      <c r="B180" s="2" t="str">
        <f>IFERROR(__xludf.DUMMYFUNCTION("GOOGLETRANSLATE(A180, ""de"", ""en"")"),"nice")</f>
        <v>nice</v>
      </c>
    </row>
    <row r="181">
      <c r="A181" s="1" t="s">
        <v>181</v>
      </c>
      <c r="B181" s="2" t="str">
        <f>IFERROR(__xludf.DUMMYFUNCTION("GOOGLETRANSLATE(A181, ""de"", ""en"")"),"believe")</f>
        <v>believe</v>
      </c>
    </row>
    <row r="182">
      <c r="A182" s="1" t="s">
        <v>182</v>
      </c>
      <c r="B182" s="2" t="str">
        <f>IFERROR(__xludf.DUMMYFUNCTION("GOOGLETRANSLATE(A182, ""de"", ""en"")"),"mr.")</f>
        <v>mr.</v>
      </c>
    </row>
    <row r="183">
      <c r="A183" s="1" t="s">
        <v>183</v>
      </c>
      <c r="B183" s="2" t="str">
        <f>IFERROR(__xludf.DUMMYFUNCTION("GOOGLETRANSLATE(A183, ""de"", ""en"")"),"away")</f>
        <v>away</v>
      </c>
    </row>
    <row r="184">
      <c r="A184" s="1" t="s">
        <v>184</v>
      </c>
      <c r="B184" s="2" t="str">
        <f>IFERROR(__xludf.DUMMYFUNCTION("GOOGLETRANSLATE(A184, ""de"", ""en"")"),"straight")</f>
        <v>straight</v>
      </c>
    </row>
    <row r="185">
      <c r="A185" s="1" t="s">
        <v>185</v>
      </c>
      <c r="B185" s="2" t="str">
        <f>IFERROR(__xludf.DUMMYFUNCTION("GOOGLETRANSLATE(A185, ""de"", ""en"")"),"day")</f>
        <v>day</v>
      </c>
    </row>
    <row r="186">
      <c r="A186" s="1" t="s">
        <v>186</v>
      </c>
      <c r="B186" s="2" t="str">
        <f>IFERROR(__xludf.DUMMYFUNCTION("GOOGLETRANSLATE(A186, ""de"", ""en"")"),"seen")</f>
        <v>seen</v>
      </c>
    </row>
    <row r="187">
      <c r="A187" s="1" t="s">
        <v>187</v>
      </c>
      <c r="B187" s="2" t="str">
        <f>IFERROR(__xludf.DUMMYFUNCTION("GOOGLETRANSLATE(A187, ""de"", ""en"")"),"talk")</f>
        <v>talk</v>
      </c>
    </row>
    <row r="188">
      <c r="A188" s="1" t="s">
        <v>188</v>
      </c>
      <c r="B188" s="2" t="str">
        <f>IFERROR(__xludf.DUMMYFUNCTION("GOOGLETRANSLATE(A188, ""de"", ""en"")"),"probably")</f>
        <v>probably</v>
      </c>
    </row>
    <row r="189">
      <c r="A189" s="1" t="s">
        <v>189</v>
      </c>
      <c r="B189" s="2" t="str">
        <f>IFERROR(__xludf.DUMMYFUNCTION("GOOGLETRANSLATE(A189, ""de"", ""en"")"),"love")</f>
        <v>love</v>
      </c>
    </row>
    <row r="190">
      <c r="A190" s="1" t="s">
        <v>190</v>
      </c>
      <c r="B190" s="2" t="str">
        <f>IFERROR(__xludf.DUMMYFUNCTION("GOOGLETRANSLATE(A190, ""de"", ""en"")"),"should")</f>
        <v>should</v>
      </c>
    </row>
    <row r="191">
      <c r="A191" s="1" t="s">
        <v>191</v>
      </c>
      <c r="B191" s="2" t="str">
        <f>IFERROR(__xludf.DUMMYFUNCTION("GOOGLETRANSLATE(A191, ""de"", ""en"")"),"said")</f>
        <v>said</v>
      </c>
    </row>
    <row r="192">
      <c r="A192" s="1" t="s">
        <v>192</v>
      </c>
      <c r="B192" s="2" t="str">
        <f>IFERROR(__xludf.DUMMYFUNCTION("GOOGLETRANSLATE(A192, ""de"", ""en"")"),"our")</f>
        <v>our</v>
      </c>
    </row>
    <row r="193">
      <c r="A193" s="1" t="s">
        <v>193</v>
      </c>
      <c r="B193" s="2" t="str">
        <f>IFERROR(__xludf.DUMMYFUNCTION("GOOGLETRANSLATE(A193, ""de"", ""en"")"),"someone")</f>
        <v>someone</v>
      </c>
    </row>
    <row r="194">
      <c r="A194" s="1" t="s">
        <v>194</v>
      </c>
      <c r="B194" s="2" t="str">
        <f>IFERROR(__xludf.DUMMYFUNCTION("GOOGLETRANSLATE(A194, ""de"", ""en"")"),"money")</f>
        <v>money</v>
      </c>
    </row>
    <row r="195">
      <c r="A195" s="1" t="s">
        <v>195</v>
      </c>
      <c r="B195" s="2" t="str">
        <f>IFERROR(__xludf.DUMMYFUNCTION("GOOGLETRANSLATE(A195, ""de"", ""en"")"),"through")</f>
        <v>through</v>
      </c>
    </row>
    <row r="196">
      <c r="A196" s="1" t="s">
        <v>196</v>
      </c>
      <c r="B196" s="2" t="str">
        <f>IFERROR(__xludf.DUMMYFUNCTION("GOOGLETRANSLATE(A196, ""de"", ""en"")"),"whether")</f>
        <v>whether</v>
      </c>
    </row>
    <row r="197">
      <c r="A197" s="1" t="s">
        <v>197</v>
      </c>
      <c r="B197" s="2" t="str">
        <f>IFERROR(__xludf.DUMMYFUNCTION("GOOGLETRANSLATE(A197, ""de"", ""en"")"),"none")</f>
        <v>none</v>
      </c>
    </row>
    <row r="198">
      <c r="A198" s="1" t="s">
        <v>198</v>
      </c>
      <c r="B198" s="2" t="str">
        <f>IFERROR(__xludf.DUMMYFUNCTION("GOOGLETRANSLATE(A198, ""de"", ""en"")"),"mother")</f>
        <v>mother</v>
      </c>
    </row>
    <row r="199">
      <c r="A199" s="1" t="s">
        <v>199</v>
      </c>
      <c r="B199" s="2" t="str">
        <f>IFERROR(__xludf.DUMMYFUNCTION("GOOGLETRANSLATE(A199, ""de"", ""en"")"),"out")</f>
        <v>out</v>
      </c>
    </row>
    <row r="200">
      <c r="A200" s="1" t="s">
        <v>200</v>
      </c>
      <c r="B200" s="2" t="str">
        <f>IFERROR(__xludf.DUMMYFUNCTION("GOOGLETRANSLATE(A200, ""de"", ""en"")"),"made")</f>
        <v>made</v>
      </c>
    </row>
    <row r="201">
      <c r="A201" s="1" t="s">
        <v>201</v>
      </c>
      <c r="B201" s="2" t="str">
        <f>IFERROR(__xludf.DUMMYFUNCTION("GOOGLETRANSLATE(A201, ""de"", ""en"")"),"couple")</f>
        <v>couple</v>
      </c>
    </row>
    <row r="202">
      <c r="A202" s="1" t="s">
        <v>202</v>
      </c>
      <c r="B202" s="2" t="str">
        <f>IFERROR(__xludf.DUMMYFUNCTION("GOOGLETRANSLATE(A202, ""de"", ""en"")"),"do")</f>
        <v>do</v>
      </c>
    </row>
    <row r="203">
      <c r="A203" s="1" t="s">
        <v>203</v>
      </c>
      <c r="B203" s="2" t="str">
        <f>IFERROR(__xludf.DUMMYFUNCTION("GOOGLETRANSLATE(A203, ""de"", ""en"")"),"happened")</f>
        <v>happened</v>
      </c>
    </row>
    <row r="204">
      <c r="A204" s="1" t="s">
        <v>204</v>
      </c>
      <c r="B204" s="2" t="str">
        <f>IFERROR(__xludf.DUMMYFUNCTION("GOOGLETRANSLATE(A204, ""de"", ""en"")"),"thought")</f>
        <v>thought</v>
      </c>
    </row>
    <row r="205">
      <c r="A205" s="1" t="s">
        <v>205</v>
      </c>
      <c r="B205" s="2" t="str">
        <f>IFERROR(__xludf.DUMMYFUNCTION("GOOGLETRANSLATE(A205, ""de"", ""en"")"),"better")</f>
        <v>better</v>
      </c>
    </row>
    <row r="206">
      <c r="A206" s="1" t="s">
        <v>206</v>
      </c>
      <c r="B206" s="2" t="str">
        <f>IFERROR(__xludf.DUMMYFUNCTION("GOOGLETRANSLATE(A206, ""de"", ""en"")"),"must")</f>
        <v>must</v>
      </c>
    </row>
    <row r="207">
      <c r="A207" s="1" t="s">
        <v>207</v>
      </c>
      <c r="B207" s="2" t="str">
        <f>IFERROR(__xludf.DUMMYFUNCTION("GOOGLETRANSLATE(A207, ""de"", ""en"")"),"how come")</f>
        <v>how come</v>
      </c>
    </row>
    <row r="208">
      <c r="A208" s="1" t="s">
        <v>208</v>
      </c>
      <c r="B208" s="2" t="str">
        <f>IFERROR(__xludf.DUMMYFUNCTION("GOOGLETRANSLATE(A208, ""de"", ""en"")"),"sir")</f>
        <v>sir</v>
      </c>
    </row>
    <row r="209">
      <c r="A209" s="1" t="s">
        <v>209</v>
      </c>
      <c r="B209" s="2" t="str">
        <f>IFERROR(__xludf.DUMMYFUNCTION("GOOGLETRANSLATE(A209, ""de"", ""en"")"),"this")</f>
        <v>this</v>
      </c>
    </row>
    <row r="210">
      <c r="A210" s="1" t="s">
        <v>210</v>
      </c>
      <c r="B210" s="2" t="str">
        <f>IFERROR(__xludf.DUMMYFUNCTION("GOOGLETRANSLATE(A210, ""de"", ""en"")"),"himself")</f>
        <v>himself</v>
      </c>
    </row>
    <row r="211">
      <c r="A211" s="1" t="s">
        <v>211</v>
      </c>
      <c r="B211" s="2" t="str">
        <f>IFERROR(__xludf.DUMMYFUNCTION("GOOGLETRANSLATE(A211, ""de"", ""en"")"),"heard")</f>
        <v>heard</v>
      </c>
    </row>
    <row r="212">
      <c r="A212" s="1" t="s">
        <v>212</v>
      </c>
      <c r="B212" s="2" t="str">
        <f>IFERROR(__xludf.DUMMYFUNCTION("GOOGLETRANSLATE(A212, ""de"", ""en"")"),"want")</f>
        <v>want</v>
      </c>
    </row>
    <row r="213">
      <c r="A213" s="1" t="s">
        <v>213</v>
      </c>
      <c r="B213" s="2" t="str">
        <f>IFERROR(__xludf.DUMMYFUNCTION("GOOGLETRANSLATE(A213, ""de"", ""en"")"),"without")</f>
        <v>without</v>
      </c>
    </row>
    <row r="214">
      <c r="A214" s="1" t="s">
        <v>214</v>
      </c>
      <c r="B214" s="2" t="str">
        <f>IFERROR(__xludf.DUMMYFUNCTION("GOOGLETRANSLATE(A214, ""de"", ""en"")"),"listen")</f>
        <v>listen</v>
      </c>
    </row>
    <row r="215">
      <c r="A215" s="1" t="s">
        <v>215</v>
      </c>
      <c r="B215" s="2" t="str">
        <f>IFERROR(__xludf.DUMMYFUNCTION("GOOGLETRANSLATE(A215, ""de"", ""en"")"),"here")</f>
        <v>here</v>
      </c>
    </row>
    <row r="216">
      <c r="A216" s="1" t="s">
        <v>216</v>
      </c>
      <c r="B216" s="2" t="str">
        <f>IFERROR(__xludf.DUMMYFUNCTION("GOOGLETRANSLATE(A216, ""de"", ""en"")"),"say")</f>
        <v>say</v>
      </c>
    </row>
    <row r="217">
      <c r="A217" s="1" t="s">
        <v>217</v>
      </c>
      <c r="B217" s="2" t="str">
        <f>IFERROR(__xludf.DUMMYFUNCTION("GOOGLETRANSLATE(A217, ""de"", ""en"")"),"mine")</f>
        <v>mine</v>
      </c>
    </row>
    <row r="218">
      <c r="A218" s="1" t="s">
        <v>218</v>
      </c>
      <c r="B218" s="2" t="str">
        <f>IFERROR(__xludf.DUMMYFUNCTION("GOOGLETRANSLATE(A218, ""de"", ""en"")"),"others")</f>
        <v>others</v>
      </c>
    </row>
    <row r="219">
      <c r="A219" s="1" t="s">
        <v>219</v>
      </c>
      <c r="B219" s="2" t="str">
        <f>IFERROR(__xludf.DUMMYFUNCTION("GOOGLETRANSLATE(A219, ""de"", ""en"")"),"help")</f>
        <v>help</v>
      </c>
    </row>
    <row r="220">
      <c r="A220" s="1" t="s">
        <v>220</v>
      </c>
      <c r="B220" s="2" t="str">
        <f>IFERROR(__xludf.DUMMYFUNCTION("GOOGLETRANSLATE(A220, ""de"", ""en"")"),"night")</f>
        <v>night</v>
      </c>
    </row>
    <row r="221">
      <c r="A221" s="1" t="s">
        <v>221</v>
      </c>
      <c r="B221" s="2" t="str">
        <f>IFERROR(__xludf.DUMMYFUNCTION("GOOGLETRANSLATE(A221, ""de"", ""en"")"),"find")</f>
        <v>find</v>
      </c>
    </row>
    <row r="222">
      <c r="A222" s="1" t="s">
        <v>222</v>
      </c>
      <c r="B222" s="2" t="str">
        <f>IFERROR(__xludf.DUMMYFUNCTION("GOOGLETRANSLATE(A222, ""de"", ""en"")"),"this one")</f>
        <v>this one</v>
      </c>
    </row>
    <row r="223">
      <c r="A223" s="1" t="s">
        <v>223</v>
      </c>
      <c r="B223" s="2" t="str">
        <f>IFERROR(__xludf.DUMMYFUNCTION("GOOGLETRANSLATE(A223, ""de"", ""en"")"),"good")</f>
        <v>good</v>
      </c>
    </row>
    <row r="224">
      <c r="A224" s="1" t="s">
        <v>224</v>
      </c>
      <c r="B224" s="2" t="str">
        <f>IFERROR(__xludf.DUMMYFUNCTION("GOOGLETRANSLATE(A224, ""de"", ""en"")"),"will")</f>
        <v>will</v>
      </c>
    </row>
    <row r="225">
      <c r="A225" s="1" t="s">
        <v>225</v>
      </c>
      <c r="B225" s="2" t="str">
        <f>IFERROR(__xludf.DUMMYFUNCTION("GOOGLETRANSLATE(A225, ""de"", ""en"")"),"long")</f>
        <v>long</v>
      </c>
    </row>
    <row r="226">
      <c r="A226" s="1" t="s">
        <v>226</v>
      </c>
      <c r="B226" s="2" t="str">
        <f>IFERROR(__xludf.DUMMYFUNCTION("GOOGLETRANSLATE(A226, ""de"", ""en"")"),"naturally")</f>
        <v>naturally</v>
      </c>
    </row>
    <row r="227">
      <c r="A227" s="1" t="s">
        <v>227</v>
      </c>
      <c r="B227" s="2" t="str">
        <f>IFERROR(__xludf.DUMMYFUNCTION("GOOGLETRANSLATE(A227, ""de"", ""en"")"),"Oh")</f>
        <v>Oh</v>
      </c>
    </row>
    <row r="228">
      <c r="A228" s="1" t="s">
        <v>228</v>
      </c>
      <c r="B228" s="2" t="str">
        <f>IFERROR(__xludf.DUMMYFUNCTION("GOOGLETRANSLATE(A228, ""de"", ""en"")"),"mine")</f>
        <v>mine</v>
      </c>
    </row>
    <row r="229">
      <c r="A229" s="1" t="s">
        <v>229</v>
      </c>
      <c r="B229" s="2" t="str">
        <f>IFERROR(__xludf.DUMMYFUNCTION("GOOGLETRANSLATE(A229, ""de"", ""en"")"),"even")</f>
        <v>even</v>
      </c>
    </row>
    <row r="230">
      <c r="A230" s="1" t="s">
        <v>230</v>
      </c>
      <c r="B230" s="2" t="str">
        <f>IFERROR(__xludf.DUMMYFUNCTION("GOOGLETRANSLATE(A230, ""de"", ""en"")"),"into the")</f>
        <v>into the</v>
      </c>
    </row>
    <row r="231">
      <c r="A231" s="1" t="s">
        <v>231</v>
      </c>
      <c r="B231" s="2" t="str">
        <f>IFERROR(__xludf.DUMMYFUNCTION("GOOGLETRANSLATE(A231, ""de"", ""en"")"),"be")</f>
        <v>be</v>
      </c>
    </row>
    <row r="232">
      <c r="A232" s="1" t="s">
        <v>232</v>
      </c>
      <c r="B232" s="2" t="str">
        <f>IFERROR(__xludf.DUMMYFUNCTION("GOOGLETRANSLATE(A232, ""de"", ""en"")"),"there")</f>
        <v>there</v>
      </c>
    </row>
    <row r="233">
      <c r="A233" s="1" t="s">
        <v>233</v>
      </c>
      <c r="B233" s="2" t="str">
        <f>IFERROR(__xludf.DUMMYFUNCTION("GOOGLETRANSLATE(A233, ""de"", ""en"")"),"further")</f>
        <v>further</v>
      </c>
    </row>
    <row r="234">
      <c r="A234" s="1" t="s">
        <v>234</v>
      </c>
      <c r="B234" s="2" t="str">
        <f>IFERROR(__xludf.DUMMYFUNCTION("GOOGLETRANSLATE(A234, ""de"", ""en"")"),"give")</f>
        <v>give</v>
      </c>
    </row>
    <row r="235">
      <c r="A235" s="1" t="s">
        <v>235</v>
      </c>
      <c r="B235" s="2" t="str">
        <f>IFERROR(__xludf.DUMMYFUNCTION("GOOGLETRANSLATE(A235, ""de"", ""en"")"),"since")</f>
        <v>since</v>
      </c>
    </row>
    <row r="236">
      <c r="A236" s="1" t="s">
        <v>236</v>
      </c>
      <c r="B236" s="2" t="str">
        <f>IFERROR(__xludf.DUMMYFUNCTION("GOOGLETRANSLATE(A236, ""de"", ""en"")"),"even")</f>
        <v>even</v>
      </c>
    </row>
    <row r="237">
      <c r="A237" s="1" t="s">
        <v>237</v>
      </c>
      <c r="B237" s="2" t="str">
        <f>IFERROR(__xludf.DUMMYFUNCTION("GOOGLETRANSLATE(A237, ""de"", ""en"")"),"says")</f>
        <v>says</v>
      </c>
    </row>
    <row r="238">
      <c r="A238" s="1" t="s">
        <v>238</v>
      </c>
      <c r="B238" s="2" t="str">
        <f>IFERROR(__xludf.DUMMYFUNCTION("GOOGLETRANSLATE(A238, ""de"", ""en"")"),"right")</f>
        <v>right</v>
      </c>
    </row>
    <row r="239">
      <c r="A239" s="1" t="s">
        <v>239</v>
      </c>
      <c r="B239" s="2" t="str">
        <f>IFERROR(__xludf.DUMMYFUNCTION("GOOGLETRANSLATE(A239, ""de"", ""en"")"),"your")</f>
        <v>your</v>
      </c>
    </row>
    <row r="240">
      <c r="A240" s="1" t="s">
        <v>240</v>
      </c>
      <c r="B240" s="2" t="str">
        <f>IFERROR(__xludf.DUMMYFUNCTION("GOOGLETRANSLATE(A240, ""de"", ""en"")"),"correct")</f>
        <v>correct</v>
      </c>
    </row>
    <row r="241">
      <c r="A241" s="1" t="s">
        <v>241</v>
      </c>
      <c r="B241" s="2" t="str">
        <f>IFERROR(__xludf.DUMMYFUNCTION("GOOGLETRANSLATE(A241, ""de"", ""en"")"),"order")</f>
        <v>order</v>
      </c>
    </row>
    <row r="242">
      <c r="A242" s="1" t="s">
        <v>242</v>
      </c>
      <c r="B242" s="2" t="str">
        <f>IFERROR(__xludf.DUMMYFUNCTION("GOOGLETRANSLATE(A242, ""de"", ""en"")"),"from the")</f>
        <v>from the</v>
      </c>
    </row>
    <row r="243">
      <c r="A243" s="1" t="s">
        <v>243</v>
      </c>
      <c r="B243" s="2" t="str">
        <f>IFERROR(__xludf.DUMMYFUNCTION("GOOGLETRANSLATE(A243, ""de"", ""en"")"),"hear")</f>
        <v>hear</v>
      </c>
    </row>
    <row r="244">
      <c r="A244" s="1" t="s">
        <v>244</v>
      </c>
      <c r="B244" s="2" t="str">
        <f>IFERROR(__xludf.DUMMYFUNCTION("GOOGLETRANSLATE(A244, ""de"", ""en"")"),"sees")</f>
        <v>sees</v>
      </c>
    </row>
    <row r="245">
      <c r="A245" s="1" t="s">
        <v>245</v>
      </c>
      <c r="B245" s="2" t="str">
        <f>IFERROR(__xludf.DUMMYFUNCTION("GOOGLETRANSLATE(A245, ""de"", ""en"")"),"of that")</f>
        <v>of that</v>
      </c>
    </row>
    <row r="246">
      <c r="A246" s="1" t="s">
        <v>246</v>
      </c>
      <c r="B246" s="2" t="str">
        <f>IFERROR(__xludf.DUMMYFUNCTION("GOOGLETRANSLATE(A246, ""de"", ""en"")"),"for that")</f>
        <v>for that</v>
      </c>
    </row>
    <row r="247">
      <c r="A247" s="1" t="s">
        <v>247</v>
      </c>
      <c r="B247" s="2" t="str">
        <f>IFERROR(__xludf.DUMMYFUNCTION("GOOGLETRANSLATE(A247, ""de"", ""en"")"),"go")</f>
        <v>go</v>
      </c>
    </row>
    <row r="248">
      <c r="A248" s="1" t="s">
        <v>248</v>
      </c>
      <c r="B248" s="2" t="str">
        <f>IFERROR(__xludf.DUMMYFUNCTION("GOOGLETRANSLATE(A248, ""de"", ""en"")"),"this one")</f>
        <v>this one</v>
      </c>
    </row>
    <row r="249">
      <c r="A249" s="1" t="s">
        <v>249</v>
      </c>
      <c r="B249" s="2" t="str">
        <f>IFERROR(__xludf.DUMMYFUNCTION("GOOGLETRANSLATE(A249, ""de"", ""en"")"),"because of")</f>
        <v>because of</v>
      </c>
    </row>
    <row r="250">
      <c r="A250" s="1" t="s">
        <v>250</v>
      </c>
      <c r="B250" s="2" t="str">
        <f>IFERROR(__xludf.DUMMYFUNCTION("GOOGLETRANSLATE(A250, ""de"", ""en"")"),"home")</f>
        <v>home</v>
      </c>
    </row>
    <row r="251">
      <c r="A251" s="1" t="s">
        <v>251</v>
      </c>
      <c r="B251" s="2" t="str">
        <f>IFERROR(__xludf.DUMMYFUNCTION("GOOGLETRANSLATE(A251, ""de"", ""en"")"),"should")</f>
        <v>should</v>
      </c>
    </row>
    <row r="252">
      <c r="A252" s="1" t="s">
        <v>252</v>
      </c>
      <c r="B252" s="2" t="str">
        <f>IFERROR(__xludf.DUMMYFUNCTION("GOOGLETRANSLATE(A252, ""de"", ""en"")"),"girl")</f>
        <v>girl</v>
      </c>
    </row>
    <row r="253">
      <c r="A253" s="1" t="s">
        <v>253</v>
      </c>
      <c r="B253" s="2" t="str">
        <f>IFERROR(__xludf.DUMMYFUNCTION("GOOGLETRANSLATE(A253, ""de"", ""en"")"),"there")</f>
        <v>there</v>
      </c>
    </row>
    <row r="254">
      <c r="A254" s="1" t="s">
        <v>254</v>
      </c>
      <c r="B254" s="2" t="str">
        <f>IFERROR(__xludf.DUMMYFUNCTION("GOOGLETRANSLATE(A254, ""de"", ""en"")"),"should")</f>
        <v>should</v>
      </c>
    </row>
    <row r="255">
      <c r="A255" s="1" t="s">
        <v>255</v>
      </c>
      <c r="B255" s="2" t="str">
        <f>IFERROR(__xludf.DUMMYFUNCTION("GOOGLETRANSLATE(A255, ""de"", ""en"")"),"evening")</f>
        <v>evening</v>
      </c>
    </row>
    <row r="256">
      <c r="A256" s="1" t="s">
        <v>256</v>
      </c>
      <c r="B256" s="2" t="str">
        <f>IFERROR(__xludf.DUMMYFUNCTION("GOOGLETRANSLATE(A256, ""de"", ""en"")"),"a house")</f>
        <v>a house</v>
      </c>
    </row>
    <row r="257">
      <c r="A257" s="1" t="s">
        <v>257</v>
      </c>
      <c r="B257" s="2" t="str">
        <f>IFERROR(__xludf.DUMMYFUNCTION("GOOGLETRANSLATE(A257, ""de"", ""en"")"),"think")</f>
        <v>think</v>
      </c>
    </row>
    <row r="258">
      <c r="A258" s="1" t="s">
        <v>258</v>
      </c>
      <c r="B258" s="2" t="str">
        <f>IFERROR(__xludf.DUMMYFUNCTION("GOOGLETRANSLATE(A258, ""de"", ""en"")"),"many")</f>
        <v>many</v>
      </c>
    </row>
    <row r="259">
      <c r="A259" s="1" t="s">
        <v>259</v>
      </c>
      <c r="B259" s="2" t="str">
        <f>IFERROR(__xludf.DUMMYFUNCTION("GOOGLETRANSLATE(A259, ""de"", ""en"")"),"three")</f>
        <v>three</v>
      </c>
    </row>
    <row r="260">
      <c r="A260" s="1" t="s">
        <v>260</v>
      </c>
      <c r="B260" s="2" t="str">
        <f>IFERROR(__xludf.DUMMYFUNCTION("GOOGLETRANSLATE(A260, ""de"", ""en"")"),"yours")</f>
        <v>yours</v>
      </c>
    </row>
    <row r="261">
      <c r="A261" s="1" t="s">
        <v>261</v>
      </c>
      <c r="B261" s="2" t="str">
        <f>IFERROR(__xludf.DUMMYFUNCTION("GOOGLETRANSLATE(A261, ""de"", ""en"")"),"friend")</f>
        <v>friend</v>
      </c>
    </row>
    <row r="262">
      <c r="A262" s="1" t="s">
        <v>262</v>
      </c>
      <c r="B262" s="2" t="str">
        <f>IFERROR(__xludf.DUMMYFUNCTION("GOOGLETRANSLATE(A262, ""de"", ""en"")"),"good")</f>
        <v>good</v>
      </c>
    </row>
    <row r="263">
      <c r="A263" s="1" t="s">
        <v>263</v>
      </c>
      <c r="B263" s="2" t="str">
        <f>IFERROR(__xludf.DUMMYFUNCTION("GOOGLETRANSLATE(A263, ""de"", ""en"")"),"our")</f>
        <v>our</v>
      </c>
    </row>
    <row r="264">
      <c r="A264" s="1" t="s">
        <v>264</v>
      </c>
      <c r="B264" s="2" t="str">
        <f>IFERROR(__xludf.DUMMYFUNCTION("GOOGLETRANSLATE(A264, ""de"", ""en"")"),"wait")</f>
        <v>wait</v>
      </c>
    </row>
    <row r="265">
      <c r="A265" s="1" t="s">
        <v>265</v>
      </c>
      <c r="B265" s="2" t="str">
        <f>IFERROR(__xludf.DUMMYFUNCTION("GOOGLETRANSLATE(A265, ""de"", ""en"")"),"do")</f>
        <v>do</v>
      </c>
    </row>
    <row r="266">
      <c r="A266" s="1" t="s">
        <v>266</v>
      </c>
      <c r="B266" s="2" t="str">
        <f>IFERROR(__xludf.DUMMYFUNCTION("GOOGLETRANSLATE(A266, ""de"", ""en"")"),"people")</f>
        <v>people</v>
      </c>
    </row>
    <row r="267">
      <c r="A267" s="1" t="s">
        <v>267</v>
      </c>
      <c r="B267" s="2" t="str">
        <f>IFERROR(__xludf.DUMMYFUNCTION("GOOGLETRANSLATE(A267, ""de"", ""en"")"),"eat")</f>
        <v>eat</v>
      </c>
    </row>
    <row r="268">
      <c r="A268" s="1" t="s">
        <v>268</v>
      </c>
      <c r="B268" s="2" t="str">
        <f>IFERROR(__xludf.DUMMYFUNCTION("GOOGLETRANSLATE(A268, ""de"", ""en"")"),"fear")</f>
        <v>fear</v>
      </c>
    </row>
    <row r="269">
      <c r="A269" s="1" t="s">
        <v>269</v>
      </c>
      <c r="B269" s="2" t="str">
        <f>IFERROR(__xludf.DUMMYFUNCTION("GOOGLETRANSLATE(A269, ""de"", ""en"")"),"remain")</f>
        <v>remain</v>
      </c>
    </row>
    <row r="270">
      <c r="A270" s="1" t="s">
        <v>270</v>
      </c>
      <c r="B270" s="2" t="str">
        <f>IFERROR(__xludf.DUMMYFUNCTION("GOOGLETRANSLATE(A270, ""de"", ""en"")"),"together")</f>
        <v>together</v>
      </c>
    </row>
    <row r="271">
      <c r="A271" s="1" t="s">
        <v>271</v>
      </c>
      <c r="B271" s="2" t="str">
        <f>IFERROR(__xludf.DUMMYFUNCTION("GOOGLETRANSLATE(A271, ""de"", ""en"")"),"world")</f>
        <v>world</v>
      </c>
    </row>
    <row r="272">
      <c r="A272" s="1" t="s">
        <v>272</v>
      </c>
      <c r="B272" s="2" t="str">
        <f>IFERROR(__xludf.DUMMYFUNCTION("GOOGLETRANSLATE(A272, ""de"", ""en"")"),"under")</f>
        <v>under</v>
      </c>
    </row>
    <row r="273">
      <c r="A273" s="1" t="s">
        <v>273</v>
      </c>
      <c r="B273" s="2" t="str">
        <f>IFERROR(__xludf.DUMMYFUNCTION("GOOGLETRANSLATE(A273, ""de"", ""en"")"),"have")</f>
        <v>have</v>
      </c>
    </row>
    <row r="274">
      <c r="A274" s="1" t="s">
        <v>274</v>
      </c>
      <c r="B274" s="2" t="str">
        <f>IFERROR(__xludf.DUMMYFUNCTION("GOOGLETRANSLATE(A274, ""de"", ""en"")"),"fast")</f>
        <v>fast</v>
      </c>
    </row>
    <row r="275">
      <c r="A275" s="1" t="s">
        <v>275</v>
      </c>
      <c r="B275" s="2" t="str">
        <f>IFERROR(__xludf.DUMMYFUNCTION("GOOGLETRANSLATE(A275, ""de"", ""en"")"),"other")</f>
        <v>other</v>
      </c>
    </row>
    <row r="276">
      <c r="A276" s="1" t="s">
        <v>276</v>
      </c>
      <c r="B276" s="2" t="str">
        <f>IFERROR(__xludf.DUMMYFUNCTION("GOOGLETRANSLATE(A276, ""de"", ""en"")"),"dead")</f>
        <v>dead</v>
      </c>
    </row>
    <row r="277">
      <c r="A277" s="1" t="s">
        <v>277</v>
      </c>
      <c r="B277" s="2" t="str">
        <f>IFERROR(__xludf.DUMMYFUNCTION("GOOGLETRANSLATE(A277, ""de"", ""en"")"),"did")</f>
        <v>did</v>
      </c>
    </row>
    <row r="278">
      <c r="A278" s="1" t="s">
        <v>278</v>
      </c>
      <c r="B278" s="2" t="str">
        <f>IFERROR(__xludf.DUMMYFUNCTION("GOOGLETRANSLATE(A278, ""de"", ""en"")"),"may")</f>
        <v>may</v>
      </c>
    </row>
    <row r="279">
      <c r="A279" s="1" t="s">
        <v>279</v>
      </c>
      <c r="B279" s="2" t="str">
        <f>IFERROR(__xludf.DUMMYFUNCTION("GOOGLETRANSLATE(A279, ""de"", ""en"")"),"first")</f>
        <v>first</v>
      </c>
    </row>
    <row r="280">
      <c r="A280" s="1" t="s">
        <v>280</v>
      </c>
      <c r="B280" s="2" t="str">
        <f>IFERROR(__xludf.DUMMYFUNCTION("GOOGLETRANSLATE(A280, ""de"", ""en"")"),"pure")</f>
        <v>pure</v>
      </c>
    </row>
    <row r="281">
      <c r="A281" s="1" t="s">
        <v>281</v>
      </c>
      <c r="B281" s="2" t="str">
        <f>IFERROR(__xludf.DUMMYFUNCTION("GOOGLETRANSLATE(A281, ""de"", ""en"")"),"true")</f>
        <v>true</v>
      </c>
    </row>
    <row r="282">
      <c r="A282" s="1" t="s">
        <v>282</v>
      </c>
      <c r="B282" s="2" t="str">
        <f>IFERROR(__xludf.DUMMYFUNCTION("GOOGLETRANSLATE(A282, ""de"", ""en"")"),"take")</f>
        <v>take</v>
      </c>
    </row>
    <row r="283">
      <c r="A283" s="1" t="s">
        <v>283</v>
      </c>
      <c r="B283" s="2" t="str">
        <f>IFERROR(__xludf.DUMMYFUNCTION("GOOGLETRANSLATE(A283, ""de"", ""en"")"),"children")</f>
        <v>children</v>
      </c>
    </row>
    <row r="284">
      <c r="A284" s="1" t="s">
        <v>284</v>
      </c>
      <c r="B284" s="2" t="str">
        <f>IFERROR(__xludf.DUMMYFUNCTION("GOOGLETRANSLATE(A284, ""de"", ""en"")"),"one")</f>
        <v>one</v>
      </c>
    </row>
    <row r="285">
      <c r="A285" s="1" t="s">
        <v>285</v>
      </c>
      <c r="B285" s="2" t="str">
        <f>IFERROR(__xludf.DUMMYFUNCTION("GOOGLETRANSLATE(A285, ""de"", ""en"")"),"believe")</f>
        <v>believe</v>
      </c>
    </row>
    <row r="286">
      <c r="A286" s="1" t="s">
        <v>286</v>
      </c>
      <c r="B286" s="2" t="str">
        <f>IFERROR(__xludf.DUMMYFUNCTION("GOOGLETRANSLATE(A286, ""de"", ""en"")"),"bring")</f>
        <v>bring</v>
      </c>
    </row>
    <row r="287">
      <c r="A287" s="1" t="s">
        <v>287</v>
      </c>
      <c r="B287" s="2" t="str">
        <f>IFERROR(__xludf.DUMMYFUNCTION("GOOGLETRANSLATE(A287, ""de"", ""en"")"),"whole")</f>
        <v>whole</v>
      </c>
    </row>
    <row r="288">
      <c r="A288" s="1" t="s">
        <v>288</v>
      </c>
      <c r="B288" s="2" t="str">
        <f>IFERROR(__xludf.DUMMYFUNCTION("GOOGLETRANSLATE(A288, ""de"", ""en"")"),"enough")</f>
        <v>enough</v>
      </c>
    </row>
    <row r="289">
      <c r="A289" s="1" t="s">
        <v>289</v>
      </c>
      <c r="B289" s="2" t="str">
        <f>IFERROR(__xludf.DUMMYFUNCTION("GOOGLETRANSLATE(A289, ""de"", ""en"")"),"shit")</f>
        <v>shit</v>
      </c>
    </row>
    <row r="290">
      <c r="A290" s="1" t="s">
        <v>290</v>
      </c>
      <c r="B290" s="2" t="str">
        <f>IFERROR(__xludf.DUMMYFUNCTION("GOOGLETRANSLATE(A290, ""de"", ""en"")"),"need")</f>
        <v>need</v>
      </c>
    </row>
    <row r="291">
      <c r="A291" s="1" t="s">
        <v>291</v>
      </c>
      <c r="B291" s="2" t="str">
        <f>IFERROR(__xludf.DUMMYFUNCTION("GOOGLETRANSLATE(A291, ""de"", ""en"")"),"against")</f>
        <v>against</v>
      </c>
    </row>
    <row r="292">
      <c r="A292" s="1" t="s">
        <v>292</v>
      </c>
      <c r="B292" s="2" t="str">
        <f>IFERROR(__xludf.DUMMYFUNCTION("GOOGLETRANSLATE(A292, ""de"", ""en"")"),"moment")</f>
        <v>moment</v>
      </c>
    </row>
    <row r="293">
      <c r="A293" s="1" t="s">
        <v>293</v>
      </c>
      <c r="B293" s="2" t="str">
        <f>IFERROR(__xludf.DUMMYFUNCTION("GOOGLETRANSLATE(A293, ""de"", ""en"")"),"boy")</f>
        <v>boy</v>
      </c>
    </row>
    <row r="294">
      <c r="A294" s="1" t="s">
        <v>294</v>
      </c>
      <c r="B294" s="2" t="str">
        <f>IFERROR(__xludf.DUMMYFUNCTION("GOOGLETRANSLATE(A294, ""de"", ""en"")"),"stands")</f>
        <v>stands</v>
      </c>
    </row>
    <row r="295">
      <c r="A295" s="1" t="s">
        <v>295</v>
      </c>
      <c r="B295" s="2" t="str">
        <f>IFERROR(__xludf.DUMMYFUNCTION("GOOGLETRANSLATE(A295, ""de"", ""en"")"),"otherwise")</f>
        <v>otherwise</v>
      </c>
    </row>
    <row r="296">
      <c r="A296" s="1" t="s">
        <v>296</v>
      </c>
      <c r="B296" s="2" t="str">
        <f>IFERROR(__xludf.DUMMYFUNCTION("GOOGLETRANSLATE(A296, ""de"", ""en"")"),"music")</f>
        <v>music</v>
      </c>
    </row>
    <row r="297">
      <c r="A297" s="1" t="s">
        <v>297</v>
      </c>
      <c r="B297" s="2" t="str">
        <f>IFERROR(__xludf.DUMMYFUNCTION("GOOGLETRANSLATE(A297, ""de"", ""en"")"),"work")</f>
        <v>work</v>
      </c>
    </row>
    <row r="298">
      <c r="A298" s="1" t="s">
        <v>298</v>
      </c>
      <c r="B298" s="2" t="str">
        <f>IFERROR(__xludf.DUMMYFUNCTION("GOOGLETRANSLATE(A298, ""de"", ""en"")"),"are")</f>
        <v>are</v>
      </c>
    </row>
    <row r="299">
      <c r="A299" s="1" t="s">
        <v>299</v>
      </c>
      <c r="B299" s="2" t="str">
        <f>IFERROR(__xludf.DUMMYFUNCTION("GOOGLETRANSLATE(A299, ""de"", ""en"")"),"theirs")</f>
        <v>theirs</v>
      </c>
    </row>
    <row r="300">
      <c r="A300" s="1" t="s">
        <v>300</v>
      </c>
      <c r="B300" s="2" t="str">
        <f>IFERROR(__xludf.DUMMYFUNCTION("GOOGLETRANSLATE(A300, ""de"", ""en"")"),"questions")</f>
        <v>questions</v>
      </c>
    </row>
    <row r="301">
      <c r="A301" s="1" t="s">
        <v>301</v>
      </c>
      <c r="B301" s="2" t="str">
        <f>IFERROR(__xludf.DUMMYFUNCTION("GOOGLETRANSLATE(A301, ""de"", ""en"")"),"Mr")</f>
        <v>Mr</v>
      </c>
    </row>
    <row r="302">
      <c r="A302" s="1" t="s">
        <v>302</v>
      </c>
      <c r="B302" s="2" t="str">
        <f>IFERROR(__xludf.DUMMYFUNCTION("GOOGLETRANSLATE(A302, ""de"", ""en"")"),"included")</f>
        <v>included</v>
      </c>
    </row>
    <row r="303">
      <c r="A303" s="1" t="s">
        <v>303</v>
      </c>
      <c r="B303" s="2" t="str">
        <f>IFERROR(__xludf.DUMMYFUNCTION("GOOGLETRANSLATE(A303, ""de"", ""en"")"),"is called")</f>
        <v>is called</v>
      </c>
    </row>
    <row r="304">
      <c r="A304" s="1" t="s">
        <v>304</v>
      </c>
      <c r="B304" s="2" t="str">
        <f>IFERROR(__xludf.DUMMYFUNCTION("GOOGLETRANSLATE(A304, ""de"", ""en"")"),"family")</f>
        <v>family</v>
      </c>
    </row>
    <row r="305">
      <c r="A305" s="1" t="s">
        <v>305</v>
      </c>
      <c r="B305" s="2" t="str">
        <f>IFERROR(__xludf.DUMMYFUNCTION("GOOGLETRANSLATE(A305, ""de"", ""en"")"),"wait")</f>
        <v>wait</v>
      </c>
    </row>
    <row r="306">
      <c r="A306" s="1" t="s">
        <v>306</v>
      </c>
      <c r="B306" s="2" t="str">
        <f>IFERROR(__xludf.DUMMYFUNCTION("GOOGLETRANSLATE(A306, ""de"", ""en"")"),"no one")</f>
        <v>no one</v>
      </c>
    </row>
    <row r="307">
      <c r="A307" s="1" t="s">
        <v>307</v>
      </c>
      <c r="B307" s="2" t="str">
        <f>IFERROR(__xludf.DUMMYFUNCTION("GOOGLETRANSLATE(A307, ""de"", ""en"")"),"immediately")</f>
        <v>immediately</v>
      </c>
    </row>
    <row r="308">
      <c r="A308" s="1" t="s">
        <v>308</v>
      </c>
      <c r="B308" s="2" t="str">
        <f>IFERROR(__xludf.DUMMYFUNCTION("GOOGLETRANSLATE(A308, ""de"", ""en"")"),"before")</f>
        <v>before</v>
      </c>
    </row>
    <row r="309">
      <c r="A309" s="1" t="s">
        <v>309</v>
      </c>
      <c r="B309" s="2" t="str">
        <f>IFERROR(__xludf.DUMMYFUNCTION("GOOGLETRANSLATE(A309, ""de"", ""en"")"),"years")</f>
        <v>years</v>
      </c>
    </row>
    <row r="310">
      <c r="A310" s="1" t="s">
        <v>310</v>
      </c>
      <c r="B310" s="2" t="str">
        <f>IFERROR(__xludf.DUMMYFUNCTION("GOOGLETRANSLATE(A310, ""de"", ""en"")"),"once")</f>
        <v>once</v>
      </c>
    </row>
    <row r="311">
      <c r="A311" s="1" t="s">
        <v>311</v>
      </c>
      <c r="B311" s="2" t="str">
        <f>IFERROR(__xludf.DUMMYFUNCTION("GOOGLETRANSLATE(A311, ""de"", ""en"")"),"problem")</f>
        <v>problem</v>
      </c>
    </row>
    <row r="312">
      <c r="A312" s="1" t="s">
        <v>312</v>
      </c>
      <c r="B312" s="2" t="str">
        <f>IFERROR(__xludf.DUMMYFUNCTION("GOOGLETRANSLATE(A312, ""de"", ""en"")"),"son")</f>
        <v>son</v>
      </c>
    </row>
    <row r="313">
      <c r="A313" s="1" t="s">
        <v>313</v>
      </c>
      <c r="B313" s="2" t="str">
        <f>IFERROR(__xludf.DUMMYFUNCTION("GOOGLETRANSLATE(A313, ""de"", ""en"")"),"When")</f>
        <v>When</v>
      </c>
    </row>
    <row r="314">
      <c r="A314" s="1" t="s">
        <v>314</v>
      </c>
      <c r="B314" s="2" t="str">
        <f>IFERROR(__xludf.DUMMYFUNCTION("GOOGLETRANSLATE(A314, ""de"", ""en"")"),"need")</f>
        <v>need</v>
      </c>
    </row>
    <row r="315">
      <c r="A315" s="1" t="s">
        <v>315</v>
      </c>
      <c r="B315" s="2" t="str">
        <f>IFERROR(__xludf.DUMMYFUNCTION("GOOGLETRANSLATE(A315, ""de"", ""en"")"),"complete")</f>
        <v>complete</v>
      </c>
    </row>
    <row r="316">
      <c r="A316" s="1" t="s">
        <v>316</v>
      </c>
      <c r="B316" s="2" t="str">
        <f>IFERROR(__xludf.DUMMYFUNCTION("GOOGLETRANSLATE(A316, ""de"", ""en"")"),"stop")</f>
        <v>stop</v>
      </c>
    </row>
    <row r="317">
      <c r="A317" s="1" t="s">
        <v>317</v>
      </c>
      <c r="B317" s="2" t="str">
        <f>IFERROR(__xludf.DUMMYFUNCTION("GOOGLETRANSLATE(A317, ""de"", ""en"")"),"alone")</f>
        <v>alone</v>
      </c>
    </row>
    <row r="318">
      <c r="A318" s="1" t="s">
        <v>318</v>
      </c>
      <c r="B318" s="2" t="str">
        <f>IFERROR(__xludf.DUMMYFUNCTION("GOOGLETRANSLATE(A318, ""de"", ""en"")"),"at the")</f>
        <v>at the</v>
      </c>
    </row>
    <row r="319">
      <c r="A319" s="1" t="s">
        <v>319</v>
      </c>
      <c r="B319" s="2" t="str">
        <f>IFERROR(__xludf.DUMMYFUNCTION("GOOGLETRANSLATE(A319, ""de"", ""en"")"),"speak")</f>
        <v>speak</v>
      </c>
    </row>
    <row r="320">
      <c r="A320" s="1" t="s">
        <v>320</v>
      </c>
      <c r="B320" s="2" t="str">
        <f>IFERROR(__xludf.DUMMYFUNCTION("GOOGLETRANSLATE(A320, ""de"", ""en"")"),"both")</f>
        <v>both</v>
      </c>
    </row>
    <row r="321">
      <c r="A321" s="1" t="s">
        <v>321</v>
      </c>
      <c r="B321" s="2" t="str">
        <f>IFERROR(__xludf.DUMMYFUNCTION("GOOGLETRANSLATE(A321, ""de"", ""en"")"),"found")</f>
        <v>found</v>
      </c>
    </row>
    <row r="322">
      <c r="A322" s="1" t="s">
        <v>322</v>
      </c>
      <c r="B322" s="2" t="str">
        <f>IFERROR(__xludf.DUMMYFUNCTION("GOOGLETRANSLATE(A322, ""de"", ""en"")"),"had")</f>
        <v>had</v>
      </c>
    </row>
    <row r="323">
      <c r="A323" s="1" t="s">
        <v>323</v>
      </c>
      <c r="B323" s="2" t="str">
        <f>IFERROR(__xludf.DUMMYFUNCTION("GOOGLETRANSLATE(A323, ""de"", ""en"")"),"matter")</f>
        <v>matter</v>
      </c>
    </row>
    <row r="324">
      <c r="A324" s="1" t="s">
        <v>324</v>
      </c>
      <c r="B324" s="2" t="str">
        <f>IFERROR(__xludf.DUMMYFUNCTION("GOOGLETRANSLATE(A324, ""de"", ""en"")"),"help")</f>
        <v>help</v>
      </c>
    </row>
    <row r="325">
      <c r="A325" s="1" t="s">
        <v>325</v>
      </c>
      <c r="B325" s="2" t="str">
        <f>IFERROR(__xludf.DUMMYFUNCTION("GOOGLETRANSLATE(A325, ""de"", ""en"")"),"damned")</f>
        <v>damned</v>
      </c>
    </row>
    <row r="326">
      <c r="A326" s="1" t="s">
        <v>326</v>
      </c>
      <c r="B326" s="2" t="str">
        <f>IFERROR(__xludf.DUMMYFUNCTION("GOOGLETRANSLATE(A326, ""de"", ""en"")"),"no")</f>
        <v>no</v>
      </c>
    </row>
    <row r="327">
      <c r="A327" s="1" t="s">
        <v>327</v>
      </c>
      <c r="B327" s="2" t="str">
        <f>IFERROR(__xludf.DUMMYFUNCTION("GOOGLETRANSLATE(A327, ""de"", ""en"")"),"everyone")</f>
        <v>everyone</v>
      </c>
    </row>
    <row r="328">
      <c r="A328" s="1" t="s">
        <v>328</v>
      </c>
      <c r="B328" s="2" t="str">
        <f>IFERROR(__xludf.DUMMYFUNCTION("GOOGLETRANSLATE(A328, ""de"", ""en"")"),"were")</f>
        <v>were</v>
      </c>
    </row>
    <row r="329">
      <c r="A329" s="1" t="s">
        <v>329</v>
      </c>
      <c r="B329" s="2" t="str">
        <f>IFERROR(__xludf.DUMMYFUNCTION("GOOGLETRANSLATE(A329, ""de"", ""en"")"),"gladly")</f>
        <v>gladly</v>
      </c>
    </row>
    <row r="330">
      <c r="A330" s="1" t="s">
        <v>330</v>
      </c>
      <c r="B330" s="2" t="str">
        <f>IFERROR(__xludf.DUMMYFUNCTION("GOOGLETRANSLATE(A330, ""de"", ""en"")"),"could")</f>
        <v>could</v>
      </c>
    </row>
    <row r="331">
      <c r="A331" s="1" t="s">
        <v>331</v>
      </c>
      <c r="B331" s="2" t="str">
        <f>IFERROR(__xludf.DUMMYFUNCTION("GOOGLETRANSLATE(A331, ""de"", ""en"")"),"about it")</f>
        <v>about it</v>
      </c>
    </row>
    <row r="332">
      <c r="A332" s="1" t="s">
        <v>332</v>
      </c>
      <c r="B332" s="2" t="str">
        <f>IFERROR(__xludf.DUMMYFUNCTION("GOOGLETRANSLATE(A332, ""de"", ""en"")"),"hold")</f>
        <v>hold</v>
      </c>
    </row>
    <row r="333">
      <c r="A333" s="1" t="s">
        <v>333</v>
      </c>
      <c r="B333" s="2" t="str">
        <f>IFERROR(__xludf.DUMMYFUNCTION("GOOGLETRANSLATE(A333, ""de"", ""en"")"),"see")</f>
        <v>see</v>
      </c>
    </row>
    <row r="334">
      <c r="A334" s="1" t="s">
        <v>334</v>
      </c>
      <c r="B334" s="2" t="str">
        <f>IFERROR(__xludf.DUMMYFUNCTION("GOOGLETRANSLATE(A334, ""de"", ""en"")"),"understand")</f>
        <v>understand</v>
      </c>
    </row>
    <row r="335">
      <c r="A335" s="1" t="s">
        <v>335</v>
      </c>
      <c r="B335" s="2" t="str">
        <f>IFERROR(__xludf.DUMMYFUNCTION("GOOGLETRANSLATE(A335, ""de"", ""en"")"),"years")</f>
        <v>years</v>
      </c>
    </row>
    <row r="336">
      <c r="A336" s="1" t="s">
        <v>336</v>
      </c>
      <c r="B336" s="2" t="str">
        <f>IFERROR(__xludf.DUMMYFUNCTION("GOOGLETRANSLATE(A336, ""de"", ""en"")"),"came")</f>
        <v>came</v>
      </c>
    </row>
    <row r="337">
      <c r="A337" s="1" t="s">
        <v>337</v>
      </c>
      <c r="B337" s="2" t="str">
        <f>IFERROR(__xludf.DUMMYFUNCTION("GOOGLETRANSLATE(A337, ""de"", ""en"")"),"child")</f>
        <v>child</v>
      </c>
    </row>
    <row r="338">
      <c r="A338" s="1" t="s">
        <v>338</v>
      </c>
      <c r="B338" s="2" t="str">
        <f>IFERROR(__xludf.DUMMYFUNCTION("GOOGLETRANSLATE(A338, ""de"", ""en"")"),"knew")</f>
        <v>knew</v>
      </c>
    </row>
    <row r="339">
      <c r="A339" s="1" t="s">
        <v>339</v>
      </c>
      <c r="B339" s="2" t="str">
        <f>IFERROR(__xludf.DUMMYFUNCTION("GOOGLETRANSLATE(A339, ""de"", ""en"")"),"true")</f>
        <v>true</v>
      </c>
    </row>
    <row r="340">
      <c r="A340" s="1" t="s">
        <v>340</v>
      </c>
      <c r="B340" s="2" t="str">
        <f>IFERROR(__xludf.DUMMYFUNCTION("GOOGLETRANSLATE(A340, ""de"", ""en"")"),"his")</f>
        <v>his</v>
      </c>
    </row>
    <row r="341">
      <c r="A341" s="1" t="s">
        <v>341</v>
      </c>
      <c r="B341" s="2" t="str">
        <f>IFERROR(__xludf.DUMMYFUNCTION("GOOGLETRANSLATE(A341, ""de"", ""en"")"),"in addition")</f>
        <v>in addition</v>
      </c>
    </row>
    <row r="342">
      <c r="A342" s="1" t="s">
        <v>342</v>
      </c>
      <c r="B342" s="2" t="str">
        <f>IFERROR(__xludf.DUMMYFUNCTION("GOOGLETRANSLATE(A342, ""de"", ""en"")"),"brother")</f>
        <v>brother</v>
      </c>
    </row>
    <row r="343">
      <c r="A343" s="1" t="s">
        <v>343</v>
      </c>
      <c r="B343" s="2" t="str">
        <f>IFERROR(__xludf.DUMMYFUNCTION("GOOGLETRANSLATE(A343, ""de"", ""en"")"),"to it")</f>
        <v>to it</v>
      </c>
    </row>
    <row r="344">
      <c r="A344" s="1" t="s">
        <v>344</v>
      </c>
      <c r="B344" s="2" t="str">
        <f>IFERROR(__xludf.DUMMYFUNCTION("GOOGLETRANSLATE(A344, ""de"", ""en"")"),"theirs")</f>
        <v>theirs</v>
      </c>
    </row>
    <row r="345">
      <c r="A345" s="1" t="s">
        <v>345</v>
      </c>
      <c r="B345" s="2" t="str">
        <f>IFERROR(__xludf.DUMMYFUNCTION("GOOGLETRANSLATE(A345, ""de"", ""en"")"),"think")</f>
        <v>think</v>
      </c>
    </row>
    <row r="346">
      <c r="A346" s="1" t="s">
        <v>346</v>
      </c>
      <c r="B346" s="2" t="str">
        <f>IFERROR(__xludf.DUMMYFUNCTION("GOOGLETRANSLATE(A346, ""de"", ""en"")"),"could")</f>
        <v>could</v>
      </c>
    </row>
    <row r="347">
      <c r="A347" s="1" t="s">
        <v>347</v>
      </c>
      <c r="B347" s="2" t="str">
        <f>IFERROR(__xludf.DUMMYFUNCTION("GOOGLETRANSLATE(A347, ""de"", ""en"")"),"thanks to")</f>
        <v>thanks to</v>
      </c>
    </row>
    <row r="348">
      <c r="A348" s="1" t="s">
        <v>348</v>
      </c>
      <c r="B348" s="2" t="str">
        <f>IFERROR(__xludf.DUMMYFUNCTION("GOOGLETRANSLATE(A348, ""de"", ""en"")"),"would")</f>
        <v>would</v>
      </c>
    </row>
    <row r="349">
      <c r="A349" s="1" t="s">
        <v>349</v>
      </c>
      <c r="B349" s="2" t="str">
        <f>IFERROR(__xludf.DUMMYFUNCTION("GOOGLETRANSLATE(A349, ""de"", ""en"")"),"Dear")</f>
        <v>Dear</v>
      </c>
    </row>
    <row r="350">
      <c r="A350" s="1" t="s">
        <v>350</v>
      </c>
      <c r="B350" s="2" t="str">
        <f>IFERROR(__xludf.DUMMYFUNCTION("GOOGLETRANSLATE(A350, ""de"", ""en"")"),"case")</f>
        <v>case</v>
      </c>
    </row>
    <row r="351">
      <c r="A351" s="1" t="s">
        <v>351</v>
      </c>
      <c r="B351" s="2" t="str">
        <f>IFERROR(__xludf.DUMMYFUNCTION("GOOGLETRANSLATE(A351, ""de"", ""en"")"),"yours")</f>
        <v>yours</v>
      </c>
    </row>
    <row r="352">
      <c r="A352" s="1" t="s">
        <v>352</v>
      </c>
      <c r="B352" s="2" t="str">
        <f>IFERROR(__xludf.DUMMYFUNCTION("GOOGLETRANSLATE(A352, ""de"", ""en"")"),"see")</f>
        <v>see</v>
      </c>
    </row>
    <row r="353">
      <c r="A353" s="1" t="s">
        <v>353</v>
      </c>
      <c r="B353" s="2" t="str">
        <f>IFERROR(__xludf.DUMMYFUNCTION("GOOGLETRANSLATE(A353, ""de"", ""en"")"),"doesn't matter")</f>
        <v>doesn't matter</v>
      </c>
    </row>
    <row r="354">
      <c r="A354" s="1" t="s">
        <v>354</v>
      </c>
      <c r="B354" s="2" t="str">
        <f>IFERROR(__xludf.DUMMYFUNCTION("GOOGLETRANSLATE(A354, ""de"", ""en"")"),"know")</f>
        <v>know</v>
      </c>
    </row>
    <row r="355">
      <c r="A355" s="1" t="s">
        <v>355</v>
      </c>
      <c r="B355" s="2" t="str">
        <f>IFERROR(__xludf.DUMMYFUNCTION("GOOGLETRANSLATE(A355, ""de"", ""en"")"),"yours")</f>
        <v>yours</v>
      </c>
    </row>
    <row r="356">
      <c r="A356" s="1" t="s">
        <v>356</v>
      </c>
      <c r="B356" s="2" t="str">
        <f>IFERROR(__xludf.DUMMYFUNCTION("GOOGLETRANSLATE(A356, ""de"", ""en"")"),"forget")</f>
        <v>forget</v>
      </c>
    </row>
    <row r="357">
      <c r="A357" s="1" t="s">
        <v>357</v>
      </c>
      <c r="B357" s="2" t="str">
        <f>IFERROR(__xludf.DUMMYFUNCTION("GOOGLETRANSLATE(A357, ""de"", ""en"")"),"ask")</f>
        <v>ask</v>
      </c>
    </row>
    <row r="358">
      <c r="A358" s="1" t="s">
        <v>358</v>
      </c>
      <c r="B358" s="2" t="str">
        <f>IFERROR(__xludf.DUMMYFUNCTION("GOOGLETRANSLATE(A358, ""de"", ""en"")"),"make")</f>
        <v>make</v>
      </c>
    </row>
    <row r="359">
      <c r="A359" s="1" t="s">
        <v>359</v>
      </c>
      <c r="B359" s="2" t="str">
        <f>IFERROR(__xludf.DUMMYFUNCTION("GOOGLETRANSLATE(A359, ""de"", ""en"")"),"come")</f>
        <v>come</v>
      </c>
    </row>
    <row r="360">
      <c r="A360" s="1" t="s">
        <v>360</v>
      </c>
      <c r="B360" s="2" t="str">
        <f>IFERROR(__xludf.DUMMYFUNCTION("GOOGLETRANSLATE(A360, ""de"", ""en"")"),"saw")</f>
        <v>saw</v>
      </c>
    </row>
    <row r="361">
      <c r="A361" s="1" t="s">
        <v>361</v>
      </c>
      <c r="B361" s="2" t="str">
        <f>IFERROR(__xludf.DUMMYFUNCTION("GOOGLETRANSLATE(A361, ""de"", ""en"")"),"likes")</f>
        <v>likes</v>
      </c>
    </row>
    <row r="362">
      <c r="A362" s="1" t="s">
        <v>362</v>
      </c>
      <c r="B362" s="2" t="str">
        <f>IFERROR(__xludf.DUMMYFUNCTION("GOOGLETRANSLATE(A362, ""de"", ""en"")"),"see")</f>
        <v>see</v>
      </c>
    </row>
    <row r="363">
      <c r="A363" s="1" t="s">
        <v>363</v>
      </c>
      <c r="B363" s="2" t="str">
        <f>IFERROR(__xludf.DUMMYFUNCTION("GOOGLETRANSLATE(A363, ""de"", ""en"")"),"real")</f>
        <v>real</v>
      </c>
    </row>
    <row r="364">
      <c r="A364" s="1" t="s">
        <v>364</v>
      </c>
      <c r="B364" s="2" t="str">
        <f>IFERROR(__xludf.DUMMYFUNCTION("GOOGLETRANSLATE(A364, ""de"", ""en"")"),"give")</f>
        <v>give</v>
      </c>
    </row>
    <row r="365">
      <c r="A365" s="1" t="s">
        <v>365</v>
      </c>
      <c r="B365" s="2" t="str">
        <f>IFERROR(__xludf.DUMMYFUNCTION("GOOGLETRANSLATE(A365, ""de"", ""en"")"),"actually")</f>
        <v>actually</v>
      </c>
    </row>
    <row r="366">
      <c r="A366" s="1" t="s">
        <v>366</v>
      </c>
      <c r="B366" s="2" t="str">
        <f>IFERROR(__xludf.DUMMYFUNCTION("GOOGLETRANSLATE(A366, ""de"", ""en"")"),"every")</f>
        <v>every</v>
      </c>
    </row>
    <row r="367">
      <c r="A367" s="1" t="s">
        <v>367</v>
      </c>
      <c r="B367" s="2" t="str">
        <f>IFERROR(__xludf.DUMMYFUNCTION("GOOGLETRANSLATE(A367, ""de"", ""en"")"),"dad")</f>
        <v>dad</v>
      </c>
    </row>
    <row r="368">
      <c r="A368" s="1" t="s">
        <v>368</v>
      </c>
      <c r="B368" s="2" t="str">
        <f>IFERROR(__xludf.DUMMYFUNCTION("GOOGLETRANSLATE(A368, ""de"", ""en"")"),"gave")</f>
        <v>gave</v>
      </c>
    </row>
    <row r="369">
      <c r="A369" s="1" t="s">
        <v>369</v>
      </c>
      <c r="B369" s="2" t="str">
        <f>IFERROR(__xludf.DUMMYFUNCTION("GOOGLETRANSLATE(A369, ""de"", ""en"")"),"clock")</f>
        <v>clock</v>
      </c>
    </row>
    <row r="370">
      <c r="A370" s="1" t="s">
        <v>370</v>
      </c>
      <c r="B370" s="2" t="str">
        <f>IFERROR(__xludf.DUMMYFUNCTION("GOOGLETRANSLATE(A370, ""de"", ""en"")"),"city")</f>
        <v>city</v>
      </c>
    </row>
    <row r="371">
      <c r="A371" s="1" t="s">
        <v>371</v>
      </c>
      <c r="B371" s="2" t="str">
        <f>IFERROR(__xludf.DUMMYFUNCTION("GOOGLETRANSLATE(A371, ""de"", ""en"")"),"men")</f>
        <v>men</v>
      </c>
    </row>
    <row r="372">
      <c r="A372" s="1" t="s">
        <v>372</v>
      </c>
      <c r="B372" s="2" t="str">
        <f>IFERROR(__xludf.DUMMYFUNCTION("GOOGLETRANSLATE(A372, ""de"", ""en"")"),"baby")</f>
        <v>baby</v>
      </c>
    </row>
    <row r="373">
      <c r="A373" s="1" t="s">
        <v>373</v>
      </c>
      <c r="B373" s="2" t="str">
        <f>IFERROR(__xludf.DUMMYFUNCTION("GOOGLETRANSLATE(A373, ""de"", ""en"")"),"drive")</f>
        <v>drive</v>
      </c>
    </row>
    <row r="374">
      <c r="A374" s="1" t="s">
        <v>374</v>
      </c>
      <c r="B374" s="2" t="str">
        <f>IFERROR(__xludf.DUMMYFUNCTION("GOOGLETRANSLATE(A374, ""de"", ""en"")"),"names")</f>
        <v>names</v>
      </c>
    </row>
    <row r="375">
      <c r="A375" s="1" t="s">
        <v>375</v>
      </c>
      <c r="B375" s="2" t="str">
        <f>IFERROR(__xludf.DUMMYFUNCTION("GOOGLETRANSLATE(A375, ""de"", ""en"")"),"receive")</f>
        <v>receive</v>
      </c>
    </row>
    <row r="376">
      <c r="A376" s="1" t="s">
        <v>376</v>
      </c>
      <c r="B376" s="2" t="str">
        <f>IFERROR(__xludf.DUMMYFUNCTION("GOOGLETRANSLATE(A376, ""de"", ""en"")"),"head")</f>
        <v>head</v>
      </c>
    </row>
    <row r="377">
      <c r="A377" s="1" t="s">
        <v>377</v>
      </c>
      <c r="B377" s="2" t="str">
        <f>IFERROR(__xludf.DUMMYFUNCTION("GOOGLETRANSLATE(A377, ""de"", ""en"")"),"hi")</f>
        <v>hi</v>
      </c>
    </row>
    <row r="378">
      <c r="A378" s="1" t="s">
        <v>378</v>
      </c>
      <c r="B378" s="2" t="str">
        <f>IFERROR(__xludf.DUMMYFUNCTION("GOOGLETRANSLATE(A378, ""de"", ""en"")"),"go")</f>
        <v>go</v>
      </c>
    </row>
    <row r="379">
      <c r="A379" s="1" t="s">
        <v>379</v>
      </c>
      <c r="B379" s="2" t="str">
        <f>IFERROR(__xludf.DUMMYFUNCTION("GOOGLETRANSLATE(A379, ""de"", ""en"")"),"small")</f>
        <v>small</v>
      </c>
    </row>
    <row r="380">
      <c r="A380" s="1" t="s">
        <v>380</v>
      </c>
      <c r="B380" s="2" t="str">
        <f>IFERROR(__xludf.DUMMYFUNCTION("GOOGLETRANSLATE(A380, ""de"", ""en"")"),"later")</f>
        <v>later</v>
      </c>
    </row>
    <row r="381">
      <c r="A381" s="1" t="s">
        <v>381</v>
      </c>
      <c r="B381" s="2" t="str">
        <f>IFERROR(__xludf.DUMMYFUNCTION("GOOGLETRANSLATE(A381, ""de"", ""en"")"),"happiness")</f>
        <v>happiness</v>
      </c>
    </row>
    <row r="382">
      <c r="A382" s="1" t="s">
        <v>382</v>
      </c>
      <c r="B382" s="2" t="str">
        <f>IFERROR(__xludf.DUMMYFUNCTION("GOOGLETRANSLATE(A382, ""de"", ""en"")"),"last")</f>
        <v>last</v>
      </c>
    </row>
    <row r="383">
      <c r="A383" s="1" t="s">
        <v>383</v>
      </c>
      <c r="B383" s="2" t="str">
        <f>IFERROR(__xludf.DUMMYFUNCTION("GOOGLETRANSLATE(A383, ""de"", ""en"")"),"friends")</f>
        <v>friends</v>
      </c>
    </row>
    <row r="384">
      <c r="A384" s="1" t="s">
        <v>384</v>
      </c>
      <c r="B384" s="2" t="str">
        <f>IFERROR(__xludf.DUMMYFUNCTION("GOOGLETRANSLATE(A384, ""de"", ""en"")"),"n")</f>
        <v>n</v>
      </c>
    </row>
    <row r="385">
      <c r="A385" s="1" t="s">
        <v>385</v>
      </c>
      <c r="B385" s="2" t="str">
        <f>IFERROR(__xludf.DUMMYFUNCTION("GOOGLETRANSLATE(A385, ""de"", ""en"")"),"all")</f>
        <v>all</v>
      </c>
    </row>
    <row r="386">
      <c r="A386" s="1" t="s">
        <v>386</v>
      </c>
      <c r="B386" s="2" t="str">
        <f>IFERROR(__xludf.DUMMYFUNCTION("GOOGLETRANSLATE(A386, ""de"", ""en"")"),"on it")</f>
        <v>on it</v>
      </c>
    </row>
    <row r="387">
      <c r="A387" s="1" t="s">
        <v>387</v>
      </c>
      <c r="B387" s="2" t="str">
        <f>IFERROR(__xludf.DUMMYFUNCTION("GOOGLETRANSLATE(A387, ""de"", ""en"")"),"end")</f>
        <v>end</v>
      </c>
    </row>
    <row r="388">
      <c r="A388" s="1" t="s">
        <v>388</v>
      </c>
      <c r="B388" s="2" t="str">
        <f>IFERROR(__xludf.DUMMYFUNCTION("GOOGLETRANSLATE(A388, ""de"", ""en"")"),"dr.")</f>
        <v>dr.</v>
      </c>
    </row>
    <row r="389">
      <c r="A389" s="1" t="s">
        <v>389</v>
      </c>
      <c r="B389" s="2" t="str">
        <f>IFERROR(__xludf.DUMMYFUNCTION("GOOGLETRANSLATE(A389, ""de"", ""en"")"),"soon")</f>
        <v>soon</v>
      </c>
    </row>
    <row r="390">
      <c r="A390" s="1" t="s">
        <v>390</v>
      </c>
      <c r="B390" s="2" t="str">
        <f>IFERROR(__xludf.DUMMYFUNCTION("GOOGLETRANSLATE(A390, ""de"", ""en"")"),"kill")</f>
        <v>kill</v>
      </c>
    </row>
    <row r="391">
      <c r="A391" s="1" t="s">
        <v>391</v>
      </c>
      <c r="B391" s="2" t="str">
        <f>IFERROR(__xludf.DUMMYFUNCTION("GOOGLETRANSLATE(A391, ""de"", ""en"")"),"things")</f>
        <v>things</v>
      </c>
    </row>
    <row r="392">
      <c r="A392" s="1" t="s">
        <v>392</v>
      </c>
      <c r="B392" s="2" t="str">
        <f>IFERROR(__xludf.DUMMYFUNCTION("GOOGLETRANSLATE(A392, ""de"", ""en"")"),"mean")</f>
        <v>mean</v>
      </c>
    </row>
    <row r="393">
      <c r="A393" s="1" t="s">
        <v>393</v>
      </c>
      <c r="B393" s="2" t="str">
        <f>IFERROR(__xludf.DUMMYFUNCTION("GOOGLETRANSLATE(A393, ""de"", ""en"")"),"great")</f>
        <v>great</v>
      </c>
    </row>
    <row r="394">
      <c r="A394" s="1" t="s">
        <v>394</v>
      </c>
      <c r="B394" s="2" t="str">
        <f>IFERROR(__xludf.DUMMYFUNCTION("GOOGLETRANSLATE(A394, ""de"", ""en"")"),"one")</f>
        <v>one</v>
      </c>
    </row>
    <row r="395">
      <c r="A395" s="1" t="s">
        <v>395</v>
      </c>
      <c r="B395" s="2" t="str">
        <f>IFERROR(__xludf.DUMMYFUNCTION("GOOGLETRANSLATE(A395, ""de"", ""en"")"),"minutes")</f>
        <v>minutes</v>
      </c>
    </row>
    <row r="396">
      <c r="A396" s="1" t="s">
        <v>396</v>
      </c>
      <c r="B396" s="2" t="str">
        <f>IFERROR(__xludf.DUMMYFUNCTION("GOOGLETRANSLATE(A396, ""de"", ""en"")"),"many")</f>
        <v>many</v>
      </c>
    </row>
    <row r="397">
      <c r="A397" s="1" t="s">
        <v>397</v>
      </c>
      <c r="B397" s="2" t="str">
        <f>IFERROR(__xludf.DUMMYFUNCTION("GOOGLETRANSLATE(A397, ""de"", ""en"")"),"ready")</f>
        <v>ready</v>
      </c>
    </row>
    <row r="398">
      <c r="A398" s="1" t="s">
        <v>398</v>
      </c>
      <c r="B398" s="2" t="str">
        <f>IFERROR(__xludf.DUMMYFUNCTION("GOOGLETRANSLATE(A398, ""de"", ""en"")"),"far")</f>
        <v>far</v>
      </c>
    </row>
    <row r="399">
      <c r="A399" s="1" t="s">
        <v>399</v>
      </c>
      <c r="B399" s="2" t="str">
        <f>IFERROR(__xludf.DUMMYFUNCTION("GOOGLETRANSLATE(A399, ""de"", ""en"")"),"idea")</f>
        <v>idea</v>
      </c>
    </row>
    <row r="400">
      <c r="A400" s="1" t="s">
        <v>400</v>
      </c>
      <c r="B400" s="2" t="str">
        <f>IFERROR(__xludf.DUMMYFUNCTION("GOOGLETRANSLATE(A400, ""de"", ""en"")"),"his")</f>
        <v>his</v>
      </c>
    </row>
    <row r="401">
      <c r="A401" s="1" t="s">
        <v>401</v>
      </c>
      <c r="B401" s="2" t="str">
        <f>IFERROR(__xludf.DUMMYFUNCTION("GOOGLETRANSLATE(A401, ""de"", ""en"")"),"a little")</f>
        <v>a little</v>
      </c>
    </row>
    <row r="402">
      <c r="A402" s="1" t="s">
        <v>402</v>
      </c>
      <c r="B402" s="2" t="str">
        <f>IFERROR(__xludf.DUMMYFUNCTION("GOOGLETRANSLATE(A402, ""de"", ""en"")"),"door")</f>
        <v>door</v>
      </c>
    </row>
    <row r="403">
      <c r="A403" s="1" t="s">
        <v>403</v>
      </c>
      <c r="B403" s="2" t="str">
        <f>IFERROR(__xludf.DUMMYFUNCTION("GOOGLETRANSLATE(A403, ""de"", ""en"")"),"car")</f>
        <v>car</v>
      </c>
    </row>
    <row r="404">
      <c r="A404" s="1" t="s">
        <v>404</v>
      </c>
      <c r="B404" s="2" t="str">
        <f>IFERROR(__xludf.DUMMYFUNCTION("GOOGLETRANSLATE(A404, ""de"", ""en"")"),"guys")</f>
        <v>guys</v>
      </c>
    </row>
    <row r="405">
      <c r="A405" s="1" t="s">
        <v>405</v>
      </c>
      <c r="B405" s="2" t="str">
        <f>IFERROR(__xludf.DUMMYFUNCTION("GOOGLETRANSLATE(A405, ""de"", ""en"")"),"your")</f>
        <v>your</v>
      </c>
    </row>
    <row r="406">
      <c r="A406" s="1" t="s">
        <v>406</v>
      </c>
      <c r="B406" s="2" t="str">
        <f>IFERROR(__xludf.DUMMYFUNCTION("GOOGLETRANSLATE(A406, ""de"", ""en"")"),"eyes")</f>
        <v>eyes</v>
      </c>
    </row>
    <row r="407">
      <c r="A407" s="1" t="s">
        <v>407</v>
      </c>
      <c r="B407" s="2" t="str">
        <f>IFERROR(__xludf.DUMMYFUNCTION("GOOGLETRANSLATE(A407, ""de"", ""en"")"),"police")</f>
        <v>police</v>
      </c>
    </row>
    <row r="408">
      <c r="A408" s="1" t="s">
        <v>408</v>
      </c>
      <c r="B408" s="2" t="str">
        <f>IFERROR(__xludf.DUMMYFUNCTION("GOOGLETRANSLATE(A408, ""de"", ""en"")"),"stand")</f>
        <v>stand</v>
      </c>
    </row>
    <row r="409">
      <c r="A409" s="1" t="s">
        <v>409</v>
      </c>
      <c r="B409" s="2" t="str">
        <f>IFERROR(__xludf.DUMMYFUNCTION("GOOGLETRANSLATE(A409, ""de"", ""en"")"),"die")</f>
        <v>die</v>
      </c>
    </row>
    <row r="410">
      <c r="A410" s="1" t="s">
        <v>410</v>
      </c>
      <c r="B410" s="2" t="str">
        <f>IFERROR(__xludf.DUMMYFUNCTION("GOOGLETRANSLATE(A410, ""de"", ""en"")"),"would have")</f>
        <v>would have</v>
      </c>
    </row>
    <row r="411">
      <c r="A411" s="1" t="s">
        <v>411</v>
      </c>
      <c r="B411" s="2" t="str">
        <f>IFERROR(__xludf.DUMMYFUNCTION("GOOGLETRANSLATE(A411, ""de"", ""en"")"),"outside")</f>
        <v>outside</v>
      </c>
    </row>
    <row r="412">
      <c r="A412" s="1" t="s">
        <v>412</v>
      </c>
      <c r="B412" s="2" t="str">
        <f>IFERROR(__xludf.DUMMYFUNCTION("GOOGLETRANSLATE(A412, ""de"", ""en"")"),"know")</f>
        <v>know</v>
      </c>
    </row>
    <row r="413">
      <c r="A413" s="1" t="s">
        <v>413</v>
      </c>
      <c r="B413" s="2" t="str">
        <f>IFERROR(__xludf.DUMMYFUNCTION("GOOGLETRANSLATE(A413, ""de"", ""en"")"),"almost")</f>
        <v>almost</v>
      </c>
    </row>
    <row r="414">
      <c r="A414" s="1" t="s">
        <v>414</v>
      </c>
      <c r="B414" s="2" t="str">
        <f>IFERROR(__xludf.DUMMYFUNCTION("GOOGLETRANSLATE(A414, ""de"", ""en"")"),"down")</f>
        <v>down</v>
      </c>
    </row>
    <row r="415">
      <c r="A415" s="1" t="s">
        <v>415</v>
      </c>
      <c r="B415" s="2" t="str">
        <f>IFERROR(__xludf.DUMMYFUNCTION("GOOGLETRANSLATE(A415, ""de"", ""en"")"),"over")</f>
        <v>over</v>
      </c>
    </row>
    <row r="416">
      <c r="A416" s="1" t="s">
        <v>416</v>
      </c>
      <c r="B416" s="2" t="str">
        <f>IFERROR(__xludf.DUMMYFUNCTION("GOOGLETRANSLATE(A416, ""de"", ""en"")"),"meet")</f>
        <v>meet</v>
      </c>
    </row>
    <row r="417">
      <c r="A417" s="1" t="s">
        <v>417</v>
      </c>
      <c r="B417" s="2" t="str">
        <f>IFERROR(__xludf.DUMMYFUNCTION("GOOGLETRANSLATE(A417, ""de"", ""en"")"),"gladly")</f>
        <v>gladly</v>
      </c>
    </row>
    <row r="418">
      <c r="A418" s="1" t="s">
        <v>418</v>
      </c>
      <c r="B418" s="2" t="str">
        <f>IFERROR(__xludf.DUMMYFUNCTION("GOOGLETRANSLATE(A418, ""de"", ""en"")"),"your turn")</f>
        <v>your turn</v>
      </c>
    </row>
    <row r="419">
      <c r="A419" s="1" t="s">
        <v>419</v>
      </c>
      <c r="B419" s="2" t="str">
        <f>IFERROR(__xludf.DUMMYFUNCTION("GOOGLETRANSLATE(A419, ""de"", ""en"")"),"became")</f>
        <v>became</v>
      </c>
    </row>
    <row r="420">
      <c r="A420" s="1" t="s">
        <v>420</v>
      </c>
      <c r="B420" s="2" t="str">
        <f>IFERROR(__xludf.DUMMYFUNCTION("GOOGLETRANSLATE(A420, ""de"", ""en"")"),"work")</f>
        <v>work</v>
      </c>
    </row>
    <row r="421">
      <c r="A421" s="1" t="s">
        <v>421</v>
      </c>
      <c r="B421" s="2" t="str">
        <f>IFERROR(__xludf.DUMMYFUNCTION("GOOGLETRANSLATE(A421, ""de"", ""en"")"),"mom")</f>
        <v>mom</v>
      </c>
    </row>
    <row r="422">
      <c r="A422" s="1" t="s">
        <v>422</v>
      </c>
      <c r="B422" s="2" t="str">
        <f>IFERROR(__xludf.DUMMYFUNCTION("GOOGLETRANSLATE(A422, ""de"", ""en"")"),"crazy")</f>
        <v>crazy</v>
      </c>
    </row>
    <row r="423">
      <c r="A423" s="1" t="s">
        <v>423</v>
      </c>
      <c r="B423" s="2" t="str">
        <f>IFERROR(__xludf.DUMMYFUNCTION("GOOGLETRANSLATE(A423, ""de"", ""en"")"),"new")</f>
        <v>new</v>
      </c>
    </row>
    <row r="424">
      <c r="A424" s="1" t="s">
        <v>424</v>
      </c>
      <c r="B424" s="2" t="str">
        <f>IFERROR(__xludf.DUMMYFUNCTION("GOOGLETRANSLATE(A424, ""de"", ""en"")"),"went")</f>
        <v>went</v>
      </c>
    </row>
    <row r="425">
      <c r="A425" s="1" t="s">
        <v>425</v>
      </c>
      <c r="B425" s="2" t="str">
        <f>IFERROR(__xludf.DUMMYFUNCTION("GOOGLETRANSLATE(A425, ""de"", ""en"")"),"behind")</f>
        <v>behind</v>
      </c>
    </row>
    <row r="426">
      <c r="A426" s="1" t="s">
        <v>426</v>
      </c>
      <c r="B426" s="2" t="str">
        <f>IFERROR(__xludf.DUMMYFUNCTION("GOOGLETRANSLATE(A426, ""de"", ""en"")"),"care for")</f>
        <v>care for</v>
      </c>
    </row>
    <row r="427">
      <c r="A427" s="1" t="s">
        <v>427</v>
      </c>
      <c r="B427" s="2" t="str">
        <f>IFERROR(__xludf.DUMMYFUNCTION("GOOGLETRANSLATE(A427, ""de"", ""en"")"),"only")</f>
        <v>only</v>
      </c>
    </row>
    <row r="428">
      <c r="A428" s="1" t="s">
        <v>428</v>
      </c>
      <c r="B428" s="2" t="str">
        <f>IFERROR(__xludf.DUMMYFUNCTION("GOOGLETRANSLATE(A428, ""de"", ""en"")"),"someone")</f>
        <v>someone</v>
      </c>
    </row>
    <row r="429">
      <c r="A429" s="1" t="s">
        <v>429</v>
      </c>
      <c r="B429" s="2" t="str">
        <f>IFERROR(__xludf.DUMMYFUNCTION("GOOGLETRANSLATE(A429, ""de"", ""en"")"),"therefore")</f>
        <v>therefore</v>
      </c>
    </row>
    <row r="430">
      <c r="A430" s="1" t="s">
        <v>430</v>
      </c>
      <c r="B430" s="2" t="str">
        <f>IFERROR(__xludf.DUMMYFUNCTION("GOOGLETRANSLATE(A430, ""de"", ""en"")"),"daughter")</f>
        <v>daughter</v>
      </c>
    </row>
    <row r="431">
      <c r="A431" s="1" t="s">
        <v>431</v>
      </c>
      <c r="B431" s="2" t="str">
        <f>IFERROR(__xludf.DUMMYFUNCTION("GOOGLETRANSLATE(A431, ""de"", ""en"")"),"needs")</f>
        <v>needs</v>
      </c>
    </row>
    <row r="432">
      <c r="A432" s="1" t="s">
        <v>432</v>
      </c>
      <c r="B432" s="2" t="str">
        <f>IFERROR(__xludf.DUMMYFUNCTION("GOOGLETRANSLATE(A432, ""de"", ""en"")"),"idea")</f>
        <v>idea</v>
      </c>
    </row>
    <row r="433">
      <c r="A433" s="1" t="s">
        <v>433</v>
      </c>
      <c r="B433" s="2" t="str">
        <f>IFERROR(__xludf.DUMMYFUNCTION("GOOGLETRANSLATE(A433, ""de"", ""en"")"),"sister")</f>
        <v>sister</v>
      </c>
    </row>
    <row r="434">
      <c r="A434" s="1" t="s">
        <v>434</v>
      </c>
      <c r="B434" s="2" t="str">
        <f>IFERROR(__xludf.DUMMYFUNCTION("GOOGLETRANSLATE(A434, ""de"", ""en"")"),"inside")</f>
        <v>inside</v>
      </c>
    </row>
    <row r="435">
      <c r="A435" s="1" t="s">
        <v>435</v>
      </c>
      <c r="B435" s="2" t="str">
        <f>IFERROR(__xludf.DUMMYFUNCTION("GOOGLETRANSLATE(A435, ""de"", ""en"")"),"quiet")</f>
        <v>quiet</v>
      </c>
    </row>
    <row r="436">
      <c r="A436" s="1" t="s">
        <v>436</v>
      </c>
      <c r="B436" s="2" t="str">
        <f>IFERROR(__xludf.DUMMYFUNCTION("GOOGLETRANSLATE(A436, ""de"", ""en"")"),"saw")</f>
        <v>saw</v>
      </c>
    </row>
    <row r="437">
      <c r="A437" s="1" t="s">
        <v>437</v>
      </c>
      <c r="B437" s="2" t="str">
        <f>IFERROR(__xludf.DUMMYFUNCTION("GOOGLETRANSLATE(A437, ""de"", ""en"")"),"entire")</f>
        <v>entire</v>
      </c>
    </row>
    <row r="438">
      <c r="A438" s="1" t="s">
        <v>438</v>
      </c>
      <c r="B438" s="2" t="str">
        <f>IFERROR(__xludf.DUMMYFUNCTION("GOOGLETRANSLATE(A438, ""de"", ""en"")"),"late")</f>
        <v>late</v>
      </c>
    </row>
    <row r="439">
      <c r="A439" s="1" t="s">
        <v>439</v>
      </c>
      <c r="B439" s="2" t="str">
        <f>IFERROR(__xludf.DUMMYFUNCTION("GOOGLETRANSLATE(A439, ""de"", ""en"")"),"quite")</f>
        <v>quite</v>
      </c>
    </row>
    <row r="440">
      <c r="A440" s="1" t="s">
        <v>440</v>
      </c>
      <c r="B440" s="2" t="str">
        <f>IFERROR(__xludf.DUMMYFUNCTION("GOOGLETRANSLATE(A440, ""de"", ""en"")"),"should")</f>
        <v>should</v>
      </c>
    </row>
    <row r="441">
      <c r="A441" s="1" t="s">
        <v>441</v>
      </c>
      <c r="B441" s="2" t="str">
        <f>IFERROR(__xludf.DUMMYFUNCTION("GOOGLETRANSLATE(A441, ""de"", ""en"")"),"name")</f>
        <v>name</v>
      </c>
    </row>
    <row r="442">
      <c r="A442" s="1" t="s">
        <v>442</v>
      </c>
      <c r="B442" s="2" t="str">
        <f>IFERROR(__xludf.DUMMYFUNCTION("GOOGLETRANSLATE(A442, ""de"", ""en"")"),"even")</f>
        <v>even</v>
      </c>
    </row>
    <row r="443">
      <c r="A443" s="1" t="s">
        <v>443</v>
      </c>
      <c r="B443" s="2" t="str">
        <f>IFERROR(__xludf.DUMMYFUNCTION("GOOGLETRANSLATE(A443, ""de"", ""en"")"),"short")</f>
        <v>short</v>
      </c>
    </row>
    <row r="444">
      <c r="A444" s="1" t="s">
        <v>444</v>
      </c>
      <c r="B444" s="2" t="str">
        <f>IFERROR(__xludf.DUMMYFUNCTION("GOOGLETRANSLATE(A444, ""de"", ""en"")"),"guy")</f>
        <v>guy</v>
      </c>
    </row>
    <row r="445">
      <c r="A445" s="1" t="s">
        <v>445</v>
      </c>
      <c r="B445" s="2" t="str">
        <f>IFERROR(__xludf.DUMMYFUNCTION("GOOGLETRANSLATE(A445, ""de"", ""en"")"),"women")</f>
        <v>women</v>
      </c>
    </row>
    <row r="446">
      <c r="A446" s="1" t="s">
        <v>446</v>
      </c>
      <c r="B446" s="2" t="str">
        <f>IFERROR(__xludf.DUMMYFUNCTION("GOOGLETRANSLATE(A446, ""de"", ""en"")"),"lies")</f>
        <v>lies</v>
      </c>
    </row>
    <row r="447">
      <c r="A447" s="1" t="s">
        <v>447</v>
      </c>
      <c r="B447" s="2" t="str">
        <f>IFERROR(__xludf.DUMMYFUNCTION("GOOGLETRANSLATE(A447, ""de"", ""en"")"),"seek")</f>
        <v>seek</v>
      </c>
    </row>
    <row r="448">
      <c r="A448" s="1" t="s">
        <v>448</v>
      </c>
      <c r="B448" s="2" t="str">
        <f>IFERROR(__xludf.DUMMYFUNCTION("GOOGLETRANSLATE(A448, ""de"", ""en"")"),"find")</f>
        <v>find</v>
      </c>
    </row>
    <row r="449">
      <c r="A449" s="1" t="s">
        <v>449</v>
      </c>
      <c r="B449" s="2" t="str">
        <f>IFERROR(__xludf.DUMMYFUNCTION("GOOGLETRANSLATE(A449, ""de"", ""en"")"),"ever")</f>
        <v>ever</v>
      </c>
    </row>
    <row r="450">
      <c r="A450" s="1" t="s">
        <v>450</v>
      </c>
      <c r="B450" s="2" t="str">
        <f>IFERROR(__xludf.DUMMYFUNCTION("GOOGLETRANSLATE(A450, ""de"", ""en"")"),"from where")</f>
        <v>from where</v>
      </c>
    </row>
    <row r="451">
      <c r="A451" s="1" t="s">
        <v>451</v>
      </c>
      <c r="B451" s="2" t="str">
        <f>IFERROR(__xludf.DUMMYFUNCTION("GOOGLETRANSLATE(A451, ""de"", ""en"")"),"long")</f>
        <v>long</v>
      </c>
    </row>
    <row r="452">
      <c r="A452" s="1" t="s">
        <v>452</v>
      </c>
      <c r="B452" s="2" t="str">
        <f>IFERROR(__xludf.DUMMYFUNCTION("GOOGLETRANSLATE(A452, ""de"", ""en"")"),"job")</f>
        <v>job</v>
      </c>
    </row>
    <row r="453">
      <c r="A453" s="1" t="s">
        <v>453</v>
      </c>
      <c r="B453" s="2" t="str">
        <f>IFERROR(__xludf.DUMMYFUNCTION("GOOGLETRANSLATE(A453, ""de"", ""en"")"),"none")</f>
        <v>none</v>
      </c>
    </row>
    <row r="454">
      <c r="A454" s="1" t="s">
        <v>454</v>
      </c>
      <c r="B454" s="2" t="str">
        <f>IFERROR(__xludf.DUMMYFUNCTION("GOOGLETRANSLATE(A454, ""de"", ""en"")"),"his")</f>
        <v>his</v>
      </c>
    </row>
    <row r="455">
      <c r="A455" s="1" t="s">
        <v>455</v>
      </c>
      <c r="B455" s="2" t="str">
        <f>IFERROR(__xludf.DUMMYFUNCTION("GOOGLETRANSLATE(A455, ""de"", ""en"")"),"hears")</f>
        <v>hears</v>
      </c>
    </row>
    <row r="456">
      <c r="A456" s="1" t="s">
        <v>456</v>
      </c>
      <c r="B456" s="2" t="str">
        <f>IFERROR(__xludf.DUMMYFUNCTION("GOOGLETRANSLATE(A456, ""de"", ""en"")"),"understand")</f>
        <v>understand</v>
      </c>
    </row>
    <row r="457">
      <c r="A457" s="1" t="s">
        <v>457</v>
      </c>
      <c r="B457" s="2" t="str">
        <f>IFERROR(__xludf.DUMMYFUNCTION("GOOGLETRANSLATE(A457, ""de"", ""en"")"),"play")</f>
        <v>play</v>
      </c>
    </row>
    <row r="458">
      <c r="A458" s="1" t="s">
        <v>458</v>
      </c>
      <c r="B458" s="2" t="str">
        <f>IFERROR(__xludf.DUMMYFUNCTION("GOOGLETRANSLATE(A458, ""de"", ""en"")"),"s.")</f>
        <v>s.</v>
      </c>
    </row>
    <row r="459">
      <c r="A459" s="1" t="s">
        <v>459</v>
      </c>
      <c r="B459" s="2" t="str">
        <f>IFERROR(__xludf.DUMMYFUNCTION("GOOGLETRANSLATE(A459, ""de"", ""en"")"),"at all")</f>
        <v>at all</v>
      </c>
    </row>
    <row r="460">
      <c r="A460" s="1" t="s">
        <v>460</v>
      </c>
      <c r="B460" s="2" t="str">
        <f>IFERROR(__xludf.DUMMYFUNCTION("GOOGLETRANSLATE(A460, ""de"", ""en"")"),"devil")</f>
        <v>devil</v>
      </c>
    </row>
    <row r="461">
      <c r="A461" s="1" t="s">
        <v>461</v>
      </c>
      <c r="B461" s="2" t="str">
        <f>IFERROR(__xludf.DUMMYFUNCTION("GOOGLETRANSLATE(A461, ""de"", ""en"")"),"understood")</f>
        <v>understood</v>
      </c>
    </row>
    <row r="462">
      <c r="A462" s="1" t="s">
        <v>462</v>
      </c>
      <c r="B462" s="2" t="str">
        <f>IFERROR(__xludf.DUMMYFUNCTION("GOOGLETRANSLATE(A462, ""de"", ""en"")"),"lost")</f>
        <v>lost</v>
      </c>
    </row>
    <row r="463">
      <c r="A463" s="1" t="s">
        <v>463</v>
      </c>
      <c r="B463" s="2" t="str">
        <f>IFERROR(__xludf.DUMMYFUNCTION("GOOGLETRANSLATE(A463, ""de"", ""en"")"),"size")</f>
        <v>size</v>
      </c>
    </row>
    <row r="464">
      <c r="A464" s="1" t="s">
        <v>464</v>
      </c>
      <c r="B464" s="2" t="str">
        <f>IFERROR(__xludf.DUMMYFUNCTION("GOOGLETRANSLATE(A464, ""de"", ""en"")"),"hand")</f>
        <v>hand</v>
      </c>
    </row>
    <row r="465">
      <c r="A465" s="1" t="s">
        <v>465</v>
      </c>
      <c r="B465" s="2" t="str">
        <f>IFERROR(__xludf.DUMMYFUNCTION("GOOGLETRANSLATE(A465, ""de"", ""en"")"),"reason")</f>
        <v>reason</v>
      </c>
    </row>
    <row r="466">
      <c r="A466" s="1" t="s">
        <v>466</v>
      </c>
      <c r="B466" s="2" t="str">
        <f>IFERROR(__xludf.DUMMYFUNCTION("GOOGLETRANSLATE(A466, ""de"", ""en"")"),"year")</f>
        <v>year</v>
      </c>
    </row>
    <row r="467">
      <c r="A467" s="1" t="s">
        <v>467</v>
      </c>
      <c r="B467" s="2" t="str">
        <f>IFERROR(__xludf.DUMMYFUNCTION("GOOGLETRANSLATE(A467, ""de"", ""en"")"),"come")</f>
        <v>come</v>
      </c>
    </row>
    <row r="468">
      <c r="A468" s="1" t="s">
        <v>468</v>
      </c>
      <c r="B468" s="2" t="str">
        <f>IFERROR(__xludf.DUMMYFUNCTION("GOOGLETRANSLATE(A468, ""de"", ""en"")"),"mama")</f>
        <v>mama</v>
      </c>
    </row>
    <row r="469">
      <c r="A469" s="1" t="s">
        <v>469</v>
      </c>
      <c r="B469" s="2" t="str">
        <f>IFERROR(__xludf.DUMMYFUNCTION("GOOGLETRANSLATE(A469, ""de"", ""en"")"),"quiet")</f>
        <v>quiet</v>
      </c>
    </row>
    <row r="470">
      <c r="A470" s="1" t="s">
        <v>470</v>
      </c>
      <c r="B470" s="2" t="str">
        <f>IFERROR(__xludf.DUMMYFUNCTION("GOOGLETRANSLATE(A470, ""de"", ""en"")"),"been")</f>
        <v>been</v>
      </c>
    </row>
    <row r="471">
      <c r="A471" s="1" t="s">
        <v>471</v>
      </c>
      <c r="B471" s="2" t="str">
        <f>IFERROR(__xludf.DUMMYFUNCTION("GOOGLETRANSLATE(A471, ""de"", ""en"")"),"death")</f>
        <v>death</v>
      </c>
    </row>
    <row r="472">
      <c r="A472" s="1" t="s">
        <v>472</v>
      </c>
      <c r="B472" s="2" t="str">
        <f>IFERROR(__xludf.DUMMYFUNCTION("GOOGLETRANSLATE(A472, ""de"", ""en"")"),"hours")</f>
        <v>hours</v>
      </c>
    </row>
    <row r="473">
      <c r="A473" s="1" t="s">
        <v>473</v>
      </c>
      <c r="B473" s="2" t="str">
        <f>IFERROR(__xludf.DUMMYFUNCTION("GOOGLETRANSLATE(A473, ""de"", ""en"")"),"hope")</f>
        <v>hope</v>
      </c>
    </row>
    <row r="474">
      <c r="A474" s="1" t="s">
        <v>474</v>
      </c>
      <c r="B474" s="2" t="str">
        <f>IFERROR(__xludf.DUMMYFUNCTION("GOOGLETRANSLATE(A474, ""de"", ""en"")"),"think")</f>
        <v>think</v>
      </c>
    </row>
    <row r="475">
      <c r="A475" s="1" t="s">
        <v>475</v>
      </c>
      <c r="B475" s="2" t="str">
        <f>IFERROR(__xludf.DUMMYFUNCTION("GOOGLETRANSLATE(A475, ""de"", ""en"")"),"above")</f>
        <v>above</v>
      </c>
    </row>
    <row r="476">
      <c r="A476" s="1" t="s">
        <v>476</v>
      </c>
      <c r="B476" s="2" t="str">
        <f>IFERROR(__xludf.DUMMYFUNCTION("GOOGLETRANSLATE(A476, ""de"", ""en"")"),"yesterday")</f>
        <v>yesterday</v>
      </c>
    </row>
    <row r="477">
      <c r="A477" s="1" t="s">
        <v>477</v>
      </c>
      <c r="B477" s="2" t="str">
        <f>IFERROR(__xludf.DUMMYFUNCTION("GOOGLETRANSLATE(A477, ""de"", ""en"")"),"attempt")</f>
        <v>attempt</v>
      </c>
    </row>
    <row r="478">
      <c r="A478" s="1" t="s">
        <v>478</v>
      </c>
      <c r="B478" s="2" t="str">
        <f>IFERROR(__xludf.DUMMYFUNCTION("GOOGLETRANSLATE(A478, ""de"", ""en"")"),"art")</f>
        <v>art</v>
      </c>
    </row>
    <row r="479">
      <c r="A479" s="1" t="s">
        <v>479</v>
      </c>
      <c r="B479" s="2" t="str">
        <f>IFERROR(__xludf.DUMMYFUNCTION("GOOGLETRANSLATE(A479, ""de"", ""en"")"),"last")</f>
        <v>last</v>
      </c>
    </row>
    <row r="480">
      <c r="A480" s="1" t="s">
        <v>480</v>
      </c>
      <c r="B480" s="2" t="str">
        <f>IFERROR(__xludf.DUMMYFUNCTION("GOOGLETRANSLATE(A480, ""de"", ""en"")"),"treasure")</f>
        <v>treasure</v>
      </c>
    </row>
    <row r="481">
      <c r="A481" s="1" t="s">
        <v>481</v>
      </c>
      <c r="B481" s="2" t="str">
        <f>IFERROR(__xludf.DUMMYFUNCTION("GOOGLETRANSLATE(A481, ""de"", ""en"")"),"finally")</f>
        <v>finally</v>
      </c>
    </row>
    <row r="482">
      <c r="A482" s="1" t="s">
        <v>482</v>
      </c>
      <c r="B482" s="2" t="str">
        <f>IFERROR(__xludf.DUMMYFUNCTION("GOOGLETRANSLATE(A482, ""de"", ""en"")"),"hey")</f>
        <v>hey</v>
      </c>
    </row>
    <row r="483">
      <c r="A483" s="1" t="s">
        <v>483</v>
      </c>
      <c r="B483" s="2" t="str">
        <f>IFERROR(__xludf.DUMMYFUNCTION("GOOGLETRANSLATE(A483, ""de"", ""en"")"),"take")</f>
        <v>take</v>
      </c>
    </row>
    <row r="484">
      <c r="A484" s="1" t="s">
        <v>484</v>
      </c>
      <c r="B484" s="2" t="str">
        <f>IFERROR(__xludf.DUMMYFUNCTION("GOOGLETRANSLATE(A484, ""de"", ""en"")"),"approximately")</f>
        <v>approximately</v>
      </c>
    </row>
    <row r="485">
      <c r="A485" s="1" t="s">
        <v>485</v>
      </c>
      <c r="B485" s="2" t="str">
        <f>IFERROR(__xludf.DUMMYFUNCTION("GOOGLETRANSLATE(A485, ""de"", ""en"")"),"told")</f>
        <v>told</v>
      </c>
    </row>
    <row r="486">
      <c r="A486" s="1" t="s">
        <v>486</v>
      </c>
      <c r="B486" s="2" t="str">
        <f>IFERROR(__xludf.DUMMYFUNCTION("GOOGLETRANSLATE(A486, ""de"", ""en"")"),"running")</f>
        <v>running</v>
      </c>
    </row>
    <row r="487">
      <c r="A487" s="1" t="s">
        <v>487</v>
      </c>
      <c r="B487" s="2" t="str">
        <f>IFERROR(__xludf.DUMMYFUNCTION("GOOGLETRANSLATE(A487, ""de"", ""en"")"),"difficult")</f>
        <v>difficult</v>
      </c>
    </row>
    <row r="488">
      <c r="A488" s="1" t="s">
        <v>488</v>
      </c>
      <c r="B488" s="2" t="str">
        <f>IFERROR(__xludf.DUMMYFUNCTION("GOOGLETRANSLATE(A488, ""de"", ""en"")"),"different")</f>
        <v>different</v>
      </c>
    </row>
    <row r="489">
      <c r="A489" s="1" t="s">
        <v>489</v>
      </c>
      <c r="B489" s="2" t="str">
        <f>IFERROR(__xludf.DUMMYFUNCTION("GOOGLETRANSLATE(A489, ""de"", ""en"")"),"miss")</f>
        <v>miss</v>
      </c>
    </row>
    <row r="490">
      <c r="A490" s="1" t="s">
        <v>490</v>
      </c>
      <c r="B490" s="2" t="str">
        <f>IFERROR(__xludf.DUMMYFUNCTION("GOOGLETRANSLATE(A490, ""de"", ""en"")"),"had to")</f>
        <v>had to</v>
      </c>
    </row>
    <row r="491">
      <c r="A491" s="1" t="s">
        <v>491</v>
      </c>
      <c r="B491" s="2" t="str">
        <f>IFERROR(__xludf.DUMMYFUNCTION("GOOGLETRANSLATE(A491, ""de"", ""en"")"),"five")</f>
        <v>five</v>
      </c>
    </row>
    <row r="492">
      <c r="A492" s="1" t="s">
        <v>492</v>
      </c>
      <c r="B492" s="2" t="str">
        <f>IFERROR(__xludf.DUMMYFUNCTION("GOOGLETRANSLATE(A492, ""de"", ""en"")"),"water")</f>
        <v>water</v>
      </c>
    </row>
    <row r="493">
      <c r="A493" s="1" t="s">
        <v>493</v>
      </c>
      <c r="B493" s="2" t="str">
        <f>IFERROR(__xludf.DUMMYFUNCTION("GOOGLETRANSLATE(A493, ""de"", ""en"")"),"lets")</f>
        <v>lets</v>
      </c>
    </row>
    <row r="494">
      <c r="A494" s="1" t="s">
        <v>494</v>
      </c>
      <c r="B494" s="2" t="str">
        <f>IFERROR(__xludf.DUMMYFUNCTION("GOOGLETRANSLATE(A494, ""de"", ""en"")"),"first")</f>
        <v>first</v>
      </c>
    </row>
    <row r="495">
      <c r="A495" s="1" t="s">
        <v>495</v>
      </c>
      <c r="B495" s="2" t="str">
        <f>IFERROR(__xludf.DUMMYFUNCTION("GOOGLETRANSLATE(A495, ""de"", ""en"")"),"tried")</f>
        <v>tried</v>
      </c>
    </row>
    <row r="496">
      <c r="A496" s="1" t="s">
        <v>496</v>
      </c>
      <c r="B496" s="2" t="str">
        <f>IFERROR(__xludf.DUMMYFUNCTION("GOOGLETRANSLATE(A496, ""de"", ""en"")"),"came")</f>
        <v>came</v>
      </c>
    </row>
    <row r="497">
      <c r="A497" s="1" t="s">
        <v>497</v>
      </c>
      <c r="B497" s="2" t="str">
        <f>IFERROR(__xludf.DUMMYFUNCTION("GOOGLETRANSLATE(A497, ""de"", ""en"")"),"story")</f>
        <v>story</v>
      </c>
    </row>
    <row r="498">
      <c r="A498" s="1" t="s">
        <v>498</v>
      </c>
      <c r="B498" s="2" t="str">
        <f>IFERROR(__xludf.DUMMYFUNCTION("GOOGLETRANSLATE(A498, ""de"", ""en"")"),"few")</f>
        <v>few</v>
      </c>
    </row>
    <row r="499">
      <c r="A499" s="1" t="s">
        <v>499</v>
      </c>
      <c r="B499" s="2" t="str">
        <f>IFERROR(__xludf.DUMMYFUNCTION("GOOGLETRANSLATE(A499, ""de"", ""en"")"),"fetch")</f>
        <v>fetch</v>
      </c>
    </row>
    <row r="500">
      <c r="A500" s="1" t="s">
        <v>500</v>
      </c>
      <c r="B500" s="2" t="str">
        <f>IFERROR(__xludf.DUMMYFUNCTION("GOOGLETRANSLATE(A500, ""de"", ""en"")"),"means")</f>
        <v>means</v>
      </c>
    </row>
    <row r="501">
      <c r="A501" s="1" t="s">
        <v>501</v>
      </c>
      <c r="B501" s="2" t="str">
        <f>IFERROR(__xludf.DUMMYFUNCTION("GOOGLETRANSLATE(A501, ""de"", ""en"")"),"nice")</f>
        <v>nice</v>
      </c>
    </row>
    <row r="502">
      <c r="A502" s="1" t="s">
        <v>502</v>
      </c>
      <c r="B502" s="2" t="str">
        <f>IFERROR(__xludf.DUMMYFUNCTION("GOOGLETRANSLATE(A502, ""de"", ""en"")"),"truth")</f>
        <v>truth</v>
      </c>
    </row>
    <row r="503">
      <c r="A503" s="1" t="s">
        <v>503</v>
      </c>
      <c r="B503" s="2" t="str">
        <f>IFERROR(__xludf.DUMMYFUNCTION("GOOGLETRANSLATE(A503, ""de"", ""en"")"),"week")</f>
        <v>week</v>
      </c>
    </row>
    <row r="504">
      <c r="A504" s="1" t="s">
        <v>504</v>
      </c>
      <c r="B504" s="2" t="str">
        <f>IFERROR(__xludf.DUMMYFUNCTION("GOOGLETRANSLATE(A504, ""de"", ""en"")"),"brings")</f>
        <v>brings</v>
      </c>
    </row>
    <row r="505">
      <c r="A505" s="1" t="s">
        <v>505</v>
      </c>
      <c r="B505" s="2" t="str">
        <f>IFERROR(__xludf.DUMMYFUNCTION("GOOGLETRANSLATE(A505, ""de"", ""en"")"),"for this reason")</f>
        <v>for this reason</v>
      </c>
    </row>
    <row r="506">
      <c r="A506" s="1" t="s">
        <v>506</v>
      </c>
      <c r="B506" s="2" t="str">
        <f>IFERROR(__xludf.DUMMYFUNCTION("GOOGLETRANSLATE(A506, ""de"", ""en"")"),"which")</f>
        <v>which</v>
      </c>
    </row>
    <row r="507">
      <c r="A507" s="1" t="s">
        <v>507</v>
      </c>
      <c r="B507" s="2" t="str">
        <f>IFERROR(__xludf.DUMMYFUNCTION("GOOGLETRANSLATE(A507, ""de"", ""en"")"),"certainly")</f>
        <v>certainly</v>
      </c>
    </row>
    <row r="508">
      <c r="A508" s="1" t="s">
        <v>508</v>
      </c>
      <c r="B508" s="2" t="str">
        <f>IFERROR(__xludf.DUMMYFUNCTION("GOOGLETRANSLATE(A508, ""de"", ""en"")"),"high")</f>
        <v>high</v>
      </c>
    </row>
    <row r="509">
      <c r="A509" s="1" t="s">
        <v>509</v>
      </c>
      <c r="B509" s="2" t="str">
        <f>IFERROR(__xludf.DUMMYFUNCTION("GOOGLETRANSLATE(A509, ""de"", ""en"")"),"age")</f>
        <v>age</v>
      </c>
    </row>
    <row r="510">
      <c r="A510" s="1" t="s">
        <v>510</v>
      </c>
      <c r="B510" s="2" t="str">
        <f>IFERROR(__xludf.DUMMYFUNCTION("GOOGLETRANSLATE(A510, ""de"", ""en"")"),"say")</f>
        <v>say</v>
      </c>
    </row>
    <row r="511">
      <c r="A511" s="1" t="s">
        <v>511</v>
      </c>
      <c r="B511" s="2" t="str">
        <f>IFERROR(__xludf.DUMMYFUNCTION("GOOGLETRANSLATE(A511, ""de"", ""en"")"),"look")</f>
        <v>look</v>
      </c>
    </row>
    <row r="512">
      <c r="A512" s="1" t="s">
        <v>512</v>
      </c>
      <c r="B512" s="2" t="str">
        <f>IFERROR(__xludf.DUMMYFUNCTION("GOOGLETRANSLATE(A512, ""de"", ""en"")"),"uh")</f>
        <v>uh</v>
      </c>
    </row>
    <row r="513">
      <c r="A513" s="1" t="s">
        <v>513</v>
      </c>
      <c r="B513" s="2" t="str">
        <f>IFERROR(__xludf.DUMMYFUNCTION("GOOGLETRANSLATE(A513, ""de"", ""en"")"),"country")</f>
        <v>country</v>
      </c>
    </row>
    <row r="514">
      <c r="A514" s="1" t="s">
        <v>514</v>
      </c>
      <c r="B514" s="2" t="str">
        <f>IFERROR(__xludf.DUMMYFUNCTION("GOOGLETRANSLATE(A514, ""de"", ""en"")"),"room")</f>
        <v>room</v>
      </c>
    </row>
    <row r="515">
      <c r="A515" s="1" t="s">
        <v>515</v>
      </c>
      <c r="B515" s="2" t="str">
        <f>IFERROR(__xludf.DUMMYFUNCTION("GOOGLETRANSLATE(A515, ""de"", ""en"")"),"dare")</f>
        <v>dare</v>
      </c>
    </row>
    <row r="516">
      <c r="A516" s="1" t="s">
        <v>516</v>
      </c>
      <c r="B516" s="2" t="str">
        <f>IFERROR(__xludf.DUMMYFUNCTION("GOOGLETRANSLATE(A516, ""de"", ""en"")"),"four")</f>
        <v>four</v>
      </c>
    </row>
    <row r="517">
      <c r="A517" s="1" t="s">
        <v>517</v>
      </c>
      <c r="B517" s="2" t="str">
        <f>IFERROR(__xludf.DUMMYFUNCTION("GOOGLETRANSLATE(A517, ""de"", ""en"")"),"fallen")</f>
        <v>fallen</v>
      </c>
    </row>
    <row r="518">
      <c r="A518" s="1" t="s">
        <v>518</v>
      </c>
      <c r="B518" s="2" t="str">
        <f>IFERROR(__xludf.DUMMYFUNCTION("GOOGLETRANSLATE(A518, ""de"", ""en"")"),"fun")</f>
        <v>fun</v>
      </c>
    </row>
    <row r="519">
      <c r="A519" s="1" t="s">
        <v>519</v>
      </c>
      <c r="B519" s="2" t="str">
        <f>IFERROR(__xludf.DUMMYFUNCTION("GOOGLETRANSLATE(A519, ""de"", ""en"")"),"never")</f>
        <v>never</v>
      </c>
    </row>
    <row r="520">
      <c r="A520" s="1" t="s">
        <v>520</v>
      </c>
      <c r="B520" s="2" t="str">
        <f>IFERROR(__xludf.DUMMYFUNCTION("GOOGLETRANSLATE(A520, ""de"", ""en"")"),"fault")</f>
        <v>fault</v>
      </c>
    </row>
    <row r="521">
      <c r="A521" s="1" t="s">
        <v>521</v>
      </c>
      <c r="B521" s="2" t="str">
        <f>IFERROR(__xludf.DUMMYFUNCTION("GOOGLETRANSLATE(A521, ""de"", ""en"")"),"killed")</f>
        <v>killed</v>
      </c>
    </row>
    <row r="522">
      <c r="A522" s="1" t="s">
        <v>522</v>
      </c>
      <c r="B522" s="2" t="str">
        <f>IFERROR(__xludf.DUMMYFUNCTION("GOOGLETRANSLATE(A522, ""de"", ""en"")"),"wanted")</f>
        <v>wanted</v>
      </c>
    </row>
    <row r="523">
      <c r="A523" s="1" t="s">
        <v>523</v>
      </c>
      <c r="B523" s="2" t="str">
        <f>IFERROR(__xludf.DUMMYFUNCTION("GOOGLETRANSLATE(A523, ""de"", ""en"")"),"leave")</f>
        <v>leave</v>
      </c>
    </row>
    <row r="524">
      <c r="A524" s="1" t="s">
        <v>524</v>
      </c>
      <c r="B524" s="2" t="str">
        <f>IFERROR(__xludf.DUMMYFUNCTION("GOOGLETRANSLATE(A524, ""de"", ""en"")"),"show")</f>
        <v>show</v>
      </c>
    </row>
    <row r="525">
      <c r="A525" s="1" t="s">
        <v>525</v>
      </c>
      <c r="B525" s="2" t="str">
        <f>IFERROR(__xludf.DUMMYFUNCTION("GOOGLETRANSLATE(A525, ""de"", ""en"")"),"best")</f>
        <v>best</v>
      </c>
    </row>
    <row r="526">
      <c r="A526" s="1" t="s">
        <v>526</v>
      </c>
      <c r="B526" s="2" t="str">
        <f>IFERROR(__xludf.DUMMYFUNCTION("GOOGLETRANSLATE(A526, ""de"", ""en"")"),"serious")</f>
        <v>serious</v>
      </c>
    </row>
    <row r="527">
      <c r="A527" s="1" t="s">
        <v>527</v>
      </c>
      <c r="B527" s="2" t="str">
        <f>IFERROR(__xludf.DUMMYFUNCTION("GOOGLETRANSLATE(A527, ""de"", ""en"")"),"ours")</f>
        <v>ours</v>
      </c>
    </row>
    <row r="528">
      <c r="A528" s="1" t="s">
        <v>528</v>
      </c>
      <c r="B528" s="2" t="str">
        <f>IFERROR(__xludf.DUMMYFUNCTION("GOOGLETRANSLATE(A528, ""de"", ""en"")"),"those")</f>
        <v>those</v>
      </c>
    </row>
    <row r="529">
      <c r="A529" s="1" t="s">
        <v>529</v>
      </c>
      <c r="B529" s="2" t="str">
        <f>IFERROR(__xludf.DUMMYFUNCTION("GOOGLETRANSLATE(A529, ""de"", ""en"")"),"location")</f>
        <v>location</v>
      </c>
    </row>
    <row r="530">
      <c r="A530" s="1" t="s">
        <v>530</v>
      </c>
      <c r="B530" s="2" t="str">
        <f>IFERROR(__xludf.DUMMYFUNCTION("GOOGLETRANSLATE(A530, ""de"", ""en"")"),"remains")</f>
        <v>remains</v>
      </c>
    </row>
    <row r="531">
      <c r="A531" s="1" t="s">
        <v>531</v>
      </c>
      <c r="B531" s="2" t="str">
        <f>IFERROR(__xludf.DUMMYFUNCTION("GOOGLETRANSLATE(A531, ""de"", ""en"")"),"would")</f>
        <v>would</v>
      </c>
    </row>
    <row r="532">
      <c r="A532" s="1" t="s">
        <v>532</v>
      </c>
      <c r="B532" s="2" t="str">
        <f>IFERROR(__xludf.DUMMYFUNCTION("GOOGLETRANSLATE(A532, ""de"", ""en"")"),"sometimes")</f>
        <v>sometimes</v>
      </c>
    </row>
    <row r="533">
      <c r="A533" s="1" t="s">
        <v>533</v>
      </c>
      <c r="B533" s="2" t="str">
        <f>IFERROR(__xludf.DUMMYFUNCTION("GOOGLETRANSLATE(A533, ""de"", ""en"")"),"believe")</f>
        <v>believe</v>
      </c>
    </row>
    <row r="534">
      <c r="A534" s="1" t="s">
        <v>534</v>
      </c>
      <c r="B534" s="2" t="str">
        <f>IFERROR(__xludf.DUMMYFUNCTION("GOOGLETRANSLATE(A534, ""de"", ""en"")"),"page")</f>
        <v>page</v>
      </c>
    </row>
    <row r="535">
      <c r="A535" s="1" t="s">
        <v>535</v>
      </c>
      <c r="B535" s="2" t="str">
        <f>IFERROR(__xludf.DUMMYFUNCTION("GOOGLETRANSLATE(A535, ""de"", ""en"")"),"let")</f>
        <v>let</v>
      </c>
    </row>
    <row r="536">
      <c r="A536" s="1" t="s">
        <v>536</v>
      </c>
      <c r="B536" s="2" t="str">
        <f>IFERROR(__xludf.DUMMYFUNCTION("GOOGLETRANSLATE(A536, ""de"", ""en"")"),"between")</f>
        <v>between</v>
      </c>
    </row>
    <row r="537">
      <c r="A537" s="1" t="s">
        <v>537</v>
      </c>
      <c r="B537" s="2" t="str">
        <f>IFERROR(__xludf.DUMMYFUNCTION("GOOGLETRANSLATE(A537, ""de"", ""en"")"),"even")</f>
        <v>even</v>
      </c>
    </row>
    <row r="538">
      <c r="A538" s="1" t="s">
        <v>538</v>
      </c>
      <c r="B538" s="2" t="str">
        <f>IFERROR(__xludf.DUMMYFUNCTION("GOOGLETRANSLATE(A538, ""de"", ""en"")"),"while")</f>
        <v>while</v>
      </c>
    </row>
    <row r="539">
      <c r="A539" s="1" t="s">
        <v>539</v>
      </c>
      <c r="B539" s="2" t="str">
        <f>IFERROR(__xludf.DUMMYFUNCTION("GOOGLETRANSLATE(A539, ""de"", ""en"")"),"game")</f>
        <v>game</v>
      </c>
    </row>
    <row r="540">
      <c r="A540" s="1" t="s">
        <v>540</v>
      </c>
      <c r="B540" s="2" t="str">
        <f>IFERROR(__xludf.DUMMYFUNCTION("GOOGLETRANSLATE(A540, ""de"", ""en"")"),"take")</f>
        <v>take</v>
      </c>
    </row>
    <row r="541">
      <c r="A541" s="1" t="s">
        <v>541</v>
      </c>
      <c r="B541" s="2" t="str">
        <f>IFERROR(__xludf.DUMMYFUNCTION("GOOGLETRANSLATE(A541, ""de"", ""en"")"),"first")</f>
        <v>first</v>
      </c>
    </row>
    <row r="542">
      <c r="A542" s="1" t="s">
        <v>542</v>
      </c>
      <c r="B542" s="2" t="str">
        <f>IFERROR(__xludf.DUMMYFUNCTION("GOOGLETRANSLATE(A542, ""de"", ""en"")"),"goods")</f>
        <v>goods</v>
      </c>
    </row>
    <row r="543">
      <c r="A543" s="1" t="s">
        <v>543</v>
      </c>
      <c r="B543" s="2" t="str">
        <f>IFERROR(__xludf.DUMMYFUNCTION("GOOGLETRANSLATE(A543, ""de"", ""en"")"),"chance")</f>
        <v>chance</v>
      </c>
    </row>
    <row r="544">
      <c r="A544" s="1" t="s">
        <v>544</v>
      </c>
      <c r="B544" s="2" t="str">
        <f>IFERROR(__xludf.DUMMYFUNCTION("GOOGLETRANSLATE(A544, ""de"", ""en"")"),"girlfriend")</f>
        <v>girlfriend</v>
      </c>
    </row>
    <row r="545">
      <c r="A545" s="1" t="s">
        <v>545</v>
      </c>
      <c r="B545" s="2" t="str">
        <f>IFERROR(__xludf.DUMMYFUNCTION("GOOGLETRANSLATE(A545, ""de"", ""en"")"),"war")</f>
        <v>war</v>
      </c>
    </row>
    <row r="546">
      <c r="A546" s="1" t="s">
        <v>546</v>
      </c>
      <c r="B546" s="2" t="str">
        <f>IFERROR(__xludf.DUMMYFUNCTION("GOOGLETRANSLATE(A546, ""de"", ""en"")"),"pleases")</f>
        <v>pleases</v>
      </c>
    </row>
    <row r="547">
      <c r="A547" s="1" t="s">
        <v>547</v>
      </c>
      <c r="B547" s="2" t="str">
        <f>IFERROR(__xludf.DUMMYFUNCTION("GOOGLETRANSLATE(A547, ""de"", ""en"")"),"small")</f>
        <v>small</v>
      </c>
    </row>
    <row r="548">
      <c r="A548" s="1" t="s">
        <v>548</v>
      </c>
      <c r="B548" s="2" t="str">
        <f>IFERROR(__xludf.DUMMYFUNCTION("GOOGLETRANSLATE(A548, ""de"", ""en"")"),"tell")</f>
        <v>tell</v>
      </c>
    </row>
    <row r="549">
      <c r="A549" s="1" t="s">
        <v>549</v>
      </c>
      <c r="B549" s="2" t="str">
        <f>IFERROR(__xludf.DUMMYFUNCTION("GOOGLETRANSLATE(A549, ""de"", ""en"")"),"other")</f>
        <v>other</v>
      </c>
    </row>
    <row r="550">
      <c r="A550" s="1" t="s">
        <v>550</v>
      </c>
      <c r="B550" s="2" t="str">
        <f>IFERROR(__xludf.DUMMYFUNCTION("GOOGLETRANSLATE(A550, ""de"", ""en"")"),"days")</f>
        <v>days</v>
      </c>
    </row>
    <row r="551">
      <c r="A551" s="1" t="s">
        <v>551</v>
      </c>
      <c r="B551" s="2" t="str">
        <f>IFERROR(__xludf.DUMMYFUNCTION("GOOGLETRANSLATE(A551, ""de"", ""en"")"),"excuse")</f>
        <v>excuse</v>
      </c>
    </row>
    <row r="552">
      <c r="A552" s="1" t="s">
        <v>552</v>
      </c>
      <c r="B552" s="2" t="str">
        <f>IFERROR(__xludf.DUMMYFUNCTION("GOOGLETRANSLATE(A552, ""de"", ""en"")"),"important")</f>
        <v>important</v>
      </c>
    </row>
    <row r="553">
      <c r="A553" s="1" t="s">
        <v>553</v>
      </c>
      <c r="B553" s="2" t="str">
        <f>IFERROR(__xludf.DUMMYFUNCTION("GOOGLETRANSLATE(A553, ""de"", ""en"")"),"go")</f>
        <v>go</v>
      </c>
    </row>
    <row r="554">
      <c r="A554" s="1" t="s">
        <v>554</v>
      </c>
      <c r="B554" s="2" t="str">
        <f>IFERROR(__xludf.DUMMYFUNCTION("GOOGLETRANSLATE(A554, ""de"", ""en"")"),"everyone")</f>
        <v>everyone</v>
      </c>
    </row>
    <row r="555">
      <c r="A555" s="1" t="s">
        <v>555</v>
      </c>
      <c r="B555" s="2" t="str">
        <f>IFERROR(__xludf.DUMMYFUNCTION("GOOGLETRANSLATE(A555, ""de"", ""en"")"),"bed")</f>
        <v>bed</v>
      </c>
    </row>
    <row r="556">
      <c r="A556" s="1" t="s">
        <v>556</v>
      </c>
      <c r="B556" s="2" t="str">
        <f>IFERROR(__xludf.DUMMYFUNCTION("GOOGLETRANSLATE(A556, ""de"", ""en"")"),"mrs.")</f>
        <v>mrs.</v>
      </c>
    </row>
    <row r="557">
      <c r="A557" s="1" t="s">
        <v>557</v>
      </c>
      <c r="B557" s="2" t="str">
        <f>IFERROR(__xludf.DUMMYFUNCTION("GOOGLETRANSLATE(A557, ""de"", ""en"")"),"things")</f>
        <v>things</v>
      </c>
    </row>
    <row r="558">
      <c r="A558" s="1" t="s">
        <v>558</v>
      </c>
      <c r="B558" s="2" t="str">
        <f>IFERROR(__xludf.DUMMYFUNCTION("GOOGLETRANSLATE(A558, ""de"", ""en"")"),"the")</f>
        <v>the</v>
      </c>
    </row>
    <row r="559">
      <c r="A559" s="1" t="s">
        <v>559</v>
      </c>
      <c r="B559" s="2" t="str">
        <f>IFERROR(__xludf.DUMMYFUNCTION("GOOGLETRANSLATE(A559, ""de"", ""en"")"),"bad")</f>
        <v>bad</v>
      </c>
    </row>
    <row r="560">
      <c r="A560" s="1" t="s">
        <v>560</v>
      </c>
      <c r="B560" s="2" t="str">
        <f>IFERROR(__xludf.DUMMYFUNCTION("GOOGLETRANSLATE(A560, ""de"", ""en"")"),"school")</f>
        <v>school</v>
      </c>
    </row>
    <row r="561">
      <c r="A561" s="1" t="s">
        <v>561</v>
      </c>
      <c r="B561" s="2" t="str">
        <f>IFERROR(__xludf.DUMMYFUNCTION("GOOGLETRANSLATE(A561, ""de"", ""en"")"),"excuse")</f>
        <v>excuse</v>
      </c>
    </row>
    <row r="562">
      <c r="A562" s="1" t="s">
        <v>562</v>
      </c>
      <c r="B562" s="2" t="str">
        <f>IFERROR(__xludf.DUMMYFUNCTION("GOOGLETRANSLATE(A562, ""de"", ""en"")"),"word")</f>
        <v>word</v>
      </c>
    </row>
    <row r="563">
      <c r="A563" s="1" t="s">
        <v>563</v>
      </c>
      <c r="B563" s="2" t="str">
        <f>IFERROR(__xludf.DUMMYFUNCTION("GOOGLETRANSLATE(A563, ""de"", ""en"")"),"John")</f>
        <v>John</v>
      </c>
    </row>
    <row r="564">
      <c r="A564" s="1" t="s">
        <v>564</v>
      </c>
      <c r="B564" s="2" t="str">
        <f>IFERROR(__xludf.DUMMYFUNCTION("GOOGLETRANSLATE(A564, ""de"", ""en"")"),"would have")</f>
        <v>would have</v>
      </c>
    </row>
    <row r="565">
      <c r="A565" s="1" t="s">
        <v>565</v>
      </c>
      <c r="B565" s="2" t="str">
        <f>IFERROR(__xludf.DUMMYFUNCTION("GOOGLETRANSLATE(A565, ""de"", ""en"")"),"would be")</f>
        <v>would be</v>
      </c>
    </row>
    <row r="566">
      <c r="A566" s="1" t="s">
        <v>566</v>
      </c>
      <c r="B566" s="2" t="str">
        <f>IFERROR(__xludf.DUMMYFUNCTION("GOOGLETRANSLATE(A566, ""de"", ""en"")"),"type")</f>
        <v>type</v>
      </c>
    </row>
    <row r="567">
      <c r="A567" s="1" t="s">
        <v>567</v>
      </c>
      <c r="B567" s="2" t="str">
        <f>IFERROR(__xludf.DUMMYFUNCTION("GOOGLETRANSLATE(A567, ""de"", ""en"")"),"sleep")</f>
        <v>sleep</v>
      </c>
    </row>
    <row r="568">
      <c r="A568" s="1" t="s">
        <v>568</v>
      </c>
      <c r="B568" s="2" t="str">
        <f>IFERROR(__xludf.DUMMYFUNCTION("GOOGLETRANSLATE(A568, ""de"", ""en"")"),"uh")</f>
        <v>uh</v>
      </c>
    </row>
    <row r="569">
      <c r="A569" s="1" t="s">
        <v>569</v>
      </c>
      <c r="B569" s="2" t="str">
        <f>IFERROR(__xludf.DUMMYFUNCTION("GOOGLETRANSLATE(A569, ""de"", ""en"")"),"do")</f>
        <v>do</v>
      </c>
    </row>
    <row r="570">
      <c r="A570" s="1" t="s">
        <v>570</v>
      </c>
      <c r="B570" s="2" t="str">
        <f>IFERROR(__xludf.DUMMYFUNCTION("GOOGLETRANSLATE(A570, ""de"", ""en"")"),"your")</f>
        <v>your</v>
      </c>
    </row>
    <row r="571">
      <c r="A571" s="1" t="s">
        <v>571</v>
      </c>
      <c r="B571" s="2" t="str">
        <f>IFERROR(__xludf.DUMMYFUNCTION("GOOGLETRANSLATE(A571, ""de"", ""en"")"),"captain")</f>
        <v>captain</v>
      </c>
    </row>
    <row r="572">
      <c r="A572" s="1" t="s">
        <v>572</v>
      </c>
      <c r="B572" s="2" t="str">
        <f>IFERROR(__xludf.DUMMYFUNCTION("GOOGLETRANSLATE(A572, ""de"", ""en"")"),"face")</f>
        <v>face</v>
      </c>
    </row>
    <row r="573">
      <c r="A573" s="1" t="s">
        <v>573</v>
      </c>
      <c r="B573" s="2" t="str">
        <f>IFERROR(__xludf.DUMMYFUNCTION("GOOGLETRANSLATE(A573, ""de"", ""en"")"),"if")</f>
        <v>if</v>
      </c>
    </row>
    <row r="574">
      <c r="A574" s="1" t="s">
        <v>574</v>
      </c>
      <c r="B574" s="2" t="str">
        <f>IFERROR(__xludf.DUMMYFUNCTION("GOOGLETRANSLATE(A574, ""de"", ""en"")"),"new")</f>
        <v>new</v>
      </c>
    </row>
    <row r="575">
      <c r="A575" s="1" t="s">
        <v>575</v>
      </c>
      <c r="B575" s="2" t="str">
        <f>IFERROR(__xludf.DUMMYFUNCTION("GOOGLETRANSLATE(A575, ""de"", ""en"")"),"just")</f>
        <v>just</v>
      </c>
    </row>
    <row r="576">
      <c r="A576" s="1" t="s">
        <v>576</v>
      </c>
      <c r="B576" s="2" t="str">
        <f>IFERROR(__xludf.DUMMYFUNCTION("GOOGLETRANSLATE(A576, ""de"", ""en"")"),"below")</f>
        <v>below</v>
      </c>
    </row>
    <row r="577">
      <c r="A577" s="1" t="s">
        <v>577</v>
      </c>
      <c r="B577" s="2" t="str">
        <f>IFERROR(__xludf.DUMMYFUNCTION("GOOGLETRANSLATE(A577, ""de"", ""en"")"),"part")</f>
        <v>part</v>
      </c>
    </row>
    <row r="578">
      <c r="A578" s="1" t="s">
        <v>578</v>
      </c>
      <c r="B578" s="2" t="str">
        <f>IFERROR(__xludf.DUMMYFUNCTION("GOOGLETRANSLATE(A578, ""de"", ""en"")"),"both")</f>
        <v>both</v>
      </c>
    </row>
    <row r="579">
      <c r="A579" s="1" t="s">
        <v>579</v>
      </c>
      <c r="B579" s="2" t="str">
        <f>IFERROR(__xludf.DUMMYFUNCTION("GOOGLETRANSLATE(A579, ""de"", ""en"")"),"person")</f>
        <v>person</v>
      </c>
    </row>
    <row r="580">
      <c r="A580" s="1" t="s">
        <v>580</v>
      </c>
      <c r="B580" s="2" t="str">
        <f>IFERROR(__xludf.DUMMYFUNCTION("GOOGLETRANSLATE(A580, ""de"", ""en"")"),"smaller")</f>
        <v>smaller</v>
      </c>
    </row>
    <row r="581">
      <c r="A581" s="1" t="s">
        <v>581</v>
      </c>
      <c r="B581" s="2" t="str">
        <f>IFERROR(__xludf.DUMMYFUNCTION("GOOGLETRANSLATE(A581, ""de"", ""en"")"),"place")</f>
        <v>place</v>
      </c>
    </row>
    <row r="582">
      <c r="A582" s="1" t="s">
        <v>582</v>
      </c>
      <c r="B582" s="2" t="str">
        <f>IFERROR(__xludf.DUMMYFUNCTION("GOOGLETRANSLATE(A582, ""de"", ""en"")"),"often")</f>
        <v>often</v>
      </c>
    </row>
    <row r="583">
      <c r="A583" s="1" t="s">
        <v>583</v>
      </c>
      <c r="B583" s="2" t="str">
        <f>IFERROR(__xludf.DUMMYFUNCTION("GOOGLETRANSLATE(A583, ""de"", ""en"")"),"worries")</f>
        <v>worries</v>
      </c>
    </row>
    <row r="584">
      <c r="A584" s="1" t="s">
        <v>584</v>
      </c>
      <c r="B584" s="2" t="str">
        <f>IFERROR(__xludf.DUMMYFUNCTION("GOOGLETRANSLATE(A584, ""de"", ""en"")"),"thought")</f>
        <v>thought</v>
      </c>
    </row>
    <row r="585">
      <c r="A585" s="1" t="s">
        <v>585</v>
      </c>
      <c r="B585" s="2" t="str">
        <f>IFERROR(__xludf.DUMMYFUNCTION("GOOGLETRANSLATE(A585, ""de"", ""en"")"),"do")</f>
        <v>do</v>
      </c>
    </row>
    <row r="586">
      <c r="A586" s="1" t="s">
        <v>586</v>
      </c>
      <c r="B586" s="2" t="str">
        <f>IFERROR(__xludf.DUMMYFUNCTION("GOOGLETRANSLATE(A586, ""de"", ""en"")"),"drink")</f>
        <v>drink</v>
      </c>
    </row>
    <row r="587">
      <c r="A587" s="1" t="s">
        <v>587</v>
      </c>
      <c r="B587" s="2" t="str">
        <f>IFERROR(__xludf.DUMMYFUNCTION("GOOGLETRANSLATE(A587, ""de"", ""en"")"),"some")</f>
        <v>some</v>
      </c>
    </row>
    <row r="588">
      <c r="A588" s="1" t="s">
        <v>588</v>
      </c>
      <c r="B588" s="2" t="str">
        <f>IFERROR(__xludf.DUMMYFUNCTION("GOOGLETRANSLATE(A588, ""de"", ""en"")"),"this")</f>
        <v>this</v>
      </c>
    </row>
    <row r="589">
      <c r="A589" s="1" t="s">
        <v>589</v>
      </c>
      <c r="B589" s="2" t="str">
        <f>IFERROR(__xludf.DUMMYFUNCTION("GOOGLETRANSLATE(A589, ""de"", ""en"")"),"thing")</f>
        <v>thing</v>
      </c>
    </row>
    <row r="590">
      <c r="A590" s="1" t="s">
        <v>590</v>
      </c>
      <c r="B590" s="2" t="str">
        <f>IFERROR(__xludf.DUMMYFUNCTION("GOOGLETRANSLATE(A590, ""de"", ""en"")"),"ours")</f>
        <v>ours</v>
      </c>
    </row>
    <row r="591">
      <c r="A591" s="1" t="s">
        <v>591</v>
      </c>
      <c r="B591" s="2" t="str">
        <f>IFERROR(__xludf.DUMMYFUNCTION("GOOGLETRANSLATE(A591, ""de"", ""en"")"),"get")</f>
        <v>get</v>
      </c>
    </row>
    <row r="592">
      <c r="A592" s="1" t="s">
        <v>592</v>
      </c>
      <c r="B592" s="2" t="str">
        <f>IFERROR(__xludf.DUMMYFUNCTION("GOOGLETRANSLATE(A592, ""de"", ""en"")"),"blood")</f>
        <v>blood</v>
      </c>
    </row>
    <row r="593">
      <c r="A593" s="1" t="s">
        <v>593</v>
      </c>
      <c r="B593" s="2" t="str">
        <f>IFERROR(__xludf.DUMMYFUNCTION("GOOGLETRANSLATE(A593, ""de"", ""en"")"),"honest")</f>
        <v>honest</v>
      </c>
    </row>
    <row r="594">
      <c r="A594" s="1" t="s">
        <v>594</v>
      </c>
      <c r="B594" s="2" t="str">
        <f>IFERROR(__xludf.DUMMYFUNCTION("GOOGLETRANSLATE(A594, ""de"", ""en"")"),"parents")</f>
        <v>parents</v>
      </c>
    </row>
    <row r="595">
      <c r="A595" s="1" t="s">
        <v>595</v>
      </c>
      <c r="B595" s="2" t="str">
        <f>IFERROR(__xludf.DUMMYFUNCTION("GOOGLETRANSLATE(A595, ""de"", ""en"")"),"appears")</f>
        <v>appears</v>
      </c>
    </row>
    <row r="596">
      <c r="A596" s="1" t="s">
        <v>596</v>
      </c>
      <c r="B596" s="2" t="str">
        <f>IFERROR(__xludf.DUMMYFUNCTION("GOOGLETRANSLATE(A596, ""de"", ""en"")"),"heart")</f>
        <v>heart</v>
      </c>
    </row>
    <row r="597">
      <c r="A597" s="1" t="s">
        <v>597</v>
      </c>
      <c r="B597" s="2" t="str">
        <f>IFERROR(__xludf.DUMMYFUNCTION("GOOGLETRANSLATE(A597, ""de"", ""en"")"),"Jack")</f>
        <v>Jack</v>
      </c>
    </row>
    <row r="598">
      <c r="A598" s="1" t="s">
        <v>598</v>
      </c>
      <c r="B598" s="2" t="str">
        <f>IFERROR(__xludf.DUMMYFUNCTION("GOOGLETRANSLATE(A598, ""de"", ""en"")"),"happy")</f>
        <v>happy</v>
      </c>
    </row>
    <row r="599">
      <c r="A599" s="1" t="s">
        <v>599</v>
      </c>
      <c r="B599" s="2" t="str">
        <f>IFERROR(__xludf.DUMMYFUNCTION("GOOGLETRANSLATE(A599, ""de"", ""en"")"),"old ones")</f>
        <v>old ones</v>
      </c>
    </row>
    <row r="600">
      <c r="A600" s="1" t="s">
        <v>600</v>
      </c>
      <c r="B600" s="2" t="str">
        <f>IFERROR(__xludf.DUMMYFUNCTION("GOOGLETRANSLATE(A600, ""de"", ""en"")"),"old")</f>
        <v>old</v>
      </c>
    </row>
    <row r="601">
      <c r="A601" s="1" t="s">
        <v>601</v>
      </c>
      <c r="B601" s="2" t="str">
        <f>IFERROR(__xludf.DUMMYFUNCTION("GOOGLETRANSLATE(A601, ""de"", ""en"")"),"stay")</f>
        <v>stay</v>
      </c>
    </row>
    <row r="602">
      <c r="A602" s="1" t="s">
        <v>602</v>
      </c>
      <c r="B602" s="2" t="str">
        <f>IFERROR(__xludf.DUMMYFUNCTION("GOOGLETRANSLATE(A602, ""de"", ""en"")"),"see you again")</f>
        <v>see you again</v>
      </c>
    </row>
    <row r="603">
      <c r="A603" s="1" t="s">
        <v>603</v>
      </c>
      <c r="B603" s="2" t="str">
        <f>IFERROR(__xludf.DUMMYFUNCTION("GOOGLETRANSLATE(A603, ""de"", ""en"")"),"free")</f>
        <v>free</v>
      </c>
    </row>
    <row r="604">
      <c r="A604" s="1" t="s">
        <v>604</v>
      </c>
      <c r="B604" s="2" t="str">
        <f>IFERROR(__xludf.DUMMYFUNCTION("GOOGLETRANSLATE(A604, ""de"", ""en"")"),"who")</f>
        <v>who</v>
      </c>
    </row>
    <row r="605">
      <c r="A605" s="1" t="s">
        <v>605</v>
      </c>
      <c r="B605" s="2" t="str">
        <f>IFERROR(__xludf.DUMMYFUNCTION("GOOGLETRANSLATE(A605, ""de"", ""en"")"),"on it")</f>
        <v>on it</v>
      </c>
    </row>
    <row r="606">
      <c r="A606" s="1" t="s">
        <v>606</v>
      </c>
      <c r="B606" s="2" t="str">
        <f>IFERROR(__xludf.DUMMYFUNCTION("GOOGLETRANSLATE(A606, ""de"", ""en"")"),"possible")</f>
        <v>possible</v>
      </c>
    </row>
    <row r="607">
      <c r="A607" s="1" t="s">
        <v>607</v>
      </c>
      <c r="B607" s="2" t="str">
        <f>IFERROR(__xludf.DUMMYFUNCTION("GOOGLETRANSLATE(A607, ""de"", ""en"")"),"somehow")</f>
        <v>somehow</v>
      </c>
    </row>
    <row r="608">
      <c r="A608" s="1" t="s">
        <v>608</v>
      </c>
      <c r="B608" s="2" t="str">
        <f>IFERROR(__xludf.DUMMYFUNCTION("GOOGLETRANSLATE(A608, ""de"", ""en"")"),"suffices")</f>
        <v>suffices</v>
      </c>
    </row>
    <row r="609">
      <c r="A609" s="1" t="s">
        <v>609</v>
      </c>
      <c r="B609" s="2" t="str">
        <f>IFERROR(__xludf.DUMMYFUNCTION("GOOGLETRANSLATE(A609, ""de"", ""en"")"),"firmly")</f>
        <v>firmly</v>
      </c>
    </row>
    <row r="610">
      <c r="A610" s="1" t="s">
        <v>610</v>
      </c>
      <c r="B610" s="2" t="str">
        <f>IFERROR(__xludf.DUMMYFUNCTION("GOOGLETRANSLATE(A610, ""de"", ""en"")"),"best")</f>
        <v>best</v>
      </c>
    </row>
    <row r="611">
      <c r="A611" s="1" t="s">
        <v>611</v>
      </c>
      <c r="B611" s="2" t="str">
        <f>IFERROR(__xludf.DUMMYFUNCTION("GOOGLETRANSLATE(A611, ""de"", ""en"")"),"weapon")</f>
        <v>weapon</v>
      </c>
    </row>
    <row r="612">
      <c r="A612" s="1" t="s">
        <v>612</v>
      </c>
      <c r="B612" s="2" t="str">
        <f>IFERROR(__xludf.DUMMYFUNCTION("GOOGLETRANSLATE(A612, ""de"", ""en"")"),"barely")</f>
        <v>barely</v>
      </c>
    </row>
    <row r="613">
      <c r="A613" s="1" t="s">
        <v>613</v>
      </c>
      <c r="B613" s="2" t="str">
        <f>IFERROR(__xludf.DUMMYFUNCTION("GOOGLETRANSLATE(A613, ""de"", ""en"")"),"something")</f>
        <v>something</v>
      </c>
    </row>
    <row r="614">
      <c r="A614" s="1" t="s">
        <v>614</v>
      </c>
      <c r="B614" s="2" t="str">
        <f>IFERROR(__xludf.DUMMYFUNCTION("GOOGLETRANSLATE(A614, ""de"", ""en"")"),"sounds")</f>
        <v>sounds</v>
      </c>
    </row>
    <row r="615">
      <c r="A615" s="1" t="s">
        <v>615</v>
      </c>
      <c r="B615" s="2" t="str">
        <f>IFERROR(__xludf.DUMMYFUNCTION("GOOGLETRANSLATE(A615, ""de"", ""en"")"),"place")</f>
        <v>place</v>
      </c>
    </row>
    <row r="616">
      <c r="A616" s="1" t="s">
        <v>616</v>
      </c>
      <c r="B616" s="2" t="str">
        <f>IFERROR(__xludf.DUMMYFUNCTION("GOOGLETRANSLATE(A616, ""de"", ""en"")"),"need")</f>
        <v>need</v>
      </c>
    </row>
    <row r="617">
      <c r="A617" s="1" t="s">
        <v>617</v>
      </c>
      <c r="B617" s="2" t="str">
        <f>IFERROR(__xludf.DUMMYFUNCTION("GOOGLETRANSLATE(A617, ""de"", ""en"")"),"speech")</f>
        <v>speech</v>
      </c>
    </row>
    <row r="618">
      <c r="A618" s="1" t="s">
        <v>618</v>
      </c>
      <c r="B618" s="2" t="str">
        <f>IFERROR(__xludf.DUMMYFUNCTION("GOOGLETRANSLATE(A618, ""de"", ""en"")"),"papa")</f>
        <v>papa</v>
      </c>
    </row>
    <row r="619">
      <c r="A619" s="1" t="s">
        <v>619</v>
      </c>
      <c r="B619" s="2" t="str">
        <f>IFERROR(__xludf.DUMMYFUNCTION("GOOGLETRANSLATE(A619, ""de"", ""en"")"),"incorrect")</f>
        <v>incorrect</v>
      </c>
    </row>
    <row r="620">
      <c r="A620" s="1" t="s">
        <v>620</v>
      </c>
      <c r="B620" s="2" t="str">
        <f>IFERROR(__xludf.DUMMYFUNCTION("GOOGLETRANSLATE(A620, ""de"", ""en"")"),"rather")</f>
        <v>rather</v>
      </c>
    </row>
    <row r="621">
      <c r="A621" s="1" t="s">
        <v>621</v>
      </c>
      <c r="B621" s="2" t="str">
        <f>IFERROR(__xludf.DUMMYFUNCTION("GOOGLETRANSLATE(A621, ""de"", ""en"")"),"old")</f>
        <v>old</v>
      </c>
    </row>
    <row r="622">
      <c r="A622" s="1" t="s">
        <v>622</v>
      </c>
      <c r="B622" s="2" t="str">
        <f>IFERROR(__xludf.DUMMYFUNCTION("GOOGLETRANSLATE(A622, ""de"", ""en"")"),"number")</f>
        <v>number</v>
      </c>
    </row>
    <row r="623">
      <c r="A623" s="1" t="s">
        <v>623</v>
      </c>
      <c r="B623" s="2" t="str">
        <f>IFERROR(__xludf.DUMMYFUNCTION("GOOGLETRANSLATE(A623, ""de"", ""en"")"),"earlier")</f>
        <v>earlier</v>
      </c>
    </row>
    <row r="624">
      <c r="A624" s="1" t="s">
        <v>624</v>
      </c>
      <c r="B624" s="2" t="str">
        <f>IFERROR(__xludf.DUMMYFUNCTION("GOOGLETRANSLATE(A624, ""de"", ""en"")"),"boys")</f>
        <v>boys</v>
      </c>
    </row>
    <row r="625">
      <c r="A625" s="1" t="s">
        <v>625</v>
      </c>
      <c r="B625" s="2" t="str">
        <f>IFERROR(__xludf.DUMMYFUNCTION("GOOGLETRANSLATE(A625, ""de"", ""en"")"),"where")</f>
        <v>where</v>
      </c>
    </row>
    <row r="626">
      <c r="A626" s="1" t="s">
        <v>626</v>
      </c>
      <c r="B626" s="2" t="str">
        <f>IFERROR(__xludf.DUMMYFUNCTION("GOOGLETRANSLATE(A626, ""de"", ""en"")"),"except")</f>
        <v>except</v>
      </c>
    </row>
    <row r="627">
      <c r="A627" s="1" t="s">
        <v>627</v>
      </c>
      <c r="B627" s="2" t="str">
        <f>IFERROR(__xludf.DUMMYFUNCTION("GOOGLETRANSLATE(A627, ""de"", ""en"")"),"early")</f>
        <v>early</v>
      </c>
    </row>
    <row r="628">
      <c r="A628" s="1" t="s">
        <v>628</v>
      </c>
      <c r="B628" s="2" t="str">
        <f>IFERROR(__xludf.DUMMYFUNCTION("GOOGLETRANSLATE(A628, ""de"", ""en"")"),"set")</f>
        <v>set</v>
      </c>
    </row>
    <row r="629">
      <c r="A629" s="1" t="s">
        <v>629</v>
      </c>
      <c r="B629" s="2" t="str">
        <f>IFERROR(__xludf.DUMMYFUNCTION("GOOGLETRANSLATE(A629, ""de"", ""en"")"),"first")</f>
        <v>first</v>
      </c>
    </row>
    <row r="630">
      <c r="A630" s="1" t="s">
        <v>630</v>
      </c>
      <c r="B630" s="2" t="str">
        <f>IFERROR(__xludf.DUMMYFUNCTION("GOOGLETRANSLATE(A630, ""de"", ""en"")"),"probably")</f>
        <v>probably</v>
      </c>
    </row>
    <row r="631">
      <c r="A631" s="1" t="s">
        <v>631</v>
      </c>
      <c r="B631" s="2" t="str">
        <f>IFERROR(__xludf.DUMMYFUNCTION("GOOGLETRANSLATE(A631, ""de"", ""en"")"),"may")</f>
        <v>may</v>
      </c>
    </row>
    <row r="632">
      <c r="A632" s="1" t="s">
        <v>632</v>
      </c>
      <c r="B632" s="2" t="str">
        <f>IFERROR(__xludf.DUMMYFUNCTION("GOOGLETRANSLATE(A632, ""de"", ""en"")"),"every")</f>
        <v>every</v>
      </c>
    </row>
    <row r="633">
      <c r="A633" s="1" t="s">
        <v>633</v>
      </c>
      <c r="B633" s="2" t="str">
        <f>IFERROR(__xludf.DUMMYFUNCTION("GOOGLETRANSLATE(A633, ""de"", ""en"")"),"ass")</f>
        <v>ass</v>
      </c>
    </row>
    <row r="634">
      <c r="A634" s="1" t="s">
        <v>634</v>
      </c>
      <c r="B634" s="2" t="str">
        <f>IFERROR(__xludf.DUMMYFUNCTION("GOOGLETRANSLATE(A634, ""de"", ""en"")"),"phone")</f>
        <v>phone</v>
      </c>
    </row>
    <row r="635">
      <c r="A635" s="1" t="s">
        <v>635</v>
      </c>
      <c r="B635" s="2" t="str">
        <f>IFERROR(__xludf.DUMMYFUNCTION("GOOGLETRANSLATE(A635, ""de"", ""en"")"),"do")</f>
        <v>do</v>
      </c>
    </row>
    <row r="636">
      <c r="A636" s="1" t="s">
        <v>636</v>
      </c>
      <c r="B636" s="2" t="str">
        <f>IFERROR(__xludf.DUMMYFUNCTION("GOOGLETRANSLATE(A636, ""de"", ""en"")"),"know")</f>
        <v>know</v>
      </c>
    </row>
    <row r="637">
      <c r="A637" s="1" t="s">
        <v>637</v>
      </c>
      <c r="B637" s="2" t="str">
        <f>IFERROR(__xludf.DUMMYFUNCTION("GOOGLETRANSLATE(A637, ""de"", ""en"")"),"welcome")</f>
        <v>welcome</v>
      </c>
    </row>
    <row r="638">
      <c r="A638" s="1" t="s">
        <v>638</v>
      </c>
      <c r="B638" s="2" t="str">
        <f>IFERROR(__xludf.DUMMYFUNCTION("GOOGLETRANSLATE(A638, ""de"", ""en"")"),"plan")</f>
        <v>plan</v>
      </c>
    </row>
    <row r="639">
      <c r="A639" s="1" t="s">
        <v>639</v>
      </c>
      <c r="B639" s="2" t="str">
        <f>IFERROR(__xludf.DUMMYFUNCTION("GOOGLETRANSLATE(A639, ""de"", ""en"")"),"big")</f>
        <v>big</v>
      </c>
    </row>
    <row r="640">
      <c r="A640" s="1" t="s">
        <v>640</v>
      </c>
      <c r="B640" s="2" t="str">
        <f>IFERROR(__xludf.DUMMYFUNCTION("GOOGLETRANSLATE(A640, ""de"", ""en"")"),"save")</f>
        <v>save</v>
      </c>
    </row>
    <row r="641">
      <c r="A641" s="1" t="s">
        <v>641</v>
      </c>
      <c r="B641" s="2" t="str">
        <f>IFERROR(__xludf.DUMMYFUNCTION("GOOGLETRANSLATE(A641, ""de"", ""en"")"),"here")</f>
        <v>here</v>
      </c>
    </row>
    <row r="642">
      <c r="A642" s="1" t="s">
        <v>642</v>
      </c>
      <c r="B642" s="2" t="str">
        <f>IFERROR(__xludf.DUMMYFUNCTION("GOOGLETRANSLATE(A642, ""de"", ""en"")"),"would be")</f>
        <v>would be</v>
      </c>
    </row>
    <row r="643">
      <c r="A643" s="1" t="s">
        <v>643</v>
      </c>
      <c r="B643" s="2" t="str">
        <f>IFERROR(__xludf.DUMMYFUNCTION("GOOGLETRANSLATE(A643, ""de"", ""en"")"),"bring")</f>
        <v>bring</v>
      </c>
    </row>
    <row r="644">
      <c r="A644" s="1" t="s">
        <v>644</v>
      </c>
      <c r="B644" s="2" t="str">
        <f>IFERROR(__xludf.DUMMYFUNCTION("GOOGLETRANSLATE(A644, ""de"", ""en"")"),"mistake")</f>
        <v>mistake</v>
      </c>
    </row>
    <row r="645">
      <c r="A645" s="1" t="s">
        <v>645</v>
      </c>
      <c r="B645" s="2" t="str">
        <f>IFERROR(__xludf.DUMMYFUNCTION("GOOGLETRANSLATE(A645, ""de"", ""en"")"),"wanted")</f>
        <v>wanted</v>
      </c>
    </row>
    <row r="646">
      <c r="A646" s="1" t="s">
        <v>646</v>
      </c>
      <c r="B646" s="2" t="str">
        <f>IFERROR(__xludf.DUMMYFUNCTION("GOOGLETRANSLATE(A646, ""de"", ""en"")"),"dollar")</f>
        <v>dollar</v>
      </c>
    </row>
    <row r="647">
      <c r="A647" s="1" t="s">
        <v>647</v>
      </c>
      <c r="B647" s="2" t="str">
        <f>IFERROR(__xludf.DUMMYFUNCTION("GOOGLETRANSLATE(A647, ""de"", ""en"")"),"ten")</f>
        <v>ten</v>
      </c>
    </row>
    <row r="648">
      <c r="A648" s="1" t="s">
        <v>648</v>
      </c>
      <c r="B648" s="2" t="str">
        <f>IFERROR(__xludf.DUMMYFUNCTION("GOOGLETRANSLATE(A648, ""de"", ""en"")"),"everything")</f>
        <v>everything</v>
      </c>
    </row>
    <row r="649">
      <c r="A649" s="1" t="s">
        <v>649</v>
      </c>
      <c r="B649" s="2" t="str">
        <f>IFERROR(__xludf.DUMMYFUNCTION("GOOGLETRANSLATE(A649, ""de"", ""en"")"),"passport")</f>
        <v>passport</v>
      </c>
    </row>
    <row r="650">
      <c r="A650" s="1" t="s">
        <v>650</v>
      </c>
      <c r="B650" s="2" t="str">
        <f>IFERROR(__xludf.DUMMYFUNCTION("GOOGLETRANSLATE(A650, ""de"", ""en"")"),"next")</f>
        <v>next</v>
      </c>
    </row>
    <row r="651">
      <c r="A651" s="1" t="s">
        <v>651</v>
      </c>
      <c r="B651" s="2" t="str">
        <f>IFERROR(__xludf.DUMMYFUNCTION("GOOGLETRANSLATE(A651, ""de"", ""en"")"),"hour")</f>
        <v>hour</v>
      </c>
    </row>
    <row r="652">
      <c r="A652" s="1" t="s">
        <v>652</v>
      </c>
      <c r="B652" s="2" t="str">
        <f>IFERROR(__xludf.DUMMYFUNCTION("GOOGLETRANSLATE(A652, ""de"", ""en"")"),"hands")</f>
        <v>hands</v>
      </c>
    </row>
    <row r="653">
      <c r="A653" s="1" t="s">
        <v>653</v>
      </c>
      <c r="B653" s="2" t="str">
        <f>IFERROR(__xludf.DUMMYFUNCTION("GOOGLETRANSLATE(A653, ""de"", ""en"")"),"given")</f>
        <v>given</v>
      </c>
    </row>
    <row r="654">
      <c r="A654" s="1" t="s">
        <v>654</v>
      </c>
      <c r="B654" s="2" t="str">
        <f>IFERROR(__xludf.DUMMYFUNCTION("GOOGLETRANSLATE(A654, ""de"", ""en"")"),"crowd")</f>
        <v>crowd</v>
      </c>
    </row>
    <row r="655">
      <c r="A655" s="1" t="s">
        <v>655</v>
      </c>
      <c r="B655" s="2" t="str">
        <f>IFERROR(__xludf.DUMMYFUNCTION("GOOGLETRANSLATE(A655, ""de"", ""en"")"),"slow")</f>
        <v>slow</v>
      </c>
    </row>
    <row r="656">
      <c r="A656" s="1" t="s">
        <v>656</v>
      </c>
      <c r="B656" s="2" t="str">
        <f>IFERROR(__xludf.DUMMYFUNCTION("GOOGLETRANSLATE(A656, ""de"", ""en"")"),"already")</f>
        <v>already</v>
      </c>
    </row>
    <row r="657">
      <c r="A657" s="1" t="s">
        <v>657</v>
      </c>
      <c r="B657" s="2" t="str">
        <f>IFERROR(__xludf.DUMMYFUNCTION("GOOGLETRANSLATE(A657, ""de"", ""en"")"),"waits")</f>
        <v>waits</v>
      </c>
    </row>
    <row r="658">
      <c r="A658" s="1" t="s">
        <v>658</v>
      </c>
      <c r="B658" s="2" t="str">
        <f>IFERROR(__xludf.DUMMYFUNCTION("GOOGLETRANSLATE(A658, ""de"", ""en"")"),"six")</f>
        <v>six</v>
      </c>
    </row>
    <row r="659">
      <c r="A659" s="1" t="s">
        <v>659</v>
      </c>
      <c r="B659" s="2" t="str">
        <f>IFERROR(__xludf.DUMMYFUNCTION("GOOGLETRANSLATE(A659, ""de"", ""en"")"),"love")</f>
        <v>love</v>
      </c>
    </row>
    <row r="660">
      <c r="A660" s="1" t="s">
        <v>660</v>
      </c>
      <c r="B660" s="2" t="str">
        <f>IFERROR(__xludf.DUMMYFUNCTION("GOOGLETRANSLATE(A660, ""de"", ""en"")"),"mine")</f>
        <v>mine</v>
      </c>
    </row>
    <row r="661">
      <c r="A661" s="1" t="s">
        <v>661</v>
      </c>
      <c r="B661" s="2" t="str">
        <f>IFERROR(__xludf.DUMMYFUNCTION("GOOGLETRANSLATE(A661, ""de"", ""en"")"),"office")</f>
        <v>office</v>
      </c>
    </row>
    <row r="662">
      <c r="A662" s="1" t="s">
        <v>662</v>
      </c>
      <c r="B662" s="2" t="str">
        <f>IFERROR(__xludf.DUMMYFUNCTION("GOOGLETRANSLATE(A662, ""de"", ""en"")"),"next")</f>
        <v>next</v>
      </c>
    </row>
    <row r="663">
      <c r="A663" s="1" t="s">
        <v>663</v>
      </c>
      <c r="B663" s="2" t="str">
        <f>IFERROR(__xludf.DUMMYFUNCTION("GOOGLETRANSLATE(A663, ""de"", ""en"")"),"give")</f>
        <v>give</v>
      </c>
    </row>
    <row r="664">
      <c r="A664" s="1" t="s">
        <v>664</v>
      </c>
      <c r="B664" s="2" t="str">
        <f>IFERROR(__xludf.DUMMYFUNCTION("GOOGLETRANSLATE(A664, ""de"", ""en"")"),"weeks")</f>
        <v>weeks</v>
      </c>
    </row>
    <row r="665">
      <c r="A665" s="1" t="s">
        <v>665</v>
      </c>
      <c r="B665" s="2" t="str">
        <f>IFERROR(__xludf.DUMMYFUNCTION("GOOGLETRANSLATE(A665, ""de"", ""en"")"),"call")</f>
        <v>call</v>
      </c>
    </row>
    <row r="666">
      <c r="A666" s="1" t="s">
        <v>666</v>
      </c>
      <c r="B666" s="2" t="str">
        <f>IFERROR(__xludf.DUMMYFUNCTION("GOOGLETRANSLATE(A666, ""de"", ""en"")"),"create")</f>
        <v>create</v>
      </c>
    </row>
    <row r="667">
      <c r="A667" s="1" t="s">
        <v>667</v>
      </c>
      <c r="B667" s="2" t="str">
        <f>IFERROR(__xludf.DUMMYFUNCTION("GOOGLETRANSLATE(A667, ""de"", ""en"")"),"unfortunately")</f>
        <v>unfortunately</v>
      </c>
    </row>
    <row r="668">
      <c r="A668" s="1" t="s">
        <v>668</v>
      </c>
      <c r="B668" s="2" t="str">
        <f>IFERROR(__xludf.DUMMYFUNCTION("GOOGLETRANSLATE(A668, ""de"", ""en"")"),"shit")</f>
        <v>shit</v>
      </c>
    </row>
    <row r="669">
      <c r="A669" s="1" t="s">
        <v>669</v>
      </c>
      <c r="B669" s="2" t="str">
        <f>IFERROR(__xludf.DUMMYFUNCTION("GOOGLETRANSLATE(A669, ""de"", ""en"")"),"hell")</f>
        <v>hell</v>
      </c>
    </row>
    <row r="670">
      <c r="A670" s="1" t="s">
        <v>670</v>
      </c>
      <c r="B670" s="2" t="str">
        <f>IFERROR(__xludf.DUMMYFUNCTION("GOOGLETRANSLATE(A670, ""de"", ""en"")"),"despite it")</f>
        <v>despite it</v>
      </c>
    </row>
    <row r="671">
      <c r="A671" s="1" t="s">
        <v>671</v>
      </c>
      <c r="B671" s="2" t="str">
        <f>IFERROR(__xludf.DUMMYFUNCTION("GOOGLETRANSLATE(A671, ""de"", ""en"")"),"doctor")</f>
        <v>doctor</v>
      </c>
    </row>
    <row r="672">
      <c r="A672" s="1" t="s">
        <v>672</v>
      </c>
      <c r="B672" s="2" t="str">
        <f>IFERROR(__xludf.DUMMYFUNCTION("GOOGLETRANSLATE(A672, ""de"", ""en"")"),"well")</f>
        <v>well</v>
      </c>
    </row>
    <row r="673">
      <c r="A673" s="1" t="s">
        <v>673</v>
      </c>
      <c r="B673" s="2" t="str">
        <f>IFERROR(__xludf.DUMMYFUNCTION("GOOGLETRANSLATE(A673, ""de"", ""en"")"),"new")</f>
        <v>new</v>
      </c>
    </row>
    <row r="674">
      <c r="A674" s="1" t="s">
        <v>674</v>
      </c>
      <c r="B674" s="2" t="str">
        <f>IFERROR(__xludf.DUMMYFUNCTION("GOOGLETRANSLATE(A674, ""de"", ""en"")"),"full")</f>
        <v>full</v>
      </c>
    </row>
    <row r="675">
      <c r="A675" s="1" t="s">
        <v>675</v>
      </c>
      <c r="B675" s="2" t="str">
        <f>IFERROR(__xludf.DUMMYFUNCTION("GOOGLETRANSLATE(A675, ""de"", ""en"")"),"film")</f>
        <v>film</v>
      </c>
    </row>
    <row r="676">
      <c r="A676" s="1" t="s">
        <v>676</v>
      </c>
      <c r="B676" s="2" t="str">
        <f>IFERROR(__xludf.DUMMYFUNCTION("GOOGLETRANSLATE(A676, ""de"", ""en"")"),"everywhere")</f>
        <v>everywhere</v>
      </c>
    </row>
    <row r="677">
      <c r="A677" s="1" t="s">
        <v>677</v>
      </c>
      <c r="B677" s="2" t="str">
        <f>IFERROR(__xludf.DUMMYFUNCTION("GOOGLETRANSLATE(A677, ""de"", ""en"")"),"dog")</f>
        <v>dog</v>
      </c>
    </row>
    <row r="678">
      <c r="A678" s="1" t="s">
        <v>678</v>
      </c>
      <c r="B678" s="2" t="str">
        <f>IFERROR(__xludf.DUMMYFUNCTION("GOOGLETRANSLATE(A678, ""de"", ""en"")"),"become")</f>
        <v>become</v>
      </c>
    </row>
    <row r="679">
      <c r="A679" s="1" t="s">
        <v>679</v>
      </c>
      <c r="B679" s="2" t="str">
        <f>IFERROR(__xludf.DUMMYFUNCTION("GOOGLETRANSLATE(A679, ""de"", ""en"")"),"direct")</f>
        <v>direct</v>
      </c>
    </row>
    <row r="680">
      <c r="A680" s="1" t="s">
        <v>680</v>
      </c>
      <c r="B680" s="2" t="str">
        <f>IFERROR(__xludf.DUMMYFUNCTION("GOOGLETRANSLATE(A680, ""de"", ""en"")"),"wanted")</f>
        <v>wanted</v>
      </c>
    </row>
    <row r="681">
      <c r="A681" s="1" t="s">
        <v>681</v>
      </c>
      <c r="B681" s="2" t="str">
        <f>IFERROR(__xludf.DUMMYFUNCTION("GOOGLETRANSLATE(A681, ""de"", ""en"")"),"did")</f>
        <v>did</v>
      </c>
    </row>
    <row r="682">
      <c r="A682" s="1" t="s">
        <v>682</v>
      </c>
      <c r="B682" s="2" t="str">
        <f>IFERROR(__xludf.DUMMYFUNCTION("GOOGLETRANSLATE(A682, ""de"", ""en"")"),"thinks")</f>
        <v>thinks</v>
      </c>
    </row>
    <row r="683">
      <c r="A683" s="1" t="s">
        <v>683</v>
      </c>
      <c r="B683" s="2" t="str">
        <f>IFERROR(__xludf.DUMMYFUNCTION("GOOGLETRANSLATE(A683, ""de"", ""en"")"),"ship")</f>
        <v>ship</v>
      </c>
    </row>
    <row r="684">
      <c r="A684" s="1" t="s">
        <v>684</v>
      </c>
      <c r="B684" s="2" t="str">
        <f>IFERROR(__xludf.DUMMYFUNCTION("GOOGLETRANSLATE(A684, ""de"", ""en"")"),"new")</f>
        <v>new</v>
      </c>
    </row>
    <row r="685">
      <c r="A685" s="1" t="s">
        <v>685</v>
      </c>
      <c r="B685" s="2" t="str">
        <f>IFERROR(__xludf.DUMMYFUNCTION("GOOGLETRANSLATE(A685, ""de"", ""en"")"),"whom")</f>
        <v>whom</v>
      </c>
    </row>
    <row r="686">
      <c r="A686" s="1" t="s">
        <v>686</v>
      </c>
      <c r="B686" s="2" t="str">
        <f>IFERROR(__xludf.DUMMYFUNCTION("GOOGLETRANSLATE(A686, ""de"", ""en"")"),"king")</f>
        <v>king</v>
      </c>
    </row>
    <row r="687">
      <c r="A687" s="1" t="s">
        <v>687</v>
      </c>
      <c r="B687" s="2" t="str">
        <f>IFERROR(__xludf.DUMMYFUNCTION("GOOGLETRANSLATE(A687, ""de"", ""en"")"),"thereafter")</f>
        <v>thereafter</v>
      </c>
    </row>
    <row r="688">
      <c r="A688" s="1" t="s">
        <v>688</v>
      </c>
      <c r="B688" s="2" t="str">
        <f>IFERROR(__xludf.DUMMYFUNCTION("GOOGLETRANSLATE(A688, ""de"", ""en"")"),"functions")</f>
        <v>functions</v>
      </c>
    </row>
    <row r="689">
      <c r="A689" s="1" t="s">
        <v>689</v>
      </c>
      <c r="B689" s="2" t="str">
        <f>IFERROR(__xludf.DUMMYFUNCTION("GOOGLETRANSLATE(A689, ""de"", ""en"")"),"had")</f>
        <v>had</v>
      </c>
    </row>
    <row r="690">
      <c r="A690" s="1" t="s">
        <v>690</v>
      </c>
      <c r="B690" s="2" t="str">
        <f>IFERROR(__xludf.DUMMYFUNCTION("GOOGLETRANSLATE(A690, ""de"", ""en"")"),"learn")</f>
        <v>learn</v>
      </c>
    </row>
    <row r="691">
      <c r="A691" s="1" t="s">
        <v>691</v>
      </c>
      <c r="B691" s="2" t="str">
        <f>IFERROR(__xludf.DUMMYFUNCTION("GOOGLETRANSLATE(A691, ""de"", ""en"")"),"because of this")</f>
        <v>because of this</v>
      </c>
    </row>
    <row r="692">
      <c r="A692" s="1" t="s">
        <v>692</v>
      </c>
      <c r="B692" s="2" t="str">
        <f>IFERROR(__xludf.DUMMYFUNCTION("GOOGLETRANSLATE(A692, ""de"", ""en"")"),"Wow")</f>
        <v>Wow</v>
      </c>
    </row>
    <row r="693">
      <c r="A693" s="1" t="s">
        <v>693</v>
      </c>
      <c r="B693" s="2" t="str">
        <f>IFERROR(__xludf.DUMMYFUNCTION("GOOGLETRANSLATE(A693, ""de"", ""en"")"),"to name")</f>
        <v>to name</v>
      </c>
    </row>
    <row r="694">
      <c r="A694" s="1" t="s">
        <v>694</v>
      </c>
      <c r="B694" s="2" t="str">
        <f>IFERROR(__xludf.DUMMYFUNCTION("GOOGLETRANSLATE(A694, ""de"", ""en"")"),"Hm")</f>
        <v>Hm</v>
      </c>
    </row>
    <row r="695">
      <c r="A695" s="1" t="s">
        <v>695</v>
      </c>
      <c r="B695" s="2" t="str">
        <f>IFERROR(__xludf.DUMMYFUNCTION("GOOGLETRANSLATE(A695, ""de"", ""en"")"),"fire")</f>
        <v>fire</v>
      </c>
    </row>
    <row r="696">
      <c r="A696" s="1" t="s">
        <v>696</v>
      </c>
      <c r="B696" s="2" t="str">
        <f>IFERROR(__xludf.DUMMYFUNCTION("GOOGLETRANSLATE(A696, ""de"", ""en"")"),"run")</f>
        <v>run</v>
      </c>
    </row>
    <row r="697">
      <c r="A697" s="1" t="s">
        <v>697</v>
      </c>
      <c r="B697" s="2" t="str">
        <f>IFERROR(__xludf.DUMMYFUNCTION("GOOGLETRANSLATE(A697, ""de"", ""en"")"),"alone")</f>
        <v>alone</v>
      </c>
    </row>
    <row r="698">
      <c r="A698" s="1" t="s">
        <v>698</v>
      </c>
      <c r="B698" s="2" t="str">
        <f>IFERROR(__xludf.DUMMYFUNCTION("GOOGLETRANSLATE(A698, ""de"", ""en"")"),"remember")</f>
        <v>remember</v>
      </c>
    </row>
    <row r="699">
      <c r="A699" s="1" t="s">
        <v>699</v>
      </c>
      <c r="B699" s="2" t="str">
        <f>IFERROR(__xludf.DUMMYFUNCTION("GOOGLETRANSLATE(A699, ""de"", ""en"")"),"fully")</f>
        <v>fully</v>
      </c>
    </row>
    <row r="700">
      <c r="A700" s="1" t="s">
        <v>700</v>
      </c>
      <c r="B700" s="2" t="str">
        <f>IFERROR(__xludf.DUMMYFUNCTION("GOOGLETRANSLATE(A700, ""de"", ""en"")"),"small")</f>
        <v>small</v>
      </c>
    </row>
    <row r="701">
      <c r="A701" s="1" t="s">
        <v>701</v>
      </c>
      <c r="B701" s="2" t="str">
        <f>IFERROR(__xludf.DUMMYFUNCTION("GOOGLETRANSLATE(A701, ""de"", ""en"")"),"can")</f>
        <v>can</v>
      </c>
    </row>
    <row r="702">
      <c r="A702" s="1" t="s">
        <v>702</v>
      </c>
      <c r="B702" s="2" t="str">
        <f>IFERROR(__xludf.DUMMYFUNCTION("GOOGLETRANSLATE(A702, ""de"", ""en"")"),"place")</f>
        <v>place</v>
      </c>
    </row>
    <row r="703">
      <c r="A703" s="1" t="s">
        <v>703</v>
      </c>
      <c r="B703" s="2" t="str">
        <f>IFERROR(__xludf.DUMMYFUNCTION("GOOGLETRANSLATE(A703, ""de"", ""en"")"),"buddy")</f>
        <v>buddy</v>
      </c>
    </row>
    <row r="704">
      <c r="A704" s="1" t="s">
        <v>704</v>
      </c>
      <c r="B704" s="2" t="str">
        <f>IFERROR(__xludf.DUMMYFUNCTION("GOOGLETRANSLATE(A704, ""de"", ""en"")"),"lose")</f>
        <v>lose</v>
      </c>
    </row>
    <row r="705">
      <c r="A705" s="1" t="s">
        <v>705</v>
      </c>
      <c r="B705" s="2" t="str">
        <f>IFERROR(__xludf.DUMMYFUNCTION("GOOGLETRANSLATE(A705, ""de"", ""en"")"),"problems")</f>
        <v>problems</v>
      </c>
    </row>
    <row r="706">
      <c r="A706" s="1" t="s">
        <v>706</v>
      </c>
      <c r="B706" s="2" t="str">
        <f>IFERROR(__xludf.DUMMYFUNCTION("GOOGLETRANSLATE(A706, ""de"", ""en"")"),"speaks")</f>
        <v>speaks</v>
      </c>
    </row>
    <row r="707">
      <c r="A707" s="1" t="s">
        <v>707</v>
      </c>
      <c r="B707" s="2" t="str">
        <f>IFERROR(__xludf.DUMMYFUNCTION("GOOGLETRANSLATE(A707, ""de"", ""en"")"),"coffee")</f>
        <v>coffee</v>
      </c>
    </row>
    <row r="708">
      <c r="A708" s="1" t="s">
        <v>708</v>
      </c>
      <c r="B708" s="2" t="str">
        <f>IFERROR(__xludf.DUMMYFUNCTION("GOOGLETRANSLATE(A708, ""de"", ""en"")"),"air")</f>
        <v>air</v>
      </c>
    </row>
    <row r="709">
      <c r="A709" s="1" t="s">
        <v>709</v>
      </c>
      <c r="B709" s="2" t="str">
        <f>IFERROR(__xludf.DUMMYFUNCTION("GOOGLETRANSLATE(A709, ""de"", ""en"")"),"found")</f>
        <v>found</v>
      </c>
    </row>
    <row r="710">
      <c r="A710" s="1" t="s">
        <v>710</v>
      </c>
      <c r="B710" s="2" t="str">
        <f>IFERROR(__xludf.DUMMYFUNCTION("GOOGLETRANSLATE(A710, ""de"", ""en"")"),"i")</f>
        <v>i</v>
      </c>
    </row>
    <row r="711">
      <c r="A711" s="1" t="s">
        <v>711</v>
      </c>
      <c r="B711" s="2" t="str">
        <f>IFERROR(__xludf.DUMMYFUNCTION("GOOGLETRANSLATE(A711, ""de"", ""en"")"),"sorry")</f>
        <v>sorry</v>
      </c>
    </row>
    <row r="712">
      <c r="A712" s="1" t="s">
        <v>712</v>
      </c>
      <c r="B712" s="2" t="str">
        <f>IFERROR(__xludf.DUMMYFUNCTION("GOOGLETRANSLATE(A712, ""de"", ""en"")"),"pull")</f>
        <v>pull</v>
      </c>
    </row>
    <row r="713">
      <c r="A713" s="1" t="s">
        <v>713</v>
      </c>
      <c r="B713" s="2" t="str">
        <f>IFERROR(__xludf.DUMMYFUNCTION("GOOGLETRANSLATE(A713, ""de"", ""en"")"),"disappear")</f>
        <v>disappear</v>
      </c>
    </row>
    <row r="714">
      <c r="A714" s="1" t="s">
        <v>714</v>
      </c>
      <c r="B714" s="2" t="str">
        <f>IFERROR(__xludf.DUMMYFUNCTION("GOOGLETRANSLATE(A714, ""de"", ""en"")"),"could")</f>
        <v>could</v>
      </c>
    </row>
    <row r="715">
      <c r="A715" s="1" t="s">
        <v>715</v>
      </c>
      <c r="B715" s="2" t="str">
        <f>IFERROR(__xludf.DUMMYFUNCTION("GOOGLETRANSLATE(A715, ""de"", ""en"")"),"see")</f>
        <v>see</v>
      </c>
    </row>
    <row r="716">
      <c r="A716" s="1" t="s">
        <v>716</v>
      </c>
      <c r="B716" s="2" t="str">
        <f>IFERROR(__xludf.DUMMYFUNCTION("GOOGLETRANSLATE(A716, ""de"", ""en"")"),"stop")</f>
        <v>stop</v>
      </c>
    </row>
    <row r="717">
      <c r="A717" s="1" t="s">
        <v>717</v>
      </c>
      <c r="B717" s="2" t="str">
        <f>IFERROR(__xludf.DUMMYFUNCTION("GOOGLETRANSLATE(A717, ""de"", ""en"")"),"own")</f>
        <v>own</v>
      </c>
    </row>
    <row r="718">
      <c r="A718" s="1" t="s">
        <v>718</v>
      </c>
      <c r="B718" s="2" t="str">
        <f>IFERROR(__xludf.DUMMYFUNCTION("GOOGLETRANSLATE(A718, ""de"", ""en"")"),"correct")</f>
        <v>correct</v>
      </c>
    </row>
    <row r="719">
      <c r="A719" s="1" t="s">
        <v>719</v>
      </c>
      <c r="B719" s="2" t="str">
        <f>IFERROR(__xludf.DUMMYFUNCTION("GOOGLETRANSLATE(A719, ""de"", ""en"")"),"ours")</f>
        <v>ours</v>
      </c>
    </row>
    <row r="720">
      <c r="A720" s="1" t="s">
        <v>720</v>
      </c>
      <c r="B720" s="2" t="str">
        <f>IFERROR(__xludf.DUMMYFUNCTION("GOOGLETRANSLATE(A720, ""de"", ""en"")"),"search")</f>
        <v>search</v>
      </c>
    </row>
    <row r="721">
      <c r="A721" s="1" t="s">
        <v>721</v>
      </c>
      <c r="B721" s="2" t="str">
        <f>IFERROR(__xludf.DUMMYFUNCTION("GOOGLETRANSLATE(A721, ""de"", ""en"")"),"that is")</f>
        <v>that is</v>
      </c>
    </row>
    <row r="722">
      <c r="A722" s="1" t="s">
        <v>722</v>
      </c>
      <c r="B722" s="2" t="str">
        <f>IFERROR(__xludf.DUMMYFUNCTION("GOOGLETRANSLATE(A722, ""de"", ""en"")"),"large")</f>
        <v>large</v>
      </c>
    </row>
    <row r="723">
      <c r="A723" s="1" t="s">
        <v>723</v>
      </c>
      <c r="B723" s="2" t="str">
        <f>IFERROR(__xludf.DUMMYFUNCTION("GOOGLETRANSLATE(A723, ""de"", ""en"")"),"get")</f>
        <v>get</v>
      </c>
    </row>
    <row r="724">
      <c r="A724" s="1" t="s">
        <v>724</v>
      </c>
      <c r="B724" s="2" t="str">
        <f>IFERROR(__xludf.DUMMYFUNCTION("GOOGLETRANSLATE(A724, ""de"", ""en"")"),"book")</f>
        <v>book</v>
      </c>
    </row>
    <row r="725">
      <c r="A725" s="1" t="s">
        <v>725</v>
      </c>
      <c r="B725" s="2" t="str">
        <f>IFERROR(__xludf.DUMMYFUNCTION("GOOGLETRANSLATE(A725, ""de"", ""en"")"),"sick")</f>
        <v>sick</v>
      </c>
    </row>
    <row r="726">
      <c r="A726" s="1" t="s">
        <v>726</v>
      </c>
      <c r="B726" s="2" t="str">
        <f>IFERROR(__xludf.DUMMYFUNCTION("GOOGLETRANSLATE(A726, ""de"", ""en"")"),"feel")</f>
        <v>feel</v>
      </c>
    </row>
    <row r="727">
      <c r="A727" s="1" t="s">
        <v>727</v>
      </c>
      <c r="B727" s="2" t="str">
        <f>IFERROR(__xludf.DUMMYFUNCTION("GOOGLETRANSLATE(A727, ""de"", ""en"")"),"each")</f>
        <v>each</v>
      </c>
    </row>
    <row r="728">
      <c r="A728" s="1" t="s">
        <v>728</v>
      </c>
      <c r="B728" s="2" t="str">
        <f>IFERROR(__xludf.DUMMYFUNCTION("GOOGLETRANSLATE(A728, ""de"", ""en"")"),"understand")</f>
        <v>understand</v>
      </c>
    </row>
    <row r="729">
      <c r="A729" s="1" t="s">
        <v>729</v>
      </c>
      <c r="B729" s="2" t="str">
        <f>IFERROR(__xludf.DUMMYFUNCTION("GOOGLETRANSLATE(A729, ""de"", ""en"")"),"value")</f>
        <v>value</v>
      </c>
    </row>
    <row r="730">
      <c r="A730" s="1" t="s">
        <v>730</v>
      </c>
      <c r="B730" s="2" t="str">
        <f>IFERROR(__xludf.DUMMYFUNCTION("GOOGLETRANSLATE(A730, ""de"", ""en"")"),"physician")</f>
        <v>physician</v>
      </c>
    </row>
    <row r="731">
      <c r="A731" s="1" t="s">
        <v>731</v>
      </c>
      <c r="B731" s="2" t="str">
        <f>IFERROR(__xludf.DUMMYFUNCTION("GOOGLETRANSLATE(A731, ""de"", ""en"")"),"glad")</f>
        <v>glad</v>
      </c>
    </row>
    <row r="732">
      <c r="A732" s="1" t="s">
        <v>732</v>
      </c>
      <c r="B732" s="2" t="str">
        <f>IFERROR(__xludf.DUMMYFUNCTION("GOOGLETRANSLATE(A732, ""de"", ""en"")"),"try")</f>
        <v>try</v>
      </c>
    </row>
    <row r="733">
      <c r="A733" s="1" t="s">
        <v>733</v>
      </c>
      <c r="B733" s="2" t="str">
        <f>IFERROR(__xludf.DUMMYFUNCTION("GOOGLETRANSLATE(A733, ""de"", ""en"")"),"street")</f>
        <v>street</v>
      </c>
    </row>
    <row r="734">
      <c r="A734" s="1" t="s">
        <v>734</v>
      </c>
      <c r="B734" s="2" t="str">
        <f>IFERROR(__xludf.DUMMYFUNCTION("GOOGLETRANSLATE(A734, ""de"", ""en"")"),"call")</f>
        <v>call</v>
      </c>
    </row>
    <row r="735">
      <c r="A735" s="1" t="s">
        <v>735</v>
      </c>
      <c r="B735" s="2" t="str">
        <f>IFERROR(__xludf.DUMMYFUNCTION("GOOGLETRANSLATE(A735, ""de"", ""en"")"),"marry")</f>
        <v>marry</v>
      </c>
    </row>
    <row r="736">
      <c r="A736" s="1" t="s">
        <v>736</v>
      </c>
      <c r="B736" s="2" t="str">
        <f>IFERROR(__xludf.DUMMYFUNCTION("GOOGLETRANSLATE(A736, ""de"", ""en"")"),"super")</f>
        <v>super</v>
      </c>
    </row>
    <row r="737">
      <c r="A737" s="1" t="s">
        <v>737</v>
      </c>
      <c r="B737" s="2" t="str">
        <f>IFERROR(__xludf.DUMMYFUNCTION("GOOGLETRANSLATE(A737, ""de"", ""en"")"),"Sam")</f>
        <v>Sam</v>
      </c>
    </row>
    <row r="738">
      <c r="A738" s="1" t="s">
        <v>738</v>
      </c>
      <c r="B738" s="2" t="str">
        <f>IFERROR(__xludf.DUMMYFUNCTION("GOOGLETRANSLATE(A738, ""de"", ""en"")"),"lives")</f>
        <v>lives</v>
      </c>
    </row>
    <row r="739">
      <c r="A739" s="1" t="s">
        <v>739</v>
      </c>
      <c r="B739" s="2" t="str">
        <f>IFERROR(__xludf.DUMMYFUNCTION("GOOGLETRANSLATE(A739, ""de"", ""en"")"),"good")</f>
        <v>good</v>
      </c>
    </row>
    <row r="740">
      <c r="A740" s="1" t="s">
        <v>740</v>
      </c>
      <c r="B740" s="2" t="str">
        <f>IFERROR(__xludf.DUMMYFUNCTION("GOOGLETRANSLATE(A740, ""de"", ""en"")"),"let")</f>
        <v>let</v>
      </c>
    </row>
    <row r="741">
      <c r="A741" s="1" t="s">
        <v>741</v>
      </c>
      <c r="B741" s="2" t="str">
        <f>IFERROR(__xludf.DUMMYFUNCTION("GOOGLETRANSLATE(A741, ""de"", ""en"")"),"uncle")</f>
        <v>uncle</v>
      </c>
    </row>
    <row r="742">
      <c r="A742" s="1" t="s">
        <v>742</v>
      </c>
      <c r="B742" s="2" t="str">
        <f>IFERROR(__xludf.DUMMYFUNCTION("GOOGLETRANSLATE(A742, ""de"", ""en"")"),"total")</f>
        <v>total</v>
      </c>
    </row>
    <row r="743">
      <c r="A743" s="1" t="s">
        <v>743</v>
      </c>
      <c r="B743" s="2" t="str">
        <f>IFERROR(__xludf.DUMMYFUNCTION("GOOGLETRANSLATE(A743, ""de"", ""en"")"),"brought")</f>
        <v>brought</v>
      </c>
    </row>
    <row r="744">
      <c r="A744" s="1" t="s">
        <v>744</v>
      </c>
      <c r="B744" s="2" t="str">
        <f>IFERROR(__xludf.DUMMYFUNCTION("GOOGLETRANSLATE(A744, ""de"", ""en"")"),"party")</f>
        <v>party</v>
      </c>
    </row>
    <row r="745">
      <c r="A745" s="1" t="s">
        <v>745</v>
      </c>
      <c r="B745" s="2" t="str">
        <f>IFERROR(__xludf.DUMMYFUNCTION("GOOGLETRANSLATE(A745, ""de"", ""en"")"),"explain")</f>
        <v>explain</v>
      </c>
    </row>
    <row r="746">
      <c r="A746" s="1" t="s">
        <v>746</v>
      </c>
      <c r="B746" s="2" t="str">
        <f>IFERROR(__xludf.DUMMYFUNCTION("GOOGLETRANSLATE(A746, ""de"", ""en"")"),"plays")</f>
        <v>plays</v>
      </c>
    </row>
    <row r="747">
      <c r="A747" s="1" t="s">
        <v>747</v>
      </c>
      <c r="B747" s="2" t="str">
        <f>IFERROR(__xludf.DUMMYFUNCTION("GOOGLETRANSLATE(A747, ""de"", ""en"")"),"choice")</f>
        <v>choice</v>
      </c>
    </row>
    <row r="748">
      <c r="A748" s="1" t="s">
        <v>748</v>
      </c>
      <c r="B748" s="2" t="str">
        <f>IFERROR(__xludf.DUMMYFUNCTION("GOOGLETRANSLATE(A748, ""de"", ""en"")"),"trust")</f>
        <v>trust</v>
      </c>
    </row>
    <row r="749">
      <c r="A749" s="1" t="s">
        <v>749</v>
      </c>
      <c r="B749" s="2" t="str">
        <f>IFERROR(__xludf.DUMMYFUNCTION("GOOGLETRANSLATE(A749, ""de"", ""en"")"),"at that time")</f>
        <v>at that time</v>
      </c>
    </row>
    <row r="750">
      <c r="A750" s="1" t="s">
        <v>750</v>
      </c>
      <c r="B750" s="2" t="str">
        <f>IFERROR(__xludf.DUMMYFUNCTION("GOOGLETRANSLATE(A750, ""de"", ""en"")"),"meetings")</f>
        <v>meetings</v>
      </c>
    </row>
    <row r="751">
      <c r="A751" s="1" t="s">
        <v>751</v>
      </c>
      <c r="B751" s="2" t="str">
        <f>IFERROR(__xludf.DUMMYFUNCTION("GOOGLETRANSLATE(A751, ""de"", ""en"")"),"light")</f>
        <v>light</v>
      </c>
    </row>
    <row r="752">
      <c r="A752" s="1" t="s">
        <v>752</v>
      </c>
      <c r="B752" s="2" t="str">
        <f>IFERROR(__xludf.DUMMYFUNCTION("GOOGLETRANSLATE(A752, ""de"", ""en"")"),"after")</f>
        <v>after</v>
      </c>
    </row>
    <row r="753">
      <c r="A753" s="1" t="s">
        <v>753</v>
      </c>
      <c r="B753" s="2" t="str">
        <f>IFERROR(__xludf.DUMMYFUNCTION("GOOGLETRANSLATE(A753, ""de"", ""en"")"),"gone")</f>
        <v>gone</v>
      </c>
    </row>
    <row r="754">
      <c r="A754" s="1" t="s">
        <v>754</v>
      </c>
      <c r="B754" s="2" t="str">
        <f>IFERROR(__xludf.DUMMYFUNCTION("GOOGLETRANSLATE(A754, ""de"", ""en"")"),"feeling")</f>
        <v>feeling</v>
      </c>
    </row>
    <row r="755">
      <c r="A755" s="1" t="s">
        <v>755</v>
      </c>
      <c r="B755" s="2" t="str">
        <f>IFERROR(__xludf.DUMMYFUNCTION("GOOGLETRANSLATE(A755, ""de"", ""en"")"),"buy")</f>
        <v>buy</v>
      </c>
    </row>
    <row r="756">
      <c r="A756" s="1" t="s">
        <v>756</v>
      </c>
      <c r="B756" s="2" t="str">
        <f>IFERROR(__xludf.DUMMYFUNCTION("GOOGLETRANSLATE(A756, ""de"", ""en"")"),"done")</f>
        <v>done</v>
      </c>
    </row>
    <row r="757">
      <c r="A757" s="1" t="s">
        <v>757</v>
      </c>
      <c r="B757" s="2" t="str">
        <f>IFERROR(__xludf.DUMMYFUNCTION("GOOGLETRANSLATE(A757, ""de"", ""en"")"),"types")</f>
        <v>types</v>
      </c>
    </row>
    <row r="758">
      <c r="A758" s="1" t="s">
        <v>758</v>
      </c>
      <c r="B758" s="2" t="str">
        <f>IFERROR(__xludf.DUMMYFUNCTION("GOOGLETRANSLATE(A758, ""de"", ""en"")"),"interested")</f>
        <v>interested</v>
      </c>
    </row>
    <row r="759">
      <c r="A759" s="1" t="s">
        <v>759</v>
      </c>
      <c r="B759" s="2" t="str">
        <f>IFERROR(__xludf.DUMMYFUNCTION("GOOGLETRANSLATE(A759, ""de"", ""en"")"),"want")</f>
        <v>want</v>
      </c>
    </row>
    <row r="760">
      <c r="A760" s="1" t="s">
        <v>760</v>
      </c>
      <c r="B760" s="2" t="str">
        <f>IFERROR(__xludf.DUMMYFUNCTION("GOOGLETRANSLATE(A760, ""de"", ""en"")"),"hold")</f>
        <v>hold</v>
      </c>
    </row>
    <row r="761">
      <c r="A761" s="1" t="s">
        <v>761</v>
      </c>
      <c r="B761" s="2" t="str">
        <f>IFERROR(__xludf.DUMMYFUNCTION("GOOGLETRANSLATE(A761, ""de"", ""en"")"),"holds")</f>
        <v>holds</v>
      </c>
    </row>
    <row r="762">
      <c r="A762" s="1" t="s">
        <v>762</v>
      </c>
      <c r="B762" s="2" t="str">
        <f>IFERROR(__xludf.DUMMYFUNCTION("GOOGLETRANSLATE(A762, ""de"", ""en"")"),"believe")</f>
        <v>believe</v>
      </c>
    </row>
    <row r="763">
      <c r="A763" s="1" t="s">
        <v>763</v>
      </c>
      <c r="B763" s="2" t="str">
        <f>IFERROR(__xludf.DUMMYFUNCTION("GOOGLETRANSLATE(A763, ""de"", ""en"")"),"somewhere")</f>
        <v>somewhere</v>
      </c>
    </row>
    <row r="764">
      <c r="A764" s="1" t="s">
        <v>764</v>
      </c>
      <c r="B764" s="2" t="str">
        <f>IFERROR(__xludf.DUMMYFUNCTION("GOOGLETRANSLATE(A764, ""de"", ""en"")"),"piece")</f>
        <v>piece</v>
      </c>
    </row>
    <row r="765">
      <c r="A765" s="1" t="s">
        <v>765</v>
      </c>
      <c r="B765" s="2" t="str">
        <f>IFERROR(__xludf.DUMMYFUNCTION("GOOGLETRANSLATE(A765, ""de"", ""en"")"),"just as")</f>
        <v>just as</v>
      </c>
    </row>
    <row r="766">
      <c r="A766" s="1" t="s">
        <v>766</v>
      </c>
      <c r="B766" s="2" t="str">
        <f>IFERROR(__xludf.DUMMYFUNCTION("GOOGLETRANSLATE(A766, ""de"", ""en"")"),"knows")</f>
        <v>knows</v>
      </c>
    </row>
    <row r="767">
      <c r="A767" s="1" t="s">
        <v>767</v>
      </c>
      <c r="B767" s="2" t="str">
        <f>IFERROR(__xludf.DUMMYFUNCTION("GOOGLETRANSLATE(A767, ""de"", ""en"")"),"taken")</f>
        <v>taken</v>
      </c>
    </row>
    <row r="768">
      <c r="A768" s="1" t="s">
        <v>768</v>
      </c>
      <c r="B768" s="2" t="str">
        <f>IFERROR(__xludf.DUMMYFUNCTION("GOOGLETRANSLATE(A768, ""de"", ""en"")"),"future")</f>
        <v>future</v>
      </c>
    </row>
    <row r="769">
      <c r="A769" s="1" t="s">
        <v>769</v>
      </c>
      <c r="B769" s="2" t="str">
        <f>IFERROR(__xludf.DUMMYFUNCTION("GOOGLETRANSLATE(A769, ""de"", ""en"")"),"fewer")</f>
        <v>fewer</v>
      </c>
    </row>
    <row r="770">
      <c r="A770" s="1" t="s">
        <v>770</v>
      </c>
      <c r="B770" s="2" t="str">
        <f>IFERROR(__xludf.DUMMYFUNCTION("GOOGLETRANSLATE(A770, ""de"", ""en"")"),"cool")</f>
        <v>cool</v>
      </c>
    </row>
    <row r="771">
      <c r="A771" s="1" t="s">
        <v>771</v>
      </c>
      <c r="B771" s="2" t="str">
        <f>IFERROR(__xludf.DUMMYFUNCTION("GOOGLETRANSLATE(A771, ""de"", ""en"")"),"light")</f>
        <v>light</v>
      </c>
    </row>
    <row r="772">
      <c r="A772" s="1" t="s">
        <v>772</v>
      </c>
      <c r="B772" s="2" t="str">
        <f>IFERROR(__xludf.DUMMYFUNCTION("GOOGLETRANSLATE(A772, ""de"", ""en"")"),"met")</f>
        <v>met</v>
      </c>
    </row>
    <row r="773">
      <c r="A773" s="1" t="s">
        <v>773</v>
      </c>
      <c r="B773" s="2" t="str">
        <f>IFERROR(__xludf.DUMMYFUNCTION("GOOGLETRANSLATE(A773, ""de"", ""en"")"),"heaven")</f>
        <v>heaven</v>
      </c>
    </row>
    <row r="774">
      <c r="A774" s="1" t="s">
        <v>774</v>
      </c>
      <c r="B774" s="2" t="str">
        <f>IFERROR(__xludf.DUMMYFUNCTION("GOOGLETRANSLATE(A774, ""de"", ""en"")"),"news")</f>
        <v>news</v>
      </c>
    </row>
    <row r="775">
      <c r="A775" s="1" t="s">
        <v>775</v>
      </c>
      <c r="B775" s="2" t="str">
        <f>IFERROR(__xludf.DUMMYFUNCTION("GOOGLETRANSLATE(A775, ""de"", ""en"")"),"over")</f>
        <v>over</v>
      </c>
    </row>
    <row r="776">
      <c r="A776" s="1" t="s">
        <v>776</v>
      </c>
      <c r="B776" s="2" t="str">
        <f>IFERROR(__xludf.DUMMYFUNCTION("GOOGLETRANSLATE(A776, ""de"", ""en"")"),"fits")</f>
        <v>fits</v>
      </c>
    </row>
    <row r="777">
      <c r="A777" s="1" t="s">
        <v>777</v>
      </c>
      <c r="B777" s="2" t="str">
        <f>IFERROR(__xludf.DUMMYFUNCTION("GOOGLETRANSLATE(A777, ""de"", ""en"")"),"said")</f>
        <v>said</v>
      </c>
    </row>
    <row r="778">
      <c r="A778" s="1" t="s">
        <v>778</v>
      </c>
      <c r="B778" s="2" t="str">
        <f>IFERROR(__xludf.DUMMYFUNCTION("GOOGLETRANSLATE(A778, ""de"", ""en"")"),"take care")</f>
        <v>take care</v>
      </c>
    </row>
    <row r="779">
      <c r="A779" s="1" t="s">
        <v>779</v>
      </c>
      <c r="B779" s="2" t="str">
        <f>IFERROR(__xludf.DUMMYFUNCTION("GOOGLETRANSLATE(A779, ""de"", ""en"")"),"loud")</f>
        <v>loud</v>
      </c>
    </row>
    <row r="780">
      <c r="A780" s="1" t="s">
        <v>780</v>
      </c>
      <c r="B780" s="2" t="str">
        <f>IFERROR(__xludf.DUMMYFUNCTION("GOOGLETRANSLATE(A780, ""de"", ""en"")"),"forget")</f>
        <v>forget</v>
      </c>
    </row>
    <row r="781">
      <c r="A781" s="1" t="s">
        <v>781</v>
      </c>
      <c r="B781" s="2" t="str">
        <f>IFERROR(__xludf.DUMMYFUNCTION("GOOGLETRANSLATE(A781, ""de"", ""en"")"),"called")</f>
        <v>called</v>
      </c>
    </row>
    <row r="782">
      <c r="A782" s="1" t="s">
        <v>782</v>
      </c>
      <c r="B782" s="2" t="str">
        <f>IFERROR(__xludf.DUMMYFUNCTION("GOOGLETRANSLATE(A782, ""de"", ""en"")"),"sit")</f>
        <v>sit</v>
      </c>
    </row>
    <row r="783">
      <c r="A783" s="1" t="s">
        <v>783</v>
      </c>
      <c r="B783" s="2" t="str">
        <f>IFERROR(__xludf.DUMMYFUNCTION("GOOGLETRANSLATE(A783, ""de"", ""en"")"),"that")</f>
        <v>that</v>
      </c>
    </row>
    <row r="784">
      <c r="A784" s="1" t="s">
        <v>784</v>
      </c>
      <c r="B784" s="2" t="str">
        <f>IFERROR(__xludf.DUMMYFUNCTION("GOOGLETRANSLATE(A784, ""de"", ""en"")"),"earth")</f>
        <v>earth</v>
      </c>
    </row>
    <row r="785">
      <c r="A785" s="1" t="s">
        <v>785</v>
      </c>
      <c r="B785" s="2" t="str">
        <f>IFERROR(__xludf.DUMMYFUNCTION("GOOGLETRANSLATE(A785, ""de"", ""en"")"),"big one")</f>
        <v>big one</v>
      </c>
    </row>
    <row r="786">
      <c r="A786" s="1" t="s">
        <v>786</v>
      </c>
      <c r="B786" s="2" t="str">
        <f>IFERROR(__xludf.DUMMYFUNCTION("GOOGLETRANSLATE(A786, ""de"", ""en"")"),"key")</f>
        <v>key</v>
      </c>
    </row>
    <row r="787">
      <c r="A787" s="1" t="s">
        <v>787</v>
      </c>
      <c r="B787" s="2" t="str">
        <f>IFERROR(__xludf.DUMMYFUNCTION("GOOGLETRANSLATE(A787, ""de"", ""en"")"),"rest")</f>
        <v>rest</v>
      </c>
    </row>
    <row r="788">
      <c r="A788" s="1" t="s">
        <v>788</v>
      </c>
      <c r="B788" s="2" t="str">
        <f>IFERROR(__xludf.DUMMYFUNCTION("GOOGLETRANSLATE(A788, ""de"", ""en"")"),"happen")</f>
        <v>happen</v>
      </c>
    </row>
    <row r="789">
      <c r="A789" s="1" t="s">
        <v>789</v>
      </c>
      <c r="B789" s="2" t="str">
        <f>IFERROR(__xludf.DUMMYFUNCTION("GOOGLETRANSLATE(A789, ""de"", ""en"")"),"rather")</f>
        <v>rather</v>
      </c>
    </row>
    <row r="790">
      <c r="A790" s="1" t="s">
        <v>790</v>
      </c>
      <c r="B790" s="2" t="str">
        <f>IFERROR(__xludf.DUMMYFUNCTION("GOOGLETRANSLATE(A790, ""de"", ""en"")"),"asked")</f>
        <v>asked</v>
      </c>
    </row>
    <row r="791">
      <c r="A791" s="1" t="s">
        <v>791</v>
      </c>
      <c r="B791" s="2" t="str">
        <f>IFERROR(__xludf.DUMMYFUNCTION("GOOGLETRANSLATE(A791, ""de"", ""en"")"),"jail")</f>
        <v>jail</v>
      </c>
    </row>
    <row r="792">
      <c r="A792" s="1" t="s">
        <v>792</v>
      </c>
      <c r="B792" s="2" t="str">
        <f>IFERROR(__xludf.DUMMYFUNCTION("GOOGLETRANSLATE(A792, ""de"", ""en"")"),"victim")</f>
        <v>victim</v>
      </c>
    </row>
    <row r="793">
      <c r="A793" s="1" t="s">
        <v>793</v>
      </c>
      <c r="B793" s="2" t="str">
        <f>IFERROR(__xludf.DUMMYFUNCTION("GOOGLETRANSLATE(A793, ""de"", ""en"")"),"body")</f>
        <v>body</v>
      </c>
    </row>
    <row r="794">
      <c r="A794" s="1" t="s">
        <v>794</v>
      </c>
      <c r="B794" s="2" t="str">
        <f>IFERROR(__xludf.DUMMYFUNCTION("GOOGLETRANSLATE(A794, ""de"", ""en"")"),"such")</f>
        <v>such</v>
      </c>
    </row>
    <row r="795">
      <c r="A795" s="1" t="s">
        <v>795</v>
      </c>
      <c r="B795" s="2" t="str">
        <f>IFERROR(__xludf.DUMMYFUNCTION("GOOGLETRANSLATE(A795, ""de"", ""en"")"),"crap")</f>
        <v>crap</v>
      </c>
    </row>
    <row r="796">
      <c r="A796" s="1" t="s">
        <v>796</v>
      </c>
      <c r="B796" s="2" t="str">
        <f>IFERROR(__xludf.DUMMYFUNCTION("GOOGLETRANSLATE(A796, ""de"", ""en"")"),"mr")</f>
        <v>mr</v>
      </c>
    </row>
    <row r="797">
      <c r="A797" s="1" t="s">
        <v>797</v>
      </c>
      <c r="B797" s="2" t="str">
        <f>IFERROR(__xludf.DUMMYFUNCTION("GOOGLETRANSLATE(A797, ""de"", ""en"")"),"finds")</f>
        <v>finds</v>
      </c>
    </row>
    <row r="798">
      <c r="A798" s="1" t="s">
        <v>798</v>
      </c>
      <c r="B798" s="2" t="str">
        <f>IFERROR(__xludf.DUMMYFUNCTION("GOOGLETRANSLATE(A798, ""de"", ""en"")"),"write")</f>
        <v>write</v>
      </c>
    </row>
    <row r="799">
      <c r="A799" s="1" t="s">
        <v>799</v>
      </c>
      <c r="B799" s="2" t="str">
        <f>IFERROR(__xludf.DUMMYFUNCTION("GOOGLETRANSLATE(A799, ""de"", ""en"")"),"evil")</f>
        <v>evil</v>
      </c>
    </row>
    <row r="800">
      <c r="A800" s="1" t="s">
        <v>800</v>
      </c>
      <c r="B800" s="2" t="str">
        <f>IFERROR(__xludf.DUMMYFUNCTION("GOOGLETRANSLATE(A800, ""de"", ""en"")"),"spoken")</f>
        <v>spoken</v>
      </c>
    </row>
    <row r="801">
      <c r="A801" s="1" t="s">
        <v>801</v>
      </c>
      <c r="B801" s="2" t="str">
        <f>IFERROR(__xludf.DUMMYFUNCTION("GOOGLETRANSLATE(A801, ""de"", ""en"")"),"attempt")</f>
        <v>attempt</v>
      </c>
    </row>
    <row r="802">
      <c r="A802" s="1" t="s">
        <v>802</v>
      </c>
      <c r="B802" s="2" t="str">
        <f>IFERROR(__xludf.DUMMYFUNCTION("GOOGLETRANSLATE(A802, ""de"", ""en"")"),"introduce")</f>
        <v>introduce</v>
      </c>
    </row>
    <row r="803">
      <c r="A803" s="1" t="s">
        <v>803</v>
      </c>
      <c r="B803" s="2" t="str">
        <f>IFERROR(__xludf.DUMMYFUNCTION("GOOGLETRANSLATE(A803, ""de"", ""en"")"),"from what")</f>
        <v>from what</v>
      </c>
    </row>
    <row r="804">
      <c r="A804" s="1" t="s">
        <v>804</v>
      </c>
      <c r="B804" s="2" t="str">
        <f>IFERROR(__xludf.DUMMYFUNCTION("GOOGLETRANSLATE(A804, ""de"", ""en"")"),"as soon as")</f>
        <v>as soon as</v>
      </c>
    </row>
    <row r="805">
      <c r="A805" s="1" t="s">
        <v>805</v>
      </c>
      <c r="B805" s="2" t="str">
        <f>IFERROR(__xludf.DUMMYFUNCTION("GOOGLETRANSLATE(A805, ""de"", ""en"")"),"again")</f>
        <v>again</v>
      </c>
    </row>
    <row r="806">
      <c r="A806" s="1" t="s">
        <v>806</v>
      </c>
      <c r="B806" s="2" t="str">
        <f>IFERROR(__xludf.DUMMYFUNCTION("GOOGLETRANSLATE(A806, ""de"", ""en"")"),"gentlemen")</f>
        <v>gentlemen</v>
      </c>
    </row>
    <row r="807">
      <c r="A807" s="1" t="s">
        <v>807</v>
      </c>
      <c r="B807" s="2" t="str">
        <f>IFERROR(__xludf.DUMMYFUNCTION("GOOGLETRANSLATE(A807, ""de"", ""en"")"),"sex")</f>
        <v>sex</v>
      </c>
    </row>
    <row r="808">
      <c r="A808" s="1" t="s">
        <v>808</v>
      </c>
      <c r="B808" s="2" t="str">
        <f>IFERROR(__xludf.DUMMYFUNCTION("GOOGLETRANSLATE(A808, ""de"", ""en"")"),"weapons")</f>
        <v>weapons</v>
      </c>
    </row>
    <row r="809">
      <c r="A809" s="1" t="s">
        <v>809</v>
      </c>
      <c r="B809" s="2" t="str">
        <f>IFERROR(__xludf.DUMMYFUNCTION("GOOGLETRANSLATE(A809, ""de"", ""en"")"),"apartment")</f>
        <v>apartment</v>
      </c>
    </row>
    <row r="810">
      <c r="A810" s="1" t="s">
        <v>810</v>
      </c>
      <c r="B810" s="2" t="str">
        <f>IFERROR(__xludf.DUMMYFUNCTION("GOOGLETRANSLATE(A810, ""de"", ""en"")"),"sore")</f>
        <v>sore</v>
      </c>
    </row>
    <row r="811">
      <c r="A811" s="1" t="s">
        <v>811</v>
      </c>
      <c r="B811" s="2" t="str">
        <f>IFERROR(__xludf.DUMMYFUNCTION("GOOGLETRANSLATE(A811, ""de"", ""en"")"),"be called")</f>
        <v>be called</v>
      </c>
    </row>
    <row r="812">
      <c r="A812" s="1" t="s">
        <v>812</v>
      </c>
      <c r="B812" s="2" t="str">
        <f>IFERROR(__xludf.DUMMYFUNCTION("GOOGLETRANSLATE(A812, ""de"", ""en"")"),"hospital")</f>
        <v>hospital</v>
      </c>
    </row>
    <row r="813">
      <c r="A813" s="1" t="s">
        <v>813</v>
      </c>
      <c r="B813" s="2" t="str">
        <f>IFERROR(__xludf.DUMMYFUNCTION("GOOGLETRANSLATE(A813, ""de"", ""en"")"),"bring")</f>
        <v>bring</v>
      </c>
    </row>
    <row r="814">
      <c r="A814" s="1" t="s">
        <v>814</v>
      </c>
      <c r="B814" s="2" t="str">
        <f>IFERROR(__xludf.DUMMYFUNCTION("GOOGLETRANSLATE(A814, ""de"", ""en"")"),"listen")</f>
        <v>listen</v>
      </c>
    </row>
    <row r="815">
      <c r="A815" s="1" t="s">
        <v>815</v>
      </c>
      <c r="B815" s="2" t="str">
        <f>IFERROR(__xludf.DUMMYFUNCTION("GOOGLETRANSLATE(A815, ""de"", ""en"")"),"million")</f>
        <v>million</v>
      </c>
    </row>
    <row r="816">
      <c r="A816" s="1" t="s">
        <v>816</v>
      </c>
      <c r="B816" s="2" t="str">
        <f>IFERROR(__xludf.DUMMYFUNCTION("GOOGLETRANSLATE(A816, ""de"", ""en"")"),"class")</f>
        <v>class</v>
      </c>
    </row>
    <row r="817">
      <c r="A817" s="1" t="s">
        <v>817</v>
      </c>
      <c r="B817" s="2" t="str">
        <f>IFERROR(__xludf.DUMMYFUNCTION("GOOGLETRANSLATE(A817, ""de"", ""en"")"),"hard")</f>
        <v>hard</v>
      </c>
    </row>
    <row r="818">
      <c r="A818" s="1" t="s">
        <v>818</v>
      </c>
      <c r="B818" s="2" t="str">
        <f>IFERROR(__xludf.DUMMYFUNCTION("GOOGLETRANSLATE(A818, ""de"", ""en"")"),"been")</f>
        <v>been</v>
      </c>
    </row>
    <row r="819">
      <c r="A819" s="1" t="s">
        <v>819</v>
      </c>
      <c r="B819" s="2" t="str">
        <f>IFERROR(__xludf.DUMMYFUNCTION("GOOGLETRANSLATE(A819, ""de"", ""en"")"),"sense")</f>
        <v>sense</v>
      </c>
    </row>
    <row r="820">
      <c r="A820" s="1" t="s">
        <v>820</v>
      </c>
      <c r="B820" s="2" t="str">
        <f>IFERROR(__xludf.DUMMYFUNCTION("GOOGLETRANSLATE(A820, ""de"", ""en"")"),"aside from that")</f>
        <v>aside from that</v>
      </c>
    </row>
    <row r="821">
      <c r="A821" s="1" t="s">
        <v>821</v>
      </c>
      <c r="B821" s="2" t="str">
        <f>IFERROR(__xludf.DUMMYFUNCTION("GOOGLETRANSLATE(A821, ""de"", ""en"")"),"injured")</f>
        <v>injured</v>
      </c>
    </row>
    <row r="822">
      <c r="A822" s="1" t="s">
        <v>822</v>
      </c>
      <c r="B822" s="2" t="str">
        <f>IFERROR(__xludf.DUMMYFUNCTION("GOOGLETRANSLATE(A822, ""de"", ""en"")"),"change")</f>
        <v>change</v>
      </c>
    </row>
    <row r="823">
      <c r="A823" s="1" t="s">
        <v>823</v>
      </c>
      <c r="B823" s="2" t="str">
        <f>IFERROR(__xludf.DUMMYFUNCTION("GOOGLETRANSLATE(A823, ""de"", ""en"")"),"experience")</f>
        <v>experience</v>
      </c>
    </row>
    <row r="824">
      <c r="A824" s="1" t="s">
        <v>824</v>
      </c>
      <c r="B824" s="2" t="str">
        <f>IFERROR(__xludf.DUMMYFUNCTION("GOOGLETRANSLATE(A824, ""de"", ""en"")"),"carry")</f>
        <v>carry</v>
      </c>
    </row>
    <row r="825">
      <c r="A825" s="1" t="s">
        <v>825</v>
      </c>
      <c r="B825" s="2" t="str">
        <f>IFERROR(__xludf.DUMMYFUNCTION("GOOGLETRANSLATE(A825, ""de"", ""en"")"),"at least")</f>
        <v>at least</v>
      </c>
    </row>
    <row r="826">
      <c r="A826" s="1" t="s">
        <v>826</v>
      </c>
      <c r="B826" s="2" t="str">
        <f>IFERROR(__xludf.DUMMYFUNCTION("GOOGLETRANSLATE(A826, ""de"", ""en"")"),"cautious")</f>
        <v>cautious</v>
      </c>
    </row>
    <row r="827">
      <c r="A827" s="1" t="s">
        <v>827</v>
      </c>
      <c r="B827" s="2" t="str">
        <f>IFERROR(__xludf.DUMMYFUNCTION("GOOGLETRANSLATE(A827, ""de"", ""en"")"),"daddy")</f>
        <v>daddy</v>
      </c>
    </row>
    <row r="828">
      <c r="A828" s="1" t="s">
        <v>828</v>
      </c>
      <c r="B828" s="2" t="str">
        <f>IFERROR(__xludf.DUMMYFUNCTION("GOOGLETRANSLATE(A828, ""de"", ""en"")"),"proud")</f>
        <v>proud</v>
      </c>
    </row>
    <row r="829">
      <c r="A829" s="1" t="s">
        <v>829</v>
      </c>
      <c r="B829" s="2" t="str">
        <f>IFERROR(__xludf.DUMMYFUNCTION("GOOGLETRANSLATE(A829, ""de"", ""en"")"),"strong")</f>
        <v>strong</v>
      </c>
    </row>
    <row r="830">
      <c r="A830" s="1" t="s">
        <v>830</v>
      </c>
      <c r="B830" s="2" t="str">
        <f>IFERROR(__xludf.DUMMYFUNCTION("GOOGLETRANSLATE(A830, ""de"", ""en"")"),"falls")</f>
        <v>falls</v>
      </c>
    </row>
    <row r="831">
      <c r="A831" s="1" t="s">
        <v>831</v>
      </c>
      <c r="B831" s="2" t="str">
        <f>IFERROR(__xludf.DUMMYFUNCTION("GOOGLETRANSLATE(A831, ""de"", ""en"")"),"would like")</f>
        <v>would like</v>
      </c>
    </row>
    <row r="832">
      <c r="A832" s="1" t="s">
        <v>832</v>
      </c>
      <c r="B832" s="2" t="str">
        <f>IFERROR(__xludf.DUMMYFUNCTION("GOOGLETRANSLATE(A832, ""de"", ""en"")"),"people")</f>
        <v>people</v>
      </c>
    </row>
    <row r="833">
      <c r="A833" s="1" t="s">
        <v>833</v>
      </c>
      <c r="B833" s="2" t="str">
        <f>IFERROR(__xludf.DUMMYFUNCTION("GOOGLETRANSLATE(A833, ""de"", ""en"")"),"particularly")</f>
        <v>particularly</v>
      </c>
    </row>
    <row r="834">
      <c r="A834" s="1" t="s">
        <v>834</v>
      </c>
      <c r="B834" s="2" t="str">
        <f>IFERROR(__xludf.DUMMYFUNCTION("GOOGLETRANSLATE(A834, ""de"", ""en"")"),"beautiful")</f>
        <v>beautiful</v>
      </c>
    </row>
    <row r="835">
      <c r="A835" s="1" t="s">
        <v>835</v>
      </c>
      <c r="B835" s="2" t="str">
        <f>IFERROR(__xludf.DUMMYFUNCTION("GOOGLETRANSLATE(A835, ""de"", ""en"")"),"send")</f>
        <v>send</v>
      </c>
    </row>
    <row r="836">
      <c r="A836" s="1" t="s">
        <v>836</v>
      </c>
      <c r="B836" s="2" t="str">
        <f>IFERROR(__xludf.DUMMYFUNCTION("GOOGLETRANSLATE(A836, ""de"", ""en"")"),"person")</f>
        <v>person</v>
      </c>
    </row>
    <row r="837">
      <c r="A837" s="1" t="s">
        <v>837</v>
      </c>
      <c r="B837" s="2" t="str">
        <f>IFERROR(__xludf.DUMMYFUNCTION("GOOGLETRANSLATE(A837, ""de"", ""en"")"),"guess")</f>
        <v>guess</v>
      </c>
    </row>
    <row r="838">
      <c r="A838" s="1" t="s">
        <v>838</v>
      </c>
      <c r="B838" s="2" t="str">
        <f>IFERROR(__xludf.DUMMYFUNCTION("GOOGLETRANSLATE(A838, ""de"", ""en"")"),"as long as")</f>
        <v>as long as</v>
      </c>
    </row>
    <row r="839">
      <c r="A839" s="1" t="s">
        <v>839</v>
      </c>
      <c r="B839" s="2" t="str">
        <f>IFERROR(__xludf.DUMMYFUNCTION("GOOGLETRANSLATE(A839, ""de"", ""en"")"),"longer")</f>
        <v>longer</v>
      </c>
    </row>
    <row r="840">
      <c r="A840" s="1" t="s">
        <v>840</v>
      </c>
      <c r="B840" s="2" t="str">
        <f>IFERROR(__xludf.DUMMYFUNCTION("GOOGLETRANSLATE(A840, ""de"", ""en"")"),"great")</f>
        <v>great</v>
      </c>
    </row>
    <row r="841">
      <c r="A841" s="1" t="s">
        <v>841</v>
      </c>
      <c r="B841" s="2" t="str">
        <f>IFERROR(__xludf.DUMMYFUNCTION("GOOGLETRANSLATE(A841, ""de"", ""en"")"),"laughs")</f>
        <v>laughs</v>
      </c>
    </row>
    <row r="842">
      <c r="A842" s="1" t="s">
        <v>842</v>
      </c>
      <c r="B842" s="2" t="str">
        <f>IFERROR(__xludf.DUMMYFUNCTION("GOOGLETRANSLATE(A842, ""de"", ""en"")"),"call")</f>
        <v>call</v>
      </c>
    </row>
    <row r="843">
      <c r="A843" s="1" t="s">
        <v>843</v>
      </c>
      <c r="B843" s="2" t="str">
        <f>IFERROR(__xludf.DUMMYFUNCTION("GOOGLETRANSLATE(A843, ""de"", ""en"")"),"stood")</f>
        <v>stood</v>
      </c>
    </row>
    <row r="844">
      <c r="A844" s="1" t="s">
        <v>844</v>
      </c>
      <c r="B844" s="2" t="str">
        <f>IFERROR(__xludf.DUMMYFUNCTION("GOOGLETRANSLATE(A844, ""de"", ""en"")"),"talk")</f>
        <v>talk</v>
      </c>
    </row>
    <row r="845">
      <c r="A845" s="1" t="s">
        <v>845</v>
      </c>
      <c r="B845" s="2" t="str">
        <f>IFERROR(__xludf.DUMMYFUNCTION("GOOGLETRANSLATE(A845, ""de"", ""en"")"),"feel")</f>
        <v>feel</v>
      </c>
    </row>
    <row r="846">
      <c r="A846" s="1" t="s">
        <v>846</v>
      </c>
      <c r="B846" s="2" t="str">
        <f>IFERROR(__xludf.DUMMYFUNCTION("GOOGLETRANSLATE(A846, ""de"", ""en"")"),"expected")</f>
        <v>expected</v>
      </c>
    </row>
    <row r="847">
      <c r="A847" s="1" t="s">
        <v>847</v>
      </c>
      <c r="B847" s="2" t="str">
        <f>IFERROR(__xludf.DUMMYFUNCTION("GOOGLETRANSLATE(A847, ""de"", ""en"")"),"floor")</f>
        <v>floor</v>
      </c>
    </row>
    <row r="848">
      <c r="A848" s="1" t="s">
        <v>848</v>
      </c>
      <c r="B848" s="2" t="str">
        <f>IFERROR(__xludf.DUMMYFUNCTION("GOOGLETRANSLATE(A848, ""de"", ""en"")"),"boss")</f>
        <v>boss</v>
      </c>
    </row>
    <row r="849">
      <c r="A849" s="1" t="s">
        <v>849</v>
      </c>
      <c r="B849" s="2" t="str">
        <f>IFERROR(__xludf.DUMMYFUNCTION("GOOGLETRANSLATE(A849, ""de"", ""en"")"),"agree")</f>
        <v>agree</v>
      </c>
    </row>
    <row r="850">
      <c r="A850" s="1" t="s">
        <v>850</v>
      </c>
      <c r="B850" s="2" t="str">
        <f>IFERROR(__xludf.DUMMYFUNCTION("GOOGLETRANSLATE(A850, ""de"", ""en"")"),"believes")</f>
        <v>believes</v>
      </c>
    </row>
    <row r="851">
      <c r="A851" s="1" t="s">
        <v>851</v>
      </c>
      <c r="B851" s="2" t="str">
        <f>IFERROR(__xludf.DUMMYFUNCTION("GOOGLETRANSLATE(A851, ""de"", ""en"")"),"silent")</f>
        <v>silent</v>
      </c>
    </row>
    <row r="852">
      <c r="A852" s="1" t="s">
        <v>852</v>
      </c>
      <c r="B852" s="2" t="str">
        <f>IFERROR(__xludf.DUMMYFUNCTION("GOOGLETRANSLATE(A852, ""de"", ""en"")"),"security")</f>
        <v>security</v>
      </c>
    </row>
    <row r="853">
      <c r="A853" s="1" t="s">
        <v>853</v>
      </c>
      <c r="B853" s="2" t="str">
        <f>IFERROR(__xludf.DUMMYFUNCTION("GOOGLETRANSLATE(A853, ""de"", ""en"")"),"put")</f>
        <v>put</v>
      </c>
    </row>
    <row r="854">
      <c r="A854" s="1" t="s">
        <v>854</v>
      </c>
      <c r="B854" s="2" t="str">
        <f>IFERROR(__xludf.DUMMYFUNCTION("GOOGLETRANSLATE(A854, ""de"", ""en"")"),"ma")</f>
        <v>ma</v>
      </c>
    </row>
    <row r="855">
      <c r="A855" s="1" t="s">
        <v>855</v>
      </c>
      <c r="B855" s="2" t="str">
        <f>IFERROR(__xludf.DUMMYFUNCTION("GOOGLETRANSLATE(A855, ""de"", ""en"")"),"mouth")</f>
        <v>mouth</v>
      </c>
    </row>
    <row r="856">
      <c r="A856" s="1" t="s">
        <v>856</v>
      </c>
      <c r="B856" s="2" t="str">
        <f>IFERROR(__xludf.DUMMYFUNCTION("GOOGLETRANSLATE(A856, ""de"", ""en"")"),"battle")</f>
        <v>battle</v>
      </c>
    </row>
    <row r="857">
      <c r="A857" s="1" t="s">
        <v>857</v>
      </c>
      <c r="B857" s="2" t="str">
        <f>IFERROR(__xludf.DUMMYFUNCTION("GOOGLETRANSLATE(A857, ""de"", ""en"")"),"know")</f>
        <v>know</v>
      </c>
    </row>
    <row r="858">
      <c r="A858" s="1" t="s">
        <v>858</v>
      </c>
      <c r="B858" s="2" t="str">
        <f>IFERROR(__xludf.DUMMYFUNCTION("GOOGLETRANSLATE(A858, ""de"", ""en"")"),"laugh")</f>
        <v>laugh</v>
      </c>
    </row>
    <row r="859">
      <c r="A859" s="1" t="s">
        <v>859</v>
      </c>
      <c r="B859" s="2" t="str">
        <f>IFERROR(__xludf.DUMMYFUNCTION("GOOGLETRANSLATE(A859, ""de"", ""en"")"),"hear")</f>
        <v>hear</v>
      </c>
    </row>
    <row r="860">
      <c r="A860" s="1" t="s">
        <v>860</v>
      </c>
      <c r="B860" s="2" t="str">
        <f>IFERROR(__xludf.DUMMYFUNCTION("GOOGLETRANSLATE(A860, ""de"", ""en"")"),"things")</f>
        <v>things</v>
      </c>
    </row>
    <row r="861">
      <c r="A861" s="1" t="s">
        <v>861</v>
      </c>
      <c r="B861" s="2" t="str">
        <f>IFERROR(__xludf.DUMMYFUNCTION("GOOGLETRANSLATE(A861, ""de"", ""en"")"),"funny")</f>
        <v>funny</v>
      </c>
    </row>
    <row r="862">
      <c r="A862" s="1" t="s">
        <v>862</v>
      </c>
      <c r="B862" s="2" t="str">
        <f>IFERROR(__xludf.DUMMYFUNCTION("GOOGLETRANSLATE(A862, ""de"", ""en"")"),"kill")</f>
        <v>kill</v>
      </c>
    </row>
    <row r="863">
      <c r="A863" s="1" t="s">
        <v>863</v>
      </c>
      <c r="B863" s="2" t="str">
        <f>IFERROR(__xludf.DUMMYFUNCTION("GOOGLETRANSLATE(A863, ""de"", ""en"")"),"should")</f>
        <v>should</v>
      </c>
    </row>
    <row r="864">
      <c r="A864" s="1" t="s">
        <v>864</v>
      </c>
      <c r="B864" s="2" t="str">
        <f>IFERROR(__xludf.DUMMYFUNCTION("GOOGLETRANSLATE(A864, ""de"", ""en"")"),"hate")</f>
        <v>hate</v>
      </c>
    </row>
    <row r="865">
      <c r="A865" s="1" t="s">
        <v>865</v>
      </c>
      <c r="B865" s="2" t="str">
        <f>IFERROR(__xludf.DUMMYFUNCTION("GOOGLETRANSLATE(A865, ""de"", ""en"")"),"terrible")</f>
        <v>terrible</v>
      </c>
    </row>
    <row r="866">
      <c r="A866" s="1" t="s">
        <v>866</v>
      </c>
      <c r="B866" s="2" t="str">
        <f>IFERROR(__xludf.DUMMYFUNCTION("GOOGLETRANSLATE(A866, ""de"", ""en"")"),"O")</f>
        <v>O</v>
      </c>
    </row>
    <row r="867">
      <c r="A867" s="1" t="s">
        <v>867</v>
      </c>
      <c r="B867" s="2" t="str">
        <f>IFERROR(__xludf.DUMMYFUNCTION("GOOGLETRANSLATE(A867, ""de"", ""en"")"),"incredible")</f>
        <v>incredible</v>
      </c>
    </row>
    <row r="868">
      <c r="A868" s="1" t="s">
        <v>868</v>
      </c>
      <c r="B868" s="2" t="str">
        <f>IFERROR(__xludf.DUMMYFUNCTION("GOOGLETRANSLATE(A868, ""de"", ""en"")"),"would be")</f>
        <v>would be</v>
      </c>
    </row>
    <row r="869">
      <c r="A869" s="1" t="s">
        <v>869</v>
      </c>
      <c r="B869" s="2" t="str">
        <f>IFERROR(__xludf.DUMMYFUNCTION("GOOGLETRANSLATE(A869, ""de"", ""en"")"),"load")</f>
        <v>load</v>
      </c>
    </row>
    <row r="870">
      <c r="A870" s="1" t="s">
        <v>870</v>
      </c>
      <c r="B870" s="2" t="str">
        <f>IFERROR(__xludf.DUMMYFUNCTION("GOOGLETRANSLATE(A870, ""de"", ""en"")"),"lead")</f>
        <v>lead</v>
      </c>
    </row>
    <row r="871">
      <c r="A871" s="1" t="s">
        <v>871</v>
      </c>
      <c r="B871" s="2" t="str">
        <f>IFERROR(__xludf.DUMMYFUNCTION("GOOGLETRANSLATE(A871, ""de"", ""en"")"),"died")</f>
        <v>died</v>
      </c>
    </row>
    <row r="872">
      <c r="A872" s="1" t="s">
        <v>872</v>
      </c>
      <c r="B872" s="2" t="str">
        <f>IFERROR(__xludf.DUMMYFUNCTION("GOOGLETRANSLATE(A872, ""de"", ""en"")"),"look")</f>
        <v>look</v>
      </c>
    </row>
    <row r="873">
      <c r="A873" s="1" t="s">
        <v>873</v>
      </c>
      <c r="B873" s="2" t="str">
        <f>IFERROR(__xludf.DUMMYFUNCTION("GOOGLETRANSLATE(A873, ""de"", ""en"")"),"opinion")</f>
        <v>opinion</v>
      </c>
    </row>
    <row r="874">
      <c r="A874" s="1" t="s">
        <v>874</v>
      </c>
      <c r="B874" s="2" t="str">
        <f>IFERROR(__xludf.DUMMYFUNCTION("GOOGLETRANSLATE(A874, ""de"", ""en"")"),"read")</f>
        <v>read</v>
      </c>
    </row>
    <row r="875">
      <c r="A875" s="1" t="s">
        <v>875</v>
      </c>
      <c r="B875" s="2" t="str">
        <f>IFERROR(__xludf.DUMMYFUNCTION("GOOGLETRANSLATE(A875, ""de"", ""en"")"),"murderer")</f>
        <v>murderer</v>
      </c>
    </row>
    <row r="876">
      <c r="A876" s="1" t="s">
        <v>876</v>
      </c>
      <c r="B876" s="2" t="str">
        <f>IFERROR(__xludf.DUMMYFUNCTION("GOOGLETRANSLATE(A876, ""de"", ""en"")"),"frank")</f>
        <v>frank</v>
      </c>
    </row>
    <row r="877">
      <c r="A877" s="1" t="s">
        <v>877</v>
      </c>
      <c r="B877" s="2" t="str">
        <f>IFERROR(__xludf.DUMMYFUNCTION("GOOGLETRANSLATE(A877, ""de"", ""en"")"),"um")</f>
        <v>um</v>
      </c>
    </row>
    <row r="878">
      <c r="A878" s="1" t="s">
        <v>878</v>
      </c>
      <c r="B878" s="2" t="str">
        <f>IFERROR(__xludf.DUMMYFUNCTION("GOOGLETRANSLATE(A878, ""de"", ""en"")"),"happen")</f>
        <v>happen</v>
      </c>
    </row>
    <row r="879">
      <c r="A879" s="1" t="s">
        <v>879</v>
      </c>
      <c r="B879" s="2" t="str">
        <f>IFERROR(__xludf.DUMMYFUNCTION("GOOGLETRANSLATE(A879, ""de"", ""en"")"),"business")</f>
        <v>business</v>
      </c>
    </row>
    <row r="880">
      <c r="A880" s="1" t="s">
        <v>880</v>
      </c>
      <c r="B880" s="2" t="str">
        <f>IFERROR(__xludf.DUMMYFUNCTION("GOOGLETRANSLATE(A880, ""de"", ""en"")"),"idiot")</f>
        <v>idiot</v>
      </c>
    </row>
    <row r="881">
      <c r="A881" s="1" t="s">
        <v>881</v>
      </c>
      <c r="B881" s="2" t="str">
        <f>IFERROR(__xludf.DUMMYFUNCTION("GOOGLETRANSLATE(A881, ""de"", ""en"")"),"forgiveness")</f>
        <v>forgiveness</v>
      </c>
    </row>
    <row r="882">
      <c r="A882" s="1" t="s">
        <v>882</v>
      </c>
      <c r="B882" s="2" t="str">
        <f>IFERROR(__xludf.DUMMYFUNCTION("GOOGLETRANSLATE(A882, ""de"", ""en"")"),"fly")</f>
        <v>fly</v>
      </c>
    </row>
    <row r="883">
      <c r="A883" s="1" t="s">
        <v>883</v>
      </c>
      <c r="B883" s="2" t="str">
        <f>IFERROR(__xludf.DUMMYFUNCTION("GOOGLETRANSLATE(A883, ""de"", ""en"")"),"show")</f>
        <v>show</v>
      </c>
    </row>
    <row r="884">
      <c r="A884" s="1" t="s">
        <v>884</v>
      </c>
      <c r="B884" s="2" t="str">
        <f>IFERROR(__xludf.DUMMYFUNCTION("GOOGLETRANSLATE(A884, ""de"", ""en"")"),"team")</f>
        <v>team</v>
      </c>
    </row>
    <row r="885">
      <c r="A885" s="1" t="s">
        <v>885</v>
      </c>
      <c r="B885" s="2" t="str">
        <f>IFERROR(__xludf.DUMMYFUNCTION("GOOGLETRANSLATE(A885, ""de"", ""en"")"),"general")</f>
        <v>general</v>
      </c>
    </row>
    <row r="886">
      <c r="A886" s="1" t="s">
        <v>886</v>
      </c>
      <c r="B886" s="2" t="str">
        <f>IFERROR(__xludf.DUMMYFUNCTION("GOOGLETRANSLATE(A886, ""de"", ""en"")"),"Mike")</f>
        <v>Mike</v>
      </c>
    </row>
    <row r="887">
      <c r="A887" s="1" t="s">
        <v>887</v>
      </c>
      <c r="B887" s="2" t="str">
        <f>IFERROR(__xludf.DUMMYFUNCTION("GOOGLETRANSLATE(A887, ""de"", ""en"")"),"ons")</f>
        <v>ons</v>
      </c>
    </row>
    <row r="888">
      <c r="A888" s="1" t="s">
        <v>888</v>
      </c>
      <c r="B888" s="2" t="str">
        <f>IFERROR(__xludf.DUMMYFUNCTION("GOOGLETRANSLATE(A888, ""de"", ""en"")"),"York")</f>
        <v>York</v>
      </c>
    </row>
    <row r="889">
      <c r="A889" s="1" t="s">
        <v>889</v>
      </c>
      <c r="B889" s="2" t="str">
        <f>IFERROR(__xludf.DUMMYFUNCTION("GOOGLETRANSLATE(A889, ""de"", ""en"")"),"previously")</f>
        <v>previously</v>
      </c>
    </row>
    <row r="890">
      <c r="A890" s="1" t="s">
        <v>890</v>
      </c>
      <c r="B890" s="2" t="str">
        <f>IFERROR(__xludf.DUMMYFUNCTION("GOOGLETRANSLATE(A890, ""de"", ""en"")"),"ending")</f>
        <v>ending</v>
      </c>
    </row>
    <row r="891">
      <c r="A891" s="1" t="s">
        <v>891</v>
      </c>
      <c r="B891" s="2" t="str">
        <f>IFERROR(__xludf.DUMMYFUNCTION("GOOGLETRANSLATE(A891, ""de"", ""en"")"),"faster")</f>
        <v>faster</v>
      </c>
    </row>
    <row r="892">
      <c r="A892" s="1" t="s">
        <v>892</v>
      </c>
      <c r="B892" s="2" t="str">
        <f>IFERROR(__xludf.DUMMYFUNCTION("GOOGLETRANSLATE(A892, ""de"", ""en"")"),"loves")</f>
        <v>loves</v>
      </c>
    </row>
    <row r="893">
      <c r="A893" s="1" t="s">
        <v>893</v>
      </c>
      <c r="B893" s="2" t="str">
        <f>IFERROR(__xludf.DUMMYFUNCTION("GOOGLETRANSLATE(A893, ""de"", ""en"")"),"earned")</f>
        <v>earned</v>
      </c>
    </row>
    <row r="894">
      <c r="A894" s="1" t="s">
        <v>894</v>
      </c>
      <c r="B894" s="2" t="str">
        <f>IFERROR(__xludf.DUMMYFUNCTION("GOOGLETRANSLATE(A894, ""de"", ""en"")"),"like")</f>
        <v>like</v>
      </c>
    </row>
    <row r="895">
      <c r="A895" s="1" t="s">
        <v>895</v>
      </c>
      <c r="B895" s="2" t="str">
        <f>IFERROR(__xludf.DUMMYFUNCTION("GOOGLETRANSLATE(A895, ""de"", ""en"")"),"most")</f>
        <v>most</v>
      </c>
    </row>
    <row r="896">
      <c r="A896" s="1" t="s">
        <v>896</v>
      </c>
      <c r="B896" s="2" t="str">
        <f>IFERROR(__xludf.DUMMYFUNCTION("GOOGLETRANSLATE(A896, ""de"", ""en"")"),"think")</f>
        <v>think</v>
      </c>
    </row>
    <row r="897">
      <c r="A897" s="1" t="s">
        <v>897</v>
      </c>
      <c r="B897" s="2" t="str">
        <f>IFERROR(__xludf.DUMMYFUNCTION("GOOGLETRANSLATE(A897, ""de"", ""en"")"),"killed")</f>
        <v>killed</v>
      </c>
    </row>
    <row r="898">
      <c r="A898" s="1" t="s">
        <v>898</v>
      </c>
      <c r="B898" s="2" t="str">
        <f>IFERROR(__xludf.DUMMYFUNCTION("GOOGLETRANSLATE(A898, ""de"", ""en"")"),"perfect")</f>
        <v>perfect</v>
      </c>
    </row>
    <row r="899">
      <c r="A899" s="1" t="s">
        <v>899</v>
      </c>
      <c r="B899" s="2" t="str">
        <f>IFERROR(__xludf.DUMMYFUNCTION("GOOGLETRANSLATE(A899, ""de"", ""en"")"),"promised")</f>
        <v>promised</v>
      </c>
    </row>
    <row r="900">
      <c r="A900" s="1" t="s">
        <v>900</v>
      </c>
      <c r="B900" s="2" t="str">
        <f>IFERROR(__xludf.DUMMYFUNCTION("GOOGLETRANSLATE(A900, ""de"", ""en"")"),"cell phone")</f>
        <v>cell phone</v>
      </c>
    </row>
    <row r="901">
      <c r="A901" s="1" t="s">
        <v>901</v>
      </c>
      <c r="B901" s="2" t="str">
        <f>IFERROR(__xludf.DUMMYFUNCTION("GOOGLETRANSLATE(A901, ""de"", ""en"")"),"rear")</f>
        <v>rear</v>
      </c>
    </row>
    <row r="902">
      <c r="A902" s="1" t="s">
        <v>902</v>
      </c>
      <c r="B902" s="2" t="str">
        <f>IFERROR(__xludf.DUMMYFUNCTION("GOOGLETRANSLATE(A902, ""de"", ""en"")"),"months")</f>
        <v>months</v>
      </c>
    </row>
    <row r="903">
      <c r="A903" s="1" t="s">
        <v>903</v>
      </c>
      <c r="B903" s="2" t="str">
        <f>IFERROR(__xludf.DUMMYFUNCTION("GOOGLETRANSLATE(A903, ""de"", ""en"")"),"remember")</f>
        <v>remember</v>
      </c>
    </row>
    <row r="904">
      <c r="A904" s="1" t="s">
        <v>904</v>
      </c>
      <c r="B904" s="2" t="str">
        <f>IFERROR(__xludf.DUMMYFUNCTION("GOOGLETRANSLATE(A904, ""de"", ""en"")"),"eight")</f>
        <v>eight</v>
      </c>
    </row>
    <row r="905">
      <c r="A905" s="1" t="s">
        <v>905</v>
      </c>
      <c r="B905" s="2" t="str">
        <f>IFERROR(__xludf.DUMMYFUNCTION("GOOGLETRANSLATE(A905, ""de"", ""en"")"),"works")</f>
        <v>works</v>
      </c>
    </row>
    <row r="906">
      <c r="A906" s="1" t="s">
        <v>906</v>
      </c>
      <c r="B906" s="2" t="str">
        <f>IFERROR(__xludf.DUMMYFUNCTION("GOOGLETRANSLATE(A906, ""de"", ""en"")"),"fall")</f>
        <v>fall</v>
      </c>
    </row>
    <row r="907">
      <c r="A907" s="1" t="s">
        <v>907</v>
      </c>
      <c r="B907" s="2" t="str">
        <f>IFERROR(__xludf.DUMMYFUNCTION("GOOGLETRANSLATE(A907, ""de"", ""en"")"),"shout")</f>
        <v>shout</v>
      </c>
    </row>
    <row r="908">
      <c r="A908" s="1" t="s">
        <v>908</v>
      </c>
      <c r="B908" s="2" t="str">
        <f>IFERROR(__xludf.DUMMYFUNCTION("GOOGLETRANSLATE(A908, ""de"", ""en"")"),"necessary")</f>
        <v>necessary</v>
      </c>
    </row>
    <row r="909">
      <c r="A909" s="1" t="s">
        <v>909</v>
      </c>
      <c r="B909" s="2" t="str">
        <f>IFERROR(__xludf.DUMMYFUNCTION("GOOGLETRANSLATE(A909, ""de"", ""en"")"),"a")</f>
        <v>a</v>
      </c>
    </row>
    <row r="910">
      <c r="A910" s="1" t="s">
        <v>910</v>
      </c>
      <c r="B910" s="2" t="str">
        <f>IFERROR(__xludf.DUMMYFUNCTION("GOOGLETRANSLATE(A910, ""de"", ""en"")"),"murder")</f>
        <v>murder</v>
      </c>
    </row>
    <row r="911">
      <c r="A911" s="1" t="s">
        <v>911</v>
      </c>
      <c r="B911" s="2" t="str">
        <f>IFERROR(__xludf.DUMMYFUNCTION("GOOGLETRANSLATE(A911, ""de"", ""en"")"),"out of here")</f>
        <v>out of here</v>
      </c>
    </row>
    <row r="912">
      <c r="A912" s="1" t="s">
        <v>912</v>
      </c>
      <c r="B912" s="2" t="str">
        <f>IFERROR(__xludf.DUMMYFUNCTION("GOOGLETRANSLATE(A912, ""de"", ""en"")"),"day")</f>
        <v>day</v>
      </c>
    </row>
    <row r="913">
      <c r="A913" s="1" t="s">
        <v>913</v>
      </c>
      <c r="B913" s="2" t="str">
        <f>IFERROR(__xludf.DUMMYFUNCTION("GOOGLETRANSLATE(A913, ""de"", ""en"")"),"impossible")</f>
        <v>impossible</v>
      </c>
    </row>
    <row r="914">
      <c r="A914" s="1" t="s">
        <v>914</v>
      </c>
      <c r="B914" s="2" t="str">
        <f>IFERROR(__xludf.DUMMYFUNCTION("GOOGLETRANSLATE(A914, ""de"", ""en"")"),"darling")</f>
        <v>darling</v>
      </c>
    </row>
    <row r="915">
      <c r="A915" s="1" t="s">
        <v>915</v>
      </c>
      <c r="B915" s="2" t="str">
        <f>IFERROR(__xludf.DUMMYFUNCTION("GOOGLETRANSLATE(A915, ""de"", ""en"")"),"charlie")</f>
        <v>charlie</v>
      </c>
    </row>
    <row r="916">
      <c r="A916" s="1" t="s">
        <v>916</v>
      </c>
      <c r="B916" s="2" t="str">
        <f>IFERROR(__xludf.DUMMYFUNCTION("GOOGLETRANSLATE(A916, ""de"", ""en"")"),"actually")</f>
        <v>actually</v>
      </c>
    </row>
    <row r="917">
      <c r="A917" s="1" t="s">
        <v>917</v>
      </c>
      <c r="B917" s="2" t="str">
        <f>IFERROR(__xludf.DUMMYFUNCTION("GOOGLETRANSLATE(A917, ""de"", ""en"")"),"consequences")</f>
        <v>consequences</v>
      </c>
    </row>
    <row r="918">
      <c r="A918" s="1" t="s">
        <v>918</v>
      </c>
      <c r="B918" s="2" t="str">
        <f>IFERROR(__xludf.DUMMYFUNCTION("GOOGLETRANSLATE(A918, ""de"", ""en"")"),"ask")</f>
        <v>ask</v>
      </c>
    </row>
    <row r="919">
      <c r="A919" s="1" t="s">
        <v>919</v>
      </c>
      <c r="B919" s="2" t="str">
        <f>IFERROR(__xludf.DUMMYFUNCTION("GOOGLETRANSLATE(A919, ""de"", ""en"")"),"keep")</f>
        <v>keep</v>
      </c>
    </row>
    <row r="920">
      <c r="A920" s="1" t="s">
        <v>920</v>
      </c>
      <c r="B920" s="2" t="str">
        <f>IFERROR(__xludf.DUMMYFUNCTION("GOOGLETRANSLATE(A920, ""de"", ""en"")"),"vicinity")</f>
        <v>vicinity</v>
      </c>
    </row>
    <row r="921">
      <c r="A921" s="1" t="s">
        <v>921</v>
      </c>
      <c r="B921" s="2" t="str">
        <f>IFERROR(__xludf.DUMMYFUNCTION("GOOGLETRANSLATE(A921, ""de"", ""en"")"),"work")</f>
        <v>work</v>
      </c>
    </row>
    <row r="922">
      <c r="A922" s="1" t="s">
        <v>922</v>
      </c>
      <c r="B922" s="2" t="str">
        <f>IFERROR(__xludf.DUMMYFUNCTION("GOOGLETRANSLATE(A922, ""de"", ""en"")"),"joe")</f>
        <v>joe</v>
      </c>
    </row>
    <row r="923">
      <c r="A923" s="1" t="s">
        <v>923</v>
      </c>
      <c r="B923" s="2" t="str">
        <f>IFERROR(__xludf.DUMMYFUNCTION("GOOGLETRANSLATE(A923, ""de"", ""en"")"),"damn")</f>
        <v>damn</v>
      </c>
    </row>
    <row r="924">
      <c r="A924" s="1" t="s">
        <v>924</v>
      </c>
      <c r="B924" s="2" t="str">
        <f>IFERROR(__xludf.DUMMYFUNCTION("GOOGLETRANSLATE(A924, ""de"", ""en"")"),"suddenly")</f>
        <v>suddenly</v>
      </c>
    </row>
    <row r="925">
      <c r="A925" s="1" t="s">
        <v>925</v>
      </c>
      <c r="B925" s="2" t="str">
        <f>IFERROR(__xludf.DUMMYFUNCTION("GOOGLETRANSLATE(A925, ""de"", ""en"")"),"life")</f>
        <v>life</v>
      </c>
    </row>
    <row r="926">
      <c r="A926" s="1" t="s">
        <v>926</v>
      </c>
      <c r="B926" s="2" t="str">
        <f>IFERROR(__xludf.DUMMYFUNCTION("GOOGLETRANSLATE(A926, ""de"", ""en"")"),"fetch")</f>
        <v>fetch</v>
      </c>
    </row>
    <row r="927">
      <c r="A927" s="1" t="s">
        <v>927</v>
      </c>
      <c r="B927" s="2" t="str">
        <f>IFERROR(__xludf.DUMMYFUNCTION("GOOGLETRANSLATE(A927, ""de"", ""en"")"),"table")</f>
        <v>table</v>
      </c>
    </row>
    <row r="928">
      <c r="A928" s="1" t="s">
        <v>928</v>
      </c>
      <c r="B928" s="2" t="str">
        <f>IFERROR(__xludf.DUMMYFUNCTION("GOOGLETRANSLATE(A928, ""de"", ""en"")"),"Michael")</f>
        <v>Michael</v>
      </c>
    </row>
    <row r="929">
      <c r="A929" s="1" t="s">
        <v>929</v>
      </c>
      <c r="B929" s="2" t="str">
        <f>IFERROR(__xludf.DUMMYFUNCTION("GOOGLETRANSLATE(A929, ""de"", ""en"")"),"heard")</f>
        <v>heard</v>
      </c>
    </row>
    <row r="930">
      <c r="A930" s="1" t="s">
        <v>930</v>
      </c>
      <c r="B930" s="2" t="str">
        <f>IFERROR(__xludf.DUMMYFUNCTION("GOOGLETRANSLATE(A930, ""de"", ""en"")"),"ever")</f>
        <v>ever</v>
      </c>
    </row>
    <row r="931">
      <c r="A931" s="1" t="s">
        <v>931</v>
      </c>
      <c r="B931" s="2" t="str">
        <f>IFERROR(__xludf.DUMMYFUNCTION("GOOGLETRANSLATE(A931, ""de"", ""en"")"),"lay")</f>
        <v>lay</v>
      </c>
    </row>
    <row r="932">
      <c r="A932" s="1" t="s">
        <v>932</v>
      </c>
      <c r="B932" s="2" t="str">
        <f>IFERROR(__xludf.DUMMYFUNCTION("GOOGLETRANSLATE(A932, ""de"", ""en"")"),"sell")</f>
        <v>sell</v>
      </c>
    </row>
    <row r="933">
      <c r="A933" s="1" t="s">
        <v>933</v>
      </c>
      <c r="B933" s="2" t="str">
        <f>IFERROR(__xludf.DUMMYFUNCTION("GOOGLETRANSLATE(A933, ""de"", ""en"")"),"dangerous")</f>
        <v>dangerous</v>
      </c>
    </row>
    <row r="934">
      <c r="A934" s="1" t="s">
        <v>934</v>
      </c>
      <c r="B934" s="2" t="str">
        <f>IFERROR(__xludf.DUMMYFUNCTION("GOOGLETRANSLATE(A934, ""de"", ""en"")"),"begin")</f>
        <v>begin</v>
      </c>
    </row>
    <row r="935">
      <c r="A935" s="1" t="s">
        <v>935</v>
      </c>
      <c r="B935" s="2" t="str">
        <f>IFERROR(__xludf.DUMMYFUNCTION("GOOGLETRANSLATE(A935, ""de"", ""en"")"),"receives")</f>
        <v>receives</v>
      </c>
    </row>
    <row r="936">
      <c r="A936" s="1" t="s">
        <v>936</v>
      </c>
      <c r="B936" s="2" t="str">
        <f>IFERROR(__xludf.DUMMYFUNCTION("GOOGLETRANSLATE(A936, ""de"", ""en"")"),"made")</f>
        <v>made</v>
      </c>
    </row>
    <row r="937">
      <c r="A937" s="1" t="s">
        <v>937</v>
      </c>
      <c r="B937" s="2" t="str">
        <f>IFERROR(__xludf.DUMMYFUNCTION("GOOGLETRANSLATE(A937, ""de"", ""en"")"),"Ha")</f>
        <v>Ha</v>
      </c>
    </row>
    <row r="938">
      <c r="A938" s="1" t="s">
        <v>938</v>
      </c>
      <c r="B938" s="2" t="str">
        <f>IFERROR(__xludf.DUMMYFUNCTION("GOOGLETRANSLATE(A938, ""de"", ""en"")"),"hotel")</f>
        <v>hotel</v>
      </c>
    </row>
    <row r="939">
      <c r="A939" s="1" t="s">
        <v>939</v>
      </c>
      <c r="B939" s="2" t="str">
        <f>IFERROR(__xludf.DUMMYFUNCTION("GOOGLETRANSLATE(A939, ""de"", ""en"")"),"helps")</f>
        <v>helps</v>
      </c>
    </row>
    <row r="940">
      <c r="A940" s="1" t="s">
        <v>940</v>
      </c>
      <c r="B940" s="2" t="str">
        <f>IFERROR(__xludf.DUMMYFUNCTION("GOOGLETRANSLATE(A940, ""de"", ""en"")"),"will")</f>
        <v>will</v>
      </c>
    </row>
    <row r="941">
      <c r="A941" s="1" t="s">
        <v>941</v>
      </c>
      <c r="B941" s="2" t="str">
        <f>IFERROR(__xludf.DUMMYFUNCTION("GOOGLETRANSLATE(A941, ""de"", ""en"")"),"master")</f>
        <v>master</v>
      </c>
    </row>
    <row r="942">
      <c r="A942" s="1" t="s">
        <v>942</v>
      </c>
      <c r="B942" s="2" t="str">
        <f>IFERROR(__xludf.DUMMYFUNCTION("GOOGLETRANSLATE(A942, ""de"", ""en"")"),"battle")</f>
        <v>battle</v>
      </c>
    </row>
    <row r="943">
      <c r="A943" s="1" t="s">
        <v>943</v>
      </c>
      <c r="B943" s="2" t="str">
        <f>IFERROR(__xludf.DUMMYFUNCTION("GOOGLETRANSLATE(A943, ""de"", ""en"")"),"answer")</f>
        <v>answer</v>
      </c>
    </row>
    <row r="944">
      <c r="A944" s="1" t="s">
        <v>944</v>
      </c>
      <c r="B944" s="2" t="str">
        <f>IFERROR(__xludf.DUMMYFUNCTION("GOOGLETRANSLATE(A944, ""de"", ""en"")"),"could")</f>
        <v>could</v>
      </c>
    </row>
    <row r="945">
      <c r="A945" s="1" t="s">
        <v>945</v>
      </c>
      <c r="B945" s="2" t="str">
        <f>IFERROR(__xludf.DUMMYFUNCTION("GOOGLETRANSLATE(A945, ""de"", ""en"")"),"sent")</f>
        <v>sent</v>
      </c>
    </row>
    <row r="946">
      <c r="A946" s="1" t="s">
        <v>946</v>
      </c>
      <c r="B946" s="2" t="str">
        <f>IFERROR(__xludf.DUMMYFUNCTION("GOOGLETRANSLATE(A946, ""de"", ""en"")"),"everyone")</f>
        <v>everyone</v>
      </c>
    </row>
    <row r="947">
      <c r="A947" s="1" t="s">
        <v>947</v>
      </c>
      <c r="B947" s="2" t="str">
        <f>IFERROR(__xludf.DUMMYFUNCTION("GOOGLETRANSLATE(A947, ""de"", ""en"")"),"although")</f>
        <v>although</v>
      </c>
    </row>
    <row r="948">
      <c r="A948" s="1" t="s">
        <v>948</v>
      </c>
      <c r="B948" s="2" t="str">
        <f>IFERROR(__xludf.DUMMYFUNCTION("GOOGLETRANSLATE(A948, ""de"", ""en"")"),"seven")</f>
        <v>seven</v>
      </c>
    </row>
    <row r="949">
      <c r="A949" s="1" t="s">
        <v>949</v>
      </c>
      <c r="B949" s="2" t="str">
        <f>IFERROR(__xludf.DUMMYFUNCTION("GOOGLETRANSLATE(A949, ""de"", ""en"")"),"funny")</f>
        <v>funny</v>
      </c>
    </row>
    <row r="950">
      <c r="A950" s="1" t="s">
        <v>950</v>
      </c>
      <c r="B950" s="2" t="str">
        <f>IFERROR(__xludf.DUMMYFUNCTION("GOOGLETRANSLATE(A950, ""de"", ""en"")"),"win")</f>
        <v>win</v>
      </c>
    </row>
    <row r="951">
      <c r="A951" s="1" t="s">
        <v>951</v>
      </c>
      <c r="B951" s="2" t="str">
        <f>IFERROR(__xludf.DUMMYFUNCTION("GOOGLETRANSLATE(A951, ""de"", ""en"")"),"hers")</f>
        <v>hers</v>
      </c>
    </row>
    <row r="952">
      <c r="A952" s="1" t="s">
        <v>952</v>
      </c>
      <c r="B952" s="2" t="str">
        <f>IFERROR(__xludf.DUMMYFUNCTION("GOOGLETRANSLATE(A952, ""de"", ""en"")"),"paid")</f>
        <v>paid</v>
      </c>
    </row>
    <row r="953">
      <c r="A953" s="1" t="s">
        <v>953</v>
      </c>
      <c r="B953" s="2" t="str">
        <f>IFERROR(__xludf.DUMMYFUNCTION("GOOGLETRANSLATE(A953, ""de"", ""en"")"),"you")</f>
        <v>you</v>
      </c>
    </row>
    <row r="954">
      <c r="A954" s="1" t="s">
        <v>954</v>
      </c>
      <c r="B954" s="2" t="str">
        <f>IFERROR(__xludf.DUMMYFUNCTION("GOOGLETRANSLATE(A954, ""de"", ""en"")"),"fuller")</f>
        <v>fuller</v>
      </c>
    </row>
    <row r="955">
      <c r="A955" s="1" t="s">
        <v>955</v>
      </c>
      <c r="B955" s="2" t="str">
        <f>IFERROR(__xludf.DUMMYFUNCTION("GOOGLETRANSLATE(A955, ""de"", ""en"")"),"on the way")</f>
        <v>on the way</v>
      </c>
    </row>
    <row r="956">
      <c r="A956" s="1" t="s">
        <v>956</v>
      </c>
      <c r="B956" s="2" t="str">
        <f>IFERROR(__xludf.DUMMYFUNCTION("GOOGLETRANSLATE(A956, ""de"", ""en"")"),"dumb")</f>
        <v>dumb</v>
      </c>
    </row>
    <row r="957">
      <c r="A957" s="1" t="s">
        <v>957</v>
      </c>
      <c r="B957" s="2" t="str">
        <f>IFERROR(__xludf.DUMMYFUNCTION("GOOGLETRANSLATE(A957, ""de"", ""en"")"),"aggravation")</f>
        <v>aggravation</v>
      </c>
    </row>
    <row r="958">
      <c r="A958" s="1" t="s">
        <v>958</v>
      </c>
      <c r="B958" s="2" t="str">
        <f>IFERROR(__xludf.DUMMYFUNCTION("GOOGLETRANSLATE(A958, ""de"", ""en"")"),"picture")</f>
        <v>picture</v>
      </c>
    </row>
    <row r="959">
      <c r="A959" s="1" t="s">
        <v>959</v>
      </c>
      <c r="B959" s="2" t="str">
        <f>IFERROR(__xludf.DUMMYFUNCTION("GOOGLETRANSLATE(A959, ""de"", ""en"")"),"george")</f>
        <v>george</v>
      </c>
    </row>
    <row r="960">
      <c r="A960" s="1" t="s">
        <v>960</v>
      </c>
      <c r="B960" s="2" t="str">
        <f>IFERROR(__xludf.DUMMYFUNCTION("GOOGLETRANSLATE(A960, ""de"", ""en"")"),"new")</f>
        <v>new</v>
      </c>
    </row>
    <row r="961">
      <c r="A961" s="1" t="s">
        <v>961</v>
      </c>
      <c r="B961" s="2" t="str">
        <f>IFERROR(__xludf.DUMMYFUNCTION("GOOGLETRANSLATE(A961, ""de"", ""en"")"),"pay")</f>
        <v>pay</v>
      </c>
    </row>
    <row r="962">
      <c r="A962" s="1" t="s">
        <v>962</v>
      </c>
      <c r="B962" s="2" t="str">
        <f>IFERROR(__xludf.DUMMYFUNCTION("GOOGLETRANSLATE(A962, ""de"", ""en"")"),"against it")</f>
        <v>against it</v>
      </c>
    </row>
    <row r="963">
      <c r="A963" s="1" t="s">
        <v>963</v>
      </c>
      <c r="B963" s="2" t="str">
        <f>IFERROR(__xludf.DUMMYFUNCTION("GOOGLETRANSLATE(A963, ""de"", ""en"")"),"be")</f>
        <v>be</v>
      </c>
    </row>
    <row r="964">
      <c r="A964" s="1" t="s">
        <v>964</v>
      </c>
      <c r="B964" s="2" t="str">
        <f>IFERROR(__xludf.DUMMYFUNCTION("GOOGLETRANSLATE(A964, ""de"", ""en"")"),"died")</f>
        <v>died</v>
      </c>
    </row>
    <row r="965">
      <c r="A965" s="1" t="s">
        <v>965</v>
      </c>
      <c r="B965" s="2" t="str">
        <f>IFERROR(__xludf.DUMMYFUNCTION("GOOGLETRANSLATE(A965, ""de"", ""en"")"),"tom")</f>
        <v>tom</v>
      </c>
    </row>
    <row r="966">
      <c r="A966" s="1" t="s">
        <v>966</v>
      </c>
      <c r="B966" s="2" t="str">
        <f>IFERROR(__xludf.DUMMYFUNCTION("GOOGLETRANSLATE(A966, ""de"", ""en"")"),"months")</f>
        <v>months</v>
      </c>
    </row>
    <row r="967">
      <c r="A967" s="1" t="s">
        <v>967</v>
      </c>
      <c r="B967" s="2" t="str">
        <f>IFERROR(__xludf.DUMMYFUNCTION("GOOGLETRANSLATE(A967, ""de"", ""en"")"),"corpse")</f>
        <v>corpse</v>
      </c>
    </row>
    <row r="968">
      <c r="A968" s="1" t="s">
        <v>968</v>
      </c>
      <c r="B968" s="2" t="str">
        <f>IFERROR(__xludf.DUMMYFUNCTION("GOOGLETRANSLATE(A968, ""de"", ""en"")"),"nobody")</f>
        <v>nobody</v>
      </c>
    </row>
    <row r="969">
      <c r="A969" s="1" t="s">
        <v>969</v>
      </c>
      <c r="B969" s="2" t="str">
        <f>IFERROR(__xludf.DUMMYFUNCTION("GOOGLETRANSLATE(A969, ""de"", ""en"")"),"eye")</f>
        <v>eye</v>
      </c>
    </row>
    <row r="970">
      <c r="A970" s="1" t="s">
        <v>970</v>
      </c>
      <c r="B970" s="2" t="str">
        <f>IFERROR(__xludf.DUMMYFUNCTION("GOOGLETRANSLATE(A970, ""de"", ""en"")"),"asshole")</f>
        <v>asshole</v>
      </c>
    </row>
    <row r="971">
      <c r="A971" s="1" t="s">
        <v>971</v>
      </c>
      <c r="B971" s="2" t="str">
        <f>IFERROR(__xludf.DUMMYFUNCTION("GOOGLETRANSLATE(A971, ""de"", ""en"")"),"married")</f>
        <v>married</v>
      </c>
    </row>
    <row r="972">
      <c r="A972" s="1" t="s">
        <v>972</v>
      </c>
      <c r="B972" s="2" t="str">
        <f>IFERROR(__xludf.DUMMYFUNCTION("GOOGLETRANSLATE(A972, ""de"", ""en"")"),"Peter")</f>
        <v>Peter</v>
      </c>
    </row>
    <row r="973">
      <c r="A973" s="1" t="s">
        <v>973</v>
      </c>
      <c r="B973" s="2" t="str">
        <f>IFERROR(__xludf.DUMMYFUNCTION("GOOGLETRANSLATE(A973, ""de"", ""en"")"),"pull")</f>
        <v>pull</v>
      </c>
    </row>
    <row r="974">
      <c r="A974" s="1" t="s">
        <v>974</v>
      </c>
      <c r="B974" s="2" t="str">
        <f>IFERROR(__xludf.DUMMYFUNCTION("GOOGLETRANSLATE(A974, ""de"", ""en"")"),"takes")</f>
        <v>takes</v>
      </c>
    </row>
    <row r="975">
      <c r="A975" s="1" t="s">
        <v>975</v>
      </c>
      <c r="B975" s="2" t="str">
        <f>IFERROR(__xludf.DUMMYFUNCTION("GOOGLETRANSLATE(A975, ""de"", ""en"")"),"saved")</f>
        <v>saved</v>
      </c>
    </row>
    <row r="976">
      <c r="A976" s="1" t="s">
        <v>976</v>
      </c>
      <c r="B976" s="2" t="str">
        <f>IFERROR(__xludf.DUMMYFUNCTION("GOOGLETRANSLATE(A976, ""de"", ""en"")"),"agent")</f>
        <v>agent</v>
      </c>
    </row>
    <row r="977">
      <c r="A977" s="1" t="s">
        <v>977</v>
      </c>
      <c r="B977" s="2" t="str">
        <f>IFERROR(__xludf.DUMMYFUNCTION("GOOGLETRANSLATE(A977, ""de"", ""en"")"),"dream")</f>
        <v>dream</v>
      </c>
    </row>
    <row r="978">
      <c r="A978" s="1" t="s">
        <v>978</v>
      </c>
      <c r="B978" s="2" t="str">
        <f>IFERROR(__xludf.DUMMYFUNCTION("GOOGLETRANSLATE(A978, ""de"", ""en"")"),"decision")</f>
        <v>decision</v>
      </c>
    </row>
    <row r="979">
      <c r="A979" s="1" t="s">
        <v>979</v>
      </c>
      <c r="B979" s="2" t="str">
        <f>IFERROR(__xludf.DUMMYFUNCTION("GOOGLETRANSLATE(A979, ""de"", ""en"")"),"worse")</f>
        <v>worse</v>
      </c>
    </row>
    <row r="980">
      <c r="A980" s="1" t="s">
        <v>980</v>
      </c>
      <c r="B980" s="2" t="str">
        <f>IFERROR(__xludf.DUMMYFUNCTION("GOOGLETRANSLATE(A980, ""de"", ""en"")"),"regulate")</f>
        <v>regulate</v>
      </c>
    </row>
    <row r="981">
      <c r="A981" s="1" t="s">
        <v>981</v>
      </c>
      <c r="B981" s="2" t="str">
        <f>IFERROR(__xludf.DUMMYFUNCTION("GOOGLETRANSLATE(A981, ""de"", ""en"")"),"window")</f>
        <v>window</v>
      </c>
    </row>
    <row r="982">
      <c r="A982" s="1" t="s">
        <v>982</v>
      </c>
      <c r="B982" s="2" t="str">
        <f>IFERROR(__xludf.DUMMYFUNCTION("GOOGLETRANSLATE(A982, ""de"", ""en"")"),"catch")</f>
        <v>catch</v>
      </c>
    </row>
    <row r="983">
      <c r="A983" s="1" t="s">
        <v>983</v>
      </c>
      <c r="B983" s="2" t="str">
        <f>IFERROR(__xludf.DUMMYFUNCTION("GOOGLETRANSLATE(A983, ""de"", ""en"")"),"continued")</f>
        <v>continued</v>
      </c>
    </row>
    <row r="984">
      <c r="A984" s="1" t="s">
        <v>984</v>
      </c>
      <c r="B984" s="2" t="str">
        <f>IFERROR(__xludf.DUMMYFUNCTION("GOOGLETRANSLATE(A984, ""de"", ""en"")"),"constant")</f>
        <v>constant</v>
      </c>
    </row>
    <row r="985">
      <c r="A985" s="1" t="s">
        <v>985</v>
      </c>
      <c r="B985" s="2" t="str">
        <f>IFERROR(__xludf.DUMMYFUNCTION("GOOGLETRANSLATE(A985, ""de"", ""en"")"),"find")</f>
        <v>find</v>
      </c>
    </row>
    <row r="986">
      <c r="A986" s="1" t="s">
        <v>986</v>
      </c>
      <c r="B986" s="2" t="str">
        <f>IFERROR(__xludf.DUMMYFUNCTION("GOOGLETRANSLATE(A986, ""de"", ""en"")"),"danger")</f>
        <v>danger</v>
      </c>
    </row>
    <row r="987">
      <c r="A987" s="1" t="s">
        <v>987</v>
      </c>
      <c r="B987" s="2" t="str">
        <f>IFERROR(__xludf.DUMMYFUNCTION("GOOGLETRANSLATE(A987, ""de"", ""en"")"),"absolutely")</f>
        <v>absolutely</v>
      </c>
    </row>
    <row r="988">
      <c r="A988" s="1" t="s">
        <v>988</v>
      </c>
      <c r="B988" s="2" t="str">
        <f>IFERROR(__xludf.DUMMYFUNCTION("GOOGLETRANSLATE(A988, ""de"", ""en"")"),"mary")</f>
        <v>mary</v>
      </c>
    </row>
    <row r="989">
      <c r="A989" s="1" t="s">
        <v>989</v>
      </c>
      <c r="B989" s="2" t="str">
        <f>IFERROR(__xludf.DUMMYFUNCTION("GOOGLETRANSLATE(A989, ""de"", ""en"")"),"moment")</f>
        <v>moment</v>
      </c>
    </row>
    <row r="990">
      <c r="A990" s="1" t="s">
        <v>990</v>
      </c>
      <c r="B990" s="2" t="str">
        <f>IFERROR(__xludf.DUMMYFUNCTION("GOOGLETRANSLATE(A990, ""de"", ""en"")"),"notice")</f>
        <v>notice</v>
      </c>
    </row>
    <row r="991">
      <c r="A991" s="1" t="s">
        <v>991</v>
      </c>
      <c r="B991" s="2" t="str">
        <f>IFERROR(__xludf.DUMMYFUNCTION("GOOGLETRANSLATE(A991, ""de"", ""en"")"),"rum")</f>
        <v>rum</v>
      </c>
    </row>
    <row r="992">
      <c r="A992" s="1" t="s">
        <v>992</v>
      </c>
      <c r="B992" s="2" t="str">
        <f>IFERROR(__xludf.DUMMYFUNCTION("GOOGLETRANSLATE(A992, ""de"", ""en"")"),"thoughts")</f>
        <v>thoughts</v>
      </c>
    </row>
    <row r="993">
      <c r="A993" s="1" t="s">
        <v>993</v>
      </c>
      <c r="B993" s="2" t="str">
        <f>IFERROR(__xludf.DUMMYFUNCTION("GOOGLETRANSLATE(A993, ""de"", ""en"")"),"will")</f>
        <v>will</v>
      </c>
    </row>
    <row r="994">
      <c r="A994" s="1" t="s">
        <v>994</v>
      </c>
      <c r="B994" s="2" t="str">
        <f>IFERROR(__xludf.DUMMYFUNCTION("GOOGLETRANSLATE(A994, ""de"", ""en"")"),"goal")</f>
        <v>goal</v>
      </c>
    </row>
    <row r="995">
      <c r="A995" s="1" t="s">
        <v>995</v>
      </c>
      <c r="B995" s="2" t="str">
        <f>IFERROR(__xludf.DUMMYFUNCTION("GOOGLETRANSLATE(A995, ""de"", ""en"")"),"used")</f>
        <v>used</v>
      </c>
    </row>
    <row r="996">
      <c r="A996" s="1" t="s">
        <v>996</v>
      </c>
      <c r="B996" s="2" t="str">
        <f>IFERROR(__xludf.DUMMYFUNCTION("GOOGLETRANSLATE(A996, ""de"", ""en"")"),"movement")</f>
        <v>movement</v>
      </c>
    </row>
    <row r="997">
      <c r="A997" s="1" t="s">
        <v>997</v>
      </c>
      <c r="B997" s="2" t="str">
        <f>IFERROR(__xludf.DUMMYFUNCTION("GOOGLETRANSLATE(A997, ""de"", ""en"")"),"someone")</f>
        <v>someone</v>
      </c>
    </row>
    <row r="998">
      <c r="A998" s="1" t="s">
        <v>998</v>
      </c>
      <c r="B998" s="2" t="str">
        <f>IFERROR(__xludf.DUMMYFUNCTION("GOOGLETRANSLATE(A998, ""de"", ""en"")"),"wished")</f>
        <v>wished</v>
      </c>
    </row>
    <row r="999">
      <c r="A999" s="1" t="s">
        <v>999</v>
      </c>
      <c r="B999" s="2" t="str">
        <f>IFERROR(__xludf.DUMMYFUNCTION("GOOGLETRANSLATE(A999, ""de"", ""en"")"),"words")</f>
        <v>words</v>
      </c>
    </row>
    <row r="1000">
      <c r="A1000" s="1" t="s">
        <v>1000</v>
      </c>
      <c r="B1000" s="2" t="str">
        <f>IFERROR(__xludf.DUMMYFUNCTION("GOOGLETRANSLATE(A1000, ""de"", ""en"")"),"came")</f>
        <v>came</v>
      </c>
    </row>
    <row r="1001">
      <c r="A1001" s="1" t="s">
        <v>1001</v>
      </c>
      <c r="B1001" s="2" t="str">
        <f>IFERROR(__xludf.DUMMYFUNCTION("GOOGLETRANSLATE(A1001, ""de"", ""en"")"),"which")</f>
        <v>which</v>
      </c>
    </row>
    <row r="1002">
      <c r="A1002" s="1" t="s">
        <v>1002</v>
      </c>
      <c r="B1002" s="2" t="str">
        <f>IFERROR(__xludf.DUMMYFUNCTION("GOOGLETRANSLATE(A1002, ""de"", ""en"")"),"pay")</f>
        <v>pay</v>
      </c>
    </row>
    <row r="1003">
      <c r="A1003" s="1" t="s">
        <v>1003</v>
      </c>
      <c r="B1003" s="2" t="str">
        <f>IFERROR(__xludf.DUMMYFUNCTION("GOOGLETRANSLATE(A1003, ""de"", ""en"")"),"beginning")</f>
        <v>beginning</v>
      </c>
    </row>
    <row r="1004">
      <c r="A1004" s="1" t="s">
        <v>1004</v>
      </c>
      <c r="B1004" s="2" t="str">
        <f>IFERROR(__xludf.DUMMYFUNCTION("GOOGLETRANSLATE(A1004, ""de"", ""en"")"),"place")</f>
        <v>place</v>
      </c>
    </row>
    <row r="1005">
      <c r="A1005" s="1" t="s">
        <v>1005</v>
      </c>
      <c r="B1005" s="2" t="str">
        <f>IFERROR(__xludf.DUMMYFUNCTION("GOOGLETRANSLATE(A1005, ""de"", ""en"")"),"remember")</f>
        <v>remember</v>
      </c>
    </row>
    <row r="1006">
      <c r="A1006" s="1" t="s">
        <v>1006</v>
      </c>
      <c r="B1006" s="2" t="str">
        <f>IFERROR(__xludf.DUMMYFUNCTION("GOOGLETRANSLATE(A1006, ""de"", ""en"")"),"attorney")</f>
        <v>attorney</v>
      </c>
    </row>
    <row r="1007">
      <c r="A1007" s="1" t="s">
        <v>1007</v>
      </c>
      <c r="B1007" s="2" t="str">
        <f>IFERROR(__xludf.DUMMYFUNCTION("GOOGLETRANSLATE(A1007, ""de"", ""en"")"),"drive")</f>
        <v>drive</v>
      </c>
    </row>
    <row r="1008">
      <c r="A1008" s="1" t="s">
        <v>1008</v>
      </c>
      <c r="B1008" s="2" t="str">
        <f>IFERROR(__xludf.DUMMYFUNCTION("GOOGLETRANSLATE(A1008, ""de"", ""en"")"),"sits")</f>
        <v>sits</v>
      </c>
    </row>
    <row r="1009">
      <c r="A1009" s="1" t="s">
        <v>1009</v>
      </c>
      <c r="B1009" s="2" t="str">
        <f>IFERROR(__xludf.DUMMYFUNCTION("GOOGLETRANSLATE(A1009, ""de"", ""en"")"),"help")</f>
        <v>help</v>
      </c>
    </row>
    <row r="1010">
      <c r="A1010" s="1" t="s">
        <v>1010</v>
      </c>
      <c r="B1010" s="2" t="str">
        <f>IFERROR(__xludf.DUMMYFUNCTION("GOOGLETRANSLATE(A1010, ""de"", ""en"")"),"open")</f>
        <v>open</v>
      </c>
    </row>
    <row r="1011">
      <c r="A1011" s="1" t="s">
        <v>1011</v>
      </c>
      <c r="B1011" s="2" t="str">
        <f>IFERROR(__xludf.DUMMYFUNCTION("GOOGLETRANSLATE(A1011, ""de"", ""en"")"),"beautiful")</f>
        <v>beautiful</v>
      </c>
    </row>
    <row r="1012">
      <c r="A1012" s="1" t="s">
        <v>1012</v>
      </c>
      <c r="B1012" s="2" t="str">
        <f>IFERROR(__xludf.DUMMYFUNCTION("GOOGLETRANSLATE(A1012, ""de"", ""en"")"),"monsieur")</f>
        <v>monsieur</v>
      </c>
    </row>
    <row r="1013">
      <c r="A1013" s="1" t="s">
        <v>1013</v>
      </c>
      <c r="B1013" s="2" t="str">
        <f>IFERROR(__xludf.DUMMYFUNCTION("GOOGLETRANSLATE(A1013, ""de"", ""en"")"),"would have to")</f>
        <v>would have to</v>
      </c>
    </row>
    <row r="1014">
      <c r="A1014" s="1" t="s">
        <v>1014</v>
      </c>
      <c r="B1014" s="2" t="str">
        <f>IFERROR(__xludf.DUMMYFUNCTION("GOOGLETRANSLATE(A1014, ""de"", ""en"")"),"poor")</f>
        <v>poor</v>
      </c>
    </row>
    <row r="1015">
      <c r="A1015" s="1" t="s">
        <v>1015</v>
      </c>
      <c r="B1015" s="2" t="str">
        <f>IFERROR(__xludf.DUMMYFUNCTION("GOOGLETRANSLATE(A1015, ""de"", ""en"")"),"beer")</f>
        <v>beer</v>
      </c>
    </row>
    <row r="1016">
      <c r="A1016" s="1" t="s">
        <v>1016</v>
      </c>
      <c r="B1016" s="2" t="str">
        <f>IFERROR(__xludf.DUMMYFUNCTION("GOOGLETRANSLATE(A1016, ""de"", ""en"")"),"for")</f>
        <v>for</v>
      </c>
    </row>
    <row r="1017">
      <c r="A1017" s="1" t="s">
        <v>1017</v>
      </c>
      <c r="B1017" s="2" t="str">
        <f>IFERROR(__xludf.DUMMYFUNCTION("GOOGLETRANSLATE(A1017, ""de"", ""en"")"),"partner")</f>
        <v>partner</v>
      </c>
    </row>
    <row r="1018">
      <c r="A1018" s="1" t="s">
        <v>1018</v>
      </c>
      <c r="B1018" s="2" t="str">
        <f>IFERROR(__xludf.DUMMYFUNCTION("GOOGLETRANSLATE(A1018, ""de"", ""en"")"),"small")</f>
        <v>small</v>
      </c>
    </row>
    <row r="1019">
      <c r="A1019" s="1" t="s">
        <v>1019</v>
      </c>
      <c r="B1019" s="2" t="str">
        <f>IFERROR(__xludf.DUMMYFUNCTION("GOOGLETRANSLATE(A1019, ""de"", ""en"")"),"David")</f>
        <v>David</v>
      </c>
    </row>
    <row r="1020">
      <c r="A1020" s="1" t="s">
        <v>1020</v>
      </c>
      <c r="B1020" s="2" t="str">
        <f>IFERROR(__xludf.DUMMYFUNCTION("GOOGLETRANSLATE(A1020, ""de"", ""en"")"),"flap")</f>
        <v>flap</v>
      </c>
    </row>
    <row r="1021">
      <c r="A1021" s="1" t="s">
        <v>1021</v>
      </c>
      <c r="B1021" s="2" t="str">
        <f>IFERROR(__xludf.DUMMYFUNCTION("GOOGLETRANSLATE(A1021, ""de"", ""en"")"),"sweet")</f>
        <v>sweet</v>
      </c>
    </row>
    <row r="1022">
      <c r="A1022" s="1" t="s">
        <v>1022</v>
      </c>
      <c r="B1022" s="2" t="str">
        <f>IFERROR(__xludf.DUMMYFUNCTION("GOOGLETRANSLATE(A1022, ""de"", ""en"")"),"around")</f>
        <v>around</v>
      </c>
    </row>
    <row r="1023">
      <c r="A1023" s="1" t="s">
        <v>1023</v>
      </c>
      <c r="B1023" s="2" t="str">
        <f>IFERROR(__xludf.DUMMYFUNCTION("GOOGLETRANSLATE(A1023, ""de"", ""en"")"),"finger")</f>
        <v>finger</v>
      </c>
    </row>
    <row r="1024">
      <c r="A1024" s="1" t="s">
        <v>1024</v>
      </c>
      <c r="B1024" s="2" t="str">
        <f>IFERROR(__xludf.DUMMYFUNCTION("GOOGLETRANSLATE(A1024, ""de"", ""en"")"),"before")</f>
        <v>before</v>
      </c>
    </row>
    <row r="1025">
      <c r="A1025" s="1" t="s">
        <v>1025</v>
      </c>
      <c r="B1025" s="2" t="str">
        <f>IFERROR(__xludf.DUMMYFUNCTION("GOOGLETRANSLATE(A1025, ""de"", ""en"")"),"role")</f>
        <v>role</v>
      </c>
    </row>
    <row r="1026">
      <c r="A1026" s="1" t="s">
        <v>1026</v>
      </c>
      <c r="B1026" s="2" t="str">
        <f>IFERROR(__xludf.DUMMYFUNCTION("GOOGLETRANSLATE(A1026, ""de"", ""en"")"),"let")</f>
        <v>let</v>
      </c>
    </row>
    <row r="1027">
      <c r="A1027" s="1" t="s">
        <v>1027</v>
      </c>
      <c r="B1027" s="2" t="str">
        <f>IFERROR(__xludf.DUMMYFUNCTION("GOOGLETRANSLATE(A1027, ""de"", ""en"")"),"same")</f>
        <v>same</v>
      </c>
    </row>
    <row r="1028">
      <c r="A1028" s="1" t="s">
        <v>1028</v>
      </c>
      <c r="B1028" s="2" t="str">
        <f>IFERROR(__xludf.DUMMYFUNCTION("GOOGLETRANSLATE(A1028, ""de"", ""en"")"),"month")</f>
        <v>month</v>
      </c>
    </row>
    <row r="1029">
      <c r="A1029" s="1" t="s">
        <v>1029</v>
      </c>
      <c r="B1029" s="2" t="str">
        <f>IFERROR(__xludf.DUMMYFUNCTION("GOOGLETRANSLATE(A1029, ""de"", ""en"")"),"wedding")</f>
        <v>wedding</v>
      </c>
    </row>
    <row r="1030">
      <c r="A1030" s="1" t="s">
        <v>1030</v>
      </c>
      <c r="B1030" s="2" t="str">
        <f>IFERROR(__xludf.DUMMYFUNCTION("GOOGLETRANSLATE(A1030, ""de"", ""en"")"),"max")</f>
        <v>max</v>
      </c>
    </row>
    <row r="1031">
      <c r="A1031" s="1" t="s">
        <v>1031</v>
      </c>
      <c r="B1031" s="2" t="str">
        <f>IFERROR(__xludf.DUMMYFUNCTION("GOOGLETRANSLATE(A1031, ""de"", ""en"")"),"leads")</f>
        <v>leads</v>
      </c>
    </row>
    <row r="1032">
      <c r="A1032" s="1" t="s">
        <v>1032</v>
      </c>
      <c r="B1032" s="2" t="str">
        <f>IFERROR(__xludf.DUMMYFUNCTION("GOOGLETRANSLATE(A1032, ""de"", ""en"")"),"Paris")</f>
        <v>Paris</v>
      </c>
    </row>
    <row r="1033">
      <c r="A1033" s="1" t="s">
        <v>1033</v>
      </c>
      <c r="B1033" s="2" t="str">
        <f>IFERROR(__xludf.DUMMYFUNCTION("GOOGLETRANSLATE(A1033, ""de"", ""en"")"),"awake")</f>
        <v>awake</v>
      </c>
    </row>
    <row r="1034">
      <c r="A1034" s="1" t="s">
        <v>1034</v>
      </c>
      <c r="B1034" s="2" t="str">
        <f>IFERROR(__xludf.DUMMYFUNCTION("GOOGLETRANSLATE(A1034, ""de"", ""en"")"),"for what reason")</f>
        <v>for what reason</v>
      </c>
    </row>
    <row r="1035">
      <c r="A1035" s="1" t="s">
        <v>1035</v>
      </c>
      <c r="B1035" s="2" t="str">
        <f>IFERROR(__xludf.DUMMYFUNCTION("GOOGLETRANSLATE(A1035, ""de"", ""en"")"),"arm")</f>
        <v>arm</v>
      </c>
    </row>
    <row r="1036">
      <c r="A1036" s="1" t="s">
        <v>1036</v>
      </c>
      <c r="B1036" s="2" t="str">
        <f>IFERROR(__xludf.DUMMYFUNCTION("GOOGLETRANSLATE(A1036, ""de"", ""en"")"),"written")</f>
        <v>written</v>
      </c>
    </row>
    <row r="1037">
      <c r="A1037" s="1" t="s">
        <v>1037</v>
      </c>
      <c r="B1037" s="2" t="str">
        <f>IFERROR(__xludf.DUMMYFUNCTION("GOOGLETRANSLATE(A1037, ""de"", ""en"")"),"boss")</f>
        <v>boss</v>
      </c>
    </row>
    <row r="1038">
      <c r="A1038" s="1" t="s">
        <v>1038</v>
      </c>
      <c r="B1038" s="2" t="str">
        <f>IFERROR(__xludf.DUMMYFUNCTION("GOOGLETRANSLATE(A1038, ""de"", ""en"")"),"use")</f>
        <v>use</v>
      </c>
    </row>
    <row r="1039">
      <c r="A1039" s="1" t="s">
        <v>1039</v>
      </c>
      <c r="B1039" s="2" t="str">
        <f>IFERROR(__xludf.DUMMYFUNCTION("GOOGLETRANSLATE(A1039, ""de"", ""en"")"),"information")</f>
        <v>information</v>
      </c>
    </row>
    <row r="1040">
      <c r="A1040" s="1" t="s">
        <v>1040</v>
      </c>
      <c r="B1040" s="2" t="str">
        <f>IFERROR(__xludf.DUMMYFUNCTION("GOOGLETRANSLATE(A1040, ""de"", ""en"")"),"completed")</f>
        <v>completed</v>
      </c>
    </row>
    <row r="1041">
      <c r="A1041" s="1" t="s">
        <v>1041</v>
      </c>
      <c r="B1041" s="2" t="str">
        <f>IFERROR(__xludf.DUMMYFUNCTION("GOOGLETRANSLATE(A1041, ""de"", ""en"")"),"hopefully")</f>
        <v>hopefully</v>
      </c>
    </row>
    <row r="1042">
      <c r="A1042" s="1" t="s">
        <v>1042</v>
      </c>
      <c r="B1042" s="2" t="str">
        <f>IFERROR(__xludf.DUMMYFUNCTION("GOOGLETRANSLATE(A1042, ""de"", ""en"")"),"must")</f>
        <v>must</v>
      </c>
    </row>
    <row r="1043">
      <c r="A1043" s="1" t="s">
        <v>1043</v>
      </c>
      <c r="B1043" s="2" t="str">
        <f>IFERROR(__xludf.DUMMYFUNCTION("GOOGLETRANSLATE(A1043, ""de"", ""en"")"),"feels")</f>
        <v>feels</v>
      </c>
    </row>
    <row r="1044">
      <c r="A1044" s="1" t="s">
        <v>1044</v>
      </c>
      <c r="B1044" s="2" t="str">
        <f>IFERROR(__xludf.DUMMYFUNCTION("GOOGLETRANSLATE(A1044, ""de"", ""en"")"),"dance")</f>
        <v>dance</v>
      </c>
    </row>
    <row r="1045">
      <c r="A1045" s="1" t="s">
        <v>1045</v>
      </c>
      <c r="B1045" s="2" t="str">
        <f>IFERROR(__xludf.DUMMYFUNCTION("GOOGLETRANSLATE(A1045, ""de"", ""en"")"),"view")</f>
        <v>view</v>
      </c>
    </row>
    <row r="1046">
      <c r="A1046" s="1" t="s">
        <v>1046</v>
      </c>
      <c r="B1046" s="2" t="str">
        <f>IFERROR(__xludf.DUMMYFUNCTION("GOOGLETRANSLATE(A1046, ""de"", ""en"")"),"may")</f>
        <v>may</v>
      </c>
    </row>
    <row r="1047">
      <c r="A1047" s="1" t="s">
        <v>1047</v>
      </c>
      <c r="B1047" s="2" t="str">
        <f>IFERROR(__xludf.DUMMYFUNCTION("GOOGLETRANSLATE(A1047, ""de"", ""en"")"),"at home")</f>
        <v>at home</v>
      </c>
    </row>
    <row r="1048">
      <c r="A1048" s="1" t="s">
        <v>1048</v>
      </c>
      <c r="B1048" s="2" t="str">
        <f>IFERROR(__xludf.DUMMYFUNCTION("GOOGLETRANSLATE(A1048, ""de"", ""en"")"),"wonderful")</f>
        <v>wonderful</v>
      </c>
    </row>
    <row r="1049">
      <c r="A1049" s="1" t="s">
        <v>1049</v>
      </c>
      <c r="B1049" s="2" t="str">
        <f>IFERROR(__xludf.DUMMYFUNCTION("GOOGLETRANSLATE(A1049, ""de"", ""en"")"),"hold")</f>
        <v>hold</v>
      </c>
    </row>
    <row r="1050">
      <c r="A1050" s="1" t="s">
        <v>1050</v>
      </c>
      <c r="B1050" s="2" t="str">
        <f>IFERROR(__xludf.DUMMYFUNCTION("GOOGLETRANSLATE(A1050, ""de"", ""en"")"),"trip")</f>
        <v>trip</v>
      </c>
    </row>
    <row r="1051">
      <c r="A1051" s="1" t="s">
        <v>1051</v>
      </c>
      <c r="B1051" s="2" t="str">
        <f>IFERROR(__xludf.DUMMYFUNCTION("GOOGLETRANSLATE(A1051, ""de"", ""en"")"),"won")</f>
        <v>won</v>
      </c>
    </row>
    <row r="1052">
      <c r="A1052" s="1" t="s">
        <v>1052</v>
      </c>
      <c r="B1052" s="2" t="str">
        <f>IFERROR(__xludf.DUMMYFUNCTION("GOOGLETRANSLATE(A1052, ""de"", ""en"")"),"lady")</f>
        <v>lady</v>
      </c>
    </row>
    <row r="1053">
      <c r="A1053" s="1" t="s">
        <v>1053</v>
      </c>
      <c r="B1053" s="2" t="str">
        <f>IFERROR(__xludf.DUMMYFUNCTION("GOOGLETRANSLATE(A1053, ""de"", ""en"")"),"sometime")</f>
        <v>sometime</v>
      </c>
    </row>
    <row r="1054">
      <c r="A1054" s="1" t="s">
        <v>1054</v>
      </c>
      <c r="B1054" s="2" t="str">
        <f>IFERROR(__xludf.DUMMYFUNCTION("GOOGLETRANSLATE(A1054, ""de"", ""en"")"),"chffffff")</f>
        <v>chffffff</v>
      </c>
    </row>
    <row r="1055">
      <c r="A1055" s="1" t="s">
        <v>1055</v>
      </c>
      <c r="B1055" s="2" t="str">
        <f>IFERROR(__xludf.DUMMYFUNCTION("GOOGLETRANSLATE(A1055, ""de"", ""en"")"),"alex")</f>
        <v>alex</v>
      </c>
    </row>
    <row r="1056">
      <c r="A1056" s="1" t="s">
        <v>1056</v>
      </c>
      <c r="B1056" s="2" t="str">
        <f>IFERROR(__xludf.DUMMYFUNCTION("GOOGLETRANSLATE(A1056, ""de"", ""en"")"),"stuck")</f>
        <v>stuck</v>
      </c>
    </row>
    <row r="1057">
      <c r="A1057" s="1" t="s">
        <v>1057</v>
      </c>
      <c r="B1057" s="2" t="str">
        <f>IFERROR(__xludf.DUMMYFUNCTION("GOOGLETRANSLATE(A1057, ""de"", ""en"")"),"anyway")</f>
        <v>anyway</v>
      </c>
    </row>
    <row r="1058">
      <c r="A1058" s="1" t="s">
        <v>1058</v>
      </c>
      <c r="B1058" s="2" t="str">
        <f>IFERROR(__xludf.DUMMYFUNCTION("GOOGLETRANSLATE(A1058, ""de"", ""en"")"),"screams")</f>
        <v>screams</v>
      </c>
    </row>
    <row r="1059">
      <c r="A1059" s="1" t="s">
        <v>1059</v>
      </c>
      <c r="B1059" s="2" t="str">
        <f>IFERROR(__xludf.DUMMYFUNCTION("GOOGLETRANSLATE(A1059, ""de"", ""en"")"),"great")</f>
        <v>great</v>
      </c>
    </row>
    <row r="1060">
      <c r="A1060" s="1" t="s">
        <v>1060</v>
      </c>
      <c r="B1060" s="2" t="str">
        <f>IFERROR(__xludf.DUMMYFUNCTION("GOOGLETRANSLATE(A1060, ""de"", ""en"")"),"over")</f>
        <v>over</v>
      </c>
    </row>
    <row r="1061">
      <c r="A1061" s="1" t="s">
        <v>1061</v>
      </c>
      <c r="B1061" s="2" t="str">
        <f>IFERROR(__xludf.DUMMYFUNCTION("GOOGLETRANSLATE(A1061, ""de"", ""en"")"),"bye")</f>
        <v>bye</v>
      </c>
    </row>
    <row r="1062">
      <c r="A1062" s="1" t="s">
        <v>1062</v>
      </c>
      <c r="B1062" s="2" t="str">
        <f>IFERROR(__xludf.DUMMYFUNCTION("GOOGLETRANSLATE(A1062, ""de"", ""en"")"),"calls")</f>
        <v>calls</v>
      </c>
    </row>
    <row r="1063">
      <c r="A1063" s="1" t="s">
        <v>1063</v>
      </c>
      <c r="B1063" s="2" t="str">
        <f>IFERROR(__xludf.DUMMYFUNCTION("GOOGLETRANSLATE(A1063, ""de"", ""en"")"),"space")</f>
        <v>space</v>
      </c>
    </row>
    <row r="1064">
      <c r="A1064" s="1" t="s">
        <v>1064</v>
      </c>
      <c r="B1064" s="2" t="str">
        <f>IFERROR(__xludf.DUMMYFUNCTION("GOOGLETRANSLATE(A1064, ""de"", ""en"")"),"hot")</f>
        <v>hot</v>
      </c>
    </row>
    <row r="1065">
      <c r="A1065" s="1" t="s">
        <v>1065</v>
      </c>
      <c r="B1065" s="2" t="str">
        <f>IFERROR(__xludf.DUMMYFUNCTION("GOOGLETRANSLATE(A1065, ""de"", ""en"")"),"photo")</f>
        <v>photo</v>
      </c>
    </row>
    <row r="1066">
      <c r="A1066" s="1" t="s">
        <v>1066</v>
      </c>
      <c r="B1066" s="2" t="str">
        <f>IFERROR(__xludf.DUMMYFUNCTION("GOOGLETRANSLATE(A1066, ""de"", ""en"")"),"cold")</f>
        <v>cold</v>
      </c>
    </row>
    <row r="1067">
      <c r="A1067" s="1" t="s">
        <v>1067</v>
      </c>
      <c r="B1067" s="2" t="str">
        <f>IFERROR(__xludf.DUMMYFUNCTION("GOOGLETRANSLATE(A1067, ""de"", ""en"")"),"paul")</f>
        <v>paul</v>
      </c>
    </row>
    <row r="1068">
      <c r="A1068" s="1" t="s">
        <v>1068</v>
      </c>
      <c r="B1068" s="2" t="str">
        <f>IFERROR(__xludf.DUMMYFUNCTION("GOOGLETRANSLATE(A1068, ""de"", ""en"")"),"anything")</f>
        <v>anything</v>
      </c>
    </row>
    <row r="1069">
      <c r="A1069" s="1" t="s">
        <v>1069</v>
      </c>
      <c r="B1069" s="2" t="str">
        <f>IFERROR(__xludf.DUMMYFUNCTION("GOOGLETRANSLATE(A1069, ""de"", ""en"")"),"while")</f>
        <v>while</v>
      </c>
    </row>
    <row r="1070">
      <c r="A1070" s="1" t="s">
        <v>1070</v>
      </c>
      <c r="B1070" s="2" t="str">
        <f>IFERROR(__xludf.DUMMYFUNCTION("GOOGLETRANSLATE(A1070, ""de"", ""en"")"),"until now")</f>
        <v>until now</v>
      </c>
    </row>
    <row r="1071">
      <c r="A1071" s="1" t="s">
        <v>1071</v>
      </c>
      <c r="B1071" s="2" t="str">
        <f>IFERROR(__xludf.DUMMYFUNCTION("GOOGLETRANSLATE(A1071, ""de"", ""en"")"),"minute")</f>
        <v>minute</v>
      </c>
    </row>
    <row r="1072">
      <c r="A1072" s="1" t="s">
        <v>1072</v>
      </c>
      <c r="B1072" s="2" t="str">
        <f>IFERROR(__xludf.DUMMYFUNCTION("GOOGLETRANSLATE(A1072, ""de"", ""en"")"),"absolutely")</f>
        <v>absolutely</v>
      </c>
    </row>
    <row r="1073">
      <c r="A1073" s="1" t="s">
        <v>1073</v>
      </c>
      <c r="B1073" s="2" t="str">
        <f>IFERROR(__xludf.DUMMYFUNCTION("GOOGLETRANSLATE(A1073, ""de"", ""en"")"),"train")</f>
        <v>train</v>
      </c>
    </row>
    <row r="1074">
      <c r="A1074" s="1" t="s">
        <v>1074</v>
      </c>
      <c r="B1074" s="2" t="str">
        <f>IFERROR(__xludf.DUMMYFUNCTION("GOOGLETRANSLATE(A1074, ""de"", ""en"")"),"seconds")</f>
        <v>seconds</v>
      </c>
    </row>
    <row r="1075">
      <c r="A1075" s="1" t="s">
        <v>1075</v>
      </c>
      <c r="B1075" s="2" t="str">
        <f>IFERROR(__xludf.DUMMYFUNCTION("GOOGLETRANSLATE(A1075, ""de"", ""en"")"),"for what")</f>
        <v>for what</v>
      </c>
    </row>
    <row r="1076">
      <c r="A1076" s="1" t="s">
        <v>1076</v>
      </c>
      <c r="B1076" s="2" t="str">
        <f>IFERROR(__xludf.DUMMYFUNCTION("GOOGLETRANSLATE(A1076, ""de"", ""en"")"),"tell")</f>
        <v>tell</v>
      </c>
    </row>
    <row r="1077">
      <c r="A1077" s="1" t="s">
        <v>1077</v>
      </c>
      <c r="B1077" s="2" t="str">
        <f>IFERROR(__xludf.DUMMYFUNCTION("GOOGLETRANSLATE(A1077, ""de"", ""en"")"),"nen")</f>
        <v>nen</v>
      </c>
    </row>
    <row r="1078">
      <c r="A1078" s="1" t="s">
        <v>1078</v>
      </c>
      <c r="B1078" s="2" t="str">
        <f>IFERROR(__xludf.DUMMYFUNCTION("GOOGLETRANSLATE(A1078, ""de"", ""en"")"),"proofs")</f>
        <v>proofs</v>
      </c>
    </row>
    <row r="1079">
      <c r="A1079" s="1" t="s">
        <v>1079</v>
      </c>
      <c r="B1079" s="2" t="str">
        <f>IFERROR(__xludf.DUMMYFUNCTION("GOOGLETRANSLATE(A1079, ""de"", ""en"")"),"took")</f>
        <v>took</v>
      </c>
    </row>
    <row r="1080">
      <c r="A1080" s="1" t="s">
        <v>1080</v>
      </c>
      <c r="B1080" s="2" t="str">
        <f>IFERROR(__xludf.DUMMYFUNCTION("GOOGLETRANSLATE(A1080, ""de"", ""en"")"),"all")</f>
        <v>all</v>
      </c>
    </row>
    <row r="1081">
      <c r="A1081" s="1" t="s">
        <v>1081</v>
      </c>
      <c r="B1081" s="2" t="str">
        <f>IFERROR(__xludf.DUMMYFUNCTION("GOOGLETRANSLATE(A1081, ""de"", ""en"")"),"happy")</f>
        <v>happy</v>
      </c>
    </row>
    <row r="1082">
      <c r="A1082" s="1" t="s">
        <v>1082</v>
      </c>
      <c r="B1082" s="2" t="str">
        <f>IFERROR(__xludf.DUMMYFUNCTION("GOOGLETRANSLATE(A1082, ""de"", ""en"")"),"soul")</f>
        <v>soul</v>
      </c>
    </row>
    <row r="1083">
      <c r="A1083" s="1" t="s">
        <v>1083</v>
      </c>
      <c r="B1083" s="2" t="str">
        <f>IFERROR(__xludf.DUMMYFUNCTION("GOOGLETRANSLATE(A1083, ""de"", ""en"")"),"shoot")</f>
        <v>shoot</v>
      </c>
    </row>
    <row r="1084">
      <c r="A1084" s="1" t="s">
        <v>1084</v>
      </c>
      <c r="B1084" s="2" t="str">
        <f>IFERROR(__xludf.DUMMYFUNCTION("GOOGLETRANSLATE(A1084, ""de"", ""en"")"),"tired")</f>
        <v>tired</v>
      </c>
    </row>
    <row r="1085">
      <c r="A1085" s="1" t="s">
        <v>1085</v>
      </c>
      <c r="B1085" s="2" t="str">
        <f>IFERROR(__xludf.DUMMYFUNCTION("GOOGLETRANSLATE(A1085, ""de"", ""en"")"),"lasts")</f>
        <v>lasts</v>
      </c>
    </row>
    <row r="1086">
      <c r="A1086" s="1" t="s">
        <v>1086</v>
      </c>
      <c r="B1086" s="2" t="str">
        <f>IFERROR(__xludf.DUMMYFUNCTION("GOOGLETRANSLATE(A1086, ""de"", ""en"")"),"like")</f>
        <v>like</v>
      </c>
    </row>
    <row r="1087">
      <c r="A1087" s="1" t="s">
        <v>1087</v>
      </c>
      <c r="B1087" s="2" t="str">
        <f>IFERROR(__xludf.DUMMYFUNCTION("GOOGLETRANSLATE(A1087, ""de"", ""en"")"),"Harry")</f>
        <v>Harry</v>
      </c>
    </row>
    <row r="1088">
      <c r="A1088" s="1" t="s">
        <v>1088</v>
      </c>
      <c r="B1088" s="2" t="str">
        <f>IFERROR(__xludf.DUMMYFUNCTION("GOOGLETRANSLATE(A1088, ""de"", ""en"")"),"letter")</f>
        <v>letter</v>
      </c>
    </row>
    <row r="1089">
      <c r="A1089" s="1" t="s">
        <v>1089</v>
      </c>
      <c r="B1089" s="2" t="str">
        <f>IFERROR(__xludf.DUMMYFUNCTION("GOOGLETRANSLATE(A1089, ""de"", ""en"")"),"learned")</f>
        <v>learned</v>
      </c>
    </row>
    <row r="1090">
      <c r="A1090" s="1" t="s">
        <v>1090</v>
      </c>
      <c r="B1090" s="2" t="str">
        <f>IFERROR(__xludf.DUMMYFUNCTION("GOOGLETRANSLATE(A1090, ""de"", ""en"")"),"seeks")</f>
        <v>seeks</v>
      </c>
    </row>
    <row r="1091">
      <c r="A1091" s="1" t="s">
        <v>1091</v>
      </c>
      <c r="B1091" s="2" t="str">
        <f>IFERROR(__xludf.DUMMYFUNCTION("GOOGLETRANSLATE(A1091, ""de"", ""en"")"),"known")</f>
        <v>known</v>
      </c>
    </row>
    <row r="1092">
      <c r="A1092" s="1" t="s">
        <v>1092</v>
      </c>
      <c r="B1092" s="2" t="str">
        <f>IFERROR(__xludf.DUMMYFUNCTION("GOOGLETRANSLATE(A1092, ""de"", ""en"")"),"more")</f>
        <v>more</v>
      </c>
    </row>
    <row r="1093">
      <c r="A1093" s="1" t="s">
        <v>1093</v>
      </c>
      <c r="B1093" s="2" t="str">
        <f>IFERROR(__xludf.DUMMYFUNCTION("GOOGLETRANSLATE(A1093, ""de"", ""en"")"),"accident")</f>
        <v>accident</v>
      </c>
    </row>
    <row r="1094">
      <c r="A1094" s="1" t="s">
        <v>1094</v>
      </c>
      <c r="B1094" s="2" t="str">
        <f>IFERROR(__xludf.DUMMYFUNCTION("GOOGLETRANSLATE(A1094, ""de"", ""en"")"),"there")</f>
        <v>there</v>
      </c>
    </row>
    <row r="1095">
      <c r="A1095" s="1" t="s">
        <v>1095</v>
      </c>
      <c r="B1095" s="2" t="str">
        <f>IFERROR(__xludf.DUMMYFUNCTION("GOOGLETRANSLATE(A1095, ""de"", ""en"")"),"control")</f>
        <v>control</v>
      </c>
    </row>
    <row r="1096">
      <c r="A1096" s="1" t="s">
        <v>1096</v>
      </c>
      <c r="B1096" s="2" t="str">
        <f>IFERROR(__xludf.DUMMYFUNCTION("GOOGLETRANSLATE(A1096, ""de"", ""en"")"),"example")</f>
        <v>example</v>
      </c>
    </row>
    <row r="1097">
      <c r="A1097" s="1" t="s">
        <v>1097</v>
      </c>
      <c r="B1097" s="2" t="str">
        <f>IFERROR(__xludf.DUMMYFUNCTION("GOOGLETRANSLATE(A1097, ""de"", ""en"")"),"lady")</f>
        <v>lady</v>
      </c>
    </row>
    <row r="1098">
      <c r="A1098" s="1" t="s">
        <v>1098</v>
      </c>
      <c r="B1098" s="2" t="str">
        <f>IFERROR(__xludf.DUMMYFUNCTION("GOOGLETRANSLATE(A1098, ""de"", ""en"")"),"same")</f>
        <v>same</v>
      </c>
    </row>
    <row r="1099">
      <c r="A1099" s="1" t="s">
        <v>1099</v>
      </c>
      <c r="B1099" s="2" t="str">
        <f>IFERROR(__xludf.DUMMYFUNCTION("GOOGLETRANSLATE(A1099, ""de"", ""en"")"),"hearts")</f>
        <v>hearts</v>
      </c>
    </row>
    <row r="1100">
      <c r="A1100" s="1" t="s">
        <v>1100</v>
      </c>
      <c r="B1100" s="2" t="str">
        <f>IFERROR(__xludf.DUMMYFUNCTION("GOOGLETRANSLATE(A1100, ""de"", ""en"")"),"hit")</f>
        <v>hit</v>
      </c>
    </row>
    <row r="1101">
      <c r="A1101" s="1" t="s">
        <v>1101</v>
      </c>
      <c r="B1101" s="2" t="str">
        <f>IFERROR(__xludf.DUMMYFUNCTION("GOOGLETRANSLATE(A1101, ""de"", ""en"")"),"angry")</f>
        <v>angry</v>
      </c>
    </row>
    <row r="1102">
      <c r="A1102" s="1" t="s">
        <v>1102</v>
      </c>
      <c r="B1102" s="2" t="str">
        <f>IFERROR(__xludf.DUMMYFUNCTION("GOOGLETRANSLATE(A1102, ""de"", ""en"")"),"way")</f>
        <v>way</v>
      </c>
    </row>
    <row r="1103">
      <c r="A1103" s="1" t="s">
        <v>1103</v>
      </c>
      <c r="B1103" s="2" t="str">
        <f>IFERROR(__xludf.DUMMYFUNCTION("GOOGLETRANSLATE(A1103, ""de"", ""en"")"),"ladies")</f>
        <v>ladies</v>
      </c>
    </row>
    <row r="1104">
      <c r="A1104" s="1" t="s">
        <v>1104</v>
      </c>
      <c r="B1104" s="2" t="str">
        <f>IFERROR(__xludf.DUMMYFUNCTION("GOOGLETRANSLATE(A1104, ""de"", ""en"")"),"in it")</f>
        <v>in it</v>
      </c>
    </row>
    <row r="1105">
      <c r="A1105" s="1" t="s">
        <v>1105</v>
      </c>
      <c r="B1105" s="2" t="str">
        <f>IFERROR(__xludf.DUMMYFUNCTION("GOOGLETRANSLATE(A1105, ""de"", ""en"")"),"God")</f>
        <v>God</v>
      </c>
    </row>
    <row r="1106">
      <c r="A1106" s="1" t="s">
        <v>1106</v>
      </c>
      <c r="B1106" s="2" t="str">
        <f>IFERROR(__xludf.DUMMYFUNCTION("GOOGLETRANSLATE(A1106, ""de"", ""en"")"),"fetch")</f>
        <v>fetch</v>
      </c>
    </row>
    <row r="1107">
      <c r="A1107" s="1" t="s">
        <v>1107</v>
      </c>
      <c r="B1107" s="2" t="str">
        <f>IFERROR(__xludf.DUMMYFUNCTION("GOOGLETRANSLATE(A1107, ""de"", ""en"")"),"missing")</f>
        <v>missing</v>
      </c>
    </row>
    <row r="1108">
      <c r="A1108" s="1" t="s">
        <v>1108</v>
      </c>
      <c r="B1108" s="2" t="str">
        <f>IFERROR(__xludf.DUMMYFUNCTION("GOOGLETRANSLATE(A1108, ""de"", ""en"")"),"caution")</f>
        <v>caution</v>
      </c>
    </row>
    <row r="1109">
      <c r="A1109" s="1" t="s">
        <v>1109</v>
      </c>
      <c r="B1109" s="2" t="str">
        <f>IFERROR(__xludf.DUMMYFUNCTION("GOOGLETRANSLATE(A1109, ""de"", ""en"")"),"hot")</f>
        <v>hot</v>
      </c>
    </row>
    <row r="1110">
      <c r="A1110" s="1" t="s">
        <v>1110</v>
      </c>
      <c r="B1110" s="2" t="str">
        <f>IFERROR(__xludf.DUMMYFUNCTION("GOOGLETRANSLATE(A1110, ""de"", ""en"")"),"prove")</f>
        <v>prove</v>
      </c>
    </row>
    <row r="1111">
      <c r="A1111" s="1" t="s">
        <v>1111</v>
      </c>
      <c r="B1111" s="2" t="str">
        <f>IFERROR(__xludf.DUMMYFUNCTION("GOOGLETRANSLATE(A1111, ""de"", ""en"")"),"had")</f>
        <v>had</v>
      </c>
    </row>
    <row r="1112">
      <c r="A1112" s="1" t="s">
        <v>1112</v>
      </c>
      <c r="B1112" s="2" t="str">
        <f>IFERROR(__xludf.DUMMYFUNCTION("GOOGLETRANSLATE(A1112, ""de"", ""en"")"),"at least")</f>
        <v>at least</v>
      </c>
    </row>
    <row r="1113">
      <c r="A1113" s="1" t="s">
        <v>1113</v>
      </c>
      <c r="B1113" s="2" t="str">
        <f>IFERROR(__xludf.DUMMYFUNCTION("GOOGLETRANSLATE(A1113, ""de"", ""en"")"),"missing")</f>
        <v>missing</v>
      </c>
    </row>
    <row r="1114">
      <c r="A1114" s="1" t="s">
        <v>1114</v>
      </c>
      <c r="B1114" s="2" t="str">
        <f>IFERROR(__xludf.DUMMYFUNCTION("GOOGLETRANSLATE(A1114, ""de"", ""en"")"),"pretty")</f>
        <v>pretty</v>
      </c>
    </row>
    <row r="1115">
      <c r="A1115" s="1" t="s">
        <v>1115</v>
      </c>
      <c r="B1115" s="2" t="str">
        <f>IFERROR(__xludf.DUMMYFUNCTION("GOOGLETRANSLATE(A1115, ""de"", ""en"")"),"gets")</f>
        <v>gets</v>
      </c>
    </row>
    <row r="1116">
      <c r="A1116" s="1" t="s">
        <v>1116</v>
      </c>
      <c r="B1116" s="2" t="str">
        <f>IFERROR(__xludf.DUMMYFUNCTION("GOOGLETRANSLATE(A1116, ""de"", ""en"")"),"connection")</f>
        <v>connection</v>
      </c>
    </row>
    <row r="1117">
      <c r="A1117" s="1" t="s">
        <v>1117</v>
      </c>
      <c r="B1117" s="2" t="str">
        <f>IFERROR(__xludf.DUMMYFUNCTION("GOOGLETRANSLATE(A1117, ""de"", ""en"")"),"deep")</f>
        <v>deep</v>
      </c>
    </row>
    <row r="1118">
      <c r="A1118" s="1" t="s">
        <v>1118</v>
      </c>
      <c r="B1118" s="2" t="str">
        <f>IFERROR(__xludf.DUMMYFUNCTION("GOOGLETRANSLATE(A1118, ""de"", ""en"")"),"direction")</f>
        <v>direction</v>
      </c>
    </row>
    <row r="1119">
      <c r="A1119" s="1" t="s">
        <v>1119</v>
      </c>
      <c r="B1119" s="2" t="str">
        <f>IFERROR(__xludf.DUMMYFUNCTION("GOOGLETRANSLATE(A1119, ""de"", ""en"")"),"location")</f>
        <v>location</v>
      </c>
    </row>
    <row r="1120">
      <c r="A1120" s="1" t="s">
        <v>1120</v>
      </c>
      <c r="B1120" s="2" t="str">
        <f>IFERROR(__xludf.DUMMYFUNCTION("GOOGLETRANSLATE(A1120, ""de"", ""en"")"),"anyway")</f>
        <v>anyway</v>
      </c>
    </row>
    <row r="1121">
      <c r="A1121" s="1" t="s">
        <v>1121</v>
      </c>
      <c r="B1121" s="2" t="str">
        <f>IFERROR(__xludf.DUMMYFUNCTION("GOOGLETRANSLATE(A1121, ""de"", ""en"")"),"power")</f>
        <v>power</v>
      </c>
    </row>
    <row r="1122">
      <c r="A1122" s="1" t="s">
        <v>1122</v>
      </c>
      <c r="B1122" s="2" t="str">
        <f>IFERROR(__xludf.DUMMYFUNCTION("GOOGLETRANSLATE(A1122, ""de"", ""en"")"),"normal")</f>
        <v>normal</v>
      </c>
    </row>
    <row r="1123">
      <c r="A1123" s="1" t="s">
        <v>1123</v>
      </c>
      <c r="B1123" s="2" t="str">
        <f>IFERROR(__xludf.DUMMYFUNCTION("GOOGLETRANSLATE(A1123, ""de"", ""en"")"),"run")</f>
        <v>run</v>
      </c>
    </row>
    <row r="1124">
      <c r="A1124" s="1" t="s">
        <v>1124</v>
      </c>
      <c r="B1124" s="2" t="str">
        <f>IFERROR(__xludf.DUMMYFUNCTION("GOOGLETRANSLATE(A1124, ""de"", ""en"")"),"honor")</f>
        <v>honor</v>
      </c>
    </row>
    <row r="1125">
      <c r="A1125" s="1" t="s">
        <v>1125</v>
      </c>
      <c r="B1125" s="2" t="str">
        <f>IFERROR(__xludf.DUMMYFUNCTION("GOOGLETRANSLATE(A1125, ""de"", ""en"")"),"put")</f>
        <v>put</v>
      </c>
    </row>
    <row r="1126">
      <c r="A1126" s="1" t="s">
        <v>1126</v>
      </c>
      <c r="B1126" s="2" t="str">
        <f>IFERROR(__xludf.DUMMYFUNCTION("GOOGLETRANSLATE(A1126, ""de"", ""en"")"),"gift")</f>
        <v>gift</v>
      </c>
    </row>
    <row r="1127">
      <c r="A1127" s="1" t="s">
        <v>1127</v>
      </c>
      <c r="B1127" s="2" t="str">
        <f>IFERROR(__xludf.DUMMYFUNCTION("GOOGLETRANSLATE(A1127, ""de"", ""en"")"),"bear")</f>
        <v>bear</v>
      </c>
    </row>
    <row r="1128">
      <c r="A1128" s="1" t="s">
        <v>1128</v>
      </c>
      <c r="B1128" s="2" t="str">
        <f>IFERROR(__xludf.DUMMYFUNCTION("GOOGLETRANSLATE(A1128, ""de"", ""en"")"),"bag")</f>
        <v>bag</v>
      </c>
    </row>
    <row r="1129">
      <c r="A1129" s="1" t="s">
        <v>1129</v>
      </c>
      <c r="B1129" s="2" t="str">
        <f>IFERROR(__xludf.DUMMYFUNCTION("GOOGLETRANSLATE(A1129, ""de"", ""en"")"),"read")</f>
        <v>read</v>
      </c>
    </row>
    <row r="1130">
      <c r="A1130" s="1" t="s">
        <v>1130</v>
      </c>
      <c r="B1130" s="2" t="str">
        <f>IFERROR(__xludf.DUMMYFUNCTION("GOOGLETRANSLATE(A1130, ""de"", ""en"")"),"bought")</f>
        <v>bought</v>
      </c>
    </row>
    <row r="1131">
      <c r="A1131" s="1" t="s">
        <v>1131</v>
      </c>
      <c r="B1131" s="2" t="str">
        <f>IFERROR(__xludf.DUMMYFUNCTION("GOOGLETRANSLATE(A1131, ""de"", ""en"")"),"knew")</f>
        <v>knew</v>
      </c>
    </row>
    <row r="1132">
      <c r="A1132" s="1" t="s">
        <v>1132</v>
      </c>
      <c r="B1132" s="2" t="str">
        <f>IFERROR(__xludf.DUMMYFUNCTION("GOOGLETRANSLATE(A1132, ""de"", ""en"")"),"stolen")</f>
        <v>stolen</v>
      </c>
    </row>
    <row r="1133">
      <c r="A1133" s="1" t="s">
        <v>1133</v>
      </c>
      <c r="B1133" s="2" t="str">
        <f>IFERROR(__xludf.DUMMYFUNCTION("GOOGLETRANSLATE(A1133, ""de"", ""en"")"),"hunger")</f>
        <v>hunger</v>
      </c>
    </row>
    <row r="1134">
      <c r="A1134" s="1" t="s">
        <v>1134</v>
      </c>
      <c r="B1134" s="2" t="str">
        <f>IFERROR(__xludf.DUMMYFUNCTION("GOOGLETRANSLATE(A1134, ""de"", ""en"")"),"leg")</f>
        <v>leg</v>
      </c>
    </row>
    <row r="1135">
      <c r="A1135" s="1" t="s">
        <v>1135</v>
      </c>
      <c r="B1135" s="2" t="str">
        <f>IFERROR(__xludf.DUMMYFUNCTION("GOOGLETRANSLATE(A1135, ""de"", ""en"")"),"lie")</f>
        <v>lie</v>
      </c>
    </row>
    <row r="1136">
      <c r="A1136" s="1" t="s">
        <v>1136</v>
      </c>
      <c r="B1136" s="2" t="str">
        <f>IFERROR(__xludf.DUMMYFUNCTION("GOOGLETRANSLATE(A1136, ""de"", ""en"")"),"relationship")</f>
        <v>relationship</v>
      </c>
    </row>
    <row r="1137">
      <c r="A1137" s="1" t="s">
        <v>1137</v>
      </c>
      <c r="B1137" s="2" t="str">
        <f>IFERROR(__xludf.DUMMYFUNCTION("GOOGLETRANSLATE(A1137, ""de"", ""en"")"),"ben")</f>
        <v>ben</v>
      </c>
    </row>
    <row r="1138">
      <c r="A1138" s="1" t="s">
        <v>1138</v>
      </c>
      <c r="B1138" s="2" t="str">
        <f>IFERROR(__xludf.DUMMYFUNCTION("GOOGLETRANSLATE(A1138, ""de"", ""en"")"),"disappeared")</f>
        <v>disappeared</v>
      </c>
    </row>
    <row r="1139">
      <c r="A1139" s="1" t="s">
        <v>1139</v>
      </c>
      <c r="B1139" s="2" t="str">
        <f>IFERROR(__xludf.DUMMYFUNCTION("GOOGLETRANSLATE(A1139, ""de"", ""en"")"),"stand")</f>
        <v>stand</v>
      </c>
    </row>
    <row r="1140">
      <c r="A1140" s="1" t="s">
        <v>1140</v>
      </c>
      <c r="B1140" s="2" t="str">
        <f>IFERROR(__xludf.DUMMYFUNCTION("GOOGLETRANSLATE(A1140, ""de"", ""en"")"),"next")</f>
        <v>next</v>
      </c>
    </row>
    <row r="1141">
      <c r="A1141" s="1" t="s">
        <v>1141</v>
      </c>
      <c r="B1141" s="2" t="str">
        <f>IFERROR(__xludf.DUMMYFUNCTION("GOOGLETRANSLATE(A1141, ""de"", ""en"")"),"worked")</f>
        <v>worked</v>
      </c>
    </row>
    <row r="1142">
      <c r="A1142" s="1" t="s">
        <v>1142</v>
      </c>
      <c r="B1142" s="2" t="str">
        <f>IFERROR(__xludf.DUMMYFUNCTION("GOOGLETRANSLATE(A1142, ""de"", ""en"")"),"price")</f>
        <v>price</v>
      </c>
    </row>
    <row r="1143">
      <c r="A1143" s="1" t="s">
        <v>1143</v>
      </c>
      <c r="B1143" s="2" t="str">
        <f>IFERROR(__xludf.DUMMYFUNCTION("GOOGLETRANSLATE(A1143, ""de"", ""en"")"),"joke")</f>
        <v>joke</v>
      </c>
    </row>
    <row r="1144">
      <c r="A1144" s="1" t="s">
        <v>1144</v>
      </c>
      <c r="B1144" s="2" t="str">
        <f>IFERROR(__xludf.DUMMYFUNCTION("GOOGLETRANSLATE(A1144, ""de"", ""en"")"),"said")</f>
        <v>said</v>
      </c>
    </row>
    <row r="1145">
      <c r="A1145" s="1" t="s">
        <v>1145</v>
      </c>
      <c r="B1145" s="2" t="str">
        <f>IFERROR(__xludf.DUMMYFUNCTION("GOOGLETRANSLATE(A1145, ""de"", ""en"")"),"list")</f>
        <v>list</v>
      </c>
    </row>
    <row r="1146">
      <c r="A1146" s="1" t="s">
        <v>1146</v>
      </c>
      <c r="B1146" s="2" t="str">
        <f>IFERROR(__xludf.DUMMYFUNCTION("GOOGLETRANSLATE(A1146, ""de"", ""en"")"),"spirit")</f>
        <v>spirit</v>
      </c>
    </row>
    <row r="1147">
      <c r="A1147" s="1" t="s">
        <v>1147</v>
      </c>
      <c r="B1147" s="2" t="str">
        <f>IFERROR(__xludf.DUMMYFUNCTION("GOOGLETRANSLATE(A1147, ""de"", ""en"")"),"next to")</f>
        <v>next to</v>
      </c>
    </row>
    <row r="1148">
      <c r="A1148" s="1" t="s">
        <v>1148</v>
      </c>
      <c r="B1148" s="2" t="str">
        <f>IFERROR(__xludf.DUMMYFUNCTION("GOOGLETRANSLATE(A1148, ""de"", ""en"")"),"wanted")</f>
        <v>wanted</v>
      </c>
    </row>
    <row r="1149">
      <c r="A1149" s="1" t="s">
        <v>1149</v>
      </c>
      <c r="B1149" s="2" t="str">
        <f>IFERROR(__xludf.DUMMYFUNCTION("GOOGLETRANSLATE(A1149, ""de"", ""en"")"),"company")</f>
        <v>company</v>
      </c>
    </row>
    <row r="1150">
      <c r="A1150" s="1" t="s">
        <v>1150</v>
      </c>
      <c r="B1150" s="2" t="str">
        <f>IFERROR(__xludf.DUMMYFUNCTION("GOOGLETRANSLATE(A1150, ""de"", ""en"")"),"sweetness")</f>
        <v>sweetness</v>
      </c>
    </row>
    <row r="1151">
      <c r="A1151" s="1" t="s">
        <v>1151</v>
      </c>
      <c r="B1151" s="2" t="str">
        <f>IFERROR(__xludf.DUMMYFUNCTION("GOOGLETRANSLATE(A1151, ""de"", ""en"")"),"back")</f>
        <v>back</v>
      </c>
    </row>
    <row r="1152">
      <c r="A1152" s="1" t="s">
        <v>1152</v>
      </c>
      <c r="B1152" s="2" t="str">
        <f>IFERROR(__xludf.DUMMYFUNCTION("GOOGLETRANSLATE(A1152, ""de"", ""en"")"),"terrible")</f>
        <v>terrible</v>
      </c>
    </row>
    <row r="1153">
      <c r="A1153" s="1" t="s">
        <v>1153</v>
      </c>
      <c r="B1153" s="2" t="str">
        <f>IFERROR(__xludf.DUMMYFUNCTION("GOOGLETRANSLATE(A1153, ""de"", ""en"")"),"last")</f>
        <v>last</v>
      </c>
    </row>
    <row r="1154">
      <c r="A1154" s="1" t="s">
        <v>1154</v>
      </c>
      <c r="B1154" s="2" t="str">
        <f>IFERROR(__xludf.DUMMYFUNCTION("GOOGLETRANSLATE(A1154, ""de"", ""en"")"),"in love")</f>
        <v>in love</v>
      </c>
    </row>
    <row r="1155">
      <c r="A1155" s="1" t="s">
        <v>1155</v>
      </c>
      <c r="B1155" s="2" t="str">
        <f>IFERROR(__xludf.DUMMYFUNCTION("GOOGLETRANSLATE(A1155, ""de"", ""en"")"),"open")</f>
        <v>open</v>
      </c>
    </row>
    <row r="1156">
      <c r="A1156" s="1" t="s">
        <v>1156</v>
      </c>
      <c r="B1156" s="2" t="str">
        <f>IFERROR(__xludf.DUMMYFUNCTION("GOOGLETRANSLATE(A1156, ""de"", ""en"")"),"talks")</f>
        <v>talks</v>
      </c>
    </row>
    <row r="1157">
      <c r="A1157" s="1" t="s">
        <v>1157</v>
      </c>
      <c r="B1157" s="2" t="str">
        <f>IFERROR(__xludf.DUMMYFUNCTION("GOOGLETRANSLATE(A1157, ""de"", ""en"")"),"boat")</f>
        <v>boat</v>
      </c>
    </row>
    <row r="1158">
      <c r="A1158" s="1" t="s">
        <v>1158</v>
      </c>
      <c r="B1158" s="2" t="str">
        <f>IFERROR(__xludf.DUMMYFUNCTION("GOOGLETRANSLATE(A1158, ""de"", ""en"")"),"strange")</f>
        <v>strange</v>
      </c>
    </row>
    <row r="1159">
      <c r="A1159" s="1" t="s">
        <v>1159</v>
      </c>
      <c r="B1159" s="2" t="str">
        <f>IFERROR(__xludf.DUMMYFUNCTION("GOOGLETRANSLATE(A1159, ""de"", ""en"")"),"hidden")</f>
        <v>hidden</v>
      </c>
    </row>
    <row r="1160">
      <c r="A1160" s="1" t="s">
        <v>1160</v>
      </c>
      <c r="B1160" s="2" t="str">
        <f>IFERROR(__xludf.DUMMYFUNCTION("GOOGLETRANSLATE(A1160, ""de"", ""en"")"),"fear")</f>
        <v>fear</v>
      </c>
    </row>
    <row r="1161">
      <c r="A1161" s="1" t="s">
        <v>1161</v>
      </c>
      <c r="B1161" s="2" t="str">
        <f>IFERROR(__xludf.DUMMYFUNCTION("GOOGLETRANSLATE(A1161, ""de"", ""en"")"),"disappear")</f>
        <v>disappear</v>
      </c>
    </row>
    <row r="1162">
      <c r="A1162" s="1" t="s">
        <v>1162</v>
      </c>
      <c r="B1162" s="2" t="str">
        <f>IFERROR(__xludf.DUMMYFUNCTION("GOOGLETRANSLATE(A1162, ""de"", ""en"")"),"caught")</f>
        <v>caught</v>
      </c>
    </row>
    <row r="1163">
      <c r="A1163" s="1" t="s">
        <v>1163</v>
      </c>
      <c r="B1163" s="2" t="str">
        <f>IFERROR(__xludf.DUMMYFUNCTION("GOOGLETRANSLATE(A1163, ""de"", ""en"")"),"sold")</f>
        <v>sold</v>
      </c>
    </row>
    <row r="1164">
      <c r="A1164" s="1" t="s">
        <v>1164</v>
      </c>
      <c r="B1164" s="2" t="str">
        <f>IFERROR(__xludf.DUMMYFUNCTION("GOOGLETRANSLATE(A1164, ""de"", ""en"")"),"aunt")</f>
        <v>aunt</v>
      </c>
    </row>
    <row r="1165">
      <c r="A1165" s="1" t="s">
        <v>1165</v>
      </c>
      <c r="B1165" s="2" t="str">
        <f>IFERROR(__xludf.DUMMYFUNCTION("GOOGLETRANSLATE(A1165, ""de"", ""en"")"),"expect")</f>
        <v>expect</v>
      </c>
    </row>
    <row r="1166">
      <c r="A1166" s="1" t="s">
        <v>1166</v>
      </c>
      <c r="B1166" s="2" t="str">
        <f>IFERROR(__xludf.DUMMYFUNCTION("GOOGLETRANSLATE(A1166, ""de"", ""en"")"),"horse")</f>
        <v>horse</v>
      </c>
    </row>
    <row r="1167">
      <c r="A1167" s="1" t="s">
        <v>1167</v>
      </c>
      <c r="B1167" s="2" t="str">
        <f>IFERROR(__xludf.DUMMYFUNCTION("GOOGLETRANSLATE(A1167, ""de"", ""en"")"),"wonder")</f>
        <v>wonder</v>
      </c>
    </row>
    <row r="1168">
      <c r="A1168" s="1" t="s">
        <v>1168</v>
      </c>
      <c r="B1168" s="2" t="str">
        <f>IFERROR(__xludf.DUMMYFUNCTION("GOOGLETRANSLATE(A1168, ""de"", ""en"")"),"sour")</f>
        <v>sour</v>
      </c>
    </row>
    <row r="1169">
      <c r="A1169" s="1" t="s">
        <v>1169</v>
      </c>
      <c r="B1169" s="2" t="str">
        <f>IFERROR(__xludf.DUMMYFUNCTION("GOOGLETRANSLATE(A1169, ""de"", ""en"")"),"allegedly")</f>
        <v>allegedly</v>
      </c>
    </row>
    <row r="1170">
      <c r="A1170" s="1" t="s">
        <v>1170</v>
      </c>
      <c r="B1170" s="2" t="str">
        <f>IFERROR(__xludf.DUMMYFUNCTION("GOOGLETRANSLATE(A1170, ""de"", ""en"")"),"closer")</f>
        <v>closer</v>
      </c>
    </row>
    <row r="1171">
      <c r="A1171" s="1" t="s">
        <v>1171</v>
      </c>
      <c r="B1171" s="2" t="str">
        <f>IFERROR(__xludf.DUMMYFUNCTION("GOOGLETRANSLATE(A1171, ""de"", ""en"")"),"major")</f>
        <v>major</v>
      </c>
    </row>
    <row r="1172">
      <c r="A1172" s="1" t="s">
        <v>1172</v>
      </c>
      <c r="B1172" s="2" t="str">
        <f>IFERROR(__xludf.DUMMYFUNCTION("GOOGLETRANSLATE(A1172, ""de"", ""en"")"),"young")</f>
        <v>young</v>
      </c>
    </row>
    <row r="1173">
      <c r="A1173" s="1" t="s">
        <v>1173</v>
      </c>
      <c r="B1173" s="2" t="str">
        <f>IFERROR(__xludf.DUMMYFUNCTION("GOOGLETRANSLATE(A1173, ""de"", ""en"")"),"majesty")</f>
        <v>majesty</v>
      </c>
    </row>
    <row r="1174">
      <c r="A1174" s="1" t="s">
        <v>1174</v>
      </c>
      <c r="B1174" s="2" t="str">
        <f>IFERROR(__xludf.DUMMYFUNCTION("GOOGLETRANSLATE(A1174, ""de"", ""en"")"),"look")</f>
        <v>look</v>
      </c>
    </row>
    <row r="1175">
      <c r="A1175" s="1" t="s">
        <v>1175</v>
      </c>
      <c r="B1175" s="2" t="str">
        <f>IFERROR(__xludf.DUMMYFUNCTION("GOOGLETRANSLATE(A1175, ""de"", ""en"")"),"ans")</f>
        <v>ans</v>
      </c>
    </row>
    <row r="1176">
      <c r="A1176" s="1" t="s">
        <v>1176</v>
      </c>
      <c r="B1176" s="2" t="str">
        <f>IFERROR(__xludf.DUMMYFUNCTION("GOOGLETRANSLATE(A1176, ""de"", ""en"")"),"de")</f>
        <v>de</v>
      </c>
    </row>
    <row r="1177">
      <c r="A1177" s="1" t="s">
        <v>1177</v>
      </c>
      <c r="B1177" s="2" t="str">
        <f>IFERROR(__xludf.DUMMYFUNCTION("GOOGLETRANSLATE(A1177, ""de"", ""en"")"),"and")</f>
        <v>and</v>
      </c>
    </row>
    <row r="1178">
      <c r="A1178" s="1" t="s">
        <v>1178</v>
      </c>
      <c r="B1178" s="2" t="str">
        <f>IFERROR(__xludf.DUMMYFUNCTION("GOOGLETRANSLATE(A1178, ""de"", ""en"")"),"left")</f>
        <v>left</v>
      </c>
    </row>
    <row r="1179">
      <c r="A1179" s="1" t="s">
        <v>1179</v>
      </c>
      <c r="B1179" s="2" t="str">
        <f>IFERROR(__xludf.DUMMYFUNCTION("GOOGLETRANSLATE(A1179, ""de"", ""en"")"),"big")</f>
        <v>big</v>
      </c>
    </row>
    <row r="1180">
      <c r="A1180" s="1" t="s">
        <v>1180</v>
      </c>
      <c r="B1180" s="2" t="str">
        <f>IFERROR(__xludf.DUMMYFUNCTION("GOOGLETRANSLATE(A1180, ""de"", ""en"")"),"which")</f>
        <v>which</v>
      </c>
    </row>
    <row r="1181">
      <c r="A1181" s="1" t="s">
        <v>1181</v>
      </c>
      <c r="B1181" s="2" t="str">
        <f>IFERROR(__xludf.DUMMYFUNCTION("GOOGLETRANSLATE(A1181, ""de"", ""en"")"),"protect")</f>
        <v>protect</v>
      </c>
    </row>
    <row r="1182">
      <c r="A1182" s="1" t="s">
        <v>1182</v>
      </c>
      <c r="B1182" s="2" t="str">
        <f>IFERROR(__xludf.DUMMYFUNCTION("GOOGLETRANSLATE(A1182, ""de"", ""en"")"),"born")</f>
        <v>born</v>
      </c>
    </row>
    <row r="1183">
      <c r="A1183" s="1" t="s">
        <v>1183</v>
      </c>
      <c r="B1183" s="2" t="str">
        <f>IFERROR(__xludf.DUMMYFUNCTION("GOOGLETRANSLATE(A1183, ""de"", ""en"")"),"to reach")</f>
        <v>to reach</v>
      </c>
    </row>
    <row r="1184">
      <c r="A1184" s="1" t="s">
        <v>1184</v>
      </c>
      <c r="B1184" s="2" t="str">
        <f>IFERROR(__xludf.DUMMYFUNCTION("GOOGLETRANSLATE(A1184, ""de"", ""en"")"),"point")</f>
        <v>point</v>
      </c>
    </row>
    <row r="1185">
      <c r="A1185" s="1" t="s">
        <v>1185</v>
      </c>
      <c r="B1185" s="2" t="str">
        <f>IFERROR(__xludf.DUMMYFUNCTION("GOOGLETRANSLATE(A1185, ""de"", ""en"")"),"children")</f>
        <v>children</v>
      </c>
    </row>
    <row r="1186">
      <c r="A1186" s="1" t="s">
        <v>1186</v>
      </c>
      <c r="B1186" s="2" t="str">
        <f>IFERROR(__xludf.DUMMYFUNCTION("GOOGLETRANSLATE(A1186, ""de"", ""en"")"),"church")</f>
        <v>church</v>
      </c>
    </row>
    <row r="1187">
      <c r="A1187" s="1" t="s">
        <v>1187</v>
      </c>
      <c r="B1187" s="2" t="str">
        <f>IFERROR(__xludf.DUMMYFUNCTION("GOOGLETRANSLATE(A1187, ""de"", ""en"")"),"betrayed")</f>
        <v>betrayed</v>
      </c>
    </row>
    <row r="1188">
      <c r="A1188" s="1" t="s">
        <v>1188</v>
      </c>
      <c r="B1188" s="2" t="str">
        <f>IFERROR(__xludf.DUMMYFUNCTION("GOOGLETRANSLATE(A1188, ""de"", ""en"")"),"himself")</f>
        <v>himself</v>
      </c>
    </row>
    <row r="1189">
      <c r="A1189" s="1" t="s">
        <v>1189</v>
      </c>
      <c r="B1189" s="2" t="str">
        <f>IFERROR(__xludf.DUMMYFUNCTION("GOOGLETRANSLATE(A1189, ""de"", ""en"")"),"command")</f>
        <v>command</v>
      </c>
    </row>
    <row r="1190">
      <c r="A1190" s="1" t="s">
        <v>1190</v>
      </c>
      <c r="B1190" s="2" t="str">
        <f>IFERROR(__xludf.DUMMYFUNCTION("GOOGLETRANSLATE(A1190, ""de"", ""en"")"),"colonel")</f>
        <v>colonel</v>
      </c>
    </row>
    <row r="1191">
      <c r="A1191" s="1" t="s">
        <v>1191</v>
      </c>
      <c r="B1191" s="2" t="str">
        <f>IFERROR(__xludf.DUMMYFUNCTION("GOOGLETRANSLATE(A1191, ""de"", ""en"")"),"drives")</f>
        <v>drives</v>
      </c>
    </row>
    <row r="1192">
      <c r="A1192" s="1" t="s">
        <v>1192</v>
      </c>
      <c r="B1192" s="2" t="str">
        <f>IFERROR(__xludf.DUMMYFUNCTION("GOOGLETRANSLATE(A1192, ""de"", ""en"")"),"pulls")</f>
        <v>pulls</v>
      </c>
    </row>
    <row r="1193">
      <c r="A1193" s="1" t="s">
        <v>1193</v>
      </c>
      <c r="B1193" s="2" t="str">
        <f>IFERROR(__xludf.DUMMYFUNCTION("GOOGLETRANSLATE(A1193, ""de"", ""en"")"),"birthday")</f>
        <v>birthday</v>
      </c>
    </row>
    <row r="1194">
      <c r="A1194" s="1" t="s">
        <v>1194</v>
      </c>
      <c r="B1194" s="2" t="str">
        <f>IFERROR(__xludf.DUMMYFUNCTION("GOOGLETRANSLATE(A1194, ""de"", ""en"")"),"skin")</f>
        <v>skin</v>
      </c>
    </row>
    <row r="1195">
      <c r="A1195" s="1" t="s">
        <v>1195</v>
      </c>
      <c r="B1195" s="2" t="str">
        <f>IFERROR(__xludf.DUMMYFUNCTION("GOOGLETRANSLATE(A1195, ""de"", ""en"")"),"bet")</f>
        <v>bet</v>
      </c>
    </row>
    <row r="1196">
      <c r="A1196" s="1" t="s">
        <v>1196</v>
      </c>
      <c r="B1196" s="2" t="str">
        <f>IFERROR(__xludf.DUMMYFUNCTION("GOOGLETRANSLATE(A1196, ""de"", ""en"")"),"rich")</f>
        <v>rich</v>
      </c>
    </row>
    <row r="1197">
      <c r="A1197" s="1" t="s">
        <v>1197</v>
      </c>
      <c r="B1197" s="2" t="str">
        <f>IFERROR(__xludf.DUMMYFUNCTION("GOOGLETRANSLATE(A1197, ""de"", ""en"")"),"second")</f>
        <v>second</v>
      </c>
    </row>
    <row r="1198">
      <c r="A1198" s="1" t="s">
        <v>1198</v>
      </c>
      <c r="B1198" s="2" t="str">
        <f>IFERROR(__xludf.DUMMYFUNCTION("GOOGLETRANSLATE(A1198, ""de"", ""en"")"),"drive")</f>
        <v>drive</v>
      </c>
    </row>
    <row r="1199">
      <c r="A1199" s="1" t="s">
        <v>1199</v>
      </c>
      <c r="B1199" s="2" t="str">
        <f>IFERROR(__xludf.DUMMYFUNCTION("GOOGLETRANSLATE(A1199, ""de"", ""en"")"),"swear")</f>
        <v>swear</v>
      </c>
    </row>
    <row r="1200">
      <c r="A1200" s="1" t="s">
        <v>1200</v>
      </c>
      <c r="B1200" s="2" t="str">
        <f>IFERROR(__xludf.DUMMYFUNCTION("GOOGLETRANSLATE(A1200, ""de"", ""en"")"),"talked")</f>
        <v>talked</v>
      </c>
    </row>
    <row r="1201">
      <c r="A1201" s="1" t="s">
        <v>1201</v>
      </c>
      <c r="B1201" s="2" t="str">
        <f>IFERROR(__xludf.DUMMYFUNCTION("GOOGLETRANSLATE(A1201, ""de"", ""en"")"),"james")</f>
        <v>james</v>
      </c>
    </row>
    <row r="1202">
      <c r="A1202" s="1" t="s">
        <v>1202</v>
      </c>
      <c r="B1202" s="2" t="str">
        <f>IFERROR(__xludf.DUMMYFUNCTION("GOOGLETRANSLATE(A1202, ""de"", ""en"")"),"madame")</f>
        <v>madame</v>
      </c>
    </row>
    <row r="1203">
      <c r="A1203" s="1" t="s">
        <v>1203</v>
      </c>
      <c r="B1203" s="2" t="str">
        <f>IFERROR(__xludf.DUMMYFUNCTION("GOOGLETRANSLATE(A1203, ""de"", ""en"")"),"own")</f>
        <v>own</v>
      </c>
    </row>
    <row r="1204">
      <c r="A1204" s="1" t="s">
        <v>1204</v>
      </c>
      <c r="B1204" s="2" t="str">
        <f>IFERROR(__xludf.DUMMYFUNCTION("GOOGLETRANSLATE(A1204, ""de"", ""en"")"),"times")</f>
        <v>times</v>
      </c>
    </row>
    <row r="1205">
      <c r="A1205" s="1" t="s">
        <v>1205</v>
      </c>
      <c r="B1205" s="2" t="str">
        <f>IFERROR(__xludf.DUMMYFUNCTION("GOOGLETRANSLATE(A1205, ""de"", ""en"")"),"sad")</f>
        <v>sad</v>
      </c>
    </row>
    <row r="1206">
      <c r="A1206" s="1" t="s">
        <v>1206</v>
      </c>
      <c r="B1206" s="2" t="str">
        <f>IFERROR(__xludf.DUMMYFUNCTION("GOOGLETRANSLATE(A1206, ""de"", ""en"")"),"call")</f>
        <v>call</v>
      </c>
    </row>
    <row r="1207">
      <c r="A1207" s="1" t="s">
        <v>1207</v>
      </c>
      <c r="B1207" s="2" t="str">
        <f>IFERROR(__xludf.DUMMYFUNCTION("GOOGLETRANSLATE(A1207, ""de"", ""en"")"),"news")</f>
        <v>news</v>
      </c>
    </row>
    <row r="1208">
      <c r="A1208" s="1" t="s">
        <v>1208</v>
      </c>
      <c r="B1208" s="2" t="str">
        <f>IFERROR(__xludf.DUMMYFUNCTION("GOOGLETRANSLATE(A1208, ""de"", ""en"")"),"peace")</f>
        <v>peace</v>
      </c>
    </row>
    <row r="1209">
      <c r="A1209" s="1" t="s">
        <v>1209</v>
      </c>
      <c r="B1209" s="2" t="str">
        <f>IFERROR(__xludf.DUMMYFUNCTION("GOOGLETRANSLATE(A1209, ""de"", ""en"")"),"map")</f>
        <v>map</v>
      </c>
    </row>
    <row r="1210">
      <c r="A1210" s="1" t="s">
        <v>1210</v>
      </c>
      <c r="B1210" s="2" t="str">
        <f>IFERROR(__xludf.DUMMYFUNCTION("GOOGLETRANSLATE(A1210, ""de"", ""en"")"),"quality")</f>
        <v>quality</v>
      </c>
    </row>
    <row r="1211">
      <c r="A1211" s="1" t="s">
        <v>1211</v>
      </c>
      <c r="B1211" s="2" t="str">
        <f>IFERROR(__xludf.DUMMYFUNCTION("GOOGLETRANSLATE(A1211, ""de"", ""en"")"),"yours")</f>
        <v>yours</v>
      </c>
    </row>
    <row r="1212">
      <c r="A1212" s="1" t="s">
        <v>1212</v>
      </c>
      <c r="B1212" s="2" t="str">
        <f>IFERROR(__xludf.DUMMYFUNCTION("GOOGLETRANSLATE(A1212, ""de"", ""en"")"),"this time")</f>
        <v>this time</v>
      </c>
    </row>
    <row r="1213">
      <c r="A1213" s="1" t="s">
        <v>1213</v>
      </c>
      <c r="B1213" s="2" t="str">
        <f>IFERROR(__xludf.DUMMYFUNCTION("GOOGLETRANSLATE(A1213, ""de"", ""en"")"),"too bad")</f>
        <v>too bad</v>
      </c>
    </row>
    <row r="1214">
      <c r="A1214" s="1" t="s">
        <v>1214</v>
      </c>
      <c r="B1214" s="2" t="str">
        <f>IFERROR(__xludf.DUMMYFUNCTION("GOOGLETRANSLATE(A1214, ""de"", ""en"")"),"personal")</f>
        <v>personal</v>
      </c>
    </row>
    <row r="1215">
      <c r="A1215" s="1" t="s">
        <v>1215</v>
      </c>
      <c r="B1215" s="2" t="str">
        <f>IFERROR(__xludf.DUMMYFUNCTION("GOOGLETRANSLATE(A1215, ""de"", ""en"")"),"get")</f>
        <v>get</v>
      </c>
    </row>
    <row r="1216">
      <c r="A1216" s="1" t="s">
        <v>1216</v>
      </c>
      <c r="B1216" s="2" t="str">
        <f>IFERROR(__xludf.DUMMYFUNCTION("GOOGLETRANSLATE(A1216, ""de"", ""en"")"),"dies")</f>
        <v>dies</v>
      </c>
    </row>
    <row r="1217">
      <c r="A1217" s="1" t="s">
        <v>1217</v>
      </c>
      <c r="B1217" s="2" t="str">
        <f>IFERROR(__xludf.DUMMYFUNCTION("GOOGLETRANSLATE(A1217, ""de"", ""en"")"),"stay")</f>
        <v>stay</v>
      </c>
    </row>
    <row r="1218">
      <c r="A1218" s="1" t="s">
        <v>1218</v>
      </c>
      <c r="B1218" s="2" t="str">
        <f>IFERROR(__xludf.DUMMYFUNCTION("GOOGLETRANSLATE(A1218, ""de"", ""en"")"),"changed")</f>
        <v>changed</v>
      </c>
    </row>
    <row r="1219">
      <c r="A1219" s="1" t="s">
        <v>1219</v>
      </c>
      <c r="B1219" s="2" t="str">
        <f>IFERROR(__xludf.DUMMYFUNCTION("GOOGLETRANSLATE(A1219, ""de"", ""en"")"),"sun")</f>
        <v>sun</v>
      </c>
    </row>
    <row r="1220">
      <c r="A1220" s="1" t="s">
        <v>1220</v>
      </c>
      <c r="B1220" s="2" t="str">
        <f>IFERROR(__xludf.DUMMYFUNCTION("GOOGLETRANSLATE(A1220, ""de"", ""en"")"),"dear")</f>
        <v>dear</v>
      </c>
    </row>
    <row r="1221">
      <c r="A1221" s="1" t="s">
        <v>1221</v>
      </c>
      <c r="B1221" s="2" t="str">
        <f>IFERROR(__xludf.DUMMYFUNCTION("GOOGLETRANSLATE(A1221, ""de"", ""en"")"),"namely")</f>
        <v>namely</v>
      </c>
    </row>
    <row r="1222">
      <c r="A1222" s="1" t="s">
        <v>1222</v>
      </c>
      <c r="B1222" s="2" t="str">
        <f>IFERROR(__xludf.DUMMYFUNCTION("GOOGLETRANSLATE(A1222, ""de"", ""en"")"),"last")</f>
        <v>last</v>
      </c>
    </row>
    <row r="1223">
      <c r="A1223" s="1" t="s">
        <v>1223</v>
      </c>
      <c r="B1223" s="2" t="str">
        <f>IFERROR(__xludf.DUMMYFUNCTION("GOOGLETRANSLATE(A1223, ""de"", ""en"")"),"got")</f>
        <v>got</v>
      </c>
    </row>
    <row r="1224">
      <c r="A1224" s="1" t="s">
        <v>1224</v>
      </c>
      <c r="B1224" s="2" t="str">
        <f>IFERROR(__xludf.DUMMYFUNCTION("GOOGLETRANSLATE(A1224, ""de"", ""en"")"),"calls")</f>
        <v>calls</v>
      </c>
    </row>
    <row r="1225">
      <c r="A1225" s="1" t="s">
        <v>1225</v>
      </c>
      <c r="B1225" s="2" t="str">
        <f>IFERROR(__xludf.DUMMYFUNCTION("GOOGLETRANSLATE(A1225, ""de"", ""en"")"),"professor")</f>
        <v>professor</v>
      </c>
    </row>
    <row r="1226">
      <c r="A1226" s="1" t="s">
        <v>1226</v>
      </c>
      <c r="B1226" s="2" t="str">
        <f>IFERROR(__xludf.DUMMYFUNCTION("GOOGLETRANSLATE(A1226, ""de"", ""en"")"),"court")</f>
        <v>court</v>
      </c>
    </row>
    <row r="1227">
      <c r="A1227" s="1" t="s">
        <v>1227</v>
      </c>
      <c r="B1227" s="2" t="str">
        <f>IFERROR(__xludf.DUMMYFUNCTION("GOOGLETRANSLATE(A1227, ""de"", ""en"")"),"nose")</f>
        <v>nose</v>
      </c>
    </row>
    <row r="1228">
      <c r="A1228" s="1" t="s">
        <v>1228</v>
      </c>
      <c r="B1228" s="2" t="str">
        <f>IFERROR(__xludf.DUMMYFUNCTION("GOOGLETRANSLATE(A1228, ""de"", ""en"")"),"forever")</f>
        <v>forever</v>
      </c>
    </row>
    <row r="1229">
      <c r="A1229" s="1" t="s">
        <v>1229</v>
      </c>
      <c r="B1229" s="2" t="str">
        <f>IFERROR(__xludf.DUMMYFUNCTION("GOOGLETRANSLATE(A1229, ""de"", ""en"")"),"sing")</f>
        <v>sing</v>
      </c>
    </row>
    <row r="1230">
      <c r="A1230" s="1" t="s">
        <v>1230</v>
      </c>
      <c r="B1230" s="2" t="str">
        <f>IFERROR(__xludf.DUMMYFUNCTION("GOOGLETRANSLATE(A1230, ""de"", ""en"")"),"bank")</f>
        <v>bank</v>
      </c>
    </row>
    <row r="1231">
      <c r="A1231" s="1" t="s">
        <v>1231</v>
      </c>
      <c r="B1231" s="2" t="str">
        <f>IFERROR(__xludf.DUMMYFUNCTION("GOOGLETRANSLATE(A1231, ""de"", ""en"")"),"busy")</f>
        <v>busy</v>
      </c>
    </row>
    <row r="1232">
      <c r="A1232" s="1" t="s">
        <v>1232</v>
      </c>
      <c r="B1232" s="2" t="str">
        <f>IFERROR(__xludf.DUMMYFUNCTION("GOOGLETRANSLATE(A1232, ""de"", ""en"")"),"computer")</f>
        <v>computer</v>
      </c>
    </row>
    <row r="1233">
      <c r="A1233" s="1" t="s">
        <v>1233</v>
      </c>
      <c r="B1233" s="2" t="str">
        <f>IFERROR(__xludf.DUMMYFUNCTION("GOOGLETRANSLATE(A1233, ""de"", ""en"")"),"yeah")</f>
        <v>yeah</v>
      </c>
    </row>
    <row r="1234">
      <c r="A1234" s="1" t="s">
        <v>1234</v>
      </c>
      <c r="B1234" s="2" t="str">
        <f>IFERROR(__xludf.DUMMYFUNCTION("GOOGLETRANSLATE(A1234, ""de"", ""en"")"),"kill")</f>
        <v>kill</v>
      </c>
    </row>
    <row r="1235">
      <c r="A1235" s="1" t="s">
        <v>1235</v>
      </c>
      <c r="B1235" s="2" t="str">
        <f>IFERROR(__xludf.DUMMYFUNCTION("GOOGLETRANSLATE(A1235, ""de"", ""en"")"),"Christmas")</f>
        <v>Christmas</v>
      </c>
    </row>
    <row r="1236">
      <c r="A1236" s="1" t="s">
        <v>1236</v>
      </c>
      <c r="B1236" s="2" t="str">
        <f>IFERROR(__xludf.DUMMYFUNCTION("GOOGLETRANSLATE(A1236, ""de"", ""en"")"),"apparently")</f>
        <v>apparently</v>
      </c>
    </row>
    <row r="1237">
      <c r="A1237" s="1" t="s">
        <v>1237</v>
      </c>
      <c r="B1237" s="2" t="str">
        <f>IFERROR(__xludf.DUMMYFUNCTION("GOOGLETRANSLATE(A1237, ""de"", ""en"")"),"Oh well")</f>
        <v>Oh well</v>
      </c>
    </row>
    <row r="1238">
      <c r="A1238" s="1" t="s">
        <v>1238</v>
      </c>
      <c r="B1238" s="2" t="str">
        <f>IFERROR(__xludf.DUMMYFUNCTION("GOOGLETRANSLATE(A1238, ""de"", ""en"")"),"henry")</f>
        <v>henry</v>
      </c>
    </row>
    <row r="1239">
      <c r="A1239" s="1" t="s">
        <v>1239</v>
      </c>
      <c r="B1239" s="2" t="str">
        <f>IFERROR(__xludf.DUMMYFUNCTION("GOOGLETRANSLATE(A1239, ""de"", ""en"")"),"feelings")</f>
        <v>feelings</v>
      </c>
    </row>
    <row r="1240">
      <c r="A1240" s="1" t="s">
        <v>1240</v>
      </c>
      <c r="B1240" s="2" t="str">
        <f>IFERROR(__xludf.DUMMYFUNCTION("GOOGLETRANSLATE(A1240, ""de"", ""en"")"),"foot")</f>
        <v>foot</v>
      </c>
    </row>
    <row r="1241">
      <c r="A1241" s="1" t="s">
        <v>1241</v>
      </c>
      <c r="B1241" s="2" t="str">
        <f>IFERROR(__xludf.DUMMYFUNCTION("GOOGLETRANSLATE(A1241, ""de"", ""en"")"),"show")</f>
        <v>show</v>
      </c>
    </row>
    <row r="1242">
      <c r="A1242" s="1" t="s">
        <v>1242</v>
      </c>
      <c r="B1242" s="2" t="str">
        <f>IFERROR(__xludf.DUMMYFUNCTION("GOOGLETRANSLATE(A1242, ""de"", ""en"")"),"surprise")</f>
        <v>surprise</v>
      </c>
    </row>
    <row r="1243">
      <c r="A1243" s="1" t="s">
        <v>1243</v>
      </c>
      <c r="B1243" s="2" t="str">
        <f>IFERROR(__xludf.DUMMYFUNCTION("GOOGLETRANSLATE(A1243, ""de"", ""en"")"),"secret")</f>
        <v>secret</v>
      </c>
    </row>
    <row r="1244">
      <c r="A1244" s="1" t="s">
        <v>1244</v>
      </c>
      <c r="B1244" s="2" t="str">
        <f>IFERROR(__xludf.DUMMYFUNCTION("GOOGLETRANSLATE(A1244, ""de"", ""en"")"),"fbi")</f>
        <v>fbi</v>
      </c>
    </row>
    <row r="1245">
      <c r="A1245" s="1" t="s">
        <v>1245</v>
      </c>
      <c r="B1245" s="2" t="str">
        <f>IFERROR(__xludf.DUMMYFUNCTION("GOOGLETRANSLATE(A1245, ""de"", ""en"")"),"contact")</f>
        <v>contact</v>
      </c>
    </row>
    <row r="1246">
      <c r="A1246" s="1" t="s">
        <v>1246</v>
      </c>
      <c r="B1246" s="2" t="str">
        <f>IFERROR(__xludf.DUMMYFUNCTION("GOOGLETRANSLATE(A1246, ""de"", ""en"")"),"gold")</f>
        <v>gold</v>
      </c>
    </row>
    <row r="1247">
      <c r="A1247" s="1" t="s">
        <v>1247</v>
      </c>
      <c r="B1247" s="2" t="str">
        <f>IFERROR(__xludf.DUMMYFUNCTION("GOOGLETRANSLATE(A1247, ""de"", ""en"")"),"drugs")</f>
        <v>drugs</v>
      </c>
    </row>
    <row r="1248">
      <c r="A1248" s="1" t="s">
        <v>1248</v>
      </c>
      <c r="B1248" s="2" t="str">
        <f>IFERROR(__xludf.DUMMYFUNCTION("GOOGLETRANSLATE(A1248, ""de"", ""en"")"),"government")</f>
        <v>government</v>
      </c>
    </row>
    <row r="1249">
      <c r="A1249" s="1" t="s">
        <v>1249</v>
      </c>
      <c r="B1249" s="2" t="str">
        <f>IFERROR(__xludf.DUMMYFUNCTION("GOOGLETRANSLATE(A1249, ""de"", ""en"")"),"wine")</f>
        <v>wine</v>
      </c>
    </row>
    <row r="1250">
      <c r="A1250" s="1" t="s">
        <v>1250</v>
      </c>
      <c r="B1250" s="2" t="str">
        <f>IFERROR(__xludf.DUMMYFUNCTION("GOOGLETRANSLATE(A1250, ""de"", ""en"")"),"you get")</f>
        <v>you get</v>
      </c>
    </row>
    <row r="1251">
      <c r="A1251" s="1" t="s">
        <v>1251</v>
      </c>
      <c r="B1251" s="2" t="str">
        <f>IFERROR(__xludf.DUMMYFUNCTION("GOOGLETRANSLATE(A1251, ""de"", ""en"")"),"murdered")</f>
        <v>murdered</v>
      </c>
    </row>
    <row r="1252">
      <c r="A1252" s="1" t="s">
        <v>1252</v>
      </c>
      <c r="B1252" s="2" t="str">
        <f>IFERROR(__xludf.DUMMYFUNCTION("GOOGLETRANSLATE(A1252, ""de"", ""en"")"),"photos")</f>
        <v>photos</v>
      </c>
    </row>
    <row r="1253">
      <c r="A1253" s="1" t="s">
        <v>1253</v>
      </c>
      <c r="B1253" s="2" t="str">
        <f>IFERROR(__xludf.DUMMYFUNCTION("GOOGLETRANSLATE(A1253, ""de"", ""en"")"),"removed")</f>
        <v>removed</v>
      </c>
    </row>
    <row r="1254">
      <c r="A1254" s="1" t="s">
        <v>1254</v>
      </c>
      <c r="B1254" s="2" t="str">
        <f>IFERROR(__xludf.DUMMYFUNCTION("GOOGLETRANSLATE(A1254, ""de"", ""en"")"),"slept")</f>
        <v>slept</v>
      </c>
    </row>
    <row r="1255">
      <c r="A1255" s="1" t="s">
        <v>1255</v>
      </c>
      <c r="B1255" s="2" t="str">
        <f>IFERROR(__xludf.DUMMYFUNCTION("GOOGLETRANSLATE(A1255, ""de"", ""en"")"),"some")</f>
        <v>some</v>
      </c>
    </row>
    <row r="1256">
      <c r="A1256" s="1" t="s">
        <v>1256</v>
      </c>
      <c r="B1256" s="2" t="str">
        <f>IFERROR(__xludf.DUMMYFUNCTION("GOOGLETRANSLATE(A1256, ""de"", ""en"")"),"complete")</f>
        <v>complete</v>
      </c>
    </row>
    <row r="1257">
      <c r="A1257" s="1" t="s">
        <v>1257</v>
      </c>
      <c r="B1257" s="2" t="str">
        <f>IFERROR(__xludf.DUMMYFUNCTION("GOOGLETRANSLATE(A1257, ""de"", ""en"")"),"ran")</f>
        <v>ran</v>
      </c>
    </row>
    <row r="1258">
      <c r="A1258" s="1" t="s">
        <v>1258</v>
      </c>
      <c r="B1258" s="2" t="str">
        <f>IFERROR(__xludf.DUMMYFUNCTION("GOOGLETRANSLATE(A1258, ""de"", ""en"")"),"opposite")</f>
        <v>opposite</v>
      </c>
    </row>
    <row r="1259">
      <c r="A1259" s="1" t="s">
        <v>1259</v>
      </c>
      <c r="B1259" s="2" t="str">
        <f>IFERROR(__xludf.DUMMYFUNCTION("GOOGLETRANSLATE(A1259, ""de"", ""en"")"),"sleep")</f>
        <v>sleep</v>
      </c>
    </row>
    <row r="1260">
      <c r="A1260" s="1" t="s">
        <v>1260</v>
      </c>
      <c r="B1260" s="2" t="str">
        <f>IFERROR(__xludf.DUMMYFUNCTION("GOOGLETRANSLATE(A1260, ""de"", ""en"")"),"desire")</f>
        <v>desire</v>
      </c>
    </row>
    <row r="1261">
      <c r="A1261" s="1" t="s">
        <v>1261</v>
      </c>
      <c r="B1261" s="2" t="str">
        <f>IFERROR(__xludf.DUMMYFUNCTION("GOOGLETRANSLATE(A1261, ""de"", ""en"")"),"beautiful")</f>
        <v>beautiful</v>
      </c>
    </row>
    <row r="1262">
      <c r="A1262" s="1" t="s">
        <v>1262</v>
      </c>
      <c r="B1262" s="2" t="str">
        <f>IFERROR(__xludf.DUMMYFUNCTION("GOOGLETRANSLATE(A1262, ""de"", ""en"")"),"funny")</f>
        <v>funny</v>
      </c>
    </row>
    <row r="1263">
      <c r="A1263" s="1" t="s">
        <v>1263</v>
      </c>
      <c r="B1263" s="2" t="str">
        <f>IFERROR(__xludf.DUMMYFUNCTION("GOOGLETRANSLATE(A1263, ""de"", ""en"")"),"nick")</f>
        <v>nick</v>
      </c>
    </row>
    <row r="1264">
      <c r="A1264" s="1" t="s">
        <v>1264</v>
      </c>
      <c r="B1264" s="2" t="str">
        <f>IFERROR(__xludf.DUMMYFUNCTION("GOOGLETRANSLATE(A1264, ""de"", ""en"")"),"destroyed")</f>
        <v>destroyed</v>
      </c>
    </row>
    <row r="1265">
      <c r="A1265" s="1" t="s">
        <v>1265</v>
      </c>
      <c r="B1265" s="2" t="str">
        <f>IFERROR(__xludf.DUMMYFUNCTION("GOOGLETRANSLATE(A1265, ""de"", ""en"")"),"by the way")</f>
        <v>by the way</v>
      </c>
    </row>
    <row r="1266">
      <c r="A1266" s="1" t="s">
        <v>1266</v>
      </c>
      <c r="B1266" s="2" t="str">
        <f>IFERROR(__xludf.DUMMYFUNCTION("GOOGLETRANSLATE(A1266, ""de"", ""en"")"),"will")</f>
        <v>will</v>
      </c>
    </row>
    <row r="1267">
      <c r="A1267" s="1" t="s">
        <v>1267</v>
      </c>
      <c r="B1267" s="2" t="str">
        <f>IFERROR(__xludf.DUMMYFUNCTION("GOOGLETRANSLATE(A1267, ""de"", ""en"")"),"home")</f>
        <v>home</v>
      </c>
    </row>
    <row r="1268">
      <c r="A1268" s="1" t="s">
        <v>1268</v>
      </c>
      <c r="B1268" s="2" t="str">
        <f>IFERROR(__xludf.DUMMYFUNCTION("GOOGLETRANSLATE(A1268, ""de"", ""en"")"),"correct")</f>
        <v>correct</v>
      </c>
    </row>
    <row r="1269">
      <c r="A1269" s="1" t="s">
        <v>1269</v>
      </c>
      <c r="B1269" s="2" t="str">
        <f>IFERROR(__xludf.DUMMYFUNCTION("GOOGLETRANSLATE(A1269, ""de"", ""en"")"),"yours")</f>
        <v>yours</v>
      </c>
    </row>
    <row r="1270">
      <c r="A1270" s="1" t="s">
        <v>1270</v>
      </c>
      <c r="B1270" s="2" t="str">
        <f>IFERROR(__xludf.DUMMYFUNCTION("GOOGLETRANSLATE(A1270, ""de"", ""en"")"),"called")</f>
        <v>called</v>
      </c>
    </row>
    <row r="1271">
      <c r="A1271" s="1" t="s">
        <v>1271</v>
      </c>
      <c r="B1271" s="2" t="str">
        <f>IFERROR(__xludf.DUMMYFUNCTION("GOOGLETRANSLATE(A1271, ""de"", ""en"")"),"shows")</f>
        <v>shows</v>
      </c>
    </row>
    <row r="1272">
      <c r="A1272" s="1" t="s">
        <v>1272</v>
      </c>
      <c r="B1272" s="2" t="str">
        <f>IFERROR(__xludf.DUMMYFUNCTION("GOOGLETRANSLATE(A1272, ""de"", ""en"")"),"loved")</f>
        <v>loved</v>
      </c>
    </row>
    <row r="1273">
      <c r="A1273" s="1" t="s">
        <v>1273</v>
      </c>
      <c r="B1273" s="2" t="str">
        <f>IFERROR(__xludf.DUMMYFUNCTION("GOOGLETRANSLATE(A1273, ""de"", ""en"")"),"belong")</f>
        <v>belong</v>
      </c>
    </row>
    <row r="1274">
      <c r="A1274" s="1" t="s">
        <v>1274</v>
      </c>
      <c r="B1274" s="2" t="str">
        <f>IFERROR(__xludf.DUMMYFUNCTION("GOOGLETRANSLATE(A1274, ""de"", ""en"")"),"brought")</f>
        <v>brought</v>
      </c>
    </row>
    <row r="1275">
      <c r="A1275" s="1" t="s">
        <v>1275</v>
      </c>
      <c r="B1275" s="2" t="str">
        <f>IFERROR(__xludf.DUMMYFUNCTION("GOOGLETRANSLATE(A1275, ""de"", ""en"")"),"mr")</f>
        <v>mr</v>
      </c>
    </row>
    <row r="1276">
      <c r="A1276" s="1" t="s">
        <v>1276</v>
      </c>
      <c r="B1276" s="2" t="str">
        <f>IFERROR(__xludf.DUMMYFUNCTION("GOOGLETRANSLATE(A1276, ""de"", ""en"")"),"view")</f>
        <v>view</v>
      </c>
    </row>
    <row r="1277">
      <c r="A1277" s="1" t="s">
        <v>1277</v>
      </c>
      <c r="B1277" s="2" t="str">
        <f>IFERROR(__xludf.DUMMYFUNCTION("GOOGLETRANSLATE(A1277, ""de"", ""en"")"),"visit")</f>
        <v>visit</v>
      </c>
    </row>
    <row r="1278">
      <c r="A1278" s="1" t="s">
        <v>1278</v>
      </c>
      <c r="B1278" s="2" t="str">
        <f>IFERROR(__xludf.DUMMYFUNCTION("GOOGLETRANSLATE(A1278, ""de"", ""en"")"),"bad")</f>
        <v>bad</v>
      </c>
    </row>
    <row r="1279">
      <c r="A1279" s="1" t="s">
        <v>1279</v>
      </c>
      <c r="B1279" s="2" t="str">
        <f>IFERROR(__xludf.DUMMYFUNCTION("GOOGLETRANSLATE(A1279, ""de"", ""en"")"),"move")</f>
        <v>move</v>
      </c>
    </row>
    <row r="1280">
      <c r="A1280" s="1" t="s">
        <v>1280</v>
      </c>
      <c r="B1280" s="2" t="str">
        <f>IFERROR(__xludf.DUMMYFUNCTION("GOOGLETRANSLATE(A1280, ""de"", ""en"")"),"hair")</f>
        <v>hair</v>
      </c>
    </row>
    <row r="1281">
      <c r="A1281" s="1" t="s">
        <v>1281</v>
      </c>
      <c r="B1281" s="2" t="str">
        <f>IFERROR(__xludf.DUMMYFUNCTION("GOOGLETRANSLATE(A1281, ""de"", ""en"")"),"answer")</f>
        <v>answer</v>
      </c>
    </row>
    <row r="1282">
      <c r="A1282" s="1" t="s">
        <v>1282</v>
      </c>
      <c r="B1282" s="2" t="str">
        <f>IFERROR(__xludf.DUMMYFUNCTION("GOOGLETRANSLATE(A1282, ""de"", ""en"")"),"president")</f>
        <v>president</v>
      </c>
    </row>
    <row r="1283">
      <c r="A1283" s="1" t="s">
        <v>1283</v>
      </c>
      <c r="B1283" s="2" t="str">
        <f>IFERROR(__xludf.DUMMYFUNCTION("GOOGLETRANSLATE(A1283, ""de"", ""en"")"),"you said")</f>
        <v>you said</v>
      </c>
    </row>
    <row r="1284">
      <c r="A1284" s="1" t="s">
        <v>1284</v>
      </c>
      <c r="B1284" s="2" t="str">
        <f>IFERROR(__xludf.DUMMYFUNCTION("GOOGLETRANSLATE(A1284, ""de"", ""en"")"),"hope")</f>
        <v>hope</v>
      </c>
    </row>
    <row r="1285">
      <c r="A1285" s="1" t="s">
        <v>1285</v>
      </c>
      <c r="B1285" s="2" t="str">
        <f>IFERROR(__xludf.DUMMYFUNCTION("GOOGLETRANSLATE(A1285, ""de"", ""en"")"),"put")</f>
        <v>put</v>
      </c>
    </row>
    <row r="1286">
      <c r="A1286" s="1" t="s">
        <v>1286</v>
      </c>
      <c r="B1286" s="2" t="str">
        <f>IFERROR(__xludf.DUMMYFUNCTION("GOOGLETRANSLATE(A1286, ""de"", ""en"")"),"live")</f>
        <v>live</v>
      </c>
    </row>
    <row r="1287">
      <c r="A1287" s="1" t="s">
        <v>1287</v>
      </c>
      <c r="B1287" s="2" t="str">
        <f>IFERROR(__xludf.DUMMYFUNCTION("GOOGLETRANSLATE(A1287, ""de"", ""en"")"),"right")</f>
        <v>right</v>
      </c>
    </row>
    <row r="1288">
      <c r="A1288" s="1" t="s">
        <v>1288</v>
      </c>
      <c r="B1288" s="2" t="str">
        <f>IFERROR(__xludf.DUMMYFUNCTION("GOOGLETRANSLATE(A1288, ""de"", ""en"")"),"interesting")</f>
        <v>interesting</v>
      </c>
    </row>
    <row r="1289">
      <c r="A1289" s="1" t="s">
        <v>1289</v>
      </c>
      <c r="B1289" s="2" t="str">
        <f>IFERROR(__xludf.DUMMYFUNCTION("GOOGLETRANSLATE(A1289, ""de"", ""en"")"),"decide")</f>
        <v>decide</v>
      </c>
    </row>
    <row r="1290">
      <c r="A1290" s="1" t="s">
        <v>1290</v>
      </c>
      <c r="B1290" s="2" t="str">
        <f>IFERROR(__xludf.DUMMYFUNCTION("GOOGLETRANSLATE(A1290, ""de"", ""en"")"),"each other")</f>
        <v>each other</v>
      </c>
    </row>
    <row r="1291">
      <c r="A1291" s="1" t="s">
        <v>1291</v>
      </c>
      <c r="B1291" s="2" t="str">
        <f>IFERROR(__xludf.DUMMYFUNCTION("GOOGLETRANSLATE(A1291, ""de"", ""en"")"),"means")</f>
        <v>means</v>
      </c>
    </row>
    <row r="1292">
      <c r="A1292" s="1" t="s">
        <v>1292</v>
      </c>
      <c r="B1292" s="2" t="str">
        <f>IFERROR(__xludf.DUMMYFUNCTION("GOOGLETRANSLATE(A1292, ""de"", ""en"")"),"love")</f>
        <v>love</v>
      </c>
    </row>
    <row r="1293">
      <c r="A1293" s="1" t="s">
        <v>1293</v>
      </c>
      <c r="B1293" s="2" t="str">
        <f>IFERROR(__xludf.DUMMYFUNCTION("GOOGLETRANSLATE(A1293, ""de"", ""en"")"),"by")</f>
        <v>by</v>
      </c>
    </row>
    <row r="1294">
      <c r="A1294" s="1" t="s">
        <v>1294</v>
      </c>
      <c r="B1294" s="2" t="str">
        <f>IFERROR(__xludf.DUMMYFUNCTION("GOOGLETRANSLATE(A1294, ""de"", ""en"")"),"stay")</f>
        <v>stay</v>
      </c>
    </row>
    <row r="1295">
      <c r="A1295" s="1" t="s">
        <v>1295</v>
      </c>
      <c r="B1295" s="2" t="str">
        <f>IFERROR(__xludf.DUMMYFUNCTION("GOOGLETRANSLATE(A1295, ""de"", ""en"")"),"take care")</f>
        <v>take care</v>
      </c>
    </row>
    <row r="1296">
      <c r="A1296" s="1" t="s">
        <v>1296</v>
      </c>
      <c r="B1296" s="2" t="str">
        <f>IFERROR(__xludf.DUMMYFUNCTION("GOOGLETRANSLATE(A1296, ""de"", ""en"")"),"reside")</f>
        <v>reside</v>
      </c>
    </row>
    <row r="1297">
      <c r="A1297" s="1" t="s">
        <v>1297</v>
      </c>
      <c r="B1297" s="2" t="str">
        <f>IFERROR(__xludf.DUMMYFUNCTION("GOOGLETRANSLATE(A1297, ""de"", ""en"")"),"neither")</f>
        <v>neither</v>
      </c>
    </row>
    <row r="1298">
      <c r="A1298" s="1" t="s">
        <v>1298</v>
      </c>
      <c r="B1298" s="2" t="str">
        <f>IFERROR(__xludf.DUMMYFUNCTION("GOOGLETRANSLATE(A1298, ""de"", ""en"")"),"possibility")</f>
        <v>possibility</v>
      </c>
    </row>
    <row r="1299">
      <c r="A1299" s="1" t="s">
        <v>1299</v>
      </c>
      <c r="B1299" s="2" t="str">
        <f>IFERROR(__xludf.DUMMYFUNCTION("GOOGLETRANSLATE(A1299, ""de"", ""en"")"),"broken")</f>
        <v>broken</v>
      </c>
    </row>
    <row r="1300">
      <c r="A1300" s="1" t="s">
        <v>1300</v>
      </c>
      <c r="B1300" s="2" t="str">
        <f>IFERROR(__xludf.DUMMYFUNCTION("GOOGLETRANSLATE(A1300, ""de"", ""en"")"),"get")</f>
        <v>get</v>
      </c>
    </row>
    <row r="1301">
      <c r="A1301" s="1" t="s">
        <v>1301</v>
      </c>
      <c r="B1301" s="2" t="str">
        <f>IFERROR(__xludf.DUMMYFUNCTION("GOOGLETRANSLATE(A1301, ""de"", ""en"")"),"airplane")</f>
        <v>airplane</v>
      </c>
    </row>
    <row r="1302">
      <c r="A1302" s="1" t="s">
        <v>1302</v>
      </c>
      <c r="B1302" s="2" t="str">
        <f>IFERROR(__xludf.DUMMYFUNCTION("GOOGLETRANSLATE(A1302, ""de"", ""en"")"),"past")</f>
        <v>past</v>
      </c>
    </row>
    <row r="1303">
      <c r="A1303" s="1" t="s">
        <v>1303</v>
      </c>
      <c r="B1303" s="2" t="str">
        <f>IFERROR(__xludf.DUMMYFUNCTION("GOOGLETRANSLATE(A1303, ""de"", ""en"")"),"others")</f>
        <v>others</v>
      </c>
    </row>
    <row r="1304">
      <c r="A1304" s="1" t="s">
        <v>1304</v>
      </c>
      <c r="B1304" s="2" t="str">
        <f>IFERROR(__xludf.DUMMYFUNCTION("GOOGLETRANSLATE(A1304, ""de"", ""en"")"),"second")</f>
        <v>second</v>
      </c>
    </row>
    <row r="1305">
      <c r="A1305" s="1" t="s">
        <v>1305</v>
      </c>
      <c r="B1305" s="2" t="str">
        <f>IFERROR(__xludf.DUMMYFUNCTION("GOOGLETRANSLATE(A1305, ""de"", ""en"")"),"army")</f>
        <v>army</v>
      </c>
    </row>
    <row r="1306">
      <c r="A1306" s="1" t="s">
        <v>1306</v>
      </c>
      <c r="B1306" s="2" t="str">
        <f>IFERROR(__xludf.DUMMYFUNCTION("GOOGLETRANSLATE(A1306, ""de"", ""en"")"),"jim")</f>
        <v>jim</v>
      </c>
    </row>
    <row r="1307">
      <c r="A1307" s="1" t="s">
        <v>1307</v>
      </c>
      <c r="B1307" s="2" t="str">
        <f>IFERROR(__xludf.DUMMYFUNCTION("GOOGLETRANSLATE(A1307, ""de"", ""en"")"),"tea")</f>
        <v>tea</v>
      </c>
    </row>
    <row r="1308">
      <c r="A1308" s="1" t="s">
        <v>1308</v>
      </c>
      <c r="B1308" s="2" t="str">
        <f>IFERROR(__xludf.DUMMYFUNCTION("GOOGLETRANSLATE(A1308, ""de"", ""en"")"),"either")</f>
        <v>either</v>
      </c>
    </row>
    <row r="1309">
      <c r="A1309" s="1" t="s">
        <v>1309</v>
      </c>
      <c r="B1309" s="2" t="str">
        <f>IFERROR(__xludf.DUMMYFUNCTION("GOOGLETRANSLATE(A1309, ""de"", ""en"")"),"white")</f>
        <v>white</v>
      </c>
    </row>
    <row r="1310">
      <c r="A1310" s="1" t="s">
        <v>1310</v>
      </c>
      <c r="B1310" s="2" t="str">
        <f>IFERROR(__xludf.DUMMYFUNCTION("GOOGLETRANSLATE(A1310, ""de"", ""en"")"),"Don")</f>
        <v>Don</v>
      </c>
    </row>
    <row r="1311">
      <c r="A1311" s="1" t="s">
        <v>1311</v>
      </c>
      <c r="B1311" s="2" t="str">
        <f>IFERROR(__xludf.DUMMYFUNCTION("GOOGLETRANSLATE(A1311, ""de"", ""en"")"),"detective")</f>
        <v>detective</v>
      </c>
    </row>
    <row r="1312">
      <c r="A1312" s="1" t="s">
        <v>1312</v>
      </c>
      <c r="B1312" s="2" t="str">
        <f>IFERROR(__xludf.DUMMYFUNCTION("GOOGLETRANSLATE(A1312, ""de"", ""en"")"),"stop")</f>
        <v>stop</v>
      </c>
    </row>
    <row r="1313">
      <c r="A1313" s="1" t="s">
        <v>1313</v>
      </c>
      <c r="B1313" s="2" t="str">
        <f>IFERROR(__xludf.DUMMYFUNCTION("GOOGLETRANSLATE(A1313, ""de"", ""en"")"),"provides")</f>
        <v>provides</v>
      </c>
    </row>
    <row r="1314">
      <c r="A1314" s="1" t="s">
        <v>1314</v>
      </c>
      <c r="B1314" s="2" t="str">
        <f>IFERROR(__xludf.DUMMYFUNCTION("GOOGLETRANSLATE(A1314, ""de"", ""en"")"),"promise")</f>
        <v>promise</v>
      </c>
    </row>
    <row r="1315">
      <c r="A1315" s="1" t="s">
        <v>1315</v>
      </c>
      <c r="B1315" s="2" t="str">
        <f>IFERROR(__xludf.DUMMYFUNCTION("GOOGLETRANSLATE(A1315, ""de"", ""en"")"),"surprised")</f>
        <v>surprised</v>
      </c>
    </row>
    <row r="1316">
      <c r="A1316" s="1" t="s">
        <v>1316</v>
      </c>
      <c r="B1316" s="2" t="str">
        <f>IFERROR(__xludf.DUMMYFUNCTION("GOOGLETRANSLATE(A1316, ""de"", ""en"")"),"clean")</f>
        <v>clean</v>
      </c>
    </row>
    <row r="1317">
      <c r="A1317" s="1" t="s">
        <v>1317</v>
      </c>
      <c r="B1317" s="2" t="str">
        <f>IFERROR(__xludf.DUMMYFUNCTION("GOOGLETRANSLATE(A1317, ""de"", ""en"")"),"hew")</f>
        <v>hew</v>
      </c>
    </row>
    <row r="1318">
      <c r="A1318" s="1" t="s">
        <v>1318</v>
      </c>
      <c r="B1318" s="2" t="str">
        <f>IFERROR(__xludf.DUMMYFUNCTION("GOOGLETRANSLATE(A1318, ""de"", ""en"")"),"mark")</f>
        <v>mark</v>
      </c>
    </row>
    <row r="1319">
      <c r="A1319" s="1" t="s">
        <v>1319</v>
      </c>
      <c r="B1319" s="2" t="str">
        <f>IFERROR(__xludf.DUMMYFUNCTION("GOOGLETRANSLATE(A1319, ""de"", ""en"")"),"hit")</f>
        <v>hit</v>
      </c>
    </row>
    <row r="1320">
      <c r="A1320" s="1" t="s">
        <v>1320</v>
      </c>
      <c r="B1320" s="2" t="str">
        <f>IFERROR(__xludf.DUMMYFUNCTION("GOOGLETRANSLATE(A1320, ""de"", ""en"")"),"sheriff")</f>
        <v>sheriff</v>
      </c>
    </row>
    <row r="1321">
      <c r="A1321" s="1" t="s">
        <v>1321</v>
      </c>
      <c r="B1321" s="2" t="str">
        <f>IFERROR(__xludf.DUMMYFUNCTION("GOOGLETRANSLATE(A1321, ""de"", ""en"")"),"subtitles")</f>
        <v>subtitles</v>
      </c>
    </row>
    <row r="1322">
      <c r="A1322" s="1" t="s">
        <v>1322</v>
      </c>
      <c r="B1322" s="2" t="str">
        <f>IFERROR(__xludf.DUMMYFUNCTION("GOOGLETRANSLATE(A1322, ""de"", ""en"")"),"sets")</f>
        <v>sets</v>
      </c>
    </row>
    <row r="1323">
      <c r="A1323" s="1" t="s">
        <v>1323</v>
      </c>
      <c r="B1323" s="2" t="str">
        <f>IFERROR(__xludf.DUMMYFUNCTION("GOOGLETRANSLATE(A1323, ""de"", ""en"")"),"ask")</f>
        <v>ask</v>
      </c>
    </row>
    <row r="1324">
      <c r="A1324" s="1" t="s">
        <v>1324</v>
      </c>
      <c r="B1324" s="2" t="str">
        <f>IFERROR(__xludf.DUMMYFUNCTION("GOOGLETRANSLATE(A1324, ""de"", ""en"")"),"father")</f>
        <v>father</v>
      </c>
    </row>
    <row r="1325">
      <c r="A1325" s="1" t="s">
        <v>1325</v>
      </c>
      <c r="B1325" s="2" t="str">
        <f>IFERROR(__xludf.DUMMYFUNCTION("GOOGLETRANSLATE(A1325, ""de"", ""en"")"),"nervous")</f>
        <v>nervous</v>
      </c>
    </row>
    <row r="1326">
      <c r="A1326" s="1" t="s">
        <v>1326</v>
      </c>
      <c r="B1326" s="2" t="str">
        <f>IFERROR(__xludf.DUMMYFUNCTION("GOOGLETRANSLATE(A1326, ""de"", ""en"")"),"company")</f>
        <v>company</v>
      </c>
    </row>
    <row r="1327">
      <c r="A1327" s="1" t="s">
        <v>1327</v>
      </c>
      <c r="B1327" s="2" t="str">
        <f>IFERROR(__xludf.DUMMYFUNCTION("GOOGLETRANSLATE(A1327, ""de"", ""en"")"),"hide")</f>
        <v>hide</v>
      </c>
    </row>
    <row r="1328">
      <c r="A1328" s="1" t="s">
        <v>1328</v>
      </c>
      <c r="B1328" s="2" t="str">
        <f>IFERROR(__xludf.DUMMYFUNCTION("GOOGLETRANSLATE(A1328, ""de"", ""en"")"),"guilty")</f>
        <v>guilty</v>
      </c>
    </row>
    <row r="1329">
      <c r="A1329" s="1" t="s">
        <v>1329</v>
      </c>
      <c r="B1329" s="2" t="str">
        <f>IFERROR(__xludf.DUMMYFUNCTION("GOOGLETRANSLATE(A1329, ""de"", ""en"")"),"neck")</f>
        <v>neck</v>
      </c>
    </row>
    <row r="1330">
      <c r="A1330" s="1" t="s">
        <v>1330</v>
      </c>
      <c r="B1330" s="2" t="str">
        <f>IFERROR(__xludf.DUMMYFUNCTION("GOOGLETRANSLATE(A1330, ""de"", ""en"")"),"protect")</f>
        <v>protect</v>
      </c>
    </row>
    <row r="1331">
      <c r="A1331" s="1" t="s">
        <v>1331</v>
      </c>
      <c r="B1331" s="2" t="str">
        <f>IFERROR(__xludf.DUMMYFUNCTION("GOOGLETRANSLATE(A1331, ""de"", ""en"")"),"visit")</f>
        <v>visit</v>
      </c>
    </row>
    <row r="1332">
      <c r="A1332" s="1" t="s">
        <v>1332</v>
      </c>
      <c r="B1332" s="2" t="str">
        <f>IFERROR(__xludf.DUMMYFUNCTION("GOOGLETRANSLATE(A1332, ""de"", ""en"")"),"of")</f>
        <v>of</v>
      </c>
    </row>
    <row r="1333">
      <c r="A1333" s="1" t="s">
        <v>1333</v>
      </c>
      <c r="B1333" s="2" t="str">
        <f>IFERROR(__xludf.DUMMYFUNCTION("GOOGLETRANSLATE(A1333, ""de"", ""en"")"),"fit")</f>
        <v>fit</v>
      </c>
    </row>
    <row r="1334">
      <c r="A1334" s="1" t="s">
        <v>1334</v>
      </c>
      <c r="B1334" s="2" t="str">
        <f>IFERROR(__xludf.DUMMYFUNCTION("GOOGLETRANSLATE(A1334, ""de"", ""en"")"),"survive")</f>
        <v>survive</v>
      </c>
    </row>
    <row r="1335">
      <c r="A1335" s="1" t="s">
        <v>1335</v>
      </c>
      <c r="B1335" s="2" t="str">
        <f>IFERROR(__xludf.DUMMYFUNCTION("GOOGLETRANSLATE(A1335, ""de"", ""en"")"),"receive")</f>
        <v>receive</v>
      </c>
    </row>
    <row r="1336">
      <c r="A1336" s="1" t="s">
        <v>1336</v>
      </c>
      <c r="B1336" s="2" t="str">
        <f>IFERROR(__xludf.DUMMYFUNCTION("GOOGLETRANSLATE(A1336, ""de"", ""en"")"),"split")</f>
        <v>split</v>
      </c>
    </row>
    <row r="1337">
      <c r="A1337" s="1" t="s">
        <v>1337</v>
      </c>
      <c r="B1337" s="2" t="str">
        <f>IFERROR(__xludf.DUMMYFUNCTION("GOOGLETRANSLATE(A1337, ""de"", ""en"")"),"building")</f>
        <v>building</v>
      </c>
    </row>
    <row r="1338">
      <c r="A1338" s="1" t="s">
        <v>1338</v>
      </c>
      <c r="B1338" s="2" t="str">
        <f>IFERROR(__xludf.DUMMYFUNCTION("GOOGLETRANSLATE(A1338, ""de"", ""en"")"),"fate")</f>
        <v>fate</v>
      </c>
    </row>
    <row r="1339">
      <c r="A1339" s="1" t="s">
        <v>1339</v>
      </c>
      <c r="B1339" s="2" t="str">
        <f>IFERROR(__xludf.DUMMYFUNCTION("GOOGLETRANSLATE(A1339, ""de"", ""en"")"),"sign")</f>
        <v>sign</v>
      </c>
    </row>
    <row r="1340">
      <c r="A1340" s="1" t="s">
        <v>1340</v>
      </c>
      <c r="B1340" s="2" t="str">
        <f>IFERROR(__xludf.DUMMYFUNCTION("GOOGLETRANSLATE(A1340, ""de"", ""en"")"),"judge")</f>
        <v>judge</v>
      </c>
    </row>
    <row r="1341">
      <c r="A1341" s="1" t="s">
        <v>1341</v>
      </c>
      <c r="B1341" s="2" t="str">
        <f>IFERROR(__xludf.DUMMYFUNCTION("GOOGLETRANSLATE(A1341, ""de"", ""en"")"),"worried")</f>
        <v>worried</v>
      </c>
    </row>
    <row r="1342">
      <c r="A1342" s="1" t="s">
        <v>1342</v>
      </c>
      <c r="B1342" s="2" t="str">
        <f>IFERROR(__xludf.DUMMYFUNCTION("GOOGLETRANSLATE(A1342, ""de"", ""en"")"),"kitchen")</f>
        <v>kitchen</v>
      </c>
    </row>
    <row r="1343">
      <c r="A1343" s="1" t="s">
        <v>1343</v>
      </c>
      <c r="B1343" s="2" t="str">
        <f>IFERROR(__xludf.DUMMYFUNCTION("GOOGLETRANSLATE(A1343, ""de"", ""en"")"),"ran")</f>
        <v>ran</v>
      </c>
    </row>
    <row r="1344">
      <c r="A1344" s="1" t="s">
        <v>1344</v>
      </c>
      <c r="B1344" s="2" t="str">
        <f>IFERROR(__xludf.DUMMYFUNCTION("GOOGLETRANSLATE(A1344, ""de"", ""en"")"),"enjoyment")</f>
        <v>enjoyment</v>
      </c>
    </row>
    <row r="1345">
      <c r="A1345" s="1" t="s">
        <v>1345</v>
      </c>
      <c r="B1345" s="2" t="str">
        <f>IFERROR(__xludf.DUMMYFUNCTION("GOOGLETRANSLATE(A1345, ""de"", ""en"")"),"knew")</f>
        <v>knew</v>
      </c>
    </row>
    <row r="1346">
      <c r="A1346" s="1" t="s">
        <v>1346</v>
      </c>
      <c r="B1346" s="2" t="str">
        <f>IFERROR(__xludf.DUMMYFUNCTION("GOOGLETRANSLATE(A1346, ""de"", ""en"")"),"people")</f>
        <v>people</v>
      </c>
    </row>
    <row r="1347">
      <c r="A1347" s="1" t="s">
        <v>1347</v>
      </c>
      <c r="B1347" s="2" t="str">
        <f>IFERROR(__xludf.DUMMYFUNCTION("GOOGLETRANSLATE(A1347, ""de"", ""en"")"),"yours")</f>
        <v>yours</v>
      </c>
    </row>
    <row r="1348">
      <c r="A1348" s="1" t="s">
        <v>1348</v>
      </c>
      <c r="B1348" s="2" t="str">
        <f>IFERROR(__xludf.DUMMYFUNCTION("GOOGLETRANSLATE(A1348, ""de"", ""en"")"),"find out")</f>
        <v>find out</v>
      </c>
    </row>
    <row r="1349">
      <c r="A1349" s="1" t="s">
        <v>1349</v>
      </c>
      <c r="B1349" s="2" t="str">
        <f>IFERROR(__xludf.DUMMYFUNCTION("GOOGLETRANSLATE(A1349, ""de"", ""en"")"),"queen")</f>
        <v>queen</v>
      </c>
    </row>
    <row r="1350">
      <c r="A1350" s="1" t="s">
        <v>1350</v>
      </c>
      <c r="B1350" s="2" t="str">
        <f>IFERROR(__xludf.DUMMYFUNCTION("GOOGLETRANSLATE(A1350, ""de"", ""en"")"),"soldiers")</f>
        <v>soldiers</v>
      </c>
    </row>
    <row r="1351">
      <c r="A1351" s="1" t="s">
        <v>1351</v>
      </c>
      <c r="B1351" s="2" t="str">
        <f>IFERROR(__xludf.DUMMYFUNCTION("GOOGLETRANSLATE(A1351, ""de"", ""en"")"),"celebrate")</f>
        <v>celebrate</v>
      </c>
    </row>
    <row r="1352">
      <c r="A1352" s="1" t="s">
        <v>1352</v>
      </c>
      <c r="B1352" s="2" t="str">
        <f>IFERROR(__xludf.DUMMYFUNCTION("GOOGLETRANSLATE(A1352, ""de"", ""en"")"),"situation")</f>
        <v>situation</v>
      </c>
    </row>
    <row r="1353">
      <c r="A1353" s="1" t="s">
        <v>1353</v>
      </c>
      <c r="B1353" s="2" t="str">
        <f>IFERROR(__xludf.DUMMYFUNCTION("GOOGLETRANSLATE(A1353, ""de"", ""en"")"),"lay")</f>
        <v>lay</v>
      </c>
    </row>
    <row r="1354">
      <c r="A1354" s="1" t="s">
        <v>1354</v>
      </c>
      <c r="B1354" s="2" t="str">
        <f>IFERROR(__xludf.DUMMYFUNCTION("GOOGLETRANSLATE(A1354, ""de"", ""en"")"),"calm")</f>
        <v>calm</v>
      </c>
    </row>
    <row r="1355">
      <c r="A1355" s="1" t="s">
        <v>1355</v>
      </c>
      <c r="B1355" s="2" t="str">
        <f>IFERROR(__xludf.DUMMYFUNCTION("GOOGLETRANSLATE(A1355, ""de"", ""en"")"),"however")</f>
        <v>however</v>
      </c>
    </row>
    <row r="1356">
      <c r="A1356" s="1" t="s">
        <v>1356</v>
      </c>
      <c r="B1356" s="2" t="str">
        <f>IFERROR(__xludf.DUMMYFUNCTION("GOOGLETRANSLATE(A1356, ""de"", ""en"")"),"so far")</f>
        <v>so far</v>
      </c>
    </row>
    <row r="1357">
      <c r="A1357" s="1" t="s">
        <v>1357</v>
      </c>
      <c r="B1357" s="2" t="str">
        <f>IFERROR(__xludf.DUMMYFUNCTION("GOOGLETRANSLATE(A1357, ""de"", ""en"")"),"driven")</f>
        <v>driven</v>
      </c>
    </row>
    <row r="1358">
      <c r="A1358" s="1" t="s">
        <v>1358</v>
      </c>
      <c r="B1358" s="2" t="str">
        <f>IFERROR(__xludf.DUMMYFUNCTION("GOOGLETRANSLATE(A1358, ""de"", ""en"")"),"mind")</f>
        <v>mind</v>
      </c>
    </row>
    <row r="1359">
      <c r="A1359" s="1" t="s">
        <v>1359</v>
      </c>
      <c r="B1359" s="2" t="str">
        <f>IFERROR(__xludf.DUMMYFUNCTION("GOOGLETRANSLATE(A1359, ""de"", ""en"")"),"board")</f>
        <v>board</v>
      </c>
    </row>
    <row r="1360">
      <c r="A1360" s="1" t="s">
        <v>1360</v>
      </c>
      <c r="B1360" s="2" t="str">
        <f>IFERROR(__xludf.DUMMYFUNCTION("GOOGLETRANSLATE(A1360, ""de"", ""en"")"),"beautiful")</f>
        <v>beautiful</v>
      </c>
    </row>
    <row r="1361">
      <c r="A1361" s="1" t="s">
        <v>1361</v>
      </c>
      <c r="B1361" s="2" t="str">
        <f>IFERROR(__xludf.DUMMYFUNCTION("GOOGLETRANSLATE(A1361, ""de"", ""en"")"),"Jimmy")</f>
        <v>Jimmy</v>
      </c>
    </row>
    <row r="1362">
      <c r="A1362" s="1" t="s">
        <v>1362</v>
      </c>
      <c r="B1362" s="2" t="str">
        <f>IFERROR(__xludf.DUMMYFUNCTION("GOOGLETRANSLATE(A1362, ""de"", ""en"")"),"billy")</f>
        <v>billy</v>
      </c>
    </row>
    <row r="1363">
      <c r="A1363" s="1" t="s">
        <v>1363</v>
      </c>
      <c r="B1363" s="2" t="str">
        <f>IFERROR(__xludf.DUMMYFUNCTION("GOOGLETRANSLATE(A1363, ""de"", ""en"")"),"begun")</f>
        <v>begun</v>
      </c>
    </row>
    <row r="1364">
      <c r="A1364" s="1" t="s">
        <v>1364</v>
      </c>
      <c r="B1364" s="2" t="str">
        <f>IFERROR(__xludf.DUMMYFUNCTION("GOOGLETRANSLATE(A1364, ""de"", ""en"")"),"lee")</f>
        <v>lee</v>
      </c>
    </row>
    <row r="1365">
      <c r="A1365" s="1" t="s">
        <v>1365</v>
      </c>
      <c r="B1365" s="2" t="str">
        <f>IFERROR(__xludf.DUMMYFUNCTION("GOOGLETRANSLATE(A1365, ""de"", ""en"")"),"feel")</f>
        <v>feel</v>
      </c>
    </row>
    <row r="1366">
      <c r="A1366" s="1" t="s">
        <v>1366</v>
      </c>
      <c r="B1366" s="2" t="str">
        <f>IFERROR(__xludf.DUMMYFUNCTION("GOOGLETRANSLATE(A1366, ""de"", ""en"")"),"bob")</f>
        <v>bob</v>
      </c>
    </row>
    <row r="1367">
      <c r="A1367" s="1" t="s">
        <v>1367</v>
      </c>
      <c r="B1367" s="2" t="str">
        <f>IFERROR(__xludf.DUMMYFUNCTION("GOOGLETRANSLATE(A1367, ""de"", ""en"")"),"had to")</f>
        <v>had to</v>
      </c>
    </row>
    <row r="1368">
      <c r="A1368" s="1" t="s">
        <v>1368</v>
      </c>
      <c r="B1368" s="2" t="str">
        <f>IFERROR(__xludf.DUMMYFUNCTION("GOOGLETRANSLATE(A1368, ""de"", ""en"")"),"advice")</f>
        <v>advice</v>
      </c>
    </row>
    <row r="1369">
      <c r="A1369" s="1" t="s">
        <v>1369</v>
      </c>
      <c r="B1369" s="2" t="str">
        <f>IFERROR(__xludf.DUMMYFUNCTION("GOOGLETRANSLATE(A1369, ""de"", ""en"")"),"what")</f>
        <v>what</v>
      </c>
    </row>
    <row r="1370">
      <c r="A1370" s="1" t="s">
        <v>1370</v>
      </c>
      <c r="B1370" s="2" t="str">
        <f>IFERROR(__xludf.DUMMYFUNCTION("GOOGLETRANSLATE(A1370, ""de"", ""en"")"),"requested")</f>
        <v>requested</v>
      </c>
    </row>
    <row r="1371">
      <c r="A1371" s="1" t="s">
        <v>1371</v>
      </c>
      <c r="B1371" s="2" t="str">
        <f>IFERROR(__xludf.DUMMYFUNCTION("GOOGLETRANSLATE(A1371, ""de"", ""en"")"),"tony")</f>
        <v>tony</v>
      </c>
    </row>
    <row r="1372">
      <c r="A1372" s="1" t="s">
        <v>1372</v>
      </c>
      <c r="B1372" s="2" t="str">
        <f>IFERROR(__xludf.DUMMYFUNCTION("GOOGLETRANSLATE(A1372, ""de"", ""en"")"),"camera")</f>
        <v>camera</v>
      </c>
    </row>
    <row r="1373">
      <c r="A1373" s="1" t="s">
        <v>1373</v>
      </c>
      <c r="B1373" s="2" t="str">
        <f>IFERROR(__xludf.DUMMYFUNCTION("GOOGLETRANSLATE(A1373, ""de"", ""en"")"),"danger")</f>
        <v>danger</v>
      </c>
    </row>
    <row r="1374">
      <c r="A1374" s="1" t="s">
        <v>1374</v>
      </c>
      <c r="B1374" s="2" t="str">
        <f>IFERROR(__xludf.DUMMYFUNCTION("GOOGLETRANSLATE(A1374, ""de"", ""en"")"),"lieutenant")</f>
        <v>lieutenant</v>
      </c>
    </row>
    <row r="1375">
      <c r="A1375" s="1" t="s">
        <v>1375</v>
      </c>
      <c r="B1375" s="2" t="str">
        <f>IFERROR(__xludf.DUMMYFUNCTION("GOOGLETRANSLATE(A1375, ""de"", ""en"")"),"whole")</f>
        <v>whole</v>
      </c>
    </row>
    <row r="1376">
      <c r="A1376" s="1" t="s">
        <v>1376</v>
      </c>
      <c r="B1376" s="2" t="str">
        <f>IFERROR(__xludf.DUMMYFUNCTION("GOOGLETRANSLATE(A1376, ""de"", ""en"")"),"shoes")</f>
        <v>shoes</v>
      </c>
    </row>
    <row r="1377">
      <c r="A1377" s="1" t="s">
        <v>1377</v>
      </c>
      <c r="B1377" s="2" t="str">
        <f>IFERROR(__xludf.DUMMYFUNCTION("GOOGLETRANSLATE(A1377, ""de"", ""en"")"),"sarah")</f>
        <v>sarah</v>
      </c>
    </row>
    <row r="1378">
      <c r="A1378" s="1" t="s">
        <v>1378</v>
      </c>
      <c r="B1378" s="2" t="str">
        <f>IFERROR(__xludf.DUMMYFUNCTION("GOOGLETRANSLATE(A1378, ""de"", ""en"")"),"congratulations")</f>
        <v>congratulations</v>
      </c>
    </row>
    <row r="1379">
      <c r="A1379" s="1" t="s">
        <v>1379</v>
      </c>
      <c r="B1379" s="2" t="str">
        <f>IFERROR(__xludf.DUMMYFUNCTION("GOOGLETRANSLATE(A1379, ""de"", ""en"")"),"nobody")</f>
        <v>nobody</v>
      </c>
    </row>
    <row r="1380">
      <c r="A1380" s="1" t="s">
        <v>1380</v>
      </c>
      <c r="B1380" s="2" t="str">
        <f>IFERROR(__xludf.DUMMYFUNCTION("GOOGLETRANSLATE(A1380, ""de"", ""en"")"),"give")</f>
        <v>give</v>
      </c>
    </row>
    <row r="1381">
      <c r="A1381" s="1" t="s">
        <v>1381</v>
      </c>
      <c r="B1381" s="2" t="str">
        <f>IFERROR(__xludf.DUMMYFUNCTION("GOOGLETRANSLATE(A1381, ""de"", ""en"")"),"instead of")</f>
        <v>instead of</v>
      </c>
    </row>
    <row r="1382">
      <c r="A1382" s="1" t="s">
        <v>1382</v>
      </c>
      <c r="B1382" s="2" t="str">
        <f>IFERROR(__xludf.DUMMYFUNCTION("GOOGLETRANSLATE(A1382, ""de"", ""en"")"),"take over")</f>
        <v>take over</v>
      </c>
    </row>
    <row r="1383">
      <c r="A1383" s="1" t="s">
        <v>1383</v>
      </c>
      <c r="B1383" s="2" t="str">
        <f>IFERROR(__xludf.DUMMYFUNCTION("GOOGLETRANSLATE(A1383, ""de"", ""en"")"),"area")</f>
        <v>area</v>
      </c>
    </row>
    <row r="1384">
      <c r="A1384" s="1" t="s">
        <v>1384</v>
      </c>
      <c r="B1384" s="2" t="str">
        <f>IFERROR(__xludf.DUMMYFUNCTION("GOOGLETRANSLATE(A1384, ""de"", ""en"")"),"forest")</f>
        <v>forest</v>
      </c>
    </row>
    <row r="1385">
      <c r="A1385" s="1" t="s">
        <v>1385</v>
      </c>
      <c r="B1385" s="2" t="str">
        <f>IFERROR(__xludf.DUMMYFUNCTION("GOOGLETRANSLATE(A1385, ""de"", ""en"")"),"al")</f>
        <v>al</v>
      </c>
    </row>
    <row r="1386">
      <c r="A1386" s="1" t="s">
        <v>1386</v>
      </c>
      <c r="B1386" s="2" t="str">
        <f>IFERROR(__xludf.DUMMYFUNCTION("GOOGLETRANSLATE(A1386, ""de"", ""en"")"),"la")</f>
        <v>la</v>
      </c>
    </row>
    <row r="1387">
      <c r="A1387" s="1" t="s">
        <v>1387</v>
      </c>
      <c r="B1387" s="2" t="str">
        <f>IFERROR(__xludf.DUMMYFUNCTION("GOOGLETRANSLATE(A1387, ""de"", ""en"")"),"take")</f>
        <v>take</v>
      </c>
    </row>
    <row r="1388">
      <c r="A1388" s="1" t="s">
        <v>1388</v>
      </c>
      <c r="B1388" s="2" t="str">
        <f>IFERROR(__xludf.DUMMYFUNCTION("GOOGLETRANSLATE(A1388, ""de"", ""en"")"),"Danny")</f>
        <v>Danny</v>
      </c>
    </row>
    <row r="1389">
      <c r="A1389" s="1" t="s">
        <v>1389</v>
      </c>
      <c r="B1389" s="2" t="str">
        <f>IFERROR(__xludf.DUMMYFUNCTION("GOOGLETRANSLATE(A1389, ""de"", ""en"")"),"recognize")</f>
        <v>recognize</v>
      </c>
    </row>
    <row r="1390">
      <c r="A1390" s="1" t="s">
        <v>1390</v>
      </c>
      <c r="B1390" s="2" t="str">
        <f>IFERROR(__xludf.DUMMYFUNCTION("GOOGLETRANSLATE(A1390, ""de"", ""en"")"),"glass")</f>
        <v>glass</v>
      </c>
    </row>
    <row r="1391">
      <c r="A1391" s="1" t="s">
        <v>1391</v>
      </c>
      <c r="B1391" s="2" t="str">
        <f>IFERROR(__xludf.DUMMYFUNCTION("GOOGLETRANSLATE(A1391, ""de"", ""en"")"),"wrong")</f>
        <v>wrong</v>
      </c>
    </row>
    <row r="1392">
      <c r="A1392" s="1" t="s">
        <v>1392</v>
      </c>
      <c r="B1392" s="2" t="str">
        <f>IFERROR(__xludf.DUMMYFUNCTION("GOOGLETRANSLATE(A1392, ""de"", ""en"")"),"responsible")</f>
        <v>responsible</v>
      </c>
    </row>
    <row r="1393">
      <c r="A1393" s="1" t="s">
        <v>1393</v>
      </c>
      <c r="B1393" s="2" t="str">
        <f>IFERROR(__xludf.DUMMYFUNCTION("GOOGLETRANSLATE(A1393, ""de"", ""en"")"),"Jesus")</f>
        <v>Jesus</v>
      </c>
    </row>
    <row r="1394">
      <c r="A1394" s="1" t="s">
        <v>1394</v>
      </c>
      <c r="B1394" s="2" t="str">
        <f>IFERROR(__xludf.DUMMYFUNCTION("GOOGLETRANSLATE(A1394, ""de"", ""en"")"),"moans")</f>
        <v>moans</v>
      </c>
    </row>
    <row r="1395">
      <c r="A1395" s="1" t="s">
        <v>1395</v>
      </c>
      <c r="B1395" s="2" t="str">
        <f>IFERROR(__xludf.DUMMYFUNCTION("GOOGLETRANSLATE(A1395, ""de"", ""en"")"),"in")</f>
        <v>in</v>
      </c>
    </row>
    <row r="1396">
      <c r="A1396" s="1" t="s">
        <v>1396</v>
      </c>
      <c r="B1396" s="2" t="str">
        <f>IFERROR(__xludf.DUMMYFUNCTION("GOOGLETRANSLATE(A1396, ""de"", ""en"")"),"a dress")</f>
        <v>a dress</v>
      </c>
    </row>
    <row r="1397">
      <c r="A1397" s="1" t="s">
        <v>1397</v>
      </c>
      <c r="B1397" s="2" t="str">
        <f>IFERROR(__xludf.DUMMYFUNCTION("GOOGLETRANSLATE(A1397, ""de"", ""en"")"),"destroy")</f>
        <v>destroy</v>
      </c>
    </row>
    <row r="1398">
      <c r="A1398" s="1" t="s">
        <v>1398</v>
      </c>
      <c r="B1398" s="2" t="str">
        <f>IFERROR(__xludf.DUMMYFUNCTION("GOOGLETRANSLATE(A1398, ""de"", ""en"")"),"yes indeed")</f>
        <v>yes indeed</v>
      </c>
    </row>
    <row r="1399">
      <c r="A1399" s="1" t="s">
        <v>1399</v>
      </c>
      <c r="B1399" s="2" t="str">
        <f>IFERROR(__xludf.DUMMYFUNCTION("GOOGLETRANSLATE(A1399, ""de"", ""en"")"),"London")</f>
        <v>London</v>
      </c>
    </row>
    <row r="1400">
      <c r="A1400" s="1" t="s">
        <v>1400</v>
      </c>
      <c r="B1400" s="2" t="str">
        <f>IFERROR(__xludf.DUMMYFUNCTION("GOOGLETRANSLATE(A1400, ""de"", ""en"")"),"eaten")</f>
        <v>eaten</v>
      </c>
    </row>
    <row r="1401">
      <c r="A1401" s="1" t="s">
        <v>1401</v>
      </c>
      <c r="B1401" s="2" t="str">
        <f>IFERROR(__xludf.DUMMYFUNCTION("GOOGLETRANSLATE(A1401, ""de"", ""en"")"),"dinner")</f>
        <v>dinner</v>
      </c>
    </row>
    <row r="1402">
      <c r="A1402" s="1" t="s">
        <v>1402</v>
      </c>
      <c r="B1402" s="2" t="str">
        <f>IFERROR(__xludf.DUMMYFUNCTION("GOOGLETRANSLATE(A1402, ""de"", ""en"")"),"law")</f>
        <v>law</v>
      </c>
    </row>
    <row r="1403">
      <c r="A1403" s="1" t="s">
        <v>1403</v>
      </c>
      <c r="B1403" s="2" t="str">
        <f>IFERROR(__xludf.DUMMYFUNCTION("GOOGLETRANSLATE(A1403, ""de"", ""en"")"),"together")</f>
        <v>together</v>
      </c>
    </row>
    <row r="1404">
      <c r="A1404" s="1" t="s">
        <v>1404</v>
      </c>
      <c r="B1404" s="2" t="str">
        <f>IFERROR(__xludf.DUMMYFUNCTION("GOOGLETRANSLATE(A1404, ""de"", ""en"")"),"helped")</f>
        <v>helped</v>
      </c>
    </row>
    <row r="1405">
      <c r="A1405" s="1" t="s">
        <v>1405</v>
      </c>
      <c r="B1405" s="2" t="str">
        <f>IFERROR(__xludf.DUMMYFUNCTION("GOOGLETRANSLATE(A1405, ""de"", ""en"")"),"first")</f>
        <v>first</v>
      </c>
    </row>
    <row r="1406">
      <c r="A1406" s="1" t="s">
        <v>1406</v>
      </c>
      <c r="B1406" s="2" t="str">
        <f>IFERROR(__xludf.DUMMYFUNCTION("GOOGLETRANSLATE(A1406, ""de"", ""en"")"),"lives")</f>
        <v>lives</v>
      </c>
    </row>
    <row r="1407">
      <c r="A1407" s="1" t="s">
        <v>1407</v>
      </c>
      <c r="B1407" s="2" t="str">
        <f>IFERROR(__xludf.DUMMYFUNCTION("GOOGLETRANSLATE(A1407, ""de"", ""en"")"),"step")</f>
        <v>step</v>
      </c>
    </row>
    <row r="1408">
      <c r="A1408" s="1" t="s">
        <v>1408</v>
      </c>
      <c r="B1408" s="2" t="str">
        <f>IFERROR(__xludf.DUMMYFUNCTION("GOOGLETRANSLATE(A1408, ""de"", ""en"")"),"look")</f>
        <v>look</v>
      </c>
    </row>
    <row r="1409">
      <c r="A1409" s="1" t="s">
        <v>1409</v>
      </c>
      <c r="B1409" s="2" t="str">
        <f>IFERROR(__xludf.DUMMYFUNCTION("GOOGLETRANSLATE(A1409, ""de"", ""en"")"),"vicinity")</f>
        <v>vicinity</v>
      </c>
    </row>
    <row r="1410">
      <c r="A1410" s="1" t="s">
        <v>1410</v>
      </c>
      <c r="B1410" s="2" t="str">
        <f>IFERROR(__xludf.DUMMYFUNCTION("GOOGLETRANSLATE(A1410, ""de"", ""en"")"),"looks")</f>
        <v>looks</v>
      </c>
    </row>
    <row r="1411">
      <c r="A1411" s="1" t="s">
        <v>1411</v>
      </c>
      <c r="B1411" s="2" t="str">
        <f>IFERROR(__xludf.DUMMYFUNCTION("GOOGLETRANSLATE(A1411, ""de"", ""en"")"),"start")</f>
        <v>start</v>
      </c>
    </row>
    <row r="1412">
      <c r="A1412" s="1" t="s">
        <v>1412</v>
      </c>
      <c r="B1412" s="2" t="str">
        <f>IFERROR(__xludf.DUMMYFUNCTION("GOOGLETRANSLATE(A1412, ""de"", ""en"")"),"thought")</f>
        <v>thought</v>
      </c>
    </row>
    <row r="1413">
      <c r="A1413" s="1" t="s">
        <v>1413</v>
      </c>
      <c r="B1413" s="2" t="str">
        <f>IFERROR(__xludf.DUMMYFUNCTION("GOOGLETRANSLATE(A1413, ""de"", ""en"")"),"band")</f>
        <v>band</v>
      </c>
    </row>
    <row r="1414">
      <c r="A1414" s="1" t="s">
        <v>1414</v>
      </c>
      <c r="B1414" s="2" t="str">
        <f>IFERROR(__xludf.DUMMYFUNCTION("GOOGLETRANSLATE(A1414, ""de"", ""en"")"),"approximately")</f>
        <v>approximately</v>
      </c>
    </row>
    <row r="1415">
      <c r="A1415" s="1" t="s">
        <v>1415</v>
      </c>
      <c r="B1415" s="2" t="str">
        <f>IFERROR(__xludf.DUMMYFUNCTION("GOOGLETRANSLATE(A1415, ""de"", ""en"")"),"task")</f>
        <v>task</v>
      </c>
    </row>
    <row r="1416">
      <c r="A1416" s="1" t="s">
        <v>1416</v>
      </c>
      <c r="B1416" s="2" t="str">
        <f>IFERROR(__xludf.DUMMYFUNCTION("GOOGLETRANSLATE(A1416, ""de"", ""en"")"),"nine")</f>
        <v>nine</v>
      </c>
    </row>
    <row r="1417">
      <c r="A1417" s="1" t="s">
        <v>1417</v>
      </c>
      <c r="B1417" s="2" t="str">
        <f>IFERROR(__xludf.DUMMYFUNCTION("GOOGLETRANSLATE(A1417, ""de"", ""en"")"),"terrible")</f>
        <v>terrible</v>
      </c>
    </row>
    <row r="1418">
      <c r="A1418" s="1" t="s">
        <v>1418</v>
      </c>
      <c r="B1418" s="2" t="str">
        <f>IFERROR(__xludf.DUMMYFUNCTION("GOOGLETRANSLATE(A1418, ""de"", ""en"")"),"inside")</f>
        <v>inside</v>
      </c>
    </row>
    <row r="1419">
      <c r="A1419" s="1" t="s">
        <v>1419</v>
      </c>
      <c r="B1419" s="2" t="str">
        <f>IFERROR(__xludf.DUMMYFUNCTION("GOOGLETRANSLATE(A1419, ""de"", ""en"")"),"before")</f>
        <v>before</v>
      </c>
    </row>
    <row r="1420">
      <c r="A1420" s="1" t="s">
        <v>1420</v>
      </c>
      <c r="B1420" s="2" t="str">
        <f>IFERROR(__xludf.DUMMYFUNCTION("GOOGLETRANSLATE(A1420, ""de"", ""en"")"),"Charles")</f>
        <v>Charles</v>
      </c>
    </row>
    <row r="1421">
      <c r="A1421" s="1" t="s">
        <v>1421</v>
      </c>
      <c r="B1421" s="2" t="str">
        <f>IFERROR(__xludf.DUMMYFUNCTION("GOOGLETRANSLATE(A1421, ""de"", ""en"")"),"am happy")</f>
        <v>am happy</v>
      </c>
    </row>
    <row r="1422">
      <c r="A1422" s="1" t="s">
        <v>1422</v>
      </c>
      <c r="B1422" s="2" t="str">
        <f>IFERROR(__xludf.DUMMYFUNCTION("GOOGLETRANSLATE(A1422, ""de"", ""en"")"),"America")</f>
        <v>America</v>
      </c>
    </row>
    <row r="1423">
      <c r="A1423" s="1" t="s">
        <v>1423</v>
      </c>
      <c r="B1423" s="2" t="str">
        <f>IFERROR(__xludf.DUMMYFUNCTION("GOOGLETRANSLATE(A1423, ""de"", ""en"")"),"left over")</f>
        <v>left over</v>
      </c>
    </row>
    <row r="1424">
      <c r="A1424" s="1" t="s">
        <v>1424</v>
      </c>
      <c r="B1424" s="2" t="str">
        <f>IFERROR(__xludf.DUMMYFUNCTION("GOOGLETRANSLATE(A1424, ""de"", ""en"")"),"track")</f>
        <v>track</v>
      </c>
    </row>
    <row r="1425">
      <c r="A1425" s="1" t="s">
        <v>1425</v>
      </c>
      <c r="B1425" s="2" t="str">
        <f>IFERROR(__xludf.DUMMYFUNCTION("GOOGLETRANSLATE(A1425, ""de"", ""en"")"),"wrong")</f>
        <v>wrong</v>
      </c>
    </row>
    <row r="1426">
      <c r="A1426" s="1" t="s">
        <v>1426</v>
      </c>
      <c r="B1426" s="2" t="str">
        <f>IFERROR(__xludf.DUMMYFUNCTION("GOOGLETRANSLATE(A1426, ""de"", ""en"")"),"sergeant")</f>
        <v>sergeant</v>
      </c>
    </row>
    <row r="1427">
      <c r="A1427" s="1" t="s">
        <v>1427</v>
      </c>
      <c r="B1427" s="2" t="str">
        <f>IFERROR(__xludf.DUMMYFUNCTION("GOOGLETRANSLATE(A1427, ""de"", ""en"")"),"report")</f>
        <v>report</v>
      </c>
    </row>
    <row r="1428">
      <c r="A1428" s="1" t="s">
        <v>1428</v>
      </c>
      <c r="B1428" s="2" t="str">
        <f>IFERROR(__xludf.DUMMYFUNCTION("GOOGLETRANSLATE(A1428, ""de"", ""en"")"),"help")</f>
        <v>help</v>
      </c>
    </row>
    <row r="1429">
      <c r="A1429" s="1" t="s">
        <v>1429</v>
      </c>
      <c r="B1429" s="2" t="str">
        <f>IFERROR(__xludf.DUMMYFUNCTION("GOOGLETRANSLATE(A1429, ""de"", ""en"")"),"throw")</f>
        <v>throw</v>
      </c>
    </row>
    <row r="1430">
      <c r="A1430" s="1" t="s">
        <v>1430</v>
      </c>
      <c r="B1430" s="2" t="str">
        <f>IFERROR(__xludf.DUMMYFUNCTION("GOOGLETRANSLATE(A1430, ""de"", ""en"")"),"bill")</f>
        <v>bill</v>
      </c>
    </row>
    <row r="1431">
      <c r="A1431" s="1" t="s">
        <v>1431</v>
      </c>
      <c r="B1431" s="2" t="str">
        <f>IFERROR(__xludf.DUMMYFUNCTION("GOOGLETRANSLATE(A1431, ""de"", ""en"")"),"hold")</f>
        <v>hold</v>
      </c>
    </row>
    <row r="1432">
      <c r="A1432" s="1" t="s">
        <v>1432</v>
      </c>
      <c r="B1432" s="2" t="str">
        <f>IFERROR(__xludf.DUMMYFUNCTION("GOOGLETRANSLATE(A1432, ""de"", ""en"")"),"remembered")</f>
        <v>remembered</v>
      </c>
    </row>
    <row r="1433">
      <c r="A1433" s="1" t="s">
        <v>1433</v>
      </c>
      <c r="B1433" s="2" t="str">
        <f>IFERROR(__xludf.DUMMYFUNCTION("GOOGLETRANSLATE(A1433, ""de"", ""en"")"),"hangs")</f>
        <v>hangs</v>
      </c>
    </row>
    <row r="1434">
      <c r="A1434" s="1" t="s">
        <v>1434</v>
      </c>
      <c r="B1434" s="2" t="str">
        <f>IFERROR(__xludf.DUMMYFUNCTION("GOOGLETRANSLATE(A1434, ""de"", ""en"")"),"joy")</f>
        <v>joy</v>
      </c>
    </row>
    <row r="1435">
      <c r="A1435" s="1" t="s">
        <v>1435</v>
      </c>
      <c r="B1435" s="2" t="str">
        <f>IFERROR(__xludf.DUMMYFUNCTION("GOOGLETRANSLATE(A1435, ""de"", ""en"")"),"husband")</f>
        <v>husband</v>
      </c>
    </row>
    <row r="1436">
      <c r="A1436" s="1" t="s">
        <v>1436</v>
      </c>
      <c r="B1436" s="2" t="str">
        <f>IFERROR(__xludf.DUMMYFUNCTION("GOOGLETRANSLATE(A1436, ""de"", ""en"")"),"shot")</f>
        <v>shot</v>
      </c>
    </row>
    <row r="1437">
      <c r="A1437" s="1" t="s">
        <v>1437</v>
      </c>
      <c r="B1437" s="2" t="str">
        <f>IFERROR(__xludf.DUMMYFUNCTION("GOOGLETRANSLATE(A1437, ""de"", ""en"")"),"pardon")</f>
        <v>pardon</v>
      </c>
    </row>
    <row r="1438">
      <c r="A1438" s="1" t="s">
        <v>1438</v>
      </c>
      <c r="B1438" s="2" t="str">
        <f>IFERROR(__xludf.DUMMYFUNCTION("GOOGLETRANSLATE(A1438, ""de"", ""en"")"),"pig")</f>
        <v>pig</v>
      </c>
    </row>
    <row r="1439">
      <c r="A1439" s="1" t="s">
        <v>1439</v>
      </c>
      <c r="B1439" s="2" t="str">
        <f>IFERROR(__xludf.DUMMYFUNCTION("GOOGLETRANSLATE(A1439, ""de"", ""en"")"),"uh")</f>
        <v>uh</v>
      </c>
    </row>
    <row r="1440">
      <c r="A1440" s="1" t="s">
        <v>1440</v>
      </c>
      <c r="B1440" s="2" t="str">
        <f>IFERROR(__xludf.DUMMYFUNCTION("GOOGLETRANSLATE(A1440, ""de"", ""en"")"),"monster")</f>
        <v>monster</v>
      </c>
    </row>
    <row r="1441">
      <c r="A1441" s="1" t="s">
        <v>1441</v>
      </c>
      <c r="B1441" s="2" t="str">
        <f>IFERROR(__xludf.DUMMYFUNCTION("GOOGLETRANSLATE(A1441, ""de"", ""en"")"),"decided")</f>
        <v>decided</v>
      </c>
    </row>
    <row r="1442">
      <c r="A1442" s="1" t="s">
        <v>1442</v>
      </c>
      <c r="B1442" s="2" t="str">
        <f>IFERROR(__xludf.DUMMYFUNCTION("GOOGLETRANSLATE(A1442, ""de"", ""en"")"),"mission")</f>
        <v>mission</v>
      </c>
    </row>
    <row r="1443">
      <c r="A1443" s="1" t="s">
        <v>1443</v>
      </c>
      <c r="B1443" s="2" t="str">
        <f>IFERROR(__xludf.DUMMYFUNCTION("GOOGLETRANSLATE(A1443, ""de"", ""en"")"),"damn")</f>
        <v>damn</v>
      </c>
    </row>
    <row r="1444">
      <c r="A1444" s="1" t="s">
        <v>1444</v>
      </c>
      <c r="B1444" s="2" t="str">
        <f>IFERROR(__xludf.DUMMYFUNCTION("GOOGLETRANSLATE(A1444, ""de"", ""en"")"),"need")</f>
        <v>need</v>
      </c>
    </row>
    <row r="1445">
      <c r="A1445" s="1" t="s">
        <v>1445</v>
      </c>
      <c r="B1445" s="2" t="str">
        <f>IFERROR(__xludf.DUMMYFUNCTION("GOOGLETRANSLATE(A1445, ""de"", ""en"")"),"known")</f>
        <v>known</v>
      </c>
    </row>
    <row r="1446">
      <c r="A1446" s="1" t="s">
        <v>1446</v>
      </c>
      <c r="B1446" s="2" t="str">
        <f>IFERROR(__xludf.DUMMYFUNCTION("GOOGLETRANSLATE(A1446, ""de"", ""en"")"),"in front")</f>
        <v>in front</v>
      </c>
    </row>
    <row r="1447">
      <c r="A1447" s="1" t="s">
        <v>1447</v>
      </c>
      <c r="B1447" s="2" t="str">
        <f>IFERROR(__xludf.DUMMYFUNCTION("GOOGLETRANSLATE(A1447, ""de"", ""en"")"),"stop")</f>
        <v>stop</v>
      </c>
    </row>
    <row r="1448">
      <c r="A1448" s="1" t="s">
        <v>1448</v>
      </c>
      <c r="B1448" s="2" t="str">
        <f>IFERROR(__xludf.DUMMYFUNCTION("GOOGLETRANSLATE(A1448, ""de"", ""en"")"),"bad")</f>
        <v>bad</v>
      </c>
    </row>
    <row r="1449">
      <c r="A1449" s="1" t="s">
        <v>1449</v>
      </c>
      <c r="B1449" s="2" t="str">
        <f>IFERROR(__xludf.DUMMYFUNCTION("GOOGLETRANSLATE(A1449, ""de"", ""en"")"),"slut")</f>
        <v>slut</v>
      </c>
    </row>
    <row r="1450">
      <c r="A1450" s="1" t="s">
        <v>1450</v>
      </c>
      <c r="B1450" s="2" t="str">
        <f>IFERROR(__xludf.DUMMYFUNCTION("GOOGLETRANSLATE(A1450, ""de"", ""en"")"),"more beautiful")</f>
        <v>more beautiful</v>
      </c>
    </row>
    <row r="1451">
      <c r="A1451" s="1" t="s">
        <v>1451</v>
      </c>
      <c r="B1451" s="2" t="str">
        <f>IFERROR(__xludf.DUMMYFUNCTION("GOOGLETRANSLATE(A1451, ""de"", ""en"")"),"address")</f>
        <v>address</v>
      </c>
    </row>
    <row r="1452">
      <c r="A1452" s="1" t="s">
        <v>1452</v>
      </c>
      <c r="B1452" s="2" t="str">
        <f>IFERROR(__xludf.DUMMYFUNCTION("GOOGLETRANSLATE(A1452, ""de"", ""en"")"),"nonsense")</f>
        <v>nonsense</v>
      </c>
    </row>
    <row r="1453">
      <c r="A1453" s="1" t="s">
        <v>1453</v>
      </c>
      <c r="B1453" s="2" t="str">
        <f>IFERROR(__xludf.DUMMYFUNCTION("GOOGLETRANSLATE(A1453, ""de"", ""en"")"),"knife")</f>
        <v>knife</v>
      </c>
    </row>
    <row r="1454">
      <c r="A1454" s="1" t="s">
        <v>1454</v>
      </c>
      <c r="B1454" s="2" t="str">
        <f>IFERROR(__xludf.DUMMYFUNCTION("GOOGLETRANSLATE(A1454, ""de"", ""en"")"),"healthy")</f>
        <v>healthy</v>
      </c>
    </row>
    <row r="1455">
      <c r="A1455" s="1" t="s">
        <v>1455</v>
      </c>
      <c r="B1455" s="2" t="str">
        <f>IFERROR(__xludf.DUMMYFUNCTION("GOOGLETRANSLATE(A1455, ""de"", ""en"")"),"respect")</f>
        <v>respect</v>
      </c>
    </row>
    <row r="1456">
      <c r="A1456" s="1" t="s">
        <v>1456</v>
      </c>
      <c r="B1456" s="2" t="str">
        <f>IFERROR(__xludf.DUMMYFUNCTION("GOOGLETRANSLATE(A1456, ""de"", ""en"")"),"per")</f>
        <v>per</v>
      </c>
    </row>
    <row r="1457">
      <c r="A1457" s="1" t="s">
        <v>1457</v>
      </c>
      <c r="B1457" s="2" t="str">
        <f>IFERROR(__xludf.DUMMYFUNCTION("GOOGLETRANSLATE(A1457, ""de"", ""en"")"),"afford")</f>
        <v>afford</v>
      </c>
    </row>
    <row r="1458">
      <c r="A1458" s="1" t="s">
        <v>1458</v>
      </c>
      <c r="B1458" s="2" t="str">
        <f>IFERROR(__xludf.DUMMYFUNCTION("GOOGLETRANSLATE(A1458, ""de"", ""en"")"),"before that")</f>
        <v>before that</v>
      </c>
    </row>
    <row r="1459">
      <c r="A1459" s="1" t="s">
        <v>1459</v>
      </c>
      <c r="B1459" s="2" t="str">
        <f>IFERROR(__xludf.DUMMYFUNCTION("GOOGLETRANSLATE(A1459, ""de"", ""en"")"),"richard")</f>
        <v>richard</v>
      </c>
    </row>
    <row r="1460">
      <c r="A1460" s="1" t="s">
        <v>1460</v>
      </c>
      <c r="B1460" s="2" t="str">
        <f>IFERROR(__xludf.DUMMYFUNCTION("GOOGLETRANSLATE(A1460, ""de"", ""en"")"),"mean")</f>
        <v>mean</v>
      </c>
    </row>
    <row r="1461">
      <c r="A1461" s="1" t="s">
        <v>1461</v>
      </c>
      <c r="B1461" s="2" t="str">
        <f>IFERROR(__xludf.DUMMYFUNCTION("GOOGLETRANSLATE(A1461, ""de"", ""en"")"),"ball")</f>
        <v>ball</v>
      </c>
    </row>
    <row r="1462">
      <c r="A1462" s="1" t="s">
        <v>1462</v>
      </c>
      <c r="B1462" s="2" t="str">
        <f>IFERROR(__xludf.DUMMYFUNCTION("GOOGLETRANSLATE(A1462, ""de"", ""en"")"),"take along")</f>
        <v>take along</v>
      </c>
    </row>
    <row r="1463">
      <c r="A1463" s="1" t="s">
        <v>1463</v>
      </c>
      <c r="B1463" s="2" t="str">
        <f>IFERROR(__xludf.DUMMYFUNCTION("GOOGLETRANSLATE(A1463, ""de"", ""en"")"),"played")</f>
        <v>played</v>
      </c>
    </row>
    <row r="1464">
      <c r="A1464" s="1" t="s">
        <v>1464</v>
      </c>
      <c r="B1464" s="2" t="str">
        <f>IFERROR(__xludf.DUMMYFUNCTION("GOOGLETRANSLATE(A1464, ""de"", ""en"")"),"to")</f>
        <v>to</v>
      </c>
    </row>
    <row r="1465">
      <c r="A1465" s="1" t="s">
        <v>1465</v>
      </c>
      <c r="B1465" s="2" t="str">
        <f>IFERROR(__xludf.DUMMYFUNCTION("GOOGLETRANSLATE(A1465, ""de"", ""en"")"),"difficulties")</f>
        <v>difficulties</v>
      </c>
    </row>
    <row r="1466">
      <c r="A1466" s="1" t="s">
        <v>1466</v>
      </c>
      <c r="B1466" s="2" t="str">
        <f>IFERROR(__xludf.DUMMYFUNCTION("GOOGLETRANSLATE(A1466, ""de"", ""en"")"),"half")</f>
        <v>half</v>
      </c>
    </row>
    <row r="1467">
      <c r="A1467" s="1" t="s">
        <v>1467</v>
      </c>
      <c r="B1467" s="2" t="str">
        <f>IFERROR(__xludf.DUMMYFUNCTION("GOOGLETRANSLATE(A1467, ""de"", ""en"")"),"knew")</f>
        <v>knew</v>
      </c>
    </row>
    <row r="1468">
      <c r="A1468" s="1" t="s">
        <v>1468</v>
      </c>
      <c r="B1468" s="2" t="str">
        <f>IFERROR(__xludf.DUMMYFUNCTION("GOOGLETRANSLATE(A1468, ""de"", ""en"")"),"stand")</f>
        <v>stand</v>
      </c>
    </row>
    <row r="1469">
      <c r="A1469" s="1" t="s">
        <v>1469</v>
      </c>
      <c r="B1469" s="2" t="str">
        <f>IFERROR(__xludf.DUMMYFUNCTION("GOOGLETRANSLATE(A1469, ""de"", ""en"")"),"Maria")</f>
        <v>Maria</v>
      </c>
    </row>
    <row r="1470">
      <c r="A1470" s="1" t="s">
        <v>1470</v>
      </c>
      <c r="B1470" s="2" t="str">
        <f>IFERROR(__xludf.DUMMYFUNCTION("GOOGLETRANSLATE(A1470, ""de"", ""en"")"),"planets")</f>
        <v>planets</v>
      </c>
    </row>
    <row r="1471">
      <c r="A1471" s="1" t="s">
        <v>1471</v>
      </c>
      <c r="B1471" s="2" t="str">
        <f>IFERROR(__xludf.DUMMYFUNCTION("GOOGLETRANSLATE(A1471, ""de"", ""en"")"),"pregnant")</f>
        <v>pregnant</v>
      </c>
    </row>
    <row r="1472">
      <c r="A1472" s="1" t="s">
        <v>1472</v>
      </c>
      <c r="B1472" s="2" t="str">
        <f>IFERROR(__xludf.DUMMYFUNCTION("GOOGLETRANSLATE(A1472, ""de"", ""en"")"),"group")</f>
        <v>group</v>
      </c>
    </row>
    <row r="1473">
      <c r="A1473" s="1" t="s">
        <v>1473</v>
      </c>
      <c r="B1473" s="2" t="str">
        <f>IFERROR(__xludf.DUMMYFUNCTION("GOOGLETRANSLATE(A1473, ""de"", ""en"")"),"anna")</f>
        <v>anna</v>
      </c>
    </row>
    <row r="1474">
      <c r="A1474" s="1" t="s">
        <v>1474</v>
      </c>
      <c r="B1474" s="2" t="str">
        <f>IFERROR(__xludf.DUMMYFUNCTION("GOOGLETRANSLATE(A1474, ""de"", ""en"")"),"arrested")</f>
        <v>arrested</v>
      </c>
    </row>
    <row r="1475">
      <c r="A1475" s="1" t="s">
        <v>1475</v>
      </c>
      <c r="B1475" s="2" t="str">
        <f>IFERROR(__xludf.DUMMYFUNCTION("GOOGLETRANSLATE(A1475, ""de"", ""en"")"),"deal")</f>
        <v>deal</v>
      </c>
    </row>
    <row r="1476">
      <c r="A1476" s="1" t="s">
        <v>1476</v>
      </c>
      <c r="B1476" s="2" t="str">
        <f>IFERROR(__xludf.DUMMYFUNCTION("GOOGLETRANSLATE(A1476, ""de"", ""en"")"),"his")</f>
        <v>his</v>
      </c>
    </row>
    <row r="1477">
      <c r="A1477" s="1" t="s">
        <v>1477</v>
      </c>
      <c r="B1477" s="2" t="str">
        <f>IFERROR(__xludf.DUMMYFUNCTION("GOOGLETRANSLATE(A1477, ""de"", ""en"")"),"any")</f>
        <v>any</v>
      </c>
    </row>
    <row r="1478">
      <c r="A1478" s="1" t="s">
        <v>1478</v>
      </c>
      <c r="B1478" s="2" t="str">
        <f>IFERROR(__xludf.DUMMYFUNCTION("GOOGLETRANSLATE(A1478, ""de"", ""en"")"),"hands")</f>
        <v>hands</v>
      </c>
    </row>
    <row r="1479">
      <c r="A1479" s="1" t="s">
        <v>1479</v>
      </c>
      <c r="B1479" s="2" t="str">
        <f>IFERROR(__xludf.DUMMYFUNCTION("GOOGLETRANSLATE(A1479, ""de"", ""en"")"),"understands")</f>
        <v>understands</v>
      </c>
    </row>
    <row r="1480">
      <c r="A1480" s="1" t="s">
        <v>1480</v>
      </c>
      <c r="B1480" s="2" t="str">
        <f>IFERROR(__xludf.DUMMYFUNCTION("GOOGLETRANSLATE(A1480, ""de"", ""en"")"),"turn")</f>
        <v>turn</v>
      </c>
    </row>
    <row r="1481">
      <c r="A1481" s="1" t="s">
        <v>1481</v>
      </c>
      <c r="B1481" s="2" t="str">
        <f>IFERROR(__xludf.DUMMYFUNCTION("GOOGLETRANSLATE(A1481, ""de"", ""en"")"),"ice")</f>
        <v>ice</v>
      </c>
    </row>
    <row r="1482">
      <c r="A1482" s="1" t="s">
        <v>1482</v>
      </c>
      <c r="B1482" s="2" t="str">
        <f>IFERROR(__xludf.DUMMYFUNCTION("GOOGLETRANSLATE(A1482, ""de"", ""en"")"),"thank")</f>
        <v>thank</v>
      </c>
    </row>
    <row r="1483">
      <c r="A1483" s="1" t="s">
        <v>1483</v>
      </c>
      <c r="B1483" s="2" t="str">
        <f>IFERROR(__xludf.DUMMYFUNCTION("GOOGLETRANSLATE(A1483, ""de"", ""en"")"),"success")</f>
        <v>success</v>
      </c>
    </row>
    <row r="1484">
      <c r="A1484" s="1" t="s">
        <v>1484</v>
      </c>
      <c r="B1484" s="2" t="str">
        <f>IFERROR(__xludf.DUMMYFUNCTION("GOOGLETRANSLATE(A1484, ""de"", ""en"")"),"satisfied")</f>
        <v>satisfied</v>
      </c>
    </row>
    <row r="1485">
      <c r="A1485" s="1" t="s">
        <v>1485</v>
      </c>
      <c r="B1485" s="2" t="str">
        <f>IFERROR(__xludf.DUMMYFUNCTION("GOOGLETRANSLATE(A1485, ""de"", ""en"")"),"close")</f>
        <v>close</v>
      </c>
    </row>
    <row r="1486">
      <c r="A1486" s="1" t="s">
        <v>1486</v>
      </c>
      <c r="B1486" s="2" t="str">
        <f>IFERROR(__xludf.DUMMYFUNCTION("GOOGLETRANSLATE(A1486, ""de"", ""en"")"),"obtain")</f>
        <v>obtain</v>
      </c>
    </row>
    <row r="1487">
      <c r="A1487" s="1" t="s">
        <v>1487</v>
      </c>
      <c r="B1487" s="2" t="str">
        <f>IFERROR(__xludf.DUMMYFUNCTION("GOOGLETRANSLATE(A1487, ""de"", ""en"")"),"weekend")</f>
        <v>weekend</v>
      </c>
    </row>
    <row r="1488">
      <c r="A1488" s="1" t="s">
        <v>1488</v>
      </c>
      <c r="B1488" s="2" t="str">
        <f>IFERROR(__xludf.DUMMYFUNCTION("GOOGLETRANSLATE(A1488, ""de"", ""en"")"),"about what")</f>
        <v>about what</v>
      </c>
    </row>
    <row r="1489">
      <c r="A1489" s="1" t="s">
        <v>1489</v>
      </c>
      <c r="B1489" s="2" t="str">
        <f>IFERROR(__xludf.DUMMYFUNCTION("GOOGLETRANSLATE(A1489, ""de"", ""en"")"),"voices")</f>
        <v>voices</v>
      </c>
    </row>
    <row r="1490">
      <c r="A1490" s="1" t="s">
        <v>1490</v>
      </c>
      <c r="B1490" s="2" t="str">
        <f>IFERROR(__xludf.DUMMYFUNCTION("GOOGLETRANSLATE(A1490, ""de"", ""en"")"),"take")</f>
        <v>take</v>
      </c>
    </row>
    <row r="1491">
      <c r="A1491" s="1" t="s">
        <v>1491</v>
      </c>
      <c r="B1491" s="2" t="str">
        <f>IFERROR(__xludf.DUMMYFUNCTION("GOOGLETRANSLATE(A1491, ""de"", ""en"")"),"martin")</f>
        <v>martin</v>
      </c>
    </row>
    <row r="1492">
      <c r="A1492" s="1" t="s">
        <v>1492</v>
      </c>
      <c r="B1492" s="2" t="str">
        <f>IFERROR(__xludf.DUMMYFUNCTION("GOOGLETRANSLATE(A1492, ""de"", ""en"")"),"m")</f>
        <v>m</v>
      </c>
    </row>
    <row r="1493">
      <c r="A1493" s="1" t="s">
        <v>1493</v>
      </c>
      <c r="B1493" s="2" t="str">
        <f>IFERROR(__xludf.DUMMYFUNCTION("GOOGLETRANSLATE(A1493, ""de"", ""en"")"),"jokes")</f>
        <v>jokes</v>
      </c>
    </row>
    <row r="1494">
      <c r="A1494" s="1" t="s">
        <v>1494</v>
      </c>
      <c r="B1494" s="2" t="str">
        <f>IFERROR(__xludf.DUMMYFUNCTION("GOOGLETRANSLATE(A1494, ""de"", ""en"")"),"legs")</f>
        <v>legs</v>
      </c>
    </row>
    <row r="1495">
      <c r="A1495" s="1" t="s">
        <v>1495</v>
      </c>
      <c r="B1495" s="2" t="str">
        <f>IFERROR(__xludf.DUMMYFUNCTION("GOOGLETRANSLATE(A1495, ""de"", ""en"")"),"crime")</f>
        <v>crime</v>
      </c>
    </row>
    <row r="1496">
      <c r="A1496" s="1" t="s">
        <v>1496</v>
      </c>
      <c r="B1496" s="2" t="str">
        <f>IFERROR(__xludf.DUMMYFUNCTION("GOOGLETRANSLATE(A1496, ""de"", ""en"")"),"report")</f>
        <v>report</v>
      </c>
    </row>
    <row r="1497">
      <c r="A1497" s="1" t="s">
        <v>1497</v>
      </c>
      <c r="B1497" s="2" t="str">
        <f>IFERROR(__xludf.DUMMYFUNCTION("GOOGLETRANSLATE(A1497, ""de"", ""en"")"),"at night")</f>
        <v>at night</v>
      </c>
    </row>
    <row r="1498">
      <c r="A1498" s="1" t="s">
        <v>1498</v>
      </c>
      <c r="B1498" s="2" t="str">
        <f>IFERROR(__xludf.DUMMYFUNCTION("GOOGLETRANSLATE(A1498, ""de"", ""en"")"),"yours")</f>
        <v>yours</v>
      </c>
    </row>
    <row r="1499">
      <c r="A1499" s="1" t="s">
        <v>1499</v>
      </c>
      <c r="B1499" s="2" t="str">
        <f>IFERROR(__xludf.DUMMYFUNCTION("GOOGLETRANSLATE(A1499, ""de"", ""en"")"),"princess")</f>
        <v>princess</v>
      </c>
    </row>
    <row r="1500">
      <c r="A1500" s="1" t="s">
        <v>1500</v>
      </c>
      <c r="B1500" s="2" t="str">
        <f>IFERROR(__xludf.DUMMYFUNCTION("GOOGLETRANSLATE(A1500, ""de"", ""en"")"),"pain")</f>
        <v>pain</v>
      </c>
    </row>
    <row r="1501">
      <c r="A1501" s="1" t="s">
        <v>1501</v>
      </c>
      <c r="B1501" s="2" t="str">
        <f>IFERROR(__xludf.DUMMYFUNCTION("GOOGLETRANSLATE(A1501, ""de"", ""en"")"),"rings")</f>
        <v>rings</v>
      </c>
    </row>
    <row r="1502">
      <c r="A1502" s="1" t="s">
        <v>1502</v>
      </c>
      <c r="B1502" s="2" t="str">
        <f>IFERROR(__xludf.DUMMYFUNCTION("GOOGLETRANSLATE(A1502, ""de"", ""en"")"),"position")</f>
        <v>position</v>
      </c>
    </row>
    <row r="1503">
      <c r="A1503" s="1" t="s">
        <v>1503</v>
      </c>
      <c r="B1503" s="2" t="str">
        <f>IFERROR(__xludf.DUMMYFUNCTION("GOOGLETRANSLATE(A1503, ""de"", ""en"")"),"real")</f>
        <v>real</v>
      </c>
    </row>
    <row r="1504">
      <c r="A1504" s="1" t="s">
        <v>1504</v>
      </c>
      <c r="B1504" s="2" t="str">
        <f>IFERROR(__xludf.DUMMYFUNCTION("GOOGLETRANSLATE(A1504, ""de"", ""en"")"),"same")</f>
        <v>same</v>
      </c>
    </row>
    <row r="1505">
      <c r="A1505" s="1" t="s">
        <v>1505</v>
      </c>
      <c r="B1505" s="2" t="str">
        <f>IFERROR(__xludf.DUMMYFUNCTION("GOOGLETRANSLATE(A1505, ""de"", ""en"")"),"TV")</f>
        <v>TV</v>
      </c>
    </row>
    <row r="1506">
      <c r="A1506" s="1" t="s">
        <v>1506</v>
      </c>
      <c r="B1506" s="2" t="str">
        <f>IFERROR(__xludf.DUMMYFUNCTION("GOOGLETRANSLATE(A1506, ""de"", ""en"")"),"wishes")</f>
        <v>wishes</v>
      </c>
    </row>
    <row r="1507">
      <c r="A1507" s="1" t="s">
        <v>1507</v>
      </c>
      <c r="B1507" s="2" t="str">
        <f>IFERROR(__xludf.DUMMYFUNCTION("GOOGLETRANSLATE(A1507, ""de"", ""en"")"),"finally")</f>
        <v>finally</v>
      </c>
    </row>
    <row r="1508">
      <c r="A1508" s="1" t="s">
        <v>1508</v>
      </c>
      <c r="B1508" s="2" t="str">
        <f>IFERROR(__xludf.DUMMYFUNCTION("GOOGLETRANSLATE(A1508, ""de"", ""en"")"),"caught")</f>
        <v>caught</v>
      </c>
    </row>
    <row r="1509">
      <c r="A1509" s="1" t="s">
        <v>1509</v>
      </c>
      <c r="B1509" s="2" t="str">
        <f>IFERROR(__xludf.DUMMYFUNCTION("GOOGLETRANSLATE(A1509, ""de"", ""en"")"),"baby")</f>
        <v>baby</v>
      </c>
    </row>
    <row r="1510">
      <c r="A1510" s="1" t="s">
        <v>1510</v>
      </c>
      <c r="B1510" s="2" t="str">
        <f>IFERROR(__xludf.DUMMYFUNCTION("GOOGLETRANSLATE(A1510, ""de"", ""en"")"),"see")</f>
        <v>see</v>
      </c>
    </row>
    <row r="1511">
      <c r="A1511" s="1" t="s">
        <v>1511</v>
      </c>
      <c r="B1511" s="2" t="str">
        <f>IFERROR(__xludf.DUMMYFUNCTION("GOOGLETRANSLATE(A1511, ""de"", ""en"")"),"difficult")</f>
        <v>difficult</v>
      </c>
    </row>
    <row r="1512">
      <c r="A1512" s="1" t="s">
        <v>1512</v>
      </c>
      <c r="B1512" s="2" t="str">
        <f>IFERROR(__xludf.DUMMYFUNCTION("GOOGLETRANSLATE(A1512, ""de"", ""en"")"),"offer")</f>
        <v>offer</v>
      </c>
    </row>
    <row r="1513">
      <c r="A1513" s="1" t="s">
        <v>1513</v>
      </c>
      <c r="B1513" s="2" t="str">
        <f>IFERROR(__xludf.DUMMYFUNCTION("GOOGLETRANSLATE(A1513, ""de"", ""en"")"),"close")</f>
        <v>close</v>
      </c>
    </row>
    <row r="1514">
      <c r="A1514" s="1" t="s">
        <v>1514</v>
      </c>
      <c r="B1514" s="2" t="str">
        <f>IFERROR(__xludf.DUMMYFUNCTION("GOOGLETRANSLATE(A1514, ""de"", ""en"")"),"Jane")</f>
        <v>Jane</v>
      </c>
    </row>
    <row r="1515">
      <c r="A1515" s="1" t="s">
        <v>1515</v>
      </c>
      <c r="B1515" s="2" t="str">
        <f>IFERROR(__xludf.DUMMYFUNCTION("GOOGLETRANSLATE(A1515, ""de"", ""en"")"),"waited")</f>
        <v>waited</v>
      </c>
    </row>
    <row r="1516">
      <c r="A1516" s="1" t="s">
        <v>1516</v>
      </c>
      <c r="B1516" s="2" t="str">
        <f>IFERROR(__xludf.DUMMYFUNCTION("GOOGLETRANSLATE(A1516, ""de"", ""en"")"),"cares")</f>
        <v>cares</v>
      </c>
    </row>
    <row r="1517">
      <c r="A1517" s="1" t="s">
        <v>1517</v>
      </c>
      <c r="B1517" s="2" t="str">
        <f>IFERROR(__xludf.DUMMYFUNCTION("GOOGLETRANSLATE(A1517, ""de"", ""en"")"),"ring")</f>
        <v>ring</v>
      </c>
    </row>
    <row r="1518">
      <c r="A1518" s="1" t="s">
        <v>1518</v>
      </c>
      <c r="B1518" s="2" t="str">
        <f>IFERROR(__xludf.DUMMYFUNCTION("GOOGLETRANSLATE(A1518, ""de"", ""en"")"),"run")</f>
        <v>run</v>
      </c>
    </row>
    <row r="1519">
      <c r="A1519" s="1" t="s">
        <v>1519</v>
      </c>
      <c r="B1519" s="2" t="str">
        <f>IFERROR(__xludf.DUMMYFUNCTION("GOOGLETRANSLATE(A1519, ""de"", ""en"")"),"song")</f>
        <v>song</v>
      </c>
    </row>
    <row r="1520">
      <c r="A1520" s="1" t="s">
        <v>1520</v>
      </c>
      <c r="B1520" s="2" t="str">
        <f>IFERROR(__xludf.DUMMYFUNCTION("GOOGLETRANSLATE(A1520, ""de"", ""en"")"),"eggs")</f>
        <v>eggs</v>
      </c>
    </row>
    <row r="1521">
      <c r="A1521" s="1" t="s">
        <v>1521</v>
      </c>
      <c r="B1521" s="2" t="str">
        <f>IFERROR(__xludf.DUMMYFUNCTION("GOOGLETRANSLATE(A1521, ""de"", ""en"")"),"which ones")</f>
        <v>which ones</v>
      </c>
    </row>
    <row r="1522">
      <c r="A1522" s="1" t="s">
        <v>1522</v>
      </c>
      <c r="B1522" s="2" t="str">
        <f>IFERROR(__xludf.DUMMYFUNCTION("GOOGLETRANSLATE(A1522, ""de"", ""en"")"),"sorry")</f>
        <v>sorry</v>
      </c>
    </row>
    <row r="1523">
      <c r="A1523" s="1" t="s">
        <v>1523</v>
      </c>
      <c r="B1523" s="2" t="str">
        <f>IFERROR(__xludf.DUMMYFUNCTION("GOOGLETRANSLATE(A1523, ""de"", ""en"")"),"fantastic")</f>
        <v>fantastic</v>
      </c>
    </row>
    <row r="1524">
      <c r="A1524" s="1" t="s">
        <v>1524</v>
      </c>
      <c r="B1524" s="2" t="str">
        <f>IFERROR(__xludf.DUMMYFUNCTION("GOOGLETRANSLATE(A1524, ""de"", ""en"")"),"looks")</f>
        <v>looks</v>
      </c>
    </row>
    <row r="1525">
      <c r="A1525" s="1" t="s">
        <v>1525</v>
      </c>
      <c r="B1525" s="2" t="str">
        <f>IFERROR(__xludf.DUMMYFUNCTION("GOOGLETRANSLATE(A1525, ""de"", ""en"")"),"held")</f>
        <v>held</v>
      </c>
    </row>
    <row r="1526">
      <c r="A1526" s="1" t="s">
        <v>1526</v>
      </c>
      <c r="B1526" s="2" t="str">
        <f>IFERROR(__xludf.DUMMYFUNCTION("GOOGLETRANSLATE(A1526, ""de"", ""en"")"),"fall")</f>
        <v>fall</v>
      </c>
    </row>
    <row r="1527">
      <c r="A1527" s="1" t="s">
        <v>1527</v>
      </c>
      <c r="B1527" s="2" t="str">
        <f>IFERROR(__xludf.DUMMYFUNCTION("GOOGLETRANSLATE(A1527, ""de"", ""en"")"),"drink")</f>
        <v>drink</v>
      </c>
    </row>
    <row r="1528">
      <c r="A1528" s="1" t="s">
        <v>1528</v>
      </c>
      <c r="B1528" s="2" t="str">
        <f>IFERROR(__xludf.DUMMYFUNCTION("GOOGLETRANSLATE(A1528, ""de"", ""en"")"),"island")</f>
        <v>island</v>
      </c>
    </row>
    <row r="1529">
      <c r="A1529" s="1" t="s">
        <v>1529</v>
      </c>
      <c r="B1529" s="2" t="str">
        <f>IFERROR(__xludf.DUMMYFUNCTION("GOOGLETRANSLATE(A1529, ""de"", ""en"")"),"last")</f>
        <v>last</v>
      </c>
    </row>
    <row r="1530">
      <c r="A1530" s="1" t="s">
        <v>1530</v>
      </c>
      <c r="B1530" s="2" t="str">
        <f>IFERROR(__xludf.DUMMYFUNCTION("GOOGLETRANSLATE(A1530, ""de"", ""en"")"),"therefore")</f>
        <v>therefore</v>
      </c>
    </row>
    <row r="1531">
      <c r="A1531" s="1" t="s">
        <v>1531</v>
      </c>
      <c r="B1531" s="2" t="str">
        <f>IFERROR(__xludf.DUMMYFUNCTION("GOOGLETRANSLATE(A1531, ""de"", ""en"")"),"randomly")</f>
        <v>randomly</v>
      </c>
    </row>
    <row r="1532">
      <c r="A1532" s="1" t="s">
        <v>1532</v>
      </c>
      <c r="B1532" s="2" t="str">
        <f>IFERROR(__xludf.DUMMYFUNCTION("GOOGLETRANSLATE(A1532, ""de"", ""en"")"),"village")</f>
        <v>village</v>
      </c>
    </row>
    <row r="1533">
      <c r="A1533" s="1" t="s">
        <v>1533</v>
      </c>
      <c r="B1533" s="2" t="str">
        <f>IFERROR(__xludf.DUMMYFUNCTION("GOOGLETRANSLATE(A1533, ""de"", ""en"")"),"clark")</f>
        <v>clark</v>
      </c>
    </row>
    <row r="1534">
      <c r="A1534" s="1" t="s">
        <v>1534</v>
      </c>
      <c r="B1534" s="2" t="str">
        <f>IFERROR(__xludf.DUMMYFUNCTION("GOOGLETRANSLATE(A1534, ""de"", ""en"")"),"moved")</f>
        <v>moved</v>
      </c>
    </row>
    <row r="1535">
      <c r="A1535" s="1" t="s">
        <v>1535</v>
      </c>
      <c r="B1535" s="2" t="str">
        <f>IFERROR(__xludf.DUMMYFUNCTION("GOOGLETRANSLATE(A1535, ""de"", ""en"")"),"middle")</f>
        <v>middle</v>
      </c>
    </row>
    <row r="1536">
      <c r="A1536" s="1" t="s">
        <v>1536</v>
      </c>
      <c r="B1536" s="2" t="str">
        <f>IFERROR(__xludf.DUMMYFUNCTION("GOOGLETRANSLATE(A1536, ""de"", ""en"")"),"bulls")</f>
        <v>bulls</v>
      </c>
    </row>
    <row r="1537">
      <c r="A1537" s="1" t="s">
        <v>1537</v>
      </c>
      <c r="B1537" s="2" t="str">
        <f>IFERROR(__xludf.DUMMYFUNCTION("GOOGLETRANSLATE(A1537, ""de"", ""en"")"),"enemy")</f>
        <v>enemy</v>
      </c>
    </row>
    <row r="1538">
      <c r="A1538" s="1" t="s">
        <v>1538</v>
      </c>
      <c r="B1538" s="2" t="str">
        <f>IFERROR(__xludf.DUMMYFUNCTION("GOOGLETRANSLATE(A1538, ""de"", ""en"")"),"agreed")</f>
        <v>agreed</v>
      </c>
    </row>
    <row r="1539">
      <c r="A1539" s="1" t="s">
        <v>1539</v>
      </c>
      <c r="B1539" s="2" t="str">
        <f>IFERROR(__xludf.DUMMYFUNCTION("GOOGLETRANSLATE(A1539, ""de"", ""en"")"),"newer")</f>
        <v>newer</v>
      </c>
    </row>
    <row r="1540">
      <c r="A1540" s="1" t="s">
        <v>1540</v>
      </c>
      <c r="B1540" s="2" t="str">
        <f>IFERROR(__xludf.DUMMYFUNCTION("GOOGLETRANSLATE(A1540, ""de"", ""en"")"),"build")</f>
        <v>build</v>
      </c>
    </row>
    <row r="1541">
      <c r="A1541" s="1" t="s">
        <v>1541</v>
      </c>
      <c r="B1541" s="2" t="str">
        <f>IFERROR(__xludf.DUMMYFUNCTION("GOOGLETRANSLATE(A1541, ""de"", ""en"")"),"carries")</f>
        <v>carries</v>
      </c>
    </row>
    <row r="1542">
      <c r="A1542" s="1" t="s">
        <v>1542</v>
      </c>
      <c r="B1542" s="2" t="str">
        <f>IFERROR(__xludf.DUMMYFUNCTION("GOOGLETRANSLATE(A1542, ""de"", ""en"")"),"hang")</f>
        <v>hang</v>
      </c>
    </row>
    <row r="1543">
      <c r="A1543" s="1" t="s">
        <v>1543</v>
      </c>
      <c r="B1543" s="2" t="str">
        <f>IFERROR(__xludf.DUMMYFUNCTION("GOOGLETRANSLATE(A1543, ""de"", ""en"")"),"friends")</f>
        <v>friends</v>
      </c>
    </row>
    <row r="1544">
      <c r="A1544" s="1" t="s">
        <v>1544</v>
      </c>
      <c r="B1544" s="2" t="str">
        <f>IFERROR(__xludf.DUMMYFUNCTION("GOOGLETRANSLATE(A1544, ""de"", ""en"")"),"whose")</f>
        <v>whose</v>
      </c>
    </row>
    <row r="1545">
      <c r="A1545" s="1" t="s">
        <v>1545</v>
      </c>
      <c r="B1545" s="2" t="str">
        <f>IFERROR(__xludf.DUMMYFUNCTION("GOOGLETRANSLATE(A1545, ""de"", ""en"")"),"half")</f>
        <v>half</v>
      </c>
    </row>
    <row r="1546">
      <c r="A1546" s="1" t="s">
        <v>1546</v>
      </c>
      <c r="B1546" s="2" t="str">
        <f>IFERROR(__xludf.DUMMYFUNCTION("GOOGLETRANSLATE(A1546, ""de"", ""en"")"),"missed")</f>
        <v>missed</v>
      </c>
    </row>
    <row r="1547">
      <c r="A1547" s="1" t="s">
        <v>1547</v>
      </c>
      <c r="B1547" s="2" t="str">
        <f>IFERROR(__xludf.DUMMYFUNCTION("GOOGLETRANSLATE(A1547, ""de"", ""en"")"),"spoke")</f>
        <v>spoke</v>
      </c>
    </row>
    <row r="1548">
      <c r="A1548" s="1" t="s">
        <v>1548</v>
      </c>
      <c r="B1548" s="2" t="str">
        <f>IFERROR(__xludf.DUMMYFUNCTION("GOOGLETRANSLATE(A1548, ""de"", ""en"")"),"quiet")</f>
        <v>quiet</v>
      </c>
    </row>
    <row r="1549">
      <c r="A1549" s="1" t="s">
        <v>1549</v>
      </c>
      <c r="B1549" s="2" t="str">
        <f>IFERROR(__xludf.DUMMYFUNCTION("GOOGLETRANSLATE(A1549, ""de"", ""en"")"),"poor")</f>
        <v>poor</v>
      </c>
    </row>
    <row r="1550">
      <c r="A1550" s="1" t="s">
        <v>1550</v>
      </c>
      <c r="B1550" s="2" t="str">
        <f>IFERROR(__xludf.DUMMYFUNCTION("GOOGLETRANSLATE(A1550, ""de"", ""en"")"),"you knew")</f>
        <v>you knew</v>
      </c>
    </row>
    <row r="1551">
      <c r="A1551" s="1" t="s">
        <v>1551</v>
      </c>
      <c r="B1551" s="2" t="str">
        <f>IFERROR(__xludf.DUMMYFUNCTION("GOOGLETRANSLATE(A1551, ""de"", ""en"")"),"found")</f>
        <v>found</v>
      </c>
    </row>
    <row r="1552">
      <c r="A1552" s="1" t="s">
        <v>1552</v>
      </c>
      <c r="B1552" s="2" t="str">
        <f>IFERROR(__xludf.DUMMYFUNCTION("GOOGLETRANSLATE(A1552, ""de"", ""en"")"),"company")</f>
        <v>company</v>
      </c>
    </row>
    <row r="1553">
      <c r="A1553" s="1" t="s">
        <v>1553</v>
      </c>
      <c r="B1553" s="2" t="str">
        <f>IFERROR(__xludf.DUMMYFUNCTION("GOOGLETRANSLATE(A1553, ""de"", ""en"")"),"dreams")</f>
        <v>dreams</v>
      </c>
    </row>
    <row r="1554">
      <c r="A1554" s="1" t="s">
        <v>1554</v>
      </c>
      <c r="B1554" s="2" t="str">
        <f>IFERROR(__xludf.DUMMYFUNCTION("GOOGLETRANSLATE(A1554, ""de"", ""en"")"),"sleeps")</f>
        <v>sleeps</v>
      </c>
    </row>
    <row r="1555">
      <c r="A1555" s="1" t="s">
        <v>1555</v>
      </c>
      <c r="B1555" s="2" t="str">
        <f>IFERROR(__xludf.DUMMYFUNCTION("GOOGLETRANSLATE(A1555, ""de"", ""en"")"),"costs")</f>
        <v>costs</v>
      </c>
    </row>
    <row r="1556">
      <c r="A1556" s="1" t="s">
        <v>1556</v>
      </c>
      <c r="B1556" s="2" t="str">
        <f>IFERROR(__xludf.DUMMYFUNCTION("GOOGLETRANSLATE(A1556, ""de"", ""en"")"),"games")</f>
        <v>games</v>
      </c>
    </row>
    <row r="1557">
      <c r="A1557" s="1" t="s">
        <v>1557</v>
      </c>
      <c r="B1557" s="2" t="str">
        <f>IFERROR(__xludf.DUMMYFUNCTION("GOOGLETRANSLATE(A1557, ""de"", ""en"")"),"ours")</f>
        <v>ours</v>
      </c>
    </row>
    <row r="1558">
      <c r="A1558" s="1" t="s">
        <v>1558</v>
      </c>
      <c r="B1558" s="2" t="str">
        <f>IFERROR(__xludf.DUMMYFUNCTION("GOOGLETRANSLATE(A1558, ""de"", ""en"")"),"along")</f>
        <v>along</v>
      </c>
    </row>
    <row r="1559">
      <c r="A1559" s="1" t="s">
        <v>1559</v>
      </c>
      <c r="B1559" s="2" t="str">
        <f>IFERROR(__xludf.DUMMYFUNCTION("GOOGLETRANSLATE(A1559, ""de"", ""en"")"),"Johnny")</f>
        <v>Johnny</v>
      </c>
    </row>
    <row r="1560">
      <c r="A1560" s="1" t="s">
        <v>1560</v>
      </c>
      <c r="B1560" s="2" t="str">
        <f>IFERROR(__xludf.DUMMYFUNCTION("GOOGLETRANSLATE(A1560, ""de"", ""en"")"),"promise")</f>
        <v>promise</v>
      </c>
    </row>
    <row r="1561">
      <c r="A1561" s="1" t="s">
        <v>1561</v>
      </c>
      <c r="B1561" s="2" t="str">
        <f>IFERROR(__xludf.DUMMYFUNCTION("GOOGLETRANSLATE(A1561, ""de"", ""en"")"),"animals")</f>
        <v>animals</v>
      </c>
    </row>
    <row r="1562">
      <c r="A1562" s="1" t="s">
        <v>1562</v>
      </c>
      <c r="B1562" s="2" t="str">
        <f>IFERROR(__xludf.DUMMYFUNCTION("GOOGLETRANSLATE(A1562, ""de"", ""en"")"),"freedom")</f>
        <v>freedom</v>
      </c>
    </row>
    <row r="1563">
      <c r="A1563" s="1" t="s">
        <v>1563</v>
      </c>
      <c r="B1563" s="2" t="str">
        <f>IFERROR(__xludf.DUMMYFUNCTION("GOOGLETRANSLATE(A1563, ""de"", ""en"")"),"earn")</f>
        <v>earn</v>
      </c>
    </row>
    <row r="1564">
      <c r="A1564" s="1" t="s">
        <v>1564</v>
      </c>
      <c r="B1564" s="2" t="str">
        <f>IFERROR(__xludf.DUMMYFUNCTION("GOOGLETRANSLATE(A1564, ""de"", ""en"")"),"Aha")</f>
        <v>Aha</v>
      </c>
    </row>
    <row r="1565">
      <c r="A1565" s="1" t="s">
        <v>1565</v>
      </c>
      <c r="B1565" s="2" t="str">
        <f>IFERROR(__xludf.DUMMYFUNCTION("GOOGLETRANSLATE(A1565, ""de"", ""en"")"),"entertain")</f>
        <v>entertain</v>
      </c>
    </row>
    <row r="1566">
      <c r="A1566" s="1" t="s">
        <v>1566</v>
      </c>
      <c r="B1566" s="2" t="str">
        <f>IFERROR(__xludf.DUMMYFUNCTION("GOOGLETRANSLATE(A1566, ""de"", ""en"")"),"invited")</f>
        <v>invited</v>
      </c>
    </row>
    <row r="1567">
      <c r="A1567" s="1" t="s">
        <v>1567</v>
      </c>
      <c r="B1567" s="2" t="str">
        <f>IFERROR(__xludf.DUMMYFUNCTION("GOOGLETRANSLATE(A1567, ""de"", ""en"")"),"damage")</f>
        <v>damage</v>
      </c>
    </row>
    <row r="1568">
      <c r="A1568" s="1" t="s">
        <v>1568</v>
      </c>
      <c r="B1568" s="2" t="str">
        <f>IFERROR(__xludf.DUMMYFUNCTION("GOOGLETRANSLATE(A1568, ""de"", ""en"")"),"called")</f>
        <v>called</v>
      </c>
    </row>
    <row r="1569">
      <c r="A1569" s="1" t="s">
        <v>1569</v>
      </c>
      <c r="B1569" s="2" t="str">
        <f>IFERROR(__xludf.DUMMYFUNCTION("GOOGLETRANSLATE(A1569, ""de"", ""en"")"),"finish")</f>
        <v>finish</v>
      </c>
    </row>
    <row r="1570">
      <c r="A1570" s="1" t="s">
        <v>1570</v>
      </c>
      <c r="B1570" s="2" t="str">
        <f>IFERROR(__xludf.DUMMYFUNCTION("GOOGLETRANSLATE(A1570, ""de"", ""en"")"),"ray")</f>
        <v>ray</v>
      </c>
    </row>
    <row r="1571">
      <c r="A1571" s="1" t="s">
        <v>1571</v>
      </c>
      <c r="B1571" s="2" t="str">
        <f>IFERROR(__xludf.DUMMYFUNCTION("GOOGLETRANSLATE(A1571, ""de"", ""en"")"),"changed")</f>
        <v>changed</v>
      </c>
    </row>
    <row r="1572">
      <c r="A1572" s="1" t="s">
        <v>1572</v>
      </c>
      <c r="B1572" s="2" t="str">
        <f>IFERROR(__xludf.DUMMYFUNCTION("GOOGLETRANSLATE(A1572, ""de"", ""en"")"),"thomas")</f>
        <v>thomas</v>
      </c>
    </row>
    <row r="1573">
      <c r="A1573" s="1" t="s">
        <v>1573</v>
      </c>
      <c r="B1573" s="2" t="str">
        <f>IFERROR(__xludf.DUMMYFUNCTION("GOOGLETRANSLATE(A1573, ""de"", ""en"")"),"ridiculous")</f>
        <v>ridiculous</v>
      </c>
    </row>
    <row r="1574">
      <c r="A1574" s="1" t="s">
        <v>1574</v>
      </c>
      <c r="B1574" s="2" t="str">
        <f>IFERROR(__xludf.DUMMYFUNCTION("GOOGLETRANSLATE(A1574, ""de"", ""en"")"),"beaten")</f>
        <v>beaten</v>
      </c>
    </row>
    <row r="1575">
      <c r="A1575" s="1" t="s">
        <v>1575</v>
      </c>
      <c r="B1575" s="2" t="str">
        <f>IFERROR(__xludf.DUMMYFUNCTION("GOOGLETRANSLATE(A1575, ""de"", ""en"")"),"park")</f>
        <v>park</v>
      </c>
    </row>
    <row r="1576">
      <c r="A1576" s="1" t="s">
        <v>1576</v>
      </c>
      <c r="B1576" s="2" t="str">
        <f>IFERROR(__xludf.DUMMYFUNCTION("GOOGLETRANSLATE(A1576, ""de"", ""en"")"),"treasure")</f>
        <v>treasure</v>
      </c>
    </row>
    <row r="1577">
      <c r="A1577" s="1" t="s">
        <v>1577</v>
      </c>
      <c r="B1577" s="2" t="str">
        <f>IFERROR(__xludf.DUMMYFUNCTION("GOOGLETRANSLATE(A1577, ""de"", ""en"")"),"men")</f>
        <v>men</v>
      </c>
    </row>
    <row r="1578">
      <c r="A1578" s="1" t="s">
        <v>1578</v>
      </c>
      <c r="B1578" s="2" t="str">
        <f>IFERROR(__xludf.DUMMYFUNCTION("GOOGLETRANSLATE(A1578, ""de"", ""en"")"),"t")</f>
        <v>t</v>
      </c>
    </row>
    <row r="1579">
      <c r="A1579" s="1" t="s">
        <v>1579</v>
      </c>
      <c r="B1579" s="2" t="str">
        <f>IFERROR(__xludf.DUMMYFUNCTION("GOOGLETRANSLATE(A1579, ""de"", ""en"")"),"begins")</f>
        <v>begins</v>
      </c>
    </row>
    <row r="1580">
      <c r="A1580" s="1" t="s">
        <v>1580</v>
      </c>
      <c r="B1580" s="2" t="str">
        <f>IFERROR(__xludf.DUMMYFUNCTION("GOOGLETRANSLATE(A1580, ""de"", ""en"")"),"honor")</f>
        <v>honor</v>
      </c>
    </row>
    <row r="1581">
      <c r="A1581" s="1" t="s">
        <v>1581</v>
      </c>
      <c r="B1581" s="2" t="str">
        <f>IFERROR(__xludf.DUMMYFUNCTION("GOOGLETRANSLATE(A1581, ""de"", ""en"")"),"largest")</f>
        <v>largest</v>
      </c>
    </row>
    <row r="1582">
      <c r="A1582" s="1" t="s">
        <v>1582</v>
      </c>
      <c r="B1582" s="2" t="str">
        <f>IFERROR(__xludf.DUMMYFUNCTION("GOOGLETRANSLATE(A1582, ""de"", ""en"")"),"energy")</f>
        <v>energy</v>
      </c>
    </row>
    <row r="1583">
      <c r="A1583" s="1" t="s">
        <v>1583</v>
      </c>
      <c r="B1583" s="2" t="str">
        <f>IFERROR(__xludf.DUMMYFUNCTION("GOOGLETRANSLATE(A1583, ""de"", ""en"")"),"meat")</f>
        <v>meat</v>
      </c>
    </row>
    <row r="1584">
      <c r="A1584" s="1" t="s">
        <v>1584</v>
      </c>
      <c r="B1584" s="2" t="str">
        <f>IFERROR(__xludf.DUMMYFUNCTION("GOOGLETRANSLATE(A1584, ""de"", ""en"")"),"special")</f>
        <v>special</v>
      </c>
    </row>
    <row r="1585">
      <c r="A1585" s="1" t="s">
        <v>1585</v>
      </c>
      <c r="B1585" s="2" t="str">
        <f>IFERROR(__xludf.DUMMYFUNCTION("GOOGLETRANSLATE(A1585, ""de"", ""en"")"),"consists")</f>
        <v>consists</v>
      </c>
    </row>
    <row r="1586">
      <c r="A1586" s="1" t="s">
        <v>1586</v>
      </c>
      <c r="B1586" s="2" t="str">
        <f>IFERROR(__xludf.DUMMYFUNCTION("GOOGLETRANSLATE(A1586, ""de"", ""en"")"),"are sufficient")</f>
        <v>are sufficient</v>
      </c>
    </row>
    <row r="1587">
      <c r="A1587" s="1" t="s">
        <v>1587</v>
      </c>
      <c r="B1587" s="2" t="str">
        <f>IFERROR(__xludf.DUMMYFUNCTION("GOOGLETRANSLATE(A1587, ""de"", ""en"")"),"Robert")</f>
        <v>Robert</v>
      </c>
    </row>
    <row r="1588">
      <c r="A1588" s="1" t="s">
        <v>1588</v>
      </c>
      <c r="B1588" s="2" t="str">
        <f>IFERROR(__xludf.DUMMYFUNCTION("GOOGLETRANSLATE(A1588, ""de"", ""en"")"),"newspaper")</f>
        <v>newspaper</v>
      </c>
    </row>
    <row r="1589">
      <c r="A1589" s="1" t="s">
        <v>1589</v>
      </c>
      <c r="B1589" s="2" t="str">
        <f>IFERROR(__xludf.DUMMYFUNCTION("GOOGLETRANSLATE(A1589, ""de"", ""en"")"),"what about")</f>
        <v>what about</v>
      </c>
    </row>
    <row r="1590">
      <c r="A1590" s="1" t="s">
        <v>1590</v>
      </c>
      <c r="B1590" s="2" t="str">
        <f>IFERROR(__xludf.DUMMYFUNCTION("GOOGLETRANSLATE(A1590, ""de"", ""en"")"),"thought about")</f>
        <v>thought about</v>
      </c>
    </row>
    <row r="1591">
      <c r="A1591" s="1" t="s">
        <v>1591</v>
      </c>
      <c r="B1591" s="2" t="str">
        <f>IFERROR(__xludf.DUMMYFUNCTION("GOOGLETRANSLATE(A1591, ""de"", ""en"")"),"drunk")</f>
        <v>drunk</v>
      </c>
    </row>
    <row r="1592">
      <c r="A1592" s="1" t="s">
        <v>1592</v>
      </c>
      <c r="B1592" s="2" t="str">
        <f>IFERROR(__xludf.DUMMYFUNCTION("GOOGLETRANSLATE(A1592, ""de"", ""en"")"),"like this")</f>
        <v>like this</v>
      </c>
    </row>
    <row r="1593">
      <c r="A1593" s="1" t="s">
        <v>1593</v>
      </c>
      <c r="B1593" s="2" t="str">
        <f>IFERROR(__xludf.DUMMYFUNCTION("GOOGLETRANSLATE(A1593, ""de"", ""en"")"),"patients")</f>
        <v>patients</v>
      </c>
    </row>
    <row r="1594">
      <c r="A1594" s="1" t="s">
        <v>1594</v>
      </c>
      <c r="B1594" s="2" t="str">
        <f>IFERROR(__xludf.DUMMYFUNCTION("GOOGLETRANSLATE(A1594, ""de"", ""en"")"),"conversation")</f>
        <v>conversation</v>
      </c>
    </row>
    <row r="1595">
      <c r="A1595" s="1" t="s">
        <v>1595</v>
      </c>
      <c r="B1595" s="2" t="str">
        <f>IFERROR(__xludf.DUMMYFUNCTION("GOOGLETRANSLATE(A1595, ""de"", ""en"")"),"suffer")</f>
        <v>suffer</v>
      </c>
    </row>
    <row r="1596">
      <c r="A1596" s="1" t="s">
        <v>1596</v>
      </c>
      <c r="B1596" s="2" t="str">
        <f>IFERROR(__xludf.DUMMYFUNCTION("GOOGLETRANSLATE(A1596, ""de"", ""en"")"),"taxi")</f>
        <v>taxi</v>
      </c>
    </row>
    <row r="1597">
      <c r="A1597" s="1" t="s">
        <v>1597</v>
      </c>
      <c r="B1597" s="2" t="str">
        <f>IFERROR(__xludf.DUMMYFUNCTION("GOOGLETRANSLATE(A1597, ""de"", ""en"")"),"kills")</f>
        <v>kills</v>
      </c>
    </row>
    <row r="1598">
      <c r="A1598" s="1" t="s">
        <v>1598</v>
      </c>
      <c r="B1598" s="2" t="str">
        <f>IFERROR(__xludf.DUMMYFUNCTION("GOOGLETRANSLATE(A1598, ""de"", ""en"")"),"lake")</f>
        <v>lake</v>
      </c>
    </row>
    <row r="1599">
      <c r="A1599" s="1" t="s">
        <v>1599</v>
      </c>
      <c r="B1599" s="2" t="str">
        <f>IFERROR(__xludf.DUMMYFUNCTION("GOOGLETRANSLATE(A1599, ""de"", ""en"")"),"difference")</f>
        <v>difference</v>
      </c>
    </row>
    <row r="1600">
      <c r="A1600" s="1" t="s">
        <v>1600</v>
      </c>
      <c r="B1600" s="2" t="str">
        <f>IFERROR(__xludf.DUMMYFUNCTION("GOOGLETRANSLATE(A1600, ""de"", ""en"")"),"wind")</f>
        <v>wind</v>
      </c>
    </row>
    <row r="1601">
      <c r="A1601" s="1" t="s">
        <v>1601</v>
      </c>
      <c r="B1601" s="2" t="str">
        <f>IFERROR(__xludf.DUMMYFUNCTION("GOOGLETRANSLATE(A1601, ""de"", ""en"")"),"sings")</f>
        <v>sings</v>
      </c>
    </row>
    <row r="1602">
      <c r="A1602" s="1" t="s">
        <v>1602</v>
      </c>
      <c r="B1602" s="2" t="str">
        <f>IFERROR(__xludf.DUMMYFUNCTION("GOOGLETRANSLATE(A1602, ""de"", ""en"")"),"scream")</f>
        <v>scream</v>
      </c>
    </row>
    <row r="1603">
      <c r="A1603" s="1" t="s">
        <v>1603</v>
      </c>
      <c r="B1603" s="2" t="str">
        <f>IFERROR(__xludf.DUMMYFUNCTION("GOOGLETRANSLATE(A1603, ""de"", ""en"")"),"Daniel")</f>
        <v>Daniel</v>
      </c>
    </row>
    <row r="1604">
      <c r="A1604" s="1" t="s">
        <v>1604</v>
      </c>
      <c r="B1604" s="2" t="str">
        <f>IFERROR(__xludf.DUMMYFUNCTION("GOOGLETRANSLATE(A1604, ""de"", ""en"")"),"saw")</f>
        <v>saw</v>
      </c>
    </row>
    <row r="1605">
      <c r="A1605" s="1" t="s">
        <v>1605</v>
      </c>
      <c r="B1605" s="2" t="str">
        <f>IFERROR(__xludf.DUMMYFUNCTION("GOOGLETRANSLATE(A1605, ""de"", ""en"")"),"wall")</f>
        <v>wall</v>
      </c>
    </row>
    <row r="1606">
      <c r="A1606" s="1" t="s">
        <v>1606</v>
      </c>
      <c r="B1606" s="2" t="str">
        <f>IFERROR(__xludf.DUMMYFUNCTION("GOOGLETRANSLATE(A1606, ""de"", ""en"")"),"bus")</f>
        <v>bus</v>
      </c>
    </row>
    <row r="1607">
      <c r="A1607" s="1" t="s">
        <v>1607</v>
      </c>
      <c r="B1607" s="2" t="str">
        <f>IFERROR(__xludf.DUMMYFUNCTION("GOOGLETRANSLATE(A1607, ""de"", ""en"")"),"yours")</f>
        <v>yours</v>
      </c>
    </row>
    <row r="1608">
      <c r="A1608" s="1" t="s">
        <v>1608</v>
      </c>
      <c r="B1608" s="2" t="str">
        <f>IFERROR(__xludf.DUMMYFUNCTION("GOOGLETRANSLATE(A1608, ""de"", ""en"")"),"attack")</f>
        <v>attack</v>
      </c>
    </row>
    <row r="1609">
      <c r="A1609" s="1" t="s">
        <v>1609</v>
      </c>
      <c r="B1609" s="2" t="str">
        <f>IFERROR(__xludf.DUMMYFUNCTION("GOOGLETRANSLATE(A1609, ""de"", ""en"")"),"behave")</f>
        <v>behave</v>
      </c>
    </row>
    <row r="1610">
      <c r="A1610" s="1" t="s">
        <v>1610</v>
      </c>
      <c r="B1610" s="2" t="str">
        <f>IFERROR(__xludf.DUMMYFUNCTION("GOOGLETRANSLATE(A1610, ""de"", ""en"")"),"hole")</f>
        <v>hole</v>
      </c>
    </row>
    <row r="1611">
      <c r="A1611" s="1" t="s">
        <v>1611</v>
      </c>
      <c r="B1611" s="2" t="str">
        <f>IFERROR(__xludf.DUMMYFUNCTION("GOOGLETRANSLATE(A1611, ""de"", ""en"")"),"interest")</f>
        <v>interest</v>
      </c>
    </row>
    <row r="1612">
      <c r="A1612" s="1" t="s">
        <v>1612</v>
      </c>
      <c r="B1612" s="2" t="str">
        <f>IFERROR(__xludf.DUMMYFUNCTION("GOOGLETRANSLATE(A1612, ""de"", ""en"")"),"step")</f>
        <v>step</v>
      </c>
    </row>
    <row r="1613">
      <c r="A1613" s="1" t="s">
        <v>1613</v>
      </c>
      <c r="B1613" s="2" t="str">
        <f>IFERROR(__xludf.DUMMYFUNCTION("GOOGLETRANSLATE(A1613, ""de"", ""en"")"),"nonsense")</f>
        <v>nonsense</v>
      </c>
    </row>
    <row r="1614">
      <c r="A1614" s="1" t="s">
        <v>1614</v>
      </c>
      <c r="B1614" s="2" t="str">
        <f>IFERROR(__xludf.DUMMYFUNCTION("GOOGLETRANSLATE(A1614, ""de"", ""en"")"),"hits")</f>
        <v>hits</v>
      </c>
    </row>
    <row r="1615">
      <c r="A1615" s="1" t="s">
        <v>1615</v>
      </c>
      <c r="B1615" s="2" t="str">
        <f>IFERROR(__xludf.DUMMYFUNCTION("GOOGLETRANSLATE(A1615, ""de"", ""en"")"),"policeman")</f>
        <v>policeman</v>
      </c>
    </row>
    <row r="1616">
      <c r="A1616" s="1" t="s">
        <v>1616</v>
      </c>
      <c r="B1616" s="2" t="str">
        <f>IFERROR(__xludf.DUMMYFUNCTION("GOOGLETRANSLATE(A1616, ""de"", ""en"")"),"flowers")</f>
        <v>flowers</v>
      </c>
    </row>
    <row r="1617">
      <c r="A1617" s="1" t="s">
        <v>1617</v>
      </c>
      <c r="B1617" s="2" t="str">
        <f>IFERROR(__xludf.DUMMYFUNCTION("GOOGLETRANSLATE(A1617, ""de"", ""en"")"),"news")</f>
        <v>news</v>
      </c>
    </row>
    <row r="1618">
      <c r="A1618" s="1" t="s">
        <v>1618</v>
      </c>
      <c r="B1618" s="2" t="str">
        <f>IFERROR(__xludf.DUMMYFUNCTION("GOOGLETRANSLATE(A1618, ""de"", ""en"")"),"bring")</f>
        <v>bring</v>
      </c>
    </row>
    <row r="1619">
      <c r="A1619" s="1" t="s">
        <v>1619</v>
      </c>
      <c r="B1619" s="2" t="str">
        <f>IFERROR(__xludf.DUMMYFUNCTION("GOOGLETRANSLATE(A1619, ""de"", ""en"")"),"bottle")</f>
        <v>bottle</v>
      </c>
    </row>
    <row r="1620">
      <c r="A1620" s="1" t="s">
        <v>1620</v>
      </c>
      <c r="B1620" s="2" t="str">
        <f>IFERROR(__xludf.DUMMYFUNCTION("GOOGLETRANSLATE(A1620, ""de"", ""en"")"),"shouted")</f>
        <v>shouted</v>
      </c>
    </row>
    <row r="1621">
      <c r="A1621" s="1" t="s">
        <v>1621</v>
      </c>
      <c r="B1621" s="2" t="str">
        <f>IFERROR(__xludf.DUMMYFUNCTION("GOOGLETRANSLATE(A1621, ""de"", ""en"")"),"shot")</f>
        <v>shot</v>
      </c>
    </row>
    <row r="1622">
      <c r="A1622" s="1" t="s">
        <v>1622</v>
      </c>
      <c r="B1622" s="2" t="str">
        <f>IFERROR(__xludf.DUMMYFUNCTION("GOOGLETRANSLATE(A1622, ""de"", ""en"")"),"grasp")</f>
        <v>grasp</v>
      </c>
    </row>
    <row r="1623">
      <c r="A1623" s="1" t="s">
        <v>1623</v>
      </c>
      <c r="B1623" s="2" t="str">
        <f>IFERROR(__xludf.DUMMYFUNCTION("GOOGLETRANSLATE(A1623, ""de"", ""en"")"),"sea")</f>
        <v>sea</v>
      </c>
    </row>
    <row r="1624">
      <c r="A1624" s="1" t="s">
        <v>1624</v>
      </c>
      <c r="B1624" s="2" t="str">
        <f>IFERROR(__xludf.DUMMYFUNCTION("GOOGLETRANSLATE(A1624, ""de"", ""en"")"),"could")</f>
        <v>could</v>
      </c>
    </row>
    <row r="1625">
      <c r="A1625" s="1" t="s">
        <v>1625</v>
      </c>
      <c r="B1625" s="2" t="str">
        <f>IFERROR(__xludf.DUMMYFUNCTION("GOOGLETRANSLATE(A1625, ""de"", ""en"")"),"creates")</f>
        <v>creates</v>
      </c>
    </row>
    <row r="1626">
      <c r="A1626" s="1" t="s">
        <v>1626</v>
      </c>
      <c r="B1626" s="2" t="str">
        <f>IFERROR(__xludf.DUMMYFUNCTION("GOOGLETRANSLATE(A1626, ""de"", ""en"")"),"machine")</f>
        <v>machine</v>
      </c>
    </row>
    <row r="1627">
      <c r="A1627" s="1" t="s">
        <v>1627</v>
      </c>
      <c r="B1627" s="2" t="str">
        <f>IFERROR(__xludf.DUMMYFUNCTION("GOOGLETRANSLATE(A1627, ""de"", ""en"")"),"speak")</f>
        <v>speak</v>
      </c>
    </row>
    <row r="1628">
      <c r="A1628" s="1" t="s">
        <v>1628</v>
      </c>
      <c r="B1628" s="2" t="str">
        <f>IFERROR(__xludf.DUMMYFUNCTION("GOOGLETRANSLATE(A1628, ""de"", ""en"")"),"leg")</f>
        <v>leg</v>
      </c>
    </row>
    <row r="1629">
      <c r="A1629" s="1" t="s">
        <v>1629</v>
      </c>
      <c r="B1629" s="2" t="str">
        <f>IFERROR(__xludf.DUMMYFUNCTION("GOOGLETRANSLATE(A1629, ""de"", ""en"")"),"Eddie")</f>
        <v>Eddie</v>
      </c>
    </row>
    <row r="1630">
      <c r="A1630" s="1" t="s">
        <v>1630</v>
      </c>
      <c r="B1630" s="2" t="str">
        <f>IFERROR(__xludf.DUMMYFUNCTION("GOOGLETRANSLATE(A1630, ""de"", ""en"")"),"get")</f>
        <v>get</v>
      </c>
    </row>
    <row r="1631">
      <c r="A1631" s="1" t="s">
        <v>1631</v>
      </c>
      <c r="B1631" s="2" t="str">
        <f>IFERROR(__xludf.DUMMYFUNCTION("GOOGLETRANSLATE(A1631, ""de"", ""en"")"),"spend")</f>
        <v>spend</v>
      </c>
    </row>
    <row r="1632">
      <c r="A1632" s="1" t="s">
        <v>1632</v>
      </c>
      <c r="B1632" s="2" t="str">
        <f>IFERROR(__xludf.DUMMYFUNCTION("GOOGLETRANSLATE(A1632, ""de"", ""en"")"),"books")</f>
        <v>books</v>
      </c>
    </row>
    <row r="1633">
      <c r="A1633" s="1" t="s">
        <v>1633</v>
      </c>
      <c r="B1633" s="2" t="str">
        <f>IFERROR(__xludf.DUMMYFUNCTION("GOOGLETRANSLATE(A1633, ""de"", ""en"")"),"stupid")</f>
        <v>stupid</v>
      </c>
    </row>
    <row r="1634">
      <c r="A1634" s="1" t="s">
        <v>1634</v>
      </c>
      <c r="B1634" s="2" t="str">
        <f>IFERROR(__xludf.DUMMYFUNCTION("GOOGLETRANSLATE(A1634, ""de"", ""en"")"),"breakfast")</f>
        <v>breakfast</v>
      </c>
    </row>
    <row r="1635">
      <c r="A1635" s="1" t="s">
        <v>1635</v>
      </c>
      <c r="B1635" s="2" t="str">
        <f>IFERROR(__xludf.DUMMYFUNCTION("GOOGLETRANSLATE(A1635, ""de"", ""en"")"),"tommy")</f>
        <v>tommy</v>
      </c>
    </row>
    <row r="1636">
      <c r="A1636" s="1" t="s">
        <v>1636</v>
      </c>
      <c r="B1636" s="2" t="str">
        <f>IFERROR(__xludf.DUMMYFUNCTION("GOOGLETRANSLATE(A1636, ""de"", ""en"")"),"meter")</f>
        <v>meter</v>
      </c>
    </row>
    <row r="1637">
      <c r="A1637" s="1" t="s">
        <v>1637</v>
      </c>
      <c r="B1637" s="2" t="str">
        <f>IFERROR(__xludf.DUMMYFUNCTION("GOOGLETRANSLATE(A1637, ""de"", ""en"")"),"pictures")</f>
        <v>pictures</v>
      </c>
    </row>
    <row r="1638">
      <c r="A1638" s="1" t="s">
        <v>1638</v>
      </c>
      <c r="B1638" s="2" t="str">
        <f>IFERROR(__xludf.DUMMYFUNCTION("GOOGLETRANSLATE(A1638, ""de"", ""en"")"),"watch out")</f>
        <v>watch out</v>
      </c>
    </row>
    <row r="1639">
      <c r="A1639" s="1" t="s">
        <v>1639</v>
      </c>
      <c r="B1639" s="2" t="str">
        <f>IFERROR(__xludf.DUMMYFUNCTION("GOOGLETRANSLATE(A1639, ""de"", ""en"")"),"Claire")</f>
        <v>Claire</v>
      </c>
    </row>
    <row r="1640">
      <c r="A1640" s="1" t="s">
        <v>1640</v>
      </c>
      <c r="B1640" s="2" t="str">
        <f>IFERROR(__xludf.DUMMYFUNCTION("GOOGLETRANSLATE(A1640, ""de"", ""en"")"),"whose")</f>
        <v>whose</v>
      </c>
    </row>
    <row r="1641">
      <c r="A1641" s="1" t="s">
        <v>1641</v>
      </c>
      <c r="B1641" s="2" t="str">
        <f>IFERROR(__xludf.DUMMYFUNCTION("GOOGLETRANSLATE(A1641, ""de"", ""en"")"),"must")</f>
        <v>must</v>
      </c>
    </row>
    <row r="1642">
      <c r="A1642" s="1" t="s">
        <v>1642</v>
      </c>
      <c r="B1642" s="2" t="str">
        <f>IFERROR(__xludf.DUMMYFUNCTION("GOOGLETRANSLATE(A1642, ""de"", ""en"")"),"be happy")</f>
        <v>be happy</v>
      </c>
    </row>
    <row r="1643">
      <c r="A1643" s="1" t="s">
        <v>1643</v>
      </c>
      <c r="B1643" s="2" t="str">
        <f>IFERROR(__xludf.DUMMYFUNCTION("GOOGLETRANSLATE(A1643, ""de"", ""en"")"),"angel")</f>
        <v>angel</v>
      </c>
    </row>
    <row r="1644">
      <c r="A1644" s="1" t="s">
        <v>1644</v>
      </c>
      <c r="B1644" s="2" t="str">
        <f>IFERROR(__xludf.DUMMYFUNCTION("GOOGLETRANSLATE(A1644, ""de"", ""en"")"),"apparently")</f>
        <v>apparently</v>
      </c>
    </row>
    <row r="1645">
      <c r="A1645" s="1" t="s">
        <v>1645</v>
      </c>
      <c r="B1645" s="2" t="str">
        <f>IFERROR(__xludf.DUMMYFUNCTION("GOOGLETRANSLATE(A1645, ""de"", ""en"")"),"opportunity")</f>
        <v>opportunity</v>
      </c>
    </row>
    <row r="1646">
      <c r="A1646" s="1" t="s">
        <v>1646</v>
      </c>
      <c r="B1646" s="2" t="str">
        <f>IFERROR(__xludf.DUMMYFUNCTION("GOOGLETRANSLATE(A1646, ""de"", ""en"")"),"catch")</f>
        <v>catch</v>
      </c>
    </row>
    <row r="1647">
      <c r="A1647" s="1" t="s">
        <v>1647</v>
      </c>
      <c r="B1647" s="2" t="str">
        <f>IFERROR(__xludf.DUMMYFUNCTION("GOOGLETRANSLATE(A1647, ""de"", ""en"")"),"lie")</f>
        <v>lie</v>
      </c>
    </row>
    <row r="1648">
      <c r="A1648" s="1" t="s">
        <v>1648</v>
      </c>
      <c r="B1648" s="2" t="str">
        <f>IFERROR(__xludf.DUMMYFUNCTION("GOOGLETRANSLATE(A1648, ""de"", ""en"")"),"ears")</f>
        <v>ears</v>
      </c>
    </row>
    <row r="1649">
      <c r="A1649" s="1" t="s">
        <v>1649</v>
      </c>
      <c r="B1649" s="2" t="str">
        <f>IFERROR(__xludf.DUMMYFUNCTION("GOOGLETRANSLATE(A1649, ""de"", ""en"")"),"ouch")</f>
        <v>ouch</v>
      </c>
    </row>
    <row r="1650">
      <c r="A1650" s="1" t="s">
        <v>1650</v>
      </c>
      <c r="B1650" s="2" t="str">
        <f>IFERROR(__xludf.DUMMYFUNCTION("GOOGLETRANSLATE(A1650, ""de"", ""en"")"),"impressed")</f>
        <v>impressed</v>
      </c>
    </row>
    <row r="1651">
      <c r="A1651" s="1" t="s">
        <v>1651</v>
      </c>
      <c r="B1651" s="2" t="str">
        <f>IFERROR(__xludf.DUMMYFUNCTION("GOOGLETRANSLATE(A1651, ""de"", ""en"")"),"hurry up")</f>
        <v>hurry up</v>
      </c>
    </row>
    <row r="1652">
      <c r="A1652" s="1" t="s">
        <v>1652</v>
      </c>
      <c r="B1652" s="2" t="str">
        <f>IFERROR(__xludf.DUMMYFUNCTION("GOOGLETRANSLATE(A1652, ""de"", ""en"")"),"break")</f>
        <v>break</v>
      </c>
    </row>
    <row r="1653">
      <c r="A1653" s="1" t="s">
        <v>1653</v>
      </c>
      <c r="B1653" s="2" t="str">
        <f>IFERROR(__xludf.DUMMYFUNCTION("GOOGLETRANSLATE(A1653, ""de"", ""en"")"),"brothers")</f>
        <v>brothers</v>
      </c>
    </row>
    <row r="1654">
      <c r="A1654" s="1" t="s">
        <v>1654</v>
      </c>
      <c r="B1654" s="2" t="str">
        <f>IFERROR(__xludf.DUMMYFUNCTION("GOOGLETRANSLATE(A1654, ""de"", ""en"")"),"time")</f>
        <v>time</v>
      </c>
    </row>
    <row r="1655">
      <c r="A1655" s="1" t="s">
        <v>1655</v>
      </c>
      <c r="B1655" s="2" t="str">
        <f>IFERROR(__xludf.DUMMYFUNCTION("GOOGLETRANSLATE(A1655, ""de"", ""en"")"),"no one")</f>
        <v>no one</v>
      </c>
    </row>
    <row r="1656">
      <c r="A1656" s="1" t="s">
        <v>1656</v>
      </c>
      <c r="B1656" s="2" t="str">
        <f>IFERROR(__xludf.DUMMYFUNCTION("GOOGLETRANSLATE(A1656, ""de"", ""en"")"),"corner")</f>
        <v>corner</v>
      </c>
    </row>
    <row r="1657">
      <c r="A1657" s="1" t="s">
        <v>1657</v>
      </c>
      <c r="B1657" s="2" t="str">
        <f>IFERROR(__xludf.DUMMYFUNCTION("GOOGLETRANSLATE(A1657, ""de"", ""en"")"),"bridge")</f>
        <v>bridge</v>
      </c>
    </row>
    <row r="1658">
      <c r="A1658" s="1" t="s">
        <v>1658</v>
      </c>
      <c r="B1658" s="2" t="str">
        <f>IFERROR(__xludf.DUMMYFUNCTION("GOOGLETRANSLATE(A1658, ""de"", ""en"")"),"pressure")</f>
        <v>pressure</v>
      </c>
    </row>
    <row r="1659">
      <c r="A1659" s="1" t="s">
        <v>1659</v>
      </c>
      <c r="B1659" s="2" t="str">
        <f>IFERROR(__xludf.DUMMYFUNCTION("GOOGLETRANSLATE(A1659, ""de"", ""en"")"),"brought along")</f>
        <v>brought along</v>
      </c>
    </row>
    <row r="1660">
      <c r="A1660" s="1" t="s">
        <v>1660</v>
      </c>
      <c r="B1660" s="2" t="str">
        <f>IFERROR(__xludf.DUMMYFUNCTION("GOOGLETRANSLATE(A1660, ""de"", ""en"")"),"sighs")</f>
        <v>sighs</v>
      </c>
    </row>
    <row r="1661">
      <c r="A1661" s="1" t="s">
        <v>1661</v>
      </c>
      <c r="B1661" s="2" t="str">
        <f>IFERROR(__xludf.DUMMYFUNCTION("GOOGLETRANSLATE(A1661, ""de"", ""en"")"),"date")</f>
        <v>date</v>
      </c>
    </row>
    <row r="1662">
      <c r="A1662" s="1" t="s">
        <v>1662</v>
      </c>
      <c r="B1662" s="2" t="str">
        <f>IFERROR(__xludf.DUMMYFUNCTION("GOOGLETRANSLATE(A1662, ""de"", ""en"")"),"heap")</f>
        <v>heap</v>
      </c>
    </row>
    <row r="1663">
      <c r="A1663" s="1" t="s">
        <v>1663</v>
      </c>
      <c r="B1663" s="2" t="str">
        <f>IFERROR(__xludf.DUMMYFUNCTION("GOOGLETRANSLATE(A1663, ""de"", ""en"")"),"granny")</f>
        <v>granny</v>
      </c>
    </row>
    <row r="1664">
      <c r="A1664" s="1" t="s">
        <v>1664</v>
      </c>
      <c r="B1664" s="2" t="str">
        <f>IFERROR(__xludf.DUMMYFUNCTION("GOOGLETRANSLATE(A1664, ""de"", ""en"")"),"order")</f>
        <v>order</v>
      </c>
    </row>
    <row r="1665">
      <c r="A1665" s="1" t="s">
        <v>1665</v>
      </c>
      <c r="B1665" s="2" t="str">
        <f>IFERROR(__xludf.DUMMYFUNCTION("GOOGLETRANSLATE(A1665, ""de"", ""en"")"),"empty")</f>
        <v>empty</v>
      </c>
    </row>
    <row r="1666">
      <c r="A1666" s="1" t="s">
        <v>1666</v>
      </c>
      <c r="B1666" s="2" t="str">
        <f>IFERROR(__xludf.DUMMYFUNCTION("GOOGLETRANSLATE(A1666, ""de"", ""en"")"),"escape")</f>
        <v>escape</v>
      </c>
    </row>
    <row r="1667">
      <c r="A1667" s="1" t="s">
        <v>1667</v>
      </c>
      <c r="B1667" s="2" t="str">
        <f>IFERROR(__xludf.DUMMYFUNCTION("GOOGLETRANSLATE(A1667, ""de"", ""en"")"),"Bobby")</f>
        <v>Bobby</v>
      </c>
    </row>
    <row r="1668">
      <c r="A1668" s="1" t="s">
        <v>1668</v>
      </c>
      <c r="B1668" s="2" t="str">
        <f>IFERROR(__xludf.DUMMYFUNCTION("GOOGLETRANSLATE(A1668, ""de"", ""en"")"),"white")</f>
        <v>white</v>
      </c>
    </row>
    <row r="1669">
      <c r="A1669" s="1" t="s">
        <v>1669</v>
      </c>
      <c r="B1669" s="2" t="str">
        <f>IFERROR(__xludf.DUMMYFUNCTION("GOOGLETRANSLATE(A1669, ""de"", ""en"")"),"solution")</f>
        <v>solution</v>
      </c>
    </row>
    <row r="1670">
      <c r="A1670" s="1" t="s">
        <v>1670</v>
      </c>
      <c r="B1670" s="2" t="str">
        <f>IFERROR(__xludf.DUMMYFUNCTION("GOOGLETRANSLATE(A1670, ""de"", ""en"")"),"wait")</f>
        <v>wait</v>
      </c>
    </row>
    <row r="1671">
      <c r="A1671" s="1" t="s">
        <v>1671</v>
      </c>
      <c r="B1671" s="2" t="str">
        <f>IFERROR(__xludf.DUMMYFUNCTION("GOOGLETRANSLATE(A1671, ""de"", ""en"")"),"pause")</f>
        <v>pause</v>
      </c>
    </row>
    <row r="1672">
      <c r="A1672" s="1" t="s">
        <v>1672</v>
      </c>
      <c r="B1672" s="2" t="str">
        <f>IFERROR(__xludf.DUMMYFUNCTION("GOOGLETRANSLATE(A1672, ""de"", ""en"")"),"crazy")</f>
        <v>crazy</v>
      </c>
    </row>
    <row r="1673">
      <c r="A1673" s="1" t="s">
        <v>1673</v>
      </c>
      <c r="B1673" s="2" t="str">
        <f>IFERROR(__xludf.DUMMYFUNCTION("GOOGLETRANSLATE(A1673, ""de"", ""en"")"),"placed")</f>
        <v>placed</v>
      </c>
    </row>
    <row r="1674">
      <c r="A1674" s="1" t="s">
        <v>1674</v>
      </c>
      <c r="B1674" s="2" t="str">
        <f>IFERROR(__xludf.DUMMYFUNCTION("GOOGLETRANSLATE(A1674, ""de"", ""en"")"),"cellar")</f>
        <v>cellar</v>
      </c>
    </row>
    <row r="1675">
      <c r="A1675" s="1" t="s">
        <v>1675</v>
      </c>
      <c r="B1675" s="2" t="str">
        <f>IFERROR(__xludf.DUMMYFUNCTION("GOOGLETRANSLATE(A1675, ""de"", ""en"")"),"broken")</f>
        <v>broken</v>
      </c>
    </row>
    <row r="1676">
      <c r="A1676" s="1" t="s">
        <v>1676</v>
      </c>
      <c r="B1676" s="2" t="str">
        <f>IFERROR(__xludf.DUMMYFUNCTION("GOOGLETRANSLATE(A1676, ""de"", ""en"")"),"cry")</f>
        <v>cry</v>
      </c>
    </row>
    <row r="1677">
      <c r="A1677" s="1" t="s">
        <v>1677</v>
      </c>
      <c r="B1677" s="2" t="str">
        <f>IFERROR(__xludf.DUMMYFUNCTION("GOOGLETRANSLATE(A1677, ""de"", ""en"")"),"to use")</f>
        <v>to use</v>
      </c>
    </row>
    <row r="1678">
      <c r="A1678" s="1" t="s">
        <v>1678</v>
      </c>
      <c r="B1678" s="2" t="str">
        <f>IFERROR(__xludf.DUMMYFUNCTION("GOOGLETRANSLATE(A1678, ""de"", ""en"")"),"wish")</f>
        <v>wish</v>
      </c>
    </row>
    <row r="1679">
      <c r="A1679" s="1" t="s">
        <v>1679</v>
      </c>
      <c r="B1679" s="2" t="str">
        <f>IFERROR(__xludf.DUMMYFUNCTION("GOOGLETRANSLATE(A1679, ""de"", ""en"")"),"asks")</f>
        <v>asks</v>
      </c>
    </row>
    <row r="1680">
      <c r="A1680" s="1" t="s">
        <v>1680</v>
      </c>
      <c r="B1680" s="2" t="str">
        <f>IFERROR(__xludf.DUMMYFUNCTION("GOOGLETRANSLATE(A1680, ""de"", ""en"")"),"mouth")</f>
        <v>mouth</v>
      </c>
    </row>
    <row r="1681">
      <c r="A1681" s="1" t="s">
        <v>1681</v>
      </c>
      <c r="B1681" s="2" t="str">
        <f>IFERROR(__xludf.DUMMYFUNCTION("GOOGLETRANSLATE(A1681, ""de"", ""en"")"),"responsibility")</f>
        <v>responsibility</v>
      </c>
    </row>
    <row r="1682">
      <c r="A1682" s="1" t="s">
        <v>1682</v>
      </c>
      <c r="B1682" s="2" t="str">
        <f>IFERROR(__xludf.DUMMYFUNCTION("GOOGLETRANSLATE(A1682, ""de"", ""en"")"),"lock")</f>
        <v>lock</v>
      </c>
    </row>
    <row r="1683">
      <c r="A1683" s="1" t="s">
        <v>1683</v>
      </c>
      <c r="B1683" s="2" t="str">
        <f>IFERROR(__xludf.DUMMYFUNCTION("GOOGLETRANSLATE(A1683, ""de"", ""en"")"),"hat")</f>
        <v>hat</v>
      </c>
    </row>
    <row r="1684">
      <c r="A1684" s="1" t="s">
        <v>1684</v>
      </c>
      <c r="B1684" s="2" t="str">
        <f>IFERROR(__xludf.DUMMYFUNCTION("GOOGLETRANSLATE(A1684, ""de"", ""en"")"),"smile")</f>
        <v>smile</v>
      </c>
    </row>
    <row r="1685">
      <c r="A1685" s="1" t="s">
        <v>1685</v>
      </c>
      <c r="B1685" s="2" t="str">
        <f>IFERROR(__xludf.DUMMYFUNCTION("GOOGLETRANSLATE(A1685, ""de"", ""en"")"),"ryan")</f>
        <v>ryan</v>
      </c>
    </row>
    <row r="1686">
      <c r="A1686" s="1" t="s">
        <v>1686</v>
      </c>
      <c r="B1686" s="2" t="str">
        <f>IFERROR(__xludf.DUMMYFUNCTION("GOOGLETRANSLATE(A1686, ""de"", ""en"")"),"red")</f>
        <v>red</v>
      </c>
    </row>
    <row r="1687">
      <c r="A1687" s="1" t="s">
        <v>1687</v>
      </c>
      <c r="B1687" s="2" t="str">
        <f>IFERROR(__xludf.DUMMYFUNCTION("GOOGLETRANSLATE(A1687, ""de"", ""en"")"),"degree")</f>
        <v>degree</v>
      </c>
    </row>
    <row r="1688">
      <c r="A1688" s="1" t="s">
        <v>1688</v>
      </c>
      <c r="B1688" s="2" t="str">
        <f>IFERROR(__xludf.DUMMYFUNCTION("GOOGLETRANSLATE(A1688, ""de"", ""en"")"),"second")</f>
        <v>second</v>
      </c>
    </row>
    <row r="1689">
      <c r="A1689" s="1" t="s">
        <v>1689</v>
      </c>
      <c r="B1689" s="2" t="str">
        <f>IFERROR(__xludf.DUMMYFUNCTION("GOOGLETRANSLATE(A1689, ""de"", ""en"")"),"out")</f>
        <v>out</v>
      </c>
    </row>
    <row r="1690">
      <c r="A1690" s="1" t="s">
        <v>1690</v>
      </c>
      <c r="B1690" s="2" t="str">
        <f>IFERROR(__xludf.DUMMYFUNCTION("GOOGLETRANSLATE(A1690, ""de"", ""en"")"),"come along")</f>
        <v>come along</v>
      </c>
    </row>
    <row r="1691">
      <c r="A1691" s="1" t="s">
        <v>1691</v>
      </c>
      <c r="B1691" s="2" t="str">
        <f>IFERROR(__xludf.DUMMYFUNCTION("GOOGLETRANSLATE(A1691, ""de"", ""en"")"),"earlier")</f>
        <v>earlier</v>
      </c>
    </row>
    <row r="1692">
      <c r="A1692" s="1" t="s">
        <v>1692</v>
      </c>
      <c r="B1692" s="2" t="str">
        <f>IFERROR(__xludf.DUMMYFUNCTION("GOOGLETRANSLATE(A1692, ""de"", ""en"")"),"drive")</f>
        <v>drive</v>
      </c>
    </row>
    <row r="1693">
      <c r="A1693" s="1" t="s">
        <v>1693</v>
      </c>
      <c r="B1693" s="2" t="str">
        <f>IFERROR(__xludf.DUMMYFUNCTION("GOOGLETRANSLATE(A1693, ""de"", ""en"")"),"meant")</f>
        <v>meant</v>
      </c>
    </row>
    <row r="1694">
      <c r="A1694" s="1" t="s">
        <v>1694</v>
      </c>
      <c r="B1694" s="2" t="str">
        <f>IFERROR(__xludf.DUMMYFUNCTION("GOOGLETRANSLATE(A1694, ""de"", ""en"")"),"seriously")</f>
        <v>seriously</v>
      </c>
    </row>
    <row r="1695">
      <c r="A1695" s="1" t="s">
        <v>1695</v>
      </c>
      <c r="B1695" s="2" t="str">
        <f>IFERROR(__xludf.DUMMYFUNCTION("GOOGLETRANSLATE(A1695, ""de"", ""en"")"),"built")</f>
        <v>built</v>
      </c>
    </row>
    <row r="1696">
      <c r="A1696" s="1" t="s">
        <v>1696</v>
      </c>
      <c r="B1696" s="2" t="str">
        <f>IFERROR(__xludf.DUMMYFUNCTION("GOOGLETRANSLATE(A1696, ""de"", ""en"")"),"bomb")</f>
        <v>bomb</v>
      </c>
    </row>
    <row r="1697">
      <c r="A1697" s="1" t="s">
        <v>1697</v>
      </c>
      <c r="B1697" s="2" t="str">
        <f>IFERROR(__xludf.DUMMYFUNCTION("GOOGLETRANSLATE(A1697, ""de"", ""en"")"),"hates")</f>
        <v>hates</v>
      </c>
    </row>
    <row r="1698">
      <c r="A1698" s="1" t="s">
        <v>1698</v>
      </c>
      <c r="B1698" s="2" t="str">
        <f>IFERROR(__xludf.DUMMYFUNCTION("GOOGLETRANSLATE(A1698, ""de"", ""en"")"),"understand")</f>
        <v>understand</v>
      </c>
    </row>
    <row r="1699">
      <c r="A1699" s="1" t="s">
        <v>1699</v>
      </c>
      <c r="B1699" s="2" t="str">
        <f>IFERROR(__xludf.DUMMYFUNCTION("GOOGLETRANSLATE(A1699, ""de"", ""en"")"),"cost")</f>
        <v>cost</v>
      </c>
    </row>
    <row r="1700">
      <c r="A1700" s="1" t="s">
        <v>1700</v>
      </c>
      <c r="B1700" s="2" t="str">
        <f>IFERROR(__xludf.DUMMYFUNCTION("GOOGLETRANSLATE(A1700, ""de"", ""en"")"),"show")</f>
        <v>show</v>
      </c>
    </row>
    <row r="1701">
      <c r="A1701" s="1" t="s">
        <v>1701</v>
      </c>
      <c r="B1701" s="2" t="str">
        <f>IFERROR(__xludf.DUMMYFUNCTION("GOOGLETRANSLATE(A1701, ""de"", ""en"")"),"met")</f>
        <v>met</v>
      </c>
    </row>
    <row r="1702">
      <c r="A1702" s="1" t="s">
        <v>1702</v>
      </c>
      <c r="B1702" s="2" t="str">
        <f>IFERROR(__xludf.DUMMYFUNCTION("GOOGLETRANSLATE(A1702, ""de"", ""en"")"),"own")</f>
        <v>own</v>
      </c>
    </row>
    <row r="1703">
      <c r="A1703" s="1" t="s">
        <v>1703</v>
      </c>
      <c r="B1703" s="2" t="str">
        <f>IFERROR(__xludf.DUMMYFUNCTION("GOOGLETRANSLATE(A1703, ""de"", ""en"")"),"hair")</f>
        <v>hair</v>
      </c>
    </row>
    <row r="1704">
      <c r="A1704" s="1" t="s">
        <v>1704</v>
      </c>
      <c r="B1704" s="2" t="str">
        <f>IFERROR(__xludf.DUMMYFUNCTION("GOOGLETRANSLATE(A1704, ""de"", ""en"")"),"asked")</f>
        <v>asked</v>
      </c>
    </row>
    <row r="1705">
      <c r="A1705" s="1" t="s">
        <v>1705</v>
      </c>
      <c r="B1705" s="2" t="str">
        <f>IFERROR(__xludf.DUMMYFUNCTION("GOOGLETRANSLATE(A1705, ""de"", ""en"")"),"jason")</f>
        <v>jason</v>
      </c>
    </row>
    <row r="1706">
      <c r="A1706" s="1" t="s">
        <v>1706</v>
      </c>
      <c r="B1706" s="2" t="str">
        <f>IFERROR(__xludf.DUMMYFUNCTION("GOOGLETRANSLATE(A1706, ""de"", ""en"")"),"operation")</f>
        <v>operation</v>
      </c>
    </row>
    <row r="1707">
      <c r="A1707" s="1" t="s">
        <v>1707</v>
      </c>
      <c r="B1707" s="2" t="str">
        <f>IFERROR(__xludf.DUMMYFUNCTION("GOOGLETRANSLATE(A1707, ""de"", ""en"")"),"commands")</f>
        <v>commands</v>
      </c>
    </row>
    <row r="1708">
      <c r="A1708" s="1" t="s">
        <v>1708</v>
      </c>
      <c r="B1708" s="2" t="str">
        <f>IFERROR(__xludf.DUMMYFUNCTION("GOOGLETRANSLATE(A1708, ""de"", ""en"")"),"pains")</f>
        <v>pains</v>
      </c>
    </row>
    <row r="1709">
      <c r="A1709" s="1" t="s">
        <v>1709</v>
      </c>
      <c r="B1709" s="2" t="str">
        <f>IFERROR(__xludf.DUMMYFUNCTION("GOOGLETRANSLATE(A1709, ""de"", ""en"")"),"explained")</f>
        <v>explained</v>
      </c>
    </row>
    <row r="1710">
      <c r="A1710" s="1" t="s">
        <v>1710</v>
      </c>
      <c r="B1710" s="2" t="str">
        <f>IFERROR(__xludf.DUMMYFUNCTION("GOOGLETRANSLATE(A1710, ""de"", ""en"")"),"Steve")</f>
        <v>Steve</v>
      </c>
    </row>
    <row r="1711">
      <c r="A1711" s="1" t="s">
        <v>1711</v>
      </c>
      <c r="B1711" s="2" t="str">
        <f>IFERROR(__xludf.DUMMYFUNCTION("GOOGLETRANSLATE(A1711, ""de"", ""en"")"),"roof")</f>
        <v>roof</v>
      </c>
    </row>
    <row r="1712">
      <c r="A1712" s="1" t="s">
        <v>1712</v>
      </c>
      <c r="B1712" s="2" t="str">
        <f>IFERROR(__xludf.DUMMYFUNCTION("GOOGLETRANSLATE(A1712, ""de"", ""en"")"),"consequence")</f>
        <v>consequence</v>
      </c>
    </row>
    <row r="1713">
      <c r="A1713" s="1" t="s">
        <v>1713</v>
      </c>
      <c r="B1713" s="2" t="str">
        <f>IFERROR(__xludf.DUMMYFUNCTION("GOOGLETRANSLATE(A1713, ""de"", ""en"")"),"ran")</f>
        <v>ran</v>
      </c>
    </row>
    <row r="1714">
      <c r="A1714" s="1" t="s">
        <v>1714</v>
      </c>
      <c r="B1714" s="2" t="str">
        <f>IFERROR(__xludf.DUMMYFUNCTION("GOOGLETRANSLATE(A1714, ""de"", ""en"")"),"black")</f>
        <v>black</v>
      </c>
    </row>
    <row r="1715">
      <c r="A1715" s="1" t="s">
        <v>1715</v>
      </c>
      <c r="B1715" s="2" t="str">
        <f>IFERROR(__xludf.DUMMYFUNCTION("GOOGLETRANSLATE(A1715, ""de"", ""en"")"),"thankful")</f>
        <v>thankful</v>
      </c>
    </row>
    <row r="1716">
      <c r="A1716" s="1" t="s">
        <v>1716</v>
      </c>
      <c r="B1716" s="2" t="str">
        <f>IFERROR(__xludf.DUMMYFUNCTION("GOOGLETRANSLATE(A1716, ""de"", ""en"")"),"brain")</f>
        <v>brain</v>
      </c>
    </row>
    <row r="1717">
      <c r="A1717" s="1" t="s">
        <v>1717</v>
      </c>
      <c r="B1717" s="2" t="str">
        <f>IFERROR(__xludf.DUMMYFUNCTION("GOOGLETRANSLATE(A1717, ""de"", ""en"")"),"kill")</f>
        <v>kill</v>
      </c>
    </row>
    <row r="1718">
      <c r="A1718" s="1" t="s">
        <v>1718</v>
      </c>
      <c r="B1718" s="2" t="str">
        <f>IFERROR(__xludf.DUMMYFUNCTION("GOOGLETRANSLATE(A1718, ""de"", ""en"")"),"girls")</f>
        <v>girls</v>
      </c>
    </row>
    <row r="1719">
      <c r="A1719" s="1" t="s">
        <v>1719</v>
      </c>
      <c r="B1719" s="2" t="str">
        <f>IFERROR(__xludf.DUMMYFUNCTION("GOOGLETRANSLATE(A1719, ""de"", ""en"")"),"courage")</f>
        <v>courage</v>
      </c>
    </row>
    <row r="1720">
      <c r="A1720" s="1" t="s">
        <v>1720</v>
      </c>
      <c r="B1720" s="2" t="str">
        <f>IFERROR(__xludf.DUMMYFUNCTION("GOOGLETRANSLATE(A1720, ""de"", ""en"")"),"holy")</f>
        <v>holy</v>
      </c>
    </row>
    <row r="1721">
      <c r="A1721" s="1" t="s">
        <v>1721</v>
      </c>
      <c r="B1721" s="2" t="str">
        <f>IFERROR(__xludf.DUMMYFUNCTION("GOOGLETRANSLATE(A1721, ""de"", ""en"")"),"laura")</f>
        <v>laura</v>
      </c>
    </row>
    <row r="1722">
      <c r="A1722" s="1" t="s">
        <v>1722</v>
      </c>
      <c r="B1722" s="2" t="str">
        <f>IFERROR(__xludf.DUMMYFUNCTION("GOOGLETRANSLATE(A1722, ""de"", ""en"")"),"animal")</f>
        <v>animal</v>
      </c>
    </row>
    <row r="1723">
      <c r="A1723" s="1" t="s">
        <v>1723</v>
      </c>
      <c r="B1723" s="2" t="str">
        <f>IFERROR(__xludf.DUMMYFUNCTION("GOOGLETRANSLATE(A1723, ""de"", ""en"")"),"system")</f>
        <v>system</v>
      </c>
    </row>
    <row r="1724">
      <c r="A1724" s="1" t="s">
        <v>1724</v>
      </c>
      <c r="B1724" s="2" t="str">
        <f>IFERROR(__xludf.DUMMYFUNCTION("GOOGLETRANSLATE(A1724, ""de"", ""en"")"),"man")</f>
        <v>man</v>
      </c>
    </row>
    <row r="1725">
      <c r="A1725" s="1" t="s">
        <v>1725</v>
      </c>
      <c r="B1725" s="2" t="str">
        <f>IFERROR(__xludf.DUMMYFUNCTION("GOOGLETRANSLATE(A1725, ""de"", ""en"")"),"craziness")</f>
        <v>craziness</v>
      </c>
    </row>
    <row r="1726">
      <c r="A1726" s="1" t="s">
        <v>1726</v>
      </c>
      <c r="B1726" s="2" t="str">
        <f>IFERROR(__xludf.DUMMYFUNCTION("GOOGLETRANSLATE(A1726, ""de"", ""en"")"),"nope")</f>
        <v>nope</v>
      </c>
    </row>
    <row r="1727">
      <c r="A1727" s="1" t="s">
        <v>1727</v>
      </c>
      <c r="B1727" s="2" t="str">
        <f>IFERROR(__xludf.DUMMYFUNCTION("GOOGLETRANSLATE(A1727, ""de"", ""en"")"),"rose")</f>
        <v>rose</v>
      </c>
    </row>
    <row r="1728">
      <c r="A1728" s="1" t="s">
        <v>1728</v>
      </c>
      <c r="B1728" s="2" t="str">
        <f>IFERROR(__xludf.DUMMYFUNCTION("GOOGLETRANSLATE(A1728, ""de"", ""en"")"),"club")</f>
        <v>club</v>
      </c>
    </row>
    <row r="1729">
      <c r="A1729" s="1" t="s">
        <v>1729</v>
      </c>
      <c r="B1729" s="2" t="str">
        <f>IFERROR(__xludf.DUMMYFUNCTION("GOOGLETRANSLATE(A1729, ""de"", ""en"")"),"closed")</f>
        <v>closed</v>
      </c>
    </row>
    <row r="1730">
      <c r="A1730" s="1" t="s">
        <v>1730</v>
      </c>
      <c r="B1730" s="2" t="str">
        <f>IFERROR(__xludf.DUMMYFUNCTION("GOOGLETRANSLATE(A1730, ""de"", ""en"")"),"butt")</f>
        <v>butt</v>
      </c>
    </row>
    <row r="1731">
      <c r="A1731" s="1" t="s">
        <v>1731</v>
      </c>
      <c r="B1731" s="2" t="str">
        <f>IFERROR(__xludf.DUMMYFUNCTION("GOOGLETRANSLATE(A1731, ""de"", ""en"")"),"is")</f>
        <v>is</v>
      </c>
    </row>
    <row r="1732">
      <c r="A1732" s="1" t="s">
        <v>1732</v>
      </c>
      <c r="B1732" s="2" t="str">
        <f>IFERROR(__xludf.DUMMYFUNCTION("GOOGLETRANSLATE(A1732, ""de"", ""en"")"),"theme")</f>
        <v>theme</v>
      </c>
    </row>
    <row r="1733">
      <c r="A1733" s="1" t="s">
        <v>1733</v>
      </c>
      <c r="B1733" s="2" t="str">
        <f>IFERROR(__xludf.DUMMYFUNCTION("GOOGLETRANSLATE(A1733, ""de"", ""en"")"),"fell")</f>
        <v>fell</v>
      </c>
    </row>
    <row r="1734">
      <c r="A1734" s="1" t="s">
        <v>1734</v>
      </c>
      <c r="B1734" s="2" t="str">
        <f>IFERROR(__xludf.DUMMYFUNCTION("GOOGLETRANSLATE(A1734, ""de"", ""en"")"),"held")</f>
        <v>held</v>
      </c>
    </row>
    <row r="1735">
      <c r="A1735" s="1" t="s">
        <v>1735</v>
      </c>
      <c r="B1735" s="2" t="str">
        <f>IFERROR(__xludf.DUMMYFUNCTION("GOOGLETRANSLATE(A1735, ""de"", ""en"")"),"there")</f>
        <v>there</v>
      </c>
    </row>
    <row r="1736">
      <c r="A1736" s="1" t="s">
        <v>1736</v>
      </c>
      <c r="B1736" s="2" t="str">
        <f>IFERROR(__xludf.DUMMYFUNCTION("GOOGLETRANSLATE(A1736, ""de"", ""en"")"),"vacation")</f>
        <v>vacation</v>
      </c>
    </row>
    <row r="1737">
      <c r="A1737" s="1" t="s">
        <v>1737</v>
      </c>
      <c r="B1737" s="2" t="str">
        <f>IFERROR(__xludf.DUMMYFUNCTION("GOOGLETRANSLATE(A1737, ""de"", ""en"")"),"rise")</f>
        <v>rise</v>
      </c>
    </row>
    <row r="1738">
      <c r="A1738" s="1" t="s">
        <v>1738</v>
      </c>
      <c r="B1738" s="2" t="str">
        <f>IFERROR(__xludf.DUMMYFUNCTION("GOOGLETRANSLATE(A1738, ""de"", ""en"")"),"forward")</f>
        <v>forward</v>
      </c>
    </row>
    <row r="1739">
      <c r="A1739" s="1" t="s">
        <v>1739</v>
      </c>
      <c r="B1739" s="2" t="str">
        <f>IFERROR(__xludf.DUMMYFUNCTION("GOOGLETRANSLATE(A1739, ""de"", ""en"")"),"check")</f>
        <v>check</v>
      </c>
    </row>
    <row r="1740">
      <c r="A1740" s="1" t="s">
        <v>1740</v>
      </c>
      <c r="B1740" s="2" t="str">
        <f>IFERROR(__xludf.DUMMYFUNCTION("GOOGLETRANSLATE(A1740, ""de"", ""en"")"),"better")</f>
        <v>better</v>
      </c>
    </row>
    <row r="1741">
      <c r="A1741" s="1" t="s">
        <v>1741</v>
      </c>
      <c r="B1741" s="2" t="str">
        <f>IFERROR(__xludf.DUMMYFUNCTION("GOOGLETRANSLATE(A1741, ""de"", ""en"")"),"proof")</f>
        <v>proof</v>
      </c>
    </row>
    <row r="1742">
      <c r="A1742" s="1" t="s">
        <v>1742</v>
      </c>
      <c r="B1742" s="2" t="str">
        <f>IFERROR(__xludf.DUMMYFUNCTION("GOOGLETRANSLATE(A1742, ""de"", ""en"")"),"tree")</f>
        <v>tree</v>
      </c>
    </row>
    <row r="1743">
      <c r="A1743" s="1" t="s">
        <v>1743</v>
      </c>
      <c r="B1743" s="2" t="str">
        <f>IFERROR(__xludf.DUMMYFUNCTION("GOOGLETRANSLATE(A1743, ""de"", ""en"")"),"give")</f>
        <v>give</v>
      </c>
    </row>
    <row r="1744">
      <c r="A1744" s="1" t="s">
        <v>1744</v>
      </c>
      <c r="B1744" s="2" t="str">
        <f>IFERROR(__xludf.DUMMYFUNCTION("GOOGLETRANSLATE(A1744, ""de"", ""en"")"),"function")</f>
        <v>function</v>
      </c>
    </row>
    <row r="1745">
      <c r="A1745" s="1" t="s">
        <v>1745</v>
      </c>
      <c r="B1745" s="2" t="str">
        <f>IFERROR(__xludf.DUMMYFUNCTION("GOOGLETRANSLATE(A1745, ""de"", ""en"")"),"apparently")</f>
        <v>apparently</v>
      </c>
    </row>
    <row r="1746">
      <c r="A1746" s="1" t="s">
        <v>1746</v>
      </c>
      <c r="B1746" s="2" t="str">
        <f>IFERROR(__xludf.DUMMYFUNCTION("GOOGLETRANSLATE(A1746, ""de"", ""en"")"),"teacher")</f>
        <v>teacher</v>
      </c>
    </row>
    <row r="1747">
      <c r="A1747" s="1" t="s">
        <v>1747</v>
      </c>
      <c r="B1747" s="2" t="str">
        <f>IFERROR(__xludf.DUMMYFUNCTION("GOOGLETRANSLATE(A1747, ""de"", ""en"")"),"hope")</f>
        <v>hope</v>
      </c>
    </row>
    <row r="1748">
      <c r="A1748" s="1" t="s">
        <v>1748</v>
      </c>
      <c r="B1748" s="2" t="str">
        <f>IFERROR(__xludf.DUMMYFUNCTION("GOOGLETRANSLATE(A1748, ""de"", ""en"")"),"better")</f>
        <v>better</v>
      </c>
    </row>
    <row r="1749">
      <c r="A1749" s="1" t="s">
        <v>1749</v>
      </c>
      <c r="B1749" s="2" t="str">
        <f>IFERROR(__xludf.DUMMYFUNCTION("GOOGLETRANSLATE(A1749, ""de"", ""en"")"),"eats")</f>
        <v>eats</v>
      </c>
    </row>
    <row r="1750">
      <c r="A1750" s="1" t="s">
        <v>1750</v>
      </c>
      <c r="B1750" s="2" t="str">
        <f>IFERROR(__xludf.DUMMYFUNCTION("GOOGLETRANSLATE(A1750, ""de"", ""en"")"),"afternoon")</f>
        <v>afternoon</v>
      </c>
    </row>
    <row r="1751">
      <c r="A1751" s="1" t="s">
        <v>1751</v>
      </c>
      <c r="B1751" s="2" t="str">
        <f>IFERROR(__xludf.DUMMYFUNCTION("GOOGLETRANSLATE(A1751, ""de"", ""en"")"),"nem")</f>
        <v>nem</v>
      </c>
    </row>
    <row r="1752">
      <c r="A1752" s="1" t="s">
        <v>1752</v>
      </c>
      <c r="B1752" s="2" t="str">
        <f>IFERROR(__xludf.DUMMYFUNCTION("GOOGLETRANSLATE(A1752, ""de"", ""en"")"),"risk")</f>
        <v>risk</v>
      </c>
    </row>
    <row r="1753">
      <c r="A1753" s="1" t="s">
        <v>1753</v>
      </c>
      <c r="B1753" s="2" t="str">
        <f>IFERROR(__xludf.DUMMYFUNCTION("GOOGLETRANSLATE(A1753, ""de"", ""en"")"),"chuck")</f>
        <v>chuck</v>
      </c>
    </row>
    <row r="1754">
      <c r="A1754" s="1" t="s">
        <v>1754</v>
      </c>
      <c r="B1754" s="2" t="str">
        <f>IFERROR(__xludf.DUMMYFUNCTION("GOOGLETRANSLATE(A1754, ""de"", ""en"")"),"prison")</f>
        <v>prison</v>
      </c>
    </row>
    <row r="1755">
      <c r="A1755" s="1" t="s">
        <v>1755</v>
      </c>
      <c r="B1755" s="2" t="str">
        <f>IFERROR(__xludf.DUMMYFUNCTION("GOOGLETRANSLATE(A1755, ""de"", ""en"")"),"sorry")</f>
        <v>sorry</v>
      </c>
    </row>
    <row r="1756">
      <c r="A1756" s="1" t="s">
        <v>1756</v>
      </c>
      <c r="B1756" s="2" t="str">
        <f>IFERROR(__xludf.DUMMYFUNCTION("GOOGLETRANSLATE(A1756, ""de"", ""en"")"),"applies")</f>
        <v>applies</v>
      </c>
    </row>
    <row r="1757">
      <c r="A1757" s="1" t="s">
        <v>1757</v>
      </c>
      <c r="B1757" s="2" t="str">
        <f>IFERROR(__xludf.DUMMYFUNCTION("GOOGLETRANSLATE(A1757, ""de"", ""en"")"),"hero")</f>
        <v>hero</v>
      </c>
    </row>
    <row r="1758">
      <c r="A1758" s="1" t="s">
        <v>1758</v>
      </c>
      <c r="B1758" s="2" t="str">
        <f>IFERROR(__xludf.DUMMYFUNCTION("GOOGLETRANSLATE(A1758, ""de"", ""en"")"),"from it")</f>
        <v>from it</v>
      </c>
    </row>
    <row r="1759">
      <c r="A1759" s="1" t="s">
        <v>1759</v>
      </c>
      <c r="B1759" s="2" t="str">
        <f>IFERROR(__xludf.DUMMYFUNCTION("GOOGLETRANSLATE(A1759, ""de"", ""en"")"),"first")</f>
        <v>first</v>
      </c>
    </row>
    <row r="1760">
      <c r="A1760" s="1" t="s">
        <v>1760</v>
      </c>
      <c r="B1760" s="2" t="str">
        <f>IFERROR(__xludf.DUMMYFUNCTION("GOOGLETRANSLATE(A1760, ""de"", ""en"")"),"miss")</f>
        <v>miss</v>
      </c>
    </row>
    <row r="1761">
      <c r="A1761" s="1" t="s">
        <v>1761</v>
      </c>
      <c r="B1761" s="2" t="str">
        <f>IFERROR(__xludf.DUMMYFUNCTION("GOOGLETRANSLATE(A1761, ""de"", ""en"")"),"Rachel")</f>
        <v>Rachel</v>
      </c>
    </row>
    <row r="1762">
      <c r="A1762" s="1" t="s">
        <v>1762</v>
      </c>
      <c r="B1762" s="2" t="str">
        <f>IFERROR(__xludf.DUMMYFUNCTION("GOOGLETRANSLATE(A1762, ""de"", ""en"")"),"great")</f>
        <v>great</v>
      </c>
    </row>
    <row r="1763">
      <c r="A1763" s="1" t="s">
        <v>1763</v>
      </c>
      <c r="B1763" s="2" t="str">
        <f>IFERROR(__xludf.DUMMYFUNCTION("GOOGLETRANSLATE(A1763, ""de"", ""en"")"),"needed")</f>
        <v>needed</v>
      </c>
    </row>
    <row r="1764">
      <c r="A1764" s="1" t="s">
        <v>1764</v>
      </c>
      <c r="B1764" s="2" t="str">
        <f>IFERROR(__xludf.DUMMYFUNCTION("GOOGLETRANSLATE(A1764, ""de"", ""en"")"),"force")</f>
        <v>force</v>
      </c>
    </row>
    <row r="1765">
      <c r="A1765" s="1" t="s">
        <v>1765</v>
      </c>
      <c r="B1765" s="2" t="str">
        <f>IFERROR(__xludf.DUMMYFUNCTION("GOOGLETRANSLATE(A1765, ""de"", ""en"")"),"dean")</f>
        <v>dean</v>
      </c>
    </row>
    <row r="1766">
      <c r="A1766" s="1" t="s">
        <v>1766</v>
      </c>
      <c r="B1766" s="2" t="str">
        <f>IFERROR(__xludf.DUMMYFUNCTION("GOOGLETRANSLATE(A1766, ""de"", ""en"")"),"Dear")</f>
        <v>Dear</v>
      </c>
    </row>
    <row r="1767">
      <c r="A1767" s="1" t="s">
        <v>1767</v>
      </c>
      <c r="B1767" s="2" t="str">
        <f>IFERROR(__xludf.DUMMYFUNCTION("GOOGLETRANSLATE(A1767, ""de"", ""en"")"),"create")</f>
        <v>create</v>
      </c>
    </row>
    <row r="1768">
      <c r="A1768" s="1" t="s">
        <v>1768</v>
      </c>
      <c r="B1768" s="2" t="str">
        <f>IFERROR(__xludf.DUMMYFUNCTION("GOOGLETRANSLATE(A1768, ""de"", ""en"")"),"ponder")</f>
        <v>ponder</v>
      </c>
    </row>
    <row r="1769">
      <c r="A1769" s="1" t="s">
        <v>1769</v>
      </c>
      <c r="B1769" s="2" t="str">
        <f>IFERROR(__xludf.DUMMYFUNCTION("GOOGLETRANSLATE(A1769, ""de"", ""en"")"),"goal")</f>
        <v>goal</v>
      </c>
    </row>
    <row r="1770">
      <c r="A1770" s="1" t="s">
        <v>1770</v>
      </c>
      <c r="B1770" s="2" t="str">
        <f>IFERROR(__xludf.DUMMYFUNCTION("GOOGLETRANSLATE(A1770, ""de"", ""en"")"),"experience")</f>
        <v>experience</v>
      </c>
    </row>
    <row r="1771">
      <c r="A1771" s="1" t="s">
        <v>1771</v>
      </c>
      <c r="B1771" s="2" t="str">
        <f>IFERROR(__xludf.DUMMYFUNCTION("GOOGLETRANSLATE(A1771, ""de"", ""en"")"),"plans")</f>
        <v>plans</v>
      </c>
    </row>
    <row r="1772">
      <c r="A1772" s="1" t="s">
        <v>1772</v>
      </c>
      <c r="B1772" s="2" t="str">
        <f>IFERROR(__xludf.DUMMYFUNCTION("GOOGLETRANSLATE(A1772, ""de"", ""en"")"),"hunting")</f>
        <v>hunting</v>
      </c>
    </row>
    <row r="1773">
      <c r="A1773" s="1" t="s">
        <v>1773</v>
      </c>
      <c r="B1773" s="2" t="str">
        <f>IFERROR(__xludf.DUMMYFUNCTION("GOOGLETRANSLATE(A1773, ""de"", ""en"")"),"cat")</f>
        <v>cat</v>
      </c>
    </row>
    <row r="1774">
      <c r="A1774" s="1" t="s">
        <v>1774</v>
      </c>
      <c r="B1774" s="2" t="str">
        <f>IFERROR(__xludf.DUMMYFUNCTION("GOOGLETRANSLATE(A1774, ""de"", ""en"")"),"round")</f>
        <v>round</v>
      </c>
    </row>
    <row r="1775">
      <c r="A1775" s="1" t="s">
        <v>1775</v>
      </c>
      <c r="B1775" s="2" t="str">
        <f>IFERROR(__xludf.DUMMYFUNCTION("GOOGLETRANSLATE(A1775, ""de"", ""en"")"),"German")</f>
        <v>German</v>
      </c>
    </row>
    <row r="1776">
      <c r="A1776" s="1" t="s">
        <v>1776</v>
      </c>
      <c r="B1776" s="2" t="str">
        <f>IFERROR(__xludf.DUMMYFUNCTION("GOOGLETRANSLATE(A1776, ""de"", ""en"")"),"tail")</f>
        <v>tail</v>
      </c>
    </row>
    <row r="1777">
      <c r="A1777" s="1" t="s">
        <v>1777</v>
      </c>
      <c r="B1777" s="2" t="str">
        <f>IFERROR(__xludf.DUMMYFUNCTION("GOOGLETRANSLATE(A1777, ""de"", ""en"")"),"did")</f>
        <v>did</v>
      </c>
    </row>
    <row r="1778">
      <c r="A1778" s="1" t="s">
        <v>1778</v>
      </c>
      <c r="B1778" s="2" t="str">
        <f>IFERROR(__xludf.DUMMYFUNCTION("GOOGLETRANSLATE(A1778, ""de"", ""en"")"),"lord")</f>
        <v>lord</v>
      </c>
    </row>
    <row r="1779">
      <c r="A1779" s="1" t="s">
        <v>1779</v>
      </c>
      <c r="B1779" s="2" t="str">
        <f>IFERROR(__xludf.DUMMYFUNCTION("GOOGLETRANSLATE(A1779, ""de"", ""en"")"),"urgent")</f>
        <v>urgent</v>
      </c>
    </row>
    <row r="1780">
      <c r="A1780" s="1" t="s">
        <v>1780</v>
      </c>
      <c r="B1780" s="2" t="str">
        <f>IFERROR(__xludf.DUMMYFUNCTION("GOOGLETRANSLATE(A1780, ""de"", ""en"")"),"commander")</f>
        <v>commander</v>
      </c>
    </row>
    <row r="1781">
      <c r="A1781" s="1" t="s">
        <v>1781</v>
      </c>
      <c r="B1781" s="2" t="str">
        <f>IFERROR(__xludf.DUMMYFUNCTION("GOOGLETRANSLATE(A1781, ""de"", ""en"")"),"grandfather")</f>
        <v>grandfather</v>
      </c>
    </row>
    <row r="1782">
      <c r="A1782" s="1" t="s">
        <v>1782</v>
      </c>
      <c r="B1782" s="2" t="str">
        <f>IFERROR(__xludf.DUMMYFUNCTION("GOOGLETRANSLATE(A1782, ""de"", ""en"")"),"summer")</f>
        <v>summer</v>
      </c>
    </row>
    <row r="1783">
      <c r="A1783" s="1" t="s">
        <v>1783</v>
      </c>
      <c r="B1783" s="2" t="str">
        <f>IFERROR(__xludf.DUMMYFUNCTION("GOOGLETRANSLATE(A1783, ""de"", ""en"")"),"shown")</f>
        <v>shown</v>
      </c>
    </row>
    <row r="1784">
      <c r="A1784" s="1" t="s">
        <v>1784</v>
      </c>
      <c r="B1784" s="2" t="str">
        <f>IFERROR(__xludf.DUMMYFUNCTION("GOOGLETRANSLATE(A1784, ""de"", ""en"")"),"leave behind")</f>
        <v>leave behind</v>
      </c>
    </row>
    <row r="1785">
      <c r="A1785" s="1" t="s">
        <v>1785</v>
      </c>
      <c r="B1785" s="2" t="str">
        <f>IFERROR(__xludf.DUMMYFUNCTION("GOOGLETRANSLATE(A1785, ""de"", ""en"")"),"conscience")</f>
        <v>conscience</v>
      </c>
    </row>
    <row r="1786">
      <c r="A1786" s="1" t="s">
        <v>1786</v>
      </c>
      <c r="B1786" s="2" t="str">
        <f>IFERROR(__xludf.DUMMYFUNCTION("GOOGLETRANSLATE(A1786, ""de"", ""en"")"),"drank")</f>
        <v>drank</v>
      </c>
    </row>
    <row r="1787">
      <c r="A1787" s="1" t="s">
        <v>1787</v>
      </c>
      <c r="B1787" s="2" t="str">
        <f>IFERROR(__xludf.DUMMYFUNCTION("GOOGLETRANSLATE(A1787, ""de"", ""en"")"),"true")</f>
        <v>true</v>
      </c>
    </row>
    <row r="1788">
      <c r="A1788" s="1" t="s">
        <v>1788</v>
      </c>
      <c r="B1788" s="2" t="str">
        <f>IFERROR(__xludf.DUMMYFUNCTION("GOOGLETRANSLATE(A1788, ""de"", ""en"")"),"hatch")</f>
        <v>hatch</v>
      </c>
    </row>
    <row r="1789">
      <c r="A1789" s="1" t="s">
        <v>1789</v>
      </c>
      <c r="B1789" s="2" t="str">
        <f>IFERROR(__xludf.DUMMYFUNCTION("GOOGLETRANSLATE(A1789, ""de"", ""en"")"),"customers")</f>
        <v>customers</v>
      </c>
    </row>
    <row r="1790">
      <c r="A1790" s="1" t="s">
        <v>1790</v>
      </c>
      <c r="B1790" s="2" t="str">
        <f>IFERROR(__xludf.DUMMYFUNCTION("GOOGLETRANSLATE(A1790, ""de"", ""en"")"),"Kate")</f>
        <v>Kate</v>
      </c>
    </row>
    <row r="1791">
      <c r="A1791" s="1" t="s">
        <v>1791</v>
      </c>
      <c r="B1791" s="2" t="str">
        <f>IFERROR(__xludf.DUMMYFUNCTION("GOOGLETRANSLATE(A1791, ""de"", ""en"")"),"witness")</f>
        <v>witness</v>
      </c>
    </row>
    <row r="1792">
      <c r="A1792" s="1" t="s">
        <v>1792</v>
      </c>
      <c r="B1792" s="2" t="str">
        <f>IFERROR(__xludf.DUMMYFUNCTION("GOOGLETRANSLATE(A1792, ""de"", ""en"")"),"planned")</f>
        <v>planned</v>
      </c>
    </row>
    <row r="1793">
      <c r="A1793" s="1" t="s">
        <v>1793</v>
      </c>
      <c r="B1793" s="2" t="str">
        <f>IFERROR(__xludf.DUMMYFUNCTION("GOOGLETRANSLATE(A1793, ""de"", ""en"")"),"amanda")</f>
        <v>amanda</v>
      </c>
    </row>
    <row r="1794">
      <c r="A1794" s="1" t="s">
        <v>1794</v>
      </c>
      <c r="B1794" s="2" t="str">
        <f>IFERROR(__xludf.DUMMYFUNCTION("GOOGLETRANSLATE(A1794, ""de"", ""en"")"),"reached")</f>
        <v>reached</v>
      </c>
    </row>
    <row r="1795">
      <c r="A1795" s="1" t="s">
        <v>1795</v>
      </c>
      <c r="B1795" s="2" t="str">
        <f>IFERROR(__xludf.DUMMYFUNCTION("GOOGLETRANSLATE(A1795, ""de"", ""en"")"),"disturb")</f>
        <v>disturb</v>
      </c>
    </row>
    <row r="1796">
      <c r="A1796" s="1" t="s">
        <v>1796</v>
      </c>
      <c r="B1796" s="2" t="str">
        <f>IFERROR(__xludf.DUMMYFUNCTION("GOOGLETRANSLATE(A1796, ""de"", ""en"")"),"stone")</f>
        <v>stone</v>
      </c>
    </row>
    <row r="1797">
      <c r="A1797" s="1" t="s">
        <v>1797</v>
      </c>
      <c r="B1797" s="2" t="str">
        <f>IFERROR(__xludf.DUMMYFUNCTION("GOOGLETRANSLATE(A1797, ""de"", ""en"")"),"breathe")</f>
        <v>breathe</v>
      </c>
    </row>
    <row r="1798">
      <c r="A1798" s="1" t="s">
        <v>1798</v>
      </c>
      <c r="B1798" s="2" t="str">
        <f>IFERROR(__xludf.DUMMYFUNCTION("GOOGLETRANSLATE(A1798, ""de"", ""en"")"),"pants")</f>
        <v>pants</v>
      </c>
    </row>
    <row r="1799">
      <c r="A1799" s="1" t="s">
        <v>1799</v>
      </c>
      <c r="B1799" s="2" t="str">
        <f>IFERROR(__xludf.DUMMYFUNCTION("GOOGLETRANSLATE(A1799, ""de"", ""en"")"),"white")</f>
        <v>white</v>
      </c>
    </row>
    <row r="1800">
      <c r="A1800" s="1" t="s">
        <v>1800</v>
      </c>
      <c r="B1800" s="2" t="str">
        <f>IFERROR(__xludf.DUMMYFUNCTION("GOOGLETRANSLATE(A1800, ""de"", ""en"")"),"speak")</f>
        <v>speak</v>
      </c>
    </row>
    <row r="1801">
      <c r="A1801" s="1" t="s">
        <v>1801</v>
      </c>
      <c r="B1801" s="2" t="str">
        <f>IFERROR(__xludf.DUMMYFUNCTION("GOOGLETRANSLATE(A1801, ""de"", ""en"")"),"bigger")</f>
        <v>bigger</v>
      </c>
    </row>
    <row r="1802">
      <c r="A1802" s="1" t="s">
        <v>1802</v>
      </c>
      <c r="B1802" s="2" t="str">
        <f>IFERROR(__xludf.DUMMYFUNCTION("GOOGLETRANSLATE(A1802, ""de"", ""en"")"),"sends")</f>
        <v>sends</v>
      </c>
    </row>
    <row r="1803">
      <c r="A1803" s="1" t="s">
        <v>1803</v>
      </c>
      <c r="B1803" s="2" t="str">
        <f>IFERROR(__xludf.DUMMYFUNCTION("GOOGLETRANSLATE(A1803, ""de"", ""en"")"),"City")</f>
        <v>City</v>
      </c>
    </row>
    <row r="1804">
      <c r="A1804" s="1" t="s">
        <v>1804</v>
      </c>
      <c r="B1804" s="2" t="str">
        <f>IFERROR(__xludf.DUMMYFUNCTION("GOOGLETRANSLATE(A1804, ""de"", ""en"")"),"prince")</f>
        <v>prince</v>
      </c>
    </row>
    <row r="1805">
      <c r="A1805" s="1" t="s">
        <v>1805</v>
      </c>
      <c r="B1805" s="2" t="str">
        <f>IFERROR(__xludf.DUMMYFUNCTION("GOOGLETRANSLATE(A1805, ""de"", ""en"")"),"treated")</f>
        <v>treated</v>
      </c>
    </row>
    <row r="1806">
      <c r="A1806" s="1" t="s">
        <v>1806</v>
      </c>
      <c r="B1806" s="2" t="str">
        <f>IFERROR(__xludf.DUMMYFUNCTION("GOOGLETRANSLATE(A1806, ""de"", ""en"")"),"dead")</f>
        <v>dead</v>
      </c>
    </row>
    <row r="1807">
      <c r="A1807" s="1" t="s">
        <v>1807</v>
      </c>
      <c r="B1807" s="2" t="str">
        <f>IFERROR(__xludf.DUMMYFUNCTION("GOOGLETRANSLATE(A1807, ""de"", ""en"")"),"superior")</f>
        <v>superior</v>
      </c>
    </row>
    <row r="1808">
      <c r="A1808" s="1" t="s">
        <v>1808</v>
      </c>
      <c r="B1808" s="2" t="str">
        <f>IFERROR(__xludf.DUMMYFUNCTION("GOOGLETRANSLATE(A1808, ""de"", ""en"")"),"cards")</f>
        <v>cards</v>
      </c>
    </row>
    <row r="1809">
      <c r="A1809" s="1" t="s">
        <v>1809</v>
      </c>
      <c r="B1809" s="2" t="str">
        <f>IFERROR(__xludf.DUMMYFUNCTION("GOOGLETRANSLATE(A1809, ""de"", ""en"")"),"it")</f>
        <v>it</v>
      </c>
    </row>
    <row r="1810">
      <c r="A1810" s="1" t="s">
        <v>1810</v>
      </c>
      <c r="B1810" s="2" t="str">
        <f>IFERROR(__xludf.DUMMYFUNCTION("GOOGLETRANSLATE(A1810, ""de"", ""en"")"),"d")</f>
        <v>d</v>
      </c>
    </row>
    <row r="1811">
      <c r="A1811" s="1" t="s">
        <v>1811</v>
      </c>
      <c r="B1811" s="2" t="str">
        <f>IFERROR(__xludf.DUMMYFUNCTION("GOOGLETRANSLATE(A1811, ""de"", ""en"")"),"restaurant")</f>
        <v>restaurant</v>
      </c>
    </row>
    <row r="1812">
      <c r="A1812" s="1" t="s">
        <v>1812</v>
      </c>
      <c r="B1812" s="2" t="str">
        <f>IFERROR(__xludf.DUMMYFUNCTION("GOOGLETRANSLATE(A1812, ""de"", ""en"")"),"which one")</f>
        <v>which one</v>
      </c>
    </row>
    <row r="1813">
      <c r="A1813" s="1" t="s">
        <v>1813</v>
      </c>
      <c r="B1813" s="2" t="str">
        <f>IFERROR(__xludf.DUMMYFUNCTION("GOOGLETRANSLATE(A1813, ""de"", ""en"")"),"roger")</f>
        <v>roger</v>
      </c>
    </row>
    <row r="1814">
      <c r="A1814" s="1" t="s">
        <v>1814</v>
      </c>
      <c r="B1814" s="2" t="str">
        <f>IFERROR(__xludf.DUMMYFUNCTION("GOOGLETRANSLATE(A1814, ""de"", ""en"")"),"nature")</f>
        <v>nature</v>
      </c>
    </row>
    <row r="1815">
      <c r="A1815" s="1" t="s">
        <v>1815</v>
      </c>
      <c r="B1815" s="2" t="str">
        <f>IFERROR(__xludf.DUMMYFUNCTION("GOOGLETRANSLATE(A1815, ""de"", ""en"")"),"carter")</f>
        <v>carter</v>
      </c>
    </row>
    <row r="1816">
      <c r="A1816" s="1" t="s">
        <v>1816</v>
      </c>
      <c r="B1816" s="2" t="str">
        <f>IFERROR(__xludf.DUMMYFUNCTION("GOOGLETRANSLATE(A1816, ""de"", ""en"")"),"Emily")</f>
        <v>Emily</v>
      </c>
    </row>
    <row r="1817">
      <c r="A1817" s="1" t="s">
        <v>1817</v>
      </c>
      <c r="B1817" s="2" t="str">
        <f>IFERROR(__xludf.DUMMYFUNCTION("GOOGLETRANSLATE(A1817, ""de"", ""en"")"),"mommy")</f>
        <v>mommy</v>
      </c>
    </row>
    <row r="1818">
      <c r="A1818" s="1" t="s">
        <v>1818</v>
      </c>
      <c r="B1818" s="2" t="str">
        <f>IFERROR(__xludf.DUMMYFUNCTION("GOOGLETRANSLATE(A1818, ""de"", ""en"")"),"disappears")</f>
        <v>disappears</v>
      </c>
    </row>
    <row r="1819">
      <c r="A1819" s="1" t="s">
        <v>1819</v>
      </c>
      <c r="B1819" s="2" t="str">
        <f>IFERROR(__xludf.DUMMYFUNCTION("GOOGLETRANSLATE(A1819, ""de"", ""en"")"),"is")</f>
        <v>is</v>
      </c>
    </row>
    <row r="1820">
      <c r="A1820" s="1" t="s">
        <v>1820</v>
      </c>
      <c r="B1820" s="2" t="str">
        <f>IFERROR(__xludf.DUMMYFUNCTION("GOOGLETRANSLATE(A1820, ""de"", ""en"")"),"dispute")</f>
        <v>dispute</v>
      </c>
    </row>
    <row r="1821">
      <c r="A1821" s="1" t="s">
        <v>1821</v>
      </c>
      <c r="B1821" s="2" t="str">
        <f>IFERROR(__xludf.DUMMYFUNCTION("GOOGLETRANSLATE(A1821, ""de"", ""en"")"),"kiss")</f>
        <v>kiss</v>
      </c>
    </row>
    <row r="1822">
      <c r="A1822" s="1" t="s">
        <v>1822</v>
      </c>
      <c r="B1822" s="2" t="str">
        <f>IFERROR(__xludf.DUMMYFUNCTION("GOOGLETRANSLATE(A1822, ""de"", ""en"")"),"say")</f>
        <v>say</v>
      </c>
    </row>
    <row r="1823">
      <c r="A1823" s="1" t="s">
        <v>1823</v>
      </c>
      <c r="B1823" s="2" t="str">
        <f>IFERROR(__xludf.DUMMYFUNCTION("GOOGLETRANSLATE(A1823, ""de"", ""en"")"),"long ago")</f>
        <v>long ago</v>
      </c>
    </row>
    <row r="1824">
      <c r="A1824" s="1" t="s">
        <v>1824</v>
      </c>
      <c r="B1824" s="2" t="str">
        <f>IFERROR(__xludf.DUMMYFUNCTION("GOOGLETRANSLATE(A1824, ""de"", ""en"")"),"catches")</f>
        <v>catches</v>
      </c>
    </row>
    <row r="1825">
      <c r="A1825" s="1" t="s">
        <v>1825</v>
      </c>
      <c r="B1825" s="2" t="str">
        <f>IFERROR(__xludf.DUMMYFUNCTION("GOOGLETRANSLATE(A1825, ""de"", ""en"")"),"over it")</f>
        <v>over it</v>
      </c>
    </row>
    <row r="1826">
      <c r="A1826" s="1" t="s">
        <v>1826</v>
      </c>
      <c r="B1826" s="2" t="str">
        <f>IFERROR(__xludf.DUMMYFUNCTION("GOOGLETRANSLATE(A1826, ""de"", ""en"")"),"went")</f>
        <v>went</v>
      </c>
    </row>
    <row r="1827">
      <c r="A1827" s="1" t="s">
        <v>1827</v>
      </c>
      <c r="B1827" s="2" t="str">
        <f>IFERROR(__xludf.DUMMYFUNCTION("GOOGLETRANSLATE(A1827, ""de"", ""en"")"),"allowed")</f>
        <v>allowed</v>
      </c>
    </row>
    <row r="1828">
      <c r="A1828" s="1" t="s">
        <v>1828</v>
      </c>
      <c r="B1828" s="2" t="str">
        <f>IFERROR(__xludf.DUMMYFUNCTION("GOOGLETRANSLATE(A1828, ""de"", ""en"")"),"single")</f>
        <v>single</v>
      </c>
    </row>
    <row r="1829">
      <c r="A1829" s="1" t="s">
        <v>1829</v>
      </c>
      <c r="B1829" s="2" t="str">
        <f>IFERROR(__xludf.DUMMYFUNCTION("GOOGLETRANSLATE(A1829, ""de"", ""en"")"),"bathroom")</f>
        <v>bathroom</v>
      </c>
    </row>
    <row r="1830">
      <c r="A1830" s="1" t="s">
        <v>1830</v>
      </c>
      <c r="B1830" s="2" t="str">
        <f>IFERROR(__xludf.DUMMYFUNCTION("GOOGLETRANSLATE(A1830, ""de"", ""en"")"),"tastes")</f>
        <v>tastes</v>
      </c>
    </row>
    <row r="1831">
      <c r="A1831" s="1" t="s">
        <v>1831</v>
      </c>
      <c r="B1831" s="2" t="str">
        <f>IFERROR(__xludf.DUMMYFUNCTION("GOOGLETRANSLATE(A1831, ""de"", ""en"")"),"bullet")</f>
        <v>bullet</v>
      </c>
    </row>
    <row r="1832">
      <c r="A1832" s="1" t="s">
        <v>1832</v>
      </c>
      <c r="B1832" s="2" t="str">
        <f>IFERROR(__xludf.DUMMYFUNCTION("GOOGLETRANSLATE(A1832, ""de"", ""en"")"),"normally")</f>
        <v>normally</v>
      </c>
    </row>
    <row r="1833">
      <c r="A1833" s="1" t="s">
        <v>1833</v>
      </c>
      <c r="B1833" s="2" t="str">
        <f>IFERROR(__xludf.DUMMYFUNCTION("GOOGLETRANSLATE(A1833, ""de"", ""en"")"),"black")</f>
        <v>black</v>
      </c>
    </row>
    <row r="1834">
      <c r="A1834" s="1" t="s">
        <v>1834</v>
      </c>
      <c r="B1834" s="2" t="str">
        <f>IFERROR(__xludf.DUMMYFUNCTION("GOOGLETRANSLATE(A1834, ""de"", ""en"")"),"up")</f>
        <v>up</v>
      </c>
    </row>
    <row r="1835">
      <c r="A1835" s="1" t="s">
        <v>1835</v>
      </c>
      <c r="B1835" s="2" t="str">
        <f>IFERROR(__xludf.DUMMYFUNCTION("GOOGLETRANSLATE(A1835, ""de"", ""en"")"),"flight")</f>
        <v>flight</v>
      </c>
    </row>
    <row r="1836">
      <c r="A1836" s="1" t="s">
        <v>1836</v>
      </c>
      <c r="B1836" s="2" t="str">
        <f>IFERROR(__xludf.DUMMYFUNCTION("GOOGLETRANSLATE(A1836, ""de"", ""en"")"),"calm")</f>
        <v>calm</v>
      </c>
    </row>
    <row r="1837">
      <c r="A1837" s="1" t="s">
        <v>1837</v>
      </c>
      <c r="B1837" s="2" t="str">
        <f>IFERROR(__xludf.DUMMYFUNCTION("GOOGLETRANSLATE(A1837, ""de"", ""en"")"),"walter")</f>
        <v>walter</v>
      </c>
    </row>
    <row r="1838">
      <c r="A1838" s="1" t="s">
        <v>1838</v>
      </c>
      <c r="B1838" s="2" t="str">
        <f>IFERROR(__xludf.DUMMYFUNCTION("GOOGLETRANSLATE(A1838, ""de"", ""en"")"),"half")</f>
        <v>half</v>
      </c>
    </row>
    <row r="1839">
      <c r="A1839" s="1" t="s">
        <v>1839</v>
      </c>
      <c r="B1839" s="2" t="str">
        <f>IFERROR(__xludf.DUMMYFUNCTION("GOOGLETRANSLATE(A1839, ""de"", ""en"")"),"Dan")</f>
        <v>Dan</v>
      </c>
    </row>
    <row r="1840">
      <c r="A1840" s="1" t="s">
        <v>1840</v>
      </c>
      <c r="B1840" s="2" t="str">
        <f>IFERROR(__xludf.DUMMYFUNCTION("GOOGLETRANSLATE(A1840, ""de"", ""en"")"),"happens")</f>
        <v>happens</v>
      </c>
    </row>
    <row r="1841">
      <c r="A1841" s="1" t="s">
        <v>1841</v>
      </c>
      <c r="B1841" s="2" t="str">
        <f>IFERROR(__xludf.DUMMYFUNCTION("GOOGLETRANSLATE(A1841, ""de"", ""en"")"),"some")</f>
        <v>some</v>
      </c>
    </row>
    <row r="1842">
      <c r="A1842" s="1" t="s">
        <v>1842</v>
      </c>
      <c r="B1842" s="2" t="str">
        <f>IFERROR(__xludf.DUMMYFUNCTION("GOOGLETRANSLATE(A1842, ""de"", ""en"")"),"discovered")</f>
        <v>discovered</v>
      </c>
    </row>
    <row r="1843">
      <c r="A1843" s="1" t="s">
        <v>1843</v>
      </c>
      <c r="B1843" s="2" t="str">
        <f>IFERROR(__xludf.DUMMYFUNCTION("GOOGLETRANSLATE(A1843, ""de"", ""en"")"),"morning")</f>
        <v>morning</v>
      </c>
    </row>
    <row r="1844">
      <c r="A1844" s="1" t="s">
        <v>1844</v>
      </c>
      <c r="B1844" s="2" t="str">
        <f>IFERROR(__xludf.DUMMYFUNCTION("GOOGLETRANSLATE(A1844, ""de"", ""en"")"),"worse")</f>
        <v>worse</v>
      </c>
    </row>
    <row r="1845">
      <c r="A1845" s="1" t="s">
        <v>1845</v>
      </c>
      <c r="B1845" s="2" t="str">
        <f>IFERROR(__xludf.DUMMYFUNCTION("GOOGLETRANSLATE(A1845, ""de"", ""en"")"),"completely")</f>
        <v>completely</v>
      </c>
    </row>
    <row r="1846">
      <c r="A1846" s="1" t="s">
        <v>1846</v>
      </c>
      <c r="B1846" s="2" t="str">
        <f>IFERROR(__xludf.DUMMYFUNCTION("GOOGLETRANSLATE(A1846, ""de"", ""en"")"),"lied")</f>
        <v>lied</v>
      </c>
    </row>
    <row r="1847">
      <c r="A1847" s="1" t="s">
        <v>1847</v>
      </c>
      <c r="B1847" s="2" t="str">
        <f>IFERROR(__xludf.DUMMYFUNCTION("GOOGLETRANSLATE(A1847, ""de"", ""en"")"),"pursued")</f>
        <v>pursued</v>
      </c>
    </row>
    <row r="1848">
      <c r="A1848" s="1" t="s">
        <v>1848</v>
      </c>
      <c r="B1848" s="2" t="str">
        <f>IFERROR(__xludf.DUMMYFUNCTION("GOOGLETRANSLATE(A1848, ""de"", ""en"")"),"college")</f>
        <v>college</v>
      </c>
    </row>
    <row r="1849">
      <c r="A1849" s="1" t="s">
        <v>1849</v>
      </c>
      <c r="B1849" s="2" t="str">
        <f>IFERROR(__xludf.DUMMYFUNCTION("GOOGLETRANSLATE(A1849, ""de"", ""en"")"),"further")</f>
        <v>further</v>
      </c>
    </row>
    <row r="1850">
      <c r="A1850" s="1" t="s">
        <v>1850</v>
      </c>
      <c r="B1850" s="2" t="str">
        <f>IFERROR(__xludf.DUMMYFUNCTION("GOOGLETRANSLATE(A1850, ""de"", ""en"")"),"chris")</f>
        <v>chris</v>
      </c>
    </row>
    <row r="1851">
      <c r="A1851" s="1" t="s">
        <v>1851</v>
      </c>
      <c r="B1851" s="2" t="str">
        <f>IFERROR(__xludf.DUMMYFUNCTION("GOOGLETRANSLATE(A1851, ""de"", ""en"")"),"Louis")</f>
        <v>Louis</v>
      </c>
    </row>
    <row r="1852">
      <c r="A1852" s="1" t="s">
        <v>1852</v>
      </c>
      <c r="B1852" s="2" t="str">
        <f>IFERROR(__xludf.DUMMYFUNCTION("GOOGLETRANSLATE(A1852, ""de"", ""en"")"),"eh")</f>
        <v>eh</v>
      </c>
    </row>
    <row r="1853">
      <c r="A1853" s="1" t="s">
        <v>1853</v>
      </c>
      <c r="B1853" s="2" t="str">
        <f>IFERROR(__xludf.DUMMYFUNCTION("GOOGLETRANSLATE(A1853, ""de"", ""en"")"),"sword")</f>
        <v>sword</v>
      </c>
    </row>
    <row r="1854">
      <c r="A1854" s="1" t="s">
        <v>1854</v>
      </c>
      <c r="B1854" s="2" t="str">
        <f>IFERROR(__xludf.DUMMYFUNCTION("GOOGLETRANSLATE(A1854, ""de"", ""en"")"),"dogs")</f>
        <v>dogs</v>
      </c>
    </row>
    <row r="1855">
      <c r="A1855" s="1" t="s">
        <v>1855</v>
      </c>
      <c r="B1855" s="2" t="str">
        <f>IFERROR(__xludf.DUMMYFUNCTION("GOOGLETRANSLATE(A1855, ""de"", ""en"")"),"climb")</f>
        <v>climb</v>
      </c>
    </row>
    <row r="1856">
      <c r="A1856" s="1" t="s">
        <v>1856</v>
      </c>
      <c r="B1856" s="2" t="str">
        <f>IFERROR(__xludf.DUMMYFUNCTION("GOOGLETRANSLATE(A1856, ""de"", ""en"")"),"damned")</f>
        <v>damned</v>
      </c>
    </row>
    <row r="1857">
      <c r="A1857" s="1" t="s">
        <v>1857</v>
      </c>
      <c r="B1857" s="2" t="str">
        <f>IFERROR(__xludf.DUMMYFUNCTION("GOOGLETRANSLATE(A1857, ""de"", ""en"")"),"should")</f>
        <v>should</v>
      </c>
    </row>
    <row r="1858">
      <c r="A1858" s="1" t="s">
        <v>1858</v>
      </c>
      <c r="B1858" s="2" t="str">
        <f>IFERROR(__xludf.DUMMYFUNCTION("GOOGLETRANSLATE(A1858, ""de"", ""en"")"),"smells")</f>
        <v>smells</v>
      </c>
    </row>
    <row r="1859">
      <c r="A1859" s="1" t="s">
        <v>1859</v>
      </c>
      <c r="B1859" s="2" t="str">
        <f>IFERROR(__xludf.DUMMYFUNCTION("GOOGLETRANSLATE(A1859, ""de"", ""en"")"),"laboratory")</f>
        <v>laboratory</v>
      </c>
    </row>
    <row r="1860">
      <c r="A1860" s="1" t="s">
        <v>1860</v>
      </c>
      <c r="B1860" s="2" t="str">
        <f>IFERROR(__xludf.DUMMYFUNCTION("GOOGLETRANSLATE(A1860, ""de"", ""en"")"),"asked")</f>
        <v>asked</v>
      </c>
    </row>
    <row r="1861">
      <c r="A1861" s="1" t="s">
        <v>1861</v>
      </c>
      <c r="B1861" s="2" t="str">
        <f>IFERROR(__xludf.DUMMYFUNCTION("GOOGLETRANSLATE(A1861, ""de"", ""en"")"),"tim")</f>
        <v>tim</v>
      </c>
    </row>
    <row r="1862">
      <c r="A1862" s="1" t="s">
        <v>1862</v>
      </c>
      <c r="B1862" s="2" t="str">
        <f>IFERROR(__xludf.DUMMYFUNCTION("GOOGLETRANSLATE(A1862, ""de"", ""en"")"),"Arthur")</f>
        <v>Arthur</v>
      </c>
    </row>
    <row r="1863">
      <c r="A1863" s="1" t="s">
        <v>1863</v>
      </c>
      <c r="B1863" s="2" t="str">
        <f>IFERROR(__xludf.DUMMYFUNCTION("GOOGLETRANSLATE(A1863, ""de"", ""en"")"),"at least")</f>
        <v>at least</v>
      </c>
    </row>
    <row r="1864">
      <c r="A1864" s="1" t="s">
        <v>1864</v>
      </c>
      <c r="B1864" s="2" t="str">
        <f>IFERROR(__xludf.DUMMYFUNCTION("GOOGLETRANSLATE(A1864, ""de"", ""en"")"),"fish")</f>
        <v>fish</v>
      </c>
    </row>
    <row r="1865">
      <c r="A1865" s="1" t="s">
        <v>1865</v>
      </c>
      <c r="B1865" s="2" t="str">
        <f>IFERROR(__xludf.DUMMYFUNCTION("GOOGLETRANSLATE(A1865, ""de"", ""en"")"),"yours")</f>
        <v>yours</v>
      </c>
    </row>
    <row r="1866">
      <c r="A1866" s="1" t="s">
        <v>1866</v>
      </c>
      <c r="B1866" s="2" t="str">
        <f>IFERROR(__xludf.DUMMYFUNCTION("GOOGLETRANSLATE(A1866, ""de"", ""en"")"),"feet")</f>
        <v>feet</v>
      </c>
    </row>
    <row r="1867">
      <c r="A1867" s="1" t="s">
        <v>1867</v>
      </c>
      <c r="B1867" s="2" t="str">
        <f>IFERROR(__xludf.DUMMYFUNCTION("GOOGLETRANSLATE(A1867, ""de"", ""en"")"),"stand")</f>
        <v>stand</v>
      </c>
    </row>
    <row r="1868">
      <c r="A1868" s="1" t="s">
        <v>1868</v>
      </c>
      <c r="B1868" s="2" t="str">
        <f>IFERROR(__xludf.DUMMYFUNCTION("GOOGLETRANSLATE(A1868, ""de"", ""en"")"),"shoot")</f>
        <v>shoot</v>
      </c>
    </row>
    <row r="1869">
      <c r="A1869" s="1" t="s">
        <v>1869</v>
      </c>
      <c r="B1869" s="2" t="str">
        <f>IFERROR(__xludf.DUMMYFUNCTION("GOOGLETRANSLATE(A1869, ""de"", ""en"")"),"cake")</f>
        <v>cake</v>
      </c>
    </row>
    <row r="1870">
      <c r="A1870" s="1" t="s">
        <v>1870</v>
      </c>
      <c r="B1870" s="2" t="str">
        <f>IFERROR(__xludf.DUMMYFUNCTION("GOOGLETRANSLATE(A1870, ""de"", ""en"")"),"tried")</f>
        <v>tried</v>
      </c>
    </row>
    <row r="1871">
      <c r="A1871" s="1" t="s">
        <v>1871</v>
      </c>
      <c r="B1871" s="2" t="str">
        <f>IFERROR(__xludf.DUMMYFUNCTION("GOOGLETRANSLATE(A1871, ""de"", ""en"")"),"condition")</f>
        <v>condition</v>
      </c>
    </row>
    <row r="1872">
      <c r="A1872" s="1" t="s">
        <v>1872</v>
      </c>
      <c r="B1872" s="2" t="str">
        <f>IFERROR(__xludf.DUMMYFUNCTION("GOOGLETRANSLATE(A1872, ""de"", ""en"")"),"wish")</f>
        <v>wish</v>
      </c>
    </row>
    <row r="1873">
      <c r="A1873" s="1" t="s">
        <v>1873</v>
      </c>
      <c r="B1873" s="2" t="str">
        <f>IFERROR(__xludf.DUMMYFUNCTION("GOOGLETRANSLATE(A1873, ""de"", ""en"")"),"guests")</f>
        <v>guests</v>
      </c>
    </row>
    <row r="1874">
      <c r="A1874" s="1" t="s">
        <v>1874</v>
      </c>
      <c r="B1874" s="2" t="str">
        <f>IFERROR(__xludf.DUMMYFUNCTION("GOOGLETRANSLATE(A1874, ""de"", ""en"")"),"mentioned")</f>
        <v>mentioned</v>
      </c>
    </row>
    <row r="1875">
      <c r="A1875" s="1" t="s">
        <v>1875</v>
      </c>
      <c r="B1875" s="2" t="str">
        <f>IFERROR(__xludf.DUMMYFUNCTION("GOOGLETRANSLATE(A1875, ""de"", ""en"")"),"color")</f>
        <v>color</v>
      </c>
    </row>
    <row r="1876">
      <c r="A1876" s="1" t="s">
        <v>1876</v>
      </c>
      <c r="B1876" s="2" t="str">
        <f>IFERROR(__xludf.DUMMYFUNCTION("GOOGLETRANSLATE(A1876, ""de"", ""en"")"),"van")</f>
        <v>van</v>
      </c>
    </row>
    <row r="1877">
      <c r="A1877" s="1" t="s">
        <v>1877</v>
      </c>
      <c r="B1877" s="2" t="str">
        <f>IFERROR(__xludf.DUMMYFUNCTION("GOOGLETRANSLATE(A1877, ""de"", ""en"")"),"some")</f>
        <v>some</v>
      </c>
    </row>
    <row r="1878">
      <c r="A1878" s="1" t="s">
        <v>1878</v>
      </c>
      <c r="B1878" s="2" t="str">
        <f>IFERROR(__xludf.DUMMYFUNCTION("GOOGLETRANSLATE(A1878, ""de"", ""en"")"),"coincidence")</f>
        <v>coincidence</v>
      </c>
    </row>
    <row r="1879">
      <c r="A1879" s="1" t="s">
        <v>1879</v>
      </c>
      <c r="B1879" s="2" t="str">
        <f>IFERROR(__xludf.DUMMYFUNCTION("GOOGLETRANSLATE(A1879, ""de"", ""en"")"),"garden")</f>
        <v>garden</v>
      </c>
    </row>
    <row r="1880">
      <c r="A1880" s="1" t="s">
        <v>1880</v>
      </c>
      <c r="B1880" s="2" t="str">
        <f>IFERROR(__xludf.DUMMYFUNCTION("GOOGLETRANSLATE(A1880, ""de"", ""en"")"),"younger")</f>
        <v>younger</v>
      </c>
    </row>
    <row r="1881">
      <c r="A1881" s="1" t="s">
        <v>1881</v>
      </c>
      <c r="B1881" s="2" t="str">
        <f>IFERROR(__xludf.DUMMYFUNCTION("GOOGLETRANSLATE(A1881, ""de"", ""en"")"),"cars")</f>
        <v>cars</v>
      </c>
    </row>
    <row r="1882">
      <c r="A1882" s="1" t="s">
        <v>1882</v>
      </c>
      <c r="B1882" s="2" t="str">
        <f>IFERROR(__xludf.DUMMYFUNCTION("GOOGLETRANSLATE(A1882, ""de"", ""en"")"),"apart")</f>
        <v>apart</v>
      </c>
    </row>
    <row r="1883">
      <c r="A1883" s="1" t="s">
        <v>1883</v>
      </c>
      <c r="B1883" s="2" t="str">
        <f>IFERROR(__xludf.DUMMYFUNCTION("GOOGLETRANSLATE(A1883, ""de"", ""en"")"),"fair")</f>
        <v>fair</v>
      </c>
    </row>
    <row r="1884">
      <c r="A1884" s="1" t="s">
        <v>1884</v>
      </c>
      <c r="B1884" s="2" t="str">
        <f>IFERROR(__xludf.DUMMYFUNCTION("GOOGLETRANSLATE(A1884, ""de"", ""en"")"),"trusted")</f>
        <v>trusted</v>
      </c>
    </row>
    <row r="1885">
      <c r="A1885" s="1" t="s">
        <v>1885</v>
      </c>
      <c r="B1885" s="2" t="str">
        <f>IFERROR(__xludf.DUMMYFUNCTION("GOOGLETRANSLATE(A1885, ""de"", ""en"")"),"suitcase")</f>
        <v>suitcase</v>
      </c>
    </row>
    <row r="1886">
      <c r="A1886" s="1" t="s">
        <v>1886</v>
      </c>
      <c r="B1886" s="2" t="str">
        <f>IFERROR(__xludf.DUMMYFUNCTION("GOOGLETRANSLATE(A1886, ""de"", ""en"")"),"was called")</f>
        <v>was called</v>
      </c>
    </row>
    <row r="1887">
      <c r="A1887" s="1" t="s">
        <v>1887</v>
      </c>
      <c r="B1887" s="2" t="str">
        <f>IFERROR(__xludf.DUMMYFUNCTION("GOOGLETRANSLATE(A1887, ""de"", ""en"")"),"course")</f>
        <v>course</v>
      </c>
    </row>
    <row r="1888">
      <c r="A1888" s="1" t="s">
        <v>1888</v>
      </c>
      <c r="B1888" s="2" t="str">
        <f>IFERROR(__xludf.DUMMYFUNCTION("GOOGLETRANSLATE(A1888, ""de"", ""en"")"),"works")</f>
        <v>works</v>
      </c>
    </row>
    <row r="1889">
      <c r="A1889" s="1" t="s">
        <v>1889</v>
      </c>
      <c r="B1889" s="2" t="str">
        <f>IFERROR(__xludf.DUMMYFUNCTION("GOOGLETRANSLATE(A1889, ""de"", ""en"")"),"idiots")</f>
        <v>idiots</v>
      </c>
    </row>
    <row r="1890">
      <c r="A1890" s="1" t="s">
        <v>1890</v>
      </c>
      <c r="B1890" s="2" t="str">
        <f>IFERROR(__xludf.DUMMYFUNCTION("GOOGLETRANSLATE(A1890, ""de"", ""en"")"),"nicer")</f>
        <v>nicer</v>
      </c>
    </row>
    <row r="1891">
      <c r="A1891" s="1" t="s">
        <v>1891</v>
      </c>
      <c r="B1891" s="2" t="str">
        <f>IFERROR(__xludf.DUMMYFUNCTION("GOOGLETRANSLATE(A1891, ""de"", ""en"")"),"since")</f>
        <v>since</v>
      </c>
    </row>
    <row r="1892">
      <c r="A1892" s="1" t="s">
        <v>1892</v>
      </c>
      <c r="B1892" s="2" t="str">
        <f>IFERROR(__xludf.DUMMYFUNCTION("GOOGLETRANSLATE(A1892, ""de"", ""en"")"),"attacked")</f>
        <v>attacked</v>
      </c>
    </row>
    <row r="1893">
      <c r="A1893" s="1" t="s">
        <v>1893</v>
      </c>
      <c r="B1893" s="2" t="str">
        <f>IFERROR(__xludf.DUMMYFUNCTION("GOOGLETRANSLATE(A1893, ""de"", ""en"")"),"stories")</f>
        <v>stories</v>
      </c>
    </row>
    <row r="1894">
      <c r="A1894" s="1" t="s">
        <v>1894</v>
      </c>
      <c r="B1894" s="2" t="str">
        <f>IFERROR(__xludf.DUMMYFUNCTION("GOOGLETRANSLATE(A1894, ""de"", ""en"")"),"insane")</f>
        <v>insane</v>
      </c>
    </row>
    <row r="1895">
      <c r="A1895" s="1" t="s">
        <v>1895</v>
      </c>
      <c r="B1895" s="2" t="str">
        <f>IFERROR(__xludf.DUMMYFUNCTION("GOOGLETRANSLATE(A1895, ""de"", ""en"")"),"similar")</f>
        <v>similar</v>
      </c>
    </row>
    <row r="1896">
      <c r="A1896" s="1" t="s">
        <v>1896</v>
      </c>
      <c r="B1896" s="2" t="str">
        <f>IFERROR(__xludf.DUMMYFUNCTION("GOOGLETRANSLATE(A1896, ""de"", ""en"")"),"lily")</f>
        <v>lily</v>
      </c>
    </row>
    <row r="1897">
      <c r="A1897" s="1" t="s">
        <v>1897</v>
      </c>
      <c r="B1897" s="2" t="str">
        <f>IFERROR(__xludf.DUMMYFUNCTION("GOOGLETRANSLATE(A1897, ""de"", ""en"")"),"give up")</f>
        <v>give up</v>
      </c>
    </row>
    <row r="1898">
      <c r="A1898" s="1" t="s">
        <v>1898</v>
      </c>
      <c r="B1898" s="2" t="str">
        <f>IFERROR(__xludf.DUMMYFUNCTION("GOOGLETRANSLATE(A1898, ""de"", ""en"")"),"England")</f>
        <v>England</v>
      </c>
    </row>
    <row r="1899">
      <c r="A1899" s="1" t="s">
        <v>1899</v>
      </c>
      <c r="B1899" s="2" t="str">
        <f>IFERROR(__xludf.DUMMYFUNCTION("GOOGLETRANSLATE(A1899, ""de"", ""en"")"),"kidnapped")</f>
        <v>kidnapped</v>
      </c>
    </row>
    <row r="1900">
      <c r="A1900" s="1" t="s">
        <v>1900</v>
      </c>
      <c r="B1900" s="2" t="str">
        <f>IFERROR(__xludf.DUMMYFUNCTION("GOOGLETRANSLATE(A1900, ""de"", ""en"")"),"ms.")</f>
        <v>ms.</v>
      </c>
    </row>
    <row r="1901">
      <c r="A1901" s="1" t="s">
        <v>1901</v>
      </c>
      <c r="B1901" s="2" t="str">
        <f>IFERROR(__xludf.DUMMYFUNCTION("GOOGLETRANSLATE(A1901, ""de"", ""en"")"),"bastard")</f>
        <v>bastard</v>
      </c>
    </row>
    <row r="1902">
      <c r="A1902" s="1" t="s">
        <v>1902</v>
      </c>
      <c r="B1902" s="2" t="str">
        <f>IFERROR(__xludf.DUMMYFUNCTION("GOOGLETRANSLATE(A1902, ""de"", ""en"")"),"such")</f>
        <v>such</v>
      </c>
    </row>
    <row r="1903">
      <c r="A1903" s="1" t="s">
        <v>1903</v>
      </c>
      <c r="B1903" s="2" t="str">
        <f>IFERROR(__xludf.DUMMYFUNCTION("GOOGLETRANSLATE(A1903, ""de"", ""en"")"),"ner")</f>
        <v>ner</v>
      </c>
    </row>
    <row r="1904">
      <c r="A1904" s="1" t="s">
        <v>1904</v>
      </c>
      <c r="B1904" s="2" t="str">
        <f>IFERROR(__xludf.DUMMYFUNCTION("GOOGLETRANSLATE(A1904, ""de"", ""en"")"),"shot")</f>
        <v>shot</v>
      </c>
    </row>
    <row r="1905">
      <c r="A1905" s="1" t="s">
        <v>1905</v>
      </c>
      <c r="B1905" s="2" t="str">
        <f>IFERROR(__xludf.DUMMYFUNCTION("GOOGLETRANSLATE(A1905, ""de"", ""en"")"),"stock")</f>
        <v>stock</v>
      </c>
    </row>
    <row r="1906">
      <c r="A1906" s="1" t="s">
        <v>1906</v>
      </c>
      <c r="B1906" s="2" t="str">
        <f>IFERROR(__xludf.DUMMYFUNCTION("GOOGLETRANSLATE(A1906, ""de"", ""en"")"),"discuss")</f>
        <v>discuss</v>
      </c>
    </row>
    <row r="1907">
      <c r="A1907" s="1" t="s">
        <v>1907</v>
      </c>
      <c r="B1907" s="2" t="str">
        <f>IFERROR(__xludf.DUMMYFUNCTION("GOOGLETRANSLATE(A1907, ""de"", ""en"")"),"row")</f>
        <v>row</v>
      </c>
    </row>
    <row r="1908">
      <c r="A1908" s="1" t="s">
        <v>1908</v>
      </c>
      <c r="B1908" s="2" t="str">
        <f>IFERROR(__xludf.DUMMYFUNCTION("GOOGLETRANSLATE(A1908, ""de"", ""en"")"),"policemen")</f>
        <v>policemen</v>
      </c>
    </row>
    <row r="1909">
      <c r="A1909" s="1" t="s">
        <v>1909</v>
      </c>
      <c r="B1909" s="2" t="str">
        <f>IFERROR(__xludf.DUMMYFUNCTION("GOOGLETRANSLATE(A1909, ""de"", ""en"")"),"bird")</f>
        <v>bird</v>
      </c>
    </row>
    <row r="1910">
      <c r="A1910" s="1" t="s">
        <v>1910</v>
      </c>
      <c r="B1910" s="2" t="str">
        <f>IFERROR(__xludf.DUMMYFUNCTION("GOOGLETRANSLATE(A1910, ""de"", ""en"")"),"lays")</f>
        <v>lays</v>
      </c>
    </row>
    <row r="1911">
      <c r="A1911" s="1" t="s">
        <v>1911</v>
      </c>
      <c r="B1911" s="2" t="str">
        <f>IFERROR(__xludf.DUMMYFUNCTION("GOOGLETRANSLATE(A1911, ""de"", ""en"")"),"beach")</f>
        <v>beach</v>
      </c>
    </row>
    <row r="1912">
      <c r="A1912" s="1" t="s">
        <v>1912</v>
      </c>
      <c r="B1912" s="2" t="str">
        <f>IFERROR(__xludf.DUMMYFUNCTION("GOOGLETRANSLATE(A1912, ""de"", ""en"")"),"American")</f>
        <v>American</v>
      </c>
    </row>
    <row r="1913">
      <c r="A1913" s="1" t="s">
        <v>1913</v>
      </c>
      <c r="B1913" s="2" t="str">
        <f>IFERROR(__xludf.DUMMYFUNCTION("GOOGLETRANSLATE(A1913, ""de"", ""en"")"),"black")</f>
        <v>black</v>
      </c>
    </row>
    <row r="1914">
      <c r="A1914" s="1" t="s">
        <v>1914</v>
      </c>
      <c r="B1914" s="2" t="str">
        <f>IFERROR(__xludf.DUMMYFUNCTION("GOOGLETRANSLATE(A1914, ""de"", ""en"")"),"remote")</f>
        <v>remote</v>
      </c>
    </row>
    <row r="1915">
      <c r="A1915" s="1" t="s">
        <v>1915</v>
      </c>
      <c r="B1915" s="2" t="str">
        <f>IFERROR(__xludf.DUMMYFUNCTION("GOOGLETRANSLATE(A1915, ""de"", ""en"")"),"fuck")</f>
        <v>fuck</v>
      </c>
    </row>
    <row r="1916">
      <c r="A1916" s="1" t="s">
        <v>1916</v>
      </c>
      <c r="B1916" s="2" t="str">
        <f>IFERROR(__xludf.DUMMYFUNCTION("GOOGLETRANSLATE(A1916, ""de"", ""en"")"),"kidding")</f>
        <v>kidding</v>
      </c>
    </row>
    <row r="1917">
      <c r="A1917" s="1" t="s">
        <v>1917</v>
      </c>
      <c r="B1917" s="2" t="str">
        <f>IFERROR(__xludf.DUMMYFUNCTION("GOOGLETRANSLATE(A1917, ""de"", ""en"")"),"san")</f>
        <v>san</v>
      </c>
    </row>
    <row r="1918">
      <c r="A1918" s="1" t="s">
        <v>1918</v>
      </c>
      <c r="B1918" s="2" t="str">
        <f>IFERROR(__xludf.DUMMYFUNCTION("GOOGLETRANSLATE(A1918, ""de"", ""en"")"),"told")</f>
        <v>told</v>
      </c>
    </row>
    <row r="1919">
      <c r="A1919" s="1" t="s">
        <v>1919</v>
      </c>
      <c r="B1919" s="2" t="str">
        <f>IFERROR(__xludf.DUMMYFUNCTION("GOOGLETRANSLATE(A1919, ""de"", ""en"")"),"wanker")</f>
        <v>wanker</v>
      </c>
    </row>
    <row r="1920">
      <c r="A1920" s="1" t="s">
        <v>1920</v>
      </c>
      <c r="B1920" s="2" t="str">
        <f>IFERROR(__xludf.DUMMYFUNCTION("GOOGLETRANSLATE(A1920, ""de"", ""en"")"),"Jake")</f>
        <v>Jake</v>
      </c>
    </row>
    <row r="1921">
      <c r="A1921" s="1" t="s">
        <v>1921</v>
      </c>
      <c r="B1921" s="2" t="str">
        <f>IFERROR(__xludf.DUMMYFUNCTION("GOOGLETRANSLATE(A1921, ""de"", ""en"")"),"boring")</f>
        <v>boring</v>
      </c>
    </row>
    <row r="1922">
      <c r="A1922" s="1" t="s">
        <v>1922</v>
      </c>
      <c r="B1922" s="2" t="str">
        <f>IFERROR(__xludf.DUMMYFUNCTION("GOOGLETRANSLATE(A1922, ""de"", ""en"")"),"with what")</f>
        <v>with what</v>
      </c>
    </row>
    <row r="1923">
      <c r="A1923" s="1" t="s">
        <v>1923</v>
      </c>
      <c r="B1923" s="2" t="str">
        <f>IFERROR(__xludf.DUMMYFUNCTION("GOOGLETRANSLATE(A1923, ""de"", ""en"")"),"shops")</f>
        <v>shops</v>
      </c>
    </row>
    <row r="1924">
      <c r="A1924" s="1" t="s">
        <v>1924</v>
      </c>
      <c r="B1924" s="2" t="str">
        <f>IFERROR(__xludf.DUMMYFUNCTION("GOOGLETRANSLATE(A1924, ""de"", ""en"")"),"my")</f>
        <v>my</v>
      </c>
    </row>
    <row r="1925">
      <c r="A1925" s="1" t="s">
        <v>1925</v>
      </c>
      <c r="B1925" s="2" t="str">
        <f>IFERROR(__xludf.DUMMYFUNCTION("GOOGLETRANSLATE(A1925, ""de"", ""en"")"),"got it")</f>
        <v>got it</v>
      </c>
    </row>
    <row r="1926">
      <c r="A1926" s="1" t="s">
        <v>1926</v>
      </c>
      <c r="B1926" s="2" t="str">
        <f>IFERROR(__xludf.DUMMYFUNCTION("GOOGLETRANSLATE(A1926, ""de"", ""en"")"),"afterward")</f>
        <v>afterward</v>
      </c>
    </row>
    <row r="1927">
      <c r="A1927" s="1" t="s">
        <v>1927</v>
      </c>
      <c r="B1927" s="2" t="str">
        <f>IFERROR(__xludf.DUMMYFUNCTION("GOOGLETRANSLATE(A1927, ""de"", ""en"")"),"demanded")</f>
        <v>demanded</v>
      </c>
    </row>
    <row r="1928">
      <c r="A1928" s="1" t="s">
        <v>1928</v>
      </c>
      <c r="B1928" s="2" t="str">
        <f>IFERROR(__xludf.DUMMYFUNCTION("GOOGLETRANSLATE(A1928, ""de"", ""en"")"),"beats")</f>
        <v>beats</v>
      </c>
    </row>
    <row r="1929">
      <c r="A1929" s="1" t="s">
        <v>1929</v>
      </c>
      <c r="B1929" s="2" t="str">
        <f>IFERROR(__xludf.DUMMYFUNCTION("GOOGLETRANSLATE(A1929, ""de"", ""en"")"),"convinced")</f>
        <v>convinced</v>
      </c>
    </row>
    <row r="1930">
      <c r="A1930" s="1" t="s">
        <v>1930</v>
      </c>
      <c r="B1930" s="2" t="str">
        <f>IFERROR(__xludf.DUMMYFUNCTION("GOOGLETRANSLATE(A1930, ""de"", ""en"")"),"anyone")</f>
        <v>anyone</v>
      </c>
    </row>
    <row r="1931">
      <c r="A1931" s="1" t="s">
        <v>1931</v>
      </c>
      <c r="B1931" s="2" t="str">
        <f>IFERROR(__xludf.DUMMYFUNCTION("GOOGLETRANSLATE(A1931, ""de"", ""en"")"),"red")</f>
        <v>red</v>
      </c>
    </row>
    <row r="1932">
      <c r="A1932" s="1" t="s">
        <v>1932</v>
      </c>
      <c r="B1932" s="2" t="str">
        <f>IFERROR(__xludf.DUMMYFUNCTION("GOOGLETRANSLATE(A1932, ""de"", ""en"")"),"soldier")</f>
        <v>soldier</v>
      </c>
    </row>
    <row r="1933">
      <c r="A1933" s="1" t="s">
        <v>1933</v>
      </c>
      <c r="B1933" s="2" t="str">
        <f>IFERROR(__xludf.DUMMYFUNCTION("GOOGLETRANSLATE(A1933, ""de"", ""en"")"),"prepared")</f>
        <v>prepared</v>
      </c>
    </row>
    <row r="1934">
      <c r="A1934" s="1" t="s">
        <v>1934</v>
      </c>
      <c r="B1934" s="2" t="str">
        <f>IFERROR(__xludf.DUMMYFUNCTION("GOOGLETRANSLATE(A1934, ""de"", ""en"")"),"happened")</f>
        <v>happened</v>
      </c>
    </row>
    <row r="1935">
      <c r="A1935" s="1" t="s">
        <v>1935</v>
      </c>
      <c r="B1935" s="2" t="str">
        <f>IFERROR(__xludf.DUMMYFUNCTION("GOOGLETRANSLATE(A1935, ""de"", ""en"")"),"travel")</f>
        <v>travel</v>
      </c>
    </row>
    <row r="1936">
      <c r="A1936" s="1" t="s">
        <v>1936</v>
      </c>
      <c r="B1936" s="2" t="str">
        <f>IFERROR(__xludf.DUMMYFUNCTION("GOOGLETRANSLATE(A1936, ""de"", ""en"")"),"appointment")</f>
        <v>appointment</v>
      </c>
    </row>
    <row r="1937">
      <c r="A1937" s="1" t="s">
        <v>1937</v>
      </c>
      <c r="B1937" s="2" t="str">
        <f>IFERROR(__xludf.DUMMYFUNCTION("GOOGLETRANSLATE(A1937, ""de"", ""en"")"),"gear")</f>
        <v>gear</v>
      </c>
    </row>
    <row r="1938">
      <c r="A1938" s="1" t="s">
        <v>1938</v>
      </c>
      <c r="B1938" s="2" t="str">
        <f>IFERROR(__xludf.DUMMYFUNCTION("GOOGLETRANSLATE(A1938, ""de"", ""en"")"),"steal")</f>
        <v>steal</v>
      </c>
    </row>
    <row r="1939">
      <c r="A1939" s="1" t="s">
        <v>1939</v>
      </c>
      <c r="B1939" s="2" t="str">
        <f>IFERROR(__xludf.DUMMYFUNCTION("GOOGLETRANSLATE(A1939, ""de"", ""en"")"),"right")</f>
        <v>right</v>
      </c>
    </row>
    <row r="1940">
      <c r="A1940" s="1" t="s">
        <v>1940</v>
      </c>
      <c r="B1940" s="2" t="str">
        <f>IFERROR(__xludf.DUMMYFUNCTION("GOOGLETRANSLATE(A1940, ""de"", ""en"")"),"revenge")</f>
        <v>revenge</v>
      </c>
    </row>
    <row r="1941">
      <c r="A1941" s="1" t="s">
        <v>1941</v>
      </c>
      <c r="B1941" s="2" t="str">
        <f>IFERROR(__xludf.DUMMYFUNCTION("GOOGLETRANSLATE(A1941, ""de"", ""en"")"),"noticed")</f>
        <v>noticed</v>
      </c>
    </row>
    <row r="1942">
      <c r="A1942" s="1" t="s">
        <v>1942</v>
      </c>
      <c r="B1942" s="2" t="str">
        <f>IFERROR(__xludf.DUMMYFUNCTION("GOOGLETRANSLATE(A1942, ""de"", ""en"")"),"France")</f>
        <v>France</v>
      </c>
    </row>
    <row r="1943">
      <c r="A1943" s="1" t="s">
        <v>1943</v>
      </c>
      <c r="B1943" s="2" t="str">
        <f>IFERROR(__xludf.DUMMYFUNCTION("GOOGLETRANSLATE(A1943, ""de"", ""en"")"),"disturbs")</f>
        <v>disturbs</v>
      </c>
    </row>
    <row r="1944">
      <c r="A1944" s="1" t="s">
        <v>1944</v>
      </c>
      <c r="B1944" s="2" t="str">
        <f>IFERROR(__xludf.DUMMYFUNCTION("GOOGLETRANSLATE(A1944, ""de"", ""en"")"),"radio")</f>
        <v>radio</v>
      </c>
    </row>
    <row r="1945">
      <c r="A1945" s="1" t="s">
        <v>1945</v>
      </c>
      <c r="B1945" s="2" t="str">
        <f>IFERROR(__xludf.DUMMYFUNCTION("GOOGLETRANSLATE(A1945, ""de"", ""en"")"),"calm down")</f>
        <v>calm down</v>
      </c>
    </row>
    <row r="1946">
      <c r="A1946" s="1" t="s">
        <v>1946</v>
      </c>
      <c r="B1946" s="2" t="str">
        <f>IFERROR(__xludf.DUMMYFUNCTION("GOOGLETRANSLATE(A1946, ""de"", ""en"")"),"horses")</f>
        <v>horses</v>
      </c>
    </row>
    <row r="1947">
      <c r="A1947" s="1" t="s">
        <v>1947</v>
      </c>
      <c r="B1947" s="2" t="str">
        <f>IFERROR(__xludf.DUMMYFUNCTION("GOOGLETRANSLATE(A1947, ""de"", ""en"")"),"contract")</f>
        <v>contract</v>
      </c>
    </row>
    <row r="1948">
      <c r="A1948" s="1" t="s">
        <v>1948</v>
      </c>
      <c r="B1948" s="2" t="str">
        <f>IFERROR(__xludf.DUMMYFUNCTION("GOOGLETRANSLATE(A1948, ""de"", ""en"")"),"work")</f>
        <v>work</v>
      </c>
    </row>
    <row r="1949">
      <c r="A1949" s="1" t="s">
        <v>1949</v>
      </c>
      <c r="B1949" s="2" t="str">
        <f>IFERROR(__xludf.DUMMYFUNCTION("GOOGLETRANSLATE(A1949, ""de"", ""en"")"),"service")</f>
        <v>service</v>
      </c>
    </row>
    <row r="1950">
      <c r="A1950" s="1" t="s">
        <v>1950</v>
      </c>
      <c r="B1950" s="2" t="str">
        <f>IFERROR(__xludf.DUMMYFUNCTION("GOOGLETRANSLATE(A1950, ""de"", ""en"")"),"counts")</f>
        <v>counts</v>
      </c>
    </row>
    <row r="1951">
      <c r="A1951" s="1" t="s">
        <v>1951</v>
      </c>
      <c r="B1951" s="2" t="str">
        <f>IFERROR(__xludf.DUMMYFUNCTION("GOOGLETRANSLATE(A1951, ""de"", ""en"")"),"you ask")</f>
        <v>you ask</v>
      </c>
    </row>
    <row r="1952">
      <c r="A1952" s="1" t="s">
        <v>1952</v>
      </c>
      <c r="B1952" s="2" t="str">
        <f>IFERROR(__xludf.DUMMYFUNCTION("GOOGLETRANSLATE(A1952, ""de"", ""en"")"),"beings")</f>
        <v>beings</v>
      </c>
    </row>
    <row r="1953">
      <c r="A1953" s="1" t="s">
        <v>1953</v>
      </c>
      <c r="B1953" s="2" t="str">
        <f>IFERROR(__xludf.DUMMYFUNCTION("GOOGLETRANSLATE(A1953, ""de"", ""en"")"),"mayor")</f>
        <v>mayor</v>
      </c>
    </row>
    <row r="1954">
      <c r="A1954" s="1" t="s">
        <v>1954</v>
      </c>
      <c r="B1954" s="2" t="str">
        <f>IFERROR(__xludf.DUMMYFUNCTION("GOOGLETRANSLATE(A1954, ""de"", ""en"")"),"emma")</f>
        <v>emma</v>
      </c>
    </row>
    <row r="1955">
      <c r="A1955" s="1" t="s">
        <v>1955</v>
      </c>
      <c r="B1955" s="2" t="str">
        <f>IFERROR(__xludf.DUMMYFUNCTION("GOOGLETRANSLATE(A1955, ""de"", ""en"")"),"flow")</f>
        <v>flow</v>
      </c>
    </row>
    <row r="1956">
      <c r="A1956" s="1" t="s">
        <v>1956</v>
      </c>
      <c r="B1956" s="2" t="str">
        <f>IFERROR(__xludf.DUMMYFUNCTION("GOOGLETRANSLATE(A1956, ""de"", ""en"")"),"what")</f>
        <v>what</v>
      </c>
    </row>
    <row r="1957">
      <c r="A1957" s="1" t="s">
        <v>1957</v>
      </c>
      <c r="B1957" s="2" t="str">
        <f>IFERROR(__xludf.DUMMYFUNCTION("GOOGLETRANSLATE(A1957, ""de"", ""en"")"),"stayed")</f>
        <v>stayed</v>
      </c>
    </row>
    <row r="1958">
      <c r="A1958" s="1" t="s">
        <v>1958</v>
      </c>
      <c r="B1958" s="2" t="str">
        <f>IFERROR(__xludf.DUMMYFUNCTION("GOOGLETRANSLATE(A1958, ""de"", ""en"")"),"mixed up")</f>
        <v>mixed up</v>
      </c>
    </row>
    <row r="1959">
      <c r="A1959" s="1" t="s">
        <v>1959</v>
      </c>
      <c r="B1959" s="2" t="str">
        <f>IFERROR(__xludf.DUMMYFUNCTION("GOOGLETRANSLATE(A1959, ""de"", ""en"")"),"me")</f>
        <v>me</v>
      </c>
    </row>
    <row r="1960">
      <c r="A1960" s="1" t="s">
        <v>1960</v>
      </c>
      <c r="B1960" s="2" t="str">
        <f>IFERROR(__xludf.DUMMYFUNCTION("GOOGLETRANSLATE(A1960, ""de"", ""en"")"),"ted")</f>
        <v>ted</v>
      </c>
    </row>
    <row r="1961">
      <c r="A1961" s="1" t="s">
        <v>1961</v>
      </c>
      <c r="B1961" s="2" t="str">
        <f>IFERROR(__xludf.DUMMYFUNCTION("GOOGLETRANSLATE(A1961, ""de"", ""en"")"),"cute")</f>
        <v>cute</v>
      </c>
    </row>
    <row r="1962">
      <c r="A1962" s="1" t="s">
        <v>1962</v>
      </c>
      <c r="B1962" s="2" t="str">
        <f>IFERROR(__xludf.DUMMYFUNCTION("GOOGLETRANSLATE(A1962, ""de"", ""en"")"),"test")</f>
        <v>test</v>
      </c>
    </row>
    <row r="1963">
      <c r="A1963" s="1" t="s">
        <v>1963</v>
      </c>
      <c r="B1963" s="2" t="str">
        <f>IFERROR(__xludf.DUMMYFUNCTION("GOOGLETRANSLATE(A1963, ""de"", ""en"")"),"mister")</f>
        <v>mister</v>
      </c>
    </row>
    <row r="1964">
      <c r="A1964" s="1" t="s">
        <v>1964</v>
      </c>
      <c r="B1964" s="2" t="str">
        <f>IFERROR(__xludf.DUMMYFUNCTION("GOOGLETRANSLATE(A1964, ""de"", ""en"")"),"through this")</f>
        <v>through this</v>
      </c>
    </row>
    <row r="1965">
      <c r="A1965" s="1" t="s">
        <v>1965</v>
      </c>
      <c r="B1965" s="2" t="str">
        <f>IFERROR(__xludf.DUMMYFUNCTION("GOOGLETRANSLATE(A1965, ""de"", ""en"")"),"director")</f>
        <v>director</v>
      </c>
    </row>
    <row r="1966">
      <c r="A1966" s="1" t="s">
        <v>1966</v>
      </c>
      <c r="B1966" s="2" t="str">
        <f>IFERROR(__xludf.DUMMYFUNCTION("GOOGLETRANSLATE(A1966, ""de"", ""en"")"),"more important")</f>
        <v>more important</v>
      </c>
    </row>
    <row r="1967">
      <c r="A1967" s="1" t="s">
        <v>1967</v>
      </c>
      <c r="B1967" s="2" t="str">
        <f>IFERROR(__xludf.DUMMYFUNCTION("GOOGLETRANSLATE(A1967, ""de"", ""en"")"),"Kevin")</f>
        <v>Kevin</v>
      </c>
    </row>
    <row r="1968">
      <c r="A1968" s="1" t="s">
        <v>1968</v>
      </c>
      <c r="B1968" s="2" t="str">
        <f>IFERROR(__xludf.DUMMYFUNCTION("GOOGLETRANSLATE(A1968, ""de"", ""en"")"),"scott")</f>
        <v>scott</v>
      </c>
    </row>
    <row r="1969">
      <c r="A1969" s="1" t="s">
        <v>1969</v>
      </c>
      <c r="B1969" s="2" t="str">
        <f>IFERROR(__xludf.DUMMYFUNCTION("GOOGLETRANSLATE(A1969, ""de"", ""en"")"),"career")</f>
        <v>career</v>
      </c>
    </row>
    <row r="1970">
      <c r="A1970" s="1" t="s">
        <v>1970</v>
      </c>
      <c r="B1970" s="2" t="str">
        <f>IFERROR(__xludf.DUMMYFUNCTION("GOOGLETRANSLATE(A1970, ""de"", ""en"")"),"file")</f>
        <v>file</v>
      </c>
    </row>
    <row r="1971">
      <c r="A1971" s="1" t="s">
        <v>1971</v>
      </c>
      <c r="B1971" s="2" t="str">
        <f>IFERROR(__xludf.DUMMYFUNCTION("GOOGLETRANSLATE(A1971, ""de"", ""en"")"),"memory")</f>
        <v>memory</v>
      </c>
    </row>
    <row r="1972">
      <c r="A1972" s="1" t="s">
        <v>1972</v>
      </c>
      <c r="B1972" s="2" t="str">
        <f>IFERROR(__xludf.DUMMYFUNCTION("GOOGLETRANSLATE(A1972, ""de"", ""en"")"),"grandmother")</f>
        <v>grandmother</v>
      </c>
    </row>
    <row r="1973">
      <c r="A1973" s="1" t="s">
        <v>1973</v>
      </c>
      <c r="B1973" s="2" t="str">
        <f>IFERROR(__xludf.DUMMYFUNCTION("GOOGLETRANSLATE(A1973, ""de"", ""en"")"),"tell")</f>
        <v>tell</v>
      </c>
    </row>
    <row r="1974">
      <c r="A1974" s="1" t="s">
        <v>1974</v>
      </c>
      <c r="B1974" s="2" t="str">
        <f>IFERROR(__xludf.DUMMYFUNCTION("GOOGLETRANSLATE(A1974, ""de"", ""en"")"),"solve")</f>
        <v>solve</v>
      </c>
    </row>
    <row r="1975">
      <c r="A1975" s="1" t="s">
        <v>1975</v>
      </c>
      <c r="B1975" s="2" t="str">
        <f>IFERROR(__xludf.DUMMYFUNCTION("GOOGLETRANSLATE(A1975, ""de"", ""en"")"),"Bravo")</f>
        <v>Bravo</v>
      </c>
    </row>
    <row r="1976">
      <c r="A1976" s="1" t="s">
        <v>1976</v>
      </c>
      <c r="B1976" s="2" t="str">
        <f>IFERROR(__xludf.DUMMYFUNCTION("GOOGLETRANSLATE(A1976, ""de"", ""en"")"),"handle")</f>
        <v>handle</v>
      </c>
    </row>
    <row r="1977">
      <c r="A1977" s="1" t="s">
        <v>1977</v>
      </c>
      <c r="B1977" s="2" t="str">
        <f>IFERROR(__xludf.DUMMYFUNCTION("GOOGLETRANSLATE(A1977, ""de"", ""en"")"),"track")</f>
        <v>track</v>
      </c>
    </row>
    <row r="1978">
      <c r="A1978" s="1" t="s">
        <v>1978</v>
      </c>
      <c r="B1978" s="2" t="str">
        <f>IFERROR(__xludf.DUMMYFUNCTION("GOOGLETRANSLATE(A1978, ""de"", ""en"")"),"doubt")</f>
        <v>doubt</v>
      </c>
    </row>
    <row r="1979">
      <c r="A1979" s="1" t="s">
        <v>1979</v>
      </c>
      <c r="B1979" s="2" t="str">
        <f>IFERROR(__xludf.DUMMYFUNCTION("GOOGLETRANSLATE(A1979, ""de"", ""en"")"),"search")</f>
        <v>search</v>
      </c>
    </row>
    <row r="1980">
      <c r="A1980" s="1" t="s">
        <v>1980</v>
      </c>
      <c r="B1980" s="2" t="str">
        <f>IFERROR(__xludf.DUMMYFUNCTION("GOOGLETRANSLATE(A1980, ""de"", ""en"")"),"language")</f>
        <v>language</v>
      </c>
    </row>
    <row r="1981">
      <c r="A1981" s="1" t="s">
        <v>1981</v>
      </c>
      <c r="B1981" s="2" t="str">
        <f>IFERROR(__xludf.DUMMYFUNCTION("GOOGLETRANSLATE(A1981, ""de"", ""en"")"),"annoy")</f>
        <v>annoy</v>
      </c>
    </row>
    <row r="1982">
      <c r="A1982" s="1" t="s">
        <v>1982</v>
      </c>
      <c r="B1982" s="2" t="str">
        <f>IFERROR(__xludf.DUMMYFUNCTION("GOOGLETRANSLATE(A1982, ""de"", ""en"")"),"officer")</f>
        <v>officer</v>
      </c>
    </row>
    <row r="1983">
      <c r="A1983" s="1" t="s">
        <v>1983</v>
      </c>
      <c r="B1983" s="2" t="str">
        <f>IFERROR(__xludf.DUMMYFUNCTION("GOOGLETRANSLATE(A1983, ""de"", ""en"")"),"andy")</f>
        <v>andy</v>
      </c>
    </row>
    <row r="1984">
      <c r="A1984" s="1" t="s">
        <v>1984</v>
      </c>
      <c r="B1984" s="2" t="str">
        <f>IFERROR(__xludf.DUMMYFUNCTION("GOOGLETRANSLATE(A1984, ""de"", ""en"")"),"longer")</f>
        <v>longer</v>
      </c>
    </row>
    <row r="1985">
      <c r="A1985" s="1" t="s">
        <v>1985</v>
      </c>
      <c r="B1985" s="2" t="str">
        <f>IFERROR(__xludf.DUMMYFUNCTION("GOOGLETRANSLATE(A1985, ""de"", ""en"")"),"pull")</f>
        <v>pull</v>
      </c>
    </row>
    <row r="1986">
      <c r="A1986" s="1" t="s">
        <v>1986</v>
      </c>
      <c r="B1986" s="2" t="str">
        <f>IFERROR(__xludf.DUMMYFUNCTION("GOOGLETRANSLATE(A1986, ""de"", ""en"")"),"dismissed")</f>
        <v>dismissed</v>
      </c>
    </row>
    <row r="1987">
      <c r="A1987" s="1" t="s">
        <v>1987</v>
      </c>
      <c r="B1987" s="2" t="str">
        <f>IFERROR(__xludf.DUMMYFUNCTION("GOOGLETRANSLATE(A1987, ""de"", ""en"")"),"twice")</f>
        <v>twice</v>
      </c>
    </row>
    <row r="1988">
      <c r="A1988" s="1" t="s">
        <v>1988</v>
      </c>
      <c r="B1988" s="2" t="str">
        <f>IFERROR(__xludf.DUMMYFUNCTION("GOOGLETRANSLATE(A1988, ""de"", ""en"")"),"pick up")</f>
        <v>pick up</v>
      </c>
    </row>
    <row r="1989">
      <c r="A1989" s="1" t="s">
        <v>1989</v>
      </c>
      <c r="B1989" s="2" t="str">
        <f>IFERROR(__xludf.DUMMYFUNCTION("GOOGLETRANSLATE(A1989, ""de"", ""en"")"),"Washington")</f>
        <v>Washington</v>
      </c>
    </row>
    <row r="1990">
      <c r="A1990" s="1" t="s">
        <v>1990</v>
      </c>
      <c r="B1990" s="2" t="str">
        <f>IFERROR(__xludf.DUMMYFUNCTION("GOOGLETRANSLATE(A1990, ""de"", ""en"")"),"colleagues")</f>
        <v>colleagues</v>
      </c>
    </row>
    <row r="1991">
      <c r="A1991" s="1" t="s">
        <v>1991</v>
      </c>
      <c r="B1991" s="2" t="str">
        <f>IFERROR(__xludf.DUMMYFUNCTION("GOOGLETRANSLATE(A1991, ""de"", ""en"")"),"doc")</f>
        <v>doc</v>
      </c>
    </row>
    <row r="1992">
      <c r="A1992" s="1" t="s">
        <v>1992</v>
      </c>
      <c r="B1992" s="2" t="str">
        <f>IFERROR(__xludf.DUMMYFUNCTION("GOOGLETRANSLATE(A1992, ""de"", ""en"")"),"barrel")</f>
        <v>barrel</v>
      </c>
    </row>
    <row r="1993">
      <c r="A1993" s="1" t="s">
        <v>1993</v>
      </c>
      <c r="B1993" s="2" t="str">
        <f>IFERROR(__xludf.DUMMYFUNCTION("GOOGLETRANSLATE(A1993, ""de"", ""en"")"),"scene")</f>
        <v>scene</v>
      </c>
    </row>
    <row r="1994">
      <c r="A1994" s="1" t="s">
        <v>1994</v>
      </c>
      <c r="B1994" s="2" t="str">
        <f>IFERROR(__xludf.DUMMYFUNCTION("GOOGLETRANSLATE(A1994, ""de"", ""en"")"),"robin")</f>
        <v>robin</v>
      </c>
    </row>
    <row r="1995">
      <c r="A1995" s="1" t="s">
        <v>1995</v>
      </c>
      <c r="B1995" s="2" t="str">
        <f>IFERROR(__xludf.DUMMYFUNCTION("GOOGLETRANSLATE(A1995, ""de"", ""en"")"),"seem")</f>
        <v>seem</v>
      </c>
    </row>
    <row r="1996">
      <c r="A1996" s="1" t="s">
        <v>1996</v>
      </c>
      <c r="B1996" s="2" t="str">
        <f>IFERROR(__xludf.DUMMYFUNCTION("GOOGLETRANSLATE(A1996, ""de"", ""en"")"),"evil")</f>
        <v>evil</v>
      </c>
    </row>
    <row r="1997">
      <c r="A1997" s="1" t="s">
        <v>1997</v>
      </c>
      <c r="B1997" s="2" t="str">
        <f>IFERROR(__xludf.DUMMYFUNCTION("GOOGLETRANSLATE(A1997, ""de"", ""en"")"),"create")</f>
        <v>create</v>
      </c>
    </row>
    <row r="1998">
      <c r="A1998" s="1" t="s">
        <v>1998</v>
      </c>
      <c r="B1998" s="2" t="str">
        <f>IFERROR(__xludf.DUMMYFUNCTION("GOOGLETRANSLATE(A1998, ""de"", ""en"")"),"duty")</f>
        <v>duty</v>
      </c>
    </row>
    <row r="1999">
      <c r="A1999" s="1" t="s">
        <v>1999</v>
      </c>
      <c r="B1999" s="2" t="str">
        <f>IFERROR(__xludf.DUMMYFUNCTION("GOOGLETRANSLATE(A1999, ""de"", ""en"")"),"guard")</f>
        <v>guard</v>
      </c>
    </row>
    <row r="2000">
      <c r="A2000" s="1" t="s">
        <v>2000</v>
      </c>
      <c r="B2000" s="2" t="str">
        <f>IFERROR(__xludf.DUMMYFUNCTION("GOOGLETRANSLATE(A2000, ""de"", ""en"")"),"recently")</f>
        <v>recently</v>
      </c>
    </row>
    <row r="2001">
      <c r="A2001" s="1" t="s">
        <v>2001</v>
      </c>
      <c r="B2001" s="2" t="str">
        <f>IFERROR(__xludf.DUMMYFUNCTION("GOOGLETRANSLATE(A2001, ""de"", ""en"")"),"hurry up")</f>
        <v>hurry up</v>
      </c>
    </row>
    <row r="2002">
      <c r="A2002" s="1" t="s">
        <v>2002</v>
      </c>
      <c r="B2002" s="2" t="str">
        <f>IFERROR(__xludf.DUMMYFUNCTION("GOOGLETRANSLATE(A2002, ""de"", ""en"")"),"knee")</f>
        <v>knee</v>
      </c>
    </row>
    <row r="2003">
      <c r="A2003" s="1" t="s">
        <v>2003</v>
      </c>
      <c r="B2003" s="2" t="str">
        <f>IFERROR(__xludf.DUMMYFUNCTION("GOOGLETRANSLATE(A2003, ""de"", ""en"")"),"Alice")</f>
        <v>Alice</v>
      </c>
    </row>
    <row r="2004">
      <c r="A2004" s="1" t="s">
        <v>2004</v>
      </c>
      <c r="B2004" s="2" t="str">
        <f>IFERROR(__xludf.DUMMYFUNCTION("GOOGLETRANSLATE(A2004, ""de"", ""en"")"),"louder")</f>
        <v>louder</v>
      </c>
    </row>
    <row r="2005">
      <c r="A2005" s="1" t="s">
        <v>2005</v>
      </c>
      <c r="B2005" s="2" t="str">
        <f>IFERROR(__xludf.DUMMYFUNCTION("GOOGLETRANSLATE(A2005, ""de"", ""en"")"),"exciting")</f>
        <v>exciting</v>
      </c>
    </row>
    <row r="2006">
      <c r="A2006" s="1" t="s">
        <v>2006</v>
      </c>
      <c r="B2006" s="2" t="str">
        <f>IFERROR(__xludf.DUMMYFUNCTION("GOOGLETRANSLATE(A2006, ""de"", ""en"")"),"innocent")</f>
        <v>innocent</v>
      </c>
    </row>
    <row r="2007">
      <c r="A2007" s="1" t="s">
        <v>2007</v>
      </c>
      <c r="B2007" s="2" t="str">
        <f>IFERROR(__xludf.DUMMYFUNCTION("GOOGLETRANSLATE(A2007, ""de"", ""en"")"),"follows")</f>
        <v>follows</v>
      </c>
    </row>
    <row r="2008">
      <c r="A2008" s="1" t="s">
        <v>2008</v>
      </c>
      <c r="B2008" s="2" t="str">
        <f>IFERROR(__xludf.DUMMYFUNCTION("GOOGLETRANSLATE(A2008, ""de"", ""en"")"),"protection")</f>
        <v>protection</v>
      </c>
    </row>
    <row r="2009">
      <c r="A2009" s="1" t="s">
        <v>2009</v>
      </c>
      <c r="B2009" s="2" t="str">
        <f>IFERROR(__xludf.DUMMYFUNCTION("GOOGLETRANSLATE(A2009, ""de"", ""en"")"),"for what reason")</f>
        <v>for what reason</v>
      </c>
    </row>
    <row r="2010">
      <c r="A2010" s="1" t="s">
        <v>2010</v>
      </c>
      <c r="B2010" s="2" t="str">
        <f>IFERROR(__xludf.DUMMYFUNCTION("GOOGLETRANSLATE(A2010, ""de"", ""en"")"),"married")</f>
        <v>married</v>
      </c>
    </row>
    <row r="2011">
      <c r="A2011" s="1" t="s">
        <v>2011</v>
      </c>
      <c r="B2011" s="2" t="str">
        <f>IFERROR(__xludf.DUMMYFUNCTION("GOOGLETRANSLATE(A2011, ""de"", ""en"")"),"somewhere else")</f>
        <v>somewhere else</v>
      </c>
    </row>
    <row r="2012">
      <c r="A2012" s="1" t="s">
        <v>2012</v>
      </c>
      <c r="B2012" s="2" t="str">
        <f>IFERROR(__xludf.DUMMYFUNCTION("GOOGLETRANSLATE(A2012, ""de"", ""en"")"),"became")</f>
        <v>became</v>
      </c>
    </row>
    <row r="2013">
      <c r="A2013" s="1" t="s">
        <v>2013</v>
      </c>
      <c r="B2013" s="2" t="str">
        <f>IFERROR(__xludf.DUMMYFUNCTION("GOOGLETRANSLATE(A2013, ""de"", ""en"")"),"kiss")</f>
        <v>kiss</v>
      </c>
    </row>
    <row r="2014">
      <c r="A2014" s="1" t="s">
        <v>2014</v>
      </c>
      <c r="B2014" s="2" t="str">
        <f>IFERROR(__xludf.DUMMYFUNCTION("GOOGLETRANSLATE(A2014, ""de"", ""en"")"),"impede")</f>
        <v>impede</v>
      </c>
    </row>
    <row r="2015">
      <c r="A2015" s="1" t="s">
        <v>2015</v>
      </c>
      <c r="B2015" s="2" t="str">
        <f>IFERROR(__xludf.DUMMYFUNCTION("GOOGLETRANSLATE(A2015, ""de"", ""en"")"),"explanation")</f>
        <v>explanation</v>
      </c>
    </row>
    <row r="2016">
      <c r="A2016" s="1" t="s">
        <v>2016</v>
      </c>
      <c r="B2016" s="2" t="str">
        <f>IFERROR(__xludf.DUMMYFUNCTION("GOOGLETRANSLATE(A2016, ""de"", ""en"")"),"video")</f>
        <v>video</v>
      </c>
    </row>
    <row r="2017">
      <c r="A2017" s="1" t="s">
        <v>2017</v>
      </c>
      <c r="B2017" s="2" t="str">
        <f>IFERROR(__xludf.DUMMYFUNCTION("GOOGLETRANSLATE(A2017, ""de"", ""en"")"),"Rome")</f>
        <v>Rome</v>
      </c>
    </row>
    <row r="2018">
      <c r="A2018" s="1" t="s">
        <v>2018</v>
      </c>
      <c r="B2018" s="2" t="str">
        <f>IFERROR(__xludf.DUMMYFUNCTION("GOOGLETRANSLATE(A2018, ""de"", ""en"")"),"smart")</f>
        <v>smart</v>
      </c>
    </row>
    <row r="2019">
      <c r="A2019" s="1" t="s">
        <v>2019</v>
      </c>
      <c r="B2019" s="2" t="str">
        <f>IFERROR(__xludf.DUMMYFUNCTION("GOOGLETRANSLATE(A2019, ""de"", ""en"")"),"forces")</f>
        <v>forces</v>
      </c>
    </row>
    <row r="2020">
      <c r="A2020" s="1" t="s">
        <v>2020</v>
      </c>
      <c r="B2020" s="2" t="str">
        <f>IFERROR(__xludf.DUMMYFUNCTION("GOOGLETRANSLATE(A2020, ""de"", ""en"")"),"demand")</f>
        <v>demand</v>
      </c>
    </row>
    <row r="2021">
      <c r="A2021" s="1" t="s">
        <v>2021</v>
      </c>
      <c r="B2021" s="2" t="str">
        <f>IFERROR(__xludf.DUMMYFUNCTION("GOOGLETRANSLATE(A2021, ""de"", ""en"")"),"outside")</f>
        <v>outside</v>
      </c>
    </row>
    <row r="2022">
      <c r="A2022" s="1" t="s">
        <v>2022</v>
      </c>
      <c r="B2022" s="2" t="str">
        <f>IFERROR(__xludf.DUMMYFUNCTION("GOOGLETRANSLATE(A2022, ""de"", ""en"")"),"grandpa")</f>
        <v>grandpa</v>
      </c>
    </row>
    <row r="2023">
      <c r="A2023" s="1" t="s">
        <v>2023</v>
      </c>
      <c r="B2023" s="2" t="str">
        <f>IFERROR(__xludf.DUMMYFUNCTION("GOOGLETRANSLATE(A2023, ""de"", ""en"")"),"of course")</f>
        <v>of course</v>
      </c>
    </row>
    <row r="2024">
      <c r="A2024" s="1" t="s">
        <v>2024</v>
      </c>
      <c r="B2024" s="2" t="str">
        <f>IFERROR(__xludf.DUMMYFUNCTION("GOOGLETRANSLATE(A2024, ""de"", ""en"")"),"stand up")</f>
        <v>stand up</v>
      </c>
    </row>
    <row r="2025">
      <c r="A2025" s="1" t="s">
        <v>2025</v>
      </c>
      <c r="B2025" s="2" t="str">
        <f>IFERROR(__xludf.DUMMYFUNCTION("GOOGLETRANSLATE(A2025, ""de"", ""en"")"),"hate")</f>
        <v>hate</v>
      </c>
    </row>
    <row r="2026">
      <c r="A2026" s="1" t="s">
        <v>2026</v>
      </c>
      <c r="B2026" s="2" t="str">
        <f>IFERROR(__xludf.DUMMYFUNCTION("GOOGLETRANSLATE(A2026, ""de"", ""en"")"),"pete")</f>
        <v>pete</v>
      </c>
    </row>
    <row r="2027">
      <c r="A2027" s="1" t="s">
        <v>2027</v>
      </c>
      <c r="B2027" s="2" t="str">
        <f>IFERROR(__xludf.DUMMYFUNCTION("GOOGLETRANSLATE(A2027, ""de"", ""en"")"),"use")</f>
        <v>use</v>
      </c>
    </row>
    <row r="2028">
      <c r="A2028" s="1" t="s">
        <v>2028</v>
      </c>
      <c r="B2028" s="2" t="str">
        <f>IFERROR(__xludf.DUMMYFUNCTION("GOOGLETRANSLATE(A2028, ""de"", ""en"")"),"believed")</f>
        <v>believed</v>
      </c>
    </row>
    <row r="2029">
      <c r="A2029" s="1" t="s">
        <v>2029</v>
      </c>
      <c r="B2029" s="2" t="str">
        <f>IFERROR(__xludf.DUMMYFUNCTION("GOOGLETRANSLATE(A2029, ""de"", ""en"")"),"milk")</f>
        <v>milk</v>
      </c>
    </row>
    <row r="2030">
      <c r="A2030" s="1" t="s">
        <v>2030</v>
      </c>
      <c r="B2030" s="2" t="str">
        <f>IFERROR(__xludf.DUMMYFUNCTION("GOOGLETRANSLATE(A2030, ""de"", ""en"")"),"drink")</f>
        <v>drink</v>
      </c>
    </row>
    <row r="2031">
      <c r="A2031" s="1" t="s">
        <v>2031</v>
      </c>
      <c r="B2031" s="2" t="str">
        <f>IFERROR(__xludf.DUMMYFUNCTION("GOOGLETRANSLATE(A2031, ""de"", ""en"")"),"fired")</f>
        <v>fired</v>
      </c>
    </row>
    <row r="2032">
      <c r="A2032" s="1" t="s">
        <v>2032</v>
      </c>
      <c r="B2032" s="2" t="str">
        <f>IFERROR(__xludf.DUMMYFUNCTION("GOOGLETRANSLATE(A2032, ""de"", ""en"")"),"memories")</f>
        <v>memories</v>
      </c>
    </row>
    <row r="2033">
      <c r="A2033" s="1" t="s">
        <v>2033</v>
      </c>
      <c r="B2033" s="2" t="str">
        <f>IFERROR(__xludf.DUMMYFUNCTION("GOOGLETRANSLATE(A2033, ""de"", ""en"")"),"would have to")</f>
        <v>would have to</v>
      </c>
    </row>
    <row r="2034">
      <c r="A2034" s="1" t="s">
        <v>2034</v>
      </c>
      <c r="B2034" s="2" t="str">
        <f>IFERROR(__xludf.DUMMYFUNCTION("GOOGLETRANSLATE(A2034, ""de"", ""en"")"),"are looking for")</f>
        <v>are looking for</v>
      </c>
    </row>
    <row r="2035">
      <c r="A2035" s="1" t="s">
        <v>2035</v>
      </c>
      <c r="B2035" s="2" t="str">
        <f>IFERROR(__xludf.DUMMYFUNCTION("GOOGLETRANSLATE(A2035, ""de"", ""en"")"),"drive")</f>
        <v>drive</v>
      </c>
    </row>
    <row r="2036">
      <c r="A2036" s="1" t="s">
        <v>2036</v>
      </c>
      <c r="B2036" s="2" t="str">
        <f>IFERROR(__xludf.DUMMYFUNCTION("GOOGLETRANSLATE(A2036, ""de"", ""en"")"),"cook")</f>
        <v>cook</v>
      </c>
    </row>
    <row r="2037">
      <c r="A2037" s="1" t="s">
        <v>2037</v>
      </c>
      <c r="B2037" s="2" t="str">
        <f>IFERROR(__xludf.DUMMYFUNCTION("GOOGLETRANSLATE(A2037, ""de"", ""en"")"),"weak")</f>
        <v>weak</v>
      </c>
    </row>
    <row r="2038">
      <c r="A2038" s="1" t="s">
        <v>2038</v>
      </c>
      <c r="B2038" s="2" t="str">
        <f>IFERROR(__xludf.DUMMYFUNCTION("GOOGLETRANSLATE(A2038, ""de"", ""en"")"),"writes")</f>
        <v>writes</v>
      </c>
    </row>
    <row r="2039">
      <c r="A2039" s="1" t="s">
        <v>2039</v>
      </c>
      <c r="B2039" s="2" t="str">
        <f>IFERROR(__xludf.DUMMYFUNCTION("GOOGLETRANSLATE(A2039, ""de"", ""en"")"),"debts")</f>
        <v>debts</v>
      </c>
    </row>
    <row r="2040">
      <c r="A2040" s="1" t="s">
        <v>2040</v>
      </c>
      <c r="B2040" s="2" t="str">
        <f>IFERROR(__xludf.DUMMYFUNCTION("GOOGLETRANSLATE(A2040, ""de"", ""en"")"),"into it")</f>
        <v>into it</v>
      </c>
    </row>
    <row r="2041">
      <c r="A2041" s="1" t="s">
        <v>2041</v>
      </c>
      <c r="B2041" s="2" t="str">
        <f>IFERROR(__xludf.DUMMYFUNCTION("GOOGLETRANSLATE(A2041, ""de"", ""en"")"),"Simon")</f>
        <v>Simon</v>
      </c>
    </row>
    <row r="2042">
      <c r="A2042" s="1" t="s">
        <v>2042</v>
      </c>
      <c r="B2042" s="2" t="str">
        <f>IFERROR(__xludf.DUMMYFUNCTION("GOOGLETRANSLATE(A2042, ""de"", ""en"")"),"border")</f>
        <v>border</v>
      </c>
    </row>
    <row r="2043">
      <c r="A2043" s="1" t="s">
        <v>2043</v>
      </c>
      <c r="B2043" s="2" t="str">
        <f>IFERROR(__xludf.DUMMYFUNCTION("GOOGLETRANSLATE(A2043, ""de"", ""en"")"),"bride")</f>
        <v>bride</v>
      </c>
    </row>
    <row r="2044">
      <c r="A2044" s="1" t="s">
        <v>2044</v>
      </c>
      <c r="B2044" s="2" t="str">
        <f>IFERROR(__xludf.DUMMYFUNCTION("GOOGLETRANSLATE(A2044, ""de"", ""en"")"),"needed")</f>
        <v>needed</v>
      </c>
    </row>
    <row r="2045">
      <c r="A2045" s="1" t="s">
        <v>2045</v>
      </c>
      <c r="B2045" s="2" t="str">
        <f>IFERROR(__xludf.DUMMYFUNCTION("GOOGLETRANSLATE(A2045, ""de"", ""en"")"),"awkward")</f>
        <v>awkward</v>
      </c>
    </row>
    <row r="2046">
      <c r="A2046" s="1" t="s">
        <v>2046</v>
      </c>
      <c r="B2046" s="2" t="str">
        <f>IFERROR(__xludf.DUMMYFUNCTION("GOOGLETRANSLATE(A2046, ""de"", ""en"")"),"works")</f>
        <v>works</v>
      </c>
    </row>
    <row r="2047">
      <c r="A2047" s="1" t="s">
        <v>2047</v>
      </c>
      <c r="B2047" s="2" t="str">
        <f>IFERROR(__xludf.DUMMYFUNCTION("GOOGLETRANSLATE(A2047, ""de"", ""en"")"),"secrets")</f>
        <v>secrets</v>
      </c>
    </row>
    <row r="2048">
      <c r="A2048" s="1" t="s">
        <v>2048</v>
      </c>
      <c r="B2048" s="2" t="str">
        <f>IFERROR(__xludf.DUMMYFUNCTION("GOOGLETRANSLATE(A2048, ""de"", ""en"")"),"Joey")</f>
        <v>Joey</v>
      </c>
    </row>
    <row r="2049">
      <c r="A2049" s="1" t="s">
        <v>2049</v>
      </c>
      <c r="B2049" s="2" t="str">
        <f>IFERROR(__xludf.DUMMYFUNCTION("GOOGLETRANSLATE(A2049, ""de"", ""en"")"),"attention")</f>
        <v>attention</v>
      </c>
    </row>
    <row r="2050">
      <c r="A2050" s="1" t="s">
        <v>2050</v>
      </c>
      <c r="B2050" s="2" t="str">
        <f>IFERROR(__xludf.DUMMYFUNCTION("GOOGLETRANSLATE(A2050, ""de"", ""en"")"),"form")</f>
        <v>form</v>
      </c>
    </row>
    <row r="2051">
      <c r="A2051" s="1" t="s">
        <v>2051</v>
      </c>
      <c r="B2051" s="2" t="str">
        <f>IFERROR(__xludf.DUMMYFUNCTION("GOOGLETRANSLATE(A2051, ""de"", ""en"")"),"for free")</f>
        <v>for free</v>
      </c>
    </row>
    <row r="2052">
      <c r="A2052" s="1" t="s">
        <v>2052</v>
      </c>
      <c r="B2052" s="2" t="str">
        <f>IFERROR(__xludf.DUMMYFUNCTION("GOOGLETRANSLATE(A2052, ""de"", ""en"")"),"to get to know")</f>
        <v>to get to know</v>
      </c>
    </row>
    <row r="2053">
      <c r="A2053" s="1" t="s">
        <v>2053</v>
      </c>
      <c r="B2053" s="2" t="str">
        <f>IFERROR(__xludf.DUMMYFUNCTION("GOOGLETRANSLATE(A2053, ""de"", ""en"")"),"survived")</f>
        <v>survived</v>
      </c>
    </row>
    <row r="2054">
      <c r="A2054" s="1" t="s">
        <v>2054</v>
      </c>
      <c r="B2054" s="2" t="str">
        <f>IFERROR(__xludf.DUMMYFUNCTION("GOOGLETRANSLATE(A2054, ""de"", ""en"")"),"nowhere")</f>
        <v>nowhere</v>
      </c>
    </row>
    <row r="2055">
      <c r="A2055" s="1" t="s">
        <v>2055</v>
      </c>
      <c r="B2055" s="2" t="str">
        <f>IFERROR(__xludf.DUMMYFUNCTION("GOOGLETRANSLATE(A2055, ""de"", ""en"")"),"miles")</f>
        <v>miles</v>
      </c>
    </row>
    <row r="2056">
      <c r="A2056" s="1" t="s">
        <v>2056</v>
      </c>
      <c r="B2056" s="2" t="str">
        <f>IFERROR(__xludf.DUMMYFUNCTION("GOOGLETRANSLATE(A2056, ""de"", ""en"")"),"easier")</f>
        <v>easier</v>
      </c>
    </row>
    <row r="2057">
      <c r="A2057" s="1" t="s">
        <v>2057</v>
      </c>
      <c r="B2057" s="2" t="str">
        <f>IFERROR(__xludf.DUMMYFUNCTION("GOOGLETRANSLATE(A2057, ""de"", ""en"")"),"stupid")</f>
        <v>stupid</v>
      </c>
    </row>
    <row r="2058">
      <c r="A2058" s="1" t="s">
        <v>2058</v>
      </c>
      <c r="B2058" s="2" t="str">
        <f>IFERROR(__xludf.DUMMYFUNCTION("GOOGLETRANSLATE(A2058, ""de"", ""en"")"),"moon")</f>
        <v>moon</v>
      </c>
    </row>
    <row r="2059">
      <c r="A2059" s="1" t="s">
        <v>2059</v>
      </c>
      <c r="B2059" s="2" t="str">
        <f>IFERROR(__xludf.DUMMYFUNCTION("GOOGLETRANSLATE(A2059, ""de"", ""en"")"),"results")</f>
        <v>results</v>
      </c>
    </row>
    <row r="2060">
      <c r="A2060" s="1" t="s">
        <v>2060</v>
      </c>
      <c r="B2060" s="2" t="str">
        <f>IFERROR(__xludf.DUMMYFUNCTION("GOOGLETRANSLATE(A2060, ""de"", ""en"")"),"data")</f>
        <v>data</v>
      </c>
    </row>
    <row r="2061">
      <c r="A2061" s="1" t="s">
        <v>2061</v>
      </c>
      <c r="B2061" s="2" t="str">
        <f>IFERROR(__xludf.DUMMYFUNCTION("GOOGLETRANSLATE(A2061, ""de"", ""en"")"),"remember")</f>
        <v>remember</v>
      </c>
    </row>
    <row r="2062">
      <c r="A2062" s="1" t="s">
        <v>2062</v>
      </c>
      <c r="B2062" s="2" t="str">
        <f>IFERROR(__xludf.DUMMYFUNCTION("GOOGLETRANSLATE(A2062, ""de"", ""en"")"),"shame")</f>
        <v>shame</v>
      </c>
    </row>
    <row r="2063">
      <c r="A2063" s="1" t="s">
        <v>2063</v>
      </c>
      <c r="B2063" s="2" t="str">
        <f>IFERROR(__xludf.DUMMYFUNCTION("GOOGLETRANSLATE(A2063, ""de"", ""en"")"),"fuck")</f>
        <v>fuck</v>
      </c>
    </row>
    <row r="2064">
      <c r="A2064" s="1" t="s">
        <v>2064</v>
      </c>
      <c r="B2064" s="2" t="str">
        <f>IFERROR(__xludf.DUMMYFUNCTION("GOOGLETRANSLATE(A2064, ""de"", ""en"")"),"felt")</f>
        <v>felt</v>
      </c>
    </row>
    <row r="2065">
      <c r="A2065" s="1" t="s">
        <v>2065</v>
      </c>
      <c r="B2065" s="2" t="str">
        <f>IFERROR(__xludf.DUMMYFUNCTION("GOOGLETRANSLATE(A2065, ""de"", ""en"")"),"jenny")</f>
        <v>jenny</v>
      </c>
    </row>
    <row r="2066">
      <c r="A2066" s="1" t="s">
        <v>2066</v>
      </c>
      <c r="B2066" s="2" t="str">
        <f>IFERROR(__xludf.DUMMYFUNCTION("GOOGLETRANSLATE(A2066, ""de"", ""en"")"),"victory")</f>
        <v>victory</v>
      </c>
    </row>
    <row r="2067">
      <c r="A2067" s="1" t="s">
        <v>2067</v>
      </c>
      <c r="B2067" s="2" t="str">
        <f>IFERROR(__xludf.DUMMYFUNCTION("GOOGLETRANSLATE(A2067, ""de"", ""en"")"),"fed up")</f>
        <v>fed up</v>
      </c>
    </row>
    <row r="2068">
      <c r="A2068" s="1" t="s">
        <v>2068</v>
      </c>
      <c r="B2068" s="2" t="str">
        <f>IFERROR(__xludf.DUMMYFUNCTION("GOOGLETRANSLATE(A2068, ""de"", ""en"")"),"nonsense")</f>
        <v>nonsense</v>
      </c>
    </row>
    <row r="2069">
      <c r="A2069" s="1" t="s">
        <v>2069</v>
      </c>
      <c r="B2069" s="2" t="str">
        <f>IFERROR(__xludf.DUMMYFUNCTION("GOOGLETRANSLATE(A2069, ""de"", ""en"")"),"Adam")</f>
        <v>Adam</v>
      </c>
    </row>
    <row r="2070">
      <c r="A2070" s="1" t="s">
        <v>2070</v>
      </c>
      <c r="B2070" s="2" t="str">
        <f>IFERROR(__xludf.DUMMYFUNCTION("GOOGLETRANSLATE(A2070, ""de"", ""en"")"),"lisa")</f>
        <v>lisa</v>
      </c>
    </row>
    <row r="2071">
      <c r="A2071" s="1" t="s">
        <v>2071</v>
      </c>
      <c r="B2071" s="2" t="str">
        <f>IFERROR(__xludf.DUMMYFUNCTION("GOOGLETRANSLATE(A2071, ""de"", ""en"")"),"pound")</f>
        <v>pound</v>
      </c>
    </row>
    <row r="2072">
      <c r="A2072" s="1" t="s">
        <v>2072</v>
      </c>
      <c r="B2072" s="2" t="str">
        <f>IFERROR(__xludf.DUMMYFUNCTION("GOOGLETRANSLATE(A2072, ""de"", ""en"")"),"act")</f>
        <v>act</v>
      </c>
    </row>
    <row r="2073">
      <c r="A2073" s="1" t="s">
        <v>2073</v>
      </c>
      <c r="B2073" s="2" t="str">
        <f>IFERROR(__xludf.DUMMYFUNCTION("GOOGLETRANSLATE(A2073, ""de"", ""en"")"),"lois")</f>
        <v>lois</v>
      </c>
    </row>
    <row r="2074">
      <c r="A2074" s="1" t="s">
        <v>2074</v>
      </c>
      <c r="B2074" s="2" t="str">
        <f>IFERROR(__xludf.DUMMYFUNCTION("GOOGLETRANSLATE(A2074, ""de"", ""en"")"),"end")</f>
        <v>end</v>
      </c>
    </row>
    <row r="2075">
      <c r="A2075" s="1" t="s">
        <v>2075</v>
      </c>
      <c r="B2075" s="2" t="str">
        <f>IFERROR(__xludf.DUMMYFUNCTION("GOOGLETRANSLATE(A2075, ""de"", ""en"")"),"warm")</f>
        <v>warm</v>
      </c>
    </row>
    <row r="2076">
      <c r="A2076" s="1" t="s">
        <v>2076</v>
      </c>
      <c r="B2076" s="2" t="str">
        <f>IFERROR(__xludf.DUMMYFUNCTION("GOOGLETRANSLATE(A2076, ""de"", ""en"")"),"guess")</f>
        <v>guess</v>
      </c>
    </row>
    <row r="2077">
      <c r="A2077" s="1" t="s">
        <v>2077</v>
      </c>
      <c r="B2077" s="2" t="str">
        <f>IFERROR(__xludf.DUMMYFUNCTION("GOOGLETRANSLATE(A2077, ""de"", ""en"")"),"translation")</f>
        <v>translation</v>
      </c>
    </row>
    <row r="2078">
      <c r="A2078" s="1" t="s">
        <v>2078</v>
      </c>
      <c r="B2078" s="2" t="str">
        <f>IFERROR(__xludf.DUMMYFUNCTION("GOOGLETRANSLATE(A2078, ""de"", ""en"")"),"art")</f>
        <v>art</v>
      </c>
    </row>
    <row r="2079">
      <c r="A2079" s="1" t="s">
        <v>2079</v>
      </c>
      <c r="B2079" s="2" t="str">
        <f>IFERROR(__xludf.DUMMYFUNCTION("GOOGLETRANSLATE(A2079, ""de"", ""en"")"),"captain")</f>
        <v>captain</v>
      </c>
    </row>
    <row r="2080">
      <c r="A2080" s="1" t="s">
        <v>2080</v>
      </c>
      <c r="B2080" s="2" t="str">
        <f>IFERROR(__xludf.DUMMYFUNCTION("GOOGLETRANSLATE(A2080, ""de"", ""en"")"),"the more")</f>
        <v>the more</v>
      </c>
    </row>
    <row r="2081">
      <c r="A2081" s="1" t="s">
        <v>2081</v>
      </c>
      <c r="B2081" s="2" t="str">
        <f>IFERROR(__xludf.DUMMYFUNCTION("GOOGLETRANSLATE(A2081, ""de"", ""en"")"),"mission")</f>
        <v>mission</v>
      </c>
    </row>
    <row r="2082">
      <c r="A2082" s="1" t="s">
        <v>2082</v>
      </c>
      <c r="B2082" s="2" t="str">
        <f>IFERROR(__xludf.DUMMYFUNCTION("GOOGLETRANSLATE(A2082, ""de"", ""en"")"),"be silent")</f>
        <v>be silent</v>
      </c>
    </row>
    <row r="2083">
      <c r="A2083" s="1" t="s">
        <v>2083</v>
      </c>
      <c r="B2083" s="2" t="str">
        <f>IFERROR(__xludf.DUMMYFUNCTION("GOOGLETRANSLATE(A2083, ""de"", ""en"")"),"illness")</f>
        <v>illness</v>
      </c>
    </row>
    <row r="2084">
      <c r="A2084" s="1" t="s">
        <v>2084</v>
      </c>
      <c r="B2084" s="2" t="str">
        <f>IFERROR(__xludf.DUMMYFUNCTION("GOOGLETRANSLATE(A2084, ""de"", ""en"")"),"great")</f>
        <v>great</v>
      </c>
    </row>
    <row r="2085">
      <c r="A2085" s="1" t="s">
        <v>2085</v>
      </c>
      <c r="B2085" s="2" t="str">
        <f>IFERROR(__xludf.DUMMYFUNCTION("GOOGLETRANSLATE(A2085, ""de"", ""en"")"),"shadow")</f>
        <v>shadow</v>
      </c>
    </row>
    <row r="2086">
      <c r="A2086" s="1" t="s">
        <v>2086</v>
      </c>
      <c r="B2086" s="2" t="str">
        <f>IFERROR(__xludf.DUMMYFUNCTION("GOOGLETRANSLATE(A2086, ""de"", ""en"")"),"guard")</f>
        <v>guard</v>
      </c>
    </row>
    <row r="2087">
      <c r="A2087" s="1" t="s">
        <v>2087</v>
      </c>
      <c r="B2087" s="2" t="str">
        <f>IFERROR(__xludf.DUMMYFUNCTION("GOOGLETRANSLATE(A2087, ""de"", ""en"")"),"fact")</f>
        <v>fact</v>
      </c>
    </row>
    <row r="2088">
      <c r="A2088" s="1" t="s">
        <v>2088</v>
      </c>
      <c r="B2088" s="2" t="str">
        <f>IFERROR(__xludf.DUMMYFUNCTION("GOOGLETRANSLATE(A2088, ""de"", ""en"")"),"Eric")</f>
        <v>Eric</v>
      </c>
    </row>
    <row r="2089">
      <c r="A2089" s="1" t="s">
        <v>2089</v>
      </c>
      <c r="B2089" s="2" t="str">
        <f>IFERROR(__xludf.DUMMYFUNCTION("GOOGLETRANSLATE(A2089, ""de"", ""en"")"),"stock")</f>
        <v>stock</v>
      </c>
    </row>
    <row r="2090">
      <c r="A2090" s="1" t="s">
        <v>2090</v>
      </c>
      <c r="B2090" s="2" t="str">
        <f>IFERROR(__xludf.DUMMYFUNCTION("GOOGLETRANSLATE(A2090, ""de"", ""en"")"),"chief")</f>
        <v>chief</v>
      </c>
    </row>
    <row r="2091">
      <c r="A2091" s="1" t="s">
        <v>2091</v>
      </c>
      <c r="B2091" s="2" t="str">
        <f>IFERROR(__xludf.DUMMYFUNCTION("GOOGLETRANSLATE(A2091, ""de"", ""en"")"),"go there")</f>
        <v>go there</v>
      </c>
    </row>
    <row r="2092">
      <c r="A2092" s="1" t="s">
        <v>2092</v>
      </c>
      <c r="B2092" s="2" t="str">
        <f>IFERROR(__xludf.DUMMYFUNCTION("GOOGLETRANSLATE(A2092, ""de"", ""en"")"),"forbidden")</f>
        <v>forbidden</v>
      </c>
    </row>
    <row r="2093">
      <c r="A2093" s="1" t="s">
        <v>2093</v>
      </c>
      <c r="B2093" s="2" t="str">
        <f>IFERROR(__xludf.DUMMYFUNCTION("GOOGLETRANSLATE(A2093, ""de"", ""en"")"),"would exist")</f>
        <v>would exist</v>
      </c>
    </row>
    <row r="2094">
      <c r="A2094" s="1" t="s">
        <v>2094</v>
      </c>
      <c r="B2094" s="2" t="str">
        <f>IFERROR(__xludf.DUMMYFUNCTION("GOOGLETRANSLATE(A2094, ""de"", ""en"")"),"men's suit")</f>
        <v>men's suit</v>
      </c>
    </row>
    <row r="2095">
      <c r="A2095" s="1" t="s">
        <v>2095</v>
      </c>
      <c r="B2095" s="2" t="str">
        <f>IFERROR(__xludf.DUMMYFUNCTION("GOOGLETRANSLATE(A2095, ""de"", ""en"")"),"corpses")</f>
        <v>corpses</v>
      </c>
    </row>
    <row r="2096">
      <c r="A2096" s="1" t="s">
        <v>2096</v>
      </c>
      <c r="B2096" s="2" t="str">
        <f>IFERROR(__xludf.DUMMYFUNCTION("GOOGLETRANSLATE(A2096, ""de"", ""en"")"),"high")</f>
        <v>high</v>
      </c>
    </row>
    <row r="2097">
      <c r="A2097" s="1" t="s">
        <v>2097</v>
      </c>
      <c r="B2097" s="2" t="str">
        <f>IFERROR(__xludf.DUMMYFUNCTION("GOOGLETRANSLATE(A2097, ""de"", ""en"")"),"ended")</f>
        <v>ended</v>
      </c>
    </row>
    <row r="2098">
      <c r="A2098" s="1" t="s">
        <v>2098</v>
      </c>
      <c r="B2098" s="2" t="str">
        <f>IFERROR(__xludf.DUMMYFUNCTION("GOOGLETRANSLATE(A2098, ""de"", ""en"")"),"Friday")</f>
        <v>Friday</v>
      </c>
    </row>
    <row r="2099">
      <c r="A2099" s="1" t="s">
        <v>2099</v>
      </c>
      <c r="B2099" s="2" t="str">
        <f>IFERROR(__xludf.DUMMYFUNCTION("GOOGLETRANSLATE(A2099, ""de"", ""en"")"),"million")</f>
        <v>million</v>
      </c>
    </row>
    <row r="2100">
      <c r="A2100" s="1" t="s">
        <v>2100</v>
      </c>
      <c r="B2100" s="2" t="str">
        <f>IFERROR(__xludf.DUMMYFUNCTION("GOOGLETRANSLATE(A2100, ""de"", ""en"")"),"cursed")</f>
        <v>cursed</v>
      </c>
    </row>
    <row r="2101">
      <c r="A2101" s="1" t="s">
        <v>2101</v>
      </c>
      <c r="B2101" s="2" t="str">
        <f>IFERROR(__xludf.DUMMYFUNCTION("GOOGLETRANSLATE(A2101, ""de"", ""en"")"),"dark")</f>
        <v>dark</v>
      </c>
    </row>
    <row r="2102">
      <c r="A2102" s="1" t="s">
        <v>2102</v>
      </c>
      <c r="B2102" s="2" t="str">
        <f>IFERROR(__xludf.DUMMYFUNCTION("GOOGLETRANSLATE(A2102, ""de"", ""en"")"),"born")</f>
        <v>born</v>
      </c>
    </row>
    <row r="2103">
      <c r="A2103" s="1" t="s">
        <v>2103</v>
      </c>
      <c r="B2103" s="2" t="str">
        <f>IFERROR(__xludf.DUMMYFUNCTION("GOOGLETRANSLATE(A2103, ""de"", ""en"")"),"disappointed")</f>
        <v>disappointed</v>
      </c>
    </row>
    <row r="2104">
      <c r="A2104" s="1" t="s">
        <v>2104</v>
      </c>
      <c r="B2104" s="2" t="str">
        <f>IFERROR(__xludf.DUMMYFUNCTION("GOOGLETRANSLATE(A2104, ""de"", ""en"")"),"knock")</f>
        <v>knock</v>
      </c>
    </row>
    <row r="2105">
      <c r="A2105" s="1" t="s">
        <v>2105</v>
      </c>
      <c r="B2105" s="2" t="str">
        <f>IFERROR(__xludf.DUMMYFUNCTION("GOOGLETRANSLATE(A2105, ""de"", ""en"")"),"sense")</f>
        <v>sense</v>
      </c>
    </row>
    <row r="2106">
      <c r="A2106" s="1" t="s">
        <v>2106</v>
      </c>
      <c r="B2106" s="2" t="str">
        <f>IFERROR(__xludf.DUMMYFUNCTION("GOOGLETRANSLATE(A2106, ""de"", ""en"")"),"dirt")</f>
        <v>dirt</v>
      </c>
    </row>
    <row r="2107">
      <c r="A2107" s="1" t="s">
        <v>2107</v>
      </c>
      <c r="B2107" s="2" t="str">
        <f>IFERROR(__xludf.DUMMYFUNCTION("GOOGLETRANSLATE(A2107, ""de"", ""en"")"),"pages")</f>
        <v>pages</v>
      </c>
    </row>
    <row r="2108">
      <c r="A2108" s="1" t="s">
        <v>2108</v>
      </c>
      <c r="B2108" s="2" t="str">
        <f>IFERROR(__xludf.DUMMYFUNCTION("GOOGLETRANSLATE(A2108, ""de"", ""en"")"),"effort")</f>
        <v>effort</v>
      </c>
    </row>
    <row r="2109">
      <c r="A2109" s="1" t="s">
        <v>2109</v>
      </c>
      <c r="B2109" s="2" t="str">
        <f>IFERROR(__xludf.DUMMYFUNCTION("GOOGLETRANSLATE(A2109, ""de"", ""en"")"),"pulled")</f>
        <v>pulled</v>
      </c>
    </row>
    <row r="2110">
      <c r="A2110" s="1" t="s">
        <v>2110</v>
      </c>
      <c r="B2110" s="2" t="str">
        <f>IFERROR(__xludf.DUMMYFUNCTION("GOOGLETRANSLATE(A2110, ""de"", ""en"")"),"brian")</f>
        <v>brian</v>
      </c>
    </row>
    <row r="2111">
      <c r="A2111" s="1" t="s">
        <v>2111</v>
      </c>
      <c r="B2111" s="2" t="str">
        <f>IFERROR(__xludf.DUMMYFUNCTION("GOOGLETRANSLATE(A2111, ""de"", ""en"")"),"control")</f>
        <v>control</v>
      </c>
    </row>
    <row r="2112">
      <c r="A2112" s="1" t="s">
        <v>2112</v>
      </c>
      <c r="B2112" s="2" t="str">
        <f>IFERROR(__xludf.DUMMYFUNCTION("GOOGLETRANSLATE(A2112, ""de"", ""en"")"),"bone")</f>
        <v>bone</v>
      </c>
    </row>
    <row r="2113">
      <c r="A2113" s="1" t="s">
        <v>2113</v>
      </c>
      <c r="B2113" s="2" t="str">
        <f>IFERROR(__xludf.DUMMYFUNCTION("GOOGLETRANSLATE(A2113, ""de"", ""en"")"),"chic")</f>
        <v>chic</v>
      </c>
    </row>
    <row r="2114">
      <c r="A2114" s="1" t="s">
        <v>2114</v>
      </c>
      <c r="B2114" s="2" t="str">
        <f>IFERROR(__xludf.DUMMYFUNCTION("GOOGLETRANSLATE(A2114, ""de"", ""en"")"),"separated")</f>
        <v>separated</v>
      </c>
    </row>
    <row r="2115">
      <c r="A2115" s="1" t="s">
        <v>2115</v>
      </c>
      <c r="B2115" s="2" t="str">
        <f>IFERROR(__xludf.DUMMYFUNCTION("GOOGLETRANSLATE(A2115, ""de"", ""en"")"),"program")</f>
        <v>program</v>
      </c>
    </row>
    <row r="2116">
      <c r="A2116" s="1" t="s">
        <v>2116</v>
      </c>
      <c r="B2116" s="2" t="str">
        <f>IFERROR(__xludf.DUMMYFUNCTION("GOOGLETRANSLATE(A2116, ""de"", ""en"")"),"grave")</f>
        <v>grave</v>
      </c>
    </row>
    <row r="2117">
      <c r="A2117" s="1" t="s">
        <v>2117</v>
      </c>
      <c r="B2117" s="2" t="str">
        <f>IFERROR(__xludf.DUMMYFUNCTION("GOOGLETRANSLATE(A2117, ""de"", ""en"")"),"as well")</f>
        <v>as well</v>
      </c>
    </row>
    <row r="2118">
      <c r="A2118" s="1" t="s">
        <v>2118</v>
      </c>
      <c r="B2118" s="2" t="str">
        <f>IFERROR(__xludf.DUMMYFUNCTION("GOOGLETRANSLATE(A2118, ""de"", ""en"")"),"wear")</f>
        <v>wear</v>
      </c>
    </row>
    <row r="2119">
      <c r="A2119" s="1" t="s">
        <v>2119</v>
      </c>
      <c r="B2119" s="2" t="str">
        <f>IFERROR(__xludf.DUMMYFUNCTION("GOOGLETRANSLATE(A2119, ""de"", ""en"")"),"neighbors")</f>
        <v>neighbors</v>
      </c>
    </row>
    <row r="2120">
      <c r="A2120" s="1" t="s">
        <v>2120</v>
      </c>
      <c r="B2120" s="2" t="str">
        <f>IFERROR(__xludf.DUMMYFUNCTION("GOOGLETRANSLATE(A2120, ""de"", ""en"")"),"offer")</f>
        <v>offer</v>
      </c>
    </row>
    <row r="2121">
      <c r="A2121" s="1" t="s">
        <v>2121</v>
      </c>
      <c r="B2121" s="2" t="str">
        <f>IFERROR(__xludf.DUMMYFUNCTION("GOOGLETRANSLATE(A2121, ""de"", ""en"")"),"best")</f>
        <v>best</v>
      </c>
    </row>
    <row r="2122">
      <c r="A2122" s="1" t="s">
        <v>2122</v>
      </c>
      <c r="B2122" s="2" t="str">
        <f>IFERROR(__xludf.DUMMYFUNCTION("GOOGLETRANSLATE(A2122, ""de"", ""en"")"),"Elizabeth")</f>
        <v>Elizabeth</v>
      </c>
    </row>
    <row r="2123">
      <c r="A2123" s="1" t="s">
        <v>2123</v>
      </c>
      <c r="B2123" s="2" t="str">
        <f>IFERROR(__xludf.DUMMYFUNCTION("GOOGLETRANSLATE(A2123, ""de"", ""en"")"),"drove")</f>
        <v>drove</v>
      </c>
    </row>
    <row r="2124">
      <c r="A2124" s="1" t="s">
        <v>2124</v>
      </c>
      <c r="B2124" s="2" t="str">
        <f>IFERROR(__xludf.DUMMYFUNCTION("GOOGLETRANSLATE(A2124, ""de"", ""en"")"),"leaves")</f>
        <v>leaves</v>
      </c>
    </row>
    <row r="2125">
      <c r="A2125" s="1" t="s">
        <v>2125</v>
      </c>
      <c r="B2125" s="2" t="str">
        <f>IFERROR(__xludf.DUMMYFUNCTION("GOOGLETRANSLATE(A2125, ""de"", ""en"")"),"friendly")</f>
        <v>friendly</v>
      </c>
    </row>
    <row r="2126">
      <c r="A2126" s="1" t="s">
        <v>2126</v>
      </c>
      <c r="B2126" s="2" t="str">
        <f>IFERROR(__xludf.DUMMYFUNCTION("GOOGLETRANSLATE(A2126, ""de"", ""en"")"),"nonetheless")</f>
        <v>nonetheless</v>
      </c>
    </row>
    <row r="2127">
      <c r="A2127" s="1" t="s">
        <v>2127</v>
      </c>
      <c r="B2127" s="2" t="str">
        <f>IFERROR(__xludf.DUMMYFUNCTION("GOOGLETRANSLATE(A2127, ""de"", ""en"")"),"smoke")</f>
        <v>smoke</v>
      </c>
    </row>
    <row r="2128">
      <c r="A2128" s="1" t="s">
        <v>2128</v>
      </c>
      <c r="B2128" s="2" t="str">
        <f>IFERROR(__xludf.DUMMYFUNCTION("GOOGLETRANSLATE(A2128, ""de"", ""en"")"),"thick")</f>
        <v>thick</v>
      </c>
    </row>
    <row r="2129">
      <c r="A2129" s="1" t="s">
        <v>2129</v>
      </c>
      <c r="B2129" s="2" t="str">
        <f>IFERROR(__xludf.DUMMYFUNCTION("GOOGLETRANSLATE(A2129, ""de"", ""en"")"),"chair")</f>
        <v>chair</v>
      </c>
    </row>
    <row r="2130">
      <c r="A2130" s="1" t="s">
        <v>2130</v>
      </c>
      <c r="B2130" s="2" t="str">
        <f>IFERROR(__xludf.DUMMYFUNCTION("GOOGLETRANSLATE(A2130, ""de"", ""en"")"),"turn")</f>
        <v>turn</v>
      </c>
    </row>
    <row r="2131">
      <c r="A2131" s="1" t="s">
        <v>2131</v>
      </c>
      <c r="B2131" s="2" t="str">
        <f>IFERROR(__xludf.DUMMYFUNCTION("GOOGLETRANSLATE(A2131, ""de"", ""en"")"),"best")</f>
        <v>best</v>
      </c>
    </row>
    <row r="2132">
      <c r="A2132" s="1" t="s">
        <v>2132</v>
      </c>
      <c r="B2132" s="2" t="str">
        <f>IFERROR(__xludf.DUMMYFUNCTION("GOOGLETRANSLATE(A2132, ""de"", ""en"")"),"send")</f>
        <v>send</v>
      </c>
    </row>
    <row r="2133">
      <c r="A2133" s="1" t="s">
        <v>2133</v>
      </c>
      <c r="B2133" s="2" t="str">
        <f>IFERROR(__xludf.DUMMYFUNCTION("GOOGLETRANSLATE(A2133, ""de"", ""en"")"),"forgive")</f>
        <v>forgive</v>
      </c>
    </row>
    <row r="2134">
      <c r="A2134" s="1" t="s">
        <v>2134</v>
      </c>
      <c r="B2134" s="2" t="str">
        <f>IFERROR(__xludf.DUMMYFUNCTION("GOOGLETRANSLATE(A2134, ""de"", ""en"")"),"go out")</f>
        <v>go out</v>
      </c>
    </row>
    <row r="2135">
      <c r="A2135" s="1" t="s">
        <v>2135</v>
      </c>
      <c r="B2135" s="2" t="str">
        <f>IFERROR(__xludf.DUMMYFUNCTION("GOOGLETRANSLATE(A2135, ""de"", ""en"")"),"treat")</f>
        <v>treat</v>
      </c>
    </row>
    <row r="2136">
      <c r="A2136" s="1" t="s">
        <v>2136</v>
      </c>
      <c r="B2136" s="2" t="str">
        <f>IFERROR(__xludf.DUMMYFUNCTION("GOOGLETRANSLATE(A2136, ""de"", ""en"")"),"despite")</f>
        <v>despite</v>
      </c>
    </row>
    <row r="2137">
      <c r="A2137" s="1" t="s">
        <v>2137</v>
      </c>
      <c r="B2137" s="2" t="str">
        <f>IFERROR(__xludf.DUMMYFUNCTION("GOOGLETRANSLATE(A2137, ""de"", ""en"")"),"guest")</f>
        <v>guest</v>
      </c>
    </row>
    <row r="2138">
      <c r="A2138" s="1" t="s">
        <v>2138</v>
      </c>
      <c r="B2138" s="2" t="str">
        <f>IFERROR(__xludf.DUMMYFUNCTION("GOOGLETRANSLATE(A2138, ""de"", ""en"")"),"changes")</f>
        <v>changes</v>
      </c>
    </row>
    <row r="2139">
      <c r="A2139" s="1" t="s">
        <v>2139</v>
      </c>
      <c r="B2139" s="2" t="str">
        <f>IFERROR(__xludf.DUMMYFUNCTION("GOOGLETRANSLATE(A2139, ""de"", ""en"")"),"happened")</f>
        <v>happened</v>
      </c>
    </row>
    <row r="2140">
      <c r="A2140" s="1" t="s">
        <v>2140</v>
      </c>
      <c r="B2140" s="2" t="str">
        <f>IFERROR(__xludf.DUMMYFUNCTION("GOOGLETRANSLATE(A2140, ""de"", ""en"")"),"toilet")</f>
        <v>toilet</v>
      </c>
    </row>
    <row r="2141">
      <c r="A2141" s="1" t="s">
        <v>2141</v>
      </c>
      <c r="B2141" s="2" t="str">
        <f>IFERROR(__xludf.DUMMYFUNCTION("GOOGLETRANSLATE(A2141, ""de"", ""en"")"),"assume")</f>
        <v>assume</v>
      </c>
    </row>
    <row r="2142">
      <c r="A2142" s="1" t="s">
        <v>2142</v>
      </c>
      <c r="B2142" s="2" t="str">
        <f>IFERROR(__xludf.DUMMYFUNCTION("GOOGLETRANSLATE(A2142, ""de"", ""en"")"),"warmly")</f>
        <v>warmly</v>
      </c>
    </row>
    <row r="2143">
      <c r="A2143" s="1" t="s">
        <v>2143</v>
      </c>
      <c r="B2143" s="2" t="str">
        <f>IFERROR(__xludf.DUMMYFUNCTION("GOOGLETRANSLATE(A2143, ""de"", ""en"")"),"witch")</f>
        <v>witch</v>
      </c>
    </row>
    <row r="2144">
      <c r="A2144" s="1" t="s">
        <v>2144</v>
      </c>
      <c r="B2144" s="2" t="str">
        <f>IFERROR(__xludf.DUMMYFUNCTION("GOOGLETRANSLATE(A2144, ""de"", ""en"")"),"adult")</f>
        <v>adult</v>
      </c>
    </row>
    <row r="2145">
      <c r="A2145" s="1" t="s">
        <v>2145</v>
      </c>
      <c r="B2145" s="2" t="str">
        <f>IFERROR(__xludf.DUMMYFUNCTION("GOOGLETRANSLATE(A2145, ""de"", ""en"")"),"Jerry")</f>
        <v>Jerry</v>
      </c>
    </row>
    <row r="2146">
      <c r="A2146" s="1" t="s">
        <v>2146</v>
      </c>
      <c r="B2146" s="2" t="str">
        <f>IFERROR(__xludf.DUMMYFUNCTION("GOOGLETRANSLATE(A2146, ""de"", ""en"")"),"gun")</f>
        <v>gun</v>
      </c>
    </row>
    <row r="2147">
      <c r="A2147" s="1" t="s">
        <v>2147</v>
      </c>
      <c r="B2147" s="2" t="str">
        <f>IFERROR(__xludf.DUMMYFUNCTION("GOOGLETRANSLATE(A2147, ""de"", ""en"")"),"sat")</f>
        <v>sat</v>
      </c>
    </row>
    <row r="2148">
      <c r="A2148" s="1" t="s">
        <v>2148</v>
      </c>
      <c r="B2148" s="2" t="str">
        <f>IFERROR(__xludf.DUMMYFUNCTION("GOOGLETRANSLATE(A2148, ""de"", ""en"")"),"rotates")</f>
        <v>rotates</v>
      </c>
    </row>
    <row r="2149">
      <c r="A2149" s="1" t="s">
        <v>2149</v>
      </c>
      <c r="B2149" s="2" t="str">
        <f>IFERROR(__xludf.DUMMYFUNCTION("GOOGLETRANSLATE(A2149, ""de"", ""en"")"),"expression")</f>
        <v>expression</v>
      </c>
    </row>
    <row r="2150">
      <c r="A2150" s="1" t="s">
        <v>2150</v>
      </c>
      <c r="B2150" s="2" t="str">
        <f>IFERROR(__xludf.DUMMYFUNCTION("GOOGLETRANSLATE(A2150, ""de"", ""en"")"),"loved")</f>
        <v>loved</v>
      </c>
    </row>
    <row r="2151">
      <c r="A2151" s="1" t="s">
        <v>2151</v>
      </c>
      <c r="B2151" s="2" t="str">
        <f>IFERROR(__xludf.DUMMYFUNCTION("GOOGLETRANSLATE(A2151, ""de"", ""en"")"),"street")</f>
        <v>street</v>
      </c>
    </row>
    <row r="2152">
      <c r="A2152" s="1" t="s">
        <v>2152</v>
      </c>
      <c r="B2152" s="2" t="str">
        <f>IFERROR(__xludf.DUMMYFUNCTION("GOOGLETRANSLATE(A2152, ""de"", ""en"")"),"enjoy")</f>
        <v>enjoy</v>
      </c>
    </row>
    <row r="2153">
      <c r="A2153" s="1" t="s">
        <v>2153</v>
      </c>
      <c r="B2153" s="2" t="str">
        <f>IFERROR(__xludf.DUMMYFUNCTION("GOOGLETRANSLATE(A2153, ""de"", ""en"")"),"jealous")</f>
        <v>jealous</v>
      </c>
    </row>
    <row r="2154">
      <c r="A2154" s="1" t="s">
        <v>2154</v>
      </c>
      <c r="B2154" s="2" t="str">
        <f>IFERROR(__xludf.DUMMYFUNCTION("GOOGLETRANSLATE(A2154, ""de"", ""en"")"),"the one")</f>
        <v>the one</v>
      </c>
    </row>
    <row r="2155">
      <c r="A2155" s="1" t="s">
        <v>2155</v>
      </c>
      <c r="B2155" s="2" t="str">
        <f>IFERROR(__xludf.DUMMYFUNCTION("GOOGLETRANSLATE(A2155, ""de"", ""en"")"),"expensive")</f>
        <v>expensive</v>
      </c>
    </row>
    <row r="2156">
      <c r="A2156" s="1" t="s">
        <v>2156</v>
      </c>
      <c r="B2156" s="2" t="str">
        <f>IFERROR(__xludf.DUMMYFUNCTION("GOOGLETRANSLATE(A2156, ""de"", ""en"")"),"leo")</f>
        <v>leo</v>
      </c>
    </row>
    <row r="2157">
      <c r="A2157" s="1" t="s">
        <v>2157</v>
      </c>
      <c r="B2157" s="2" t="str">
        <f>IFERROR(__xludf.DUMMYFUNCTION("GOOGLETRANSLATE(A2157, ""de"", ""en"")"),"teeth")</f>
        <v>teeth</v>
      </c>
    </row>
    <row r="2158">
      <c r="A2158" s="1" t="s">
        <v>2158</v>
      </c>
      <c r="B2158" s="2" t="str">
        <f>IFERROR(__xludf.DUMMYFUNCTION("GOOGLETRANSLATE(A2158, ""de"", ""en"")"),"observed")</f>
        <v>observed</v>
      </c>
    </row>
    <row r="2159">
      <c r="A2159" s="1" t="s">
        <v>2159</v>
      </c>
      <c r="B2159" s="2" t="str">
        <f>IFERROR(__xludf.DUMMYFUNCTION("GOOGLETRANSLATE(A2159, ""de"", ""en"")"),"gentlemen")</f>
        <v>gentlemen</v>
      </c>
    </row>
    <row r="2160">
      <c r="A2160" s="1" t="s">
        <v>2160</v>
      </c>
      <c r="B2160" s="2" t="str">
        <f>IFERROR(__xludf.DUMMYFUNCTION("GOOGLETRANSLATE(A2160, ""de"", ""en"")"),"choose")</f>
        <v>choose</v>
      </c>
    </row>
    <row r="2161">
      <c r="A2161" s="1" t="s">
        <v>2161</v>
      </c>
      <c r="B2161" s="2" t="str">
        <f>IFERROR(__xludf.DUMMYFUNCTION("GOOGLETRANSLATE(A2161, ""de"", ""en"")"),"helps")</f>
        <v>helps</v>
      </c>
    </row>
    <row r="2162">
      <c r="A2162" s="1" t="s">
        <v>2162</v>
      </c>
      <c r="B2162" s="2" t="str">
        <f>IFERROR(__xludf.DUMMYFUNCTION("GOOGLETRANSLATE(A2162, ""de"", ""en"")"),"flies")</f>
        <v>flies</v>
      </c>
    </row>
    <row r="2163">
      <c r="A2163" s="1" t="s">
        <v>2163</v>
      </c>
      <c r="B2163" s="2" t="str">
        <f>IFERROR(__xludf.DUMMYFUNCTION("GOOGLETRANSLATE(A2163, ""de"", ""en"")"),"theater")</f>
        <v>theater</v>
      </c>
    </row>
    <row r="2164">
      <c r="A2164" s="1" t="s">
        <v>2164</v>
      </c>
      <c r="B2164" s="2" t="str">
        <f>IFERROR(__xludf.DUMMYFUNCTION("GOOGLETRANSLATE(A2164, ""de"", ""en"")"),"rain")</f>
        <v>rain</v>
      </c>
    </row>
    <row r="2165">
      <c r="A2165" s="1" t="s">
        <v>2165</v>
      </c>
      <c r="B2165" s="2" t="str">
        <f>IFERROR(__xludf.DUMMYFUNCTION("GOOGLETRANSLATE(A2165, ""de"", ""en"")"),"enemies")</f>
        <v>enemies</v>
      </c>
    </row>
    <row r="2166">
      <c r="A2166" s="1" t="s">
        <v>2166</v>
      </c>
      <c r="B2166" s="2" t="str">
        <f>IFERROR(__xludf.DUMMYFUNCTION("GOOGLETRANSLATE(A2166, ""de"", ""en"")"),"William")</f>
        <v>William</v>
      </c>
    </row>
    <row r="2167">
      <c r="A2167" s="1" t="s">
        <v>2167</v>
      </c>
      <c r="B2167" s="2" t="str">
        <f>IFERROR(__xludf.DUMMYFUNCTION("GOOGLETRANSLATE(A2167, ""de"", ""en"")"),"allow")</f>
        <v>allow</v>
      </c>
    </row>
    <row r="2168">
      <c r="A2168" s="1" t="s">
        <v>2168</v>
      </c>
      <c r="B2168" s="2" t="str">
        <f>IFERROR(__xludf.DUMMYFUNCTION("GOOGLETRANSLATE(A2168, ""de"", ""en"")"),"allow")</f>
        <v>allow</v>
      </c>
    </row>
    <row r="2169">
      <c r="A2169" s="1" t="s">
        <v>2169</v>
      </c>
      <c r="B2169" s="2" t="str">
        <f>IFERROR(__xludf.DUMMYFUNCTION("GOOGLETRANSLATE(A2169, ""de"", ""en"")"),"snap")</f>
        <v>snap</v>
      </c>
    </row>
    <row r="2170">
      <c r="A2170" s="1" t="s">
        <v>2170</v>
      </c>
      <c r="B2170" s="2" t="str">
        <f>IFERROR(__xludf.DUMMYFUNCTION("GOOGLETRANSLATE(A2170, ""de"", ""en"")"),"completely")</f>
        <v>completely</v>
      </c>
    </row>
    <row r="2171">
      <c r="A2171" s="1" t="s">
        <v>2171</v>
      </c>
      <c r="B2171" s="2" t="str">
        <f>IFERROR(__xludf.DUMMYFUNCTION("GOOGLETRANSLATE(A2171, ""de"", ""en"")"),"panic")</f>
        <v>panic</v>
      </c>
    </row>
    <row r="2172">
      <c r="A2172" s="1" t="s">
        <v>2172</v>
      </c>
      <c r="B2172" s="2" t="str">
        <f>IFERROR(__xludf.DUMMYFUNCTION("GOOGLETRANSLATE(A2172, ""de"", ""en"")"),"airport")</f>
        <v>airport</v>
      </c>
    </row>
    <row r="2173">
      <c r="A2173" s="1" t="s">
        <v>2173</v>
      </c>
      <c r="B2173" s="2" t="str">
        <f>IFERROR(__xludf.DUMMYFUNCTION("GOOGLETRANSLATE(A2173, ""de"", ""en"")"),"consciously")</f>
        <v>consciously</v>
      </c>
    </row>
    <row r="2174">
      <c r="A2174" s="1" t="s">
        <v>2174</v>
      </c>
      <c r="B2174" s="2" t="str">
        <f>IFERROR(__xludf.DUMMYFUNCTION("GOOGLETRANSLATE(A2174, ""de"", ""en"")"),"German")</f>
        <v>German</v>
      </c>
    </row>
    <row r="2175">
      <c r="A2175" s="1" t="s">
        <v>2175</v>
      </c>
      <c r="B2175" s="2" t="str">
        <f>IFERROR(__xludf.DUMMYFUNCTION("GOOGLETRANSLATE(A2175, ""de"", ""en"")"),"in advance")</f>
        <v>in advance</v>
      </c>
    </row>
    <row r="2176">
      <c r="A2176" s="1" t="s">
        <v>2176</v>
      </c>
      <c r="B2176" s="2" t="str">
        <f>IFERROR(__xludf.DUMMYFUNCTION("GOOGLETRANSLATE(A2176, ""de"", ""en"")"),"die")</f>
        <v>die</v>
      </c>
    </row>
    <row r="2177">
      <c r="A2177" s="1" t="s">
        <v>2177</v>
      </c>
      <c r="B2177" s="2" t="str">
        <f>IFERROR(__xludf.DUMMYFUNCTION("GOOGLETRANSLATE(A2177, ""de"", ""en"")"),"should")</f>
        <v>should</v>
      </c>
    </row>
    <row r="2178">
      <c r="A2178" s="1" t="s">
        <v>2178</v>
      </c>
      <c r="B2178" s="2" t="str">
        <f>IFERROR(__xludf.DUMMYFUNCTION("GOOGLETRANSLATE(A2178, ""de"", ""en"")"),"accompany")</f>
        <v>accompany</v>
      </c>
    </row>
    <row r="2179">
      <c r="A2179" s="1" t="s">
        <v>2179</v>
      </c>
      <c r="B2179" s="2" t="str">
        <f>IFERROR(__xludf.DUMMYFUNCTION("GOOGLETRANSLATE(A2179, ""de"", ""en"")"),"each other")</f>
        <v>each other</v>
      </c>
    </row>
    <row r="2180">
      <c r="A2180" s="1" t="s">
        <v>2180</v>
      </c>
      <c r="B2180" s="2" t="str">
        <f>IFERROR(__xludf.DUMMYFUNCTION("GOOGLETRANSLATE(A2180, ""de"", ""en"")"),"fred")</f>
        <v>fred</v>
      </c>
    </row>
    <row r="2181">
      <c r="A2181" s="1" t="s">
        <v>2181</v>
      </c>
      <c r="B2181" s="2" t="str">
        <f>IFERROR(__xludf.DUMMYFUNCTION("GOOGLETRANSLATE(A2181, ""de"", ""en"")"),"experienced")</f>
        <v>experienced</v>
      </c>
    </row>
    <row r="2182">
      <c r="A2182" s="1" t="s">
        <v>2182</v>
      </c>
      <c r="B2182" s="2" t="str">
        <f>IFERROR(__xludf.DUMMYFUNCTION("GOOGLETRANSLATE(A2182, ""de"", ""en"")"),"furthermore")</f>
        <v>furthermore</v>
      </c>
    </row>
    <row r="2183">
      <c r="A2183" s="1" t="s">
        <v>2183</v>
      </c>
      <c r="B2183" s="2" t="str">
        <f>IFERROR(__xludf.DUMMYFUNCTION("GOOGLETRANSLATE(A2183, ""de"", ""en"")"),"stronger")</f>
        <v>stronger</v>
      </c>
    </row>
    <row r="2184">
      <c r="A2184" s="1" t="s">
        <v>2184</v>
      </c>
      <c r="B2184" s="2" t="str">
        <f>IFERROR(__xludf.DUMMYFUNCTION("GOOGLETRANSLATE(A2184, ""de"", ""en"")"),"driver")</f>
        <v>driver</v>
      </c>
    </row>
    <row r="2185">
      <c r="A2185" s="1" t="s">
        <v>2185</v>
      </c>
      <c r="B2185" s="2" t="str">
        <f>IFERROR(__xludf.DUMMYFUNCTION("GOOGLETRANSLATE(A2185, ""de"", ""en"")"),"focus")</f>
        <v>focus</v>
      </c>
    </row>
    <row r="2186">
      <c r="A2186" s="1" t="s">
        <v>2186</v>
      </c>
      <c r="B2186" s="2" t="str">
        <f>IFERROR(__xludf.DUMMYFUNCTION("GOOGLETRANSLATE(A2186, ""de"", ""en"")"),"argue")</f>
        <v>argue</v>
      </c>
    </row>
    <row r="2187">
      <c r="A2187" s="1" t="s">
        <v>2187</v>
      </c>
      <c r="B2187" s="2" t="str">
        <f>IFERROR(__xludf.DUMMYFUNCTION("GOOGLETRANSLATE(A2187, ""de"", ""en"")"),"concerns")</f>
        <v>concerns</v>
      </c>
    </row>
    <row r="2188">
      <c r="A2188" s="1" t="s">
        <v>2188</v>
      </c>
      <c r="B2188" s="2" t="str">
        <f>IFERROR(__xludf.DUMMYFUNCTION("GOOGLETRANSLATE(A2188, ""de"", ""en"")"),"same")</f>
        <v>same</v>
      </c>
    </row>
    <row r="2189">
      <c r="A2189" s="1" t="s">
        <v>2189</v>
      </c>
      <c r="B2189" s="2" t="str">
        <f>IFERROR(__xludf.DUMMYFUNCTION("GOOGLETRANSLATE(A2189, ""de"", ""en"")"),"star")</f>
        <v>star</v>
      </c>
    </row>
    <row r="2190">
      <c r="A2190" s="1" t="s">
        <v>2190</v>
      </c>
      <c r="B2190" s="2" t="str">
        <f>IFERROR(__xludf.DUMMYFUNCTION("GOOGLETRANSLATE(A2190, ""de"", ""en"")"),"convince")</f>
        <v>convince</v>
      </c>
    </row>
    <row r="2191">
      <c r="A2191" s="1" t="s">
        <v>2191</v>
      </c>
      <c r="B2191" s="2" t="str">
        <f>IFERROR(__xludf.DUMMYFUNCTION("GOOGLETRANSLATE(A2191, ""de"", ""en"")"),"alcohol")</f>
        <v>alcohol</v>
      </c>
    </row>
    <row r="2192">
      <c r="A2192" s="1" t="s">
        <v>2192</v>
      </c>
      <c r="B2192" s="2" t="str">
        <f>IFERROR(__xludf.DUMMYFUNCTION("GOOGLETRANSLATE(A2192, ""de"", ""en"")"),"translated")</f>
        <v>translated</v>
      </c>
    </row>
    <row r="2193">
      <c r="A2193" s="1" t="s">
        <v>2193</v>
      </c>
      <c r="B2193" s="2" t="str">
        <f>IFERROR(__xludf.DUMMYFUNCTION("GOOGLETRANSLATE(A2193, ""de"", ""en"")"),"crazy ones")</f>
        <v>crazy ones</v>
      </c>
    </row>
    <row r="2194">
      <c r="A2194" s="1" t="s">
        <v>2194</v>
      </c>
      <c r="B2194" s="2" t="str">
        <f>IFERROR(__xludf.DUMMYFUNCTION("GOOGLETRANSLATE(A2194, ""de"", ""en"")"),"lch")</f>
        <v>lch</v>
      </c>
    </row>
    <row r="2195">
      <c r="A2195" s="1" t="s">
        <v>2195</v>
      </c>
      <c r="B2195" s="2" t="str">
        <f>IFERROR(__xludf.DUMMYFUNCTION("GOOGLETRANSLATE(A2195, ""de"", ""en"")"),"king")</f>
        <v>king</v>
      </c>
    </row>
    <row r="2196">
      <c r="A2196" s="1" t="s">
        <v>2196</v>
      </c>
      <c r="B2196" s="2" t="str">
        <f>IFERROR(__xludf.DUMMYFUNCTION("GOOGLETRANSLATE(A2196, ""de"", ""en"")"),"began")</f>
        <v>began</v>
      </c>
    </row>
    <row r="2197">
      <c r="A2197" s="1" t="s">
        <v>2197</v>
      </c>
      <c r="B2197" s="2" t="str">
        <f>IFERROR(__xludf.DUMMYFUNCTION("GOOGLETRANSLATE(A2197, ""de"", ""en"")"),"assumed")</f>
        <v>assumed</v>
      </c>
    </row>
    <row r="2198">
      <c r="A2198" s="1" t="s">
        <v>2198</v>
      </c>
      <c r="B2198" s="2" t="str">
        <f>IFERROR(__xludf.DUMMYFUNCTION("GOOGLETRANSLATE(A2198, ""de"", ""en"")"),"carry on")</f>
        <v>carry on</v>
      </c>
    </row>
    <row r="2199">
      <c r="A2199" s="1" t="s">
        <v>2199</v>
      </c>
      <c r="B2199" s="2" t="str">
        <f>IFERROR(__xludf.DUMMYFUNCTION("GOOGLETRANSLATE(A2199, ""de"", ""en"")"),"real")</f>
        <v>real</v>
      </c>
    </row>
    <row r="2200">
      <c r="A2200" s="1" t="s">
        <v>2200</v>
      </c>
      <c r="B2200" s="2" t="str">
        <f>IFERROR(__xludf.DUMMYFUNCTION("GOOGLETRANSLATE(A2200, ""de"", ""en"")"),"Jackson")</f>
        <v>Jackson</v>
      </c>
    </row>
    <row r="2201">
      <c r="A2201" s="1" t="s">
        <v>2201</v>
      </c>
      <c r="B2201" s="2" t="str">
        <f>IFERROR(__xludf.DUMMYFUNCTION("GOOGLETRANSLATE(A2201, ""de"", ""en"")"),"post")</f>
        <v>post</v>
      </c>
    </row>
    <row r="2202">
      <c r="A2202" s="1" t="s">
        <v>2202</v>
      </c>
      <c r="B2202" s="2" t="str">
        <f>IFERROR(__xludf.DUMMYFUNCTION("GOOGLETRANSLATE(A2202, ""de"", ""en"")"),"taken away")</f>
        <v>taken away</v>
      </c>
    </row>
    <row r="2203">
      <c r="A2203" s="1" t="s">
        <v>2203</v>
      </c>
      <c r="B2203" s="2" t="str">
        <f>IFERROR(__xludf.DUMMYFUNCTION("GOOGLETRANSLATE(A2203, ""de"", ""en"")"),"message")</f>
        <v>message</v>
      </c>
    </row>
    <row r="2204">
      <c r="A2204" s="1" t="s">
        <v>2204</v>
      </c>
      <c r="B2204" s="2" t="str">
        <f>IFERROR(__xludf.DUMMYFUNCTION("GOOGLETRANSLATE(A2204, ""de"", ""en"")"),"ideas")</f>
        <v>ideas</v>
      </c>
    </row>
    <row r="2205">
      <c r="A2205" s="1" t="s">
        <v>2205</v>
      </c>
      <c r="B2205" s="2" t="str">
        <f>IFERROR(__xludf.DUMMYFUNCTION("GOOGLETRANSLATE(A2205, ""de"", ""en"")"),"miss")</f>
        <v>miss</v>
      </c>
    </row>
    <row r="2206">
      <c r="A2206" s="1" t="s">
        <v>2206</v>
      </c>
      <c r="B2206" s="2" t="str">
        <f>IFERROR(__xludf.DUMMYFUNCTION("GOOGLETRANSLATE(A2206, ""de"", ""en"")"),"upset")</f>
        <v>upset</v>
      </c>
    </row>
    <row r="2207">
      <c r="A2207" s="1" t="s">
        <v>2207</v>
      </c>
      <c r="B2207" s="2" t="str">
        <f>IFERROR(__xludf.DUMMYFUNCTION("GOOGLETRANSLATE(A2207, ""de"", ""en"")"),"suicide")</f>
        <v>suicide</v>
      </c>
    </row>
    <row r="2208">
      <c r="A2208" s="1" t="s">
        <v>2208</v>
      </c>
      <c r="B2208" s="2" t="str">
        <f>IFERROR(__xludf.DUMMYFUNCTION("GOOGLETRANSLATE(A2208, ""de"", ""en"")"),"stupid ones")</f>
        <v>stupid ones</v>
      </c>
    </row>
    <row r="2209">
      <c r="A2209" s="1" t="s">
        <v>2209</v>
      </c>
      <c r="B2209" s="2" t="str">
        <f>IFERROR(__xludf.DUMMYFUNCTION("GOOGLETRANSLATE(A2209, ""de"", ""en"")"),"come back")</f>
        <v>come back</v>
      </c>
    </row>
    <row r="2210">
      <c r="A2210" s="1" t="s">
        <v>2210</v>
      </c>
      <c r="B2210" s="2" t="str">
        <f>IFERROR(__xludf.DUMMYFUNCTION("GOOGLETRANSLATE(A2210, ""de"", ""en"")"),"any")</f>
        <v>any</v>
      </c>
    </row>
    <row r="2211">
      <c r="A2211" s="1" t="s">
        <v>2211</v>
      </c>
      <c r="B2211" s="2" t="str">
        <f>IFERROR(__xludf.DUMMYFUNCTION("GOOGLETRANSLATE(A2211, ""de"", ""en"")"),"magic")</f>
        <v>magic</v>
      </c>
    </row>
    <row r="2212">
      <c r="A2212" s="1" t="s">
        <v>2212</v>
      </c>
      <c r="B2212" s="2" t="str">
        <f>IFERROR(__xludf.DUMMYFUNCTION("GOOGLETRANSLATE(A2212, ""de"", ""en"")"),"phil")</f>
        <v>phil</v>
      </c>
    </row>
    <row r="2213">
      <c r="A2213" s="1" t="s">
        <v>2213</v>
      </c>
      <c r="B2213" s="2" t="str">
        <f>IFERROR(__xludf.DUMMYFUNCTION("GOOGLETRANSLATE(A2213, ""de"", ""en"")"),"hit")</f>
        <v>hit</v>
      </c>
    </row>
    <row r="2214">
      <c r="A2214" s="1" t="s">
        <v>2214</v>
      </c>
      <c r="B2214" s="2" t="str">
        <f>IFERROR(__xludf.DUMMYFUNCTION("GOOGLETRANSLATE(A2214, ""de"", ""en"")"),"acts")</f>
        <v>acts</v>
      </c>
    </row>
    <row r="2215">
      <c r="A2215" s="1" t="s">
        <v>2215</v>
      </c>
      <c r="B2215" s="2" t="str">
        <f>IFERROR(__xludf.DUMMYFUNCTION("GOOGLETRANSLATE(A2215, ""de"", ""en"")"),"meet")</f>
        <v>meet</v>
      </c>
    </row>
    <row r="2216">
      <c r="A2216" s="1" t="s">
        <v>2216</v>
      </c>
      <c r="B2216" s="2" t="str">
        <f>IFERROR(__xludf.DUMMYFUNCTION("GOOGLETRANSLATE(A2216, ""de"", ""en"")"),"investigate")</f>
        <v>investigate</v>
      </c>
    </row>
    <row r="2217">
      <c r="A2217" s="1" t="s">
        <v>2217</v>
      </c>
      <c r="B2217" s="2" t="str">
        <f>IFERROR(__xludf.DUMMYFUNCTION("GOOGLETRANSLATE(A2217, ""de"", ""en"")"),"escape")</f>
        <v>escape</v>
      </c>
    </row>
    <row r="2218">
      <c r="A2218" s="1" t="s">
        <v>2218</v>
      </c>
      <c r="B2218" s="2" t="str">
        <f>IFERROR(__xludf.DUMMYFUNCTION("GOOGLETRANSLATE(A2218, ""de"", ""en"")"),"loses")</f>
        <v>loses</v>
      </c>
    </row>
    <row r="2219">
      <c r="A2219" s="1" t="s">
        <v>2219</v>
      </c>
      <c r="B2219" s="2" t="str">
        <f>IFERROR(__xludf.DUMMYFUNCTION("GOOGLETRANSLATE(A2219, ""de"", ""en"")"),"any")</f>
        <v>any</v>
      </c>
    </row>
    <row r="2220">
      <c r="A2220" s="1" t="s">
        <v>2220</v>
      </c>
      <c r="B2220" s="2" t="str">
        <f>IFERROR(__xludf.DUMMYFUNCTION("GOOGLETRANSLATE(A2220, ""de"", ""en"")"),"opposite")</f>
        <v>opposite</v>
      </c>
    </row>
    <row r="2221">
      <c r="A2221" s="1" t="s">
        <v>2221</v>
      </c>
      <c r="B2221" s="2" t="str">
        <f>IFERROR(__xludf.DUMMYFUNCTION("GOOGLETRANSLATE(A2221, ""de"", ""en"")"),"regards")</f>
        <v>regards</v>
      </c>
    </row>
    <row r="2222">
      <c r="A2222" s="1" t="s">
        <v>2222</v>
      </c>
      <c r="B2222" s="2" t="str">
        <f>IFERROR(__xludf.DUMMYFUNCTION("GOOGLETRANSLATE(A2222, ""de"", ""en"")"),"sharp")</f>
        <v>sharp</v>
      </c>
    </row>
    <row r="2223">
      <c r="A2223" s="1" t="s">
        <v>2223</v>
      </c>
      <c r="B2223" s="2" t="str">
        <f>IFERROR(__xludf.DUMMYFUNCTION("GOOGLETRANSLATE(A2223, ""de"", ""en"")"),"hoped")</f>
        <v>hoped</v>
      </c>
    </row>
    <row r="2224">
      <c r="A2224" s="1" t="s">
        <v>2224</v>
      </c>
      <c r="B2224" s="2" t="str">
        <f>IFERROR(__xludf.DUMMYFUNCTION("GOOGLETRANSLATE(A2224, ""de"", ""en"")"),"met")</f>
        <v>met</v>
      </c>
    </row>
    <row r="2225">
      <c r="A2225" s="1" t="s">
        <v>2225</v>
      </c>
      <c r="B2225" s="2" t="str">
        <f>IFERROR(__xludf.DUMMYFUNCTION("GOOGLETRANSLATE(A2225, ""de"", ""en"")"),"worst")</f>
        <v>worst</v>
      </c>
    </row>
    <row r="2226">
      <c r="A2226" s="1" t="s">
        <v>2226</v>
      </c>
      <c r="B2226" s="2" t="str">
        <f>IFERROR(__xludf.DUMMYFUNCTION("GOOGLETRANSLATE(A2226, ""de"", ""en"")"),"project")</f>
        <v>project</v>
      </c>
    </row>
    <row r="2227">
      <c r="A2227" s="1" t="s">
        <v>2227</v>
      </c>
      <c r="B2227" s="2" t="str">
        <f>IFERROR(__xludf.DUMMYFUNCTION("GOOGLETRANSLATE(A2227, ""de"", ""en"")"),"idiot")</f>
        <v>idiot</v>
      </c>
    </row>
    <row r="2228">
      <c r="A2228" s="1" t="s">
        <v>2228</v>
      </c>
      <c r="B2228" s="2" t="str">
        <f>IFERROR(__xludf.DUMMYFUNCTION("GOOGLETRANSLATE(A2228, ""de"", ""en"")"),"anyway")</f>
        <v>anyway</v>
      </c>
    </row>
    <row r="2229">
      <c r="A2229" s="1" t="s">
        <v>2229</v>
      </c>
      <c r="B2229" s="2" t="str">
        <f>IFERROR(__xludf.DUMMYFUNCTION("GOOGLETRANSLATE(A2229, ""de"", ""en"")"),"several")</f>
        <v>several</v>
      </c>
    </row>
    <row r="2230">
      <c r="A2230" s="1" t="s">
        <v>2230</v>
      </c>
      <c r="B2230" s="2" t="str">
        <f>IFERROR(__xludf.DUMMYFUNCTION("GOOGLETRANSLATE(A2230, ""de"", ""en"")"),"expect")</f>
        <v>expect</v>
      </c>
    </row>
    <row r="2231">
      <c r="A2231" s="1" t="s">
        <v>2231</v>
      </c>
      <c r="B2231" s="2" t="str">
        <f>IFERROR(__xludf.DUMMYFUNCTION("GOOGLETRANSLATE(A2231, ""de"", ""en"")"),"want")</f>
        <v>want</v>
      </c>
    </row>
    <row r="2232">
      <c r="A2232" s="1" t="s">
        <v>2232</v>
      </c>
      <c r="B2232" s="2" t="str">
        <f>IFERROR(__xludf.DUMMYFUNCTION("GOOGLETRANSLATE(A2232, ""de"", ""en"")"),"to swim")</f>
        <v>to swim</v>
      </c>
    </row>
    <row r="2233">
      <c r="A2233" s="1" t="s">
        <v>2233</v>
      </c>
      <c r="B2233" s="2" t="str">
        <f>IFERROR(__xludf.DUMMYFUNCTION("GOOGLETRANSLATE(A2233, ""de"", ""en"")"),"to count")</f>
        <v>to count</v>
      </c>
    </row>
    <row r="2234">
      <c r="A2234" s="1" t="s">
        <v>2234</v>
      </c>
      <c r="B2234" s="2" t="str">
        <f>IFERROR(__xludf.DUMMYFUNCTION("GOOGLETRANSLATE(A2234, ""de"", ""en"")"),"within")</f>
        <v>within</v>
      </c>
    </row>
    <row r="2235">
      <c r="A2235" s="1" t="s">
        <v>2235</v>
      </c>
      <c r="B2235" s="2" t="str">
        <f>IFERROR(__xludf.DUMMYFUNCTION("GOOGLETRANSLATE(A2235, ""de"", ""en"")"),"frosted")</f>
        <v>frosted</v>
      </c>
    </row>
    <row r="2236">
      <c r="A2236" s="1" t="s">
        <v>2236</v>
      </c>
      <c r="B2236" s="2" t="str">
        <f>IFERROR(__xludf.DUMMYFUNCTION("GOOGLETRANSLATE(A2236, ""de"", ""en"")"),"blind")</f>
        <v>blind</v>
      </c>
    </row>
    <row r="2237">
      <c r="A2237" s="1" t="s">
        <v>2237</v>
      </c>
      <c r="B2237" s="2" t="str">
        <f>IFERROR(__xludf.DUMMYFUNCTION("GOOGLETRANSLATE(A2237, ""de"", ""en"")"),"sisters")</f>
        <v>sisters</v>
      </c>
    </row>
    <row r="2238">
      <c r="A2238" s="1" t="s">
        <v>2238</v>
      </c>
      <c r="B2238" s="2" t="str">
        <f>IFERROR(__xludf.DUMMYFUNCTION("GOOGLETRANSLATE(A2238, ""de"", ""en"")"),"code")</f>
        <v>code</v>
      </c>
    </row>
    <row r="2239">
      <c r="A2239" s="1" t="s">
        <v>2239</v>
      </c>
      <c r="B2239" s="2" t="str">
        <f>IFERROR(__xludf.DUMMYFUNCTION("GOOGLETRANSLATE(A2239, ""de"", ""en"")"),"Alan")</f>
        <v>Alan</v>
      </c>
    </row>
    <row r="2240">
      <c r="A2240" s="1" t="s">
        <v>2240</v>
      </c>
      <c r="B2240" s="2" t="str">
        <f>IFERROR(__xludf.DUMMYFUNCTION("GOOGLETRANSLATE(A2240, ""de"", ""en"")"),"clever")</f>
        <v>clever</v>
      </c>
    </row>
    <row r="2241">
      <c r="A2241" s="1" t="s">
        <v>2241</v>
      </c>
      <c r="B2241" s="2" t="str">
        <f>IFERROR(__xludf.DUMMYFUNCTION("GOOGLETRANSLATE(A2241, ""de"", ""en"")"),"intention")</f>
        <v>intention</v>
      </c>
    </row>
    <row r="2242">
      <c r="A2242" s="1" t="s">
        <v>2242</v>
      </c>
      <c r="B2242" s="2" t="str">
        <f>IFERROR(__xludf.DUMMYFUNCTION("GOOGLETRANSLATE(A2242, ""de"", ""en"")"),"Barry")</f>
        <v>Barry</v>
      </c>
    </row>
    <row r="2243">
      <c r="A2243" s="1" t="s">
        <v>2243</v>
      </c>
      <c r="B2243" s="2" t="str">
        <f>IFERROR(__xludf.DUMMYFUNCTION("GOOGLETRANSLATE(A2243, ""de"", ""en"")"),"play")</f>
        <v>play</v>
      </c>
    </row>
    <row r="2244">
      <c r="A2244" s="1" t="s">
        <v>2244</v>
      </c>
      <c r="B2244" s="2" t="str">
        <f>IFERROR(__xludf.DUMMYFUNCTION("GOOGLETRANSLATE(A2244, ""de"", ""en"")"),"last")</f>
        <v>last</v>
      </c>
    </row>
    <row r="2245">
      <c r="A2245" s="1" t="s">
        <v>2245</v>
      </c>
      <c r="B2245" s="2" t="str">
        <f>IFERROR(__xludf.DUMMYFUNCTION("GOOGLETRANSLATE(A2245, ""de"", ""en"")"),"oliver")</f>
        <v>oliver</v>
      </c>
    </row>
    <row r="2246">
      <c r="A2246" s="1" t="s">
        <v>2246</v>
      </c>
      <c r="B2246" s="2" t="str">
        <f>IFERROR(__xludf.DUMMYFUNCTION("GOOGLETRANSLATE(A2246, ""de"", ""en"")"),"art.")</f>
        <v>art.</v>
      </c>
    </row>
    <row r="2247">
      <c r="A2247" s="1" t="s">
        <v>2247</v>
      </c>
      <c r="B2247" s="2" t="str">
        <f>IFERROR(__xludf.DUMMYFUNCTION("GOOGLETRANSLATE(A2247, ""de"", ""en"")"),"English")</f>
        <v>English</v>
      </c>
    </row>
    <row r="2248">
      <c r="A2248" s="1" t="s">
        <v>2248</v>
      </c>
      <c r="B2248" s="2" t="str">
        <f>IFERROR(__xludf.DUMMYFUNCTION("GOOGLETRANSLATE(A2248, ""de"", ""en"")"),"ear")</f>
        <v>ear</v>
      </c>
    </row>
    <row r="2249">
      <c r="A2249" s="1" t="s">
        <v>2249</v>
      </c>
      <c r="B2249" s="2" t="str">
        <f>IFERROR(__xludf.DUMMYFUNCTION("GOOGLETRANSLATE(A2249, ""de"", ""en"")"),"injure")</f>
        <v>injure</v>
      </c>
    </row>
    <row r="2250">
      <c r="A2250" s="1" t="s">
        <v>2250</v>
      </c>
      <c r="B2250" s="2" t="str">
        <f>IFERROR(__xludf.DUMMYFUNCTION("GOOGLETRANSLATE(A2250, ""de"", ""en"")"),"song")</f>
        <v>song</v>
      </c>
    </row>
    <row r="2251">
      <c r="A2251" s="1" t="s">
        <v>2251</v>
      </c>
      <c r="B2251" s="2" t="str">
        <f>IFERROR(__xludf.DUMMYFUNCTION("GOOGLETRANSLATE(A2251, ""de"", ""en"")"),"pupils")</f>
        <v>pupils</v>
      </c>
    </row>
    <row r="2252">
      <c r="A2252" s="1" t="s">
        <v>2252</v>
      </c>
      <c r="B2252" s="2" t="str">
        <f>IFERROR(__xludf.DUMMYFUNCTION("GOOGLETRANSLATE(A2252, ""de"", ""en"")"),"seemed")</f>
        <v>seemed</v>
      </c>
    </row>
    <row r="2253">
      <c r="A2253" s="1" t="s">
        <v>2253</v>
      </c>
      <c r="B2253" s="2" t="str">
        <f>IFERROR(__xludf.DUMMYFUNCTION("GOOGLETRANSLATE(A2253, ""de"", ""en"")"),"wins")</f>
        <v>wins</v>
      </c>
    </row>
    <row r="2254">
      <c r="A2254" s="1" t="s">
        <v>2254</v>
      </c>
      <c r="B2254" s="2" t="str">
        <f>IFERROR(__xludf.DUMMYFUNCTION("GOOGLETRANSLATE(A2254, ""de"", ""en"")"),"older")</f>
        <v>older</v>
      </c>
    </row>
    <row r="2255">
      <c r="A2255" s="1" t="s">
        <v>2255</v>
      </c>
      <c r="B2255" s="2" t="str">
        <f>IFERROR(__xludf.DUMMYFUNCTION("GOOGLETRANSLATE(A2255, ""de"", ""en"")"),"unusual")</f>
        <v>unusual</v>
      </c>
    </row>
    <row r="2256">
      <c r="A2256" s="1" t="s">
        <v>2256</v>
      </c>
      <c r="B2256" s="2" t="str">
        <f>IFERROR(__xludf.DUMMYFUNCTION("GOOGLETRANSLATE(A2256, ""de"", ""en"")"),"judy")</f>
        <v>judy</v>
      </c>
    </row>
    <row r="2257">
      <c r="A2257" s="1" t="s">
        <v>2257</v>
      </c>
      <c r="B2257" s="2" t="str">
        <f>IFERROR(__xludf.DUMMYFUNCTION("GOOGLETRANSLATE(A2257, ""de"", ""en"")"),"miss")</f>
        <v>miss</v>
      </c>
    </row>
    <row r="2258">
      <c r="A2258" s="1" t="s">
        <v>2258</v>
      </c>
      <c r="B2258" s="2" t="str">
        <f>IFERROR(__xludf.DUMMYFUNCTION("GOOGLETRANSLATE(A2258, ""de"", ""en"")"),"size")</f>
        <v>size</v>
      </c>
    </row>
    <row r="2259">
      <c r="A2259" s="1" t="s">
        <v>2259</v>
      </c>
      <c r="B2259" s="2" t="str">
        <f>IFERROR(__xludf.DUMMYFUNCTION("GOOGLETRANSLATE(A2259, ""de"", ""en"")"),"occurs")</f>
        <v>occurs</v>
      </c>
    </row>
    <row r="2260">
      <c r="A2260" s="1" t="s">
        <v>2260</v>
      </c>
      <c r="B2260" s="2" t="str">
        <f>IFERROR(__xludf.DUMMYFUNCTION("GOOGLETRANSLATE(A2260, ""de"", ""en"")"),"trust")</f>
        <v>trust</v>
      </c>
    </row>
    <row r="2261">
      <c r="A2261" s="1" t="s">
        <v>2261</v>
      </c>
      <c r="B2261" s="2" t="str">
        <f>IFERROR(__xludf.DUMMYFUNCTION("GOOGLETRANSLATE(A2261, ""de"", ""en"")"),"presidents")</f>
        <v>presidents</v>
      </c>
    </row>
    <row r="2262">
      <c r="A2262" s="1" t="s">
        <v>2262</v>
      </c>
      <c r="B2262" s="2" t="str">
        <f>IFERROR(__xludf.DUMMYFUNCTION("GOOGLETRANSLATE(A2262, ""de"", ""en"")"),"trick")</f>
        <v>trick</v>
      </c>
    </row>
    <row r="2263">
      <c r="A2263" s="1" t="s">
        <v>2263</v>
      </c>
      <c r="B2263" s="2" t="str">
        <f>IFERROR(__xludf.DUMMYFUNCTION("GOOGLETRANSLATE(A2263, ""de"", ""en"")"),"Harvey")</f>
        <v>Harvey</v>
      </c>
    </row>
    <row r="2264">
      <c r="A2264" s="1" t="s">
        <v>2264</v>
      </c>
      <c r="B2264" s="2" t="str">
        <f>IFERROR(__xludf.DUMMYFUNCTION("GOOGLETRANSLATE(A2264, ""de"", ""en"")"),"Doug")</f>
        <v>Doug</v>
      </c>
    </row>
    <row r="2265">
      <c r="A2265" s="1" t="s">
        <v>2265</v>
      </c>
      <c r="B2265" s="2" t="str">
        <f>IFERROR(__xludf.DUMMYFUNCTION("GOOGLETRANSLATE(A2265, ""de"", ""en"")"),"redden")</f>
        <v>redden</v>
      </c>
    </row>
    <row r="2266">
      <c r="A2266" s="1" t="s">
        <v>2266</v>
      </c>
      <c r="B2266" s="2" t="str">
        <f>IFERROR(__xludf.DUMMYFUNCTION("GOOGLETRANSLATE(A2266, ""de"", ""en"")"),"considered")</f>
        <v>considered</v>
      </c>
    </row>
    <row r="2267">
      <c r="A2267" s="1" t="s">
        <v>2267</v>
      </c>
      <c r="B2267" s="2" t="str">
        <f>IFERROR(__xludf.DUMMYFUNCTION("GOOGLETRANSLATE(A2267, ""de"", ""en"")"),"largest")</f>
        <v>largest</v>
      </c>
    </row>
    <row r="2268">
      <c r="A2268" s="1" t="s">
        <v>2268</v>
      </c>
      <c r="B2268" s="2" t="str">
        <f>IFERROR(__xludf.DUMMYFUNCTION("GOOGLETRANSLATE(A2268, ""de"", ""en"")"),"Sunday")</f>
        <v>Sunday</v>
      </c>
    </row>
    <row r="2269">
      <c r="A2269" s="1" t="s">
        <v>2269</v>
      </c>
      <c r="B2269" s="2" t="str">
        <f>IFERROR(__xludf.DUMMYFUNCTION("GOOGLETRANSLATE(A2269, ""de"", ""en"")"),"twelve")</f>
        <v>twelve</v>
      </c>
    </row>
    <row r="2270">
      <c r="A2270" s="1" t="s">
        <v>2270</v>
      </c>
      <c r="B2270" s="2" t="str">
        <f>IFERROR(__xludf.DUMMYFUNCTION("GOOGLETRANSLATE(A2270, ""de"", ""en"")"),"performance")</f>
        <v>performance</v>
      </c>
    </row>
    <row r="2271">
      <c r="A2271" s="1" t="s">
        <v>2271</v>
      </c>
      <c r="B2271" s="2" t="str">
        <f>IFERROR(__xludf.DUMMYFUNCTION("GOOGLETRANSLATE(A2271, ""de"", ""en"")"),"wrote")</f>
        <v>wrote</v>
      </c>
    </row>
    <row r="2272">
      <c r="A2272" s="1" t="s">
        <v>2272</v>
      </c>
      <c r="B2272" s="2" t="str">
        <f>IFERROR(__xludf.DUMMYFUNCTION("GOOGLETRANSLATE(A2272, ""de"", ""en"")"),"come in")</f>
        <v>come in</v>
      </c>
    </row>
    <row r="2273">
      <c r="A2273" s="1" t="s">
        <v>2273</v>
      </c>
      <c r="B2273" s="2" t="str">
        <f>IFERROR(__xludf.DUMMYFUNCTION("GOOGLETRANSLATE(A2273, ""de"", ""en"")"),"killer")</f>
        <v>killer</v>
      </c>
    </row>
    <row r="2274">
      <c r="A2274" s="1" t="s">
        <v>2274</v>
      </c>
      <c r="B2274" s="2" t="str">
        <f>IFERROR(__xludf.DUMMYFUNCTION("GOOGLETRANSLATE(A2274, ""de"", ""en"")"),"support")</f>
        <v>support</v>
      </c>
    </row>
    <row r="2275">
      <c r="A2275" s="1" t="s">
        <v>2275</v>
      </c>
      <c r="B2275" s="2" t="str">
        <f>IFERROR(__xludf.DUMMYFUNCTION("GOOGLETRANSLATE(A2275, ""de"", ""en"")"),"do to")</f>
        <v>do to</v>
      </c>
    </row>
    <row r="2276">
      <c r="A2276" s="1" t="s">
        <v>2276</v>
      </c>
      <c r="B2276" s="2" t="str">
        <f>IFERROR(__xludf.DUMMYFUNCTION("GOOGLETRANSLATE(A2276, ""de"", ""en"")"),"invoice")</f>
        <v>invoice</v>
      </c>
    </row>
    <row r="2277">
      <c r="A2277" s="1" t="s">
        <v>2277</v>
      </c>
      <c r="B2277" s="2" t="str">
        <f>IFERROR(__xludf.DUMMYFUNCTION("GOOGLETRANSLATE(A2277, ""de"", ""en"")"),"the same")</f>
        <v>the same</v>
      </c>
    </row>
    <row r="2278">
      <c r="A2278" s="1" t="s">
        <v>2278</v>
      </c>
      <c r="B2278" s="2" t="str">
        <f>IFERROR(__xludf.DUMMYFUNCTION("GOOGLETRANSLATE(A2278, ""de"", ""en"")"),"change")</f>
        <v>change</v>
      </c>
    </row>
    <row r="2279">
      <c r="A2279" s="1" t="s">
        <v>2279</v>
      </c>
      <c r="B2279" s="2" t="str">
        <f>IFERROR(__xludf.DUMMYFUNCTION("GOOGLETRANSLATE(A2279, ""de"", ""en"")"),"possibly")</f>
        <v>possibly</v>
      </c>
    </row>
    <row r="2280">
      <c r="A2280" s="1" t="s">
        <v>2280</v>
      </c>
      <c r="B2280" s="2" t="str">
        <f>IFERROR(__xludf.DUMMYFUNCTION("GOOGLETRANSLATE(A2280, ""de"", ""en"")"),"definitely")</f>
        <v>definitely</v>
      </c>
    </row>
    <row r="2281">
      <c r="A2281" s="1" t="s">
        <v>2281</v>
      </c>
      <c r="B2281" s="2" t="str">
        <f>IFERROR(__xludf.DUMMYFUNCTION("GOOGLETRANSLATE(A2281, ""de"", ""en"")"),"loose")</f>
        <v>loose</v>
      </c>
    </row>
    <row r="2282">
      <c r="A2282" s="1" t="s">
        <v>2282</v>
      </c>
      <c r="B2282" s="2" t="str">
        <f>IFERROR(__xludf.DUMMYFUNCTION("GOOGLETRANSLATE(A2282, ""de"", ""en"")"),"ed")</f>
        <v>ed</v>
      </c>
    </row>
    <row r="2283">
      <c r="A2283" s="1" t="s">
        <v>2283</v>
      </c>
      <c r="B2283" s="2" t="str">
        <f>IFERROR(__xludf.DUMMYFUNCTION("GOOGLETRANSLATE(A2283, ""de"", ""en"")"),"Vincent")</f>
        <v>Vincent</v>
      </c>
    </row>
    <row r="2284">
      <c r="A2284" s="1" t="s">
        <v>2284</v>
      </c>
      <c r="B2284" s="2" t="str">
        <f>IFERROR(__xludf.DUMMYFUNCTION("GOOGLETRANSLATE(A2284, ""de"", ""en"")"),"ums")</f>
        <v>ums</v>
      </c>
    </row>
    <row r="2285">
      <c r="A2285" s="1" t="s">
        <v>2285</v>
      </c>
      <c r="B2285" s="2" t="str">
        <f>IFERROR(__xludf.DUMMYFUNCTION("GOOGLETRANSLATE(A2285, ""de"", ""en"")"),"at evening")</f>
        <v>at evening</v>
      </c>
    </row>
    <row r="2286">
      <c r="A2286" s="1" t="s">
        <v>2286</v>
      </c>
      <c r="B2286" s="2" t="str">
        <f>IFERROR(__xludf.DUMMYFUNCTION("GOOGLETRANSLATE(A2286, ""de"", ""en"")"),"fresh")</f>
        <v>fresh</v>
      </c>
    </row>
    <row r="2287">
      <c r="A2287" s="1" t="s">
        <v>2287</v>
      </c>
      <c r="B2287" s="2" t="str">
        <f>IFERROR(__xludf.DUMMYFUNCTION("GOOGLETRANSLATE(A2287, ""de"", ""en"")"),"money")</f>
        <v>money</v>
      </c>
    </row>
    <row r="2288">
      <c r="A2288" s="1" t="s">
        <v>2288</v>
      </c>
      <c r="B2288" s="2" t="str">
        <f>IFERROR(__xludf.DUMMYFUNCTION("GOOGLETRANSLATE(A2288, ""de"", ""en"")"),"caught")</f>
        <v>caught</v>
      </c>
    </row>
    <row r="2289">
      <c r="A2289" s="1" t="s">
        <v>2289</v>
      </c>
      <c r="B2289" s="2" t="str">
        <f>IFERROR(__xludf.DUMMYFUNCTION("GOOGLETRANSLATE(A2289, ""de"", ""en"")"),"whore")</f>
        <v>whore</v>
      </c>
    </row>
    <row r="2290">
      <c r="A2290" s="1" t="s">
        <v>2290</v>
      </c>
      <c r="B2290" s="2" t="str">
        <f>IFERROR(__xludf.DUMMYFUNCTION("GOOGLETRANSLATE(A2290, ""de"", ""en"")"),"cousin")</f>
        <v>cousin</v>
      </c>
    </row>
    <row r="2291">
      <c r="A2291" s="1" t="s">
        <v>2291</v>
      </c>
      <c r="B2291" s="2" t="str">
        <f>IFERROR(__xludf.DUMMYFUNCTION("GOOGLETRANSLATE(A2291, ""de"", ""en"")"),"families")</f>
        <v>families</v>
      </c>
    </row>
    <row r="2292">
      <c r="A2292" s="1" t="s">
        <v>2292</v>
      </c>
      <c r="B2292" s="2" t="str">
        <f>IFERROR(__xludf.DUMMYFUNCTION("GOOGLETRANSLATE(A2292, ""de"", ""en"")"),"lonely")</f>
        <v>lonely</v>
      </c>
    </row>
    <row r="2293">
      <c r="A2293" s="1" t="s">
        <v>2293</v>
      </c>
      <c r="B2293" s="2" t="str">
        <f>IFERROR(__xludf.DUMMYFUNCTION("GOOGLETRANSLATE(A2293, ""de"", ""en"")"),"lively")</f>
        <v>lively</v>
      </c>
    </row>
    <row r="2294">
      <c r="A2294" s="1" t="s">
        <v>2294</v>
      </c>
      <c r="B2294" s="2" t="str">
        <f>IFERROR(__xludf.DUMMYFUNCTION("GOOGLETRANSLATE(A2294, ""de"", ""en"")"),"sanctify")</f>
        <v>sanctify</v>
      </c>
    </row>
    <row r="2295">
      <c r="A2295" s="1" t="s">
        <v>2295</v>
      </c>
      <c r="B2295" s="2" t="str">
        <f>IFERROR(__xludf.DUMMYFUNCTION("GOOGLETRANSLATE(A2295, ""de"", ""en"")"),"meager")</f>
        <v>meager</v>
      </c>
    </row>
    <row r="2296">
      <c r="A2296" s="1" t="s">
        <v>2296</v>
      </c>
      <c r="B2296" s="2" t="str">
        <f>IFERROR(__xludf.DUMMYFUNCTION("GOOGLETRANSLATE(A2296, ""de"", ""en"")"),"also")</f>
        <v>also</v>
      </c>
    </row>
    <row r="2297">
      <c r="A2297" s="1" t="s">
        <v>2297</v>
      </c>
      <c r="B2297" s="2" t="str">
        <f>IFERROR(__xludf.DUMMYFUNCTION("GOOGLETRANSLATE(A2297, ""de"", ""en"")"),"checked")</f>
        <v>checked</v>
      </c>
    </row>
    <row r="2298">
      <c r="A2298" s="1" t="s">
        <v>2298</v>
      </c>
      <c r="B2298" s="2" t="str">
        <f>IFERROR(__xludf.DUMMYFUNCTION("GOOGLETRANSLATE(A2298, ""de"", ""en"")"),"article")</f>
        <v>article</v>
      </c>
    </row>
    <row r="2299">
      <c r="A2299" s="1" t="s">
        <v>2299</v>
      </c>
      <c r="B2299" s="2" t="str">
        <f>IFERROR(__xludf.DUMMYFUNCTION("GOOGLETRANSLATE(A2299, ""de"", ""en"")"),"set")</f>
        <v>set</v>
      </c>
    </row>
    <row r="2300">
      <c r="A2300" s="1" t="s">
        <v>2300</v>
      </c>
      <c r="B2300" s="2" t="str">
        <f>IFERROR(__xludf.DUMMYFUNCTION("GOOGLETRANSLATE(A2300, ""de"", ""en"")"),"at any time")</f>
        <v>at any time</v>
      </c>
    </row>
    <row r="2301">
      <c r="A2301" s="1" t="s">
        <v>2301</v>
      </c>
      <c r="B2301" s="2" t="str">
        <f>IFERROR(__xludf.DUMMYFUNCTION("GOOGLETRANSLATE(A2301, ""de"", ""en"")"),"complicated")</f>
        <v>complicated</v>
      </c>
    </row>
    <row r="2302">
      <c r="A2302" s="1" t="s">
        <v>2302</v>
      </c>
      <c r="B2302" s="2" t="str">
        <f>IFERROR(__xludf.DUMMYFUNCTION("GOOGLETRANSLATE(A2302, ""de"", ""en"")"),"sense")</f>
        <v>sense</v>
      </c>
    </row>
    <row r="2303">
      <c r="A2303" s="1" t="s">
        <v>2303</v>
      </c>
      <c r="B2303" s="2" t="str">
        <f>IFERROR(__xludf.DUMMYFUNCTION("GOOGLETRANSLATE(A2303, ""de"", ""en"")"),"signal")</f>
        <v>signal</v>
      </c>
    </row>
    <row r="2304">
      <c r="A2304" s="1" t="s">
        <v>2304</v>
      </c>
      <c r="B2304" s="2" t="str">
        <f>IFERROR(__xludf.DUMMYFUNCTION("GOOGLETRANSLATE(A2304, ""de"", ""en"")"),"amy")</f>
        <v>amy</v>
      </c>
    </row>
    <row r="2305">
      <c r="A2305" s="1" t="s">
        <v>2305</v>
      </c>
      <c r="B2305" s="2" t="str">
        <f>IFERROR(__xludf.DUMMYFUNCTION("GOOGLETRANSLATE(A2305, ""de"", ""en"")"),"engraving")</f>
        <v>engraving</v>
      </c>
    </row>
    <row r="2306">
      <c r="A2306" s="1" t="s">
        <v>2306</v>
      </c>
      <c r="B2306" s="2" t="str">
        <f>IFERROR(__xludf.DUMMYFUNCTION("GOOGLETRANSLATE(A2306, ""de"", ""en"")"),"cinema")</f>
        <v>cinema</v>
      </c>
    </row>
    <row r="2307">
      <c r="A2307" s="1" t="s">
        <v>2307</v>
      </c>
      <c r="B2307" s="2" t="str">
        <f>IFERROR(__xludf.DUMMYFUNCTION("GOOGLETRANSLATE(A2307, ""de"", ""en"")"),"try out")</f>
        <v>try out</v>
      </c>
    </row>
    <row r="2308">
      <c r="A2308" s="1" t="s">
        <v>2308</v>
      </c>
      <c r="B2308" s="2" t="str">
        <f>IFERROR(__xludf.DUMMYFUNCTION("GOOGLETRANSLATE(A2308, ""de"", ""en"")"),"deaths")</f>
        <v>deaths</v>
      </c>
    </row>
    <row r="2309">
      <c r="A2309" s="1" t="s">
        <v>2309</v>
      </c>
      <c r="B2309" s="2" t="str">
        <f>IFERROR(__xludf.DUMMYFUNCTION("GOOGLETRANSLATE(A2309, ""de"", ""en"")"),"wonderful")</f>
        <v>wonderful</v>
      </c>
    </row>
    <row r="2310">
      <c r="A2310" s="1" t="s">
        <v>2310</v>
      </c>
      <c r="B2310" s="2" t="str">
        <f>IFERROR(__xludf.DUMMYFUNCTION("GOOGLETRANSLATE(A2310, ""de"", ""en"")"),"dance")</f>
        <v>dance</v>
      </c>
    </row>
    <row r="2311">
      <c r="A2311" s="1" t="s">
        <v>2311</v>
      </c>
      <c r="B2311" s="2" t="str">
        <f>IFERROR(__xludf.DUMMYFUNCTION("GOOGLETRANSLATE(A2311, ""de"", ""en"")"),"open")</f>
        <v>open</v>
      </c>
    </row>
    <row r="2312">
      <c r="A2312" s="1" t="s">
        <v>2312</v>
      </c>
      <c r="B2312" s="2" t="str">
        <f>IFERROR(__xludf.DUMMYFUNCTION("GOOGLETRANSLATE(A2312, ""de"", ""en"")"),"guys")</f>
        <v>guys</v>
      </c>
    </row>
    <row r="2313">
      <c r="A2313" s="1" t="s">
        <v>2313</v>
      </c>
      <c r="B2313" s="2" t="str">
        <f>IFERROR(__xludf.DUMMYFUNCTION("GOOGLETRANSLATE(A2313, ""de"", ""en"")"),"buried")</f>
        <v>buried</v>
      </c>
    </row>
    <row r="2314">
      <c r="A2314" s="1" t="s">
        <v>2314</v>
      </c>
      <c r="B2314" s="2" t="str">
        <f>IFERROR(__xludf.DUMMYFUNCTION("GOOGLETRANSLATE(A2314, ""de"", ""en"")"),"percent")</f>
        <v>percent</v>
      </c>
    </row>
    <row r="2315">
      <c r="A2315" s="1" t="s">
        <v>2315</v>
      </c>
      <c r="B2315" s="2" t="str">
        <f>IFERROR(__xludf.DUMMYFUNCTION("GOOGLETRANSLATE(A2315, ""de"", ""en"")"),"stop")</f>
        <v>stop</v>
      </c>
    </row>
    <row r="2316">
      <c r="A2316" s="1" t="s">
        <v>2316</v>
      </c>
      <c r="B2316" s="2" t="str">
        <f>IFERROR(__xludf.DUMMYFUNCTION("GOOGLETRANSLATE(A2316, ""de"", ""en"")"),"your highness")</f>
        <v>your highness</v>
      </c>
    </row>
    <row r="2317">
      <c r="A2317" s="1" t="s">
        <v>2317</v>
      </c>
      <c r="B2317" s="2" t="str">
        <f>IFERROR(__xludf.DUMMYFUNCTION("GOOGLETRANSLATE(A2317, ""de"", ""en"")"),"giant")</f>
        <v>giant</v>
      </c>
    </row>
    <row r="2318">
      <c r="A2318" s="1" t="s">
        <v>2318</v>
      </c>
      <c r="B2318" s="2" t="str">
        <f>IFERROR(__xludf.DUMMYFUNCTION("GOOGLETRANSLATE(A2318, ""de"", ""en"")"),"redness")</f>
        <v>redness</v>
      </c>
    </row>
    <row r="2319">
      <c r="A2319" s="1" t="s">
        <v>2319</v>
      </c>
      <c r="B2319" s="2" t="str">
        <f>IFERROR(__xludf.DUMMYFUNCTION("GOOGLETRANSLATE(A2319, ""de"", ""en"")"),"access")</f>
        <v>access</v>
      </c>
    </row>
    <row r="2320">
      <c r="A2320" s="1" t="s">
        <v>2320</v>
      </c>
      <c r="B2320" s="2" t="str">
        <f>IFERROR(__xludf.DUMMYFUNCTION("GOOGLETRANSLATE(A2320, ""de"", ""en"")"),"reads")</f>
        <v>reads</v>
      </c>
    </row>
    <row r="2321">
      <c r="A2321" s="1" t="s">
        <v>2321</v>
      </c>
      <c r="B2321" s="2" t="str">
        <f>IFERROR(__xludf.DUMMYFUNCTION("GOOGLETRANSLATE(A2321, ""de"", ""en"")"),"front")</f>
        <v>front</v>
      </c>
    </row>
    <row r="2322">
      <c r="A2322" s="1" t="s">
        <v>2322</v>
      </c>
      <c r="B2322" s="2" t="str">
        <f>IFERROR(__xludf.DUMMYFUNCTION("GOOGLETRANSLATE(A2322, ""de"", ""en"")"),"important")</f>
        <v>important</v>
      </c>
    </row>
    <row r="2323">
      <c r="A2323" s="1" t="s">
        <v>2323</v>
      </c>
      <c r="B2323" s="2" t="str">
        <f>IFERROR(__xludf.DUMMYFUNCTION("GOOGLETRANSLATE(A2323, ""de"", ""en"")"),"open up")</f>
        <v>open up</v>
      </c>
    </row>
    <row r="2324">
      <c r="A2324" s="1" t="s">
        <v>2324</v>
      </c>
      <c r="B2324" s="2" t="str">
        <f>IFERROR(__xludf.DUMMYFUNCTION("GOOGLETRANSLATE(A2324, ""de"", ""en"")"),"Kelly")</f>
        <v>Kelly</v>
      </c>
    </row>
    <row r="2325">
      <c r="A2325" s="1" t="s">
        <v>2325</v>
      </c>
      <c r="B2325" s="2" t="str">
        <f>IFERROR(__xludf.DUMMYFUNCTION("GOOGLETRANSLATE(A2325, ""de"", ""en"")"),"sexy")</f>
        <v>sexy</v>
      </c>
    </row>
    <row r="2326">
      <c r="A2326" s="1" t="s">
        <v>2326</v>
      </c>
      <c r="B2326" s="2" t="str">
        <f>IFERROR(__xludf.DUMMYFUNCTION("GOOGLETRANSLATE(A2326, ""de"", ""en"")"),"permission")</f>
        <v>permission</v>
      </c>
    </row>
    <row r="2327">
      <c r="A2327" s="1" t="s">
        <v>2327</v>
      </c>
      <c r="B2327" s="2" t="str">
        <f>IFERROR(__xludf.DUMMYFUNCTION("GOOGLETRANSLATE(A2327, ""de"", ""en"")"),"grace")</f>
        <v>grace</v>
      </c>
    </row>
    <row r="2328">
      <c r="A2328" s="1" t="s">
        <v>2328</v>
      </c>
      <c r="B2328" s="2" t="str">
        <f>IFERROR(__xludf.DUMMYFUNCTION("GOOGLETRANSLATE(A2328, ""de"", ""en"")"),"big")</f>
        <v>big</v>
      </c>
    </row>
    <row r="2329">
      <c r="A2329" s="1" t="s">
        <v>2329</v>
      </c>
      <c r="B2329" s="2" t="str">
        <f>IFERROR(__xludf.DUMMYFUNCTION("GOOGLETRANSLATE(A2329, ""de"", ""en"")"),"story")</f>
        <v>story</v>
      </c>
    </row>
    <row r="2330">
      <c r="A2330" s="1" t="s">
        <v>2330</v>
      </c>
      <c r="B2330" s="2" t="str">
        <f>IFERROR(__xludf.DUMMYFUNCTION("GOOGLETRANSLATE(A2330, ""de"", ""en"")"),"madam")</f>
        <v>madam</v>
      </c>
    </row>
    <row r="2331">
      <c r="A2331" s="1" t="s">
        <v>2331</v>
      </c>
      <c r="B2331" s="2" t="str">
        <f>IFERROR(__xludf.DUMMYFUNCTION("GOOGLETRANSLATE(A2331, ""de"", ""en"")"),"lighter")</f>
        <v>lighter</v>
      </c>
    </row>
    <row r="2332">
      <c r="A2332" s="1" t="s">
        <v>2332</v>
      </c>
      <c r="B2332" s="2" t="str">
        <f>IFERROR(__xludf.DUMMYFUNCTION("GOOGLETRANSLATE(A2332, ""de"", ""en"")"),"half")</f>
        <v>half</v>
      </c>
    </row>
    <row r="2333">
      <c r="A2333" s="1" t="s">
        <v>2333</v>
      </c>
      <c r="B2333" s="2" t="str">
        <f>IFERROR(__xludf.DUMMYFUNCTION("GOOGLETRANSLATE(A2333, ""de"", ""en"")"),"films")</f>
        <v>films</v>
      </c>
    </row>
    <row r="2334">
      <c r="A2334" s="1" t="s">
        <v>2334</v>
      </c>
      <c r="B2334" s="2" t="str">
        <f>IFERROR(__xludf.DUMMYFUNCTION("GOOGLETRANSLATE(A2334, ""de"", ""en"")"),"priest")</f>
        <v>priest</v>
      </c>
    </row>
    <row r="2335">
      <c r="A2335" s="1" t="s">
        <v>2335</v>
      </c>
      <c r="B2335" s="2" t="str">
        <f>IFERROR(__xludf.DUMMYFUNCTION("GOOGLETRANSLATE(A2335, ""de"", ""en"")"),"to find out")</f>
        <v>to find out</v>
      </c>
    </row>
    <row r="2336">
      <c r="A2336" s="1" t="s">
        <v>2336</v>
      </c>
      <c r="B2336" s="2" t="str">
        <f>IFERROR(__xludf.DUMMYFUNCTION("GOOGLETRANSLATE(A2336, ""de"", ""en"")"),"pack")</f>
        <v>pack</v>
      </c>
    </row>
    <row r="2337">
      <c r="A2337" s="1" t="s">
        <v>2337</v>
      </c>
      <c r="B2337" s="2" t="str">
        <f>IFERROR(__xludf.DUMMYFUNCTION("GOOGLETRANSLATE(A2337, ""de"", ""en"")"),"third")</f>
        <v>third</v>
      </c>
    </row>
    <row r="2338">
      <c r="A2338" s="1" t="s">
        <v>2338</v>
      </c>
      <c r="B2338" s="2" t="str">
        <f>IFERROR(__xludf.DUMMYFUNCTION("GOOGLETRANSLATE(A2338, ""de"", ""en"")"),"in the meantime")</f>
        <v>in the meantime</v>
      </c>
    </row>
    <row r="2339">
      <c r="A2339" s="1" t="s">
        <v>2339</v>
      </c>
      <c r="B2339" s="2" t="str">
        <f>IFERROR(__xludf.DUMMYFUNCTION("GOOGLETRANSLATE(A2339, ""de"", ""en"")"),"larry")</f>
        <v>larry</v>
      </c>
    </row>
    <row r="2340">
      <c r="A2340" s="1" t="s">
        <v>2340</v>
      </c>
      <c r="B2340" s="2" t="str">
        <f>IFERROR(__xludf.DUMMYFUNCTION("GOOGLETRANSLATE(A2340, ""de"", ""en"")"),"press")</f>
        <v>press</v>
      </c>
    </row>
    <row r="2341">
      <c r="A2341" s="1" t="s">
        <v>2341</v>
      </c>
      <c r="B2341" s="2" t="str">
        <f>IFERROR(__xludf.DUMMYFUNCTION("GOOGLETRANSLATE(A2341, ""de"", ""en"")"),"sit")</f>
        <v>sit</v>
      </c>
    </row>
    <row r="2342">
      <c r="A2342" s="1" t="s">
        <v>2342</v>
      </c>
      <c r="B2342" s="2" t="str">
        <f>IFERROR(__xludf.DUMMYFUNCTION("GOOGLETRANSLATE(A2342, ""de"", ""en"")"),"made")</f>
        <v>made</v>
      </c>
    </row>
    <row r="2343">
      <c r="A2343" s="1" t="s">
        <v>2343</v>
      </c>
      <c r="B2343" s="2" t="str">
        <f>IFERROR(__xludf.DUMMYFUNCTION("GOOGLETRANSLATE(A2343, ""de"", ""en"")"),"stolen")</f>
        <v>stolen</v>
      </c>
    </row>
    <row r="2344">
      <c r="A2344" s="1" t="s">
        <v>2344</v>
      </c>
      <c r="B2344" s="2" t="str">
        <f>IFERROR(__xludf.DUMMYFUNCTION("GOOGLETRANSLATE(A2344, ""de"", ""en"")"),"heroes")</f>
        <v>heroes</v>
      </c>
    </row>
    <row r="2345">
      <c r="A2345" s="1" t="s">
        <v>2345</v>
      </c>
      <c r="B2345" s="2" t="str">
        <f>IFERROR(__xludf.DUMMYFUNCTION("GOOGLETRANSLATE(A2345, ""de"", ""en"")"),"Susan")</f>
        <v>Susan</v>
      </c>
    </row>
    <row r="2346">
      <c r="A2346" s="1" t="s">
        <v>2346</v>
      </c>
      <c r="B2346" s="2" t="str">
        <f>IFERROR(__xludf.DUMMYFUNCTION("GOOGLETRANSLATE(A2346, ""de"", ""en"")"),"patience")</f>
        <v>patience</v>
      </c>
    </row>
    <row r="2347">
      <c r="A2347" s="1" t="s">
        <v>2347</v>
      </c>
      <c r="B2347" s="2" t="str">
        <f>IFERROR(__xludf.DUMMYFUNCTION("GOOGLETRANSLATE(A2347, ""de"", ""en"")"),"stage")</f>
        <v>stage</v>
      </c>
    </row>
    <row r="2348">
      <c r="A2348" s="1" t="s">
        <v>2348</v>
      </c>
      <c r="B2348" s="2" t="str">
        <f>IFERROR(__xludf.DUMMYFUNCTION("GOOGLETRANSLATE(A2348, ""de"", ""en"")"),"repair")</f>
        <v>repair</v>
      </c>
    </row>
    <row r="2349">
      <c r="A2349" s="1" t="s">
        <v>2349</v>
      </c>
      <c r="B2349" s="2" t="str">
        <f>IFERROR(__xludf.DUMMYFUNCTION("GOOGLETRANSLATE(A2349, ""de"", ""en"")"),"huh")</f>
        <v>huh</v>
      </c>
    </row>
    <row r="2350">
      <c r="A2350" s="1" t="s">
        <v>2350</v>
      </c>
      <c r="B2350" s="2" t="str">
        <f>IFERROR(__xludf.DUMMYFUNCTION("GOOGLETRANSLATE(A2350, ""de"", ""en"")"),"USA")</f>
        <v>USA</v>
      </c>
    </row>
    <row r="2351">
      <c r="A2351" s="1" t="s">
        <v>2351</v>
      </c>
      <c r="B2351" s="2" t="str">
        <f>IFERROR(__xludf.DUMMYFUNCTION("GOOGLETRANSLATE(A2351, ""de"", ""en"")"),"justice")</f>
        <v>justice</v>
      </c>
    </row>
    <row r="2352">
      <c r="A2352" s="1" t="s">
        <v>2352</v>
      </c>
      <c r="B2352" s="2" t="str">
        <f>IFERROR(__xludf.DUMMYFUNCTION("GOOGLETRANSLATE(A2352, ""de"", ""en"")"),"cases")</f>
        <v>cases</v>
      </c>
    </row>
    <row r="2353">
      <c r="A2353" s="1" t="s">
        <v>2353</v>
      </c>
      <c r="B2353" s="2" t="str">
        <f>IFERROR(__xludf.DUMMYFUNCTION("GOOGLETRANSLATE(A2353, ""de"", ""en"")"),"rarely")</f>
        <v>rarely</v>
      </c>
    </row>
    <row r="2354">
      <c r="A2354" s="1" t="s">
        <v>2354</v>
      </c>
      <c r="B2354" s="2" t="str">
        <f>IFERROR(__xludf.DUMMYFUNCTION("GOOGLETRANSLATE(A2354, ""de"", ""en"")"),"calls")</f>
        <v>calls</v>
      </c>
    </row>
    <row r="2355">
      <c r="A2355" s="1" t="s">
        <v>2355</v>
      </c>
      <c r="B2355" s="2" t="str">
        <f>IFERROR(__xludf.DUMMYFUNCTION("GOOGLETRANSLATE(A2355, ""de"", ""en"")"),"sign")</f>
        <v>sign</v>
      </c>
    </row>
    <row r="2356">
      <c r="A2356" s="1" t="s">
        <v>2356</v>
      </c>
      <c r="B2356" s="2" t="str">
        <f>IFERROR(__xludf.DUMMYFUNCTION("GOOGLETRANSLATE(A2356, ""de"", ""en"")"),"Julia")</f>
        <v>Julia</v>
      </c>
    </row>
    <row r="2357">
      <c r="A2357" s="1" t="s">
        <v>2357</v>
      </c>
      <c r="B2357" s="2" t="str">
        <f>IFERROR(__xludf.DUMMYFUNCTION("GOOGLETRANSLATE(A2357, ""de"", ""en"")"),"press")</f>
        <v>press</v>
      </c>
    </row>
    <row r="2358">
      <c r="A2358" s="1" t="s">
        <v>2358</v>
      </c>
      <c r="B2358" s="2" t="str">
        <f>IFERROR(__xludf.DUMMYFUNCTION("GOOGLETRANSLATE(A2358, ""de"", ""en"")"),"mrs")</f>
        <v>mrs</v>
      </c>
    </row>
    <row r="2359">
      <c r="A2359" s="1" t="s">
        <v>2359</v>
      </c>
      <c r="B2359" s="2" t="str">
        <f>IFERROR(__xludf.DUMMYFUNCTION("GOOGLETRANSLATE(A2359, ""de"", ""en"")"),"liar")</f>
        <v>liar</v>
      </c>
    </row>
    <row r="2360">
      <c r="A2360" s="1" t="s">
        <v>2360</v>
      </c>
      <c r="B2360" s="2" t="str">
        <f>IFERROR(__xludf.DUMMYFUNCTION("GOOGLETRANSLATE(A2360, ""de"", ""en"")"),"ends")</f>
        <v>ends</v>
      </c>
    </row>
    <row r="2361">
      <c r="A2361" s="1" t="s">
        <v>2361</v>
      </c>
      <c r="B2361" s="2" t="str">
        <f>IFERROR(__xludf.DUMMYFUNCTION("GOOGLETRANSLATE(A2361, ""de"", ""en"")"),"Dave")</f>
        <v>Dave</v>
      </c>
    </row>
    <row r="2362">
      <c r="A2362" s="1" t="s">
        <v>2362</v>
      </c>
      <c r="B2362" s="2" t="str">
        <f>IFERROR(__xludf.DUMMYFUNCTION("GOOGLETRANSLATE(A2362, ""de"", ""en"")"),"medicine")</f>
        <v>medicine</v>
      </c>
    </row>
    <row r="2363">
      <c r="A2363" s="1" t="s">
        <v>2363</v>
      </c>
      <c r="B2363" s="2" t="str">
        <f>IFERROR(__xludf.DUMMYFUNCTION("GOOGLETRANSLATE(A2363, ""de"", ""en"")"),"write")</f>
        <v>write</v>
      </c>
    </row>
    <row r="2364">
      <c r="A2364" s="1" t="s">
        <v>2364</v>
      </c>
      <c r="B2364" s="2" t="str">
        <f>IFERROR(__xludf.DUMMYFUNCTION("GOOGLETRANSLATE(A2364, ""de"", ""en"")"),"arrest")</f>
        <v>arrest</v>
      </c>
    </row>
    <row r="2365">
      <c r="A2365" s="1" t="s">
        <v>2365</v>
      </c>
      <c r="B2365" s="2" t="str">
        <f>IFERROR(__xludf.DUMMYFUNCTION("GOOGLETRANSLATE(A2365, ""de"", ""en"")"),"process")</f>
        <v>process</v>
      </c>
    </row>
    <row r="2366">
      <c r="A2366" s="1" t="s">
        <v>2366</v>
      </c>
      <c r="B2366" s="2" t="str">
        <f>IFERROR(__xludf.DUMMYFUNCTION("GOOGLETRANSLATE(A2366, ""de"", ""en"")"),"Saturday")</f>
        <v>Saturday</v>
      </c>
    </row>
    <row r="2367">
      <c r="A2367" s="1" t="s">
        <v>2367</v>
      </c>
      <c r="B2367" s="2" t="str">
        <f>IFERROR(__xludf.DUMMYFUNCTION("GOOGLETRANSLATE(A2367, ""de"", ""en"")"),"Amen")</f>
        <v>Amen</v>
      </c>
    </row>
    <row r="2368">
      <c r="A2368" s="1" t="s">
        <v>2368</v>
      </c>
      <c r="B2368" s="2" t="str">
        <f>IFERROR(__xludf.DUMMYFUNCTION("GOOGLETRANSLATE(A2368, ""de"", ""en"")"),"motor")</f>
        <v>motor</v>
      </c>
    </row>
    <row r="2369">
      <c r="A2369" s="1" t="s">
        <v>2369</v>
      </c>
      <c r="B2369" s="2" t="str">
        <f>IFERROR(__xludf.DUMMYFUNCTION("GOOGLETRANSLATE(A2369, ""de"", ""en"")"),"Marie")</f>
        <v>Marie</v>
      </c>
    </row>
    <row r="2370">
      <c r="A2370" s="1" t="s">
        <v>2370</v>
      </c>
      <c r="B2370" s="2" t="str">
        <f>IFERROR(__xludf.DUMMYFUNCTION("GOOGLETRANSLATE(A2370, ""de"", ""en"")"),"run away")</f>
        <v>run away</v>
      </c>
    </row>
    <row r="2371">
      <c r="A2371" s="1" t="s">
        <v>2371</v>
      </c>
      <c r="B2371" s="2" t="str">
        <f>IFERROR(__xludf.DUMMYFUNCTION("GOOGLETRANSLATE(A2371, ""de"", ""en"")"),"chaos")</f>
        <v>chaos</v>
      </c>
    </row>
    <row r="2372">
      <c r="A2372" s="1" t="s">
        <v>2372</v>
      </c>
      <c r="B2372" s="2" t="str">
        <f>IFERROR(__xludf.DUMMYFUNCTION("GOOGLETRANSLATE(A2372, ""de"", ""en"")"),"beauty")</f>
        <v>beauty</v>
      </c>
    </row>
    <row r="2373">
      <c r="A2373" s="1" t="s">
        <v>2373</v>
      </c>
      <c r="B2373" s="2" t="str">
        <f>IFERROR(__xludf.DUMMYFUNCTION("GOOGLETRANSLATE(A2373, ""de"", ""en"")"),"almost")</f>
        <v>almost</v>
      </c>
    </row>
    <row r="2374">
      <c r="A2374" s="1" t="s">
        <v>2374</v>
      </c>
      <c r="B2374" s="2" t="str">
        <f>IFERROR(__xludf.DUMMYFUNCTION("GOOGLETRANSLATE(A2374, ""de"", ""en"")"),"live")</f>
        <v>live</v>
      </c>
    </row>
    <row r="2375">
      <c r="A2375" s="1" t="s">
        <v>2375</v>
      </c>
      <c r="B2375" s="2" t="str">
        <f>IFERROR(__xludf.DUMMYFUNCTION("GOOGLETRANSLATE(A2375, ""de"", ""en"")"),"great")</f>
        <v>great</v>
      </c>
    </row>
    <row r="2376">
      <c r="A2376" s="1" t="s">
        <v>2376</v>
      </c>
      <c r="B2376" s="2" t="str">
        <f>IFERROR(__xludf.DUMMYFUNCTION("GOOGLETRANSLATE(A2376, ""de"", ""en"")"),"stop")</f>
        <v>stop</v>
      </c>
    </row>
    <row r="2377">
      <c r="A2377" s="1" t="s">
        <v>2377</v>
      </c>
      <c r="B2377" s="2" t="str">
        <f>IFERROR(__xludf.DUMMYFUNCTION("GOOGLETRANSLATE(A2377, ""de"", ""en"")"),"strangers")</f>
        <v>strangers</v>
      </c>
    </row>
    <row r="2378">
      <c r="A2378" s="1" t="s">
        <v>2378</v>
      </c>
      <c r="B2378" s="2" t="str">
        <f>IFERROR(__xludf.DUMMYFUNCTION("GOOGLETRANSLATE(A2378, ""de"", ""en"")"),"yard")</f>
        <v>yard</v>
      </c>
    </row>
    <row r="2379">
      <c r="A2379" s="1" t="s">
        <v>2379</v>
      </c>
      <c r="B2379" s="2" t="str">
        <f>IFERROR(__xludf.DUMMYFUNCTION("GOOGLETRANSLATE(A2379, ""de"", ""en"")"),"accept")</f>
        <v>accept</v>
      </c>
    </row>
    <row r="2380">
      <c r="A2380" s="1" t="s">
        <v>2380</v>
      </c>
      <c r="B2380" s="2" t="str">
        <f>IFERROR(__xludf.DUMMYFUNCTION("GOOGLETRANSLATE(A2380, ""de"", ""en"")"),"north")</f>
        <v>north</v>
      </c>
    </row>
    <row r="2381">
      <c r="A2381" s="1" t="s">
        <v>2381</v>
      </c>
      <c r="B2381" s="2" t="str">
        <f>IFERROR(__xludf.DUMMYFUNCTION("GOOGLETRANSLATE(A2381, ""de"", ""en"")"),"doctors")</f>
        <v>doctors</v>
      </c>
    </row>
    <row r="2382">
      <c r="A2382" s="1" t="s">
        <v>2382</v>
      </c>
      <c r="B2382" s="2" t="str">
        <f>IFERROR(__xludf.DUMMYFUNCTION("GOOGLETRANSLATE(A2382, ""de"", ""en"")"),"put on ")</f>
        <v>put on </v>
      </c>
    </row>
    <row r="2383">
      <c r="A2383" s="1" t="s">
        <v>2383</v>
      </c>
      <c r="B2383" s="2" t="str">
        <f>IFERROR(__xludf.DUMMYFUNCTION("GOOGLETRANSLATE(A2383, ""de"", ""en"")"),"things")</f>
        <v>things</v>
      </c>
    </row>
    <row r="2384">
      <c r="A2384" s="1" t="s">
        <v>2384</v>
      </c>
      <c r="B2384" s="2" t="str">
        <f>IFERROR(__xludf.DUMMYFUNCTION("GOOGLETRANSLATE(A2384, ""de"", ""en"")"),"evade")</f>
        <v>evade</v>
      </c>
    </row>
    <row r="2385">
      <c r="A2385" s="1" t="s">
        <v>2385</v>
      </c>
      <c r="B2385" s="2" t="str">
        <f>IFERROR(__xludf.DUMMYFUNCTION("GOOGLETRANSLATE(A2385, ""de"", ""en"")"),"belly")</f>
        <v>belly</v>
      </c>
    </row>
    <row r="2386">
      <c r="A2386" s="1" t="s">
        <v>2386</v>
      </c>
      <c r="B2386" s="2" t="str">
        <f>IFERROR(__xludf.DUMMYFUNCTION("GOOGLETRANSLATE(A2386, ""de"", ""en"")"),"entire")</f>
        <v>entire</v>
      </c>
    </row>
    <row r="2387">
      <c r="A2387" s="1" t="s">
        <v>2387</v>
      </c>
      <c r="B2387" s="2" t="str">
        <f>IFERROR(__xludf.DUMMYFUNCTION("GOOGLETRANSLATE(A2387, ""de"", ""en"")"),"pretty")</f>
        <v>pretty</v>
      </c>
    </row>
    <row r="2388">
      <c r="A2388" s="1" t="s">
        <v>2388</v>
      </c>
      <c r="B2388" s="2" t="str">
        <f>IFERROR(__xludf.DUMMYFUNCTION("GOOGLETRANSLATE(A2388, ""de"", ""en"")"),"bear")</f>
        <v>bear</v>
      </c>
    </row>
    <row r="2389">
      <c r="A2389" s="1" t="s">
        <v>2389</v>
      </c>
      <c r="B2389" s="2" t="str">
        <f>IFERROR(__xludf.DUMMYFUNCTION("GOOGLETRANSLATE(A2389, ""de"", ""en"")"),"box")</f>
        <v>box</v>
      </c>
    </row>
    <row r="2390">
      <c r="A2390" s="1" t="s">
        <v>2390</v>
      </c>
      <c r="B2390" s="2" t="str">
        <f>IFERROR(__xludf.DUMMYFUNCTION("GOOGLETRANSLATE(A2390, ""de"", ""en"")"),"burns")</f>
        <v>burns</v>
      </c>
    </row>
    <row r="2391">
      <c r="A2391" s="1" t="s">
        <v>2391</v>
      </c>
      <c r="B2391" s="2" t="str">
        <f>IFERROR(__xludf.DUMMYFUNCTION("GOOGLETRANSLATE(A2391, ""de"", ""en"")"),"share")</f>
        <v>share</v>
      </c>
    </row>
    <row r="2392">
      <c r="A2392" s="1" t="s">
        <v>2392</v>
      </c>
      <c r="B2392" s="2" t="str">
        <f>IFERROR(__xludf.DUMMYFUNCTION("GOOGLETRANSLATE(A2392, ""de"", ""en"")"),"cover")</f>
        <v>cover</v>
      </c>
    </row>
    <row r="2393">
      <c r="A2393" s="1" t="s">
        <v>2393</v>
      </c>
      <c r="B2393" s="2" t="str">
        <f>IFERROR(__xludf.DUMMYFUNCTION("GOOGLETRANSLATE(A2393, ""de"", ""en"")"),"land")</f>
        <v>land</v>
      </c>
    </row>
    <row r="2394">
      <c r="A2394" s="1" t="s">
        <v>2394</v>
      </c>
      <c r="B2394" s="2" t="str">
        <f>IFERROR(__xludf.DUMMYFUNCTION("GOOGLETRANSLATE(A2394, ""de"", ""en"")"),"mountain")</f>
        <v>mountain</v>
      </c>
    </row>
    <row r="2395">
      <c r="A2395" s="1" t="s">
        <v>2395</v>
      </c>
      <c r="B2395" s="2" t="str">
        <f>IFERROR(__xludf.DUMMYFUNCTION("GOOGLETRANSLATE(A2395, ""de"", ""en"")"),"streets")</f>
        <v>streets</v>
      </c>
    </row>
    <row r="2396">
      <c r="A2396" s="1" t="s">
        <v>2396</v>
      </c>
      <c r="B2396" s="2" t="str">
        <f>IFERROR(__xludf.DUMMYFUNCTION("GOOGLETRANSLATE(A2396, ""de"", ""en"")"),"recorded")</f>
        <v>recorded</v>
      </c>
    </row>
    <row r="2397">
      <c r="A2397" s="1" t="s">
        <v>2397</v>
      </c>
      <c r="B2397" s="2" t="str">
        <f>IFERROR(__xludf.DUMMYFUNCTION("GOOGLETRANSLATE(A2397, ""de"", ""en"")"),"called")</f>
        <v>called</v>
      </c>
    </row>
    <row r="2398">
      <c r="A2398" s="1" t="s">
        <v>2398</v>
      </c>
      <c r="B2398" s="2" t="str">
        <f>IFERROR(__xludf.DUMMYFUNCTION("GOOGLETRANSLATE(A2398, ""de"", ""en"")"),"investigation")</f>
        <v>investigation</v>
      </c>
    </row>
    <row r="2399">
      <c r="A2399" s="1" t="s">
        <v>2399</v>
      </c>
      <c r="B2399" s="2" t="str">
        <f>IFERROR(__xludf.DUMMYFUNCTION("GOOGLETRANSLATE(A2399, ""de"", ""en"")"),"alarm")</f>
        <v>alarm</v>
      </c>
    </row>
    <row r="2400">
      <c r="A2400" s="1" t="s">
        <v>2400</v>
      </c>
      <c r="B2400" s="2" t="str">
        <f>IFERROR(__xludf.DUMMYFUNCTION("GOOGLETRANSLATE(A2400, ""de"", ""en"")"),"stayed")</f>
        <v>stayed</v>
      </c>
    </row>
    <row r="2401">
      <c r="A2401" s="1" t="s">
        <v>2401</v>
      </c>
      <c r="B2401" s="2" t="str">
        <f>IFERROR(__xludf.DUMMYFUNCTION("GOOGLETRANSLATE(A2401, ""de"", ""en"")"),"trust")</f>
        <v>trust</v>
      </c>
    </row>
    <row r="2402">
      <c r="A2402" s="1" t="s">
        <v>2402</v>
      </c>
      <c r="B2402" s="2" t="str">
        <f>IFERROR(__xludf.DUMMYFUNCTION("GOOGLETRANSLATE(A2402, ""de"", ""en"")"),"extra")</f>
        <v>extra</v>
      </c>
    </row>
    <row r="2403">
      <c r="A2403" s="1" t="s">
        <v>2403</v>
      </c>
      <c r="B2403" s="2" t="str">
        <f>IFERROR(__xludf.DUMMYFUNCTION("GOOGLETRANSLATE(A2403, ""de"", ""en"")"),"relaxed")</f>
        <v>relaxed</v>
      </c>
    </row>
    <row r="2404">
      <c r="A2404" s="1" t="s">
        <v>2404</v>
      </c>
      <c r="B2404" s="2" t="str">
        <f>IFERROR(__xludf.DUMMYFUNCTION("GOOGLETRANSLATE(A2404, ""de"", ""en"")"),"observe")</f>
        <v>observe</v>
      </c>
    </row>
    <row r="2405">
      <c r="A2405" s="1" t="s">
        <v>2405</v>
      </c>
      <c r="B2405" s="2" t="str">
        <f>IFERROR(__xludf.DUMMYFUNCTION("GOOGLETRANSLATE(A2405, ""de"", ""en"")"),"impression")</f>
        <v>impression</v>
      </c>
    </row>
    <row r="2406">
      <c r="A2406" s="1" t="s">
        <v>2406</v>
      </c>
      <c r="B2406" s="2" t="str">
        <f>IFERROR(__xludf.DUMMYFUNCTION("GOOGLETRANSLATE(A2406, ""de"", ""en"")"),"bye")</f>
        <v>bye</v>
      </c>
    </row>
    <row r="2407">
      <c r="A2407" s="1" t="s">
        <v>2407</v>
      </c>
      <c r="B2407" s="2" t="str">
        <f>IFERROR(__xludf.DUMMYFUNCTION("GOOGLETRANSLATE(A2407, ""de"", ""en"")"),"babies")</f>
        <v>babies</v>
      </c>
    </row>
    <row r="2408">
      <c r="A2408" s="1" t="s">
        <v>2408</v>
      </c>
      <c r="B2408" s="2" t="str">
        <f>IFERROR(__xludf.DUMMYFUNCTION("GOOGLETRANSLATE(A2408, ""de"", ""en"")"),"hurt")</f>
        <v>hurt</v>
      </c>
    </row>
    <row r="2409">
      <c r="A2409" s="1" t="s">
        <v>2409</v>
      </c>
      <c r="B2409" s="2" t="str">
        <f>IFERROR(__xludf.DUMMYFUNCTION("GOOGLETRANSLATE(A2409, ""de"", ""en"")"),"pulled")</f>
        <v>pulled</v>
      </c>
    </row>
    <row r="2410">
      <c r="A2410" s="1" t="s">
        <v>2410</v>
      </c>
      <c r="B2410" s="2" t="str">
        <f>IFERROR(__xludf.DUMMYFUNCTION("GOOGLETRANSLATE(A2410, ""de"", ""en"")"),"eat")</f>
        <v>eat</v>
      </c>
    </row>
    <row r="2411">
      <c r="A2411" s="1" t="s">
        <v>2411</v>
      </c>
      <c r="B2411" s="2" t="str">
        <f>IFERROR(__xludf.DUMMYFUNCTION("GOOGLETRANSLATE(A2411, ""de"", ""en"")"),"jeez")</f>
        <v>jeez</v>
      </c>
    </row>
    <row r="2412">
      <c r="A2412" s="1" t="s">
        <v>2412</v>
      </c>
      <c r="B2412" s="2" t="str">
        <f>IFERROR(__xludf.DUMMYFUNCTION("GOOGLETRANSLATE(A2412, ""de"", ""en"")"),"real")</f>
        <v>real</v>
      </c>
    </row>
    <row r="2413">
      <c r="A2413" s="1" t="s">
        <v>2413</v>
      </c>
      <c r="B2413" s="2" t="str">
        <f>IFERROR(__xludf.DUMMYFUNCTION("GOOGLETRANSLATE(A2413, ""de"", ""en"")"),"jump")</f>
        <v>jump</v>
      </c>
    </row>
    <row r="2414">
      <c r="A2414" s="1" t="s">
        <v>2414</v>
      </c>
      <c r="B2414" s="2" t="str">
        <f>IFERROR(__xludf.DUMMYFUNCTION("GOOGLETRANSLATE(A2414, ""de"", ""en"")"),"naked")</f>
        <v>naked</v>
      </c>
    </row>
    <row r="2415">
      <c r="A2415" s="1" t="s">
        <v>2415</v>
      </c>
      <c r="B2415" s="2" t="str">
        <f>IFERROR(__xludf.DUMMYFUNCTION("GOOGLETRANSLATE(A2415, ""de"", ""en"")"),"exists")</f>
        <v>exists</v>
      </c>
    </row>
    <row r="2416">
      <c r="A2416" s="1" t="s">
        <v>2416</v>
      </c>
      <c r="B2416" s="2" t="str">
        <f>IFERROR(__xludf.DUMMYFUNCTION("GOOGLETRANSLATE(A2416, ""de"", ""en"")"),"liberate")</f>
        <v>liberate</v>
      </c>
    </row>
    <row r="2417">
      <c r="A2417" s="1" t="s">
        <v>2417</v>
      </c>
      <c r="B2417" s="2" t="str">
        <f>IFERROR(__xludf.DUMMYFUNCTION("GOOGLETRANSLATE(A2417, ""de"", ""en"")"),"device")</f>
        <v>device</v>
      </c>
    </row>
    <row r="2418">
      <c r="A2418" s="1" t="s">
        <v>2418</v>
      </c>
      <c r="B2418" s="2" t="str">
        <f>IFERROR(__xludf.DUMMYFUNCTION("GOOGLETRANSLATE(A2418, ""de"", ""en"")"),"Monday")</f>
        <v>Monday</v>
      </c>
    </row>
    <row r="2419">
      <c r="A2419" s="1" t="s">
        <v>2419</v>
      </c>
      <c r="B2419" s="2" t="str">
        <f>IFERROR(__xludf.DUMMYFUNCTION("GOOGLETRANSLATE(A2419, ""de"", ""en"")"),"forced")</f>
        <v>forced</v>
      </c>
    </row>
    <row r="2420">
      <c r="A2420" s="1" t="s">
        <v>2420</v>
      </c>
      <c r="B2420" s="2" t="str">
        <f>IFERROR(__xludf.DUMMYFUNCTION("GOOGLETRANSLATE(A2420, ""de"", ""en"")"),"perfect")</f>
        <v>perfect</v>
      </c>
    </row>
    <row r="2421">
      <c r="A2421" s="1" t="s">
        <v>2421</v>
      </c>
      <c r="B2421" s="2" t="str">
        <f>IFERROR(__xludf.DUMMYFUNCTION("GOOGLETRANSLATE(A2421, ""de"", ""en"")"),"tell")</f>
        <v>tell</v>
      </c>
    </row>
    <row r="2422">
      <c r="A2422" s="1" t="s">
        <v>2422</v>
      </c>
      <c r="B2422" s="2" t="str">
        <f>IFERROR(__xludf.DUMMYFUNCTION("GOOGLETRANSLATE(A2422, ""de"", ""en"")"),"bastard")</f>
        <v>bastard</v>
      </c>
    </row>
    <row r="2423">
      <c r="A2423" s="1" t="s">
        <v>2423</v>
      </c>
      <c r="B2423" s="2" t="str">
        <f>IFERROR(__xludf.DUMMYFUNCTION("GOOGLETRANSLATE(A2423, ""de"", ""en"")"),"interested")</f>
        <v>interested</v>
      </c>
    </row>
    <row r="2424">
      <c r="A2424" s="1" t="s">
        <v>2424</v>
      </c>
      <c r="B2424" s="2" t="str">
        <f>IFERROR(__xludf.DUMMYFUNCTION("GOOGLETRANSLATE(A2424, ""de"", ""en"")"),"bad")</f>
        <v>bad</v>
      </c>
    </row>
    <row r="2425">
      <c r="A2425" s="1" t="s">
        <v>2425</v>
      </c>
      <c r="B2425" s="2" t="str">
        <f>IFERROR(__xludf.DUMMYFUNCTION("GOOGLETRANSLATE(A2425, ""de"", ""en"")"),"hank")</f>
        <v>hank</v>
      </c>
    </row>
    <row r="2426">
      <c r="A2426" s="1" t="s">
        <v>2426</v>
      </c>
      <c r="B2426" s="2" t="str">
        <f>IFERROR(__xludf.DUMMYFUNCTION("GOOGLETRANSLATE(A2426, ""de"", ""en"")"),"rises")</f>
        <v>rises</v>
      </c>
    </row>
    <row r="2427">
      <c r="A2427" s="1" t="s">
        <v>2427</v>
      </c>
      <c r="B2427" s="2" t="str">
        <f>IFERROR(__xludf.DUMMYFUNCTION("GOOGLETRANSLATE(A2427, ""de"", ""en"")"),"st.")</f>
        <v>st.</v>
      </c>
    </row>
    <row r="2428">
      <c r="A2428" s="1" t="s">
        <v>2428</v>
      </c>
      <c r="B2428" s="2" t="str">
        <f>IFERROR(__xludf.DUMMYFUNCTION("GOOGLETRANSLATE(A2428, ""de"", ""en"")"),"on")</f>
        <v>on</v>
      </c>
    </row>
    <row r="2429">
      <c r="A2429" s="1" t="s">
        <v>2429</v>
      </c>
      <c r="B2429" s="2" t="str">
        <f>IFERROR(__xludf.DUMMYFUNCTION("GOOGLETRANSLATE(A2429, ""de"", ""en"")"),"carl")</f>
        <v>carl</v>
      </c>
    </row>
    <row r="2430">
      <c r="A2430" s="1" t="s">
        <v>2430</v>
      </c>
      <c r="B2430" s="2" t="str">
        <f>IFERROR(__xludf.DUMMYFUNCTION("GOOGLETRANSLATE(A2430, ""de"", ""en"")"),"got")</f>
        <v>got</v>
      </c>
    </row>
    <row r="2431">
      <c r="A2431" s="1" t="s">
        <v>2431</v>
      </c>
      <c r="B2431" s="2" t="str">
        <f>IFERROR(__xludf.DUMMYFUNCTION("GOOGLETRANSLATE(A2431, ""de"", ""en"")"),"flee")</f>
        <v>flee</v>
      </c>
    </row>
    <row r="2432">
      <c r="A2432" s="1" t="s">
        <v>2432</v>
      </c>
      <c r="B2432" s="2" t="str">
        <f>IFERROR(__xludf.DUMMYFUNCTION("GOOGLETRANSLATE(A2432, ""de"", ""en"")"),"wore")</f>
        <v>wore</v>
      </c>
    </row>
    <row r="2433">
      <c r="A2433" s="1" t="s">
        <v>2433</v>
      </c>
      <c r="B2433" s="2" t="str">
        <f>IFERROR(__xludf.DUMMYFUNCTION("GOOGLETRANSLATE(A2433, ""de"", ""en"")"),"friendship")</f>
        <v>friendship</v>
      </c>
    </row>
    <row r="2434">
      <c r="A2434" s="1" t="s">
        <v>2434</v>
      </c>
      <c r="B2434" s="2" t="str">
        <f>IFERROR(__xludf.DUMMYFUNCTION("GOOGLETRANSLATE(A2434, ""de"", ""en"")"),"rate")</f>
        <v>rate</v>
      </c>
    </row>
    <row r="2435">
      <c r="A2435" s="1" t="s">
        <v>2435</v>
      </c>
      <c r="B2435" s="2" t="str">
        <f>IFERROR(__xludf.DUMMYFUNCTION("GOOGLETRANSLATE(A2435, ""de"", ""en"")"),"papers")</f>
        <v>papers</v>
      </c>
    </row>
    <row r="2436">
      <c r="A2436" s="1" t="s">
        <v>2436</v>
      </c>
      <c r="B2436" s="2" t="str">
        <f>IFERROR(__xludf.DUMMYFUNCTION("GOOGLETRANSLATE(A2436, ""de"", ""en"")"),"completed")</f>
        <v>completed</v>
      </c>
    </row>
    <row r="2437">
      <c r="A2437" s="1" t="s">
        <v>2437</v>
      </c>
      <c r="B2437" s="2" t="str">
        <f>IFERROR(__xludf.DUMMYFUNCTION("GOOGLETRANSLATE(A2437, ""de"", ""en"")"),"snout")</f>
        <v>snout</v>
      </c>
    </row>
    <row r="2438">
      <c r="A2438" s="1" t="s">
        <v>2438</v>
      </c>
      <c r="B2438" s="2" t="str">
        <f>IFERROR(__xludf.DUMMYFUNCTION("GOOGLETRANSLATE(A2438, ""de"", ""en"")"),"profession")</f>
        <v>profession</v>
      </c>
    </row>
    <row r="2439">
      <c r="A2439" s="1" t="s">
        <v>2439</v>
      </c>
      <c r="B2439" s="2" t="str">
        <f>IFERROR(__xludf.DUMMYFUNCTION("GOOGLETRANSLATE(A2439, ""de"", ""en"")"),"area")</f>
        <v>area</v>
      </c>
    </row>
    <row r="2440">
      <c r="A2440" s="1" t="s">
        <v>2440</v>
      </c>
      <c r="B2440" s="2" t="str">
        <f>IFERROR(__xludf.DUMMYFUNCTION("GOOGLETRANSLATE(A2440, ""de"", ""en"")"),"jeff")</f>
        <v>jeff</v>
      </c>
    </row>
    <row r="2441">
      <c r="A2441" s="1" t="s">
        <v>2441</v>
      </c>
      <c r="B2441" s="2" t="str">
        <f>IFERROR(__xludf.DUMMYFUNCTION("GOOGLETRANSLATE(A2441, ""de"", ""en"")"),"however")</f>
        <v>however</v>
      </c>
    </row>
    <row r="2442">
      <c r="A2442" s="1" t="s">
        <v>2442</v>
      </c>
      <c r="B2442" s="2" t="str">
        <f>IFERROR(__xludf.DUMMYFUNCTION("GOOGLETRANSLATE(A2442, ""de"", ""en"")"),"pray")</f>
        <v>pray</v>
      </c>
    </row>
    <row r="2443">
      <c r="A2443" s="1" t="s">
        <v>2443</v>
      </c>
      <c r="B2443" s="2" t="str">
        <f>IFERROR(__xludf.DUMMYFUNCTION("GOOGLETRANSLATE(A2443, ""de"", ""en"")"),"tied together")</f>
        <v>tied together</v>
      </c>
    </row>
    <row r="2444">
      <c r="A2444" s="1" t="s">
        <v>2444</v>
      </c>
      <c r="B2444" s="2" t="str">
        <f>IFERROR(__xludf.DUMMYFUNCTION("GOOGLETRANSLATE(A2444, ""de"", ""en"")"),"languages")</f>
        <v>languages</v>
      </c>
    </row>
    <row r="2445">
      <c r="A2445" s="1" t="s">
        <v>2445</v>
      </c>
      <c r="B2445" s="2" t="str">
        <f>IFERROR(__xludf.DUMMYFUNCTION("GOOGLETRANSLATE(A2445, ""de"", ""en"")"),"traitor")</f>
        <v>traitor</v>
      </c>
    </row>
    <row r="2446">
      <c r="A2446" s="1" t="s">
        <v>2446</v>
      </c>
      <c r="B2446" s="2" t="str">
        <f>IFERROR(__xludf.DUMMYFUNCTION("GOOGLETRANSLATE(A2446, ""de"", ""en"")"),"most important")</f>
        <v>most important</v>
      </c>
    </row>
    <row r="2447">
      <c r="A2447" s="1" t="s">
        <v>2447</v>
      </c>
      <c r="B2447" s="2" t="str">
        <f>IFERROR(__xludf.DUMMYFUNCTION("GOOGLETRANSLATE(A2447, ""de"", ""en"")"),"cheers")</f>
        <v>cheers</v>
      </c>
    </row>
    <row r="2448">
      <c r="A2448" s="1" t="s">
        <v>2448</v>
      </c>
      <c r="B2448" s="2" t="str">
        <f>IFERROR(__xludf.DUMMYFUNCTION("GOOGLETRANSLATE(A2448, ""de"", ""en"")"),"breast")</f>
        <v>breast</v>
      </c>
    </row>
    <row r="2449">
      <c r="A2449" s="1" t="s">
        <v>2449</v>
      </c>
      <c r="B2449" s="2" t="str">
        <f>IFERROR(__xludf.DUMMYFUNCTION("GOOGLETRANSLATE(A2449, ""de"", ""en"")"),"stopped")</f>
        <v>stopped</v>
      </c>
    </row>
    <row r="2450">
      <c r="A2450" s="1" t="s">
        <v>2450</v>
      </c>
      <c r="B2450" s="2" t="str">
        <f>IFERROR(__xludf.DUMMYFUNCTION("GOOGLETRANSLATE(A2450, ""de"", ""en"")"),"dresses")</f>
        <v>dresses</v>
      </c>
    </row>
    <row r="2451">
      <c r="A2451" s="1" t="s">
        <v>2451</v>
      </c>
      <c r="B2451" s="2" t="str">
        <f>IFERROR(__xludf.DUMMYFUNCTION("GOOGLETRANSLATE(A2451, ""de"", ""en"")"),"jacket")</f>
        <v>jacket</v>
      </c>
    </row>
    <row r="2452">
      <c r="A2452" s="1" t="s">
        <v>2452</v>
      </c>
      <c r="B2452" s="2" t="str">
        <f>IFERROR(__xludf.DUMMYFUNCTION("GOOGLETRANSLATE(A2452, ""de"", ""en"")"),"ordered")</f>
        <v>ordered</v>
      </c>
    </row>
    <row r="2453">
      <c r="A2453" s="1" t="s">
        <v>2453</v>
      </c>
      <c r="B2453" s="2" t="str">
        <f>IFERROR(__xludf.DUMMYFUNCTION("GOOGLETRANSLATE(A2453, ""de"", ""en"")"),"come here")</f>
        <v>come here</v>
      </c>
    </row>
    <row r="2454">
      <c r="A2454" s="1" t="s">
        <v>2454</v>
      </c>
      <c r="B2454" s="2" t="str">
        <f>IFERROR(__xludf.DUMMYFUNCTION("GOOGLETRANSLATE(A2454, ""de"", ""en"")"),"wild")</f>
        <v>wild</v>
      </c>
    </row>
    <row r="2455">
      <c r="A2455" s="1" t="s">
        <v>2455</v>
      </c>
      <c r="B2455" s="2" t="str">
        <f>IFERROR(__xludf.DUMMYFUNCTION("GOOGLETRANSLATE(A2455, ""de"", ""en"")"),"name")</f>
        <v>name</v>
      </c>
    </row>
    <row r="2456">
      <c r="A2456" s="1" t="s">
        <v>2456</v>
      </c>
      <c r="B2456" s="2" t="str">
        <f>IFERROR(__xludf.DUMMYFUNCTION("GOOGLETRANSLATE(A2456, ""de"", ""en"")"),"viewed")</f>
        <v>viewed</v>
      </c>
    </row>
    <row r="2457">
      <c r="A2457" s="1" t="s">
        <v>2457</v>
      </c>
      <c r="B2457" s="2" t="str">
        <f>IFERROR(__xludf.DUMMYFUNCTION("GOOGLETRANSLATE(A2457, ""de"", ""en"")"),"listen")</f>
        <v>listen</v>
      </c>
    </row>
    <row r="2458">
      <c r="A2458" s="1" t="s">
        <v>2458</v>
      </c>
      <c r="B2458" s="2" t="str">
        <f>IFERROR(__xludf.DUMMYFUNCTION("GOOGLETRANSLATE(A2458, ""de"", ""en"")"),"separate")</f>
        <v>separate</v>
      </c>
    </row>
    <row r="2459">
      <c r="A2459" s="1" t="s">
        <v>2459</v>
      </c>
      <c r="B2459" s="2" t="str">
        <f>IFERROR(__xludf.DUMMYFUNCTION("GOOGLETRANSLATE(A2459, ""de"", ""en"")"),"bedroom")</f>
        <v>bedroom</v>
      </c>
    </row>
    <row r="2460">
      <c r="A2460" s="1" t="s">
        <v>2460</v>
      </c>
      <c r="B2460" s="2" t="str">
        <f>IFERROR(__xludf.DUMMYFUNCTION("GOOGLETRANSLATE(A2460, ""de"", ""en"")"),"suggestion")</f>
        <v>suggestion</v>
      </c>
    </row>
    <row r="2461">
      <c r="A2461" s="1" t="s">
        <v>2461</v>
      </c>
      <c r="B2461" s="2" t="str">
        <f>IFERROR(__xludf.DUMMYFUNCTION("GOOGLETRANSLATE(A2461, ""de"", ""en"")"),"mine")</f>
        <v>mine</v>
      </c>
    </row>
    <row r="2462">
      <c r="A2462" s="1" t="s">
        <v>2462</v>
      </c>
      <c r="B2462" s="2" t="str">
        <f>IFERROR(__xludf.DUMMYFUNCTION("GOOGLETRANSLATE(A2462, ""de"", ""en"")"),"poison")</f>
        <v>poison</v>
      </c>
    </row>
    <row r="2463">
      <c r="A2463" s="1" t="s">
        <v>2463</v>
      </c>
      <c r="B2463" s="2" t="str">
        <f>IFERROR(__xludf.DUMMYFUNCTION("GOOGLETRANSLATE(A2463, ""de"", ""en"")"),"clay")</f>
        <v>clay</v>
      </c>
    </row>
    <row r="2464">
      <c r="A2464" s="1" t="s">
        <v>2464</v>
      </c>
      <c r="B2464" s="2" t="str">
        <f>IFERROR(__xludf.DUMMYFUNCTION("GOOGLETRANSLATE(A2464, ""de"", ""en"")"),"miss")</f>
        <v>miss</v>
      </c>
    </row>
    <row r="2465">
      <c r="A2465" s="1" t="s">
        <v>2465</v>
      </c>
      <c r="B2465" s="2" t="str">
        <f>IFERROR(__xludf.DUMMYFUNCTION("GOOGLETRANSLATE(A2465, ""de"", ""en"")"),"arrived")</f>
        <v>arrived</v>
      </c>
    </row>
    <row r="2466">
      <c r="A2466" s="1" t="s">
        <v>2466</v>
      </c>
      <c r="B2466" s="2" t="str">
        <f>IFERROR(__xludf.DUMMYFUNCTION("GOOGLETRANSLATE(A2466, ""de"", ""en"")"),"answer")</f>
        <v>answer</v>
      </c>
    </row>
    <row r="2467">
      <c r="A2467" s="1" t="s">
        <v>2467</v>
      </c>
      <c r="B2467" s="2" t="str">
        <f>IFERROR(__xludf.DUMMYFUNCTION("GOOGLETRANSLATE(A2467, ""de"", ""en"")"),"clearly")</f>
        <v>clearly</v>
      </c>
    </row>
    <row r="2468">
      <c r="A2468" s="1" t="s">
        <v>2468</v>
      </c>
      <c r="B2468" s="2" t="str">
        <f>IFERROR(__xludf.DUMMYFUNCTION("GOOGLETRANSLATE(A2468, ""de"", ""en"")"),"dream")</f>
        <v>dream</v>
      </c>
    </row>
    <row r="2469">
      <c r="A2469" s="1" t="s">
        <v>2469</v>
      </c>
      <c r="B2469" s="2" t="str">
        <f>IFERROR(__xludf.DUMMYFUNCTION("GOOGLETRANSLATE(A2469, ""de"", ""en"")"),"confused")</f>
        <v>confused</v>
      </c>
    </row>
    <row r="2470">
      <c r="A2470" s="1" t="s">
        <v>2470</v>
      </c>
      <c r="B2470" s="2" t="str">
        <f>IFERROR(__xludf.DUMMYFUNCTION("GOOGLETRANSLATE(A2470, ""de"", ""en"")"),"files")</f>
        <v>files</v>
      </c>
    </row>
    <row r="2471">
      <c r="A2471" s="1" t="s">
        <v>2471</v>
      </c>
      <c r="B2471" s="2" t="str">
        <f>IFERROR(__xludf.DUMMYFUNCTION("GOOGLETRANSLATE(A2471, ""de"", ""en"")"),"risk")</f>
        <v>risk</v>
      </c>
    </row>
    <row r="2472">
      <c r="A2472" s="1" t="s">
        <v>2472</v>
      </c>
      <c r="B2472" s="2" t="str">
        <f>IFERROR(__xludf.DUMMYFUNCTION("GOOGLETRANSLATE(A2472, ""de"", ""en"")"),"b")</f>
        <v>b</v>
      </c>
    </row>
    <row r="2473">
      <c r="A2473" s="1" t="s">
        <v>2473</v>
      </c>
      <c r="B2473" s="2" t="str">
        <f>IFERROR(__xludf.DUMMYFUNCTION("GOOGLETRANSLATE(A2473, ""de"", ""en"")"),"victor")</f>
        <v>victor</v>
      </c>
    </row>
    <row r="2474">
      <c r="A2474" s="1" t="s">
        <v>2474</v>
      </c>
      <c r="B2474" s="2" t="str">
        <f>IFERROR(__xludf.DUMMYFUNCTION("GOOGLETRANSLATE(A2474, ""de"", ""en"")"),"find")</f>
        <v>find</v>
      </c>
    </row>
    <row r="2475">
      <c r="A2475" s="1" t="s">
        <v>2475</v>
      </c>
      <c r="B2475" s="2" t="str">
        <f>IFERROR(__xludf.DUMMYFUNCTION("GOOGLETRANSLATE(A2475, ""de"", ""en"")"),"recognized")</f>
        <v>recognized</v>
      </c>
    </row>
    <row r="2476">
      <c r="A2476" s="1" t="s">
        <v>2476</v>
      </c>
      <c r="B2476" s="2" t="str">
        <f>IFERROR(__xludf.DUMMYFUNCTION("GOOGLETRANSLATE(A2476, ""de"", ""en"")"),"burial")</f>
        <v>burial</v>
      </c>
    </row>
    <row r="2477">
      <c r="A2477" s="1" t="s">
        <v>2477</v>
      </c>
      <c r="B2477" s="2" t="str">
        <f>IFERROR(__xludf.DUMMYFUNCTION("GOOGLETRANSLATE(A2477, ""de"", ""en"")"),"garbage")</f>
        <v>garbage</v>
      </c>
    </row>
    <row r="2478">
      <c r="A2478" s="1" t="s">
        <v>2478</v>
      </c>
      <c r="B2478" s="2" t="str">
        <f>IFERROR(__xludf.DUMMYFUNCTION("GOOGLETRANSLATE(A2478, ""de"", ""en"")"),"know")</f>
        <v>know</v>
      </c>
    </row>
    <row r="2479">
      <c r="A2479" s="1" t="s">
        <v>2479</v>
      </c>
      <c r="B2479" s="2" t="str">
        <f>IFERROR(__xludf.DUMMYFUNCTION("GOOGLETRANSLATE(A2479, ""de"", ""en"")"),"may")</f>
        <v>may</v>
      </c>
    </row>
    <row r="2480">
      <c r="A2480" s="1" t="s">
        <v>2480</v>
      </c>
      <c r="B2480" s="2" t="str">
        <f>IFERROR(__xludf.DUMMYFUNCTION("GOOGLETRANSLATE(A2480, ""de"", ""en"")"),"presented")</f>
        <v>presented</v>
      </c>
    </row>
    <row r="2481">
      <c r="A2481" s="1" t="s">
        <v>2481</v>
      </c>
      <c r="B2481" s="2" t="str">
        <f>IFERROR(__xludf.DUMMYFUNCTION("GOOGLETRANSLATE(A2481, ""de"", ""en"")"),"center")</f>
        <v>center</v>
      </c>
    </row>
    <row r="2482">
      <c r="A2482" s="1" t="s">
        <v>2482</v>
      </c>
      <c r="B2482" s="2" t="str">
        <f>IFERROR(__xludf.DUMMYFUNCTION("GOOGLETRANSLATE(A2482, ""de"", ""en"")"),"experience")</f>
        <v>experience</v>
      </c>
    </row>
    <row r="2483">
      <c r="A2483" s="1" t="s">
        <v>2483</v>
      </c>
      <c r="B2483" s="2" t="str">
        <f>IFERROR(__xludf.DUMMYFUNCTION("GOOGLETRANSLATE(A2483, ""de"", ""en"")"),"birth")</f>
        <v>birth</v>
      </c>
    </row>
    <row r="2484">
      <c r="A2484" s="1" t="s">
        <v>2484</v>
      </c>
      <c r="B2484" s="2" t="str">
        <f>IFERROR(__xludf.DUMMYFUNCTION("GOOGLETRANSLATE(A2484, ""de"", ""en"")"),"ceiling")</f>
        <v>ceiling</v>
      </c>
    </row>
    <row r="2485">
      <c r="A2485" s="1" t="s">
        <v>2485</v>
      </c>
      <c r="B2485" s="2" t="str">
        <f>IFERROR(__xludf.DUMMYFUNCTION("GOOGLETRANSLATE(A2485, ""de"", ""en"")"),"ch00ffff")</f>
        <v>ch00ffff</v>
      </c>
    </row>
    <row r="2486">
      <c r="A2486" s="1" t="s">
        <v>2486</v>
      </c>
      <c r="B2486" s="2" t="str">
        <f>IFERROR(__xludf.DUMMYFUNCTION("GOOGLETRANSLATE(A2486, ""de"", ""en"")"),"ways")</f>
        <v>ways</v>
      </c>
    </row>
    <row r="2487">
      <c r="A2487" s="1" t="s">
        <v>2487</v>
      </c>
      <c r="B2487" s="2" t="str">
        <f>IFERROR(__xludf.DUMMYFUNCTION("GOOGLETRANSLATE(A2487, ""de"", ""en"")"),"steps")</f>
        <v>steps</v>
      </c>
    </row>
    <row r="2488">
      <c r="A2488" s="1" t="s">
        <v>2488</v>
      </c>
      <c r="B2488" s="2" t="str">
        <f>IFERROR(__xludf.DUMMYFUNCTION("GOOGLETRANSLATE(A2488, ""de"", ""en"")"),"there is")</f>
        <v>there is</v>
      </c>
    </row>
    <row r="2489">
      <c r="A2489" s="1" t="s">
        <v>2489</v>
      </c>
      <c r="B2489" s="2" t="str">
        <f>IFERROR(__xludf.DUMMYFUNCTION("GOOGLETRANSLATE(A2489, ""de"", ""en"")"),"reported")</f>
        <v>reported</v>
      </c>
    </row>
    <row r="2490">
      <c r="A2490" s="1" t="s">
        <v>2490</v>
      </c>
      <c r="B2490" s="2" t="str">
        <f>IFERROR(__xludf.DUMMYFUNCTION("GOOGLETRANSLATE(A2490, ""de"", ""en"")"),"help")</f>
        <v>help</v>
      </c>
    </row>
    <row r="2491">
      <c r="A2491" s="1" t="s">
        <v>2491</v>
      </c>
      <c r="B2491" s="2" t="str">
        <f>IFERROR(__xludf.DUMMYFUNCTION("GOOGLETRANSLATE(A2491, ""de"", ""en"")"),"lunch")</f>
        <v>lunch</v>
      </c>
    </row>
    <row r="2492">
      <c r="A2492" s="1" t="s">
        <v>2492</v>
      </c>
      <c r="B2492" s="2" t="str">
        <f>IFERROR(__xludf.DUMMYFUNCTION("GOOGLETRANSLATE(A2492, ""de"", ""en"")"),"cries")</f>
        <v>cries</v>
      </c>
    </row>
    <row r="2493">
      <c r="A2493" s="1" t="s">
        <v>2493</v>
      </c>
      <c r="B2493" s="2" t="str">
        <f>IFERROR(__xludf.DUMMYFUNCTION("GOOGLETRANSLATE(A2493, ""de"", ""en"")"),"destroy")</f>
        <v>destroy</v>
      </c>
    </row>
    <row r="2494">
      <c r="A2494" s="1" t="s">
        <v>2494</v>
      </c>
      <c r="B2494" s="2" t="str">
        <f>IFERROR(__xludf.DUMMYFUNCTION("GOOGLETRANSLATE(A2494, ""de"", ""en"")"),"rock")</f>
        <v>rock</v>
      </c>
    </row>
    <row r="2495">
      <c r="A2495" s="1" t="s">
        <v>2495</v>
      </c>
      <c r="B2495" s="2" t="str">
        <f>IFERROR(__xludf.DUMMYFUNCTION("GOOGLETRANSLATE(A2495, ""de"", ""en"")"),"Chicago")</f>
        <v>Chicago</v>
      </c>
    </row>
    <row r="2496">
      <c r="A2496" s="1" t="s">
        <v>2496</v>
      </c>
      <c r="B2496" s="2" t="str">
        <f>IFERROR(__xludf.DUMMYFUNCTION("GOOGLETRANSLATE(A2496, ""de"", ""en"")"),"ellen")</f>
        <v>ellen</v>
      </c>
    </row>
    <row r="2497">
      <c r="A2497" s="1" t="s">
        <v>2497</v>
      </c>
      <c r="B2497" s="2" t="str">
        <f>IFERROR(__xludf.DUMMYFUNCTION("GOOGLETRANSLATE(A2497, ""de"", ""en"")"),"crew")</f>
        <v>crew</v>
      </c>
    </row>
    <row r="2498">
      <c r="A2498" s="1" t="s">
        <v>2498</v>
      </c>
      <c r="B2498" s="2" t="str">
        <f>IFERROR(__xludf.DUMMYFUNCTION("GOOGLETRANSLATE(A2498, ""de"", ""en"")"),"roy")</f>
        <v>roy</v>
      </c>
    </row>
    <row r="2499">
      <c r="A2499" s="1" t="s">
        <v>2499</v>
      </c>
      <c r="B2499" s="2" t="str">
        <f>IFERROR(__xludf.DUMMYFUNCTION("GOOGLETRANSLATE(A2499, ""de"", ""en"")"),"doors")</f>
        <v>doors</v>
      </c>
    </row>
    <row r="2500">
      <c r="A2500" s="1" t="s">
        <v>2500</v>
      </c>
      <c r="B2500" s="2" t="str">
        <f>IFERROR(__xludf.DUMMYFUNCTION("GOOGLETRANSLATE(A2500, ""de"", ""en"")"),"gun")</f>
        <v>gun</v>
      </c>
    </row>
    <row r="2501">
      <c r="A2501" s="1" t="s">
        <v>2501</v>
      </c>
      <c r="B2501" s="2" t="str">
        <f>IFERROR(__xludf.DUMMYFUNCTION("GOOGLETRANSLATE(A2501, ""de"", ""en"")"),"Elena")</f>
        <v>Elena</v>
      </c>
    </row>
    <row r="2502">
      <c r="A2502" s="1" t="s">
        <v>2502</v>
      </c>
      <c r="B2502" s="2" t="str">
        <f>IFERROR(__xludf.DUMMYFUNCTION("GOOGLETRANSLATE(A2502, ""de"", ""en"")"),"worked")</f>
        <v>worked</v>
      </c>
    </row>
    <row r="2503">
      <c r="A2503" s="1" t="s">
        <v>2503</v>
      </c>
      <c r="B2503" s="2" t="str">
        <f>IFERROR(__xludf.DUMMYFUNCTION("GOOGLETRANSLATE(A2503, ""de"", ""en"")"),"mirror")</f>
        <v>mirror</v>
      </c>
    </row>
    <row r="2504">
      <c r="A2504" s="1" t="s">
        <v>2504</v>
      </c>
      <c r="B2504" s="2" t="str">
        <f>IFERROR(__xludf.DUMMYFUNCTION("GOOGLETRANSLATE(A2504, ""de"", ""en"")"),"hit")</f>
        <v>hit</v>
      </c>
    </row>
    <row r="2505">
      <c r="A2505" s="1" t="s">
        <v>2505</v>
      </c>
      <c r="B2505" s="2" t="str">
        <f>IFERROR(__xludf.DUMMYFUNCTION("GOOGLETRANSLATE(A2505, ""de"", ""en"")"),"advised")</f>
        <v>advised</v>
      </c>
    </row>
    <row r="2506">
      <c r="A2506" s="1" t="s">
        <v>2506</v>
      </c>
      <c r="B2506" s="2" t="str">
        <f>IFERROR(__xludf.DUMMYFUNCTION("GOOGLETRANSLATE(A2506, ""de"", ""en"")"),"third")</f>
        <v>third</v>
      </c>
    </row>
    <row r="2507">
      <c r="A2507" s="1" t="s">
        <v>2507</v>
      </c>
      <c r="B2507" s="2" t="str">
        <f>IFERROR(__xludf.DUMMYFUNCTION("GOOGLETRANSLATE(A2507, ""de"", ""en"")"),"horse")</f>
        <v>horse</v>
      </c>
    </row>
    <row r="2508">
      <c r="A2508" s="1" t="s">
        <v>2508</v>
      </c>
      <c r="B2508" s="2" t="str">
        <f>IFERROR(__xludf.DUMMYFUNCTION("GOOGLETRANSLATE(A2508, ""de"", ""en"")"),"Julie")</f>
        <v>Julie</v>
      </c>
    </row>
    <row r="2509">
      <c r="A2509" s="1" t="s">
        <v>2509</v>
      </c>
      <c r="B2509" s="2" t="str">
        <f>IFERROR(__xludf.DUMMYFUNCTION("GOOGLETRANSLATE(A2509, ""de"", ""en"")"),"weather")</f>
        <v>weather</v>
      </c>
    </row>
    <row r="2510">
      <c r="A2510" s="1" t="s">
        <v>2510</v>
      </c>
      <c r="B2510" s="2" t="str">
        <f>IFERROR(__xludf.DUMMYFUNCTION("GOOGLETRANSLATE(A2510, ""de"", ""en"")"),"gay")</f>
        <v>gay</v>
      </c>
    </row>
    <row r="2511">
      <c r="A2511" s="1" t="s">
        <v>2511</v>
      </c>
      <c r="B2511" s="2" t="str">
        <f>IFERROR(__xludf.DUMMYFUNCTION("GOOGLETRANSLATE(A2511, ""de"", ""en"")"),"rule")</f>
        <v>rule</v>
      </c>
    </row>
    <row r="2512">
      <c r="A2512" s="1" t="s">
        <v>2512</v>
      </c>
      <c r="B2512" s="2" t="str">
        <f>IFERROR(__xludf.DUMMYFUNCTION("GOOGLETRANSLATE(A2512, ""de"", ""en"")"),"located")</f>
        <v>located</v>
      </c>
    </row>
    <row r="2513">
      <c r="A2513" s="1" t="s">
        <v>2513</v>
      </c>
      <c r="B2513" s="2" t="str">
        <f>IFERROR(__xludf.DUMMYFUNCTION("GOOGLETRANSLATE(A2513, ""de"", ""en"")"),"unit")</f>
        <v>unit</v>
      </c>
    </row>
    <row r="2514">
      <c r="A2514" s="1" t="s">
        <v>2514</v>
      </c>
      <c r="B2514" s="2" t="str">
        <f>IFERROR(__xludf.DUMMYFUNCTION("GOOGLETRANSLATE(A2514, ""de"", ""en"")"),"german")</f>
        <v>german</v>
      </c>
    </row>
    <row r="2515">
      <c r="A2515" s="1" t="s">
        <v>2515</v>
      </c>
      <c r="B2515" s="2" t="str">
        <f>IFERROR(__xludf.DUMMYFUNCTION("GOOGLETRANSLATE(A2515, ""de"", ""en"")"),"poorer")</f>
        <v>poorer</v>
      </c>
    </row>
    <row r="2516">
      <c r="A2516" s="1" t="s">
        <v>2516</v>
      </c>
      <c r="B2516" s="2" t="str">
        <f>IFERROR(__xludf.DUMMYFUNCTION("GOOGLETRANSLATE(A2516, ""de"", ""en"")"),"look")</f>
        <v>look</v>
      </c>
    </row>
    <row r="2517">
      <c r="A2517" s="1" t="s">
        <v>2517</v>
      </c>
      <c r="B2517" s="2" t="str">
        <f>IFERROR(__xludf.DUMMYFUNCTION("GOOGLETRANSLATE(A2517, ""de"", ""en"")"),"instead of")</f>
        <v>instead of</v>
      </c>
    </row>
    <row r="2518">
      <c r="A2518" s="1" t="s">
        <v>2518</v>
      </c>
      <c r="B2518" s="2" t="str">
        <f>IFERROR(__xludf.DUMMYFUNCTION("GOOGLETRANSLATE(A2518, ""de"", ""en"")"),"champagne")</f>
        <v>champagne</v>
      </c>
    </row>
    <row r="2519">
      <c r="A2519" s="1" t="s">
        <v>2519</v>
      </c>
      <c r="B2519" s="2" t="str">
        <f>IFERROR(__xludf.DUMMYFUNCTION("GOOGLETRANSLATE(A2519, ""de"", ""en"")"),"reasons")</f>
        <v>reasons</v>
      </c>
    </row>
    <row r="2520">
      <c r="A2520" s="1" t="s">
        <v>2520</v>
      </c>
      <c r="B2520" s="2" t="str">
        <f>IFERROR(__xludf.DUMMYFUNCTION("GOOGLETRANSLATE(A2520, ""de"", ""en"")"),"penalty")</f>
        <v>penalty</v>
      </c>
    </row>
    <row r="2521">
      <c r="A2521" s="1" t="s">
        <v>2521</v>
      </c>
      <c r="B2521" s="2" t="str">
        <f>IFERROR(__xludf.DUMMYFUNCTION("GOOGLETRANSLATE(A2521, ""de"", ""en"")"),"smith")</f>
        <v>smith</v>
      </c>
    </row>
    <row r="2522">
      <c r="A2522" s="1" t="s">
        <v>2522</v>
      </c>
      <c r="B2522" s="2" t="str">
        <f>IFERROR(__xludf.DUMMYFUNCTION("GOOGLETRANSLATE(A2522, ""de"", ""en"")"),"more often")</f>
        <v>more often</v>
      </c>
    </row>
    <row r="2523">
      <c r="A2523" s="1" t="s">
        <v>2523</v>
      </c>
      <c r="B2523" s="2" t="str">
        <f>IFERROR(__xludf.DUMMYFUNCTION("GOOGLETRANSLATE(A2523, ""de"", ""en"")"),"Anne")</f>
        <v>Anne</v>
      </c>
    </row>
    <row r="2524">
      <c r="A2524" s="1" t="s">
        <v>2524</v>
      </c>
      <c r="B2524" s="2" t="str">
        <f>IFERROR(__xludf.DUMMYFUNCTION("GOOGLETRANSLATE(A2524, ""de"", ""en"")"),"cell")</f>
        <v>cell</v>
      </c>
    </row>
    <row r="2525">
      <c r="A2525" s="1" t="s">
        <v>2525</v>
      </c>
      <c r="B2525" s="2" t="str">
        <f>IFERROR(__xludf.DUMMYFUNCTION("GOOGLETRANSLATE(A2525, ""de"", ""en"")"),"long")</f>
        <v>long</v>
      </c>
    </row>
    <row r="2526">
      <c r="A2526" s="1" t="s">
        <v>2526</v>
      </c>
      <c r="B2526" s="2" t="str">
        <f>IFERROR(__xludf.DUMMYFUNCTION("GOOGLETRANSLATE(A2526, ""de"", ""en"")"),"old")</f>
        <v>old</v>
      </c>
    </row>
    <row r="2527">
      <c r="A2527" s="1" t="s">
        <v>2527</v>
      </c>
      <c r="B2527" s="2" t="str">
        <f>IFERROR(__xludf.DUMMYFUNCTION("GOOGLETRANSLATE(A2527, ""de"", ""en"")"),"ruined")</f>
        <v>ruined</v>
      </c>
    </row>
    <row r="2528">
      <c r="A2528" s="1" t="s">
        <v>2528</v>
      </c>
      <c r="B2528" s="2" t="str">
        <f>IFERROR(__xludf.DUMMYFUNCTION("GOOGLETRANSLATE(A2528, ""de"", ""en"")"),"Jonathan")</f>
        <v>Jonathan</v>
      </c>
    </row>
    <row r="2529">
      <c r="A2529" s="1" t="s">
        <v>2529</v>
      </c>
      <c r="B2529" s="2" t="str">
        <f>IFERROR(__xludf.DUMMYFUNCTION("GOOGLETRANSLATE(A2529, ""de"", ""en"")"),"clothing")</f>
        <v>clothing</v>
      </c>
    </row>
    <row r="2530">
      <c r="A2530" s="1" t="s">
        <v>2530</v>
      </c>
      <c r="B2530" s="2" t="str">
        <f>IFERROR(__xludf.DUMMYFUNCTION("GOOGLETRANSLATE(A2530, ""de"", ""en"")"),"grass")</f>
        <v>grass</v>
      </c>
    </row>
    <row r="2531">
      <c r="A2531" s="1" t="s">
        <v>2531</v>
      </c>
      <c r="B2531" s="2" t="str">
        <f>IFERROR(__xludf.DUMMYFUNCTION("GOOGLETRANSLATE(A2531, ""de"", ""en"")"),"know")</f>
        <v>know</v>
      </c>
    </row>
    <row r="2532">
      <c r="A2532" s="1" t="s">
        <v>2532</v>
      </c>
      <c r="B2532" s="2" t="str">
        <f>IFERROR(__xludf.DUMMYFUNCTION("GOOGLETRANSLATE(A2532, ""de"", ""en"")"),"agents")</f>
        <v>agents</v>
      </c>
    </row>
    <row r="2533">
      <c r="A2533" s="1" t="s">
        <v>2533</v>
      </c>
      <c r="B2533" s="2" t="str">
        <f>IFERROR(__xludf.DUMMYFUNCTION("GOOGLETRANSLATE(A2533, ""de"", ""en"")"),"found out")</f>
        <v>found out</v>
      </c>
    </row>
    <row r="2534">
      <c r="A2534" s="1" t="s">
        <v>2534</v>
      </c>
      <c r="B2534" s="2" t="str">
        <f>IFERROR(__xludf.DUMMYFUNCTION("GOOGLETRANSLATE(A2534, ""de"", ""en"")"),"Annie")</f>
        <v>Annie</v>
      </c>
    </row>
    <row r="2535">
      <c r="A2535" s="1" t="s">
        <v>2535</v>
      </c>
      <c r="B2535" s="2" t="str">
        <f>IFERROR(__xludf.DUMMYFUNCTION("GOOGLETRANSLATE(A2535, ""de"", ""en"")"),"right")</f>
        <v>right</v>
      </c>
    </row>
    <row r="2536">
      <c r="A2536" s="1" t="s">
        <v>2536</v>
      </c>
      <c r="B2536" s="2" t="str">
        <f>IFERROR(__xludf.DUMMYFUNCTION("GOOGLETRANSLATE(A2536, ""de"", ""en"")"),"bread")</f>
        <v>bread</v>
      </c>
    </row>
    <row r="2537">
      <c r="A2537" s="1" t="s">
        <v>2537</v>
      </c>
      <c r="B2537" s="2" t="str">
        <f>IFERROR(__xludf.DUMMYFUNCTION("GOOGLETRANSLATE(A2537, ""de"", ""en"")"),"Berlin")</f>
        <v>Berlin</v>
      </c>
    </row>
    <row r="2538">
      <c r="A2538" s="1" t="s">
        <v>2538</v>
      </c>
      <c r="B2538" s="2" t="str">
        <f>IFERROR(__xludf.DUMMYFUNCTION("GOOGLETRANSLATE(A2538, ""de"", ""en"")"),"delighted")</f>
        <v>delighted</v>
      </c>
    </row>
    <row r="2539">
      <c r="A2539" s="1" t="s">
        <v>2539</v>
      </c>
      <c r="B2539" s="2" t="str">
        <f>IFERROR(__xludf.DUMMYFUNCTION("GOOGLETRANSLATE(A2539, ""de"", ""en"")"),"lies")</f>
        <v>lies</v>
      </c>
    </row>
    <row r="2540">
      <c r="A2540" s="1" t="s">
        <v>2540</v>
      </c>
      <c r="B2540" s="2" t="str">
        <f>IFERROR(__xludf.DUMMYFUNCTION("GOOGLETRANSLATE(A2540, ""de"", ""en"")"),"take")</f>
        <v>take</v>
      </c>
    </row>
    <row r="2541">
      <c r="A2541" s="1" t="s">
        <v>2541</v>
      </c>
      <c r="B2541" s="2" t="str">
        <f>IFERROR(__xludf.DUMMYFUNCTION("GOOGLETRANSLATE(A2541, ""de"", ""en"")"),"hardness")</f>
        <v>hardness</v>
      </c>
    </row>
    <row r="2542">
      <c r="A2542" s="1" t="s">
        <v>2542</v>
      </c>
      <c r="B2542" s="2" t="str">
        <f>IFERROR(__xludf.DUMMYFUNCTION("GOOGLETRANSLATE(A2542, ""de"", ""en"")"),"states")</f>
        <v>states</v>
      </c>
    </row>
    <row r="2543">
      <c r="A2543" s="1" t="s">
        <v>2543</v>
      </c>
      <c r="B2543" s="2" t="str">
        <f>IFERROR(__xludf.DUMMYFUNCTION("GOOGLETRANSLATE(A2543, ""de"", ""en"")"),"station")</f>
        <v>station</v>
      </c>
    </row>
    <row r="2544">
      <c r="A2544" s="1" t="s">
        <v>2544</v>
      </c>
      <c r="B2544" s="2" t="str">
        <f>IFERROR(__xludf.DUMMYFUNCTION("GOOGLETRANSLATE(A2544, ""de"", ""en"")"),"gave")</f>
        <v>gave</v>
      </c>
    </row>
    <row r="2545">
      <c r="A2545" s="1" t="s">
        <v>2545</v>
      </c>
      <c r="B2545" s="2" t="str">
        <f>IFERROR(__xludf.DUMMYFUNCTION("GOOGLETRANSLATE(A2545, ""de"", ""en"")"),"afterwards")</f>
        <v>afterwards</v>
      </c>
    </row>
    <row r="2546">
      <c r="A2546" s="1" t="s">
        <v>2546</v>
      </c>
      <c r="B2546" s="2" t="str">
        <f>IFERROR(__xludf.DUMMYFUNCTION("GOOGLETRANSLATE(A2546, ""de"", ""en"")"),"miss")</f>
        <v>miss</v>
      </c>
    </row>
    <row r="2547">
      <c r="A2547" s="1" t="s">
        <v>2547</v>
      </c>
      <c r="B2547" s="2" t="str">
        <f>IFERROR(__xludf.DUMMYFUNCTION("GOOGLETRANSLATE(A2547, ""de"", ""en"")"),"fetched")</f>
        <v>fetched</v>
      </c>
    </row>
    <row r="2548">
      <c r="A2548" s="1" t="s">
        <v>2548</v>
      </c>
      <c r="B2548" s="2" t="str">
        <f>IFERROR(__xludf.DUMMYFUNCTION("GOOGLETRANSLATE(A2548, ""de"", ""en"")"),"Jesse")</f>
        <v>Jesse</v>
      </c>
    </row>
    <row r="2549">
      <c r="A2549" s="1" t="s">
        <v>2549</v>
      </c>
      <c r="B2549" s="2" t="str">
        <f>IFERROR(__xludf.DUMMYFUNCTION("GOOGLETRANSLATE(A2549, ""de"", ""en"")"),"shirt")</f>
        <v>shirt</v>
      </c>
    </row>
    <row r="2550">
      <c r="A2550" s="1" t="s">
        <v>2550</v>
      </c>
      <c r="B2550" s="2" t="str">
        <f>IFERROR(__xludf.DUMMYFUNCTION("GOOGLETRANSLATE(A2550, ""de"", ""en"")"),"drink")</f>
        <v>drink</v>
      </c>
    </row>
    <row r="2551">
      <c r="A2551" s="1" t="s">
        <v>2551</v>
      </c>
      <c r="B2551" s="2" t="str">
        <f>IFERROR(__xludf.DUMMYFUNCTION("GOOGLETRANSLATE(A2551, ""de"", ""en"")"),"clear up")</f>
        <v>clear up</v>
      </c>
    </row>
    <row r="2552">
      <c r="A2552" s="1" t="s">
        <v>2552</v>
      </c>
      <c r="B2552" s="2" t="str">
        <f>IFERROR(__xludf.DUMMYFUNCTION("GOOGLETRANSLATE(A2552, ""de"", ""en"")"),"practical")</f>
        <v>practical</v>
      </c>
    </row>
    <row r="2553">
      <c r="A2553" s="1" t="s">
        <v>2553</v>
      </c>
      <c r="B2553" s="2" t="str">
        <f>IFERROR(__xludf.DUMMYFUNCTION("GOOGLETRANSLATE(A2553, ""de"", ""en"")"),"theory")</f>
        <v>theory</v>
      </c>
    </row>
    <row r="2554">
      <c r="A2554" s="1" t="s">
        <v>2554</v>
      </c>
      <c r="B2554" s="2" t="str">
        <f>IFERROR(__xludf.DUMMYFUNCTION("GOOGLETRANSLATE(A2554, ""de"", ""en"")"),"tongue")</f>
        <v>tongue</v>
      </c>
    </row>
    <row r="2555">
      <c r="A2555" s="1" t="s">
        <v>2555</v>
      </c>
      <c r="B2555" s="2" t="str">
        <f>IFERROR(__xludf.DUMMYFUNCTION("GOOGLETRANSLATE(A2555, ""de"", ""en"")"),"emergency")</f>
        <v>emergency</v>
      </c>
    </row>
    <row r="2556">
      <c r="A2556" s="1" t="s">
        <v>2556</v>
      </c>
      <c r="B2556" s="2" t="str">
        <f>IFERROR(__xludf.DUMMYFUNCTION("GOOGLETRANSLATE(A2556, ""de"", ""en"")"),"better")</f>
        <v>better</v>
      </c>
    </row>
    <row r="2557">
      <c r="A2557" s="1" t="s">
        <v>2557</v>
      </c>
      <c r="B2557" s="2" t="str">
        <f>IFERROR(__xludf.DUMMYFUNCTION("GOOGLETRANSLATE(A2557, ""de"", ""en"")"),"winter")</f>
        <v>winter</v>
      </c>
    </row>
    <row r="2558">
      <c r="A2558" s="1" t="s">
        <v>2558</v>
      </c>
      <c r="B2558" s="2" t="str">
        <f>IFERROR(__xludf.DUMMYFUNCTION("GOOGLETRANSLATE(A2558, ""de"", ""en"")"),"c")</f>
        <v>c</v>
      </c>
    </row>
    <row r="2559">
      <c r="A2559" s="1" t="s">
        <v>2559</v>
      </c>
      <c r="B2559" s="2" t="str">
        <f>IFERROR(__xludf.DUMMYFUNCTION("GOOGLETRANSLATE(A2559, ""de"", ""en"")"),"try")</f>
        <v>try</v>
      </c>
    </row>
    <row r="2560">
      <c r="A2560" s="1" t="s">
        <v>2560</v>
      </c>
      <c r="B2560" s="2" t="str">
        <f>IFERROR(__xludf.DUMMYFUNCTION("GOOGLETRANSLATE(A2560, ""de"", ""en"")"),"behind it")</f>
        <v>behind it</v>
      </c>
    </row>
    <row r="2561">
      <c r="A2561" s="1" t="s">
        <v>2561</v>
      </c>
      <c r="B2561" s="2" t="str">
        <f>IFERROR(__xludf.DUMMYFUNCTION("GOOGLETRANSLATE(A2561, ""de"", ""en"")"),"heavy")</f>
        <v>heavy</v>
      </c>
    </row>
    <row r="2562">
      <c r="A2562" s="1" t="s">
        <v>2562</v>
      </c>
      <c r="B2562" s="2" t="str">
        <f>IFERROR(__xludf.DUMMYFUNCTION("GOOGLETRANSLATE(A2562, ""de"", ""en"")"),"fire")</f>
        <v>fire</v>
      </c>
    </row>
    <row r="2563">
      <c r="A2563" s="1" t="s">
        <v>2563</v>
      </c>
      <c r="B2563" s="2" t="str">
        <f>IFERROR(__xludf.DUMMYFUNCTION("GOOGLETRANSLATE(A2563, ""de"", ""en"")"),"Lucy")</f>
        <v>Lucy</v>
      </c>
    </row>
    <row r="2564">
      <c r="A2564" s="1" t="s">
        <v>2564</v>
      </c>
      <c r="B2564" s="2" t="str">
        <f>IFERROR(__xludf.DUMMYFUNCTION("GOOGLETRANSLATE(A2564, ""de"", ""en"")"),"shoots")</f>
        <v>shoots</v>
      </c>
    </row>
    <row r="2565">
      <c r="A2565" s="1" t="s">
        <v>2565</v>
      </c>
      <c r="B2565" s="2" t="str">
        <f>IFERROR(__xludf.DUMMYFUNCTION("GOOGLETRANSLATE(A2565, ""de"", ""en"")"),"leader")</f>
        <v>leader</v>
      </c>
    </row>
    <row r="2566">
      <c r="A2566" s="1" t="s">
        <v>2566</v>
      </c>
      <c r="B2566" s="2" t="str">
        <f>IFERROR(__xludf.DUMMYFUNCTION("GOOGLETRANSLATE(A2566, ""de"", ""en"")"),"wrong")</f>
        <v>wrong</v>
      </c>
    </row>
    <row r="2567">
      <c r="A2567" s="1" t="s">
        <v>2567</v>
      </c>
      <c r="B2567" s="2" t="str">
        <f>IFERROR(__xludf.DUMMYFUNCTION("GOOGLETRANSLATE(A2567, ""de"", ""en"")"),"blue")</f>
        <v>blue</v>
      </c>
    </row>
    <row r="2568">
      <c r="A2568" s="1" t="s">
        <v>2568</v>
      </c>
      <c r="B2568" s="2" t="str">
        <f>IFERROR(__xludf.DUMMYFUNCTION("GOOGLETRANSLATE(A2568, ""de"", ""en"")"),"fine")</f>
        <v>fine</v>
      </c>
    </row>
    <row r="2569">
      <c r="A2569" s="1" t="s">
        <v>2569</v>
      </c>
      <c r="B2569" s="2" t="str">
        <f>IFERROR(__xludf.DUMMYFUNCTION("GOOGLETRANSLATE(A2569, ""de"", ""en"")"),"wait")</f>
        <v>wait</v>
      </c>
    </row>
    <row r="2570">
      <c r="A2570" s="1" t="s">
        <v>2570</v>
      </c>
      <c r="B2570" s="2" t="str">
        <f>IFERROR(__xludf.DUMMYFUNCTION("GOOGLETRANSLATE(A2570, ""de"", ""en"")"),"it's okay")</f>
        <v>it's okay</v>
      </c>
    </row>
    <row r="2571">
      <c r="A2571" s="1" t="s">
        <v>2571</v>
      </c>
      <c r="B2571" s="2" t="str">
        <f>IFERROR(__xludf.DUMMYFUNCTION("GOOGLETRANSLATE(A2571, ""de"", ""en"")"),"Morgan")</f>
        <v>Morgan</v>
      </c>
    </row>
    <row r="2572">
      <c r="A2572" s="1" t="s">
        <v>2572</v>
      </c>
      <c r="B2572" s="2" t="str">
        <f>IFERROR(__xludf.DUMMYFUNCTION("GOOGLETRANSLATE(A2572, ""de"", ""en"")"),"wrong")</f>
        <v>wrong</v>
      </c>
    </row>
    <row r="2573">
      <c r="A2573" s="1" t="s">
        <v>2573</v>
      </c>
      <c r="B2573" s="2" t="str">
        <f>IFERROR(__xludf.DUMMYFUNCTION("GOOGLETRANSLATE(A2573, ""de"", ""en"")"),"leak")</f>
        <v>leak</v>
      </c>
    </row>
    <row r="2574">
      <c r="A2574" s="1" t="s">
        <v>2574</v>
      </c>
      <c r="B2574" s="2" t="str">
        <f>IFERROR(__xludf.DUMMYFUNCTION("GOOGLETRANSLATE(A2574, ""de"", ""en"")"),"after what")</f>
        <v>after what</v>
      </c>
    </row>
    <row r="2575">
      <c r="A2575" s="1" t="s">
        <v>2575</v>
      </c>
      <c r="B2575" s="2" t="str">
        <f>IFERROR(__xludf.DUMMYFUNCTION("GOOGLETRANSLATE(A2575, ""de"", ""en"")"),"developed")</f>
        <v>developed</v>
      </c>
    </row>
    <row r="2576">
      <c r="A2576" s="1" t="s">
        <v>2576</v>
      </c>
      <c r="B2576" s="2" t="str">
        <f>IFERROR(__xludf.DUMMYFUNCTION("GOOGLETRANSLATE(A2576, ""de"", ""en"")"),"meaning")</f>
        <v>meaning</v>
      </c>
    </row>
    <row r="2577">
      <c r="A2577" s="1" t="s">
        <v>2577</v>
      </c>
      <c r="B2577" s="2" t="str">
        <f>IFERROR(__xludf.DUMMYFUNCTION("GOOGLETRANSLATE(A2577, ""de"", ""en"")"),"electricity")</f>
        <v>electricity</v>
      </c>
    </row>
    <row r="2578">
      <c r="A2578" s="1" t="s">
        <v>2578</v>
      </c>
      <c r="B2578" s="2" t="str">
        <f>IFERROR(__xludf.DUMMYFUNCTION("GOOGLETRANSLATE(A2578, ""de"", ""en"")"),"cancer")</f>
        <v>cancer</v>
      </c>
    </row>
    <row r="2579">
      <c r="A2579" s="1" t="s">
        <v>2579</v>
      </c>
      <c r="B2579" s="2" t="str">
        <f>IFERROR(__xludf.DUMMYFUNCTION("GOOGLETRANSLATE(A2579, ""de"", ""en"")"),"mean")</f>
        <v>mean</v>
      </c>
    </row>
    <row r="2580">
      <c r="A2580" s="1" t="s">
        <v>2580</v>
      </c>
      <c r="B2580" s="2" t="str">
        <f>IFERROR(__xludf.DUMMYFUNCTION("GOOGLETRANSLATE(A2580, ""de"", ""en"")"),"whose")</f>
        <v>whose</v>
      </c>
    </row>
    <row r="2581">
      <c r="A2581" s="1" t="s">
        <v>2581</v>
      </c>
      <c r="B2581" s="2" t="str">
        <f>IFERROR(__xludf.DUMMYFUNCTION("GOOGLETRANSLATE(A2581, ""de"", ""en"")"),"minister")</f>
        <v>minister</v>
      </c>
    </row>
    <row r="2582">
      <c r="A2582" s="1" t="s">
        <v>2582</v>
      </c>
      <c r="B2582" s="2" t="str">
        <f>IFERROR(__xludf.DUMMYFUNCTION("GOOGLETRANSLATE(A2582, ""de"", ""en"")"),"you")</f>
        <v>you</v>
      </c>
    </row>
    <row r="2583">
      <c r="A2583" s="1" t="s">
        <v>2583</v>
      </c>
      <c r="B2583" s="2" t="str">
        <f>IFERROR(__xludf.DUMMYFUNCTION("GOOGLETRANSLATE(A2583, ""de"", ""en"")"),"source")</f>
        <v>source</v>
      </c>
    </row>
    <row r="2584">
      <c r="A2584" s="1" t="s">
        <v>2584</v>
      </c>
      <c r="B2584" s="2" t="str">
        <f>IFERROR(__xludf.DUMMYFUNCTION("GOOGLETRANSLATE(A2584, ""de"", ""en"")"),"number")</f>
        <v>number</v>
      </c>
    </row>
    <row r="2585">
      <c r="A2585" s="1" t="s">
        <v>2585</v>
      </c>
      <c r="B2585" s="2" t="str">
        <f>IFERROR(__xludf.DUMMYFUNCTION("GOOGLETRANSLATE(A2585, ""de"", ""en"")"),"ships")</f>
        <v>ships</v>
      </c>
    </row>
    <row r="2586">
      <c r="A2586" s="1" t="s">
        <v>2586</v>
      </c>
      <c r="B2586" s="2" t="str">
        <f>IFERROR(__xludf.DUMMYFUNCTION("GOOGLETRANSLATE(A2586, ""de"", ""en"")"),"shots")</f>
        <v>shots</v>
      </c>
    </row>
    <row r="2587">
      <c r="A2587" s="1" t="s">
        <v>2587</v>
      </c>
      <c r="B2587" s="2" t="str">
        <f>IFERROR(__xludf.DUMMYFUNCTION("GOOGLETRANSLATE(A2587, ""de"", ""en"")"),"breaks")</f>
        <v>breaks</v>
      </c>
    </row>
    <row r="2588">
      <c r="A2588" s="1" t="s">
        <v>2588</v>
      </c>
      <c r="B2588" s="2" t="str">
        <f>IFERROR(__xludf.DUMMYFUNCTION("GOOGLETRANSLATE(A2588, ""de"", ""en"")"),"talent")</f>
        <v>talent</v>
      </c>
    </row>
    <row r="2589">
      <c r="A2589" s="1" t="s">
        <v>2589</v>
      </c>
      <c r="B2589" s="2" t="str">
        <f>IFERROR(__xludf.DUMMYFUNCTION("GOOGLETRANSLATE(A2589, ""de"", ""en"")"),"great")</f>
        <v>great</v>
      </c>
    </row>
    <row r="2590">
      <c r="A2590" s="1" t="s">
        <v>2590</v>
      </c>
      <c r="B2590" s="2" t="str">
        <f>IFERROR(__xludf.DUMMYFUNCTION("GOOGLETRANSLATE(A2590, ""de"", ""en"")"),"TV")</f>
        <v>TV</v>
      </c>
    </row>
    <row r="2591">
      <c r="A2591" s="1" t="s">
        <v>2591</v>
      </c>
      <c r="B2591" s="2" t="str">
        <f>IFERROR(__xludf.DUMMYFUNCTION("GOOGLETRANSLATE(A2591, ""de"", ""en"")"),"to drive")</f>
        <v>to drive</v>
      </c>
    </row>
    <row r="2592">
      <c r="A2592" s="1" t="s">
        <v>2592</v>
      </c>
      <c r="B2592" s="2" t="str">
        <f>IFERROR(__xludf.DUMMYFUNCTION("GOOGLETRANSLATE(A2592, ""de"", ""en"")"),"excellent")</f>
        <v>excellent</v>
      </c>
    </row>
    <row r="2593">
      <c r="A2593" s="1" t="s">
        <v>2593</v>
      </c>
      <c r="B2593" s="2" t="str">
        <f>IFERROR(__xludf.DUMMYFUNCTION("GOOGLETRANSLATE(A2593, ""de"", ""en"")"),"crime scene")</f>
        <v>crime scene</v>
      </c>
    </row>
    <row r="2594">
      <c r="A2594" s="1" t="s">
        <v>2594</v>
      </c>
      <c r="B2594" s="2" t="str">
        <f>IFERROR(__xludf.DUMMYFUNCTION("GOOGLETRANSLATE(A2594, ""de"", ""en"")"),"possibilities")</f>
        <v>possibilities</v>
      </c>
    </row>
    <row r="2595">
      <c r="A2595" s="1" t="s">
        <v>2595</v>
      </c>
      <c r="B2595" s="2" t="str">
        <f>IFERROR(__xludf.DUMMYFUNCTION("GOOGLETRANSLATE(A2595, ""de"", ""en"")"),"drinks")</f>
        <v>drinks</v>
      </c>
    </row>
    <row r="2596">
      <c r="A2596" s="1" t="s">
        <v>2596</v>
      </c>
      <c r="B2596" s="2" t="str">
        <f>IFERROR(__xludf.DUMMYFUNCTION("GOOGLETRANSLATE(A2596, ""de"", ""en"")"),"eat")</f>
        <v>eat</v>
      </c>
    </row>
    <row r="2597">
      <c r="A2597" s="1" t="s">
        <v>2597</v>
      </c>
      <c r="B2597" s="2" t="str">
        <f>IFERROR(__xludf.DUMMYFUNCTION("GOOGLETRANSLATE(A2597, ""de"", ""en"")"),"cop")</f>
        <v>cop</v>
      </c>
    </row>
    <row r="2598">
      <c r="A2598" s="1" t="s">
        <v>2598</v>
      </c>
      <c r="B2598" s="2" t="str">
        <f>IFERROR(__xludf.DUMMYFUNCTION("GOOGLETRANSLATE(A2598, ""de"", ""en"")"),"details")</f>
        <v>details</v>
      </c>
    </row>
    <row r="2599">
      <c r="A2599" s="1" t="s">
        <v>2599</v>
      </c>
      <c r="B2599" s="2" t="str">
        <f>IFERROR(__xludf.DUMMYFUNCTION("GOOGLETRANSLATE(A2599, ""de"", ""en"")"),"perpetrator")</f>
        <v>perpetrator</v>
      </c>
    </row>
    <row r="2600">
      <c r="A2600" s="1" t="s">
        <v>2600</v>
      </c>
      <c r="B2600" s="2" t="str">
        <f>IFERROR(__xludf.DUMMYFUNCTION("GOOGLETRANSLATE(A2600, ""de"", ""en"")"),"preserve")</f>
        <v>preserve</v>
      </c>
    </row>
    <row r="2601">
      <c r="A2601" s="1" t="s">
        <v>2601</v>
      </c>
      <c r="B2601" s="2" t="str">
        <f>IFERROR(__xludf.DUMMYFUNCTION("GOOGLETRANSLATE(A2601, ""de"", ""en"")"),"thief")</f>
        <v>thief</v>
      </c>
    </row>
    <row r="2602">
      <c r="A2602" s="1" t="s">
        <v>2602</v>
      </c>
      <c r="B2602" s="2" t="str">
        <f>IFERROR(__xludf.DUMMYFUNCTION("GOOGLETRANSLATE(A2602, ""de"", ""en"")"),"officially")</f>
        <v>officially</v>
      </c>
    </row>
    <row r="2603">
      <c r="A2603" s="1" t="s">
        <v>2603</v>
      </c>
      <c r="B2603" s="2" t="str">
        <f>IFERROR(__xludf.DUMMYFUNCTION("GOOGLETRANSLATE(A2603, ""de"", ""en"")"),"serve")</f>
        <v>serve</v>
      </c>
    </row>
    <row r="2604">
      <c r="A2604" s="1" t="s">
        <v>2604</v>
      </c>
      <c r="B2604" s="2" t="str">
        <f>IFERROR(__xludf.DUMMYFUNCTION("GOOGLETRANSLATE(A2604, ""de"", ""en"")"),"west")</f>
        <v>west</v>
      </c>
    </row>
    <row r="2605">
      <c r="A2605" s="1" t="s">
        <v>2605</v>
      </c>
      <c r="B2605" s="2" t="str">
        <f>IFERROR(__xludf.DUMMYFUNCTION("GOOGLETRANSLATE(A2605, ""de"", ""en"")"),"decisions")</f>
        <v>decisions</v>
      </c>
    </row>
    <row r="2606">
      <c r="A2606" s="1" t="s">
        <v>2606</v>
      </c>
      <c r="B2606" s="2" t="str">
        <f>IFERROR(__xludf.DUMMYFUNCTION("GOOGLETRANSLATE(A2606, ""de"", ""en"")"),"constantly")</f>
        <v>constantly</v>
      </c>
    </row>
    <row r="2607">
      <c r="A2607" s="1" t="s">
        <v>2607</v>
      </c>
      <c r="B2607" s="2" t="str">
        <f>IFERROR(__xludf.DUMMYFUNCTION("GOOGLETRANSLATE(A2607, ""de"", ""en"")"),"taste")</f>
        <v>taste</v>
      </c>
    </row>
    <row r="2608">
      <c r="A2608" s="1" t="s">
        <v>2608</v>
      </c>
      <c r="B2608" s="2" t="str">
        <f>IFERROR(__xludf.DUMMYFUNCTION("GOOGLETRANSLATE(A2608, ""de"", ""en"")"),"each other")</f>
        <v>each other</v>
      </c>
    </row>
    <row r="2609">
      <c r="A2609" s="1" t="s">
        <v>2609</v>
      </c>
      <c r="B2609" s="2" t="str">
        <f>IFERROR(__xludf.DUMMYFUNCTION("GOOGLETRANSLATE(A2609, ""de"", ""en"")"),"chosen")</f>
        <v>chosen</v>
      </c>
    </row>
    <row r="2610">
      <c r="A2610" s="1" t="s">
        <v>2610</v>
      </c>
      <c r="B2610" s="2" t="str">
        <f>IFERROR(__xludf.DUMMYFUNCTION("GOOGLETRANSLATE(A2610, ""de"", ""en"")"),"Charlotte")</f>
        <v>Charlotte</v>
      </c>
    </row>
    <row r="2611">
      <c r="A2611" s="1" t="s">
        <v>2611</v>
      </c>
      <c r="B2611" s="2" t="str">
        <f>IFERROR(__xludf.DUMMYFUNCTION("GOOGLETRANSLATE(A2611, ""de"", ""en"")"),"bad luck")</f>
        <v>bad luck</v>
      </c>
    </row>
    <row r="2612">
      <c r="A2612" s="1" t="s">
        <v>2612</v>
      </c>
      <c r="B2612" s="2" t="str">
        <f>IFERROR(__xludf.DUMMYFUNCTION("GOOGLETRANSLATE(A2612, ""de"", ""en"")"),"defend")</f>
        <v>defend</v>
      </c>
    </row>
    <row r="2613">
      <c r="A2613" s="1" t="s">
        <v>2613</v>
      </c>
      <c r="B2613" s="2" t="str">
        <f>IFERROR(__xludf.DUMMYFUNCTION("GOOGLETRANSLATE(A2613, ""de"", ""en"")"),"actor")</f>
        <v>actor</v>
      </c>
    </row>
    <row r="2614">
      <c r="A2614" s="1" t="s">
        <v>2614</v>
      </c>
      <c r="B2614" s="2" t="str">
        <f>IFERROR(__xludf.DUMMYFUNCTION("GOOGLETRANSLATE(A2614, ""de"", ""en"")"),"persons")</f>
        <v>persons</v>
      </c>
    </row>
    <row r="2615">
      <c r="A2615" s="1" t="s">
        <v>2615</v>
      </c>
      <c r="B2615" s="2" t="str">
        <f>IFERROR(__xludf.DUMMYFUNCTION("GOOGLETRANSLATE(A2615, ""de"", ""en"")"),"left")</f>
        <v>left</v>
      </c>
    </row>
    <row r="2616">
      <c r="A2616" s="1" t="s">
        <v>2616</v>
      </c>
      <c r="B2616" s="2" t="str">
        <f>IFERROR(__xludf.DUMMYFUNCTION("GOOGLETRANSLATE(A2616, ""de"", ""en"")"),"audience")</f>
        <v>audience</v>
      </c>
    </row>
    <row r="2617">
      <c r="A2617" s="1" t="s">
        <v>2617</v>
      </c>
      <c r="B2617" s="2" t="str">
        <f>IFERROR(__xludf.DUMMYFUNCTION("GOOGLETRANSLATE(A2617, ""de"", ""en"")"),"carry")</f>
        <v>carry</v>
      </c>
    </row>
    <row r="2618">
      <c r="A2618" s="1" t="s">
        <v>2618</v>
      </c>
      <c r="B2618" s="2" t="str">
        <f>IFERROR(__xludf.DUMMYFUNCTION("GOOGLETRANSLATE(A2618, ""de"", ""en"")"),"change")</f>
        <v>change</v>
      </c>
    </row>
    <row r="2619">
      <c r="A2619" s="1" t="s">
        <v>2619</v>
      </c>
      <c r="B2619" s="2" t="str">
        <f>IFERROR(__xludf.DUMMYFUNCTION("GOOGLETRANSLATE(A2619, ""de"", ""en"")"),"encountered")</f>
        <v>encountered</v>
      </c>
    </row>
    <row r="2620">
      <c r="A2620" s="1" t="s">
        <v>2620</v>
      </c>
      <c r="B2620" s="2" t="str">
        <f>IFERROR(__xludf.DUMMYFUNCTION("GOOGLETRANSLATE(A2620, ""de"", ""en"")"),"cheated")</f>
        <v>cheated</v>
      </c>
    </row>
    <row r="2621">
      <c r="A2621" s="1" t="s">
        <v>2621</v>
      </c>
      <c r="B2621" s="2" t="str">
        <f>IFERROR(__xludf.DUMMYFUNCTION("GOOGLETRANSLATE(A2621, ""de"", ""en"")"),"visited")</f>
        <v>visited</v>
      </c>
    </row>
    <row r="2622">
      <c r="A2622" s="1" t="s">
        <v>2622</v>
      </c>
      <c r="B2622" s="2" t="str">
        <f>IFERROR(__xludf.DUMMYFUNCTION("GOOGLETRANSLATE(A2622, ""de"", ""en"")"),"trust")</f>
        <v>trust</v>
      </c>
    </row>
    <row r="2623">
      <c r="A2623" s="1" t="s">
        <v>2623</v>
      </c>
      <c r="B2623" s="2" t="str">
        <f>IFERROR(__xludf.DUMMYFUNCTION("GOOGLETRANSLATE(A2623, ""de"", ""en"")"),"Europe")</f>
        <v>Europe</v>
      </c>
    </row>
    <row r="2624">
      <c r="A2624" s="1" t="s">
        <v>2624</v>
      </c>
      <c r="B2624" s="2" t="str">
        <f>IFERROR(__xludf.DUMMYFUNCTION("GOOGLETRANSLATE(A2624, ""de"", ""en"")"),"Carrie")</f>
        <v>Carrie</v>
      </c>
    </row>
    <row r="2625">
      <c r="A2625" s="1" t="s">
        <v>2625</v>
      </c>
      <c r="B2625" s="2" t="str">
        <f>IFERROR(__xludf.DUMMYFUNCTION("GOOGLETRANSLATE(A2625, ""de"", ""en"")"),"patrick")</f>
        <v>patrick</v>
      </c>
    </row>
    <row r="2626">
      <c r="A2626" s="1" t="s">
        <v>2626</v>
      </c>
      <c r="B2626" s="2" t="str">
        <f>IFERROR(__xludf.DUMMYFUNCTION("GOOGLETRANSLATE(A2626, ""de"", ""en"")"),"Germany")</f>
        <v>Germany</v>
      </c>
    </row>
    <row r="2627">
      <c r="A2627" s="1" t="s">
        <v>2627</v>
      </c>
      <c r="B2627" s="2" t="str">
        <f>IFERROR(__xludf.DUMMYFUNCTION("GOOGLETRANSLATE(A2627, ""de"", ""en"")"),"sweeter")</f>
        <v>sweeter</v>
      </c>
    </row>
    <row r="2628">
      <c r="A2628" s="1" t="s">
        <v>2628</v>
      </c>
      <c r="B2628" s="2" t="str">
        <f>IFERROR(__xludf.DUMMYFUNCTION("GOOGLETRANSLATE(A2628, ""de"", ""en"")"),"get rid of")</f>
        <v>get rid of</v>
      </c>
    </row>
    <row r="2629">
      <c r="A2629" s="1" t="s">
        <v>2629</v>
      </c>
      <c r="B2629" s="2" t="str">
        <f>IFERROR(__xludf.DUMMYFUNCTION("GOOGLETRANSLATE(A2629, ""de"", ""en"")"),"report")</f>
        <v>report</v>
      </c>
    </row>
    <row r="2630">
      <c r="A2630" s="1" t="s">
        <v>2630</v>
      </c>
      <c r="B2630" s="2" t="str">
        <f>IFERROR(__xludf.DUMMYFUNCTION("GOOGLETRANSLATE(A2630, ""de"", ""en"")"),"Maggie")</f>
        <v>Maggie</v>
      </c>
    </row>
    <row r="2631">
      <c r="A2631" s="1" t="s">
        <v>2631</v>
      </c>
      <c r="B2631" s="2" t="str">
        <f>IFERROR(__xludf.DUMMYFUNCTION("GOOGLETRANSLATE(A2631, ""de"", ""en"")"),"confirmed")</f>
        <v>confirmed</v>
      </c>
    </row>
    <row r="2632">
      <c r="A2632" s="1" t="s">
        <v>2632</v>
      </c>
      <c r="B2632" s="2" t="str">
        <f>IFERROR(__xludf.DUMMYFUNCTION("GOOGLETRANSLATE(A2632, ""de"", ""en"")"),"gas")</f>
        <v>gas</v>
      </c>
    </row>
    <row r="2633">
      <c r="A2633" s="1" t="s">
        <v>2633</v>
      </c>
      <c r="B2633" s="2" t="str">
        <f>IFERROR(__xludf.DUMMYFUNCTION("GOOGLETRANSLATE(A2633, ""de"", ""en"")"),"storm")</f>
        <v>storm</v>
      </c>
    </row>
    <row r="2634">
      <c r="A2634" s="1" t="s">
        <v>2634</v>
      </c>
      <c r="B2634" s="2" t="str">
        <f>IFERROR(__xludf.DUMMYFUNCTION("GOOGLETRANSLATE(A2634, ""de"", ""en"")"),"set")</f>
        <v>set</v>
      </c>
    </row>
    <row r="2635">
      <c r="A2635" s="1" t="s">
        <v>2635</v>
      </c>
      <c r="B2635" s="2" t="str">
        <f>IFERROR(__xludf.DUMMYFUNCTION("GOOGLETRANSLATE(A2635, ""de"", ""en"")"),"letters")</f>
        <v>letters</v>
      </c>
    </row>
    <row r="2636">
      <c r="A2636" s="1" t="s">
        <v>2636</v>
      </c>
      <c r="B2636" s="2" t="str">
        <f>IFERROR(__xludf.DUMMYFUNCTION("GOOGLETRANSLATE(A2636, ""de"", ""en"")"),"zero")</f>
        <v>zero</v>
      </c>
    </row>
    <row r="2637">
      <c r="A2637" s="1" t="s">
        <v>2637</v>
      </c>
      <c r="B2637" s="2" t="str">
        <f>IFERROR(__xludf.DUMMYFUNCTION("GOOGLETRANSLATE(A2637, ""de"", ""en"")"),"penny")</f>
        <v>penny</v>
      </c>
    </row>
    <row r="2638">
      <c r="A2638" s="1" t="s">
        <v>2638</v>
      </c>
      <c r="B2638" s="2" t="str">
        <f>IFERROR(__xludf.DUMMYFUNCTION("GOOGLETRANSLATE(A2638, ""de"", ""en"")"),"temple")</f>
        <v>temple</v>
      </c>
    </row>
    <row r="2639">
      <c r="A2639" s="1" t="s">
        <v>2639</v>
      </c>
      <c r="B2639" s="2" t="str">
        <f>IFERROR(__xludf.DUMMYFUNCTION("GOOGLETRANSLATE(A2639, ""de"", ""en"")"),"works")</f>
        <v>works</v>
      </c>
    </row>
    <row r="2640">
      <c r="A2640" s="1" t="s">
        <v>2640</v>
      </c>
      <c r="B2640" s="2" t="str">
        <f>IFERROR(__xludf.DUMMYFUNCTION("GOOGLETRANSLATE(A2640, ""de"", ""en"")"),"led")</f>
        <v>led</v>
      </c>
    </row>
    <row r="2641">
      <c r="A2641" s="1" t="s">
        <v>2641</v>
      </c>
      <c r="B2641" s="2" t="str">
        <f>IFERROR(__xludf.DUMMYFUNCTION("GOOGLETRANSLATE(A2641, ""de"", ""en"")"),"start")</f>
        <v>start</v>
      </c>
    </row>
    <row r="2642">
      <c r="A2642" s="1" t="s">
        <v>2642</v>
      </c>
      <c r="B2642" s="2" t="str">
        <f>IFERROR(__xludf.DUMMYFUNCTION("GOOGLETRANSLATE(A2642, ""de"", ""en"")"),"gods")</f>
        <v>gods</v>
      </c>
    </row>
    <row r="2643">
      <c r="A2643" s="1" t="s">
        <v>2643</v>
      </c>
      <c r="B2643" s="2" t="str">
        <f>IFERROR(__xludf.DUMMYFUNCTION("GOOGLETRANSLATE(A2643, ""de"", ""en"")"),"hold onto")</f>
        <v>hold onto</v>
      </c>
    </row>
    <row r="2644">
      <c r="A2644" s="1" t="s">
        <v>2644</v>
      </c>
      <c r="B2644" s="2" t="str">
        <f>IFERROR(__xludf.DUMMYFUNCTION("GOOGLETRANSLATE(A2644, ""de"", ""en"")"),"secret")</f>
        <v>secret</v>
      </c>
    </row>
    <row r="2645">
      <c r="A2645" s="1" t="s">
        <v>2645</v>
      </c>
      <c r="B2645" s="2" t="str">
        <f>IFERROR(__xludf.DUMMYFUNCTION("GOOGLETRANSLATE(A2645, ""de"", ""en"")"),"hand over")</f>
        <v>hand over</v>
      </c>
    </row>
    <row r="2646">
      <c r="A2646" s="1" t="s">
        <v>2646</v>
      </c>
      <c r="B2646" s="2" t="str">
        <f>IFERROR(__xludf.DUMMYFUNCTION("GOOGLETRANSLATE(A2646, ""de"", ""en"")"),"cia")</f>
        <v>cia</v>
      </c>
    </row>
    <row r="2647">
      <c r="A2647" s="1" t="s">
        <v>2647</v>
      </c>
      <c r="B2647" s="2" t="str">
        <f>IFERROR(__xludf.DUMMYFUNCTION("GOOGLETRANSLATE(A2647, ""de"", ""en"")"),"department")</f>
        <v>department</v>
      </c>
    </row>
    <row r="2648">
      <c r="A2648" s="1" t="s">
        <v>2648</v>
      </c>
      <c r="B2648" s="2" t="str">
        <f>IFERROR(__xludf.DUMMYFUNCTION("GOOGLETRANSLATE(A2648, ""de"", ""en"")"),"paper")</f>
        <v>paper</v>
      </c>
    </row>
    <row r="2649">
      <c r="A2649" s="1" t="s">
        <v>2649</v>
      </c>
      <c r="B2649" s="2" t="str">
        <f>IFERROR(__xludf.DUMMYFUNCTION("GOOGLETRANSLATE(A2649, ""de"", ""en"")"),"bet")</f>
        <v>bet</v>
      </c>
    </row>
    <row r="2650">
      <c r="A2650" s="1" t="s">
        <v>2650</v>
      </c>
      <c r="B2650" s="2" t="str">
        <f>IFERROR(__xludf.DUMMYFUNCTION("GOOGLETRANSLATE(A2650, ""de"", ""en"")"),"followed")</f>
        <v>followed</v>
      </c>
    </row>
    <row r="2651">
      <c r="A2651" s="1" t="s">
        <v>2651</v>
      </c>
      <c r="B2651" s="2" t="str">
        <f>IFERROR(__xludf.DUMMYFUNCTION("GOOGLETRANSLATE(A2651, ""de"", ""en"")"),"different")</f>
        <v>different</v>
      </c>
    </row>
    <row r="2652">
      <c r="A2652" s="1" t="s">
        <v>2652</v>
      </c>
      <c r="B2652" s="2" t="str">
        <f>IFERROR(__xludf.DUMMYFUNCTION("GOOGLETRANSLATE(A2652, ""de"", ""en"")"),"at the same time")</f>
        <v>at the same time</v>
      </c>
    </row>
    <row r="2653">
      <c r="A2653" s="1" t="s">
        <v>2653</v>
      </c>
      <c r="B2653" s="2" t="str">
        <f>IFERROR(__xludf.DUMMYFUNCTION("GOOGLETRANSLATE(A2653, ""de"", ""en"")"),"genius")</f>
        <v>genius</v>
      </c>
    </row>
    <row r="2654">
      <c r="A2654" s="1" t="s">
        <v>2654</v>
      </c>
      <c r="B2654" s="2" t="str">
        <f>IFERROR(__xludf.DUMMYFUNCTION("GOOGLETRANSLATE(A2654, ""de"", ""en"")"),"hungry")</f>
        <v>hungry</v>
      </c>
    </row>
    <row r="2655">
      <c r="A2655" s="1" t="s">
        <v>2655</v>
      </c>
      <c r="B2655" s="2" t="str">
        <f>IFERROR(__xludf.DUMMYFUNCTION("GOOGLETRANSLATE(A2655, ""de"", ""en"")"),"inspector")</f>
        <v>inspector</v>
      </c>
    </row>
    <row r="2656">
      <c r="A2656" s="1" t="s">
        <v>2656</v>
      </c>
      <c r="B2656" s="2" t="str">
        <f>IFERROR(__xludf.DUMMYFUNCTION("GOOGLETRANSLATE(A2656, ""de"", ""en"")"),"force")</f>
        <v>force</v>
      </c>
    </row>
    <row r="2657">
      <c r="A2657" s="1" t="s">
        <v>2657</v>
      </c>
      <c r="B2657" s="2" t="str">
        <f>IFERROR(__xludf.DUMMYFUNCTION("GOOGLETRANSLATE(A2657, ""de"", ""en"")"),"breathes")</f>
        <v>breathes</v>
      </c>
    </row>
    <row r="2658">
      <c r="A2658" s="1" t="s">
        <v>2658</v>
      </c>
      <c r="B2658" s="2" t="str">
        <f>IFERROR(__xludf.DUMMYFUNCTION("GOOGLETRANSLATE(A2658, ""de"", ""en"")"),"cow")</f>
        <v>cow</v>
      </c>
    </row>
    <row r="2659">
      <c r="A2659" s="1" t="s">
        <v>2659</v>
      </c>
      <c r="B2659" s="2" t="str">
        <f>IFERROR(__xludf.DUMMYFUNCTION("GOOGLETRANSLATE(A2659, ""de"", ""en"")"),"support")</f>
        <v>support</v>
      </c>
    </row>
    <row r="2660">
      <c r="A2660" s="1" t="s">
        <v>2660</v>
      </c>
      <c r="B2660" s="2" t="str">
        <f>IFERROR(__xludf.DUMMYFUNCTION("GOOGLETRANSLATE(A2660, ""de"", ""en"")"),"thrown")</f>
        <v>thrown</v>
      </c>
    </row>
    <row r="2661">
      <c r="A2661" s="1" t="s">
        <v>2661</v>
      </c>
      <c r="B2661" s="2" t="str">
        <f>IFERROR(__xludf.DUMMYFUNCTION("GOOGLETRANSLATE(A2661, ""de"", ""en"")"),"lost")</f>
        <v>lost</v>
      </c>
    </row>
    <row r="2662">
      <c r="A2662" s="1" t="s">
        <v>2662</v>
      </c>
      <c r="B2662" s="2" t="str">
        <f>IFERROR(__xludf.DUMMYFUNCTION("GOOGLETRANSLATE(A2662, ""de"", ""en"")"),"south")</f>
        <v>south</v>
      </c>
    </row>
    <row r="2663">
      <c r="A2663" s="1" t="s">
        <v>2663</v>
      </c>
      <c r="B2663" s="2" t="str">
        <f>IFERROR(__xludf.DUMMYFUNCTION("GOOGLETRANSLATE(A2663, ""de"", ""en"")"),"father")</f>
        <v>father</v>
      </c>
    </row>
    <row r="2664">
      <c r="A2664" s="1" t="s">
        <v>2664</v>
      </c>
      <c r="B2664" s="2" t="str">
        <f>IFERROR(__xludf.DUMMYFUNCTION("GOOGLETRANSLATE(A2664, ""de"", ""en"")"),"humanity")</f>
        <v>humanity</v>
      </c>
    </row>
    <row r="2665">
      <c r="A2665" s="1" t="s">
        <v>2665</v>
      </c>
      <c r="B2665" s="2" t="str">
        <f>IFERROR(__xludf.DUMMYFUNCTION("GOOGLETRANSLATE(A2665, ""de"", ""en"")"),"hide")</f>
        <v>hide</v>
      </c>
    </row>
    <row r="2666">
      <c r="A2666" s="1" t="s">
        <v>2666</v>
      </c>
      <c r="B2666" s="2" t="str">
        <f>IFERROR(__xludf.DUMMYFUNCTION("GOOGLETRANSLATE(A2666, ""de"", ""en"")"),"killed")</f>
        <v>killed</v>
      </c>
    </row>
    <row r="2667">
      <c r="A2667" s="1" t="s">
        <v>2667</v>
      </c>
      <c r="B2667" s="2" t="str">
        <f>IFERROR(__xludf.DUMMYFUNCTION("GOOGLETRANSLATE(A2667, ""de"", ""en"")"),"skills")</f>
        <v>skills</v>
      </c>
    </row>
    <row r="2668">
      <c r="A2668" s="1" t="s">
        <v>2668</v>
      </c>
      <c r="B2668" s="2" t="str">
        <f>IFERROR(__xludf.DUMMYFUNCTION("GOOGLETRANSLATE(A2668, ""de"", ""en"")"),"calmed down")</f>
        <v>calmed down</v>
      </c>
    </row>
    <row r="2669">
      <c r="A2669" s="1" t="s">
        <v>2669</v>
      </c>
      <c r="B2669" s="2" t="str">
        <f>IFERROR(__xludf.DUMMYFUNCTION("GOOGLETRANSLATE(A2669, ""de"", ""en"")"),"punctual")</f>
        <v>punctual</v>
      </c>
    </row>
    <row r="2670">
      <c r="A2670" s="1" t="s">
        <v>2670</v>
      </c>
      <c r="B2670" s="2" t="str">
        <f>IFERROR(__xludf.DUMMYFUNCTION("GOOGLETRANSLATE(A2670, ""de"", ""en"")"),"strictly")</f>
        <v>strictly</v>
      </c>
    </row>
    <row r="2671">
      <c r="A2671" s="1" t="s">
        <v>2671</v>
      </c>
      <c r="B2671" s="2" t="str">
        <f>IFERROR(__xludf.DUMMYFUNCTION("GOOGLETRANSLATE(A2671, ""de"", ""en"")"),"broadcast")</f>
        <v>broadcast</v>
      </c>
    </row>
    <row r="2672">
      <c r="A2672" s="1" t="s">
        <v>2672</v>
      </c>
      <c r="B2672" s="2" t="str">
        <f>IFERROR(__xludf.DUMMYFUNCTION("GOOGLETRANSLATE(A2672, ""de"", ""en"")"),"lived")</f>
        <v>lived</v>
      </c>
    </row>
    <row r="2673">
      <c r="A2673" s="1" t="s">
        <v>2673</v>
      </c>
      <c r="B2673" s="2" t="str">
        <f>IFERROR(__xludf.DUMMYFUNCTION("GOOGLETRANSLATE(A2673, ""de"", ""en"")"),"stairs")</f>
        <v>stairs</v>
      </c>
    </row>
    <row r="2674">
      <c r="A2674" s="1" t="s">
        <v>2674</v>
      </c>
      <c r="B2674" s="2" t="str">
        <f>IFERROR(__xludf.DUMMYFUNCTION("GOOGLETRANSLATE(A2674, ""de"", ""en"")"),"kim")</f>
        <v>kim</v>
      </c>
    </row>
    <row r="2675">
      <c r="A2675" s="1" t="s">
        <v>2675</v>
      </c>
      <c r="B2675" s="2" t="str">
        <f>IFERROR(__xludf.DUMMYFUNCTION("GOOGLETRANSLATE(A2675, ""de"", ""en"")"),"more correct")</f>
        <v>more correct</v>
      </c>
    </row>
    <row r="2676">
      <c r="A2676" s="1" t="s">
        <v>2676</v>
      </c>
      <c r="B2676" s="2" t="str">
        <f>IFERROR(__xludf.DUMMYFUNCTION("GOOGLETRANSLATE(A2676, ""de"", ""en"")"),"to record")</f>
        <v>to record</v>
      </c>
    </row>
    <row r="2677">
      <c r="A2677" s="1" t="s">
        <v>2677</v>
      </c>
      <c r="B2677" s="2" t="str">
        <f>IFERROR(__xludf.DUMMYFUNCTION("GOOGLETRANSLATE(A2677, ""de"", ""en"")"),"wolf")</f>
        <v>wolf</v>
      </c>
    </row>
    <row r="2678">
      <c r="A2678" s="1" t="s">
        <v>2678</v>
      </c>
      <c r="B2678" s="2" t="str">
        <f>IFERROR(__xludf.DUMMYFUNCTION("GOOGLETRANSLATE(A2678, ""de"", ""en"")"),"Pa")</f>
        <v>Pa</v>
      </c>
    </row>
    <row r="2679">
      <c r="A2679" s="1" t="s">
        <v>2679</v>
      </c>
      <c r="B2679" s="2" t="str">
        <f>IFERROR(__xludf.DUMMYFUNCTION("GOOGLETRANSLATE(A2679, ""de"", ""en"")"),"opens")</f>
        <v>opens</v>
      </c>
    </row>
    <row r="2680">
      <c r="A2680" s="1" t="s">
        <v>2680</v>
      </c>
      <c r="B2680" s="2" t="str">
        <f>IFERROR(__xludf.DUMMYFUNCTION("GOOGLETRANSLATE(A2680, ""de"", ""en"")"),"demon")</f>
        <v>demon</v>
      </c>
    </row>
    <row r="2681">
      <c r="A2681" s="1" t="s">
        <v>2681</v>
      </c>
      <c r="B2681" s="2" t="str">
        <f>IFERROR(__xludf.DUMMYFUNCTION("GOOGLETRANSLATE(A2681, ""de"", ""en"")"),"fury")</f>
        <v>fury</v>
      </c>
    </row>
    <row r="2682">
      <c r="A2682" s="1" t="s">
        <v>2682</v>
      </c>
      <c r="B2682" s="2" t="str">
        <f>IFERROR(__xludf.DUMMYFUNCTION("GOOGLETRANSLATE(A2682, ""de"", ""en"")"),"snake")</f>
        <v>snake</v>
      </c>
    </row>
    <row r="2683">
      <c r="A2683" s="1" t="s">
        <v>2683</v>
      </c>
      <c r="B2683" s="2" t="str">
        <f>IFERROR(__xludf.DUMMYFUNCTION("GOOGLETRANSLATE(A2683, ""de"", ""en"")"),"medication")</f>
        <v>medication</v>
      </c>
    </row>
    <row r="2684">
      <c r="A2684" s="1" t="s">
        <v>2684</v>
      </c>
      <c r="B2684" s="2" t="str">
        <f>IFERROR(__xludf.DUMMYFUNCTION("GOOGLETRANSLATE(A2684, ""de"", ""en"")"),"gifted")</f>
        <v>gifted</v>
      </c>
    </row>
    <row r="2685">
      <c r="A2685" s="1" t="s">
        <v>2685</v>
      </c>
      <c r="B2685" s="2" t="str">
        <f>IFERROR(__xludf.DUMMYFUNCTION("GOOGLETRANSLATE(A2685, ""de"", ""en"")"),"name")</f>
        <v>name</v>
      </c>
    </row>
    <row r="2686">
      <c r="A2686" s="1" t="s">
        <v>2686</v>
      </c>
      <c r="B2686" s="2" t="str">
        <f>IFERROR(__xludf.DUMMYFUNCTION("GOOGLETRANSLATE(A2686, ""de"", ""en"")"),"placed")</f>
        <v>placed</v>
      </c>
    </row>
    <row r="2687">
      <c r="A2687" s="1" t="s">
        <v>2687</v>
      </c>
      <c r="B2687" s="2" t="str">
        <f>IFERROR(__xludf.DUMMYFUNCTION("GOOGLETRANSLATE(A2687, ""de"", ""en"")"),"touch")</f>
        <v>touch</v>
      </c>
    </row>
    <row r="2688">
      <c r="A2688" s="1" t="s">
        <v>2688</v>
      </c>
      <c r="B2688" s="2" t="str">
        <f>IFERROR(__xludf.DUMMYFUNCTION("GOOGLETRANSLATE(A2688, ""de"", ""en"")"),"pizza")</f>
        <v>pizza</v>
      </c>
    </row>
    <row r="2689">
      <c r="A2689" s="1" t="s">
        <v>2689</v>
      </c>
      <c r="B2689" s="2" t="str">
        <f>IFERROR(__xludf.DUMMYFUNCTION("GOOGLETRANSLATE(A2689, ""de"", ""en"")"),"bad")</f>
        <v>bad</v>
      </c>
    </row>
    <row r="2690">
      <c r="A2690" s="1" t="s">
        <v>2690</v>
      </c>
      <c r="B2690" s="2" t="str">
        <f>IFERROR(__xludf.DUMMYFUNCTION("GOOGLETRANSLATE(A2690, ""de"", ""en"")"),"hut")</f>
        <v>hut</v>
      </c>
    </row>
    <row r="2691">
      <c r="A2691" s="1" t="s">
        <v>2691</v>
      </c>
      <c r="B2691" s="2" t="str">
        <f>IFERROR(__xludf.DUMMYFUNCTION("GOOGLETRANSLATE(A2691, ""de"", ""en"")"),"a coat")</f>
        <v>a coat</v>
      </c>
    </row>
    <row r="2692">
      <c r="A2692" s="1" t="s">
        <v>2692</v>
      </c>
      <c r="B2692" s="2" t="str">
        <f>IFERROR(__xludf.DUMMYFUNCTION("GOOGLETRANSLATE(A2692, ""de"", ""en"")"),"claims")</f>
        <v>claims</v>
      </c>
    </row>
    <row r="2693">
      <c r="A2693" s="1" t="s">
        <v>2693</v>
      </c>
      <c r="B2693" s="2" t="str">
        <f>IFERROR(__xludf.DUMMYFUNCTION("GOOGLETRANSLATE(A2693, ""de"", ""en"")"),"kilometers")</f>
        <v>kilometers</v>
      </c>
    </row>
    <row r="2694">
      <c r="A2694" s="1" t="s">
        <v>2694</v>
      </c>
      <c r="B2694" s="2" t="str">
        <f>IFERROR(__xludf.DUMMYFUNCTION("GOOGLETRANSLATE(A2694, ""de"", ""en"")"),"hurry up")</f>
        <v>hurry up</v>
      </c>
    </row>
    <row r="2695">
      <c r="A2695" s="1" t="s">
        <v>2695</v>
      </c>
      <c r="B2695" s="2" t="str">
        <f>IFERROR(__xludf.DUMMYFUNCTION("GOOGLETRANSLATE(A2695, ""de"", ""en"")"),"allegedly")</f>
        <v>allegedly</v>
      </c>
    </row>
    <row r="2696">
      <c r="A2696" s="1" t="s">
        <v>2696</v>
      </c>
      <c r="B2696" s="2" t="str">
        <f>IFERROR(__xludf.DUMMYFUNCTION("GOOGLETRANSLATE(A2696, ""de"", ""en"")"),"ride")</f>
        <v>ride</v>
      </c>
    </row>
    <row r="2697">
      <c r="A2697" s="1" t="s">
        <v>2697</v>
      </c>
      <c r="B2697" s="2" t="str">
        <f>IFERROR(__xludf.DUMMYFUNCTION("GOOGLETRANSLATE(A2697, ""de"", ""en"")"),"helen")</f>
        <v>helen</v>
      </c>
    </row>
    <row r="2698">
      <c r="A2698" s="1" t="s">
        <v>2698</v>
      </c>
      <c r="B2698" s="2" t="str">
        <f>IFERROR(__xludf.DUMMYFUNCTION("GOOGLETRANSLATE(A2698, ""de"", ""en"")"),"midday")</f>
        <v>midday</v>
      </c>
    </row>
    <row r="2699">
      <c r="A2699" s="1" t="s">
        <v>2699</v>
      </c>
      <c r="B2699" s="2" t="str">
        <f>IFERROR(__xludf.DUMMYFUNCTION("GOOGLETRANSLATE(A2699, ""de"", ""en"")"),"warned")</f>
        <v>warned</v>
      </c>
    </row>
    <row r="2700">
      <c r="A2700" s="1" t="s">
        <v>2700</v>
      </c>
      <c r="B2700" s="2" t="str">
        <f>IFERROR(__xludf.DUMMYFUNCTION("GOOGLETRANSLATE(A2700, ""de"", ""en"")"),"live")</f>
        <v>live</v>
      </c>
    </row>
    <row r="2701">
      <c r="A2701" s="1" t="s">
        <v>2701</v>
      </c>
      <c r="B2701" s="2" t="str">
        <f>IFERROR(__xludf.DUMMYFUNCTION("GOOGLETRANSLATE(A2701, ""de"", ""en"")"),"read")</f>
        <v>read</v>
      </c>
    </row>
    <row r="2702">
      <c r="A2702" s="1" t="s">
        <v>2702</v>
      </c>
      <c r="B2702" s="2" t="str">
        <f>IFERROR(__xludf.DUMMYFUNCTION("GOOGLETRANSLATE(A2702, ""de"", ""en"")"),"darkness")</f>
        <v>darkness</v>
      </c>
    </row>
    <row r="2703">
      <c r="A2703" s="1" t="s">
        <v>2703</v>
      </c>
      <c r="B2703" s="2" t="str">
        <f>IFERROR(__xludf.DUMMYFUNCTION("GOOGLETRANSLATE(A2703, ""de"", ""en"")"),"stroll")</f>
        <v>stroll</v>
      </c>
    </row>
    <row r="2704">
      <c r="A2704" s="1" t="s">
        <v>2704</v>
      </c>
      <c r="B2704" s="2" t="str">
        <f>IFERROR(__xludf.DUMMYFUNCTION("GOOGLETRANSLATE(A2704, ""de"", ""en"")"),"angel")</f>
        <v>angel</v>
      </c>
    </row>
    <row r="2705">
      <c r="A2705" s="1" t="s">
        <v>2705</v>
      </c>
      <c r="B2705" s="2" t="str">
        <f>IFERROR(__xludf.DUMMYFUNCTION("GOOGLETRANSLATE(A2705, ""de"", ""en"")"),"hereby")</f>
        <v>hereby</v>
      </c>
    </row>
    <row r="2706">
      <c r="A2706" s="1" t="s">
        <v>2706</v>
      </c>
      <c r="B2706" s="2" t="str">
        <f>IFERROR(__xludf.DUMMYFUNCTION("GOOGLETRANSLATE(A2706, ""de"", ""en"")"),"closes")</f>
        <v>closes</v>
      </c>
    </row>
    <row r="2707">
      <c r="A2707" s="1" t="s">
        <v>2707</v>
      </c>
      <c r="B2707" s="2" t="str">
        <f>IFERROR(__xludf.DUMMYFUNCTION("GOOGLETRANSLATE(A2707, ""de"", ""en"")"),"Phoebe")</f>
        <v>Phoebe</v>
      </c>
    </row>
    <row r="2708">
      <c r="A2708" s="1" t="s">
        <v>2708</v>
      </c>
      <c r="B2708" s="2" t="str">
        <f>IFERROR(__xludf.DUMMYFUNCTION("GOOGLETRANSLATE(A2708, ""de"", ""en"")"),"a lot")</f>
        <v>a lot</v>
      </c>
    </row>
    <row r="2709">
      <c r="A2709" s="1" t="s">
        <v>2709</v>
      </c>
      <c r="B2709" s="2" t="str">
        <f>IFERROR(__xludf.DUMMYFUNCTION("GOOGLETRANSLATE(A2709, ""de"", ""en"")"),"fulfilled")</f>
        <v>fulfilled</v>
      </c>
    </row>
    <row r="2710">
      <c r="A2710" s="1" t="s">
        <v>2710</v>
      </c>
      <c r="B2710" s="2" t="str">
        <f>IFERROR(__xludf.DUMMYFUNCTION("GOOGLETRANSLATE(A2710, ""de"", ""en"")"),"thousand")</f>
        <v>thousand</v>
      </c>
    </row>
    <row r="2711">
      <c r="A2711" s="1" t="s">
        <v>2711</v>
      </c>
      <c r="B2711" s="2" t="str">
        <f>IFERROR(__xludf.DUMMYFUNCTION("GOOGLETRANSLATE(A2711, ""de"", ""en"")"),"bag")</f>
        <v>bag</v>
      </c>
    </row>
    <row r="2712">
      <c r="A2712" s="1" t="s">
        <v>2712</v>
      </c>
      <c r="B2712" s="2" t="str">
        <f>IFERROR(__xludf.DUMMYFUNCTION("GOOGLETRANSLATE(A2712, ""de"", ""en"")"),"clearly")</f>
        <v>clearly</v>
      </c>
    </row>
    <row r="2713">
      <c r="A2713" s="1" t="s">
        <v>2713</v>
      </c>
      <c r="B2713" s="2" t="str">
        <f>IFERROR(__xludf.DUMMYFUNCTION("GOOGLETRANSLATE(A2713, ""de"", ""en"")"),"entertainment")</f>
        <v>entertainment</v>
      </c>
    </row>
    <row r="2714">
      <c r="A2714" s="1" t="s">
        <v>2714</v>
      </c>
      <c r="B2714" s="2" t="str">
        <f>IFERROR(__xludf.DUMMYFUNCTION("GOOGLETRANSLATE(A2714, ""de"", ""en"")"),"found")</f>
        <v>found</v>
      </c>
    </row>
    <row r="2715">
      <c r="A2715" s="1" t="s">
        <v>2715</v>
      </c>
      <c r="B2715" s="2" t="str">
        <f>IFERROR(__xludf.DUMMYFUNCTION("GOOGLETRANSLATE(A2715, ""de"", ""en"")"),"km")</f>
        <v>km</v>
      </c>
    </row>
    <row r="2716">
      <c r="A2716" s="1" t="s">
        <v>2716</v>
      </c>
      <c r="B2716" s="2" t="str">
        <f>IFERROR(__xludf.DUMMYFUNCTION("GOOGLETRANSLATE(A2716, ""de"", ""en"")"),"admit")</f>
        <v>admit</v>
      </c>
    </row>
    <row r="2717">
      <c r="A2717" s="1" t="s">
        <v>2717</v>
      </c>
      <c r="B2717" s="2" t="str">
        <f>IFERROR(__xludf.DUMMYFUNCTION("GOOGLETRANSLATE(A2717, ""de"", ""en"")"),"medium")</f>
        <v>medium</v>
      </c>
    </row>
    <row r="2718">
      <c r="A2718" s="1" t="s">
        <v>2718</v>
      </c>
      <c r="B2718" s="2" t="str">
        <f>IFERROR(__xludf.DUMMYFUNCTION("GOOGLETRANSLATE(A2718, ""de"", ""en"")"),"explosion")</f>
        <v>explosion</v>
      </c>
    </row>
    <row r="2719">
      <c r="A2719" s="1" t="s">
        <v>2719</v>
      </c>
      <c r="B2719" s="2" t="str">
        <f>IFERROR(__xludf.DUMMYFUNCTION("GOOGLETRANSLATE(A2719, ""de"", ""en"")"),"prisoners")</f>
        <v>prisoners</v>
      </c>
    </row>
    <row r="2720">
      <c r="A2720" s="1" t="s">
        <v>2720</v>
      </c>
      <c r="B2720" s="2" t="str">
        <f>IFERROR(__xludf.DUMMYFUNCTION("GOOGLETRANSLATE(A2720, ""de"", ""en"")"),"taylor")</f>
        <v>taylor</v>
      </c>
    </row>
    <row r="2721">
      <c r="A2721" s="1" t="s">
        <v>2721</v>
      </c>
      <c r="B2721" s="2" t="str">
        <f>IFERROR(__xludf.DUMMYFUNCTION("GOOGLETRANSLATE(A2721, ""de"", ""en"")"),"freshness")</f>
        <v>freshness</v>
      </c>
    </row>
    <row r="2722">
      <c r="A2722" s="1" t="s">
        <v>2722</v>
      </c>
      <c r="B2722" s="2" t="str">
        <f>IFERROR(__xludf.DUMMYFUNCTION("GOOGLETRANSLATE(A2722, ""de"", ""en"")"),"suspect")</f>
        <v>suspect</v>
      </c>
    </row>
    <row r="2723">
      <c r="A2723" s="1" t="s">
        <v>2723</v>
      </c>
      <c r="B2723" s="2" t="str">
        <f>IFERROR(__xludf.DUMMYFUNCTION("GOOGLETRANSLATE(A2723, ""de"", ""en"")"),"curious")</f>
        <v>curious</v>
      </c>
    </row>
    <row r="2724">
      <c r="A2724" s="1" t="s">
        <v>2724</v>
      </c>
      <c r="B2724" s="2" t="str">
        <f>IFERROR(__xludf.DUMMYFUNCTION("GOOGLETRANSLATE(A2724, ""de"", ""en"")"),"line")</f>
        <v>line</v>
      </c>
    </row>
    <row r="2725">
      <c r="A2725" s="1" t="s">
        <v>2725</v>
      </c>
      <c r="B2725" s="2" t="str">
        <f>IFERROR(__xludf.DUMMYFUNCTION("GOOGLETRANSLATE(A2725, ""de"", ""en"")"),"get to know")</f>
        <v>get to know</v>
      </c>
    </row>
    <row r="2726">
      <c r="A2726" s="1" t="s">
        <v>2726</v>
      </c>
      <c r="B2726" s="2" t="str">
        <f>IFERROR(__xludf.DUMMYFUNCTION("GOOGLETRANSLATE(A2726, ""de"", ""en"")"),"fly")</f>
        <v>fly</v>
      </c>
    </row>
    <row r="2727">
      <c r="A2727" s="1" t="s">
        <v>2727</v>
      </c>
      <c r="B2727" s="2" t="str">
        <f>IFERROR(__xludf.DUMMYFUNCTION("GOOGLETRANSLATE(A2727, ""de"", ""en"")"),"lived")</f>
        <v>lived</v>
      </c>
    </row>
    <row r="2728">
      <c r="A2728" s="1" t="s">
        <v>2728</v>
      </c>
      <c r="B2728" s="2" t="str">
        <f>IFERROR(__xludf.DUMMYFUNCTION("GOOGLETRANSLATE(A2728, ""de"", ""en"")"),"human")</f>
        <v>human</v>
      </c>
    </row>
    <row r="2729">
      <c r="A2729" s="1" t="s">
        <v>2729</v>
      </c>
      <c r="B2729" s="2" t="str">
        <f>IFERROR(__xludf.DUMMYFUNCTION("GOOGLETRANSLATE(A2729, ""de"", ""en"")"),"other")</f>
        <v>other</v>
      </c>
    </row>
    <row r="2730">
      <c r="A2730" s="1" t="s">
        <v>2730</v>
      </c>
      <c r="B2730" s="2" t="str">
        <f>IFERROR(__xludf.DUMMYFUNCTION("GOOGLETRANSLATE(A2730, ""de"", ""en"")"),"apart")</f>
        <v>apart</v>
      </c>
    </row>
    <row r="2731">
      <c r="A2731" s="1" t="s">
        <v>2731</v>
      </c>
      <c r="B2731" s="2" t="str">
        <f>IFERROR(__xludf.DUMMYFUNCTION("GOOGLETRANSLATE(A2731, ""de"", ""en"")"),"eat")</f>
        <v>eat</v>
      </c>
    </row>
    <row r="2732">
      <c r="A2732" s="1" t="s">
        <v>2732</v>
      </c>
      <c r="B2732" s="2" t="str">
        <f>IFERROR(__xludf.DUMMYFUNCTION("GOOGLETRANSLATE(A2732, ""de"", ""en"")"),"both")</f>
        <v>both</v>
      </c>
    </row>
    <row r="2733">
      <c r="A2733" s="1" t="s">
        <v>2733</v>
      </c>
      <c r="B2733" s="2" t="str">
        <f>IFERROR(__xludf.DUMMYFUNCTION("GOOGLETRANSLATE(A2733, ""de"", ""en"")"),"fuck")</f>
        <v>fuck</v>
      </c>
    </row>
    <row r="2734">
      <c r="A2734" s="1" t="s">
        <v>2734</v>
      </c>
      <c r="B2734" s="2" t="str">
        <f>IFERROR(__xludf.DUMMYFUNCTION("GOOGLETRANSLATE(A2734, ""de"", ""en"")"),"material")</f>
        <v>material</v>
      </c>
    </row>
    <row r="2735">
      <c r="A2735" s="1" t="s">
        <v>2735</v>
      </c>
      <c r="B2735" s="2" t="str">
        <f>IFERROR(__xludf.DUMMYFUNCTION("GOOGLETRANSLATE(A2735, ""de"", ""en"")"),"feel")</f>
        <v>feel</v>
      </c>
    </row>
    <row r="2736">
      <c r="A2736" s="1" t="s">
        <v>2736</v>
      </c>
      <c r="B2736" s="2" t="str">
        <f>IFERROR(__xludf.DUMMYFUNCTION("GOOGLETRANSLATE(A2736, ""de"", ""en"")"),"hurry")</f>
        <v>hurry</v>
      </c>
    </row>
    <row r="2737">
      <c r="A2737" s="1" t="s">
        <v>2737</v>
      </c>
      <c r="B2737" s="2" t="str">
        <f>IFERROR(__xludf.DUMMYFUNCTION("GOOGLETRANSLATE(A2737, ""de"", ""en"")"),"comes from")</f>
        <v>comes from</v>
      </c>
    </row>
    <row r="2738">
      <c r="A2738" s="1" t="s">
        <v>2738</v>
      </c>
      <c r="B2738" s="2" t="str">
        <f>IFERROR(__xludf.DUMMYFUNCTION("GOOGLETRANSLATE(A2738, ""de"", ""en"")"),"presented")</f>
        <v>presented</v>
      </c>
    </row>
    <row r="2739">
      <c r="A2739" s="1" t="s">
        <v>2739</v>
      </c>
      <c r="B2739" s="2" t="str">
        <f>IFERROR(__xludf.DUMMYFUNCTION("GOOGLETRANSLATE(A2739, ""de"", ""en"")"),"Linda")</f>
        <v>Linda</v>
      </c>
    </row>
    <row r="2740">
      <c r="A2740" s="1" t="s">
        <v>2740</v>
      </c>
      <c r="B2740" s="2" t="str">
        <f>IFERROR(__xludf.DUMMYFUNCTION("GOOGLETRANSLATE(A2740, ""de"", ""en"")"),"which")</f>
        <v>which</v>
      </c>
    </row>
    <row r="2741">
      <c r="A2741" s="1" t="s">
        <v>2741</v>
      </c>
      <c r="B2741" s="2" t="str">
        <f>IFERROR(__xludf.DUMMYFUNCTION("GOOGLETRANSLATE(A2741, ""de"", ""en"")"),"important")</f>
        <v>important</v>
      </c>
    </row>
    <row r="2742">
      <c r="A2742" s="1" t="s">
        <v>2742</v>
      </c>
      <c r="B2742" s="2" t="str">
        <f>IFERROR(__xludf.DUMMYFUNCTION("GOOGLETRANSLATE(A2742, ""de"", ""en"")"),"no")</f>
        <v>no</v>
      </c>
    </row>
    <row r="2743">
      <c r="A2743" s="1" t="s">
        <v>2743</v>
      </c>
      <c r="B2743" s="2" t="str">
        <f>IFERROR(__xludf.DUMMYFUNCTION("GOOGLETRANSLATE(A2743, ""de"", ""en"")"),"belonged")</f>
        <v>belonged</v>
      </c>
    </row>
    <row r="2744">
      <c r="A2744" s="1" t="s">
        <v>2744</v>
      </c>
      <c r="B2744" s="2" t="str">
        <f>IFERROR(__xludf.DUMMYFUNCTION("GOOGLETRANSLATE(A2744, ""de"", ""en"")"),"mmm")</f>
        <v>mmm</v>
      </c>
    </row>
    <row r="2745">
      <c r="A2745" s="1" t="s">
        <v>2745</v>
      </c>
      <c r="B2745" s="2" t="str">
        <f>IFERROR(__xludf.DUMMYFUNCTION("GOOGLETRANSLATE(A2745, ""de"", ""en"")"),"believed")</f>
        <v>believed</v>
      </c>
    </row>
    <row r="2746">
      <c r="A2746" s="1" t="s">
        <v>2746</v>
      </c>
      <c r="B2746" s="2" t="str">
        <f>IFERROR(__xludf.DUMMYFUNCTION("GOOGLETRANSLATE(A2746, ""de"", ""en"")"),"colonel")</f>
        <v>colonel</v>
      </c>
    </row>
    <row r="2747">
      <c r="A2747" s="1" t="s">
        <v>2747</v>
      </c>
      <c r="B2747" s="2" t="str">
        <f>IFERROR(__xludf.DUMMYFUNCTION("GOOGLETRANSLATE(A2747, ""de"", ""en"")"),"wardrobe")</f>
        <v>wardrobe</v>
      </c>
    </row>
    <row r="2748">
      <c r="A2748" s="1" t="s">
        <v>2748</v>
      </c>
      <c r="B2748" s="2" t="str">
        <f>IFERROR(__xludf.DUMMYFUNCTION("GOOGLETRANSLATE(A2748, ""de"", ""en"")"),"strangers")</f>
        <v>strangers</v>
      </c>
    </row>
    <row r="2749">
      <c r="A2749" s="1" t="s">
        <v>2749</v>
      </c>
      <c r="B2749" s="2" t="str">
        <f>IFERROR(__xludf.DUMMYFUNCTION("GOOGLETRANSLATE(A2749, ""de"", ""en"")"),"grace")</f>
        <v>grace</v>
      </c>
    </row>
    <row r="2750">
      <c r="A2750" s="1" t="s">
        <v>2750</v>
      </c>
      <c r="B2750" s="2" t="str">
        <f>IFERROR(__xludf.DUMMYFUNCTION("GOOGLETRANSLATE(A2750, ""de"", ""en"")"),"chloe")</f>
        <v>chloe</v>
      </c>
    </row>
    <row r="2751">
      <c r="A2751" s="1" t="s">
        <v>2751</v>
      </c>
      <c r="B2751" s="2" t="str">
        <f>IFERROR(__xludf.DUMMYFUNCTION("GOOGLETRANSLATE(A2751, ""de"", ""en"")"),"yo")</f>
        <v>yo</v>
      </c>
    </row>
    <row r="2752">
      <c r="A2752" s="1" t="s">
        <v>2752</v>
      </c>
      <c r="B2752" s="2" t="str">
        <f>IFERROR(__xludf.DUMMYFUNCTION("GOOGLETRANSLATE(A2752, ""de"", ""en"")"),"relax")</f>
        <v>relax</v>
      </c>
    </row>
    <row r="2753">
      <c r="A2753" s="1" t="s">
        <v>2753</v>
      </c>
      <c r="B2753" s="2" t="str">
        <f>IFERROR(__xludf.DUMMYFUNCTION("GOOGLETRANSLATE(A2753, ""de"", ""en"")"),"virus")</f>
        <v>virus</v>
      </c>
    </row>
    <row r="2754">
      <c r="A2754" s="1" t="s">
        <v>2754</v>
      </c>
      <c r="B2754" s="2" t="str">
        <f>IFERROR(__xludf.DUMMYFUNCTION("GOOGLETRANSLATE(A2754, ""de"", ""en"")"),"sleeping")</f>
        <v>sleeping</v>
      </c>
    </row>
    <row r="2755">
      <c r="A2755" s="1" t="s">
        <v>2755</v>
      </c>
      <c r="B2755" s="2" t="str">
        <f>IFERROR(__xludf.DUMMYFUNCTION("GOOGLETRANSLATE(A2755, ""de"", ""en"")"),"invitation")</f>
        <v>invitation</v>
      </c>
    </row>
    <row r="2756">
      <c r="A2756" s="1" t="s">
        <v>2756</v>
      </c>
      <c r="B2756" s="2" t="str">
        <f>IFERROR(__xludf.DUMMYFUNCTION("GOOGLETRANSLATE(A2756, ""de"", ""en"")"),"warrior")</f>
        <v>warrior</v>
      </c>
    </row>
    <row r="2757">
      <c r="A2757" s="1" t="s">
        <v>2757</v>
      </c>
      <c r="B2757" s="2" t="str">
        <f>IFERROR(__xludf.DUMMYFUNCTION("GOOGLETRANSLATE(A2757, ""de"", ""en"")"),"reasonable")</f>
        <v>reasonable</v>
      </c>
    </row>
    <row r="2758">
      <c r="A2758" s="1" t="s">
        <v>2758</v>
      </c>
      <c r="B2758" s="2" t="str">
        <f>IFERROR(__xludf.DUMMYFUNCTION("GOOGLETRANSLATE(A2758, ""de"", ""en"")"),"fine")</f>
        <v>fine</v>
      </c>
    </row>
    <row r="2759">
      <c r="A2759" s="1" t="s">
        <v>2759</v>
      </c>
      <c r="B2759" s="2" t="str">
        <f>IFERROR(__xludf.DUMMYFUNCTION("GOOGLETRANSLATE(A2759, ""de"", ""en"")"),"grab")</f>
        <v>grab</v>
      </c>
    </row>
    <row r="2760">
      <c r="A2760" s="1" t="s">
        <v>2760</v>
      </c>
      <c r="B2760" s="2" t="str">
        <f>IFERROR(__xludf.DUMMYFUNCTION("GOOGLETRANSLATE(A2760, ""de"", ""en"")"),"whoa")</f>
        <v>whoa</v>
      </c>
    </row>
    <row r="2761">
      <c r="A2761" s="1" t="s">
        <v>2761</v>
      </c>
      <c r="B2761" s="2" t="str">
        <f>IFERROR(__xludf.DUMMYFUNCTION("GOOGLETRANSLATE(A2761, ""de"", ""en"")"),"Kyle")</f>
        <v>Kyle</v>
      </c>
    </row>
    <row r="2762">
      <c r="A2762" s="1" t="s">
        <v>2762</v>
      </c>
      <c r="B2762" s="2" t="str">
        <f>IFERROR(__xludf.DUMMYFUNCTION("GOOGLETRANSLATE(A2762, ""de"", ""en"")"),"sent")</f>
        <v>sent</v>
      </c>
    </row>
    <row r="2763">
      <c r="A2763" s="1" t="s">
        <v>2763</v>
      </c>
      <c r="B2763" s="2" t="str">
        <f>IFERROR(__xludf.DUMMYFUNCTION("GOOGLETRANSLATE(A2763, ""de"", ""en"")"),"by")</f>
        <v>by</v>
      </c>
    </row>
    <row r="2764">
      <c r="A2764" s="1" t="s">
        <v>2764</v>
      </c>
      <c r="B2764" s="2" t="str">
        <f>IFERROR(__xludf.DUMMYFUNCTION("GOOGLETRANSLATE(A2764, ""de"", ""en"")"),"member")</f>
        <v>member</v>
      </c>
    </row>
    <row r="2765">
      <c r="A2765" s="1" t="s">
        <v>2765</v>
      </c>
      <c r="B2765" s="2" t="str">
        <f>IFERROR(__xludf.DUMMYFUNCTION("GOOGLETRANSLATE(A2765, ""de"", ""en"")"),"only one")</f>
        <v>only one</v>
      </c>
    </row>
    <row r="2766">
      <c r="A2766" s="1" t="s">
        <v>2766</v>
      </c>
      <c r="B2766" s="2" t="str">
        <f>IFERROR(__xludf.DUMMYFUNCTION("GOOGLETRANSLATE(A2766, ""de"", ""en"")"),"to kill")</f>
        <v>to kill</v>
      </c>
    </row>
    <row r="2767">
      <c r="A2767" s="1" t="s">
        <v>2767</v>
      </c>
      <c r="B2767" s="2" t="str">
        <f>IFERROR(__xludf.DUMMYFUNCTION("GOOGLETRANSLATE(A2767, ""de"", ""en"")"),"return")</f>
        <v>return</v>
      </c>
    </row>
    <row r="2768">
      <c r="A2768" s="1" t="s">
        <v>2768</v>
      </c>
      <c r="B2768" s="2" t="str">
        <f>IFERROR(__xludf.DUMMYFUNCTION("GOOGLETRANSLATE(A2768, ""de"", ""en"")"),"field")</f>
        <v>field</v>
      </c>
    </row>
    <row r="2769">
      <c r="A2769" s="1" t="s">
        <v>2769</v>
      </c>
      <c r="B2769" s="2" t="str">
        <f>IFERROR(__xludf.DUMMYFUNCTION("GOOGLETRANSLATE(A2769, ""de"", ""en"")"),"Mexico")</f>
        <v>Mexico</v>
      </c>
    </row>
    <row r="2770">
      <c r="A2770" s="1" t="s">
        <v>2770</v>
      </c>
      <c r="B2770" s="2" t="str">
        <f>IFERROR(__xludf.DUMMYFUNCTION("GOOGLETRANSLATE(A2770, ""de"", ""en"")"),"create")</f>
        <v>create</v>
      </c>
    </row>
    <row r="2771">
      <c r="A2771" s="1" t="s">
        <v>2771</v>
      </c>
      <c r="B2771" s="2" t="str">
        <f>IFERROR(__xludf.DUMMYFUNCTION("GOOGLETRANSLATE(A2771, ""de"", ""en"")"),"information")</f>
        <v>information</v>
      </c>
    </row>
    <row r="2772">
      <c r="A2772" s="1" t="s">
        <v>2772</v>
      </c>
      <c r="B2772" s="2" t="str">
        <f>IFERROR(__xludf.DUMMYFUNCTION("GOOGLETRANSLATE(A2772, ""de"", ""en"")"),"came here")</f>
        <v>came here</v>
      </c>
    </row>
    <row r="2773">
      <c r="A2773" s="1" t="s">
        <v>2773</v>
      </c>
      <c r="B2773" s="2" t="str">
        <f>IFERROR(__xludf.DUMMYFUNCTION("GOOGLETRANSLATE(A2773, ""de"", ""en"")"),"move")</f>
        <v>move</v>
      </c>
    </row>
    <row r="2774">
      <c r="A2774" s="1" t="s">
        <v>2774</v>
      </c>
      <c r="B2774" s="2" t="str">
        <f>IFERROR(__xludf.DUMMYFUNCTION("GOOGLETRANSLATE(A2774, ""de"", ""en"")"),"strength")</f>
        <v>strength</v>
      </c>
    </row>
    <row r="2775">
      <c r="A2775" s="1" t="s">
        <v>2775</v>
      </c>
      <c r="B2775" s="2" t="str">
        <f>IFERROR(__xludf.DUMMYFUNCTION("GOOGLETRANSLATE(A2775, ""de"", ""en"")"),"assets")</f>
        <v>assets</v>
      </c>
    </row>
    <row r="2776">
      <c r="A2776" s="1" t="s">
        <v>2776</v>
      </c>
      <c r="B2776" s="2" t="str">
        <f>IFERROR(__xludf.DUMMYFUNCTION("GOOGLETRANSLATE(A2776, ""de"", ""en"")"),"spent")</f>
        <v>spent</v>
      </c>
    </row>
    <row r="2777">
      <c r="A2777" s="1" t="s">
        <v>2777</v>
      </c>
      <c r="B2777" s="2" t="str">
        <f>IFERROR(__xludf.DUMMYFUNCTION("GOOGLETRANSLATE(A2777, ""de"", ""en"")"),"certain")</f>
        <v>certain</v>
      </c>
    </row>
    <row r="2778">
      <c r="A2778" s="1" t="s">
        <v>2778</v>
      </c>
      <c r="B2778" s="2" t="str">
        <f>IFERROR(__xludf.DUMMYFUNCTION("GOOGLETRANSLATE(A2778, ""de"", ""en"")"),"wash")</f>
        <v>wash</v>
      </c>
    </row>
    <row r="2779">
      <c r="A2779" s="1" t="s">
        <v>2779</v>
      </c>
      <c r="B2779" s="2" t="str">
        <f>IFERROR(__xludf.DUMMYFUNCTION("GOOGLETRANSLATE(A2779, ""de"", ""en"")"),"Howard")</f>
        <v>Howard</v>
      </c>
    </row>
    <row r="2780">
      <c r="A2780" s="1" t="s">
        <v>2780</v>
      </c>
      <c r="B2780" s="2" t="str">
        <f>IFERROR(__xludf.DUMMYFUNCTION("GOOGLETRANSLATE(A2780, ""de"", ""en"")"),"state")</f>
        <v>state</v>
      </c>
    </row>
    <row r="2781">
      <c r="A2781" s="1" t="s">
        <v>2781</v>
      </c>
      <c r="B2781" s="2" t="str">
        <f>IFERROR(__xludf.DUMMYFUNCTION("GOOGLETRANSLATE(A2781, ""de"", ""en"")"),"ghosts")</f>
        <v>ghosts</v>
      </c>
    </row>
    <row r="2782">
      <c r="A2782" s="1" t="s">
        <v>2782</v>
      </c>
      <c r="B2782" s="2" t="str">
        <f>IFERROR(__xludf.DUMMYFUNCTION("GOOGLETRANSLATE(A2782, ""de"", ""en"")"),"claim")</f>
        <v>claim</v>
      </c>
    </row>
    <row r="2783">
      <c r="A2783" s="1" t="s">
        <v>2783</v>
      </c>
      <c r="B2783" s="2" t="str">
        <f>IFERROR(__xludf.DUMMYFUNCTION("GOOGLETRANSLATE(A2783, ""de"", ""en"")"),"scream")</f>
        <v>scream</v>
      </c>
    </row>
    <row r="2784">
      <c r="A2784" s="1" t="s">
        <v>2784</v>
      </c>
      <c r="B2784" s="2" t="str">
        <f>IFERROR(__xludf.DUMMYFUNCTION("GOOGLETRANSLATE(A2784, ""de"", ""en"")"),"would")</f>
        <v>would</v>
      </c>
    </row>
    <row r="2785">
      <c r="A2785" s="1" t="s">
        <v>2785</v>
      </c>
      <c r="B2785" s="2" t="str">
        <f>IFERROR(__xludf.DUMMYFUNCTION("GOOGLETRANSLATE(A2785, ""de"", ""en"")"),"birds")</f>
        <v>birds</v>
      </c>
    </row>
    <row r="2786">
      <c r="A2786" s="1" t="s">
        <v>2786</v>
      </c>
      <c r="B2786" s="2" t="str">
        <f>IFERROR(__xludf.DUMMYFUNCTION("GOOGLETRANSLATE(A2786, ""de"", ""en"")"),"warn")</f>
        <v>warn</v>
      </c>
    </row>
    <row r="2787">
      <c r="A2787" s="1" t="s">
        <v>2787</v>
      </c>
      <c r="B2787" s="2" t="str">
        <f>IFERROR(__xludf.DUMMYFUNCTION("GOOGLETRANSLATE(A2787, ""de"", ""en"")"),"Albert")</f>
        <v>Albert</v>
      </c>
    </row>
    <row r="2788">
      <c r="A2788" s="1" t="s">
        <v>2788</v>
      </c>
      <c r="B2788" s="2" t="str">
        <f>IFERROR(__xludf.DUMMYFUNCTION("GOOGLETRANSLATE(A2788, ""de"", ""en"")"),"chances")</f>
        <v>chances</v>
      </c>
    </row>
    <row r="2789">
      <c r="A2789" s="1" t="s">
        <v>2789</v>
      </c>
      <c r="B2789" s="2" t="str">
        <f>IFERROR(__xludf.DUMMYFUNCTION("GOOGLETRANSLATE(A2789, ""de"", ""en"")"),"drives")</f>
        <v>drives</v>
      </c>
    </row>
    <row r="2790">
      <c r="A2790" s="1" t="s">
        <v>2790</v>
      </c>
      <c r="B2790" s="2" t="str">
        <f>IFERROR(__xludf.DUMMYFUNCTION("GOOGLETRANSLATE(A2790, ""de"", ""en"")"),"called")</f>
        <v>called</v>
      </c>
    </row>
    <row r="2791">
      <c r="A2791" s="1" t="s">
        <v>2791</v>
      </c>
      <c r="B2791" s="2" t="str">
        <f>IFERROR(__xludf.DUMMYFUNCTION("GOOGLETRANSLATE(A2791, ""de"", ""en"")"),"guess")</f>
        <v>guess</v>
      </c>
    </row>
    <row r="2792">
      <c r="A2792" s="1" t="s">
        <v>2792</v>
      </c>
      <c r="B2792" s="2" t="str">
        <f>IFERROR(__xludf.DUMMYFUNCTION("GOOGLETRANSLATE(A2792, ""de"", ""en"")"),"midnight")</f>
        <v>midnight</v>
      </c>
    </row>
    <row r="2793">
      <c r="A2793" s="1" t="s">
        <v>2793</v>
      </c>
      <c r="B2793" s="2" t="str">
        <f>IFERROR(__xludf.DUMMYFUNCTION("GOOGLETRANSLATE(A2793, ""de"", ""en"")"),"Jones")</f>
        <v>Jones</v>
      </c>
    </row>
    <row r="2794">
      <c r="A2794" s="1" t="s">
        <v>2794</v>
      </c>
      <c r="B2794" s="2" t="str">
        <f>IFERROR(__xludf.DUMMYFUNCTION("GOOGLETRANSLATE(A2794, ""de"", ""en"")"),"girlfriends")</f>
        <v>girlfriends</v>
      </c>
    </row>
    <row r="2795">
      <c r="A2795" s="1" t="s">
        <v>2795</v>
      </c>
      <c r="B2795" s="2" t="str">
        <f>IFERROR(__xludf.DUMMYFUNCTION("GOOGLETRANSLATE(A2795, ""de"", ""en"")"),"yummy")</f>
        <v>yummy</v>
      </c>
    </row>
    <row r="2796">
      <c r="A2796" s="1" t="s">
        <v>2796</v>
      </c>
      <c r="B2796" s="2" t="str">
        <f>IFERROR(__xludf.DUMMYFUNCTION("GOOGLETRANSLATE(A2796, ""de"", ""en"")"),"clinic")</f>
        <v>clinic</v>
      </c>
    </row>
    <row r="2797">
      <c r="A2797" s="1" t="s">
        <v>2797</v>
      </c>
      <c r="B2797" s="2" t="str">
        <f>IFERROR(__xludf.DUMMYFUNCTION("GOOGLETRANSLATE(A2797, ""de"", ""en"")"),"close")</f>
        <v>close</v>
      </c>
    </row>
    <row r="2798">
      <c r="A2798" s="1" t="s">
        <v>2798</v>
      </c>
      <c r="B2798" s="2" t="str">
        <f>IFERROR(__xludf.DUMMYFUNCTION("GOOGLETRANSLATE(A2798, ""de"", ""en"")"),"condition")</f>
        <v>condition</v>
      </c>
    </row>
    <row r="2799">
      <c r="A2799" s="1" t="s">
        <v>2799</v>
      </c>
      <c r="B2799" s="2" t="str">
        <f>IFERROR(__xludf.DUMMYFUNCTION("GOOGLETRANSLATE(A2799, ""de"", ""en"")"),"let")</f>
        <v>let</v>
      </c>
    </row>
    <row r="2800">
      <c r="A2800" s="1" t="s">
        <v>2800</v>
      </c>
      <c r="B2800" s="2" t="str">
        <f>IFERROR(__xludf.DUMMYFUNCTION("GOOGLETRANSLATE(A2800, ""de"", ""en"")"),"citizens")</f>
        <v>citizens</v>
      </c>
    </row>
    <row r="2801">
      <c r="A2801" s="1" t="s">
        <v>2801</v>
      </c>
      <c r="B2801" s="2" t="str">
        <f>IFERROR(__xludf.DUMMYFUNCTION("GOOGLETRANSLATE(A2801, ""de"", ""en"")"),"caused")</f>
        <v>caused</v>
      </c>
    </row>
    <row r="2802">
      <c r="A2802" s="1" t="s">
        <v>2802</v>
      </c>
      <c r="B2802" s="2" t="str">
        <f>IFERROR(__xludf.DUMMYFUNCTION("GOOGLETRANSLATE(A2802, ""de"", ""en"")"),"hammer")</f>
        <v>hammer</v>
      </c>
    </row>
    <row r="2803">
      <c r="A2803" s="1" t="s">
        <v>2803</v>
      </c>
      <c r="B2803" s="2" t="str">
        <f>IFERROR(__xludf.DUMMYFUNCTION("GOOGLETRANSLATE(A2803, ""de"", ""en"")"),"sound")</f>
        <v>sound</v>
      </c>
    </row>
    <row r="2804">
      <c r="A2804" s="1" t="s">
        <v>2804</v>
      </c>
      <c r="B2804" s="2" t="str">
        <f>IFERROR(__xludf.DUMMYFUNCTION("GOOGLETRANSLATE(A2804, ""de"", ""en"")"),"Internet")</f>
        <v>Internet</v>
      </c>
    </row>
    <row r="2805">
      <c r="A2805" s="1" t="s">
        <v>2805</v>
      </c>
      <c r="B2805" s="2" t="str">
        <f>IFERROR(__xludf.DUMMYFUNCTION("GOOGLETRANSLATE(A2805, ""de"", ""en"")"),"exciting")</f>
        <v>exciting</v>
      </c>
    </row>
    <row r="2806">
      <c r="A2806" s="1" t="s">
        <v>2806</v>
      </c>
      <c r="B2806" s="2" t="str">
        <f>IFERROR(__xludf.DUMMYFUNCTION("GOOGLETRANSLATE(A2806, ""de"", ""en"")"),"boundaries")</f>
        <v>boundaries</v>
      </c>
    </row>
    <row r="2807">
      <c r="A2807" s="1" t="s">
        <v>2807</v>
      </c>
      <c r="B2807" s="2" t="str">
        <f>IFERROR(__xludf.DUMMYFUNCTION("GOOGLETRANSLATE(A2807, ""de"", ""en"")"),"policy")</f>
        <v>policy</v>
      </c>
    </row>
    <row r="2808">
      <c r="A2808" s="1" t="s">
        <v>2808</v>
      </c>
      <c r="B2808" s="2" t="str">
        <f>IFERROR(__xludf.DUMMYFUNCTION("GOOGLETRANSLATE(A2808, ""de"", ""en"")"),"Superman")</f>
        <v>Superman</v>
      </c>
    </row>
    <row r="2809">
      <c r="A2809" s="1" t="s">
        <v>2809</v>
      </c>
      <c r="B2809" s="2" t="str">
        <f>IFERROR(__xludf.DUMMYFUNCTION("GOOGLETRANSLATE(A2809, ""de"", ""en"")"),"right")</f>
        <v>right</v>
      </c>
    </row>
    <row r="2810">
      <c r="A2810" s="1" t="s">
        <v>2810</v>
      </c>
      <c r="B2810" s="2" t="str">
        <f>IFERROR(__xludf.DUMMYFUNCTION("GOOGLETRANSLATE(A2810, ""de"", ""en"")"),"possession")</f>
        <v>possession</v>
      </c>
    </row>
    <row r="2811">
      <c r="A2811" s="1" t="s">
        <v>2811</v>
      </c>
      <c r="B2811" s="2" t="str">
        <f>IFERROR(__xludf.DUMMYFUNCTION("GOOGLETRANSLATE(A2811, ""de"", ""en"")"),"cops")</f>
        <v>cops</v>
      </c>
    </row>
    <row r="2812">
      <c r="A2812" s="1" t="s">
        <v>2812</v>
      </c>
      <c r="B2812" s="2" t="str">
        <f>IFERROR(__xludf.DUMMYFUNCTION("GOOGLETRANSLATE(A2812, ""de"", ""en"")"),"locked up")</f>
        <v>locked up</v>
      </c>
    </row>
    <row r="2813">
      <c r="A2813" s="1" t="s">
        <v>2813</v>
      </c>
      <c r="B2813" s="2" t="str">
        <f>IFERROR(__xludf.DUMMYFUNCTION("GOOGLETRANSLATE(A2813, ""de"", ""en"")"),"err")</f>
        <v>err</v>
      </c>
    </row>
    <row r="2814">
      <c r="A2814" s="1" t="s">
        <v>2814</v>
      </c>
      <c r="B2814" s="2" t="str">
        <f>IFERROR(__xludf.DUMMYFUNCTION("GOOGLETRANSLATE(A2814, ""de"", ""en"")"),"command")</f>
        <v>command</v>
      </c>
    </row>
    <row r="2815">
      <c r="A2815" s="1" t="s">
        <v>2815</v>
      </c>
      <c r="B2815" s="2" t="str">
        <f>IFERROR(__xludf.DUMMYFUNCTION("GOOGLETRANSLATE(A2815, ""de"", ""en"")"),"hit")</f>
        <v>hit</v>
      </c>
    </row>
    <row r="2816">
      <c r="A2816" s="1" t="s">
        <v>2816</v>
      </c>
      <c r="B2816" s="2" t="str">
        <f>IFERROR(__xludf.DUMMYFUNCTION("GOOGLETRANSLATE(A2816, ""de"", ""en"")"),"ambulance")</f>
        <v>ambulance</v>
      </c>
    </row>
    <row r="2817">
      <c r="A2817" s="1" t="s">
        <v>2817</v>
      </c>
      <c r="B2817" s="2" t="str">
        <f>IFERROR(__xludf.DUMMYFUNCTION("GOOGLETRANSLATE(A2817, ""de"", ""en"")"),"love")</f>
        <v>love</v>
      </c>
    </row>
    <row r="2818">
      <c r="A2818" s="1" t="s">
        <v>2818</v>
      </c>
      <c r="B2818" s="2" t="str">
        <f>IFERROR(__xludf.DUMMYFUNCTION("GOOGLETRANSLATE(A2818, ""de"", ""en"")"),"open")</f>
        <v>open</v>
      </c>
    </row>
    <row r="2819">
      <c r="A2819" s="1" t="s">
        <v>2819</v>
      </c>
      <c r="B2819" s="2" t="str">
        <f>IFERROR(__xludf.DUMMYFUNCTION("GOOGLETRANSLATE(A2819, ""de"", ""en"")"),"karen")</f>
        <v>karen</v>
      </c>
    </row>
    <row r="2820">
      <c r="A2820" s="1" t="s">
        <v>2820</v>
      </c>
      <c r="B2820" s="2" t="str">
        <f>IFERROR(__xludf.DUMMYFUNCTION("GOOGLETRANSLATE(A2820, ""de"", ""en"")"),"direct")</f>
        <v>direct</v>
      </c>
    </row>
    <row r="2821">
      <c r="A2821" s="1" t="s">
        <v>2821</v>
      </c>
      <c r="B2821" s="2" t="str">
        <f>IFERROR(__xludf.DUMMYFUNCTION("GOOGLETRANSLATE(A2821, ""de"", ""en"")"),"mademoiselle")</f>
        <v>mademoiselle</v>
      </c>
    </row>
    <row r="2822">
      <c r="A2822" s="1" t="s">
        <v>2822</v>
      </c>
      <c r="B2822" s="2" t="str">
        <f>IFERROR(__xludf.DUMMYFUNCTION("GOOGLETRANSLATE(A2822, ""de"", ""en"")"),"invented")</f>
        <v>invented</v>
      </c>
    </row>
    <row r="2823">
      <c r="A2823" s="1" t="s">
        <v>2823</v>
      </c>
      <c r="B2823" s="2" t="str">
        <f>IFERROR(__xludf.DUMMYFUNCTION("GOOGLETRANSLATE(A2823, ""de"", ""en"")"),"snow")</f>
        <v>snow</v>
      </c>
    </row>
    <row r="2824">
      <c r="A2824" s="1" t="s">
        <v>2824</v>
      </c>
      <c r="B2824" s="2" t="str">
        <f>IFERROR(__xludf.DUMMYFUNCTION("GOOGLETRANSLATE(A2824, ""de"", ""en"")"),"feel")</f>
        <v>feel</v>
      </c>
    </row>
    <row r="2825">
      <c r="A2825" s="1" t="s">
        <v>2825</v>
      </c>
      <c r="B2825" s="2" t="str">
        <f>IFERROR(__xludf.DUMMYFUNCTION("GOOGLETRANSLATE(A2825, ""de"", ""en"")"),"keep")</f>
        <v>keep</v>
      </c>
    </row>
    <row r="2826">
      <c r="A2826" s="1" t="s">
        <v>2826</v>
      </c>
      <c r="B2826" s="2" t="str">
        <f>IFERROR(__xludf.DUMMYFUNCTION("GOOGLETRANSLATE(A2826, ""de"", ""en"")"),"protected")</f>
        <v>protected</v>
      </c>
    </row>
    <row r="2827">
      <c r="A2827" s="1" t="s">
        <v>2827</v>
      </c>
      <c r="B2827" s="2" t="str">
        <f>IFERROR(__xludf.DUMMYFUNCTION("GOOGLETRANSLATE(A2827, ""de"", ""en"")"),"points")</f>
        <v>points</v>
      </c>
    </row>
    <row r="2828">
      <c r="A2828" s="1" t="s">
        <v>2828</v>
      </c>
      <c r="B2828" s="2" t="str">
        <f>IFERROR(__xludf.DUMMYFUNCTION("GOOGLETRANSLATE(A2828, ""de"", ""en"")"),"remove")</f>
        <v>remove</v>
      </c>
    </row>
    <row r="2829">
      <c r="A2829" s="1" t="s">
        <v>2829</v>
      </c>
      <c r="B2829" s="2" t="str">
        <f>IFERROR(__xludf.DUMMYFUNCTION("GOOGLETRANSLATE(A2829, ""de"", ""en"")"),"ran away")</f>
        <v>ran away</v>
      </c>
    </row>
    <row r="2830">
      <c r="A2830" s="1" t="s">
        <v>2830</v>
      </c>
      <c r="B2830" s="2" t="str">
        <f>IFERROR(__xludf.DUMMYFUNCTION("GOOGLETRANSLATE(A2830, ""de"", ""en"")"),"dreamed")</f>
        <v>dreamed</v>
      </c>
    </row>
    <row r="2831">
      <c r="A2831" s="1" t="s">
        <v>2831</v>
      </c>
      <c r="B2831" s="2" t="str">
        <f>IFERROR(__xludf.DUMMYFUNCTION("GOOGLETRANSLATE(A2831, ""de"", ""en"")"),"Stefan")</f>
        <v>Stefan</v>
      </c>
    </row>
    <row r="2832">
      <c r="A2832" s="1" t="s">
        <v>2832</v>
      </c>
      <c r="B2832" s="2" t="str">
        <f>IFERROR(__xludf.DUMMYFUNCTION("GOOGLETRANSLATE(A2832, ""de"", ""en"")"),"demons")</f>
        <v>demons</v>
      </c>
    </row>
    <row r="2833">
      <c r="A2833" s="1" t="s">
        <v>2833</v>
      </c>
      <c r="B2833" s="2" t="str">
        <f>IFERROR(__xludf.DUMMYFUNCTION("GOOGLETRANSLATE(A2833, ""de"", ""en"")"),"tears")</f>
        <v>tears</v>
      </c>
    </row>
    <row r="2834">
      <c r="A2834" s="1" t="s">
        <v>2834</v>
      </c>
      <c r="B2834" s="2" t="str">
        <f>IFERROR(__xludf.DUMMYFUNCTION("GOOGLETRANSLATE(A2834, ""de"", ""en"")"),"successful")</f>
        <v>successful</v>
      </c>
    </row>
    <row r="2835">
      <c r="A2835" s="1" t="s">
        <v>2835</v>
      </c>
      <c r="B2835" s="2" t="str">
        <f>IFERROR(__xludf.DUMMYFUNCTION("GOOGLETRANSLATE(A2835, ""de"", ""en"")"),"full")</f>
        <v>full</v>
      </c>
    </row>
    <row r="2836">
      <c r="A2836" s="1" t="s">
        <v>2836</v>
      </c>
      <c r="B2836" s="2" t="str">
        <f>IFERROR(__xludf.DUMMYFUNCTION("GOOGLETRANSLATE(A2836, ""de"", ""en"")"),"Wilson")</f>
        <v>Wilson</v>
      </c>
    </row>
    <row r="2837">
      <c r="A2837" s="1" t="s">
        <v>2837</v>
      </c>
      <c r="B2837" s="2" t="str">
        <f>IFERROR(__xludf.DUMMYFUNCTION("GOOGLETRANSLATE(A2837, ""de"", ""en"")"),"Caroline")</f>
        <v>Caroline</v>
      </c>
    </row>
    <row r="2838">
      <c r="A2838" s="1" t="s">
        <v>2838</v>
      </c>
      <c r="B2838" s="2" t="str">
        <f>IFERROR(__xludf.DUMMYFUNCTION("GOOGLETRANSLATE(A2838, ""de"", ""en"")"),"higher")</f>
        <v>higher</v>
      </c>
    </row>
    <row r="2839">
      <c r="A2839" s="1" t="s">
        <v>2839</v>
      </c>
      <c r="B2839" s="2" t="str">
        <f>IFERROR(__xludf.DUMMYFUNCTION("GOOGLETRANSLATE(A2839, ""de"", ""en"")"),"happy")</f>
        <v>happy</v>
      </c>
    </row>
    <row r="2840">
      <c r="A2840" s="1" t="s">
        <v>2840</v>
      </c>
      <c r="B2840" s="2" t="str">
        <f>IFERROR(__xludf.DUMMYFUNCTION("GOOGLETRANSLATE(A2840, ""de"", ""en"")"),"glasses")</f>
        <v>glasses</v>
      </c>
    </row>
    <row r="2841">
      <c r="A2841" s="1" t="s">
        <v>2841</v>
      </c>
      <c r="B2841" s="2" t="str">
        <f>IFERROR(__xludf.DUMMYFUNCTION("GOOGLETRANSLATE(A2841, ""de"", ""en"")"),"had to")</f>
        <v>had to</v>
      </c>
    </row>
    <row r="2842">
      <c r="A2842" s="1" t="s">
        <v>2842</v>
      </c>
      <c r="B2842" s="2" t="str">
        <f>IFERROR(__xludf.DUMMYFUNCTION("GOOGLETRANSLATE(A2842, ""de"", ""en"")"),"hometown")</f>
        <v>hometown</v>
      </c>
    </row>
    <row r="2843">
      <c r="A2843" s="1" t="s">
        <v>2843</v>
      </c>
      <c r="B2843" s="2" t="str">
        <f>IFERROR(__xludf.DUMMYFUNCTION("GOOGLETRANSLATE(A2843, ""de"", ""en"")"),"terry")</f>
        <v>terry</v>
      </c>
    </row>
    <row r="2844">
      <c r="A2844" s="1" t="s">
        <v>2844</v>
      </c>
      <c r="B2844" s="2" t="str">
        <f>IFERROR(__xludf.DUMMYFUNCTION("GOOGLETRANSLATE(A2844, ""de"", ""en"")"),"favorite")</f>
        <v>favorite</v>
      </c>
    </row>
    <row r="2845">
      <c r="A2845" s="1" t="s">
        <v>2845</v>
      </c>
      <c r="B2845" s="2" t="str">
        <f>IFERROR(__xludf.DUMMYFUNCTION("GOOGLETRANSLATE(A2845, ""de"", ""en"")"),"bye")</f>
        <v>bye</v>
      </c>
    </row>
    <row r="2846">
      <c r="A2846" s="1" t="s">
        <v>2846</v>
      </c>
      <c r="B2846" s="2" t="str">
        <f>IFERROR(__xludf.DUMMYFUNCTION("GOOGLETRANSLATE(A2846, ""de"", ""en"")"),"director")</f>
        <v>director</v>
      </c>
    </row>
    <row r="2847">
      <c r="A2847" s="1" t="s">
        <v>2847</v>
      </c>
      <c r="B2847" s="2" t="str">
        <f>IFERROR(__xludf.DUMMYFUNCTION("GOOGLETRANSLATE(A2847, ""de"", ""en"")"),"Sean")</f>
        <v>Sean</v>
      </c>
    </row>
    <row r="2848">
      <c r="A2848" s="1" t="s">
        <v>2848</v>
      </c>
      <c r="B2848" s="2" t="str">
        <f>IFERROR(__xludf.DUMMYFUNCTION("GOOGLETRANSLATE(A2848, ""de"", ""en"")"),"purchase")</f>
        <v>purchase</v>
      </c>
    </row>
    <row r="2849">
      <c r="A2849" s="1" t="s">
        <v>2849</v>
      </c>
      <c r="B2849" s="2" t="str">
        <f>IFERROR(__xludf.DUMMYFUNCTION("GOOGLETRANSLATE(A2849, ""de"", ""en"")"),"you're crazy")</f>
        <v>you're crazy</v>
      </c>
    </row>
    <row r="2850">
      <c r="A2850" s="1" t="s">
        <v>2850</v>
      </c>
      <c r="B2850" s="2" t="str">
        <f>IFERROR(__xludf.DUMMYFUNCTION("GOOGLETRANSLATE(A2850, ""de"", ""en"")"),"factory")</f>
        <v>factory</v>
      </c>
    </row>
    <row r="2851">
      <c r="A2851" s="1" t="s">
        <v>2851</v>
      </c>
      <c r="B2851" s="2" t="str">
        <f>IFERROR(__xludf.DUMMYFUNCTION("GOOGLETRANSLATE(A2851, ""de"", ""en"")"),"cent")</f>
        <v>cent</v>
      </c>
    </row>
    <row r="2852">
      <c r="A2852" s="1" t="s">
        <v>2852</v>
      </c>
      <c r="B2852" s="2" t="str">
        <f>IFERROR(__xludf.DUMMYFUNCTION("GOOGLETRANSLATE(A2852, ""de"", ""en"")"),"battle")</f>
        <v>battle</v>
      </c>
    </row>
    <row r="2853">
      <c r="A2853" s="1" t="s">
        <v>2853</v>
      </c>
      <c r="B2853" s="2" t="str">
        <f>IFERROR(__xludf.DUMMYFUNCTION("GOOGLETRANSLATE(A2853, ""de"", ""en"")"),"relationships")</f>
        <v>relationships</v>
      </c>
    </row>
    <row r="2854">
      <c r="A2854" s="1" t="s">
        <v>2854</v>
      </c>
      <c r="B2854" s="2" t="str">
        <f>IFERROR(__xludf.DUMMYFUNCTION("GOOGLETRANSLATE(A2854, ""de"", ""en"")"),"agreed")</f>
        <v>agreed</v>
      </c>
    </row>
    <row r="2855">
      <c r="A2855" s="1" t="s">
        <v>2855</v>
      </c>
      <c r="B2855" s="2" t="str">
        <f>IFERROR(__xludf.DUMMYFUNCTION("GOOGLETRANSLATE(A2855, ""de"", ""en"")"),"scream")</f>
        <v>scream</v>
      </c>
    </row>
    <row r="2856">
      <c r="A2856" s="1" t="s">
        <v>2856</v>
      </c>
      <c r="B2856" s="2" t="str">
        <f>IFERROR(__xludf.DUMMYFUNCTION("GOOGLETRANSLATE(A2856, ""de"", ""en"")"),"hmm")</f>
        <v>hmm</v>
      </c>
    </row>
    <row r="2857">
      <c r="A2857" s="1" t="s">
        <v>2857</v>
      </c>
      <c r="B2857" s="2" t="str">
        <f>IFERROR(__xludf.DUMMYFUNCTION("GOOGLETRANSLATE(A2857, ""de"", ""en"")"),"confirm")</f>
        <v>confirm</v>
      </c>
    </row>
    <row r="2858">
      <c r="A2858" s="1" t="s">
        <v>2858</v>
      </c>
      <c r="B2858" s="2" t="str">
        <f>IFERROR(__xludf.DUMMYFUNCTION("GOOGLETRANSLATE(A2858, ""de"", ""en"")"),"frightened")</f>
        <v>frightened</v>
      </c>
    </row>
    <row r="2859">
      <c r="A2859" s="1" t="s">
        <v>2859</v>
      </c>
      <c r="B2859" s="2" t="str">
        <f>IFERROR(__xludf.DUMMYFUNCTION("GOOGLETRANSLATE(A2859, ""de"", ""en"")"),"officer")</f>
        <v>officer</v>
      </c>
    </row>
    <row r="2860">
      <c r="A2860" s="1" t="s">
        <v>2860</v>
      </c>
      <c r="B2860" s="2" t="str">
        <f>IFERROR(__xludf.DUMMYFUNCTION("GOOGLETRANSLATE(A2860, ""de"", ""en"")"),"that")</f>
        <v>that</v>
      </c>
    </row>
    <row r="2861">
      <c r="A2861" s="1" t="s">
        <v>2861</v>
      </c>
      <c r="B2861" s="2" t="str">
        <f>IFERROR(__xludf.DUMMYFUNCTION("GOOGLETRANSLATE(A2861, ""de"", ""en"")"),"sara")</f>
        <v>sara</v>
      </c>
    </row>
    <row r="2862">
      <c r="A2862" s="1" t="s">
        <v>2862</v>
      </c>
      <c r="B2862" s="2" t="str">
        <f>IFERROR(__xludf.DUMMYFUNCTION("GOOGLETRANSLATE(A2862, ""de"", ""en"")"),"affair")</f>
        <v>affair</v>
      </c>
    </row>
    <row r="2863">
      <c r="A2863" s="1" t="s">
        <v>2863</v>
      </c>
      <c r="B2863" s="2" t="str">
        <f>IFERROR(__xludf.DUMMYFUNCTION("GOOGLETRANSLATE(A2863, ""de"", ""en"")"),"received")</f>
        <v>received</v>
      </c>
    </row>
    <row r="2864">
      <c r="A2864" s="1" t="s">
        <v>2864</v>
      </c>
      <c r="B2864" s="2" t="str">
        <f>IFERROR(__xludf.DUMMYFUNCTION("GOOGLETRANSLATE(A2864, ""de"", ""en"")"),"purpose")</f>
        <v>purpose</v>
      </c>
    </row>
    <row r="2865">
      <c r="A2865" s="1" t="s">
        <v>2865</v>
      </c>
      <c r="B2865" s="2" t="str">
        <f>IFERROR(__xludf.DUMMYFUNCTION("GOOGLETRANSLATE(A2865, ""de"", ""en"")"),"fight")</f>
        <v>fight</v>
      </c>
    </row>
    <row r="2866">
      <c r="A2866" s="1" t="s">
        <v>2866</v>
      </c>
      <c r="B2866" s="2" t="str">
        <f>IFERROR(__xludf.DUMMYFUNCTION("GOOGLETRANSLATE(A2866, ""de"", ""en"")"),"result")</f>
        <v>result</v>
      </c>
    </row>
    <row r="2867">
      <c r="A2867" s="1" t="s">
        <v>2867</v>
      </c>
      <c r="B2867" s="2" t="str">
        <f>IFERROR(__xludf.DUMMYFUNCTION("GOOGLETRANSLATE(A2867, ""de"", ""en"")"),"China")</f>
        <v>China</v>
      </c>
    </row>
    <row r="2868">
      <c r="A2868" s="1" t="s">
        <v>2868</v>
      </c>
      <c r="B2868" s="2" t="str">
        <f>IFERROR(__xludf.DUMMYFUNCTION("GOOGLETRANSLATE(A2868, ""de"", ""en"")"),"catch")</f>
        <v>catch</v>
      </c>
    </row>
    <row r="2869">
      <c r="A2869" s="1" t="s">
        <v>2869</v>
      </c>
      <c r="B2869" s="2" t="str">
        <f>IFERROR(__xludf.DUMMYFUNCTION("GOOGLETRANSLATE(A2869, ""de"", ""en"")"),"houses")</f>
        <v>houses</v>
      </c>
    </row>
    <row r="2870">
      <c r="A2870" s="1" t="s">
        <v>2870</v>
      </c>
      <c r="B2870" s="2" t="str">
        <f>IFERROR(__xludf.DUMMYFUNCTION("GOOGLETRANSLATE(A2870, ""de"", ""en"")"),"lose")</f>
        <v>lose</v>
      </c>
    </row>
    <row r="2871">
      <c r="A2871" s="1" t="s">
        <v>2871</v>
      </c>
      <c r="B2871" s="2" t="str">
        <f>IFERROR(__xludf.DUMMYFUNCTION("GOOGLETRANSLATE(A2871, ""de"", ""en"")"),"thought")</f>
        <v>thought</v>
      </c>
    </row>
    <row r="2872">
      <c r="A2872" s="1" t="s">
        <v>2872</v>
      </c>
      <c r="B2872" s="2" t="str">
        <f>IFERROR(__xludf.DUMMYFUNCTION("GOOGLETRANSLATE(A2872, ""de"", ""en"")"),"thousands")</f>
        <v>thousands</v>
      </c>
    </row>
    <row r="2873">
      <c r="A2873" s="1" t="s">
        <v>2873</v>
      </c>
      <c r="B2873" s="2" t="str">
        <f>IFERROR(__xludf.DUMMYFUNCTION("GOOGLETRANSLATE(A2873, ""de"", ""en"")"),"nowadays")</f>
        <v>nowadays</v>
      </c>
    </row>
    <row r="2874">
      <c r="A2874" s="1" t="s">
        <v>2874</v>
      </c>
      <c r="B2874" s="2" t="str">
        <f>IFERROR(__xludf.DUMMYFUNCTION("GOOGLETRANSLATE(A2874, ""de"", ""en"")"),"felt")</f>
        <v>felt</v>
      </c>
    </row>
    <row r="2875">
      <c r="A2875" s="1" t="s">
        <v>2875</v>
      </c>
      <c r="B2875" s="2" t="str">
        <f>IFERROR(__xludf.DUMMYFUNCTION("GOOGLETRANSLATE(A2875, ""de"", ""en"")"),"cut")</f>
        <v>cut</v>
      </c>
    </row>
    <row r="2876">
      <c r="A2876" s="1" t="s">
        <v>2876</v>
      </c>
      <c r="B2876" s="2" t="str">
        <f>IFERROR(__xludf.DUMMYFUNCTION("GOOGLETRANSLATE(A2876, ""de"", ""en"")"),"Carlos")</f>
        <v>Carlos</v>
      </c>
    </row>
    <row r="2877">
      <c r="A2877" s="1" t="s">
        <v>2877</v>
      </c>
      <c r="B2877" s="2" t="str">
        <f>IFERROR(__xludf.DUMMYFUNCTION("GOOGLETRANSLATE(A2877, ""de"", ""en"")"),"Harold")</f>
        <v>Harold</v>
      </c>
    </row>
    <row r="2878">
      <c r="A2878" s="1" t="s">
        <v>2878</v>
      </c>
      <c r="B2878" s="2" t="str">
        <f>IFERROR(__xludf.DUMMYFUNCTION("GOOGLETRANSLATE(A2878, ""de"", ""en"")"),"live")</f>
        <v>live</v>
      </c>
    </row>
    <row r="2879">
      <c r="A2879" s="1" t="s">
        <v>2879</v>
      </c>
      <c r="B2879" s="2" t="str">
        <f>IFERROR(__xludf.DUMMYFUNCTION("GOOGLETRANSLATE(A2879, ""de"", ""en"")"),"real")</f>
        <v>real</v>
      </c>
    </row>
    <row r="2880">
      <c r="A2880" s="1" t="s">
        <v>2880</v>
      </c>
      <c r="B2880" s="2" t="str">
        <f>IFERROR(__xludf.DUMMYFUNCTION("GOOGLETRANSLATE(A2880, ""de"", ""en"")"),"wood")</f>
        <v>wood</v>
      </c>
    </row>
    <row r="2881">
      <c r="A2881" s="1" t="s">
        <v>2881</v>
      </c>
      <c r="B2881" s="2" t="str">
        <f>IFERROR(__xludf.DUMMYFUNCTION("GOOGLETRANSLATE(A2881, ""de"", ""en"")"),"emperor")</f>
        <v>emperor</v>
      </c>
    </row>
    <row r="2882">
      <c r="A2882" s="1" t="s">
        <v>2882</v>
      </c>
      <c r="B2882" s="2" t="str">
        <f>IFERROR(__xludf.DUMMYFUNCTION("GOOGLETRANSLATE(A2882, ""de"", ""en"")"),"played")</f>
        <v>played</v>
      </c>
    </row>
    <row r="2883">
      <c r="A2883" s="1" t="s">
        <v>2883</v>
      </c>
      <c r="B2883" s="2" t="str">
        <f>IFERROR(__xludf.DUMMYFUNCTION("GOOGLETRANSLATE(A2883, ""de"", ""en"")"),"started")</f>
        <v>started</v>
      </c>
    </row>
    <row r="2884">
      <c r="A2884" s="1" t="s">
        <v>2884</v>
      </c>
      <c r="B2884" s="2" t="str">
        <f>IFERROR(__xludf.DUMMYFUNCTION("GOOGLETRANSLATE(A2884, ""de"", ""en"")"),"you pull")</f>
        <v>you pull</v>
      </c>
    </row>
    <row r="2885">
      <c r="A2885" s="1" t="s">
        <v>2885</v>
      </c>
      <c r="B2885" s="2" t="str">
        <f>IFERROR(__xludf.DUMMYFUNCTION("GOOGLETRANSLATE(A2885, ""de"", ""en"")"),"landed")</f>
        <v>landed</v>
      </c>
    </row>
    <row r="2886">
      <c r="A2886" s="1" t="s">
        <v>2886</v>
      </c>
      <c r="B2886" s="2" t="str">
        <f>IFERROR(__xludf.DUMMYFUNCTION("GOOGLETRANSLATE(A2886, ""de"", ""en"")"),"divorce")</f>
        <v>divorce</v>
      </c>
    </row>
    <row r="2887">
      <c r="A2887" s="1" t="s">
        <v>2887</v>
      </c>
      <c r="B2887" s="2" t="str">
        <f>IFERROR(__xludf.DUMMYFUNCTION("GOOGLETRANSLATE(A2887, ""de"", ""en"")"),"beard")</f>
        <v>beard</v>
      </c>
    </row>
    <row r="2888">
      <c r="A2888" s="1" t="s">
        <v>2888</v>
      </c>
      <c r="B2888" s="2" t="str">
        <f>IFERROR(__xludf.DUMMYFUNCTION("GOOGLETRANSLATE(A2888, ""de"", ""en"")"),"decided")</f>
        <v>decided</v>
      </c>
    </row>
    <row r="2889">
      <c r="A2889" s="1" t="s">
        <v>2889</v>
      </c>
      <c r="B2889" s="2" t="str">
        <f>IFERROR(__xludf.DUMMYFUNCTION("GOOGLETRANSLATE(A2889, ""de"", ""en"")"),"loo")</f>
        <v>loo</v>
      </c>
    </row>
    <row r="2890">
      <c r="A2890" s="1" t="s">
        <v>2890</v>
      </c>
      <c r="B2890" s="2" t="str">
        <f>IFERROR(__xludf.DUMMYFUNCTION("GOOGLETRANSLATE(A2890, ""de"", ""en"")"),"smell")</f>
        <v>smell</v>
      </c>
    </row>
    <row r="2891">
      <c r="A2891" s="1" t="s">
        <v>2891</v>
      </c>
      <c r="B2891" s="2" t="str">
        <f>IFERROR(__xludf.DUMMYFUNCTION("GOOGLETRANSLATE(A2891, ""de"", ""en"")"),"forgets")</f>
        <v>forgets</v>
      </c>
    </row>
    <row r="2892">
      <c r="A2892" s="1" t="s">
        <v>2892</v>
      </c>
      <c r="B2892" s="2" t="str">
        <f>IFERROR(__xludf.DUMMYFUNCTION("GOOGLETRANSLATE(A2892, ""de"", ""en"")"),"enthusiastic")</f>
        <v>enthusiastic</v>
      </c>
    </row>
    <row r="2893">
      <c r="A2893" s="1" t="s">
        <v>2893</v>
      </c>
      <c r="B2893" s="2" t="str">
        <f>IFERROR(__xludf.DUMMYFUNCTION("GOOGLETRANSLATE(A2893, ""de"", ""en"")"),"egg")</f>
        <v>egg</v>
      </c>
    </row>
    <row r="2894">
      <c r="A2894" s="1" t="s">
        <v>2894</v>
      </c>
      <c r="B2894" s="2" t="str">
        <f>IFERROR(__xludf.DUMMYFUNCTION("GOOGLETRANSLATE(A2894, ""de"", ""en"")"),"through")</f>
        <v>through</v>
      </c>
    </row>
    <row r="2895">
      <c r="A2895" s="1" t="s">
        <v>2895</v>
      </c>
      <c r="B2895" s="2" t="str">
        <f>IFERROR(__xludf.DUMMYFUNCTION("GOOGLETRANSLATE(A2895, ""de"", ""en"")"),"cool")</f>
        <v>cool</v>
      </c>
    </row>
    <row r="2896">
      <c r="A2896" s="1" t="s">
        <v>2896</v>
      </c>
      <c r="B2896" s="2" t="str">
        <f>IFERROR(__xludf.DUMMYFUNCTION("GOOGLETRANSLATE(A2896, ""de"", ""en"")"),"low")</f>
        <v>low</v>
      </c>
    </row>
    <row r="2897">
      <c r="A2897" s="1" t="s">
        <v>2897</v>
      </c>
      <c r="B2897" s="2" t="str">
        <f>IFERROR(__xludf.DUMMYFUNCTION("GOOGLETRANSLATE(A2897, ""de"", ""en"")"),"explain")</f>
        <v>explain</v>
      </c>
    </row>
    <row r="2898">
      <c r="A2898" s="1" t="s">
        <v>2898</v>
      </c>
      <c r="B2898" s="2" t="str">
        <f>IFERROR(__xludf.DUMMYFUNCTION("GOOGLETRANSLATE(A2898, ""de"", ""en"")"),"terrible")</f>
        <v>terrible</v>
      </c>
    </row>
    <row r="2899">
      <c r="A2899" s="1" t="s">
        <v>2899</v>
      </c>
      <c r="B2899" s="2" t="str">
        <f>IFERROR(__xludf.DUMMYFUNCTION("GOOGLETRANSLATE(A2899, ""de"", ""en"")"),"impressed")</f>
        <v>impressed</v>
      </c>
    </row>
    <row r="2900">
      <c r="A2900" s="1" t="s">
        <v>2900</v>
      </c>
      <c r="B2900" s="2" t="str">
        <f>IFERROR(__xludf.DUMMYFUNCTION("GOOGLETRANSLATE(A2900, ""de"", ""en"")"),"Vince")</f>
        <v>Vince</v>
      </c>
    </row>
    <row r="2901">
      <c r="A2901" s="1" t="s">
        <v>2901</v>
      </c>
      <c r="B2901" s="2" t="str">
        <f>IFERROR(__xludf.DUMMYFUNCTION("GOOGLETRANSLATE(A2901, ""de"", ""en"")"),"abandoned")</f>
        <v>abandoned</v>
      </c>
    </row>
    <row r="2902">
      <c r="A2902" s="1" t="s">
        <v>2902</v>
      </c>
      <c r="B2902" s="2" t="str">
        <f>IFERROR(__xludf.DUMMYFUNCTION("GOOGLETRANSLATE(A2902, ""de"", ""en"")"),"because of")</f>
        <v>because of</v>
      </c>
    </row>
    <row r="2903">
      <c r="A2903" s="1" t="s">
        <v>2903</v>
      </c>
      <c r="B2903" s="2" t="str">
        <f>IFERROR(__xludf.DUMMYFUNCTION("GOOGLETRANSLATE(A2903, ""de"", ""en"")"),"at the moment")</f>
        <v>at the moment</v>
      </c>
    </row>
    <row r="2904">
      <c r="A2904" s="1" t="s">
        <v>2904</v>
      </c>
      <c r="B2904" s="2" t="str">
        <f>IFERROR(__xludf.DUMMYFUNCTION("GOOGLETRANSLATE(A2904, ""de"", ""en"")"),"such")</f>
        <v>such</v>
      </c>
    </row>
    <row r="2905">
      <c r="A2905" s="1" t="s">
        <v>2905</v>
      </c>
      <c r="B2905" s="2" t="str">
        <f>IFERROR(__xludf.DUMMYFUNCTION("GOOGLETRANSLATE(A2905, ""de"", ""en"")"),"mostly")</f>
        <v>mostly</v>
      </c>
    </row>
    <row r="2906">
      <c r="A2906" s="1" t="s">
        <v>2906</v>
      </c>
      <c r="B2906" s="2" t="str">
        <f>IFERROR(__xludf.DUMMYFUNCTION("GOOGLETRANSLATE(A2906, ""de"", ""en"")"),"stress")</f>
        <v>stress</v>
      </c>
    </row>
    <row r="2907">
      <c r="A2907" s="1" t="s">
        <v>2907</v>
      </c>
      <c r="B2907" s="2" t="str">
        <f>IFERROR(__xludf.DUMMYFUNCTION("GOOGLETRANSLATE(A2907, ""de"", ""en"")"),"stars")</f>
        <v>stars</v>
      </c>
    </row>
    <row r="2908">
      <c r="A2908" s="1" t="s">
        <v>2908</v>
      </c>
      <c r="B2908" s="2" t="str">
        <f>IFERROR(__xludf.DUMMYFUNCTION("GOOGLETRANSLATE(A2908, ""de"", ""en"")"),"heal")</f>
        <v>heal</v>
      </c>
    </row>
    <row r="2909">
      <c r="A2909" s="1" t="s">
        <v>2909</v>
      </c>
      <c r="B2909" s="2" t="str">
        <f>IFERROR(__xludf.DUMMYFUNCTION("GOOGLETRANSLATE(A2909, ""de"", ""en"")"),"so much")</f>
        <v>so much</v>
      </c>
    </row>
    <row r="2910">
      <c r="A2910" s="1" t="s">
        <v>2910</v>
      </c>
      <c r="B2910" s="2" t="str">
        <f>IFERROR(__xludf.DUMMYFUNCTION("GOOGLETRANSLATE(A2910, ""de"", ""en"")"),"knew")</f>
        <v>knew</v>
      </c>
    </row>
    <row r="2911">
      <c r="A2911" s="1" t="s">
        <v>2911</v>
      </c>
      <c r="B2911" s="2" t="str">
        <f>IFERROR(__xludf.DUMMYFUNCTION("GOOGLETRANSLATE(A2911, ""de"", ""en"")"),"instead")</f>
        <v>instead</v>
      </c>
    </row>
    <row r="2912">
      <c r="A2912" s="1" t="s">
        <v>2912</v>
      </c>
      <c r="B2912" s="2" t="str">
        <f>IFERROR(__xludf.DUMMYFUNCTION("GOOGLETRANSLATE(A2912, ""de"", ""en"")"),"aye")</f>
        <v>aye</v>
      </c>
    </row>
    <row r="2913">
      <c r="A2913" s="1" t="s">
        <v>2913</v>
      </c>
      <c r="B2913" s="2" t="str">
        <f>IFERROR(__xludf.DUMMYFUNCTION("GOOGLETRANSLATE(A2913, ""de"", ""en"")"),"things")</f>
        <v>things</v>
      </c>
    </row>
    <row r="2914">
      <c r="A2914" s="1" t="s">
        <v>2914</v>
      </c>
      <c r="B2914" s="2" t="str">
        <f>IFERROR(__xludf.DUMMYFUNCTION("GOOGLETRANSLATE(A2914, ""de"", ""en"")"),"mood")</f>
        <v>mood</v>
      </c>
    </row>
    <row r="2915">
      <c r="A2915" s="1" t="s">
        <v>2915</v>
      </c>
      <c r="B2915" s="2" t="str">
        <f>IFERROR(__xludf.DUMMYFUNCTION("GOOGLETRANSLATE(A2915, ""de"", ""en"")"),"bull")</f>
        <v>bull</v>
      </c>
    </row>
    <row r="2916">
      <c r="A2916" s="1" t="s">
        <v>2916</v>
      </c>
      <c r="B2916" s="2" t="str">
        <f>IFERROR(__xludf.DUMMYFUNCTION("GOOGLETRANSLATE(A2916, ""de"", ""en"")"),"noticed")</f>
        <v>noticed</v>
      </c>
    </row>
    <row r="2917">
      <c r="A2917" s="1" t="s">
        <v>2917</v>
      </c>
      <c r="B2917" s="2" t="str">
        <f>IFERROR(__xludf.DUMMYFUNCTION("GOOGLETRANSLATE(A2917, ""de"", ""en"")"),"fights")</f>
        <v>fights</v>
      </c>
    </row>
    <row r="2918">
      <c r="A2918" s="1" t="s">
        <v>2918</v>
      </c>
      <c r="B2918" s="2" t="str">
        <f>IFERROR(__xludf.DUMMYFUNCTION("GOOGLETRANSLATE(A2918, ""de"", ""en"")"),"noise")</f>
        <v>noise</v>
      </c>
    </row>
    <row r="2919">
      <c r="A2919" s="1" t="s">
        <v>2919</v>
      </c>
      <c r="B2919" s="2" t="str">
        <f>IFERROR(__xludf.DUMMYFUNCTION("GOOGLETRANSLATE(A2919, ""de"", ""en"")"),"artist")</f>
        <v>artist</v>
      </c>
    </row>
    <row r="2920">
      <c r="A2920" s="1" t="s">
        <v>2920</v>
      </c>
      <c r="B2920" s="2" t="str">
        <f>IFERROR(__xludf.DUMMYFUNCTION("GOOGLETRANSLATE(A2920, ""de"", ""en"")"),"grow")</f>
        <v>grow</v>
      </c>
    </row>
    <row r="2921">
      <c r="A2921" s="1" t="s">
        <v>2921</v>
      </c>
      <c r="B2921" s="2" t="str">
        <f>IFERROR(__xludf.DUMMYFUNCTION("GOOGLETRANSLATE(A2921, ""de"", ""en"")"),"sentenced")</f>
        <v>sentenced</v>
      </c>
    </row>
    <row r="2922">
      <c r="A2922" s="1" t="s">
        <v>2922</v>
      </c>
      <c r="B2922" s="2" t="str">
        <f>IFERROR(__xludf.DUMMYFUNCTION("GOOGLETRANSLATE(A2922, ""de"", ""en"")"),"heaven")</f>
        <v>heaven</v>
      </c>
    </row>
    <row r="2923">
      <c r="A2923" s="1" t="s">
        <v>2923</v>
      </c>
      <c r="B2923" s="2" t="str">
        <f>IFERROR(__xludf.DUMMYFUNCTION("GOOGLETRANSLATE(A2923, ""de"", ""en"")"),"tyler")</f>
        <v>tyler</v>
      </c>
    </row>
    <row r="2924">
      <c r="A2924" s="1" t="s">
        <v>2924</v>
      </c>
      <c r="B2924" s="2" t="str">
        <f>IFERROR(__xludf.DUMMYFUNCTION("GOOGLETRANSLATE(A2924, ""de"", ""en"")"),"verdict")</f>
        <v>verdict</v>
      </c>
    </row>
    <row r="2925">
      <c r="A2925" s="1" t="s">
        <v>2925</v>
      </c>
      <c r="B2925" s="2" t="str">
        <f>IFERROR(__xludf.DUMMYFUNCTION("GOOGLETRANSLATE(A2925, ""de"", ""en"")"),"pigs")</f>
        <v>pigs</v>
      </c>
    </row>
    <row r="2926">
      <c r="A2926" s="1" t="s">
        <v>2926</v>
      </c>
      <c r="B2926" s="2" t="str">
        <f>IFERROR(__xludf.DUMMYFUNCTION("GOOGLETRANSLATE(A2926, ""de"", ""en"")"),"nice")</f>
        <v>nice</v>
      </c>
    </row>
    <row r="2927">
      <c r="A2927" s="1" t="s">
        <v>2927</v>
      </c>
      <c r="B2927" s="2" t="str">
        <f>IFERROR(__xludf.DUMMYFUNCTION("GOOGLETRANSLATE(A2927, ""de"", ""en"")"),"house")</f>
        <v>house</v>
      </c>
    </row>
    <row r="2928">
      <c r="A2928" s="1" t="s">
        <v>2928</v>
      </c>
      <c r="B2928" s="2" t="str">
        <f>IFERROR(__xludf.DUMMYFUNCTION("GOOGLETRANSLATE(A2928, ""de"", ""en"")"),"loss")</f>
        <v>loss</v>
      </c>
    </row>
    <row r="2929">
      <c r="A2929" s="1" t="s">
        <v>2929</v>
      </c>
      <c r="B2929" s="2" t="str">
        <f>IFERROR(__xludf.DUMMYFUNCTION("GOOGLETRANSLATE(A2929, ""de"", ""en"")"),"left")</f>
        <v>left</v>
      </c>
    </row>
    <row r="2930">
      <c r="A2930" s="1" t="s">
        <v>2930</v>
      </c>
      <c r="B2930" s="2" t="str">
        <f>IFERROR(__xludf.DUMMYFUNCTION("GOOGLETRANSLATE(A2930, ""de"", ""en"")"),"throw")</f>
        <v>throw</v>
      </c>
    </row>
    <row r="2931">
      <c r="A2931" s="1" t="s">
        <v>2931</v>
      </c>
      <c r="B2931" s="2" t="str">
        <f>IFERROR(__xludf.DUMMYFUNCTION("GOOGLETRANSLATE(A2931, ""de"", ""en"")"),"few")</f>
        <v>few</v>
      </c>
    </row>
    <row r="2932">
      <c r="A2932" s="1" t="s">
        <v>2932</v>
      </c>
      <c r="B2932" s="2" t="str">
        <f>IFERROR(__xludf.DUMMYFUNCTION("GOOGLETRANSLATE(A2932, ""de"", ""en"")"),"willie")</f>
        <v>willie</v>
      </c>
    </row>
    <row r="2933">
      <c r="A2933" s="1" t="s">
        <v>2933</v>
      </c>
      <c r="B2933" s="2" t="str">
        <f>IFERROR(__xludf.DUMMYFUNCTION("GOOGLETRANSLATE(A2933, ""de"", ""en"")"),"shoulder")</f>
        <v>shoulder</v>
      </c>
    </row>
    <row r="2934">
      <c r="A2934" s="1" t="s">
        <v>2934</v>
      </c>
      <c r="B2934" s="2" t="str">
        <f>IFERROR(__xludf.DUMMYFUNCTION("GOOGLETRANSLATE(A2934, ""de"", ""en"")"),"California")</f>
        <v>California</v>
      </c>
    </row>
    <row r="2935">
      <c r="A2935" s="1" t="s">
        <v>2935</v>
      </c>
      <c r="B2935" s="2" t="str">
        <f>IFERROR(__xludf.DUMMYFUNCTION("GOOGLETRANSLATE(A2935, ""de"", ""en"")"),"learns")</f>
        <v>learns</v>
      </c>
    </row>
    <row r="2936">
      <c r="A2936" s="1" t="s">
        <v>2936</v>
      </c>
      <c r="B2936" s="2" t="str">
        <f>IFERROR(__xludf.DUMMYFUNCTION("GOOGLETRANSLATE(A2936, ""de"", ""en"")"),"taught")</f>
        <v>taught</v>
      </c>
    </row>
    <row r="2937">
      <c r="A2937" s="1" t="s">
        <v>2937</v>
      </c>
      <c r="B2937" s="2" t="str">
        <f>IFERROR(__xludf.DUMMYFUNCTION("GOOGLETRANSLATE(A2937, ""de"", ""en"")"),"normal")</f>
        <v>normal</v>
      </c>
    </row>
    <row r="2938">
      <c r="A2938" s="1" t="s">
        <v>2938</v>
      </c>
      <c r="B2938" s="2" t="str">
        <f>IFERROR(__xludf.DUMMYFUNCTION("GOOGLETRANSLATE(A2938, ""de"", ""en"")"),"offer")</f>
        <v>offer</v>
      </c>
    </row>
    <row r="2939">
      <c r="A2939" s="1" t="s">
        <v>2939</v>
      </c>
      <c r="B2939" s="2" t="str">
        <f>IFERROR(__xludf.DUMMYFUNCTION("GOOGLETRANSLATE(A2939, ""de"", ""en"")"),"use")</f>
        <v>use</v>
      </c>
    </row>
    <row r="2940">
      <c r="A2940" s="1" t="s">
        <v>2940</v>
      </c>
      <c r="B2940" s="2" t="str">
        <f>IFERROR(__xludf.DUMMYFUNCTION("GOOGLETRANSLATE(A2940, ""de"", ""en"")"),"congratulate")</f>
        <v>congratulate</v>
      </c>
    </row>
    <row r="2941">
      <c r="A2941" s="1" t="s">
        <v>2941</v>
      </c>
      <c r="B2941" s="2" t="str">
        <f>IFERROR(__xludf.DUMMYFUNCTION("GOOGLETRANSLATE(A2941, ""de"", ""en"")"),"curse")</f>
        <v>curse</v>
      </c>
    </row>
    <row r="2942">
      <c r="A2942" s="1" t="s">
        <v>2942</v>
      </c>
      <c r="B2942" s="2" t="str">
        <f>IFERROR(__xludf.DUMMYFUNCTION("GOOGLETRANSLATE(A2942, ""de"", ""en"")"),"rick")</f>
        <v>rick</v>
      </c>
    </row>
    <row r="2943">
      <c r="A2943" s="1" t="s">
        <v>2943</v>
      </c>
      <c r="B2943" s="2" t="str">
        <f>IFERROR(__xludf.DUMMYFUNCTION("GOOGLETRANSLATE(A2943, ""de"", ""en"")"),"trans")</f>
        <v>trans</v>
      </c>
    </row>
    <row r="2944">
      <c r="A2944" s="1" t="s">
        <v>2944</v>
      </c>
      <c r="B2944" s="2" t="str">
        <f>IFERROR(__xludf.DUMMYFUNCTION("GOOGLETRANSLATE(A2944, ""de"", ""en"")"),"green")</f>
        <v>green</v>
      </c>
    </row>
    <row r="2945">
      <c r="A2945" s="1" t="s">
        <v>2945</v>
      </c>
      <c r="B2945" s="2" t="str">
        <f>IFERROR(__xludf.DUMMYFUNCTION("GOOGLETRANSLATE(A2945, ""de"", ""en"")"),"instruction")</f>
        <v>instruction</v>
      </c>
    </row>
    <row r="2946">
      <c r="A2946" s="1" t="s">
        <v>2946</v>
      </c>
      <c r="B2946" s="2" t="str">
        <f>IFERROR(__xludf.DUMMYFUNCTION("GOOGLETRANSLATE(A2946, ""de"", ""en"")"),"you thought")</f>
        <v>you thought</v>
      </c>
    </row>
    <row r="2947">
      <c r="A2947" s="1" t="s">
        <v>2947</v>
      </c>
      <c r="B2947" s="2" t="str">
        <f>IFERROR(__xludf.DUMMYFUNCTION("GOOGLETRANSLATE(A2947, ""de"", ""en"")"),"kidding")</f>
        <v>kidding</v>
      </c>
    </row>
    <row r="2948">
      <c r="A2948" s="1" t="s">
        <v>2948</v>
      </c>
      <c r="B2948" s="2" t="str">
        <f>IFERROR(__xludf.DUMMYFUNCTION("GOOGLETRANSLATE(A2948, ""de"", ""en"")"),"used")</f>
        <v>used</v>
      </c>
    </row>
    <row r="2949">
      <c r="A2949" s="1" t="s">
        <v>2949</v>
      </c>
      <c r="B2949" s="2" t="str">
        <f>IFERROR(__xludf.DUMMYFUNCTION("GOOGLETRANSLATE(A2949, ""de"", ""en"")"),"accuse")</f>
        <v>accuse</v>
      </c>
    </row>
    <row r="2950">
      <c r="A2950" s="1" t="s">
        <v>2950</v>
      </c>
      <c r="B2950" s="2" t="str">
        <f>IFERROR(__xludf.DUMMYFUNCTION("GOOGLETRANSLATE(A2950, ""de"", ""en"")"),"great")</f>
        <v>great</v>
      </c>
    </row>
    <row r="2951">
      <c r="A2951" s="1" t="s">
        <v>2951</v>
      </c>
      <c r="B2951" s="2" t="str">
        <f>IFERROR(__xludf.DUMMYFUNCTION("GOOGLETRANSLATE(A2951, ""de"", ""en"")"),"lips")</f>
        <v>lips</v>
      </c>
    </row>
    <row r="2952">
      <c r="A2952" s="1" t="s">
        <v>2952</v>
      </c>
      <c r="B2952" s="2" t="str">
        <f>IFERROR(__xludf.DUMMYFUNCTION("GOOGLETRANSLATE(A2952, ""de"", ""en"")"),"fat")</f>
        <v>fat</v>
      </c>
    </row>
    <row r="2953">
      <c r="A2953" s="1" t="s">
        <v>2953</v>
      </c>
      <c r="B2953" s="2" t="str">
        <f>IFERROR(__xludf.DUMMYFUNCTION("GOOGLETRANSLATE(A2953, ""de"", ""en"")"),"lay")</f>
        <v>lay</v>
      </c>
    </row>
    <row r="2954">
      <c r="A2954" s="1" t="s">
        <v>2954</v>
      </c>
      <c r="B2954" s="2" t="str">
        <f>IFERROR(__xludf.DUMMYFUNCTION("GOOGLETRANSLATE(A2954, ""de"", ""en"")"),"coward")</f>
        <v>coward</v>
      </c>
    </row>
    <row r="2955">
      <c r="A2955" s="1" t="s">
        <v>2955</v>
      </c>
      <c r="B2955" s="2" t="str">
        <f>IFERROR(__xludf.DUMMYFUNCTION("GOOGLETRANSLATE(A2955, ""de"", ""en"")"),"regard")</f>
        <v>regard</v>
      </c>
    </row>
    <row r="2956">
      <c r="A2956" s="1" t="s">
        <v>2956</v>
      </c>
      <c r="B2956" s="2" t="str">
        <f>IFERROR(__xludf.DUMMYFUNCTION("GOOGLETRANSLATE(A2956, ""de"", ""en"")"),"gary")</f>
        <v>gary</v>
      </c>
    </row>
    <row r="2957">
      <c r="A2957" s="1" t="s">
        <v>2957</v>
      </c>
      <c r="B2957" s="2" t="str">
        <f>IFERROR(__xludf.DUMMYFUNCTION("GOOGLETRANSLATE(A2957, ""de"", ""en"")"),"learns")</f>
        <v>learns</v>
      </c>
    </row>
    <row r="2958">
      <c r="A2958" s="1" t="s">
        <v>2958</v>
      </c>
      <c r="B2958" s="2" t="str">
        <f>IFERROR(__xludf.DUMMYFUNCTION("GOOGLETRANSLATE(A2958, ""de"", ""en"")"),"used")</f>
        <v>used</v>
      </c>
    </row>
    <row r="2959">
      <c r="A2959" s="1" t="s">
        <v>2959</v>
      </c>
      <c r="B2959" s="2" t="str">
        <f>IFERROR(__xludf.DUMMYFUNCTION("GOOGLETRANSLATE(A2959, ""de"", ""en"")"),"Jessica")</f>
        <v>Jessica</v>
      </c>
    </row>
    <row r="2960">
      <c r="A2960" s="1" t="s">
        <v>2960</v>
      </c>
      <c r="B2960" s="2" t="str">
        <f>IFERROR(__xludf.DUMMYFUNCTION("GOOGLETRANSLATE(A2960, ""de"", ""en"")"),"extremely")</f>
        <v>extremely</v>
      </c>
    </row>
    <row r="2961">
      <c r="A2961" s="1" t="s">
        <v>2961</v>
      </c>
      <c r="B2961" s="2" t="str">
        <f>IFERROR(__xludf.DUMMYFUNCTION("GOOGLETRANSLATE(A2961, ""de"", ""en"")"),"invite")</f>
        <v>invite</v>
      </c>
    </row>
    <row r="2962">
      <c r="A2962" s="1" t="s">
        <v>2962</v>
      </c>
      <c r="B2962" s="2" t="str">
        <f>IFERROR(__xludf.DUMMYFUNCTION("GOOGLETRANSLATE(A2962, ""de"", ""en"")"),"cheese")</f>
        <v>cheese</v>
      </c>
    </row>
    <row r="2963">
      <c r="A2963" s="1" t="s">
        <v>2963</v>
      </c>
      <c r="B2963" s="2" t="str">
        <f>IFERROR(__xludf.DUMMYFUNCTION("GOOGLETRANSLATE(A2963, ""de"", ""en"")"),"wake up")</f>
        <v>wake up</v>
      </c>
    </row>
    <row r="2964">
      <c r="A2964" s="1" t="s">
        <v>2964</v>
      </c>
      <c r="B2964" s="2" t="str">
        <f>IFERROR(__xludf.DUMMYFUNCTION("GOOGLETRANSLATE(A2964, ""de"", ""en"")"),"disposal")</f>
        <v>disposal</v>
      </c>
    </row>
    <row r="2965">
      <c r="A2965" s="1" t="s">
        <v>2965</v>
      </c>
      <c r="B2965" s="2" t="str">
        <f>IFERROR(__xludf.DUMMYFUNCTION("GOOGLETRANSLATE(A2965, ""de"", ""en"")"),"uniform")</f>
        <v>uniform</v>
      </c>
    </row>
    <row r="2966">
      <c r="A2966" s="1" t="s">
        <v>2966</v>
      </c>
      <c r="B2966" s="2" t="str">
        <f>IFERROR(__xludf.DUMMYFUNCTION("GOOGLETRANSLATE(A2966, ""de"", ""en"")"),"watch")</f>
        <v>watch</v>
      </c>
    </row>
    <row r="2967">
      <c r="A2967" s="3" t="s">
        <v>2967</v>
      </c>
      <c r="B2967" s="4" t="str">
        <f>IFERROR(__xludf.DUMMYFUNCTION("GOOGLETRANSLATE(A2967, ""de"", ""en"")"),"board.tv4user.de")</f>
        <v>board.tv4user.de</v>
      </c>
    </row>
    <row r="2968">
      <c r="A2968" s="1" t="s">
        <v>2968</v>
      </c>
      <c r="B2968" s="2" t="str">
        <f>IFERROR(__xludf.DUMMYFUNCTION("GOOGLETRANSLATE(A2968, ""de"", ""en"")"),"health")</f>
        <v>health</v>
      </c>
    </row>
    <row r="2969">
      <c r="A2969" s="1" t="s">
        <v>2969</v>
      </c>
      <c r="B2969" s="2" t="str">
        <f>IFERROR(__xludf.DUMMYFUNCTION("GOOGLETRANSLATE(A2969, ""de"", ""en"")"),"adventure")</f>
        <v>adventure</v>
      </c>
    </row>
    <row r="2970">
      <c r="A2970" s="1" t="s">
        <v>2970</v>
      </c>
      <c r="B2970" s="2" t="str">
        <f>IFERROR(__xludf.DUMMYFUNCTION("GOOGLETRANSLATE(A2970, ""de"", ""en"")"),"pants")</f>
        <v>pants</v>
      </c>
    </row>
    <row r="2971">
      <c r="A2971" s="1" t="s">
        <v>2971</v>
      </c>
      <c r="B2971" s="2" t="str">
        <f>IFERROR(__xludf.DUMMYFUNCTION("GOOGLETRANSLATE(A2971, ""de"", ""en"")"),"short")</f>
        <v>short</v>
      </c>
    </row>
    <row r="2972">
      <c r="A2972" s="1" t="s">
        <v>2972</v>
      </c>
      <c r="B2972" s="2" t="str">
        <f>IFERROR(__xludf.DUMMYFUNCTION("GOOGLETRANSLATE(A2972, ""de"", ""en"")"),"check")</f>
        <v>check</v>
      </c>
    </row>
    <row r="2973">
      <c r="A2973" s="1" t="s">
        <v>2973</v>
      </c>
      <c r="B2973" s="2" t="str">
        <f>IFERROR(__xludf.DUMMYFUNCTION("GOOGLETRANSLATE(A2973, ""de"", ""en"")"),"daily")</f>
        <v>daily</v>
      </c>
    </row>
    <row r="2974">
      <c r="A2974" s="1" t="s">
        <v>2974</v>
      </c>
      <c r="B2974" s="2" t="str">
        <f>IFERROR(__xludf.DUMMYFUNCTION("GOOGLETRANSLATE(A2974, ""de"", ""en"")"),"eat")</f>
        <v>eat</v>
      </c>
    </row>
    <row r="2975">
      <c r="A2975" s="1" t="s">
        <v>2975</v>
      </c>
      <c r="B2975" s="2" t="str">
        <f>IFERROR(__xludf.DUMMYFUNCTION("GOOGLETRANSLATE(A2975, ""de"", ""en"")"),"take over")</f>
        <v>take over</v>
      </c>
    </row>
    <row r="2976">
      <c r="A2976" s="1" t="s">
        <v>2976</v>
      </c>
      <c r="B2976" s="2" t="str">
        <f>IFERROR(__xludf.DUMMYFUNCTION("GOOGLETRANSLATE(A2976, ""de"", ""en"")"),"repeat")</f>
        <v>repeat</v>
      </c>
    </row>
    <row r="2977">
      <c r="A2977" s="1" t="s">
        <v>2977</v>
      </c>
      <c r="B2977" s="2" t="str">
        <f>IFERROR(__xludf.DUMMYFUNCTION("GOOGLETRANSLATE(A2977, ""de"", ""en"")"),"order")</f>
        <v>order</v>
      </c>
    </row>
    <row r="2978">
      <c r="A2978" s="1" t="s">
        <v>2978</v>
      </c>
      <c r="B2978" s="2" t="str">
        <f>IFERROR(__xludf.DUMMYFUNCTION("GOOGLETRANSLATE(A2978, ""de"", ""en"")"),"voluntarily")</f>
        <v>voluntarily</v>
      </c>
    </row>
    <row r="2979">
      <c r="A2979" s="1" t="s">
        <v>2979</v>
      </c>
      <c r="B2979" s="2" t="str">
        <f>IFERROR(__xludf.DUMMYFUNCTION("GOOGLETRANSLATE(A2979, ""de"", ""en"")"),"cole")</f>
        <v>cole</v>
      </c>
    </row>
    <row r="2980">
      <c r="A2980" s="1" t="s">
        <v>2980</v>
      </c>
      <c r="B2980" s="2" t="str">
        <f>IFERROR(__xludf.DUMMYFUNCTION("GOOGLETRANSLATE(A2980, ""de"", ""en"")"),"universe")</f>
        <v>universe</v>
      </c>
    </row>
    <row r="2981">
      <c r="A2981" s="1" t="s">
        <v>2981</v>
      </c>
      <c r="B2981" s="2" t="str">
        <f>IFERROR(__xludf.DUMMYFUNCTION("GOOGLETRANSLATE(A2981, ""de"", ""en"")"),"witness")</f>
        <v>witness</v>
      </c>
    </row>
    <row r="2982">
      <c r="A2982" s="1" t="s">
        <v>2982</v>
      </c>
      <c r="B2982" s="2" t="str">
        <f>IFERROR(__xludf.DUMMYFUNCTION("GOOGLETRANSLATE(A2982, ""de"", ""en"")"),"west")</f>
        <v>west</v>
      </c>
    </row>
    <row r="2983">
      <c r="A2983" s="1" t="s">
        <v>2983</v>
      </c>
      <c r="B2983" s="2" t="str">
        <f>IFERROR(__xludf.DUMMYFUNCTION("GOOGLETRANSLATE(A2983, ""de"", ""en"")"),"Marshall")</f>
        <v>Marshall</v>
      </c>
    </row>
    <row r="2984">
      <c r="A2984" s="1" t="s">
        <v>2984</v>
      </c>
      <c r="B2984" s="2" t="str">
        <f>IFERROR(__xludf.DUMMYFUNCTION("GOOGLETRANSLATE(A2984, ""de"", ""en"")"),"capable")</f>
        <v>capable</v>
      </c>
    </row>
    <row r="2985">
      <c r="A2985" s="1" t="s">
        <v>2985</v>
      </c>
      <c r="B2985" s="2" t="str">
        <f>IFERROR(__xludf.DUMMYFUNCTION("GOOGLETRANSLATE(A2985, ""de"", ""en"")"),"territory")</f>
        <v>territory</v>
      </c>
    </row>
    <row r="2986">
      <c r="A2986" s="1" t="s">
        <v>2986</v>
      </c>
      <c r="B2986" s="2" t="str">
        <f>IFERROR(__xludf.DUMMYFUNCTION("GOOGLETRANSLATE(A2986, ""de"", ""en"")"),"tires")</f>
        <v>tires</v>
      </c>
    </row>
    <row r="2987">
      <c r="A2987" s="1" t="s">
        <v>2987</v>
      </c>
      <c r="B2987" s="2" t="str">
        <f>IFERROR(__xludf.DUMMYFUNCTION("GOOGLETRANSLATE(A2987, ""de"", ""en"")"),"mum")</f>
        <v>mum</v>
      </c>
    </row>
    <row r="2988">
      <c r="A2988" s="1" t="s">
        <v>2988</v>
      </c>
      <c r="B2988" s="2" t="str">
        <f>IFERROR(__xludf.DUMMYFUNCTION("GOOGLETRANSLATE(A2988, ""de"", ""en"")"),"lead")</f>
        <v>lead</v>
      </c>
    </row>
    <row r="2989">
      <c r="A2989" s="1" t="s">
        <v>2989</v>
      </c>
      <c r="B2989" s="2" t="str">
        <f>IFERROR(__xludf.DUMMYFUNCTION("GOOGLETRANSLATE(A2989, ""de"", ""en"")"),"went through")</f>
        <v>went through</v>
      </c>
    </row>
    <row r="2990">
      <c r="A2990" s="1" t="s">
        <v>2990</v>
      </c>
      <c r="B2990" s="2" t="str">
        <f>IFERROR(__xludf.DUMMYFUNCTION("GOOGLETRANSLATE(A2990, ""de"", ""en"")"),"tests")</f>
        <v>tests</v>
      </c>
    </row>
    <row r="2991">
      <c r="A2991" s="1" t="s">
        <v>2991</v>
      </c>
      <c r="B2991" s="2" t="str">
        <f>IFERROR(__xludf.DUMMYFUNCTION("GOOGLETRANSLATE(A2991, ""de"", ""en"")"),"led")</f>
        <v>led</v>
      </c>
    </row>
    <row r="2992">
      <c r="A2992" s="1" t="s">
        <v>2992</v>
      </c>
      <c r="B2992" s="2" t="str">
        <f>IFERROR(__xludf.DUMMYFUNCTION("GOOGLETRANSLATE(A2992, ""de"", ""en"")"),"give")</f>
        <v>give</v>
      </c>
    </row>
    <row r="2993">
      <c r="A2993" s="1" t="s">
        <v>2993</v>
      </c>
      <c r="B2993" s="2" t="str">
        <f>IFERROR(__xludf.DUMMYFUNCTION("GOOGLETRANSLATE(A2993, ""de"", ""en"")"),"skull")</f>
        <v>skull</v>
      </c>
    </row>
    <row r="2994">
      <c r="A2994" s="1" t="s">
        <v>2994</v>
      </c>
      <c r="B2994" s="2" t="str">
        <f>IFERROR(__xludf.DUMMYFUNCTION("GOOGLETRANSLATE(A2994, ""de"", ""en"")"),"reality")</f>
        <v>reality</v>
      </c>
    </row>
    <row r="2995">
      <c r="A2995" s="1" t="s">
        <v>2995</v>
      </c>
      <c r="B2995" s="2" t="str">
        <f>IFERROR(__xludf.DUMMYFUNCTION("GOOGLETRANSLATE(A2995, ""de"", ""en"")"),"April")</f>
        <v>April</v>
      </c>
    </row>
    <row r="2996">
      <c r="A2996" s="1" t="s">
        <v>2996</v>
      </c>
      <c r="B2996" s="2" t="str">
        <f>IFERROR(__xludf.DUMMYFUNCTION("GOOGLETRANSLATE(A2996, ""de"", ""en"")"),"silly")</f>
        <v>silly</v>
      </c>
    </row>
    <row r="2997">
      <c r="A2997" s="1" t="s">
        <v>2997</v>
      </c>
      <c r="B2997" s="2" t="str">
        <f>IFERROR(__xludf.DUMMYFUNCTION("GOOGLETRANSLATE(A2997, ""de"", ""en"")"),"well-behaved")</f>
        <v>well-behaved</v>
      </c>
    </row>
    <row r="2998">
      <c r="A2998" s="1" t="s">
        <v>2998</v>
      </c>
      <c r="B2998" s="2" t="str">
        <f>IFERROR(__xludf.DUMMYFUNCTION("GOOGLETRANSLATE(A2998, ""de"", ""en"")"),"heavier")</f>
        <v>heavier</v>
      </c>
    </row>
    <row r="2999">
      <c r="A2999" s="1" t="s">
        <v>2999</v>
      </c>
      <c r="B2999" s="2" t="str">
        <f>IFERROR(__xludf.DUMMYFUNCTION("GOOGLETRANSLATE(A2999, ""de"", ""en"")"),"hunting")</f>
        <v>hunting</v>
      </c>
    </row>
    <row r="3000">
      <c r="A3000" s="1" t="s">
        <v>3000</v>
      </c>
      <c r="B3000" s="2" t="str">
        <f>IFERROR(__xludf.DUMMYFUNCTION("GOOGLETRANSLATE(A3000, ""de"", ""en"")"),"failed")</f>
        <v>failed</v>
      </c>
    </row>
    <row r="3001">
      <c r="A3001" s="1" t="s">
        <v>3001</v>
      </c>
      <c r="B3001" s="2" t="str">
        <f>IFERROR(__xludf.DUMMYFUNCTION("GOOGLETRANSLATE(A3001, ""de"", ""en"")"),"truck")</f>
        <v>truck</v>
      </c>
    </row>
    <row r="3002">
      <c r="A3002" s="1" t="s">
        <v>3002</v>
      </c>
      <c r="B3002" s="2" t="str">
        <f>IFERROR(__xludf.DUMMYFUNCTION("GOOGLETRANSLATE(A3002, ""de"", ""en"")"),"stuck")</f>
        <v>stuck</v>
      </c>
    </row>
    <row r="3003">
      <c r="A3003" s="1" t="s">
        <v>3003</v>
      </c>
      <c r="B3003" s="2" t="str">
        <f>IFERROR(__xludf.DUMMYFUNCTION("GOOGLETRANSLATE(A3003, ""de"", ""en"")"),"gifts")</f>
        <v>gifts</v>
      </c>
    </row>
    <row r="3004">
      <c r="A3004" s="1" t="s">
        <v>3004</v>
      </c>
      <c r="B3004" s="2" t="str">
        <f>IFERROR(__xludf.DUMMYFUNCTION("GOOGLETRANSLATE(A3004, ""de"", ""en"")"),"surely")</f>
        <v>surely</v>
      </c>
    </row>
    <row r="3005">
      <c r="A3005" s="1" t="s">
        <v>3005</v>
      </c>
      <c r="B3005" s="2" t="str">
        <f>IFERROR(__xludf.DUMMYFUNCTION("GOOGLETRANSLATE(A3005, ""de"", ""en"")"),"public")</f>
        <v>public</v>
      </c>
    </row>
    <row r="3006">
      <c r="A3006" s="1" t="s">
        <v>3006</v>
      </c>
      <c r="B3006" s="2" t="str">
        <f>IFERROR(__xludf.DUMMYFUNCTION("GOOGLETRANSLATE(A3006, ""de"", ""en"")"),"notices")</f>
        <v>notices</v>
      </c>
    </row>
    <row r="3007">
      <c r="A3007" s="1" t="s">
        <v>3007</v>
      </c>
      <c r="B3007" s="2" t="str">
        <f>IFERROR(__xludf.DUMMYFUNCTION("GOOGLETRANSLATE(A3007, ""de"", ""en"")"),"criminal")</f>
        <v>criminal</v>
      </c>
    </row>
    <row r="3008">
      <c r="A3008" s="1" t="s">
        <v>3008</v>
      </c>
      <c r="B3008" s="2" t="str">
        <f>IFERROR(__xludf.DUMMYFUNCTION("GOOGLETRANSLATE(A3008, ""de"", ""en"")"),"mask")</f>
        <v>mask</v>
      </c>
    </row>
    <row r="3009">
      <c r="A3009" s="1" t="s">
        <v>3009</v>
      </c>
      <c r="B3009" s="2" t="str">
        <f>IFERROR(__xludf.DUMMYFUNCTION("GOOGLETRANSLATE(A3009, ""de"", ""en"")"),"reinforcement")</f>
        <v>reinforcement</v>
      </c>
    </row>
    <row r="3010">
      <c r="A3010" s="1" t="s">
        <v>3010</v>
      </c>
      <c r="B3010" s="2" t="str">
        <f>IFERROR(__xludf.DUMMYFUNCTION("GOOGLETRANSLATE(A3010, ""de"", ""en"")"),"delivery")</f>
        <v>delivery</v>
      </c>
    </row>
    <row r="3011">
      <c r="A3011" s="1" t="s">
        <v>3011</v>
      </c>
      <c r="B3011" s="2" t="str">
        <f>IFERROR(__xludf.DUMMYFUNCTION("GOOGLETRANSLATE(A3011, ""de"", ""en"")"),"yeah")</f>
        <v>yeah</v>
      </c>
    </row>
    <row r="3012">
      <c r="A3012" s="1" t="s">
        <v>3012</v>
      </c>
      <c r="B3012" s="2" t="str">
        <f>IFERROR(__xludf.DUMMYFUNCTION("GOOGLETRANSLATE(A3012, ""de"", ""en"")"),"strength")</f>
        <v>strength</v>
      </c>
    </row>
    <row r="3013">
      <c r="A3013" s="1" t="s">
        <v>3013</v>
      </c>
      <c r="B3013" s="2" t="str">
        <f>IFERROR(__xludf.DUMMYFUNCTION("GOOGLETRANSLATE(A3013, ""de"", ""en"")"),"reasons")</f>
        <v>reasons</v>
      </c>
    </row>
    <row r="3014">
      <c r="A3014" s="1" t="s">
        <v>3014</v>
      </c>
      <c r="B3014" s="2" t="str">
        <f>IFERROR(__xludf.DUMMYFUNCTION("GOOGLETRANSLATE(A3014, ""de"", ""en"")"),"Gordon")</f>
        <v>Gordon</v>
      </c>
    </row>
    <row r="3015">
      <c r="A3015" s="1" t="s">
        <v>3015</v>
      </c>
      <c r="B3015" s="2" t="str">
        <f>IFERROR(__xludf.DUMMYFUNCTION("GOOGLETRANSLATE(A3015, ""de"", ""en"")"),"would")</f>
        <v>would</v>
      </c>
    </row>
    <row r="3016">
      <c r="A3016" s="1" t="s">
        <v>3016</v>
      </c>
      <c r="B3016" s="2" t="str">
        <f>IFERROR(__xludf.DUMMYFUNCTION("GOOGLETRANSLATE(A3016, ""de"", ""en"")"),"disappeared")</f>
        <v>disappeared</v>
      </c>
    </row>
    <row r="3017">
      <c r="A3017" s="1" t="s">
        <v>3017</v>
      </c>
      <c r="B3017" s="2" t="str">
        <f>IFERROR(__xludf.DUMMYFUNCTION("GOOGLETRANSLATE(A3017, ""de"", ""en"")"),"debt")</f>
        <v>debt</v>
      </c>
    </row>
    <row r="3018">
      <c r="A3018" s="1" t="s">
        <v>3018</v>
      </c>
      <c r="B3018" s="2" t="str">
        <f>IFERROR(__xludf.DUMMYFUNCTION("GOOGLETRANSLATE(A3018, ""de"", ""en"")"),"Russians")</f>
        <v>Russians</v>
      </c>
    </row>
    <row r="3019">
      <c r="A3019" s="1" t="s">
        <v>3019</v>
      </c>
      <c r="B3019" s="2" t="str">
        <f>IFERROR(__xludf.DUMMYFUNCTION("GOOGLETRANSLATE(A3019, ""de"", ""en"")"),"leader")</f>
        <v>leader</v>
      </c>
    </row>
    <row r="3020">
      <c r="A3020" s="1" t="s">
        <v>3020</v>
      </c>
      <c r="B3020" s="2" t="str">
        <f>IFERROR(__xludf.DUMMYFUNCTION("GOOGLETRANSLATE(A3020, ""de"", ""en"")"),"noticed")</f>
        <v>noticed</v>
      </c>
    </row>
    <row r="3021">
      <c r="A3021" s="1" t="s">
        <v>3021</v>
      </c>
      <c r="B3021" s="2" t="str">
        <f>IFERROR(__xludf.DUMMYFUNCTION("GOOGLETRANSLATE(A3021, ""de"", ""en"")"),"ciao")</f>
        <v>ciao</v>
      </c>
    </row>
    <row r="3022">
      <c r="A3022" s="1" t="s">
        <v>3022</v>
      </c>
      <c r="B3022" s="2" t="str">
        <f>IFERROR(__xludf.DUMMYFUNCTION("GOOGLETRANSLATE(A3022, ""de"", ""en"")"),"release")</f>
        <v>release</v>
      </c>
    </row>
    <row r="3023">
      <c r="A3023" s="1" t="s">
        <v>3023</v>
      </c>
      <c r="B3023" s="2" t="str">
        <f>IFERROR(__xludf.DUMMYFUNCTION("GOOGLETRANSLATE(A3023, ""de"", ""en"")"),"report")</f>
        <v>report</v>
      </c>
    </row>
    <row r="3024">
      <c r="A3024" s="1" t="s">
        <v>3024</v>
      </c>
      <c r="B3024" s="2" t="str">
        <f>IFERROR(__xludf.DUMMYFUNCTION("GOOGLETRANSLATE(A3024, ""de"", ""en"")"),"say goodbye")</f>
        <v>say goodbye</v>
      </c>
    </row>
    <row r="3025">
      <c r="A3025" s="1" t="s">
        <v>3025</v>
      </c>
      <c r="B3025" s="2" t="str">
        <f>IFERROR(__xludf.DUMMYFUNCTION("GOOGLETRANSLATE(A3025, ""de"", ""en"")"),"application")</f>
        <v>application</v>
      </c>
    </row>
    <row r="3026">
      <c r="A3026" s="1" t="s">
        <v>3026</v>
      </c>
      <c r="B3026" s="2" t="str">
        <f>IFERROR(__xludf.DUMMYFUNCTION("GOOGLETRANSLATE(A3026, ""de"", ""en"")"),"shoot")</f>
        <v>shoot</v>
      </c>
    </row>
    <row r="3027">
      <c r="A3027" s="1" t="s">
        <v>3027</v>
      </c>
      <c r="B3027" s="2" t="str">
        <f>IFERROR(__xludf.DUMMYFUNCTION("GOOGLETRANSLATE(A3027, ""de"", ""en"")"),"abby")</f>
        <v>abby</v>
      </c>
    </row>
    <row r="3028">
      <c r="A3028" s="1" t="s">
        <v>3028</v>
      </c>
      <c r="B3028" s="2" t="str">
        <f>IFERROR(__xludf.DUMMYFUNCTION("GOOGLETRANSLATE(A3028, ""de"", ""en"")"),"behavior")</f>
        <v>behavior</v>
      </c>
    </row>
    <row r="3029">
      <c r="A3029" s="1" t="s">
        <v>3029</v>
      </c>
      <c r="B3029" s="2" t="str">
        <f>IFERROR(__xludf.DUMMYFUNCTION("GOOGLETRANSLATE(A3029, ""de"", ""en"")"),"suspected")</f>
        <v>suspected</v>
      </c>
    </row>
    <row r="3030">
      <c r="A3030" s="1" t="s">
        <v>3030</v>
      </c>
      <c r="B3030" s="2" t="str">
        <f>IFERROR(__xludf.DUMMYFUNCTION("GOOGLETRANSLATE(A3030, ""de"", ""en"")"),"pretty")</f>
        <v>pretty</v>
      </c>
    </row>
    <row r="3031">
      <c r="A3031" s="1" t="s">
        <v>3031</v>
      </c>
      <c r="B3031" s="2" t="str">
        <f>IFERROR(__xludf.DUMMYFUNCTION("GOOGLETRANSLATE(A3031, ""de"", ""en"")"),"desk")</f>
        <v>desk</v>
      </c>
    </row>
    <row r="3032">
      <c r="A3032" s="1" t="s">
        <v>3032</v>
      </c>
      <c r="B3032" s="2" t="str">
        <f>IFERROR(__xludf.DUMMYFUNCTION("GOOGLETRANSLATE(A3032, ""de"", ""en"")"),"e")</f>
        <v>e</v>
      </c>
    </row>
    <row r="3033">
      <c r="A3033" s="1" t="s">
        <v>3033</v>
      </c>
      <c r="B3033" s="2" t="str">
        <f>IFERROR(__xludf.DUMMYFUNCTION("GOOGLETRANSLATE(A3033, ""de"", ""en"")"),"vampire")</f>
        <v>vampire</v>
      </c>
    </row>
    <row r="3034">
      <c r="A3034" s="1" t="s">
        <v>3034</v>
      </c>
      <c r="B3034" s="2" t="str">
        <f>IFERROR(__xludf.DUMMYFUNCTION("GOOGLETRANSLATE(A3034, ""de"", ""en"")"),"rory")</f>
        <v>rory</v>
      </c>
    </row>
    <row r="3035">
      <c r="A3035" s="1" t="s">
        <v>3035</v>
      </c>
      <c r="B3035" s="2" t="str">
        <f>IFERROR(__xludf.DUMMYFUNCTION("GOOGLETRANSLATE(A3035, ""de"", ""en"")"),"sample")</f>
        <v>sample</v>
      </c>
    </row>
    <row r="3036">
      <c r="A3036" s="1" t="s">
        <v>3036</v>
      </c>
      <c r="B3036" s="2" t="str">
        <f>IFERROR(__xludf.DUMMYFUNCTION("GOOGLETRANSLATE(A3036, ""de"", ""en"")"),"create")</f>
        <v>create</v>
      </c>
    </row>
    <row r="3037">
      <c r="A3037" s="1" t="s">
        <v>3037</v>
      </c>
      <c r="B3037" s="2" t="str">
        <f>IFERROR(__xludf.DUMMYFUNCTION("GOOGLETRANSLATE(A3037, ""de"", ""en"")"),"pardon")</f>
        <v>pardon</v>
      </c>
    </row>
    <row r="3038">
      <c r="A3038" s="1" t="s">
        <v>3038</v>
      </c>
      <c r="B3038" s="2" t="str">
        <f>IFERROR(__xludf.DUMMYFUNCTION("GOOGLETRANSLATE(A3038, ""de"", ""en"")"),"patient")</f>
        <v>patient</v>
      </c>
    </row>
    <row r="3039">
      <c r="A3039" s="1" t="s">
        <v>3039</v>
      </c>
      <c r="B3039" s="2" t="str">
        <f>IFERROR(__xludf.DUMMYFUNCTION("GOOGLETRANSLATE(A3039, ""de"", ""en"")"),"kissed")</f>
        <v>kissed</v>
      </c>
    </row>
    <row r="3040">
      <c r="A3040" s="1" t="s">
        <v>3040</v>
      </c>
      <c r="B3040" s="2" t="str">
        <f>IFERROR(__xludf.DUMMYFUNCTION("GOOGLETRANSLATE(A3040, ""de"", ""en"")"),"sounds")</f>
        <v>sounds</v>
      </c>
    </row>
    <row r="3041">
      <c r="A3041" s="1" t="s">
        <v>3041</v>
      </c>
      <c r="B3041" s="2" t="str">
        <f>IFERROR(__xludf.DUMMYFUNCTION("GOOGLETRANSLATE(A3041, ""de"", ""en"")"),"took")</f>
        <v>took</v>
      </c>
    </row>
    <row r="3042">
      <c r="A3042" s="1" t="s">
        <v>3042</v>
      </c>
      <c r="B3042" s="2" t="str">
        <f>IFERROR(__xludf.DUMMYFUNCTION("GOOGLETRANSLATE(A3042, ""de"", ""en"")"),"pays")</f>
        <v>pays</v>
      </c>
    </row>
    <row r="3043">
      <c r="A3043" s="1" t="s">
        <v>3043</v>
      </c>
      <c r="B3043" s="2" t="str">
        <f>IFERROR(__xludf.DUMMYFUNCTION("GOOGLETRANSLATE(A3043, ""de"", ""en"")"),"prepare")</f>
        <v>prepare</v>
      </c>
    </row>
    <row r="3044">
      <c r="A3044" s="1" t="s">
        <v>3044</v>
      </c>
      <c r="B3044" s="2" t="str">
        <f>IFERROR(__xludf.DUMMYFUNCTION("GOOGLETRANSLATE(A3044, ""de"", ""en"")"),"burned")</f>
        <v>burned</v>
      </c>
    </row>
    <row r="3045">
      <c r="A3045" s="1" t="s">
        <v>3045</v>
      </c>
      <c r="B3045" s="2" t="str">
        <f>IFERROR(__xludf.DUMMYFUNCTION("GOOGLETRANSLATE(A3045, ""de"", ""en"")"),"damn")</f>
        <v>damn</v>
      </c>
    </row>
    <row r="3046">
      <c r="A3046" s="1" t="s">
        <v>3046</v>
      </c>
      <c r="B3046" s="2" t="str">
        <f>IFERROR(__xludf.DUMMYFUNCTION("GOOGLETRANSLATE(A3046, ""de"", ""en"")"),"frankie")</f>
        <v>frankie</v>
      </c>
    </row>
    <row r="3047">
      <c r="A3047" s="1" t="s">
        <v>3047</v>
      </c>
      <c r="B3047" s="2" t="str">
        <f>IFERROR(__xludf.DUMMYFUNCTION("GOOGLETRANSLATE(A3047, ""de"", ""en"")"),"informed")</f>
        <v>informed</v>
      </c>
    </row>
    <row r="3048">
      <c r="A3048" s="1" t="s">
        <v>3048</v>
      </c>
      <c r="B3048" s="2" t="str">
        <f>IFERROR(__xludf.DUMMYFUNCTION("GOOGLETRANSLATE(A3048, ""de"", ""en"")"),"only one")</f>
        <v>only one</v>
      </c>
    </row>
    <row r="3049">
      <c r="A3049" s="1" t="s">
        <v>3049</v>
      </c>
      <c r="B3049" s="2" t="str">
        <f>IFERROR(__xludf.DUMMYFUNCTION("GOOGLETRANSLATE(A3049, ""de"", ""en"")"),"sugar")</f>
        <v>sugar</v>
      </c>
    </row>
    <row r="3050">
      <c r="A3050" s="1" t="s">
        <v>3050</v>
      </c>
      <c r="B3050" s="2" t="str">
        <f>IFERROR(__xludf.DUMMYFUNCTION("GOOGLETRANSLATE(A3050, ""de"", ""en"")"),"stinks")</f>
        <v>stinks</v>
      </c>
    </row>
    <row r="3051">
      <c r="A3051" s="1" t="s">
        <v>3051</v>
      </c>
      <c r="B3051" s="2" t="str">
        <f>IFERROR(__xludf.DUMMYFUNCTION("GOOGLETRANSLATE(A3051, ""de"", ""en"")"),"snaps")</f>
        <v>snaps</v>
      </c>
    </row>
    <row r="3052">
      <c r="A3052" s="1" t="s">
        <v>3052</v>
      </c>
      <c r="B3052" s="2" t="str">
        <f>IFERROR(__xludf.DUMMYFUNCTION("GOOGLETRANSLATE(A3052, ""de"", ""en"")"),"write")</f>
        <v>write</v>
      </c>
    </row>
    <row r="3053">
      <c r="A3053" s="1" t="s">
        <v>3053</v>
      </c>
      <c r="B3053" s="2" t="str">
        <f>IFERROR(__xludf.DUMMYFUNCTION("GOOGLETRANSLATE(A3053, ""de"", ""en"")"),"stood")</f>
        <v>stood</v>
      </c>
    </row>
    <row r="3054">
      <c r="A3054" s="1" t="s">
        <v>3054</v>
      </c>
      <c r="B3054" s="2" t="str">
        <f>IFERROR(__xludf.DUMMYFUNCTION("GOOGLETRANSLATE(A3054, ""de"", ""en"")"),"clothes")</f>
        <v>clothes</v>
      </c>
    </row>
    <row r="3055">
      <c r="A3055" s="1" t="s">
        <v>3055</v>
      </c>
      <c r="B3055" s="2" t="str">
        <f>IFERROR(__xludf.DUMMYFUNCTION("GOOGLETRANSLATE(A3055, ""de"", ""en"")"),"unhurt")</f>
        <v>unhurt</v>
      </c>
    </row>
    <row r="3056">
      <c r="A3056" s="1" t="s">
        <v>3056</v>
      </c>
      <c r="B3056" s="2" t="str">
        <f>IFERROR(__xludf.DUMMYFUNCTION("GOOGLETRANSLATE(A3056, ""de"", ""en"")"),"owner")</f>
        <v>owner</v>
      </c>
    </row>
    <row r="3057">
      <c r="A3057" s="1" t="s">
        <v>3057</v>
      </c>
      <c r="B3057" s="2" t="str">
        <f>IFERROR(__xludf.DUMMYFUNCTION("GOOGLETRANSLATE(A3057, ""de"", ""en"")"),"Marcus")</f>
        <v>Marcus</v>
      </c>
    </row>
    <row r="3058">
      <c r="A3058" s="1" t="s">
        <v>3058</v>
      </c>
      <c r="B3058" s="2" t="str">
        <f>IFERROR(__xludf.DUMMYFUNCTION("GOOGLETRANSLATE(A3058, ""de"", ""en"")"),"tess")</f>
        <v>tess</v>
      </c>
    </row>
    <row r="3059">
      <c r="A3059" s="1" t="s">
        <v>3059</v>
      </c>
      <c r="B3059" s="2" t="str">
        <f>IFERROR(__xludf.DUMMYFUNCTION("GOOGLETRANSLATE(A3059, ""de"", ""en"")"),"that's why")</f>
        <v>that's why</v>
      </c>
    </row>
    <row r="3060">
      <c r="A3060" s="1" t="s">
        <v>3060</v>
      </c>
      <c r="B3060" s="2" t="str">
        <f>IFERROR(__xludf.DUMMYFUNCTION("GOOGLETRANSLATE(A3060, ""de"", ""en"")"),"cup")</f>
        <v>cup</v>
      </c>
    </row>
    <row r="3061">
      <c r="A3061" s="1" t="s">
        <v>3061</v>
      </c>
      <c r="B3061" s="2" t="str">
        <f>IFERROR(__xludf.DUMMYFUNCTION("GOOGLETRANSLATE(A3061, ""de"", ""en"")"),"a notice")</f>
        <v>a notice</v>
      </c>
    </row>
    <row r="3062">
      <c r="A3062" s="1" t="s">
        <v>3062</v>
      </c>
      <c r="B3062" s="2" t="str">
        <f>IFERROR(__xludf.DUMMYFUNCTION("GOOGLETRANSLATE(A3062, ""de"", ""en"")"),"defense")</f>
        <v>defense</v>
      </c>
    </row>
    <row r="3063">
      <c r="A3063" s="1" t="s">
        <v>3063</v>
      </c>
      <c r="B3063" s="2" t="str">
        <f>IFERROR(__xludf.DUMMYFUNCTION("GOOGLETRANSLATE(A3063, ""de"", ""en"")"),"lie")</f>
        <v>lie</v>
      </c>
    </row>
    <row r="3064">
      <c r="A3064" s="1" t="s">
        <v>3064</v>
      </c>
      <c r="B3064" s="2" t="str">
        <f>IFERROR(__xludf.DUMMYFUNCTION("GOOGLETRANSLATE(A3064, ""de"", ""en"")"),"read")</f>
        <v>read</v>
      </c>
    </row>
    <row r="3065">
      <c r="A3065" s="1" t="s">
        <v>3065</v>
      </c>
      <c r="B3065" s="2" t="str">
        <f>IFERROR(__xludf.DUMMYFUNCTION("GOOGLETRANSLATE(A3065, ""de"", ""en"")"),"stomach")</f>
        <v>stomach</v>
      </c>
    </row>
    <row r="3066">
      <c r="A3066" s="1" t="s">
        <v>3066</v>
      </c>
      <c r="B3066" s="2" t="str">
        <f>IFERROR(__xludf.DUMMYFUNCTION("GOOGLETRANSLATE(A3066, ""de"", ""en"")"),"enterprise")</f>
        <v>enterprise</v>
      </c>
    </row>
    <row r="3067">
      <c r="A3067" s="1" t="s">
        <v>3067</v>
      </c>
      <c r="B3067" s="2" t="str">
        <f>IFERROR(__xludf.DUMMYFUNCTION("GOOGLETRANSLATE(A3067, ""de"", ""en"")"),"michelle")</f>
        <v>michelle</v>
      </c>
    </row>
    <row r="3068">
      <c r="A3068" s="1" t="s">
        <v>3068</v>
      </c>
      <c r="B3068" s="2" t="str">
        <f>IFERROR(__xludf.DUMMYFUNCTION("GOOGLETRANSLATE(A3068, ""de"", ""en"")"),"hurry up")</f>
        <v>hurry up</v>
      </c>
    </row>
    <row r="3069">
      <c r="A3069" s="1" t="s">
        <v>3069</v>
      </c>
      <c r="B3069" s="2" t="str">
        <f>IFERROR(__xludf.DUMMYFUNCTION("GOOGLETRANSLATE(A3069, ""de"", ""en"")"),"tunnel")</f>
        <v>tunnel</v>
      </c>
    </row>
    <row r="3070">
      <c r="A3070" s="1" t="s">
        <v>3070</v>
      </c>
      <c r="B3070" s="2" t="str">
        <f>IFERROR(__xludf.DUMMYFUNCTION("GOOGLETRANSLATE(A3070, ""de"", ""en"")"),"once")</f>
        <v>once</v>
      </c>
    </row>
    <row r="3071">
      <c r="A3071" s="1" t="s">
        <v>3071</v>
      </c>
      <c r="B3071" s="2" t="str">
        <f>IFERROR(__xludf.DUMMYFUNCTION("GOOGLETRANSLATE(A3071, ""de"", ""en"")"),"treatment")</f>
        <v>treatment</v>
      </c>
    </row>
    <row r="3072">
      <c r="A3072" s="1" t="s">
        <v>3072</v>
      </c>
      <c r="B3072" s="2" t="str">
        <f>IFERROR(__xludf.DUMMYFUNCTION("GOOGLETRANSLATE(A3072, ""de"", ""en"")"),"series")</f>
        <v>series</v>
      </c>
    </row>
    <row r="3073">
      <c r="A3073" s="1" t="s">
        <v>3073</v>
      </c>
      <c r="B3073" s="2" t="str">
        <f>IFERROR(__xludf.DUMMYFUNCTION("GOOGLETRANSLATE(A3073, ""de"", ""en"")"),"applause")</f>
        <v>applause</v>
      </c>
    </row>
    <row r="3074">
      <c r="A3074" s="1" t="s">
        <v>3074</v>
      </c>
      <c r="B3074" s="2" t="str">
        <f>IFERROR(__xludf.DUMMYFUNCTION("GOOGLETRANSLATE(A3074, ""de"", ""en"")"),"market")</f>
        <v>market</v>
      </c>
    </row>
    <row r="3075">
      <c r="A3075" s="1" t="s">
        <v>3075</v>
      </c>
      <c r="B3075" s="2" t="str">
        <f>IFERROR(__xludf.DUMMYFUNCTION("GOOGLETRANSLATE(A3075, ""de"", ""en"")"),"correctly")</f>
        <v>correctly</v>
      </c>
    </row>
    <row r="3076">
      <c r="A3076" s="1" t="s">
        <v>3076</v>
      </c>
      <c r="B3076" s="2" t="str">
        <f>IFERROR(__xludf.DUMMYFUNCTION("GOOGLETRANSLATE(A3076, ""de"", ""en"")"),"obsessed")</f>
        <v>obsessed</v>
      </c>
    </row>
    <row r="3077">
      <c r="A3077" s="1" t="s">
        <v>3077</v>
      </c>
      <c r="B3077" s="2" t="str">
        <f>IFERROR(__xludf.DUMMYFUNCTION("GOOGLETRANSLATE(A3077, ""de"", ""en"")"),"preserve")</f>
        <v>preserve</v>
      </c>
    </row>
    <row r="3078">
      <c r="A3078" s="1" t="s">
        <v>3078</v>
      </c>
      <c r="B3078" s="2" t="str">
        <f>IFERROR(__xludf.DUMMYFUNCTION("GOOGLETRANSLATE(A3078, ""de"", ""en"")"),"no.")</f>
        <v>no.</v>
      </c>
    </row>
    <row r="3079">
      <c r="A3079" s="1" t="s">
        <v>3079</v>
      </c>
      <c r="B3079" s="2" t="str">
        <f>IFERROR(__xludf.DUMMYFUNCTION("GOOGLETRANSLATE(A3079, ""de"", ""en"")"),"pack")</f>
        <v>pack</v>
      </c>
    </row>
    <row r="3080">
      <c r="A3080" s="1" t="s">
        <v>3080</v>
      </c>
      <c r="B3080" s="2" t="str">
        <f>IFERROR(__xludf.DUMMYFUNCTION("GOOGLETRANSLATE(A3080, ""de"", ""en"")"),"fought")</f>
        <v>fought</v>
      </c>
    </row>
    <row r="3081">
      <c r="A3081" s="1" t="s">
        <v>3081</v>
      </c>
      <c r="B3081" s="2" t="str">
        <f>IFERROR(__xludf.DUMMYFUNCTION("GOOGLETRANSLATE(A3081, ""de"", ""en"")"),"black")</f>
        <v>black</v>
      </c>
    </row>
    <row r="3082">
      <c r="A3082" s="1" t="s">
        <v>3082</v>
      </c>
      <c r="B3082" s="2" t="str">
        <f>IFERROR(__xludf.DUMMYFUNCTION("GOOGLETRANSLATE(A3082, ""de"", ""en"")"),"attack")</f>
        <v>attack</v>
      </c>
    </row>
    <row r="3083">
      <c r="A3083" s="1" t="s">
        <v>3083</v>
      </c>
      <c r="B3083" s="2" t="str">
        <f>IFERROR(__xludf.DUMMYFUNCTION("GOOGLETRANSLATE(A3083, ""de"", ""en"")"),"deeper")</f>
        <v>deeper</v>
      </c>
    </row>
    <row r="3084">
      <c r="A3084" s="1" t="s">
        <v>3084</v>
      </c>
      <c r="B3084" s="2" t="str">
        <f>IFERROR(__xludf.DUMMYFUNCTION("GOOGLETRANSLATE(A3084, ""de"", ""en"")"),"huh")</f>
        <v>huh</v>
      </c>
    </row>
    <row r="3085">
      <c r="A3085" s="1" t="s">
        <v>3085</v>
      </c>
      <c r="B3085" s="2" t="str">
        <f>IFERROR(__xludf.DUMMYFUNCTION("GOOGLETRANSLATE(A3085, ""de"", ""en"")"),"troops")</f>
        <v>troops</v>
      </c>
    </row>
    <row r="3086">
      <c r="A3086" s="1" t="s">
        <v>3086</v>
      </c>
      <c r="B3086" s="2" t="str">
        <f>IFERROR(__xludf.DUMMYFUNCTION("GOOGLETRANSLATE(A3086, ""de"", ""en"")"),"commander")</f>
        <v>commander</v>
      </c>
    </row>
    <row r="3087">
      <c r="A3087" s="1" t="s">
        <v>3087</v>
      </c>
      <c r="B3087" s="2" t="str">
        <f>IFERROR(__xludf.DUMMYFUNCTION("GOOGLETRANSLATE(A3087, ""de"", ""en"")"),"east")</f>
        <v>east</v>
      </c>
    </row>
    <row r="3088">
      <c r="A3088" s="1" t="s">
        <v>3088</v>
      </c>
      <c r="B3088" s="2" t="str">
        <f>IFERROR(__xludf.DUMMYFUNCTION("GOOGLETRANSLATE(A3088, ""de"", ""en"")"),"eleven")</f>
        <v>eleven</v>
      </c>
    </row>
    <row r="3089">
      <c r="A3089" s="1" t="s">
        <v>3089</v>
      </c>
      <c r="B3089" s="2" t="str">
        <f>IFERROR(__xludf.DUMMYFUNCTION("GOOGLETRANSLATE(A3089, ""de"", ""en"")"),"impressive")</f>
        <v>impressive</v>
      </c>
    </row>
    <row r="3090">
      <c r="A3090" s="1" t="s">
        <v>3090</v>
      </c>
      <c r="B3090" s="2" t="str">
        <f>IFERROR(__xludf.DUMMYFUNCTION("GOOGLETRANSLATE(A3090, ""de"", ""en"")"),"owns")</f>
        <v>owns</v>
      </c>
    </row>
    <row r="3091">
      <c r="A3091" s="1" t="s">
        <v>3091</v>
      </c>
      <c r="B3091" s="2" t="str">
        <f>IFERROR(__xludf.DUMMYFUNCTION("GOOGLETRANSLATE(A3091, ""de"", ""en"")"),"ho")</f>
        <v>ho</v>
      </c>
    </row>
    <row r="3092">
      <c r="A3092" s="1" t="s">
        <v>3092</v>
      </c>
      <c r="B3092" s="2" t="str">
        <f>IFERROR(__xludf.DUMMYFUNCTION("GOOGLETRANSLATE(A3092, ""de"", ""en"")"),"today")</f>
        <v>today</v>
      </c>
    </row>
    <row r="3093">
      <c r="A3093" s="1" t="s">
        <v>3093</v>
      </c>
      <c r="B3093" s="2" t="str">
        <f>IFERROR(__xludf.DUMMYFUNCTION("GOOGLETRANSLATE(A3093, ""de"", ""en"")"),"clever")</f>
        <v>clever</v>
      </c>
    </row>
    <row r="3094">
      <c r="A3094" s="1" t="s">
        <v>3094</v>
      </c>
      <c r="B3094" s="2" t="str">
        <f>IFERROR(__xludf.DUMMYFUNCTION("GOOGLETRANSLATE(A3094, ""de"", ""en"")"),"crazy")</f>
        <v>crazy</v>
      </c>
    </row>
    <row r="3095">
      <c r="A3095" s="1" t="s">
        <v>3095</v>
      </c>
      <c r="B3095" s="2" t="str">
        <f>IFERROR(__xludf.DUMMYFUNCTION("GOOGLETRANSLATE(A3095, ""de"", ""en"")"),"free")</f>
        <v>free</v>
      </c>
    </row>
    <row r="3096">
      <c r="A3096" s="1" t="s">
        <v>3096</v>
      </c>
      <c r="B3096" s="2" t="str">
        <f>IFERROR(__xludf.DUMMYFUNCTION("GOOGLETRANSLATE(A3096, ""de"", ""en"")"),"hate")</f>
        <v>hate</v>
      </c>
    </row>
    <row r="3097">
      <c r="A3097" s="1" t="s">
        <v>3097</v>
      </c>
      <c r="B3097" s="2" t="str">
        <f>IFERROR(__xludf.DUMMYFUNCTION("GOOGLETRANSLATE(A3097, ""de"", ""en"")"),"answer")</f>
        <v>answer</v>
      </c>
    </row>
    <row r="3098">
      <c r="A3098" s="1" t="s">
        <v>3098</v>
      </c>
      <c r="B3098" s="2" t="str">
        <f>IFERROR(__xludf.DUMMYFUNCTION("GOOGLETRANSLATE(A3098, ""de"", ""en"")"),"post")</f>
        <v>post</v>
      </c>
    </row>
    <row r="3099">
      <c r="A3099" s="1" t="s">
        <v>3099</v>
      </c>
      <c r="B3099" s="2" t="str">
        <f>IFERROR(__xludf.DUMMYFUNCTION("GOOGLETRANSLATE(A3099, ""de"", ""en"")"),"cut")</f>
        <v>cut</v>
      </c>
    </row>
    <row r="3100">
      <c r="A3100" s="1" t="s">
        <v>3100</v>
      </c>
      <c r="B3100" s="2" t="str">
        <f>IFERROR(__xludf.DUMMYFUNCTION("GOOGLETRANSLATE(A3100, ""de"", ""en"")"),"collect")</f>
        <v>collect</v>
      </c>
    </row>
    <row r="3101">
      <c r="A3101" s="1" t="s">
        <v>3101</v>
      </c>
      <c r="B3101" s="2" t="str">
        <f>IFERROR(__xludf.DUMMYFUNCTION("GOOGLETRANSLATE(A3101, ""de"", ""en"")"),"plugged in")</f>
        <v>plugged in</v>
      </c>
    </row>
    <row r="3102">
      <c r="A3102" s="1" t="s">
        <v>3102</v>
      </c>
      <c r="B3102" s="2" t="str">
        <f>IFERROR(__xludf.DUMMYFUNCTION("GOOGLETRANSLATE(A3102, ""de"", ""en"")"),"science")</f>
        <v>science</v>
      </c>
    </row>
    <row r="3103">
      <c r="A3103" s="1" t="s">
        <v>3103</v>
      </c>
      <c r="B3103" s="2" t="str">
        <f>IFERROR(__xludf.DUMMYFUNCTION("GOOGLETRANSLATE(A3103, ""de"", ""en"")"),"cause")</f>
        <v>cause</v>
      </c>
    </row>
    <row r="3104">
      <c r="A3104" s="1" t="s">
        <v>3104</v>
      </c>
      <c r="B3104" s="2" t="str">
        <f>IFERROR(__xludf.DUMMYFUNCTION("GOOGLETRANSLATE(A3104, ""de"", ""en"")"),"certainly")</f>
        <v>certainly</v>
      </c>
    </row>
    <row r="3105">
      <c r="A3105" s="1" t="s">
        <v>3105</v>
      </c>
      <c r="B3105" s="2" t="str">
        <f>IFERROR(__xludf.DUMMYFUNCTION("GOOGLETRANSLATE(A3105, ""de"", ""en"")"),"area")</f>
        <v>area</v>
      </c>
    </row>
    <row r="3106">
      <c r="A3106" s="1" t="s">
        <v>3106</v>
      </c>
      <c r="B3106" s="2" t="str">
        <f>IFERROR(__xludf.DUMMYFUNCTION("GOOGLETRANSLATE(A3106, ""de"", ""en"")"),"Catherine")</f>
        <v>Catherine</v>
      </c>
    </row>
    <row r="3107">
      <c r="A3107" s="1" t="s">
        <v>3107</v>
      </c>
      <c r="B3107" s="2" t="str">
        <f>IFERROR(__xludf.DUMMYFUNCTION("GOOGLETRANSLATE(A3107, ""de"", ""en"")"),"for my sake")</f>
        <v>for my sake</v>
      </c>
    </row>
    <row r="3108">
      <c r="A3108" s="1" t="s">
        <v>3108</v>
      </c>
      <c r="B3108" s="2" t="str">
        <f>IFERROR(__xludf.DUMMYFUNCTION("GOOGLETRANSLATE(A3108, ""de"", ""en"")"),"l.a.")</f>
        <v>l.a.</v>
      </c>
    </row>
    <row r="3109">
      <c r="A3109" s="1" t="s">
        <v>3109</v>
      </c>
      <c r="B3109" s="2" t="str">
        <f>IFERROR(__xludf.DUMMYFUNCTION("GOOGLETRANSLATE(A3109, ""de"", ""en"")"),"senator")</f>
        <v>senator</v>
      </c>
    </row>
    <row r="3110">
      <c r="A3110" s="1" t="s">
        <v>3110</v>
      </c>
      <c r="B3110" s="2" t="str">
        <f>IFERROR(__xludf.DUMMYFUNCTION("GOOGLETRANSLATE(A3110, ""de"", ""en"")"),"get undressed")</f>
        <v>get undressed</v>
      </c>
    </row>
    <row r="3111">
      <c r="A3111" s="1" t="s">
        <v>3111</v>
      </c>
      <c r="B3111" s="2" t="str">
        <f>IFERROR(__xludf.DUMMYFUNCTION("GOOGLETRANSLATE(A3111, ""de"", ""en"")"),"desperate")</f>
        <v>desperate</v>
      </c>
    </row>
    <row r="3112">
      <c r="A3112" s="1" t="s">
        <v>3112</v>
      </c>
      <c r="B3112" s="2" t="str">
        <f>IFERROR(__xludf.DUMMYFUNCTION("GOOGLETRANSLATE(A3112, ""de"", ""en"")"),"Jess")</f>
        <v>Jess</v>
      </c>
    </row>
    <row r="3113">
      <c r="A3113" s="1" t="s">
        <v>3113</v>
      </c>
      <c r="B3113" s="2" t="str">
        <f>IFERROR(__xludf.DUMMYFUNCTION("GOOGLETRANSLATE(A3113, ""de"", ""en"")"),"portion")</f>
        <v>portion</v>
      </c>
    </row>
    <row r="3114">
      <c r="A3114" s="1" t="s">
        <v>3114</v>
      </c>
      <c r="B3114" s="2" t="str">
        <f>IFERROR(__xludf.DUMMYFUNCTION("GOOGLETRANSLATE(A3114, ""de"", ""en"")"),"always")</f>
        <v>always</v>
      </c>
    </row>
    <row r="3115">
      <c r="A3115" s="1" t="s">
        <v>3115</v>
      </c>
      <c r="B3115" s="2" t="str">
        <f>IFERROR(__xludf.DUMMYFUNCTION("GOOGLETRANSLATE(A3115, ""de"", ""en"")"),"knight")</f>
        <v>knight</v>
      </c>
    </row>
    <row r="3116">
      <c r="A3116" s="1" t="s">
        <v>3116</v>
      </c>
      <c r="B3116" s="2" t="str">
        <f>IFERROR(__xludf.DUMMYFUNCTION("GOOGLETRANSLATE(A3116, ""de"", ""en"")"),"quarter")</f>
        <v>quarter</v>
      </c>
    </row>
    <row r="3117">
      <c r="A3117" s="1" t="s">
        <v>3117</v>
      </c>
      <c r="B3117" s="2" t="str">
        <f>IFERROR(__xludf.DUMMYFUNCTION("GOOGLETRANSLATE(A3117, ""de"", ""en"")"),"novel")</f>
        <v>novel</v>
      </c>
    </row>
    <row r="3118">
      <c r="A3118" s="1" t="s">
        <v>3118</v>
      </c>
      <c r="B3118" s="2" t="str">
        <f>IFERROR(__xludf.DUMMYFUNCTION("GOOGLETRANSLATE(A3118, ""de"", ""en"")"),"on time")</f>
        <v>on time</v>
      </c>
    </row>
    <row r="3119">
      <c r="A3119" s="1" t="s">
        <v>3119</v>
      </c>
      <c r="B3119" s="2" t="str">
        <f>IFERROR(__xludf.DUMMYFUNCTION("GOOGLETRANSLATE(A3119, ""de"", ""en"")"),"fulfill")</f>
        <v>fulfill</v>
      </c>
    </row>
    <row r="3120">
      <c r="A3120" s="1" t="s">
        <v>3120</v>
      </c>
      <c r="B3120" s="2" t="str">
        <f>IFERROR(__xludf.DUMMYFUNCTION("GOOGLETRANSLATE(A3120, ""de"", ""en"")"),"buys")</f>
        <v>buys</v>
      </c>
    </row>
    <row r="3121">
      <c r="A3121" s="1" t="s">
        <v>3121</v>
      </c>
      <c r="B3121" s="2" t="str">
        <f>IFERROR(__xludf.DUMMYFUNCTION("GOOGLETRANSLATE(A3121, ""de"", ""en"")"),"molly")</f>
        <v>molly</v>
      </c>
    </row>
    <row r="3122">
      <c r="A3122" s="1" t="s">
        <v>3122</v>
      </c>
      <c r="B3122" s="2" t="str">
        <f>IFERROR(__xludf.DUMMYFUNCTION("GOOGLETRANSLATE(A3122, ""de"", ""en"")"),"base")</f>
        <v>base</v>
      </c>
    </row>
    <row r="3123">
      <c r="A3123" s="1" t="s">
        <v>3123</v>
      </c>
      <c r="B3123" s="2" t="str">
        <f>IFERROR(__xludf.DUMMYFUNCTION("GOOGLETRANSLATE(A3123, ""de"", ""en"")"),"eva")</f>
        <v>eva</v>
      </c>
    </row>
    <row r="3124">
      <c r="A3124" s="1" t="s">
        <v>3124</v>
      </c>
      <c r="B3124" s="2" t="str">
        <f>IFERROR(__xludf.DUMMYFUNCTION("GOOGLETRANSLATE(A3124, ""de"", ""en"")"),"shock")</f>
        <v>shock</v>
      </c>
    </row>
    <row r="3125">
      <c r="A3125" s="1" t="s">
        <v>3125</v>
      </c>
      <c r="B3125" s="2" t="str">
        <f>IFERROR(__xludf.DUMMYFUNCTION("GOOGLETRANSLATE(A3125, ""de"", ""en"")"),"reception")</f>
        <v>reception</v>
      </c>
    </row>
    <row r="3126">
      <c r="A3126" s="1" t="s">
        <v>3126</v>
      </c>
      <c r="B3126" s="2" t="str">
        <f>IFERROR(__xludf.DUMMYFUNCTION("GOOGLETRANSLATE(A3126, ""de"", ""en"")"),"repeat")</f>
        <v>repeat</v>
      </c>
    </row>
    <row r="3127">
      <c r="A3127" s="1" t="s">
        <v>3127</v>
      </c>
      <c r="B3127" s="2" t="str">
        <f>IFERROR(__xludf.DUMMYFUNCTION("GOOGLETRANSLATE(A3127, ""de"", ""en"")"),"wishes")</f>
        <v>wishes</v>
      </c>
    </row>
    <row r="3128">
      <c r="A3128" s="1" t="s">
        <v>3128</v>
      </c>
      <c r="B3128" s="2" t="str">
        <f>IFERROR(__xludf.DUMMYFUNCTION("GOOGLETRANSLATE(A3128, ""de"", ""en"")"),"special")</f>
        <v>special</v>
      </c>
    </row>
    <row r="3129">
      <c r="A3129" s="1" t="s">
        <v>3129</v>
      </c>
      <c r="B3129" s="2" t="str">
        <f>IFERROR(__xludf.DUMMYFUNCTION("GOOGLETRANSLATE(A3129, ""de"", ""en"")"),"title")</f>
        <v>title</v>
      </c>
    </row>
    <row r="3130">
      <c r="A3130" s="1" t="s">
        <v>3130</v>
      </c>
      <c r="B3130" s="2" t="str">
        <f>IFERROR(__xludf.DUMMYFUNCTION("GOOGLETRANSLATE(A3130, ""de"", ""en"")"),"style")</f>
        <v>style</v>
      </c>
    </row>
    <row r="3131">
      <c r="A3131" s="1" t="s">
        <v>3131</v>
      </c>
      <c r="B3131" s="2" t="str">
        <f>IFERROR(__xludf.DUMMYFUNCTION("GOOGLETRANSLATE(A3131, ""de"", ""en"")"),"fingerprints")</f>
        <v>fingerprints</v>
      </c>
    </row>
    <row r="3132">
      <c r="A3132" s="1" t="s">
        <v>3132</v>
      </c>
      <c r="B3132" s="2" t="str">
        <f>IFERROR(__xludf.DUMMYFUNCTION("GOOGLETRANSLATE(A3132, ""de"", ""en"")"),"influence")</f>
        <v>influence</v>
      </c>
    </row>
    <row r="3133">
      <c r="A3133" s="1" t="s">
        <v>3133</v>
      </c>
      <c r="B3133" s="2" t="str">
        <f>IFERROR(__xludf.DUMMYFUNCTION("GOOGLETRANSLATE(A3133, ""de"", ""en"")"),"instructions")</f>
        <v>instructions</v>
      </c>
    </row>
    <row r="3134">
      <c r="A3134" s="1" t="s">
        <v>3134</v>
      </c>
      <c r="B3134" s="2" t="str">
        <f>IFERROR(__xludf.DUMMYFUNCTION("GOOGLETRANSLATE(A3134, ""de"", ""en"")"),"pay")</f>
        <v>pay</v>
      </c>
    </row>
    <row r="3135">
      <c r="A3135" s="1" t="s">
        <v>3135</v>
      </c>
      <c r="B3135" s="2" t="str">
        <f>IFERROR(__xludf.DUMMYFUNCTION("GOOGLETRANSLATE(A3135, ""de"", ""en"")"),"shield")</f>
        <v>shield</v>
      </c>
    </row>
    <row r="3136">
      <c r="A3136" s="1" t="s">
        <v>3136</v>
      </c>
      <c r="B3136" s="2" t="str">
        <f>IFERROR(__xludf.DUMMYFUNCTION("GOOGLETRANSLATE(A3136, ""de"", ""en"")"),"sacrifice")</f>
        <v>sacrifice</v>
      </c>
    </row>
    <row r="3137">
      <c r="A3137" s="1" t="s">
        <v>3137</v>
      </c>
      <c r="B3137" s="2" t="str">
        <f>IFERROR(__xludf.DUMMYFUNCTION("GOOGLETRANSLATE(A3137, ""de"", ""en"")"),"blueness")</f>
        <v>blueness</v>
      </c>
    </row>
    <row r="3138">
      <c r="A3138" s="1" t="s">
        <v>3138</v>
      </c>
      <c r="B3138" s="2" t="str">
        <f>IFERROR(__xludf.DUMMYFUNCTION("GOOGLETRANSLATE(A3138, ""de"", ""en"")"),"save")</f>
        <v>save</v>
      </c>
    </row>
    <row r="3139">
      <c r="A3139" s="1" t="s">
        <v>3139</v>
      </c>
      <c r="B3139" s="2" t="str">
        <f>IFERROR(__xludf.DUMMYFUNCTION("GOOGLETRANSLATE(A3139, ""de"", ""en"")"),"further")</f>
        <v>further</v>
      </c>
    </row>
    <row r="3140">
      <c r="A3140" s="1" t="s">
        <v>3140</v>
      </c>
      <c r="B3140" s="2" t="str">
        <f>IFERROR(__xludf.DUMMYFUNCTION("GOOGLETRANSLATE(A3140, ""de"", ""en"")"),"belong")</f>
        <v>belong</v>
      </c>
    </row>
    <row r="3141">
      <c r="A3141" s="1" t="s">
        <v>3141</v>
      </c>
      <c r="B3141" s="2" t="str">
        <f>IFERROR(__xludf.DUMMYFUNCTION("GOOGLETRANSLATE(A3141, ""de"", ""en"")"),"farm")</f>
        <v>farm</v>
      </c>
    </row>
    <row r="3142">
      <c r="A3142" s="1" t="s">
        <v>3142</v>
      </c>
      <c r="B3142" s="2" t="str">
        <f>IFERROR(__xludf.DUMMYFUNCTION("GOOGLETRANSLATE(A3142, ""de"", ""en"")"),"astonishing")</f>
        <v>astonishing</v>
      </c>
    </row>
    <row r="3143">
      <c r="A3143" s="1" t="s">
        <v>3143</v>
      </c>
      <c r="B3143" s="2" t="str">
        <f>IFERROR(__xludf.DUMMYFUNCTION("GOOGLETRANSLATE(A3143, ""de"", ""en"")"),"nonsense")</f>
        <v>nonsense</v>
      </c>
    </row>
    <row r="3144">
      <c r="A3144" s="1" t="s">
        <v>3144</v>
      </c>
      <c r="B3144" s="2" t="str">
        <f>IFERROR(__xludf.DUMMYFUNCTION("GOOGLETRANSLATE(A3144, ""de"", ""en"")"),"rent")</f>
        <v>rent</v>
      </c>
    </row>
    <row r="3145">
      <c r="A3145" s="1" t="s">
        <v>3145</v>
      </c>
      <c r="B3145" s="2" t="str">
        <f>IFERROR(__xludf.DUMMYFUNCTION("GOOGLETRANSLATE(A3145, ""de"", ""en"")"),"transformed")</f>
        <v>transformed</v>
      </c>
    </row>
    <row r="3146">
      <c r="A3146" s="1" t="s">
        <v>3146</v>
      </c>
      <c r="B3146" s="2" t="str">
        <f>IFERROR(__xludf.DUMMYFUNCTION("GOOGLETRANSLATE(A3146, ""de"", ""en"")"),"next to it")</f>
        <v>next to it</v>
      </c>
    </row>
    <row r="3147">
      <c r="A3147" s="1" t="s">
        <v>3147</v>
      </c>
      <c r="B3147" s="2" t="str">
        <f>IFERROR(__xludf.DUMMYFUNCTION("GOOGLETRANSLATE(A3147, ""de"", ""en"")"),"Klaus")</f>
        <v>Klaus</v>
      </c>
    </row>
    <row r="3148">
      <c r="A3148" s="1" t="s">
        <v>3148</v>
      </c>
      <c r="B3148" s="2" t="str">
        <f>IFERROR(__xludf.DUMMYFUNCTION("GOOGLETRANSLATE(A3148, ""de"", ""en"")"),"prepare")</f>
        <v>prepare</v>
      </c>
    </row>
    <row r="3149">
      <c r="A3149" s="1" t="s">
        <v>3149</v>
      </c>
      <c r="B3149" s="2" t="str">
        <f>IFERROR(__xludf.DUMMYFUNCTION("GOOGLETRANSLATE(A3149, ""de"", ""en"")"),"desert")</f>
        <v>desert</v>
      </c>
    </row>
    <row r="3150">
      <c r="A3150" s="1" t="s">
        <v>3150</v>
      </c>
      <c r="B3150" s="2" t="str">
        <f>IFERROR(__xludf.DUMMYFUNCTION("GOOGLETRANSLATE(A3150, ""de"", ""en"")"),"check")</f>
        <v>check</v>
      </c>
    </row>
    <row r="3151">
      <c r="A3151" s="1" t="s">
        <v>3151</v>
      </c>
      <c r="B3151" s="2" t="str">
        <f>IFERROR(__xludf.DUMMYFUNCTION("GOOGLETRANSLATE(A3151, ""de"", ""en"")"),"gabe")</f>
        <v>gabe</v>
      </c>
    </row>
    <row r="3152">
      <c r="A3152" s="1" t="s">
        <v>3152</v>
      </c>
      <c r="B3152" s="2" t="str">
        <f>IFERROR(__xludf.DUMMYFUNCTION("GOOGLETRANSLATE(A3152, ""de"", ""en"")"),"hundred")</f>
        <v>hundred</v>
      </c>
    </row>
    <row r="3153">
      <c r="A3153" s="1" t="s">
        <v>3153</v>
      </c>
      <c r="B3153" s="2" t="str">
        <f>IFERROR(__xludf.DUMMYFUNCTION("GOOGLETRANSLATE(A3153, ""de"", ""en"")"),"appear")</f>
        <v>appear</v>
      </c>
    </row>
    <row r="3154">
      <c r="A3154" s="1" t="s">
        <v>3154</v>
      </c>
      <c r="B3154" s="2" t="str">
        <f>IFERROR(__xludf.DUMMYFUNCTION("GOOGLETRANSLATE(A3154, ""de"", ""en"")"),"let")</f>
        <v>let</v>
      </c>
    </row>
    <row r="3155">
      <c r="A3155" s="1" t="s">
        <v>3155</v>
      </c>
      <c r="B3155" s="2" t="str">
        <f>IFERROR(__xludf.DUMMYFUNCTION("GOOGLETRANSLATE(A3155, ""de"", ""en"")"),"defeat")</f>
        <v>defeat</v>
      </c>
    </row>
    <row r="3156">
      <c r="A3156" s="1" t="s">
        <v>3156</v>
      </c>
      <c r="B3156" s="2" t="str">
        <f>IFERROR(__xludf.DUMMYFUNCTION("GOOGLETRANSLATE(A3156, ""de"", ""en"")"),"fuck off")</f>
        <v>fuck off</v>
      </c>
    </row>
    <row r="3157">
      <c r="A3157" s="1" t="s">
        <v>3157</v>
      </c>
      <c r="B3157" s="2" t="str">
        <f>IFERROR(__xludf.DUMMYFUNCTION("GOOGLETRANSLATE(A3157, ""de"", ""en"")"),"circumstances")</f>
        <v>circumstances</v>
      </c>
    </row>
    <row r="3158">
      <c r="A3158" s="1" t="s">
        <v>3158</v>
      </c>
      <c r="B3158" s="2" t="str">
        <f>IFERROR(__xludf.DUMMYFUNCTION("GOOGLETRANSLATE(A3158, ""de"", ""en"")"),"matter")</f>
        <v>matter</v>
      </c>
    </row>
    <row r="3159">
      <c r="A3159" s="1" t="s">
        <v>3159</v>
      </c>
      <c r="B3159" s="2" t="str">
        <f>IFERROR(__xludf.DUMMYFUNCTION("GOOGLETRANSLATE(A3159, ""de"", ""en"")"),"country")</f>
        <v>country</v>
      </c>
    </row>
    <row r="3160">
      <c r="A3160" s="1" t="s">
        <v>3160</v>
      </c>
      <c r="B3160" s="2" t="str">
        <f>IFERROR(__xludf.DUMMYFUNCTION("GOOGLETRANSLATE(A3160, ""de"", ""en"")"),"Tuesday")</f>
        <v>Tuesday</v>
      </c>
    </row>
    <row r="3161">
      <c r="A3161" s="1" t="s">
        <v>3161</v>
      </c>
      <c r="B3161" s="2" t="str">
        <f>IFERROR(__xludf.DUMMYFUNCTION("GOOGLETRANSLATE(A3161, ""de"", ""en"")"),"the following")</f>
        <v>the following</v>
      </c>
    </row>
    <row r="3162">
      <c r="A3162" s="1" t="s">
        <v>3162</v>
      </c>
      <c r="B3162" s="2" t="str">
        <f>IFERROR(__xludf.DUMMYFUNCTION("GOOGLETRANSLATE(A3162, ""de"", ""en"")"),"fear")</f>
        <v>fear</v>
      </c>
    </row>
    <row r="3163">
      <c r="A3163" s="1" t="s">
        <v>3163</v>
      </c>
      <c r="B3163" s="2" t="str">
        <f>IFERROR(__xludf.DUMMYFUNCTION("GOOGLETRANSLATE(A3163, ""de"", ""en"")"),"murder")</f>
        <v>murder</v>
      </c>
    </row>
    <row r="3164">
      <c r="A3164" s="1" t="s">
        <v>3164</v>
      </c>
      <c r="B3164" s="2" t="str">
        <f>IFERROR(__xludf.DUMMYFUNCTION("GOOGLETRANSLATE(A3164, ""de"", ""en"")"),"call")</f>
        <v>call</v>
      </c>
    </row>
    <row r="3165">
      <c r="A3165" s="1" t="s">
        <v>3165</v>
      </c>
      <c r="B3165" s="2" t="str">
        <f>IFERROR(__xludf.DUMMYFUNCTION("GOOGLETRANSLATE(A3165, ""de"", ""en"")"),"employed")</f>
        <v>employed</v>
      </c>
    </row>
    <row r="3166">
      <c r="A3166" s="1" t="s">
        <v>3166</v>
      </c>
      <c r="B3166" s="2" t="str">
        <f>IFERROR(__xludf.DUMMYFUNCTION("GOOGLETRANSLATE(A3166, ""de"", ""en"")"),"training")</f>
        <v>training</v>
      </c>
    </row>
    <row r="3167">
      <c r="A3167" s="1" t="s">
        <v>3167</v>
      </c>
      <c r="B3167" s="2" t="str">
        <f>IFERROR(__xludf.DUMMYFUNCTION("GOOGLETRANSLATE(A3167, ""de"", ""en"")"),"appeared")</f>
        <v>appeared</v>
      </c>
    </row>
    <row r="3168">
      <c r="A3168" s="1" t="s">
        <v>3168</v>
      </c>
      <c r="B3168" s="2" t="str">
        <f>IFERROR(__xludf.DUMMYFUNCTION("GOOGLETRANSLATE(A3168, ""de"", ""en"")"),"find out")</f>
        <v>find out</v>
      </c>
    </row>
    <row r="3169">
      <c r="A3169" s="1" t="s">
        <v>3169</v>
      </c>
      <c r="B3169" s="2" t="str">
        <f>IFERROR(__xludf.DUMMYFUNCTION("GOOGLETRANSLATE(A3169, ""de"", ""en"")"),"groans")</f>
        <v>groans</v>
      </c>
    </row>
    <row r="3170">
      <c r="A3170" s="1" t="s">
        <v>3170</v>
      </c>
      <c r="B3170" s="2" t="str">
        <f>IFERROR(__xludf.DUMMYFUNCTION("GOOGLETRANSLATE(A3170, ""de"", ""en"")"),"come out")</f>
        <v>come out</v>
      </c>
    </row>
    <row r="3171">
      <c r="A3171" s="1" t="s">
        <v>3171</v>
      </c>
      <c r="B3171" s="2" t="str">
        <f>IFERROR(__xludf.DUMMYFUNCTION("GOOGLETRANSLATE(A3171, ""de"", ""en"")"),"planet")</f>
        <v>planet</v>
      </c>
    </row>
    <row r="3172">
      <c r="A3172" s="1" t="s">
        <v>3172</v>
      </c>
      <c r="B3172" s="2" t="str">
        <f>IFERROR(__xludf.DUMMYFUNCTION("GOOGLETRANSLATE(A3172, ""de"", ""en"")"),"soup")</f>
        <v>soup</v>
      </c>
    </row>
    <row r="3173">
      <c r="A3173" s="1" t="s">
        <v>3173</v>
      </c>
      <c r="B3173" s="2" t="str">
        <f>IFERROR(__xludf.DUMMYFUNCTION("GOOGLETRANSLATE(A3173, ""de"", ""en"")"),"catch")</f>
        <v>catch</v>
      </c>
    </row>
    <row r="3174">
      <c r="A3174" s="1" t="s">
        <v>3174</v>
      </c>
      <c r="B3174" s="2" t="str">
        <f>IFERROR(__xludf.DUMMYFUNCTION("GOOGLETRANSLATE(A3174, ""de"", ""en"")"),"seat")</f>
        <v>seat</v>
      </c>
    </row>
    <row r="3175">
      <c r="A3175" s="1" t="s">
        <v>3175</v>
      </c>
      <c r="B3175" s="2" t="str">
        <f>IFERROR(__xludf.DUMMYFUNCTION("GOOGLETRANSLATE(A3175, ""de"", ""en"")"),"johnson")</f>
        <v>johnson</v>
      </c>
    </row>
    <row r="3176">
      <c r="A3176" s="1" t="s">
        <v>3176</v>
      </c>
      <c r="B3176" s="2" t="str">
        <f>IFERROR(__xludf.DUMMYFUNCTION("GOOGLETRANSLATE(A3176, ""de"", ""en"")"),"advantage")</f>
        <v>advantage</v>
      </c>
    </row>
    <row r="3177">
      <c r="A3177" s="1" t="s">
        <v>3177</v>
      </c>
      <c r="B3177" s="2" t="str">
        <f>IFERROR(__xludf.DUMMYFUNCTION("GOOGLETRANSLATE(A3177, ""de"", ""en"")"),"for")</f>
        <v>for</v>
      </c>
    </row>
    <row r="3178">
      <c r="A3178" s="1" t="s">
        <v>3178</v>
      </c>
      <c r="B3178" s="2" t="str">
        <f>IFERROR(__xludf.DUMMYFUNCTION("GOOGLETRANSLATE(A3178, ""de"", ""en"")"),"pink")</f>
        <v>pink</v>
      </c>
    </row>
    <row r="3179">
      <c r="A3179" s="1" t="s">
        <v>3179</v>
      </c>
      <c r="B3179" s="2" t="str">
        <f>IFERROR(__xludf.DUMMYFUNCTION("GOOGLETRANSLATE(A3179, ""de"", ""en"")"),"tour")</f>
        <v>tour</v>
      </c>
    </row>
    <row r="3180">
      <c r="A3180" s="1" t="s">
        <v>3180</v>
      </c>
      <c r="B3180" s="2" t="str">
        <f>IFERROR(__xludf.DUMMYFUNCTION("GOOGLETRANSLATE(A3180, ""de"", ""en"")"),"American")</f>
        <v>American</v>
      </c>
    </row>
    <row r="3181">
      <c r="A3181" s="1" t="s">
        <v>3181</v>
      </c>
      <c r="B3181" s="2" t="str">
        <f>IFERROR(__xludf.DUMMYFUNCTION("GOOGLETRANSLATE(A3181, ""de"", ""en"")"),"most beautiful")</f>
        <v>most beautiful</v>
      </c>
    </row>
    <row r="3182">
      <c r="A3182" s="1" t="s">
        <v>3182</v>
      </c>
      <c r="B3182" s="2" t="str">
        <f>IFERROR(__xludf.DUMMYFUNCTION("GOOGLETRANSLATE(A3182, ""de"", ""en"")"),"you call")</f>
        <v>you call</v>
      </c>
    </row>
    <row r="3183">
      <c r="A3183" s="1" t="s">
        <v>3183</v>
      </c>
      <c r="B3183" s="2" t="str">
        <f>IFERROR(__xludf.DUMMYFUNCTION("GOOGLETRANSLATE(A3183, ""de"", ""en"")"),"touched")</f>
        <v>touched</v>
      </c>
    </row>
    <row r="3184">
      <c r="A3184" s="1" t="s">
        <v>3184</v>
      </c>
      <c r="B3184" s="2" t="str">
        <f>IFERROR(__xludf.DUMMYFUNCTION("GOOGLETRANSLATE(A3184, ""de"", ""en"")"),"French")</f>
        <v>French</v>
      </c>
    </row>
    <row r="3185">
      <c r="A3185" s="1" t="s">
        <v>3185</v>
      </c>
      <c r="B3185" s="2" t="str">
        <f>IFERROR(__xludf.DUMMYFUNCTION("GOOGLETRANSLATE(A3185, ""de"", ""en"")"),"governor")</f>
        <v>governor</v>
      </c>
    </row>
    <row r="3186">
      <c r="A3186" s="1" t="s">
        <v>3186</v>
      </c>
      <c r="B3186" s="2" t="str">
        <f>IFERROR(__xludf.DUMMYFUNCTION("GOOGLETRANSLATE(A3186, ""de"", ""en"")"),"angeles")</f>
        <v>angeles</v>
      </c>
    </row>
    <row r="3187">
      <c r="A3187" s="1" t="s">
        <v>3187</v>
      </c>
      <c r="B3187" s="2" t="str">
        <f>IFERROR(__xludf.DUMMYFUNCTION("GOOGLETRANSLATE(A3187, ""de"", ""en"")"),"buy")</f>
        <v>buy</v>
      </c>
    </row>
    <row r="3188">
      <c r="A3188" s="1" t="s">
        <v>3188</v>
      </c>
      <c r="B3188" s="2" t="str">
        <f>IFERROR(__xludf.DUMMYFUNCTION("GOOGLETRANSLATE(A3188, ""de"", ""en"")"),"star")</f>
        <v>star</v>
      </c>
    </row>
    <row r="3189">
      <c r="A3189" s="1" t="s">
        <v>3189</v>
      </c>
      <c r="B3189" s="2" t="str">
        <f>IFERROR(__xludf.DUMMYFUNCTION("GOOGLETRANSLATE(A3189, ""de"", ""en"")"),"memory")</f>
        <v>memory</v>
      </c>
    </row>
    <row r="3190">
      <c r="A3190" s="1" t="s">
        <v>3190</v>
      </c>
      <c r="B3190" s="2" t="str">
        <f>IFERROR(__xludf.DUMMYFUNCTION("GOOGLETRANSLATE(A3190, ""de"", ""en"")"),"reality")</f>
        <v>reality</v>
      </c>
    </row>
    <row r="3191">
      <c r="A3191" s="1" t="s">
        <v>3191</v>
      </c>
      <c r="B3191" s="2" t="str">
        <f>IFERROR(__xludf.DUMMYFUNCTION("GOOGLETRANSLATE(A3191, ""de"", ""en"")"),"punished")</f>
        <v>punished</v>
      </c>
    </row>
    <row r="3192">
      <c r="A3192" s="1" t="s">
        <v>3192</v>
      </c>
      <c r="B3192" s="2" t="str">
        <f>IFERROR(__xludf.DUMMYFUNCTION("GOOGLETRANSLATE(A3192, ""de"", ""en"")"),"circle")</f>
        <v>circle</v>
      </c>
    </row>
    <row r="3193">
      <c r="A3193" s="1" t="s">
        <v>3193</v>
      </c>
      <c r="B3193" s="2" t="str">
        <f>IFERROR(__xludf.DUMMYFUNCTION("GOOGLETRANSLATE(A3193, ""de"", ""en"")"),"pure")</f>
        <v>pure</v>
      </c>
    </row>
    <row r="3194">
      <c r="A3194" s="1" t="s">
        <v>3194</v>
      </c>
      <c r="B3194" s="2" t="str">
        <f>IFERROR(__xludf.DUMMYFUNCTION("GOOGLETRANSLATE(A3194, ""de"", ""en"")"),"Edward")</f>
        <v>Edward</v>
      </c>
    </row>
    <row r="3195">
      <c r="A3195" s="1" t="s">
        <v>3195</v>
      </c>
      <c r="B3195" s="2" t="str">
        <f>IFERROR(__xludf.DUMMYFUNCTION("GOOGLETRANSLATE(A3195, ""de"", ""en"")"),"bad")</f>
        <v>bad</v>
      </c>
    </row>
    <row r="3196">
      <c r="A3196" s="1" t="s">
        <v>3196</v>
      </c>
      <c r="B3196" s="2" t="str">
        <f>IFERROR(__xludf.DUMMYFUNCTION("GOOGLETRANSLATE(A3196, ""de"", ""en"")"),"consist")</f>
        <v>consist</v>
      </c>
    </row>
    <row r="3197">
      <c r="A3197" s="1" t="s">
        <v>3197</v>
      </c>
      <c r="B3197" s="2" t="str">
        <f>IFERROR(__xludf.DUMMYFUNCTION("GOOGLETRANSLATE(A3197, ""de"", ""en"")"),"Jeannie")</f>
        <v>Jeannie</v>
      </c>
    </row>
    <row r="3198">
      <c r="A3198" s="1" t="s">
        <v>3198</v>
      </c>
      <c r="B3198" s="2" t="str">
        <f>IFERROR(__xludf.DUMMYFUNCTION("GOOGLETRANSLATE(A3198, ""de"", ""en"")"),"appears")</f>
        <v>appears</v>
      </c>
    </row>
    <row r="3199">
      <c r="A3199" s="1" t="s">
        <v>3199</v>
      </c>
      <c r="B3199" s="2" t="str">
        <f>IFERROR(__xludf.DUMMYFUNCTION("GOOGLETRANSLATE(A3199, ""de"", ""en"")"),"prosecutor")</f>
        <v>prosecutor</v>
      </c>
    </row>
    <row r="3200">
      <c r="A3200" s="1" t="s">
        <v>3200</v>
      </c>
      <c r="B3200" s="2" t="str">
        <f>IFERROR(__xludf.DUMMYFUNCTION("GOOGLETRANSLATE(A3200, ""de"", ""en"")"),"eternity")</f>
        <v>eternity</v>
      </c>
    </row>
    <row r="3201">
      <c r="A3201" s="1" t="s">
        <v>3201</v>
      </c>
      <c r="B3201" s="2" t="str">
        <f>IFERROR(__xludf.DUMMYFUNCTION("GOOGLETRANSLATE(A3201, ""de"", ""en"")"),"disturbance")</f>
        <v>disturbance</v>
      </c>
    </row>
    <row r="3202">
      <c r="A3202" s="1" t="s">
        <v>3202</v>
      </c>
      <c r="B3202" s="2" t="str">
        <f>IFERROR(__xludf.DUMMYFUNCTION("GOOGLETRANSLATE(A3202, ""de"", ""en"")"),"ugly")</f>
        <v>ugly</v>
      </c>
    </row>
    <row r="3203">
      <c r="A3203" s="1" t="s">
        <v>3203</v>
      </c>
      <c r="B3203" s="2" t="str">
        <f>IFERROR(__xludf.DUMMYFUNCTION("GOOGLETRANSLATE(A3203, ""de"", ""en"")"),"running")</f>
        <v>running</v>
      </c>
    </row>
    <row r="3204">
      <c r="A3204" s="1" t="s">
        <v>3204</v>
      </c>
      <c r="B3204" s="2" t="str">
        <f>IFERROR(__xludf.DUMMYFUNCTION("GOOGLETRANSLATE(A3204, ""de"", ""en"")"),"dressed")</f>
        <v>dressed</v>
      </c>
    </row>
    <row r="3205">
      <c r="A3205" s="1" t="s">
        <v>3205</v>
      </c>
      <c r="B3205" s="2" t="str">
        <f>IFERROR(__xludf.DUMMYFUNCTION("GOOGLETRANSLATE(A3205, ""de"", ""en"")"),"senor")</f>
        <v>senor</v>
      </c>
    </row>
    <row r="3206">
      <c r="A3206" s="1" t="s">
        <v>3206</v>
      </c>
      <c r="B3206" s="2" t="str">
        <f>IFERROR(__xludf.DUMMYFUNCTION("GOOGLETRANSLATE(A3206, ""de"", ""en"")"),"helped")</f>
        <v>helped</v>
      </c>
    </row>
    <row r="3207">
      <c r="A3207" s="1" t="s">
        <v>3207</v>
      </c>
      <c r="B3207" s="2" t="str">
        <f>IFERROR(__xludf.DUMMYFUNCTION("GOOGLETRANSLATE(A3207, ""de"", ""en"")"),"should")</f>
        <v>should</v>
      </c>
    </row>
    <row r="3208">
      <c r="A3208" s="1" t="s">
        <v>3208</v>
      </c>
      <c r="B3208" s="2" t="str">
        <f>IFERROR(__xludf.DUMMYFUNCTION("GOOGLETRANSLATE(A3208, ""de"", ""en"")"),"martha")</f>
        <v>martha</v>
      </c>
    </row>
    <row r="3209">
      <c r="A3209" s="1" t="s">
        <v>3209</v>
      </c>
      <c r="B3209" s="2" t="str">
        <f>IFERROR(__xludf.DUMMYFUNCTION("GOOGLETRANSLATE(A3209, ""de"", ""en"")"),"tiger")</f>
        <v>tiger</v>
      </c>
    </row>
    <row r="3210">
      <c r="A3210" s="1" t="s">
        <v>3210</v>
      </c>
      <c r="B3210" s="2" t="str">
        <f>IFERROR(__xludf.DUMMYFUNCTION("GOOGLETRANSLATE(A3210, ""de"", ""en"")"),"cigarette")</f>
        <v>cigarette</v>
      </c>
    </row>
    <row r="3211">
      <c r="A3211" s="1" t="s">
        <v>3211</v>
      </c>
      <c r="B3211" s="2" t="str">
        <f>IFERROR(__xludf.DUMMYFUNCTION("GOOGLETRANSLATE(A3211, ""de"", ""en"")"),"brave")</f>
        <v>brave</v>
      </c>
    </row>
    <row r="3212">
      <c r="A3212" s="1" t="s">
        <v>3212</v>
      </c>
      <c r="B3212" s="2" t="str">
        <f>IFERROR(__xludf.DUMMYFUNCTION("GOOGLETRANSLATE(A3212, ""de"", ""en"")"),"relax")</f>
        <v>relax</v>
      </c>
    </row>
    <row r="3213">
      <c r="A3213" s="1" t="s">
        <v>3213</v>
      </c>
      <c r="B3213" s="2" t="str">
        <f>IFERROR(__xludf.DUMMYFUNCTION("GOOGLETRANSLATE(A3213, ""de"", ""en"")"),"andrew")</f>
        <v>andrew</v>
      </c>
    </row>
    <row r="3214">
      <c r="A3214" s="1" t="s">
        <v>3214</v>
      </c>
      <c r="B3214" s="2" t="str">
        <f>IFERROR(__xludf.DUMMYFUNCTION("GOOGLETRANSLATE(A3214, ""de"", ""en"")"),"left")</f>
        <v>left</v>
      </c>
    </row>
    <row r="3215">
      <c r="A3215" s="1" t="s">
        <v>3215</v>
      </c>
      <c r="B3215" s="2" t="str">
        <f>IFERROR(__xludf.DUMMYFUNCTION("GOOGLETRANSLATE(A3215, ""de"", ""en"")"),"captain")</f>
        <v>captain</v>
      </c>
    </row>
    <row r="3216">
      <c r="A3216" s="1" t="s">
        <v>3216</v>
      </c>
      <c r="B3216" s="2" t="str">
        <f>IFERROR(__xludf.DUMMYFUNCTION("GOOGLETRANSLATE(A3216, ""de"", ""en"")"),"circumstances")</f>
        <v>circumstances</v>
      </c>
    </row>
    <row r="3217">
      <c r="A3217" s="1" t="s">
        <v>3217</v>
      </c>
      <c r="B3217" s="2" t="str">
        <f>IFERROR(__xludf.DUMMYFUNCTION("GOOGLETRANSLATE(A3217, ""de"", ""en"")"),"not")</f>
        <v>not</v>
      </c>
    </row>
    <row r="3218">
      <c r="A3218" s="1" t="s">
        <v>3218</v>
      </c>
      <c r="B3218" s="2" t="str">
        <f>IFERROR(__xludf.DUMMYFUNCTION("GOOGLETRANSLATE(A3218, ""de"", ""en"")"),"accident")</f>
        <v>accident</v>
      </c>
    </row>
    <row r="3219">
      <c r="A3219" s="1" t="s">
        <v>3219</v>
      </c>
      <c r="B3219" s="2" t="str">
        <f>IFERROR(__xludf.DUMMYFUNCTION("GOOGLETRANSLATE(A3219, ""de"", ""en"")"),"closely")</f>
        <v>closely</v>
      </c>
    </row>
    <row r="3220">
      <c r="A3220" s="1" t="s">
        <v>3220</v>
      </c>
      <c r="B3220" s="2" t="str">
        <f>IFERROR(__xludf.DUMMYFUNCTION("GOOGLETRANSLATE(A3220, ""de"", ""en"")"),"white")</f>
        <v>white</v>
      </c>
    </row>
    <row r="3221">
      <c r="A3221" s="1" t="s">
        <v>3221</v>
      </c>
      <c r="B3221" s="2" t="str">
        <f>IFERROR(__xludf.DUMMYFUNCTION("GOOGLETRANSLATE(A3221, ""de"", ""en"")"),"Lucas")</f>
        <v>Lucas</v>
      </c>
    </row>
    <row r="3222">
      <c r="A3222" s="1" t="s">
        <v>3222</v>
      </c>
      <c r="B3222" s="2" t="str">
        <f>IFERROR(__xludf.DUMMYFUNCTION("GOOGLETRANSLATE(A3222, ""de"", ""en"")"),"practice")</f>
        <v>practice</v>
      </c>
    </row>
    <row r="3223">
      <c r="A3223" s="1" t="s">
        <v>3223</v>
      </c>
      <c r="B3223" s="2" t="str">
        <f>IFERROR(__xludf.DUMMYFUNCTION("GOOGLETRANSLATE(A3223, ""de"", ""en"")"),"scientist")</f>
        <v>scientist</v>
      </c>
    </row>
    <row r="3224">
      <c r="A3224" s="1" t="s">
        <v>3224</v>
      </c>
      <c r="B3224" s="2" t="str">
        <f>IFERROR(__xludf.DUMMYFUNCTION("GOOGLETRANSLATE(A3224, ""de"", ""en"")"),"solved")</f>
        <v>solved</v>
      </c>
    </row>
    <row r="3225">
      <c r="A3225" s="1" t="s">
        <v>3225</v>
      </c>
      <c r="B3225" s="2" t="str">
        <f>IFERROR(__xludf.DUMMYFUNCTION("GOOGLETRANSLATE(A3225, ""de"", ""en"")"),"reaction")</f>
        <v>reaction</v>
      </c>
    </row>
    <row r="3226">
      <c r="A3226" s="1" t="s">
        <v>3226</v>
      </c>
      <c r="B3226" s="2" t="str">
        <f>IFERROR(__xludf.DUMMYFUNCTION("GOOGLETRANSLATE(A3226, ""de"", ""en"")"),"murders")</f>
        <v>murders</v>
      </c>
    </row>
    <row r="3227">
      <c r="A3227" s="1" t="s">
        <v>3227</v>
      </c>
      <c r="B3227" s="2" t="str">
        <f>IFERROR(__xludf.DUMMYFUNCTION("GOOGLETRANSLATE(A3227, ""de"", ""en"")"),"shower")</f>
        <v>shower</v>
      </c>
    </row>
    <row r="3228">
      <c r="A3228" s="1" t="s">
        <v>3228</v>
      </c>
      <c r="B3228" s="2" t="str">
        <f>IFERROR(__xludf.DUMMYFUNCTION("GOOGLETRANSLATE(A3228, ""de"", ""en"")"),"employees")</f>
        <v>employees</v>
      </c>
    </row>
    <row r="3229">
      <c r="A3229" s="1" t="s">
        <v>3229</v>
      </c>
      <c r="B3229" s="2" t="str">
        <f>IFERROR(__xludf.DUMMYFUNCTION("GOOGLETRANSLATE(A3229, ""de"", ""en"")"),"yours")</f>
        <v>yours</v>
      </c>
    </row>
    <row r="3230">
      <c r="A3230" s="1" t="s">
        <v>3230</v>
      </c>
      <c r="B3230" s="2" t="str">
        <f>IFERROR(__xludf.DUMMYFUNCTION("GOOGLETRANSLATE(A3230, ""de"", ""en"")"),"threatened")</f>
        <v>threatened</v>
      </c>
    </row>
    <row r="3231">
      <c r="A3231" s="1" t="s">
        <v>3231</v>
      </c>
      <c r="B3231" s="2" t="str">
        <f>IFERROR(__xludf.DUMMYFUNCTION("GOOGLETRANSLATE(A3231, ""de"", ""en"")"),"belong")</f>
        <v>belong</v>
      </c>
    </row>
    <row r="3232">
      <c r="A3232" s="1" t="s">
        <v>3232</v>
      </c>
      <c r="B3232" s="2" t="str">
        <f>IFERROR(__xludf.DUMMYFUNCTION("GOOGLETRANSLATE(A3232, ""de"", ""en"")"),"freed")</f>
        <v>freed</v>
      </c>
    </row>
    <row r="3233">
      <c r="A3233" s="1" t="s">
        <v>3233</v>
      </c>
      <c r="B3233" s="2" t="str">
        <f>IFERROR(__xludf.DUMMYFUNCTION("GOOGLETRANSLATE(A3233, ""de"", ""en"")"),"moan")</f>
        <v>moan</v>
      </c>
    </row>
    <row r="3234">
      <c r="A3234" s="1" t="s">
        <v>3234</v>
      </c>
      <c r="B3234" s="2" t="str">
        <f>IFERROR(__xludf.DUMMYFUNCTION("GOOGLETRANSLATE(A3234, ""de"", ""en"")"),"Reacts")</f>
        <v>Reacts</v>
      </c>
    </row>
    <row r="3235">
      <c r="A3235" s="1" t="s">
        <v>3235</v>
      </c>
      <c r="B3235" s="2" t="str">
        <f>IFERROR(__xludf.DUMMYFUNCTION("GOOGLETRANSLATE(A3235, ""de"", ""en"")"),"identity")</f>
        <v>identity</v>
      </c>
    </row>
    <row r="3236">
      <c r="A3236" s="1" t="s">
        <v>3236</v>
      </c>
      <c r="B3236" s="2" t="str">
        <f>IFERROR(__xludf.DUMMYFUNCTION("GOOGLETRANSLATE(A3236, ""de"", ""en"")"),"around")</f>
        <v>around</v>
      </c>
    </row>
    <row r="3237">
      <c r="A3237" s="1" t="s">
        <v>3237</v>
      </c>
      <c r="B3237" s="2" t="str">
        <f>IFERROR(__xludf.DUMMYFUNCTION("GOOGLETRANSLATE(A3237, ""de"", ""en"")"),"Texas")</f>
        <v>Texas</v>
      </c>
    </row>
    <row r="3238">
      <c r="A3238" s="1" t="s">
        <v>3238</v>
      </c>
      <c r="B3238" s="2" t="str">
        <f>IFERROR(__xludf.DUMMYFUNCTION("GOOGLETRANSLATE(A3238, ""de"", ""en"")"),"fever")</f>
        <v>fever</v>
      </c>
    </row>
    <row r="3239">
      <c r="A3239" s="1" t="s">
        <v>3239</v>
      </c>
      <c r="B3239" s="2" t="str">
        <f>IFERROR(__xludf.DUMMYFUNCTION("GOOGLETRANSLATE(A3239, ""de"", ""en"")"),"brain")</f>
        <v>brain</v>
      </c>
    </row>
    <row r="3240">
      <c r="A3240" s="1" t="s">
        <v>3240</v>
      </c>
      <c r="B3240" s="2" t="str">
        <f>IFERROR(__xludf.DUMMYFUNCTION("GOOGLETRANSLATE(A3240, ""de"", ""en"")"),"lead")</f>
        <v>lead</v>
      </c>
    </row>
    <row r="3241">
      <c r="A3241" s="1" t="s">
        <v>3241</v>
      </c>
      <c r="B3241" s="2" t="str">
        <f>IFERROR(__xludf.DUMMYFUNCTION("GOOGLETRANSLATE(A3241, ""de"", ""en"")"),"Thursday")</f>
        <v>Thursday</v>
      </c>
    </row>
    <row r="3242">
      <c r="A3242" s="1" t="s">
        <v>3242</v>
      </c>
      <c r="B3242" s="2" t="str">
        <f>IFERROR(__xludf.DUMMYFUNCTION("GOOGLETRANSLATE(A3242, ""de"", ""en"")"),"leonard")</f>
        <v>leonard</v>
      </c>
    </row>
    <row r="3243">
      <c r="A3243" s="1" t="s">
        <v>3243</v>
      </c>
      <c r="B3243" s="2" t="str">
        <f>IFERROR(__xludf.DUMMYFUNCTION("GOOGLETRANSLATE(A3243, ""de"", ""en"")"),"scary")</f>
        <v>scary</v>
      </c>
    </row>
    <row r="3244">
      <c r="A3244" s="1" t="s">
        <v>3244</v>
      </c>
      <c r="B3244" s="2" t="str">
        <f>IFERROR(__xludf.DUMMYFUNCTION("GOOGLETRANSLATE(A3244, ""de"", ""en"")"),"mulder")</f>
        <v>mulder</v>
      </c>
    </row>
    <row r="3245">
      <c r="A3245" s="1" t="s">
        <v>3245</v>
      </c>
      <c r="B3245" s="2" t="str">
        <f>IFERROR(__xludf.DUMMYFUNCTION("GOOGLETRANSLATE(A3245, ""de"", ""en"")"),"century")</f>
        <v>century</v>
      </c>
    </row>
    <row r="3246">
      <c r="A3246" s="1" t="s">
        <v>3246</v>
      </c>
      <c r="B3246" s="2" t="str">
        <f>IFERROR(__xludf.DUMMYFUNCTION("GOOGLETRANSLATE(A3246, ""de"", ""en"")"),"any")</f>
        <v>any</v>
      </c>
    </row>
    <row r="3247">
      <c r="A3247" s="1" t="s">
        <v>3247</v>
      </c>
      <c r="B3247" s="2" t="str">
        <f>IFERROR(__xludf.DUMMYFUNCTION("GOOGLETRANSLATE(A3247, ""de"", ""en"")"),"servant")</f>
        <v>servant</v>
      </c>
    </row>
    <row r="3248">
      <c r="A3248" s="1" t="s">
        <v>3248</v>
      </c>
      <c r="B3248" s="2" t="str">
        <f>IFERROR(__xludf.DUMMYFUNCTION("GOOGLETRANSLATE(A3248, ""de"", ""en"")"),"Bruce")</f>
        <v>Bruce</v>
      </c>
    </row>
    <row r="3249">
      <c r="A3249" s="1" t="s">
        <v>3249</v>
      </c>
      <c r="B3249" s="2" t="str">
        <f>IFERROR(__xludf.DUMMYFUNCTION("GOOGLETRANSLATE(A3249, ""de"", ""en"")"),"extreme")</f>
        <v>extreme</v>
      </c>
    </row>
    <row r="3250">
      <c r="A3250" s="1" t="s">
        <v>3250</v>
      </c>
      <c r="B3250" s="2" t="str">
        <f>IFERROR(__xludf.DUMMYFUNCTION("GOOGLETRANSLATE(A3250, ""de"", ""en"")"),"ID")</f>
        <v>ID</v>
      </c>
    </row>
    <row r="3251">
      <c r="A3251" s="1" t="s">
        <v>3251</v>
      </c>
      <c r="B3251" s="2" t="str">
        <f>IFERROR(__xludf.DUMMYFUNCTION("GOOGLETRANSLATE(A3251, ""de"", ""en"")"),"view")</f>
        <v>view</v>
      </c>
    </row>
    <row r="3252">
      <c r="A3252" s="1" t="s">
        <v>3252</v>
      </c>
      <c r="B3252" s="2" t="str">
        <f>IFERROR(__xludf.DUMMYFUNCTION("GOOGLETRANSLATE(A3252, ""de"", ""en"")"),"sport")</f>
        <v>sport</v>
      </c>
    </row>
    <row r="3253">
      <c r="A3253" s="1" t="s">
        <v>3253</v>
      </c>
      <c r="B3253" s="2" t="str">
        <f>IFERROR(__xludf.DUMMYFUNCTION("GOOGLETRANSLATE(A3253, ""de"", ""en"")"),"Jews")</f>
        <v>Jews</v>
      </c>
    </row>
    <row r="3254">
      <c r="A3254" s="1" t="s">
        <v>3254</v>
      </c>
      <c r="B3254" s="2" t="str">
        <f>IFERROR(__xludf.DUMMYFUNCTION("GOOGLETRANSLATE(A3254, ""de"", ""en"")"),"studied")</f>
        <v>studied</v>
      </c>
    </row>
    <row r="3255">
      <c r="A3255" s="1" t="s">
        <v>3255</v>
      </c>
      <c r="B3255" s="2" t="str">
        <f>IFERROR(__xludf.DUMMYFUNCTION("GOOGLETRANSLATE(A3255, ""de"", ""en"")"),"lied to")</f>
        <v>lied to</v>
      </c>
    </row>
    <row r="3256">
      <c r="A3256" s="1" t="s">
        <v>3256</v>
      </c>
      <c r="B3256" s="2" t="str">
        <f>IFERROR(__xludf.DUMMYFUNCTION("GOOGLETRANSLATE(A3256, ""de"", ""en"")"),"look")</f>
        <v>look</v>
      </c>
    </row>
    <row r="3257">
      <c r="A3257" s="1" t="s">
        <v>3257</v>
      </c>
      <c r="B3257" s="2" t="str">
        <f>IFERROR(__xludf.DUMMYFUNCTION("GOOGLETRANSLATE(A3257, ""de"", ""en"")"),"little")</f>
        <v>little</v>
      </c>
    </row>
    <row r="3258">
      <c r="A3258" s="1" t="s">
        <v>3258</v>
      </c>
      <c r="B3258" s="2" t="str">
        <f>IFERROR(__xludf.DUMMYFUNCTION("GOOGLETRANSLATE(A3258, ""de"", ""en"")"),"Sally")</f>
        <v>Sally</v>
      </c>
    </row>
    <row r="3259">
      <c r="A3259" s="1" t="s">
        <v>3259</v>
      </c>
      <c r="B3259" s="2" t="str">
        <f>IFERROR(__xludf.DUMMYFUNCTION("GOOGLETRANSLATE(A3259, ""de"", ""en"")"),"text")</f>
        <v>text</v>
      </c>
    </row>
    <row r="3260">
      <c r="A3260" s="1" t="s">
        <v>3260</v>
      </c>
      <c r="B3260" s="2" t="str">
        <f>IFERROR(__xludf.DUMMYFUNCTION("GOOGLETRANSLATE(A3260, ""de"", ""en"")"),"earl")</f>
        <v>earl</v>
      </c>
    </row>
    <row r="3261">
      <c r="A3261" s="1" t="s">
        <v>3261</v>
      </c>
      <c r="B3261" s="2" t="str">
        <f>IFERROR(__xludf.DUMMYFUNCTION("GOOGLETRANSLATE(A3261, ""de"", ""en"")"),"next door")</f>
        <v>next door</v>
      </c>
    </row>
    <row r="3262">
      <c r="A3262" s="1" t="s">
        <v>3262</v>
      </c>
      <c r="B3262" s="2" t="str">
        <f>IFERROR(__xludf.DUMMYFUNCTION("GOOGLETRANSLATE(A3262, ""de"", ""en"")"),"Todd")</f>
        <v>Todd</v>
      </c>
    </row>
    <row r="3263">
      <c r="A3263" s="1" t="s">
        <v>3263</v>
      </c>
      <c r="B3263" s="2" t="str">
        <f>IFERROR(__xludf.DUMMYFUNCTION("GOOGLETRANSLATE(A3263, ""de"", ""en"")"),"lesson")</f>
        <v>lesson</v>
      </c>
    </row>
    <row r="3264">
      <c r="A3264" s="1" t="s">
        <v>3264</v>
      </c>
      <c r="B3264" s="2" t="str">
        <f>IFERROR(__xludf.DUMMYFUNCTION("GOOGLETRANSLATE(A3264, ""de"", ""en"")"),"mice")</f>
        <v>mice</v>
      </c>
    </row>
    <row r="3265">
      <c r="A3265" s="1" t="s">
        <v>3265</v>
      </c>
      <c r="B3265" s="2" t="str">
        <f>IFERROR(__xludf.DUMMYFUNCTION("GOOGLETRANSLATE(A3265, ""de"", ""en"")"),"dust")</f>
        <v>dust</v>
      </c>
    </row>
    <row r="3266">
      <c r="A3266" s="1" t="s">
        <v>3266</v>
      </c>
      <c r="B3266" s="2" t="str">
        <f>IFERROR(__xludf.DUMMYFUNCTION("GOOGLETRANSLATE(A3266, ""de"", ""en"")"),"Sophie")</f>
        <v>Sophie</v>
      </c>
    </row>
    <row r="3267">
      <c r="A3267" s="1" t="s">
        <v>3267</v>
      </c>
      <c r="B3267" s="2" t="str">
        <f>IFERROR(__xludf.DUMMYFUNCTION("GOOGLETRANSLATE(A3267, ""de"", ""en"")"),"balls")</f>
        <v>balls</v>
      </c>
    </row>
    <row r="3268">
      <c r="A3268" s="1" t="s">
        <v>3268</v>
      </c>
      <c r="B3268" s="2" t="str">
        <f>IFERROR(__xludf.DUMMYFUNCTION("GOOGLETRANSLATE(A3268, ""de"", ""en"")"),"dozen")</f>
        <v>dozen</v>
      </c>
    </row>
    <row r="3269">
      <c r="A3269" s="1" t="s">
        <v>3269</v>
      </c>
      <c r="B3269" s="2" t="str">
        <f>IFERROR(__xludf.DUMMYFUNCTION("GOOGLETRANSLATE(A3269, ""de"", ""en"")"),"rat")</f>
        <v>rat</v>
      </c>
    </row>
    <row r="3270">
      <c r="A3270" s="1" t="s">
        <v>3270</v>
      </c>
      <c r="B3270" s="2" t="str">
        <f>IFERROR(__xludf.DUMMYFUNCTION("GOOGLETRANSLATE(A3270, ""de"", ""en"")"),"pity")</f>
        <v>pity</v>
      </c>
    </row>
    <row r="3271">
      <c r="A3271" s="1" t="s">
        <v>3271</v>
      </c>
      <c r="B3271" s="2" t="str">
        <f>IFERROR(__xludf.DUMMYFUNCTION("GOOGLETRANSLATE(A3271, ""de"", ""en"")"),"test")</f>
        <v>test</v>
      </c>
    </row>
    <row r="3272">
      <c r="A3272" s="1" t="s">
        <v>3272</v>
      </c>
      <c r="B3272" s="2" t="str">
        <f>IFERROR(__xludf.DUMMYFUNCTION("GOOGLETRANSLATE(A3272, ""de"", ""en"")"),"occurs")</f>
        <v>occurs</v>
      </c>
    </row>
    <row r="3273">
      <c r="A3273" s="1" t="s">
        <v>3273</v>
      </c>
      <c r="B3273" s="2" t="str">
        <f>IFERROR(__xludf.DUMMYFUNCTION("GOOGLETRANSLATE(A3273, ""de"", ""en"")"),"opponent")</f>
        <v>opponent</v>
      </c>
    </row>
    <row r="3274">
      <c r="A3274" s="1" t="s">
        <v>3274</v>
      </c>
      <c r="B3274" s="2" t="str">
        <f>IFERROR(__xludf.DUMMYFUNCTION("GOOGLETRANSLATE(A3274, ""de"", ""en"")"),"Joseph")</f>
        <v>Joseph</v>
      </c>
    </row>
    <row r="3275">
      <c r="A3275" s="1" t="s">
        <v>3275</v>
      </c>
      <c r="B3275" s="2" t="str">
        <f>IFERROR(__xludf.DUMMYFUNCTION("GOOGLETRANSLATE(A3275, ""de"", ""en"")"),"merit")</f>
        <v>merit</v>
      </c>
    </row>
    <row r="3276">
      <c r="A3276" s="1" t="s">
        <v>3276</v>
      </c>
      <c r="B3276" s="2" t="str">
        <f>IFERROR(__xludf.DUMMYFUNCTION("GOOGLETRANSLATE(A3276, ""de"", ""en"")"),"slower")</f>
        <v>slower</v>
      </c>
    </row>
    <row r="3277">
      <c r="A3277" s="1" t="s">
        <v>3277</v>
      </c>
      <c r="B3277" s="2" t="str">
        <f>IFERROR(__xludf.DUMMYFUNCTION("GOOGLETRANSLATE(A3277, ""de"", ""en"")"),"wound")</f>
        <v>wound</v>
      </c>
    </row>
    <row r="3278">
      <c r="A3278" s="1" t="s">
        <v>3278</v>
      </c>
      <c r="B3278" s="2" t="str">
        <f>IFERROR(__xludf.DUMMYFUNCTION("GOOGLETRANSLATE(A3278, ""de"", ""en"")"),"line")</f>
        <v>line</v>
      </c>
    </row>
    <row r="3279">
      <c r="A3279" s="1" t="s">
        <v>3279</v>
      </c>
      <c r="B3279" s="2" t="str">
        <f>IFERROR(__xludf.DUMMYFUNCTION("GOOGLETRANSLATE(A3279, ""de"", ""en"")"),"threat")</f>
        <v>threat</v>
      </c>
    </row>
    <row r="3280">
      <c r="A3280" s="1" t="s">
        <v>3280</v>
      </c>
      <c r="B3280" s="2" t="str">
        <f>IFERROR(__xludf.DUMMYFUNCTION("GOOGLETRANSLATE(A3280, ""de"", ""en"")"),"farmer")</f>
        <v>farmer</v>
      </c>
    </row>
    <row r="3281">
      <c r="A3281" s="1" t="s">
        <v>3281</v>
      </c>
      <c r="B3281" s="2" t="str">
        <f>IFERROR(__xludf.DUMMYFUNCTION("GOOGLETRANSLATE(A3281, ""de"", ""en"")"),"recently")</f>
        <v>recently</v>
      </c>
    </row>
    <row r="3282">
      <c r="A3282" s="1" t="s">
        <v>3282</v>
      </c>
      <c r="B3282" s="2" t="str">
        <f>IFERROR(__xludf.DUMMYFUNCTION("GOOGLETRANSLATE(A3282, ""de"", ""en"")"),"fish")</f>
        <v>fish</v>
      </c>
    </row>
    <row r="3283">
      <c r="A3283" s="1" t="s">
        <v>3283</v>
      </c>
      <c r="B3283" s="2" t="str">
        <f>IFERROR(__xludf.DUMMYFUNCTION("GOOGLETRANSLATE(A3283, ""de"", ""en"")"),"shopping")</f>
        <v>shopping</v>
      </c>
    </row>
    <row r="3284">
      <c r="A3284" s="1" t="s">
        <v>3284</v>
      </c>
      <c r="B3284" s="2" t="str">
        <f>IFERROR(__xludf.DUMMYFUNCTION("GOOGLETRANSLATE(A3284, ""de"", ""en"")"),"cross")</f>
        <v>cross</v>
      </c>
    </row>
    <row r="3285">
      <c r="A3285" s="1" t="s">
        <v>3285</v>
      </c>
      <c r="B3285" s="2" t="str">
        <f>IFERROR(__xludf.DUMMYFUNCTION("GOOGLETRANSLATE(A3285, ""de"", ""en"")"),"Africa")</f>
        <v>Africa</v>
      </c>
    </row>
    <row r="3286">
      <c r="A3286" s="1" t="s">
        <v>3286</v>
      </c>
      <c r="B3286" s="2" t="str">
        <f>IFERROR(__xludf.DUMMYFUNCTION("GOOGLETRANSLATE(A3286, ""de"", ""en"")"),"committed")</f>
        <v>committed</v>
      </c>
    </row>
    <row r="3287">
      <c r="A3287" s="1" t="s">
        <v>3287</v>
      </c>
      <c r="B3287" s="2" t="str">
        <f>IFERROR(__xludf.DUMMYFUNCTION("GOOGLETRANSLATE(A3287, ""de"", ""en"")"),"el")</f>
        <v>el</v>
      </c>
    </row>
    <row r="3288">
      <c r="A3288" s="1" t="s">
        <v>3288</v>
      </c>
      <c r="B3288" s="2" t="str">
        <f>IFERROR(__xludf.DUMMYFUNCTION("GOOGLETRANSLATE(A3288, ""de"", ""en"")"),"look")</f>
        <v>look</v>
      </c>
    </row>
    <row r="3289">
      <c r="A3289" s="1" t="s">
        <v>3289</v>
      </c>
      <c r="B3289" s="2" t="str">
        <f>IFERROR(__xludf.DUMMYFUNCTION("GOOGLETRANSLATE(A3289, ""de"", ""en"")"),"junior")</f>
        <v>junior</v>
      </c>
    </row>
    <row r="3290">
      <c r="A3290" s="1" t="s">
        <v>3290</v>
      </c>
      <c r="B3290" s="2" t="str">
        <f>IFERROR(__xludf.DUMMYFUNCTION("GOOGLETRANSLATE(A3290, ""de"", ""en"")"),"trees")</f>
        <v>trees</v>
      </c>
    </row>
    <row r="3291">
      <c r="A3291" s="1" t="s">
        <v>3291</v>
      </c>
      <c r="B3291" s="2" t="str">
        <f>IFERROR(__xludf.DUMMYFUNCTION("GOOGLETRANSLATE(A3291, ""de"", ""en"")"),"passion")</f>
        <v>passion</v>
      </c>
    </row>
    <row r="3292">
      <c r="A3292" s="1" t="s">
        <v>3292</v>
      </c>
      <c r="B3292" s="2" t="str">
        <f>IFERROR(__xludf.DUMMYFUNCTION("GOOGLETRANSLATE(A3292, ""de"", ""en"")"),"beloved")</f>
        <v>beloved</v>
      </c>
    </row>
    <row r="3293">
      <c r="A3293" s="1" t="s">
        <v>3293</v>
      </c>
      <c r="B3293" s="2" t="str">
        <f>IFERROR(__xludf.DUMMYFUNCTION("GOOGLETRANSLATE(A3293, ""de"", ""en"")"),"regret")</f>
        <v>regret</v>
      </c>
    </row>
    <row r="3294">
      <c r="A3294" s="1" t="s">
        <v>3294</v>
      </c>
      <c r="B3294" s="2" t="str">
        <f>IFERROR(__xludf.DUMMYFUNCTION("GOOGLETRANSLATE(A3294, ""de"", ""en"")"),"player")</f>
        <v>player</v>
      </c>
    </row>
    <row r="3295">
      <c r="A3295" s="1" t="s">
        <v>3295</v>
      </c>
      <c r="B3295" s="2" t="str">
        <f>IFERROR(__xludf.DUMMYFUNCTION("GOOGLETRANSLATE(A3295, ""de"", ""en"")"),"mountains")</f>
        <v>mountains</v>
      </c>
    </row>
    <row r="3296">
      <c r="A3296" s="1" t="s">
        <v>3296</v>
      </c>
      <c r="B3296" s="2" t="str">
        <f>IFERROR(__xludf.DUMMYFUNCTION("GOOGLETRANSLATE(A3296, ""de"", ""en"")"),"used")</f>
        <v>used</v>
      </c>
    </row>
    <row r="3297">
      <c r="A3297" s="1" t="s">
        <v>3297</v>
      </c>
      <c r="B3297" s="2" t="str">
        <f>IFERROR(__xludf.DUMMYFUNCTION("GOOGLETRANSLATE(A3297, ""de"", ""en"")"),"steer")</f>
        <v>steer</v>
      </c>
    </row>
    <row r="3298">
      <c r="A3298" s="1" t="s">
        <v>3298</v>
      </c>
      <c r="B3298" s="2" t="str">
        <f>IFERROR(__xludf.DUMMYFUNCTION("GOOGLETRANSLATE(A3298, ""de"", ""en"")"),"cared for")</f>
        <v>cared for</v>
      </c>
    </row>
    <row r="3299">
      <c r="A3299" s="1" t="s">
        <v>3299</v>
      </c>
      <c r="B3299" s="2" t="str">
        <f>IFERROR(__xludf.DUMMYFUNCTION("GOOGLETRANSLATE(A3299, ""de"", ""en"")"),"ahead")</f>
        <v>ahead</v>
      </c>
    </row>
    <row r="3300">
      <c r="A3300" s="1" t="s">
        <v>3300</v>
      </c>
      <c r="B3300" s="2" t="str">
        <f>IFERROR(__xludf.DUMMYFUNCTION("GOOGLETRANSLATE(A3300, ""de"", ""en"")"),"how much")</f>
        <v>how much</v>
      </c>
    </row>
    <row r="3301">
      <c r="A3301" s="1" t="s">
        <v>3301</v>
      </c>
      <c r="B3301" s="2" t="str">
        <f>IFERROR(__xludf.DUMMYFUNCTION("GOOGLETRANSLATE(A3301, ""de"", ""en"")"),"barney")</f>
        <v>barney</v>
      </c>
    </row>
    <row r="3302">
      <c r="A3302" s="1" t="s">
        <v>3302</v>
      </c>
      <c r="B3302" s="2" t="str">
        <f>IFERROR(__xludf.DUMMYFUNCTION("GOOGLETRANSLATE(A3302, ""de"", ""en"")"),"count")</f>
        <v>count</v>
      </c>
    </row>
    <row r="3303">
      <c r="A3303" s="1" t="s">
        <v>3303</v>
      </c>
      <c r="B3303" s="2" t="str">
        <f>IFERROR(__xludf.DUMMYFUNCTION("GOOGLETRANSLATE(A3303, ""de"", ""en"")"),"appointment")</f>
        <v>appointment</v>
      </c>
    </row>
    <row r="3304">
      <c r="A3304" s="1" t="s">
        <v>3304</v>
      </c>
      <c r="B3304" s="2" t="str">
        <f>IFERROR(__xludf.DUMMYFUNCTION("GOOGLETRANSLATE(A3304, ""de"", ""en"")"),"leave")</f>
        <v>leave</v>
      </c>
    </row>
    <row r="3305">
      <c r="A3305" s="1" t="s">
        <v>3305</v>
      </c>
      <c r="B3305" s="2" t="str">
        <f>IFERROR(__xludf.DUMMYFUNCTION("GOOGLETRANSLATE(A3305, ""de"", ""en"")"),"ambushed")</f>
        <v>ambushed</v>
      </c>
    </row>
    <row r="3306">
      <c r="A3306" s="1" t="s">
        <v>3306</v>
      </c>
      <c r="B3306" s="2" t="str">
        <f>IFERROR(__xludf.DUMMYFUNCTION("GOOGLETRANSLATE(A3306, ""de"", ""en"")"),"donna")</f>
        <v>donna</v>
      </c>
    </row>
    <row r="3307">
      <c r="A3307" s="1" t="s">
        <v>3307</v>
      </c>
      <c r="B3307" s="2" t="str">
        <f>IFERROR(__xludf.DUMMYFUNCTION("GOOGLETRANSLATE(A3307, ""de"", ""en"")"),"turn around")</f>
        <v>turn around</v>
      </c>
    </row>
    <row r="3308">
      <c r="A3308" s="1" t="s">
        <v>3308</v>
      </c>
      <c r="B3308" s="2" t="str">
        <f>IFERROR(__xludf.DUMMYFUNCTION("GOOGLETRANSLATE(A3308, ""de"", ""en"")"),"demon")</f>
        <v>demon</v>
      </c>
    </row>
    <row r="3309">
      <c r="A3309" s="1" t="s">
        <v>3309</v>
      </c>
      <c r="B3309" s="2" t="str">
        <f>IFERROR(__xludf.DUMMYFUNCTION("GOOGLETRANSLATE(A3309, ""de"", ""en"")"),"kilo")</f>
        <v>kilo</v>
      </c>
    </row>
    <row r="3310">
      <c r="A3310" s="1" t="s">
        <v>3310</v>
      </c>
      <c r="B3310" s="2" t="str">
        <f>IFERROR(__xludf.DUMMYFUNCTION("GOOGLETRANSLATE(A3310, ""de"", ""en"")"),"Diego")</f>
        <v>Diego</v>
      </c>
    </row>
    <row r="3311">
      <c r="A3311" s="1" t="s">
        <v>3311</v>
      </c>
      <c r="B3311" s="2" t="str">
        <f>IFERROR(__xludf.DUMMYFUNCTION("GOOGLETRANSLATE(A3311, ""de"", ""en"")"),"negative")</f>
        <v>negative</v>
      </c>
    </row>
    <row r="3312">
      <c r="A3312" s="1" t="s">
        <v>3312</v>
      </c>
      <c r="B3312" s="2" t="str">
        <f>IFERROR(__xludf.DUMMYFUNCTION("GOOGLETRANSLATE(A3312, ""de"", ""en"")"),"sign")</f>
        <v>sign</v>
      </c>
    </row>
    <row r="3313">
      <c r="A3313" s="1" t="s">
        <v>3313</v>
      </c>
      <c r="B3313" s="2" t="str">
        <f>IFERROR(__xludf.DUMMYFUNCTION("GOOGLETRANSLATE(A3313, ""de"", ""en"")"),"dances")</f>
        <v>dances</v>
      </c>
    </row>
    <row r="3314">
      <c r="A3314" s="1" t="s">
        <v>3314</v>
      </c>
      <c r="B3314" s="2" t="str">
        <f>IFERROR(__xludf.DUMMYFUNCTION("GOOGLETRANSLATE(A3314, ""de"", ""en"")"),"burn")</f>
        <v>burn</v>
      </c>
    </row>
    <row r="3315">
      <c r="A3315" s="1" t="s">
        <v>3315</v>
      </c>
      <c r="B3315" s="2" t="str">
        <f>IFERROR(__xludf.DUMMYFUNCTION("GOOGLETRANSLATE(A3315, ""de"", ""en"")"),"pleased")</f>
        <v>pleased</v>
      </c>
    </row>
    <row r="3316">
      <c r="A3316" s="1" t="s">
        <v>3316</v>
      </c>
      <c r="B3316" s="2" t="str">
        <f>IFERROR(__xludf.DUMMYFUNCTION("GOOGLETRANSLATE(A3316, ""de"", ""en"")"),"bum")</f>
        <v>bum</v>
      </c>
    </row>
    <row r="3317">
      <c r="A3317" s="1" t="s">
        <v>3317</v>
      </c>
      <c r="B3317" s="2" t="str">
        <f>IFERROR(__xludf.DUMMYFUNCTION("GOOGLETRANSLATE(A3317, ""de"", ""en"")"),"blue")</f>
        <v>blue</v>
      </c>
    </row>
    <row r="3318">
      <c r="A3318" s="1" t="s">
        <v>3318</v>
      </c>
      <c r="B3318" s="2" t="str">
        <f>IFERROR(__xludf.DUMMYFUNCTION("GOOGLETRANSLATE(A3318, ""de"", ""en"")"),"Jay")</f>
        <v>Jay</v>
      </c>
    </row>
    <row r="3319">
      <c r="A3319" s="1" t="s">
        <v>3319</v>
      </c>
      <c r="B3319" s="2" t="str">
        <f>IFERROR(__xludf.DUMMYFUNCTION("GOOGLETRANSLATE(A3319, ""de"", ""en"")"),"pieces")</f>
        <v>pieces</v>
      </c>
    </row>
    <row r="3320">
      <c r="A3320" s="1" t="s">
        <v>3320</v>
      </c>
      <c r="B3320" s="2" t="str">
        <f>IFERROR(__xludf.DUMMYFUNCTION("GOOGLETRANSLATE(A3320, ""de"", ""en"")"),"Angela")</f>
        <v>Angela</v>
      </c>
    </row>
    <row r="3321">
      <c r="A3321" s="1" t="s">
        <v>3321</v>
      </c>
      <c r="B3321" s="2" t="str">
        <f>IFERROR(__xludf.DUMMYFUNCTION("GOOGLETRANSLATE(A3321, ""de"", ""en"")"),"refrigerator")</f>
        <v>refrigerator</v>
      </c>
    </row>
    <row r="3322">
      <c r="A3322" s="1" t="s">
        <v>3322</v>
      </c>
      <c r="B3322" s="2" t="str">
        <f>IFERROR(__xludf.DUMMYFUNCTION("GOOGLETRANSLATE(A3322, ""de"", ""en"")"),"identify")</f>
        <v>identify</v>
      </c>
    </row>
    <row r="3323">
      <c r="A3323" s="1" t="s">
        <v>3323</v>
      </c>
      <c r="B3323" s="2" t="str">
        <f>IFERROR(__xludf.DUMMYFUNCTION("GOOGLETRANSLATE(A3323, ""de"", ""en"")"),"teacher")</f>
        <v>teacher</v>
      </c>
    </row>
    <row r="3324">
      <c r="A3324" s="1" t="s">
        <v>3324</v>
      </c>
      <c r="B3324" s="2" t="str">
        <f>IFERROR(__xludf.DUMMYFUNCTION("GOOGLETRANSLATE(A3324, ""de"", ""en"")"),"francisco")</f>
        <v>francisco</v>
      </c>
    </row>
    <row r="3325">
      <c r="A3325" s="1" t="s">
        <v>3325</v>
      </c>
      <c r="B3325" s="2" t="str">
        <f>IFERROR(__xludf.DUMMYFUNCTION("GOOGLETRANSLATE(A3325, ""de"", ""en"")"),"cameras")</f>
        <v>cameras</v>
      </c>
    </row>
    <row r="3326">
      <c r="A3326" s="1" t="s">
        <v>3326</v>
      </c>
      <c r="B3326" s="2" t="str">
        <f>IFERROR(__xludf.DUMMYFUNCTION("GOOGLETRANSLATE(A3326, ""de"", ""en"")"),"central")</f>
        <v>central</v>
      </c>
    </row>
    <row r="3327">
      <c r="A3327" s="1" t="s">
        <v>3327</v>
      </c>
      <c r="B3327" s="2" t="str">
        <f>IFERROR(__xludf.DUMMYFUNCTION("GOOGLETRANSLATE(A3327, ""de"", ""en"")"),"hunter")</f>
        <v>hunter</v>
      </c>
    </row>
    <row r="3328">
      <c r="A3328" s="1" t="s">
        <v>3328</v>
      </c>
      <c r="B3328" s="2" t="str">
        <f>IFERROR(__xludf.DUMMYFUNCTION("GOOGLETRANSLATE(A3328, ""de"", ""en"")"),"Josh")</f>
        <v>Josh</v>
      </c>
    </row>
    <row r="3329">
      <c r="A3329" s="1" t="s">
        <v>3329</v>
      </c>
      <c r="B3329" s="2" t="str">
        <f>IFERROR(__xludf.DUMMYFUNCTION("GOOGLETRANSLATE(A3329, ""de"", ""en"")"),"Wayne")</f>
        <v>Wayne</v>
      </c>
    </row>
    <row r="3330">
      <c r="A3330" s="1" t="s">
        <v>3330</v>
      </c>
      <c r="B3330" s="2" t="str">
        <f>IFERROR(__xludf.DUMMYFUNCTION("GOOGLETRANSLATE(A3330, ""de"", ""en"")"),"turn around")</f>
        <v>turn around</v>
      </c>
    </row>
    <row r="3331">
      <c r="A3331" s="1" t="s">
        <v>3331</v>
      </c>
      <c r="B3331" s="2" t="str">
        <f>IFERROR(__xludf.DUMMYFUNCTION("GOOGLETRANSLATE(A3331, ""de"", ""en"")"),"we")</f>
        <v>we</v>
      </c>
    </row>
    <row r="3332">
      <c r="A3332" s="1" t="s">
        <v>3332</v>
      </c>
      <c r="B3332" s="2" t="str">
        <f>IFERROR(__xludf.DUMMYFUNCTION("GOOGLETRANSLATE(A3332, ""de"", ""en"")"),"fetch")</f>
        <v>fetch</v>
      </c>
    </row>
    <row r="3333">
      <c r="A3333" s="1" t="s">
        <v>3333</v>
      </c>
      <c r="B3333" s="2" t="str">
        <f>IFERROR(__xludf.DUMMYFUNCTION("GOOGLETRANSLATE(A3333, ""de"", ""en"")"),"searched")</f>
        <v>searched</v>
      </c>
    </row>
    <row r="3334">
      <c r="A3334" s="1" t="s">
        <v>3334</v>
      </c>
      <c r="B3334" s="2" t="str">
        <f>IFERROR(__xludf.DUMMYFUNCTION("GOOGLETRANSLATE(A3334, ""de"", ""en"")"),"start")</f>
        <v>start</v>
      </c>
    </row>
    <row r="3335">
      <c r="A3335" s="1" t="s">
        <v>3335</v>
      </c>
      <c r="B3335" s="2" t="str">
        <f>IFERROR(__xludf.DUMMYFUNCTION("GOOGLETRANSLATE(A3335, ""de"", ""en"")"),"feet")</f>
        <v>feet</v>
      </c>
    </row>
    <row r="3336">
      <c r="A3336" s="1" t="s">
        <v>3336</v>
      </c>
      <c r="B3336" s="2" t="str">
        <f>IFERROR(__xludf.DUMMYFUNCTION("GOOGLETRANSLATE(A3336, ""de"", ""en"")"),"unhappy")</f>
        <v>unhappy</v>
      </c>
    </row>
    <row r="3337">
      <c r="A3337" s="1" t="s">
        <v>3337</v>
      </c>
      <c r="B3337" s="2" t="str">
        <f>IFERROR(__xludf.DUMMYFUNCTION("GOOGLETRANSLATE(A3337, ""de"", ""en"")"),"happy")</f>
        <v>happy</v>
      </c>
    </row>
    <row r="3338">
      <c r="A3338" s="1" t="s">
        <v>3338</v>
      </c>
      <c r="B3338" s="2" t="str">
        <f>IFERROR(__xludf.DUMMYFUNCTION("GOOGLETRANSLATE(A3338, ""de"", ""en"")"),"sand")</f>
        <v>sand</v>
      </c>
    </row>
    <row r="3339">
      <c r="A3339" s="1" t="s">
        <v>3339</v>
      </c>
      <c r="B3339" s="2" t="str">
        <f>IFERROR(__xludf.DUMMYFUNCTION("GOOGLETRANSLATE(A3339, ""de"", ""en"")"),"priest")</f>
        <v>priest</v>
      </c>
    </row>
    <row r="3340">
      <c r="A3340" s="1" t="s">
        <v>3340</v>
      </c>
      <c r="B3340" s="2" t="str">
        <f>IFERROR(__xludf.DUMMYFUNCTION("GOOGLETRANSLATE(A3340, ""de"", ""en"")"),"plus")</f>
        <v>plus</v>
      </c>
    </row>
    <row r="3341">
      <c r="A3341" s="1" t="s">
        <v>3341</v>
      </c>
      <c r="B3341" s="2" t="str">
        <f>IFERROR(__xludf.DUMMYFUNCTION("GOOGLETRANSLATE(A3341, ""de"", ""en"")"),"nancy")</f>
        <v>nancy</v>
      </c>
    </row>
    <row r="3342">
      <c r="A3342" s="1" t="s">
        <v>3342</v>
      </c>
      <c r="B3342" s="2" t="str">
        <f>IFERROR(__xludf.DUMMYFUNCTION("GOOGLETRANSLATE(A3342, ""de"", ""en"")"),"brought")</f>
        <v>brought</v>
      </c>
    </row>
    <row r="3343">
      <c r="A3343" s="1" t="s">
        <v>3343</v>
      </c>
      <c r="B3343" s="2" t="str">
        <f>IFERROR(__xludf.DUMMYFUNCTION("GOOGLETRANSLATE(A3343, ""de"", ""en"")"),"magic")</f>
        <v>magic</v>
      </c>
    </row>
    <row r="3344">
      <c r="A3344" s="1" t="s">
        <v>3344</v>
      </c>
      <c r="B3344" s="2" t="str">
        <f>IFERROR(__xludf.DUMMYFUNCTION("GOOGLETRANSLATE(A3344, ""de"", ""en"")"),"touch")</f>
        <v>touch</v>
      </c>
    </row>
    <row r="3345">
      <c r="A3345" s="1" t="s">
        <v>3345</v>
      </c>
      <c r="B3345" s="2" t="str">
        <f>IFERROR(__xludf.DUMMYFUNCTION("GOOGLETRANSLATE(A3345, ""de"", ""en"")"),"return")</f>
        <v>return</v>
      </c>
    </row>
    <row r="3346">
      <c r="A3346" s="1" t="s">
        <v>3346</v>
      </c>
      <c r="B3346" s="2" t="str">
        <f>IFERROR(__xludf.DUMMYFUNCTION("GOOGLETRANSLATE(A3346, ""de"", ""en"")"),"harbor")</f>
        <v>harbor</v>
      </c>
    </row>
    <row r="3347">
      <c r="A3347" s="1" t="s">
        <v>3347</v>
      </c>
      <c r="B3347" s="2" t="str">
        <f>IFERROR(__xludf.DUMMYFUNCTION("GOOGLETRANSLATE(A3347, ""de"", ""en"")"),"Indians")</f>
        <v>Indians</v>
      </c>
    </row>
    <row r="3348">
      <c r="A3348" s="1" t="s">
        <v>3348</v>
      </c>
      <c r="B3348" s="2" t="str">
        <f>IFERROR(__xludf.DUMMYFUNCTION("GOOGLETRANSLATE(A3348, ""de"", ""en"")"),"miller")</f>
        <v>miller</v>
      </c>
    </row>
    <row r="3349">
      <c r="A3349" s="1" t="s">
        <v>3349</v>
      </c>
      <c r="B3349" s="2" t="str">
        <f>IFERROR(__xludf.DUMMYFUNCTION("GOOGLETRANSLATE(A3349, ""de"", ""en"")"),"waste")</f>
        <v>waste</v>
      </c>
    </row>
    <row r="3350">
      <c r="A3350" s="1" t="s">
        <v>3350</v>
      </c>
      <c r="B3350" s="2" t="str">
        <f>IFERROR(__xludf.DUMMYFUNCTION("GOOGLETRANSLATE(A3350, ""de"", ""en"")"),"examined")</f>
        <v>examined</v>
      </c>
    </row>
    <row r="3351">
      <c r="A3351" s="1" t="s">
        <v>3351</v>
      </c>
      <c r="B3351" s="2" t="str">
        <f>IFERROR(__xludf.DUMMYFUNCTION("GOOGLETRANSLATE(A3351, ""de"", ""en"")"),"royal")</f>
        <v>royal</v>
      </c>
    </row>
    <row r="3352">
      <c r="A3352" s="1" t="s">
        <v>3352</v>
      </c>
      <c r="B3352" s="2" t="str">
        <f>IFERROR(__xludf.DUMMYFUNCTION("GOOGLETRANSLATE(A3352, ""de"", ""en"")"),"jean")</f>
        <v>jean</v>
      </c>
    </row>
    <row r="3353">
      <c r="A3353" s="1" t="s">
        <v>3353</v>
      </c>
      <c r="B3353" s="2" t="str">
        <f>IFERROR(__xludf.DUMMYFUNCTION("GOOGLETRANSLATE(A3353, ""de"", ""en"")"),"read")</f>
        <v>read</v>
      </c>
    </row>
    <row r="3354">
      <c r="A3354" s="1" t="s">
        <v>3354</v>
      </c>
      <c r="B3354" s="2" t="str">
        <f>IFERROR(__xludf.DUMMYFUNCTION("GOOGLETRANSLATE(A3354, ""de"", ""en"")"),"steel")</f>
        <v>steel</v>
      </c>
    </row>
    <row r="3355">
      <c r="A3355" s="1" t="s">
        <v>3355</v>
      </c>
      <c r="B3355" s="2" t="str">
        <f>IFERROR(__xludf.DUMMYFUNCTION("GOOGLETRANSLATE(A3355, ""de"", ""en"")"),"would have")</f>
        <v>would have</v>
      </c>
    </row>
    <row r="3356">
      <c r="A3356" s="1" t="s">
        <v>3356</v>
      </c>
      <c r="B3356" s="2" t="str">
        <f>IFERROR(__xludf.DUMMYFUNCTION("GOOGLETRANSLATE(A3356, ""de"", ""en"")"),"monkeys")</f>
        <v>monkeys</v>
      </c>
    </row>
    <row r="3357">
      <c r="A3357" s="1" t="s">
        <v>3357</v>
      </c>
      <c r="B3357" s="2" t="str">
        <f>IFERROR(__xludf.DUMMYFUNCTION("GOOGLETRANSLATE(A3357, ""de"", ""en"")"),"words")</f>
        <v>words</v>
      </c>
    </row>
    <row r="3358">
      <c r="A3358" s="1" t="s">
        <v>3358</v>
      </c>
      <c r="B3358" s="2" t="str">
        <f>IFERROR(__xludf.DUMMYFUNCTION("GOOGLETRANSLATE(A3358, ""de"", ""en"")"),"childhood")</f>
        <v>childhood</v>
      </c>
    </row>
    <row r="3359">
      <c r="A3359" s="1" t="s">
        <v>3359</v>
      </c>
      <c r="B3359" s="2" t="str">
        <f>IFERROR(__xludf.DUMMYFUNCTION("GOOGLETRANSLATE(A3359, ""de"", ""en"")"),"wanted")</f>
        <v>wanted</v>
      </c>
    </row>
    <row r="3360">
      <c r="A3360" s="1" t="s">
        <v>3360</v>
      </c>
      <c r="B3360" s="2" t="str">
        <f>IFERROR(__xludf.DUMMYFUNCTION("GOOGLETRANSLATE(A3360, ""de"", ""en"")"),"op")</f>
        <v>op</v>
      </c>
    </row>
    <row r="3361">
      <c r="A3361" s="1" t="s">
        <v>3361</v>
      </c>
      <c r="B3361" s="2" t="str">
        <f>IFERROR(__xludf.DUMMYFUNCTION("GOOGLETRANSLATE(A3361, ""de"", ""en"")"),"avoid")</f>
        <v>avoid</v>
      </c>
    </row>
    <row r="3362">
      <c r="A3362" s="1" t="s">
        <v>3362</v>
      </c>
      <c r="B3362" s="2" t="str">
        <f>IFERROR(__xludf.DUMMYFUNCTION("GOOGLETRANSLATE(A3362, ""de"", ""en"")"),"factory")</f>
        <v>factory</v>
      </c>
    </row>
    <row r="3363">
      <c r="A3363" s="1" t="s">
        <v>3363</v>
      </c>
      <c r="B3363" s="2" t="str">
        <f>IFERROR(__xludf.DUMMYFUNCTION("GOOGLETRANSLATE(A3363, ""de"", ""en"")"),"testify")</f>
        <v>testify</v>
      </c>
    </row>
    <row r="3364">
      <c r="A3364" s="1" t="s">
        <v>3364</v>
      </c>
      <c r="B3364" s="2" t="str">
        <f>IFERROR(__xludf.DUMMYFUNCTION("GOOGLETRANSLATE(A3364, ""de"", ""en"")"),"wonderful")</f>
        <v>wonderful</v>
      </c>
    </row>
    <row r="3365">
      <c r="A3365" s="1" t="s">
        <v>3365</v>
      </c>
      <c r="B3365" s="2" t="str">
        <f>IFERROR(__xludf.DUMMYFUNCTION("GOOGLETRANSLATE(A3365, ""de"", ""en"")"),"grandpa")</f>
        <v>grandpa</v>
      </c>
    </row>
    <row r="3366">
      <c r="A3366" s="1" t="s">
        <v>3366</v>
      </c>
      <c r="B3366" s="2" t="str">
        <f>IFERROR(__xludf.DUMMYFUNCTION("GOOGLETRANSLATE(A3366, ""de"", ""en"")"),"bitch")</f>
        <v>bitch</v>
      </c>
    </row>
    <row r="3367">
      <c r="A3367" s="1" t="s">
        <v>3367</v>
      </c>
      <c r="B3367" s="2" t="str">
        <f>IFERROR(__xludf.DUMMYFUNCTION("GOOGLETRANSLATE(A3367, ""de"", ""en"")"),"crazy")</f>
        <v>crazy</v>
      </c>
    </row>
    <row r="3368">
      <c r="A3368" s="1" t="s">
        <v>3368</v>
      </c>
      <c r="B3368" s="2" t="str">
        <f>IFERROR(__xludf.DUMMYFUNCTION("GOOGLETRANSLATE(A3368, ""de"", ""en"")"),"lane")</f>
        <v>lane</v>
      </c>
    </row>
    <row r="3369">
      <c r="A3369" s="1" t="s">
        <v>3369</v>
      </c>
      <c r="B3369" s="2" t="str">
        <f>IFERROR(__xludf.DUMMYFUNCTION("GOOGLETRANSLATE(A3369, ""de"", ""en"")"),"Virgo")</f>
        <v>Virgo</v>
      </c>
    </row>
    <row r="3370">
      <c r="A3370" s="1" t="s">
        <v>3370</v>
      </c>
      <c r="B3370" s="2" t="str">
        <f>IFERROR(__xludf.DUMMYFUNCTION("GOOGLETRANSLATE(A3370, ""de"", ""en"")"),"simple")</f>
        <v>simple</v>
      </c>
    </row>
    <row r="3371">
      <c r="A3371" s="1" t="s">
        <v>3371</v>
      </c>
      <c r="B3371" s="2" t="str">
        <f>IFERROR(__xludf.DUMMYFUNCTION("GOOGLETRANSLATE(A3371, ""de"", ""en"")"),"nate")</f>
        <v>nate</v>
      </c>
    </row>
    <row r="3372">
      <c r="A3372" s="1" t="s">
        <v>3372</v>
      </c>
      <c r="B3372" s="2" t="str">
        <f>IFERROR(__xludf.DUMMYFUNCTION("GOOGLETRANSLATE(A3372, ""de"", ""en"")"),"run")</f>
        <v>run</v>
      </c>
    </row>
    <row r="3373">
      <c r="A3373" s="1" t="s">
        <v>3373</v>
      </c>
      <c r="B3373" s="2" t="str">
        <f>IFERROR(__xludf.DUMMYFUNCTION("GOOGLETRANSLATE(A3373, ""de"", ""en"")"),"tricked")</f>
        <v>tricked</v>
      </c>
    </row>
    <row r="3374">
      <c r="A3374" s="1" t="s">
        <v>3374</v>
      </c>
      <c r="B3374" s="2" t="str">
        <f>IFERROR(__xludf.DUMMYFUNCTION("GOOGLETRANSLATE(A3374, ""de"", ""en"")"),"strange")</f>
        <v>strange</v>
      </c>
    </row>
    <row r="3375">
      <c r="A3375" s="1" t="s">
        <v>3375</v>
      </c>
      <c r="B3375" s="2" t="str">
        <f>IFERROR(__xludf.DUMMYFUNCTION("GOOGLETRANSLATE(A3375, ""de"", ""en"")"),"marries")</f>
        <v>marries</v>
      </c>
    </row>
    <row r="3376">
      <c r="A3376" s="1" t="s">
        <v>3376</v>
      </c>
      <c r="B3376" s="2" t="str">
        <f>IFERROR(__xludf.DUMMYFUNCTION("GOOGLETRANSLATE(A3376, ""de"", ""en"")"),"pleasant")</f>
        <v>pleasant</v>
      </c>
    </row>
    <row r="3377">
      <c r="A3377" s="1" t="s">
        <v>3377</v>
      </c>
      <c r="B3377" s="2" t="str">
        <f>IFERROR(__xludf.DUMMYFUNCTION("GOOGLETRANSLATE(A3377, ""de"", ""en"")"),"home")</f>
        <v>home</v>
      </c>
    </row>
    <row r="3378">
      <c r="A3378" s="1" t="s">
        <v>3378</v>
      </c>
      <c r="B3378" s="2" t="str">
        <f>IFERROR(__xludf.DUMMYFUNCTION("GOOGLETRANSLATE(A3378, ""de"", ""en"")"),"plan")</f>
        <v>plan</v>
      </c>
    </row>
    <row r="3379">
      <c r="A3379" s="1" t="s">
        <v>3379</v>
      </c>
      <c r="B3379" s="2" t="str">
        <f>IFERROR(__xludf.DUMMYFUNCTION("GOOGLETRANSLATE(A3379, ""de"", ""en"")"),"to steal")</f>
        <v>to steal</v>
      </c>
    </row>
    <row r="3380">
      <c r="A3380" s="1" t="s">
        <v>3380</v>
      </c>
      <c r="B3380" s="2" t="str">
        <f>IFERROR(__xludf.DUMMYFUNCTION("GOOGLETRANSLATE(A3380, ""de"", ""en"")"),"odor")</f>
        <v>odor</v>
      </c>
    </row>
    <row r="3381">
      <c r="A3381" s="1" t="s">
        <v>3381</v>
      </c>
      <c r="B3381" s="2" t="str">
        <f>IFERROR(__xludf.DUMMYFUNCTION("GOOGLETRANSLATE(A3381, ""de"", ""en"")"),"marty")</f>
        <v>marty</v>
      </c>
    </row>
    <row r="3382">
      <c r="A3382" s="1" t="s">
        <v>3382</v>
      </c>
      <c r="B3382" s="2" t="str">
        <f>IFERROR(__xludf.DUMMYFUNCTION("GOOGLETRANSLATE(A3382, ""de"", ""en"")"),"sound")</f>
        <v>sound</v>
      </c>
    </row>
    <row r="3383">
      <c r="A3383" s="1" t="s">
        <v>3383</v>
      </c>
      <c r="B3383" s="2" t="str">
        <f>IFERROR(__xludf.DUMMYFUNCTION("GOOGLETRANSLATE(A3383, ""de"", ""en"")"),"tina")</f>
        <v>tina</v>
      </c>
    </row>
    <row r="3384">
      <c r="A3384" s="1" t="s">
        <v>3384</v>
      </c>
      <c r="B3384" s="2" t="str">
        <f>IFERROR(__xludf.DUMMYFUNCTION("GOOGLETRANSLATE(A3384, ""de"", ""en"")"),"next")</f>
        <v>next</v>
      </c>
    </row>
    <row r="3385">
      <c r="A3385" s="1" t="s">
        <v>3385</v>
      </c>
      <c r="B3385" s="2" t="str">
        <f>IFERROR(__xludf.DUMMYFUNCTION("GOOGLETRANSLATE(A3385, ""de"", ""en"")"),"heard")</f>
        <v>heard</v>
      </c>
    </row>
    <row r="3386">
      <c r="A3386" s="1" t="s">
        <v>3386</v>
      </c>
      <c r="B3386" s="2" t="str">
        <f>IFERROR(__xludf.DUMMYFUNCTION("GOOGLETRANSLATE(A3386, ""de"", ""en"")"),"Jackie")</f>
        <v>Jackie</v>
      </c>
    </row>
    <row r="3387">
      <c r="A3387" s="1" t="s">
        <v>3387</v>
      </c>
      <c r="B3387" s="2" t="str">
        <f>IFERROR(__xludf.DUMMYFUNCTION("GOOGLETRANSLATE(A3387, ""de"", ""en"")"),"met")</f>
        <v>met</v>
      </c>
    </row>
    <row r="3388">
      <c r="A3388" s="1" t="s">
        <v>3388</v>
      </c>
      <c r="B3388" s="2" t="str">
        <f>IFERROR(__xludf.DUMMYFUNCTION("GOOGLETRANSLATE(A3388, ""de"", ""en"")"),"reluctantly")</f>
        <v>reluctantly</v>
      </c>
    </row>
    <row r="3389">
      <c r="A3389" s="1" t="s">
        <v>3389</v>
      </c>
      <c r="B3389" s="2" t="str">
        <f>IFERROR(__xludf.DUMMYFUNCTION("GOOGLETRANSLATE(A3389, ""de"", ""en"")"),"rejected")</f>
        <v>rejected</v>
      </c>
    </row>
    <row r="3390">
      <c r="A3390" s="1" t="s">
        <v>3390</v>
      </c>
      <c r="B3390" s="2" t="str">
        <f>IFERROR(__xludf.DUMMYFUNCTION("GOOGLETRANSLATE(A3390, ""de"", ""en"")"),"first")</f>
        <v>first</v>
      </c>
    </row>
    <row r="3391">
      <c r="A3391" s="1" t="s">
        <v>3391</v>
      </c>
      <c r="B3391" s="2" t="str">
        <f>IFERROR(__xludf.DUMMYFUNCTION("GOOGLETRANSLATE(A3391, ""de"", ""en"")"),"agreement")</f>
        <v>agreement</v>
      </c>
    </row>
    <row r="3392">
      <c r="A3392" s="1" t="s">
        <v>3392</v>
      </c>
      <c r="B3392" s="2" t="str">
        <f>IFERROR(__xludf.DUMMYFUNCTION("GOOGLETRANSLATE(A3392, ""de"", ""en"")"),"appetite")</f>
        <v>appetite</v>
      </c>
    </row>
    <row r="3393">
      <c r="A3393" s="1" t="s">
        <v>3393</v>
      </c>
      <c r="B3393" s="2" t="str">
        <f>IFERROR(__xludf.DUMMYFUNCTION("GOOGLETRANSLATE(A3393, ""de"", ""en"")"),"Miami")</f>
        <v>Miami</v>
      </c>
    </row>
    <row r="3394">
      <c r="A3394" s="1" t="s">
        <v>3394</v>
      </c>
      <c r="B3394" s="2" t="str">
        <f>IFERROR(__xludf.DUMMYFUNCTION("GOOGLETRANSLATE(A3394, ""de"", ""en"")"),"showed")</f>
        <v>showed</v>
      </c>
    </row>
    <row r="3395">
      <c r="A3395" s="1" t="s">
        <v>3395</v>
      </c>
      <c r="B3395" s="2" t="str">
        <f>IFERROR(__xludf.DUMMYFUNCTION("GOOGLETRANSLATE(A3395, ""de"", ""en"")"),"fan")</f>
        <v>fan</v>
      </c>
    </row>
    <row r="3396">
      <c r="A3396" s="1" t="s">
        <v>3396</v>
      </c>
      <c r="B3396" s="2" t="str">
        <f>IFERROR(__xludf.DUMMYFUNCTION("GOOGLETRANSLATE(A3396, ""de"", ""en"")"),"high")</f>
        <v>high</v>
      </c>
    </row>
    <row r="3397">
      <c r="A3397" s="1" t="s">
        <v>3397</v>
      </c>
      <c r="B3397" s="2" t="str">
        <f>IFERROR(__xludf.DUMMYFUNCTION("GOOGLETRANSLATE(A3397, ""de"", ""en"")"),"alf")</f>
        <v>alf</v>
      </c>
    </row>
    <row r="3398">
      <c r="A3398" s="1" t="s">
        <v>3398</v>
      </c>
      <c r="B3398" s="2" t="str">
        <f>IFERROR(__xludf.DUMMYFUNCTION("GOOGLETRANSLATE(A3398, ""de"", ""en"")"),"ladies")</f>
        <v>ladies</v>
      </c>
    </row>
    <row r="3399">
      <c r="A3399" s="1" t="s">
        <v>3399</v>
      </c>
      <c r="B3399" s="2" t="str">
        <f>IFERROR(__xludf.DUMMYFUNCTION("GOOGLETRANSLATE(A3399, ""de"", ""en"")"),"sms")</f>
        <v>sms</v>
      </c>
    </row>
    <row r="3400">
      <c r="A3400" s="1" t="s">
        <v>3400</v>
      </c>
      <c r="B3400" s="2" t="str">
        <f>IFERROR(__xludf.DUMMYFUNCTION("GOOGLETRANSLATE(A3400, ""de"", ""en"")"),"sale")</f>
        <v>sale</v>
      </c>
    </row>
    <row r="3401">
      <c r="A3401" s="1" t="s">
        <v>3401</v>
      </c>
      <c r="B3401" s="2" t="str">
        <f>IFERROR(__xludf.DUMMYFUNCTION("GOOGLETRANSLATE(A3401, ""de"", ""en"")"),"Jamie")</f>
        <v>Jamie</v>
      </c>
    </row>
    <row r="3402">
      <c r="A3402" s="1" t="s">
        <v>3402</v>
      </c>
      <c r="B3402" s="2" t="str">
        <f>IFERROR(__xludf.DUMMYFUNCTION("GOOGLETRANSLATE(A3402, ""de"", ""en"")"),"hide")</f>
        <v>hide</v>
      </c>
    </row>
    <row r="3403">
      <c r="A3403" s="1" t="s">
        <v>3403</v>
      </c>
      <c r="B3403" s="2" t="str">
        <f>IFERROR(__xludf.DUMMYFUNCTION("GOOGLETRANSLATE(A3403, ""de"", ""en"")"),"ensures")</f>
        <v>ensures</v>
      </c>
    </row>
    <row r="3404">
      <c r="A3404" s="1" t="s">
        <v>3404</v>
      </c>
      <c r="B3404" s="2" t="str">
        <f>IFERROR(__xludf.DUMMYFUNCTION("GOOGLETRANSLATE(A3404, ""de"", ""en"")"),"Karl")</f>
        <v>Karl</v>
      </c>
    </row>
    <row r="3405">
      <c r="A3405" s="1" t="s">
        <v>3405</v>
      </c>
      <c r="B3405" s="2" t="str">
        <f>IFERROR(__xludf.DUMMYFUNCTION("GOOGLETRANSLATE(A3405, ""de"", ""en"")"),"son")</f>
        <v>son</v>
      </c>
    </row>
    <row r="3406">
      <c r="A3406" s="1" t="s">
        <v>3406</v>
      </c>
      <c r="B3406" s="2" t="str">
        <f>IFERROR(__xludf.DUMMYFUNCTION("GOOGLETRANSLATE(A3406, ""de"", ""en"")"),"famous")</f>
        <v>famous</v>
      </c>
    </row>
    <row r="3407">
      <c r="A3407" s="1" t="s">
        <v>3407</v>
      </c>
      <c r="B3407" s="2" t="str">
        <f>IFERROR(__xludf.DUMMYFUNCTION("GOOGLETRANSLATE(A3407, ""de"", ""en"")"),"exit")</f>
        <v>exit</v>
      </c>
    </row>
    <row r="3408">
      <c r="A3408" s="1" t="s">
        <v>3408</v>
      </c>
      <c r="B3408" s="2" t="str">
        <f>IFERROR(__xludf.DUMMYFUNCTION("GOOGLETRANSLATE(A3408, ""de"", ""en"")"),"Bonnie")</f>
        <v>Bonnie</v>
      </c>
    </row>
    <row r="3409">
      <c r="A3409" s="1" t="s">
        <v>3409</v>
      </c>
      <c r="B3409" s="2" t="str">
        <f>IFERROR(__xludf.DUMMYFUNCTION("GOOGLETRANSLATE(A3409, ""de"", ""en"")"),"would go")</f>
        <v>would go</v>
      </c>
    </row>
    <row r="3410">
      <c r="A3410" s="1" t="s">
        <v>3410</v>
      </c>
      <c r="B3410" s="2" t="str">
        <f>IFERROR(__xludf.DUMMYFUNCTION("GOOGLETRANSLATE(A3410, ""de"", ""en"")"),"go in")</f>
        <v>go in</v>
      </c>
    </row>
    <row r="3411">
      <c r="A3411" s="1" t="s">
        <v>3411</v>
      </c>
      <c r="B3411" s="2" t="str">
        <f>IFERROR(__xludf.DUMMYFUNCTION("GOOGLETRANSLATE(A3411, ""de"", ""en"")"),"was allowed")</f>
        <v>was allowed</v>
      </c>
    </row>
    <row r="3412">
      <c r="A3412" s="1" t="s">
        <v>3412</v>
      </c>
      <c r="B3412" s="2" t="str">
        <f>IFERROR(__xludf.DUMMYFUNCTION("GOOGLETRANSLATE(A3412, ""de"", ""en"")"),"correction")</f>
        <v>correction</v>
      </c>
    </row>
    <row r="3413">
      <c r="A3413" s="1" t="s">
        <v>3413</v>
      </c>
      <c r="B3413" s="2" t="str">
        <f>IFERROR(__xludf.DUMMYFUNCTION("GOOGLETRANSLATE(A3413, ""de"", ""en"")"),"throws")</f>
        <v>throws</v>
      </c>
    </row>
    <row r="3414">
      <c r="A3414" s="1" t="s">
        <v>3414</v>
      </c>
      <c r="B3414" s="2" t="str">
        <f>IFERROR(__xludf.DUMMYFUNCTION("GOOGLETRANSLATE(A3414, ""de"", ""en"")"),"tits")</f>
        <v>tits</v>
      </c>
    </row>
    <row r="3415">
      <c r="A3415" s="1" t="s">
        <v>3415</v>
      </c>
      <c r="B3415" s="2" t="str">
        <f>IFERROR(__xludf.DUMMYFUNCTION("GOOGLETRANSLATE(A3415, ""de"", ""en"")"),"enter")</f>
        <v>enter</v>
      </c>
    </row>
    <row r="3416">
      <c r="A3416" s="1" t="s">
        <v>3416</v>
      </c>
      <c r="B3416" s="2" t="str">
        <f>IFERROR(__xludf.DUMMYFUNCTION("GOOGLETRANSLATE(A3416, ""de"", ""en"")"),"death")</f>
        <v>death</v>
      </c>
    </row>
    <row r="3417">
      <c r="A3417" s="1" t="s">
        <v>3417</v>
      </c>
      <c r="B3417" s="2" t="str">
        <f>IFERROR(__xludf.DUMMYFUNCTION("GOOGLETRANSLATE(A3417, ""de"", ""en"")"),"one")</f>
        <v>one</v>
      </c>
    </row>
    <row r="3418">
      <c r="A3418" s="1" t="s">
        <v>3418</v>
      </c>
      <c r="B3418" s="2" t="str">
        <f>IFERROR(__xludf.DUMMYFUNCTION("GOOGLETRANSLATE(A3418, ""de"", ""en"")"),"doctor")</f>
        <v>doctor</v>
      </c>
    </row>
    <row r="3419">
      <c r="A3419" s="1" t="s">
        <v>3419</v>
      </c>
      <c r="B3419" s="2" t="str">
        <f>IFERROR(__xludf.DUMMYFUNCTION("GOOGLETRANSLATE(A3419, ""de"", ""en"")"),"stupid")</f>
        <v>stupid</v>
      </c>
    </row>
    <row r="3420">
      <c r="A3420" s="1" t="s">
        <v>3420</v>
      </c>
      <c r="B3420" s="2" t="str">
        <f>IFERROR(__xludf.DUMMYFUNCTION("GOOGLETRANSLATE(A3420, ""de"", ""en"")"),"miles")</f>
        <v>miles</v>
      </c>
    </row>
    <row r="3421">
      <c r="A3421" s="1" t="s">
        <v>3421</v>
      </c>
      <c r="B3421" s="2" t="str">
        <f>IFERROR(__xludf.DUMMYFUNCTION("GOOGLETRANSLATE(A3421, ""de"", ""en"")"),"get out")</f>
        <v>get out</v>
      </c>
    </row>
    <row r="3422">
      <c r="A3422" s="1" t="s">
        <v>3422</v>
      </c>
      <c r="B3422" s="2" t="str">
        <f>IFERROR(__xludf.DUMMYFUNCTION("GOOGLETRANSLATE(A3422, ""de"", ""en"")"),"height")</f>
        <v>height</v>
      </c>
    </row>
    <row r="3423">
      <c r="A3423" s="1" t="s">
        <v>3423</v>
      </c>
      <c r="B3423" s="2" t="str">
        <f>IFERROR(__xludf.DUMMYFUNCTION("GOOGLETRANSLATE(A3423, ""de"", ""en"")"),"recording")</f>
        <v>recording</v>
      </c>
    </row>
    <row r="3424">
      <c r="A3424" s="1" t="s">
        <v>3424</v>
      </c>
      <c r="B3424" s="2" t="str">
        <f>IFERROR(__xludf.DUMMYFUNCTION("GOOGLETRANSLATE(A3424, ""de"", ""en"")"),"by")</f>
        <v>by</v>
      </c>
    </row>
    <row r="3425">
      <c r="A3425" s="1" t="s">
        <v>3425</v>
      </c>
      <c r="B3425" s="2" t="str">
        <f>IFERROR(__xludf.DUMMYFUNCTION("GOOGLETRANSLATE(A3425, ""de"", ""en"")"),"holmes")</f>
        <v>holmes</v>
      </c>
    </row>
    <row r="3426">
      <c r="A3426" s="1" t="s">
        <v>3426</v>
      </c>
      <c r="B3426" s="2" t="str">
        <f>IFERROR(__xludf.DUMMYFUNCTION("GOOGLETRANSLATE(A3426, ""de"", ""en"")"),"prettier")</f>
        <v>prettier</v>
      </c>
    </row>
    <row r="3427">
      <c r="A3427" s="1" t="s">
        <v>3427</v>
      </c>
      <c r="B3427" s="2" t="str">
        <f>IFERROR(__xludf.DUMMYFUNCTION("GOOGLETRANSLATE(A3427, ""de"", ""en"")"),"Vegas")</f>
        <v>Vegas</v>
      </c>
    </row>
    <row r="3428">
      <c r="A3428" s="1" t="s">
        <v>3428</v>
      </c>
      <c r="B3428" s="2" t="str">
        <f>IFERROR(__xludf.DUMMYFUNCTION("GOOGLETRANSLATE(A3428, ""de"", ""en"")"),"manager")</f>
        <v>manager</v>
      </c>
    </row>
    <row r="3429">
      <c r="A3429" s="1" t="s">
        <v>3429</v>
      </c>
      <c r="B3429" s="2" t="str">
        <f>IFERROR(__xludf.DUMMYFUNCTION("GOOGLETRANSLATE(A3429, ""de"", ""en"")"),"position")</f>
        <v>position</v>
      </c>
    </row>
    <row r="3430">
      <c r="A3430" s="1" t="s">
        <v>3430</v>
      </c>
      <c r="B3430" s="2" t="str">
        <f>IFERROR(__xludf.DUMMYFUNCTION("GOOGLETRANSLATE(A3430, ""de"", ""en"")"),"cave")</f>
        <v>cave</v>
      </c>
    </row>
    <row r="3431">
      <c r="A3431" s="1" t="s">
        <v>3431</v>
      </c>
      <c r="B3431" s="2" t="str">
        <f>IFERROR(__xludf.DUMMYFUNCTION("GOOGLETRANSLATE(A3431, ""de"", ""en"")"),"chocolate")</f>
        <v>chocolate</v>
      </c>
    </row>
    <row r="3432">
      <c r="A3432" s="1" t="s">
        <v>3432</v>
      </c>
      <c r="B3432" s="2" t="str">
        <f>IFERROR(__xludf.DUMMYFUNCTION("GOOGLETRANSLATE(A3432, ""de"", ""en"")"),"offered")</f>
        <v>offered</v>
      </c>
    </row>
    <row r="3433">
      <c r="A3433" s="1" t="s">
        <v>3433</v>
      </c>
      <c r="B3433" s="2" t="str">
        <f>IFERROR(__xludf.DUMMYFUNCTION("GOOGLETRANSLATE(A3433, ""de"", ""en"")"),"friends")</f>
        <v>friends</v>
      </c>
    </row>
    <row r="3434">
      <c r="A3434" s="1" t="s">
        <v>3434</v>
      </c>
      <c r="B3434" s="2" t="str">
        <f>IFERROR(__xludf.DUMMYFUNCTION("GOOGLETRANSLATE(A3434, ""de"", ""en"")"),"woman")</f>
        <v>woman</v>
      </c>
    </row>
    <row r="3435">
      <c r="A3435" s="1" t="s">
        <v>3435</v>
      </c>
      <c r="B3435" s="2" t="str">
        <f>IFERROR(__xludf.DUMMYFUNCTION("GOOGLETRANSLATE(A3435, ""de"", ""en"")"),"of all things")</f>
        <v>of all things</v>
      </c>
    </row>
    <row r="3436">
      <c r="A3436" s="1" t="s">
        <v>3436</v>
      </c>
      <c r="B3436" s="2" t="str">
        <f>IFERROR(__xludf.DUMMYFUNCTION("GOOGLETRANSLATE(A3436, ""de"", ""en"")"),"walker")</f>
        <v>walker</v>
      </c>
    </row>
    <row r="3437">
      <c r="A3437" s="1" t="s">
        <v>3437</v>
      </c>
      <c r="B3437" s="2" t="str">
        <f>IFERROR(__xludf.DUMMYFUNCTION("GOOGLETRANSLATE(A3437, ""de"", ""en"")"),"teach")</f>
        <v>teach</v>
      </c>
    </row>
    <row r="3438">
      <c r="A3438" s="1" t="s">
        <v>3438</v>
      </c>
      <c r="B3438" s="2" t="str">
        <f>IFERROR(__xludf.DUMMYFUNCTION("GOOGLETRANSLATE(A3438, ""de"", ""en"")"),"nelson")</f>
        <v>nelson</v>
      </c>
    </row>
    <row r="3439">
      <c r="A3439" s="1" t="s">
        <v>3439</v>
      </c>
      <c r="B3439" s="2" t="str">
        <f>IFERROR(__xludf.DUMMYFUNCTION("GOOGLETRANSLATE(A3439, ""de"", ""en"")"),"ex")</f>
        <v>ex</v>
      </c>
    </row>
    <row r="3440">
      <c r="A3440" s="1" t="s">
        <v>3440</v>
      </c>
      <c r="B3440" s="2" t="str">
        <f>IFERROR(__xludf.DUMMYFUNCTION("GOOGLETRANSLATE(A3440, ""de"", ""en"")"),"reward")</f>
        <v>reward</v>
      </c>
    </row>
    <row r="3441">
      <c r="A3441" s="1" t="s">
        <v>3441</v>
      </c>
      <c r="B3441" s="2" t="str">
        <f>IFERROR(__xludf.DUMMYFUNCTION("GOOGLETRANSLATE(A3441, ""de"", ""en"")"),"souls")</f>
        <v>souls</v>
      </c>
    </row>
    <row r="3442">
      <c r="A3442" s="1" t="s">
        <v>3442</v>
      </c>
      <c r="B3442" s="2" t="str">
        <f>IFERROR(__xludf.DUMMYFUNCTION("GOOGLETRANSLATE(A3442, ""de"", ""en"")"),"stones")</f>
        <v>stones</v>
      </c>
    </row>
    <row r="3443">
      <c r="A3443" s="1" t="s">
        <v>3443</v>
      </c>
      <c r="B3443" s="2" t="str">
        <f>IFERROR(__xludf.DUMMYFUNCTION("GOOGLETRANSLATE(A3443, ""de"", ""en"")"),"garage")</f>
        <v>garage</v>
      </c>
    </row>
    <row r="3444">
      <c r="A3444" s="1" t="s">
        <v>3444</v>
      </c>
      <c r="B3444" s="2" t="str">
        <f>IFERROR(__xludf.DUMMYFUNCTION("GOOGLETRANSLATE(A3444, ""de"", ""en"")"),"shithead")</f>
        <v>shithead</v>
      </c>
    </row>
    <row r="3445">
      <c r="A3445" s="1" t="s">
        <v>3445</v>
      </c>
      <c r="B3445" s="2" t="str">
        <f>IFERROR(__xludf.DUMMYFUNCTION("GOOGLETRANSLATE(A3445, ""de"", ""en"")"),"disturbed")</f>
        <v>disturbed</v>
      </c>
    </row>
    <row r="3446">
      <c r="A3446" s="1" t="s">
        <v>3446</v>
      </c>
      <c r="B3446" s="2" t="str">
        <f>IFERROR(__xludf.DUMMYFUNCTION("GOOGLETRANSLATE(A3446, ""de"", ""en"")"),"cooper")</f>
        <v>cooper</v>
      </c>
    </row>
    <row r="3447">
      <c r="A3447" s="1" t="s">
        <v>3447</v>
      </c>
      <c r="B3447" s="2" t="str">
        <f>IFERROR(__xludf.DUMMYFUNCTION("GOOGLETRANSLATE(A3447, ""de"", ""en"")"),"rest")</f>
        <v>rest</v>
      </c>
    </row>
    <row r="3448">
      <c r="A3448" s="1" t="s">
        <v>3448</v>
      </c>
      <c r="B3448" s="2" t="str">
        <f>IFERROR(__xludf.DUMMYFUNCTION("GOOGLETRANSLATE(A3448, ""de"", ""en"")"),"pills")</f>
        <v>pills</v>
      </c>
    </row>
    <row r="3449">
      <c r="A3449" s="1" t="s">
        <v>3449</v>
      </c>
      <c r="B3449" s="2" t="str">
        <f>IFERROR(__xludf.DUMMYFUNCTION("GOOGLETRANSLATE(A3449, ""de"", ""en"")"),"baggage")</f>
        <v>baggage</v>
      </c>
    </row>
    <row r="3450">
      <c r="A3450" s="1" t="s">
        <v>3450</v>
      </c>
      <c r="B3450" s="2" t="str">
        <f>IFERROR(__xludf.DUMMYFUNCTION("GOOGLETRANSLATE(A3450, ""de"", ""en"")"),"carol")</f>
        <v>carol</v>
      </c>
    </row>
    <row r="3451">
      <c r="A3451" s="1" t="s">
        <v>3451</v>
      </c>
      <c r="B3451" s="2" t="str">
        <f>IFERROR(__xludf.DUMMYFUNCTION("GOOGLETRANSLATE(A3451, ""de"", ""en"")"),"Norman")</f>
        <v>Norman</v>
      </c>
    </row>
    <row r="3452">
      <c r="A3452" s="1" t="s">
        <v>3452</v>
      </c>
      <c r="B3452" s="2" t="str">
        <f>IFERROR(__xludf.DUMMYFUNCTION("GOOGLETRANSLATE(A3452, ""de"", ""en"")"),"zoe")</f>
        <v>zoe</v>
      </c>
    </row>
    <row r="3453">
      <c r="A3453" s="1" t="s">
        <v>3453</v>
      </c>
      <c r="B3453" s="2" t="str">
        <f>IFERROR(__xludf.DUMMYFUNCTION("GOOGLETRANSLATE(A3453, ""de"", ""en"")"),"American")</f>
        <v>American</v>
      </c>
    </row>
    <row r="3454">
      <c r="A3454" s="1" t="s">
        <v>3454</v>
      </c>
      <c r="B3454" s="2" t="str">
        <f>IFERROR(__xludf.DUMMYFUNCTION("GOOGLETRANSLATE(A3454, ""de"", ""en"")"),"make a phone call")</f>
        <v>make a phone call</v>
      </c>
    </row>
    <row r="3455">
      <c r="A3455" s="1" t="s">
        <v>3455</v>
      </c>
      <c r="B3455" s="2" t="str">
        <f>IFERROR(__xludf.DUMMYFUNCTION("GOOGLETRANSLATE(A3455, ""de"", ""en"")"),"marry")</f>
        <v>marry</v>
      </c>
    </row>
    <row r="3456">
      <c r="A3456" s="1" t="s">
        <v>3456</v>
      </c>
      <c r="B3456" s="2" t="str">
        <f>IFERROR(__xludf.DUMMYFUNCTION("GOOGLETRANSLATE(A3456, ""de"", ""en"")"),"recognize")</f>
        <v>recognize</v>
      </c>
    </row>
    <row r="3457">
      <c r="A3457" s="1" t="s">
        <v>3457</v>
      </c>
      <c r="B3457" s="2" t="str">
        <f>IFERROR(__xludf.DUMMYFUNCTION("GOOGLETRANSLATE(A3457, ""de"", ""en"")"),"radio")</f>
        <v>radio</v>
      </c>
    </row>
    <row r="3458">
      <c r="A3458" s="1" t="s">
        <v>3458</v>
      </c>
      <c r="B3458" s="2" t="str">
        <f>IFERROR(__xludf.DUMMYFUNCTION("GOOGLETRANSLATE(A3458, ""de"", ""en"")"),"greetings")</f>
        <v>greetings</v>
      </c>
    </row>
    <row r="3459">
      <c r="A3459" s="1" t="s">
        <v>3459</v>
      </c>
      <c r="B3459" s="2" t="str">
        <f>IFERROR(__xludf.DUMMYFUNCTION("GOOGLETRANSLATE(A3459, ""de"", ""en"")"),"son of a bitch")</f>
        <v>son of a bitch</v>
      </c>
    </row>
    <row r="3460">
      <c r="A3460" s="1" t="s">
        <v>3460</v>
      </c>
      <c r="B3460" s="2" t="str">
        <f>IFERROR(__xludf.DUMMYFUNCTION("GOOGLETRANSLATE(A3460, ""de"", ""en"")"),"possible")</f>
        <v>possible</v>
      </c>
    </row>
    <row r="3461">
      <c r="A3461" s="1" t="s">
        <v>3461</v>
      </c>
      <c r="B3461" s="2" t="str">
        <f>IFERROR(__xludf.DUMMYFUNCTION("GOOGLETRANSLATE(A3461, ""de"", ""en"")"),"jump")</f>
        <v>jump</v>
      </c>
    </row>
    <row r="3462">
      <c r="A3462" s="1" t="s">
        <v>3462</v>
      </c>
      <c r="B3462" s="2" t="str">
        <f>IFERROR(__xludf.DUMMYFUNCTION("GOOGLETRANSLATE(A3462, ""de"", ""en"")"),"uni")</f>
        <v>uni</v>
      </c>
    </row>
    <row r="3463">
      <c r="A3463" s="1" t="s">
        <v>3463</v>
      </c>
      <c r="B3463" s="2" t="str">
        <f>IFERROR(__xludf.DUMMYFUNCTION("GOOGLETRANSLATE(A3463, ""de"", ""en"")"),"apparently")</f>
        <v>apparently</v>
      </c>
    </row>
    <row r="3464">
      <c r="A3464" s="1" t="s">
        <v>3464</v>
      </c>
      <c r="B3464" s="2" t="str">
        <f>IFERROR(__xludf.DUMMYFUNCTION("GOOGLETRANSLATE(A3464, ""de"", ""en"")"),"facts")</f>
        <v>facts</v>
      </c>
    </row>
    <row r="3465">
      <c r="A3465" s="1" t="s">
        <v>3465</v>
      </c>
      <c r="B3465" s="2" t="str">
        <f>IFERROR(__xludf.DUMMYFUNCTION("GOOGLETRANSLATE(A3465, ""de"", ""en"")"),"inform")</f>
        <v>inform</v>
      </c>
    </row>
    <row r="3466">
      <c r="A3466" s="1" t="s">
        <v>3466</v>
      </c>
      <c r="B3466" s="2" t="str">
        <f>IFERROR(__xludf.DUMMYFUNCTION("GOOGLETRANSLATE(A3466, ""de"", ""en"")"),"youth")</f>
        <v>youth</v>
      </c>
    </row>
    <row r="3467">
      <c r="A3467" s="1" t="s">
        <v>3467</v>
      </c>
      <c r="B3467" s="2" t="str">
        <f>IFERROR(__xludf.DUMMYFUNCTION("GOOGLETRANSLATE(A3467, ""de"", ""en"")"),"celebration")</f>
        <v>celebration</v>
      </c>
    </row>
    <row r="3468">
      <c r="A3468" s="1" t="s">
        <v>3468</v>
      </c>
      <c r="B3468" s="2" t="str">
        <f>IFERROR(__xludf.DUMMYFUNCTION("GOOGLETRANSLATE(A3468, ""de"", ""en"")"),"few")</f>
        <v>few</v>
      </c>
    </row>
    <row r="3469">
      <c r="A3469" s="1" t="s">
        <v>3469</v>
      </c>
      <c r="B3469" s="2" t="str">
        <f>IFERROR(__xludf.DUMMYFUNCTION("GOOGLETRANSLATE(A3469, ""de"", ""en"")"),"sons")</f>
        <v>sons</v>
      </c>
    </row>
    <row r="3470">
      <c r="A3470" s="1" t="s">
        <v>3470</v>
      </c>
      <c r="B3470" s="2" t="str">
        <f>IFERROR(__xludf.DUMMYFUNCTION("GOOGLETRANSLATE(A3470, ""de"", ""en"")"),"petrol")</f>
        <v>petrol</v>
      </c>
    </row>
    <row r="3471">
      <c r="A3471" s="1" t="s">
        <v>3471</v>
      </c>
      <c r="B3471" s="2" t="str">
        <f>IFERROR(__xludf.DUMMYFUNCTION("GOOGLETRANSLATE(A3471, ""de"", ""en"")"),"nothing")</f>
        <v>nothing</v>
      </c>
    </row>
    <row r="3472">
      <c r="A3472" s="1" t="s">
        <v>3472</v>
      </c>
      <c r="B3472" s="2" t="str">
        <f>IFERROR(__xludf.DUMMYFUNCTION("GOOGLETRANSLATE(A3472, ""de"", ""en"")"),"vampires")</f>
        <v>vampires</v>
      </c>
    </row>
    <row r="3473">
      <c r="A3473" s="1" t="s">
        <v>3473</v>
      </c>
      <c r="B3473" s="2" t="str">
        <f>IFERROR(__xludf.DUMMYFUNCTION("GOOGLETRANSLATE(A3473, ""de"", ""en"")"),"recognizes")</f>
        <v>recognizes</v>
      </c>
    </row>
    <row r="3474">
      <c r="A3474" s="1" t="s">
        <v>3474</v>
      </c>
      <c r="B3474" s="2" t="str">
        <f>IFERROR(__xludf.DUMMYFUNCTION("GOOGLETRANSLATE(A3474, ""de"", ""en"")"),"safer")</f>
        <v>safer</v>
      </c>
    </row>
    <row r="3475">
      <c r="A3475" s="1" t="s">
        <v>3475</v>
      </c>
      <c r="B3475" s="2" t="str">
        <f>IFERROR(__xludf.DUMMYFUNCTION("GOOGLETRANSLATE(A3475, ""de"", ""en"")"),"cigarettes")</f>
        <v>cigarettes</v>
      </c>
    </row>
    <row r="3476">
      <c r="A3476" s="1" t="s">
        <v>3476</v>
      </c>
      <c r="B3476" s="2" t="str">
        <f>IFERROR(__xludf.DUMMYFUNCTION("GOOGLETRANSLATE(A3476, ""de"", ""en"")"),"stupid")</f>
        <v>stupid</v>
      </c>
    </row>
    <row r="3477">
      <c r="A3477" s="1" t="s">
        <v>3477</v>
      </c>
      <c r="B3477" s="2" t="str">
        <f>IFERROR(__xludf.DUMMYFUNCTION("GOOGLETRANSLATE(A3477, ""de"", ""en"")"),"wall")</f>
        <v>wall</v>
      </c>
    </row>
    <row r="3478">
      <c r="A3478" s="1" t="s">
        <v>3478</v>
      </c>
      <c r="B3478" s="2" t="str">
        <f>IFERROR(__xludf.DUMMYFUNCTION("GOOGLETRANSLATE(A3478, ""de"", ""en"")"),"anew")</f>
        <v>anew</v>
      </c>
    </row>
    <row r="3479">
      <c r="A3479" s="1" t="s">
        <v>3479</v>
      </c>
      <c r="B3479" s="2" t="str">
        <f>IFERROR(__xludf.DUMMYFUNCTION("GOOGLETRANSLATE(A3479, ""de"", ""en"")"),"wing")</f>
        <v>wing</v>
      </c>
    </row>
    <row r="3480">
      <c r="A3480" s="1" t="s">
        <v>3480</v>
      </c>
      <c r="B3480" s="2" t="str">
        <f>IFERROR(__xludf.DUMMYFUNCTION("GOOGLETRANSLATE(A3480, ""de"", ""en"")"),"gulp")</f>
        <v>gulp</v>
      </c>
    </row>
    <row r="3481">
      <c r="A3481" s="1" t="s">
        <v>3481</v>
      </c>
      <c r="B3481" s="2" t="str">
        <f>IFERROR(__xludf.DUMMYFUNCTION("GOOGLETRANSLATE(A3481, ""de"", ""en"")"),"stay here")</f>
        <v>stay here</v>
      </c>
    </row>
    <row r="3482">
      <c r="A3482" s="1" t="s">
        <v>3482</v>
      </c>
      <c r="B3482" s="2" t="str">
        <f>IFERROR(__xludf.DUMMYFUNCTION("GOOGLETRANSLATE(A3482, ""de"", ""en"")"),"diploma")</f>
        <v>diploma</v>
      </c>
    </row>
    <row r="3483">
      <c r="A3483" s="1" t="s">
        <v>3483</v>
      </c>
      <c r="B3483" s="2" t="str">
        <f>IFERROR(__xludf.DUMMYFUNCTION("GOOGLETRANSLATE(A3483, ""de"", ""en"")"),"Christ")</f>
        <v>Christ</v>
      </c>
    </row>
    <row r="3484">
      <c r="A3484" s="1" t="s">
        <v>3484</v>
      </c>
      <c r="B3484" s="2" t="str">
        <f>IFERROR(__xludf.DUMMYFUNCTION("GOOGLETRANSLATE(A3484, ""de"", ""en"")"),"pay")</f>
        <v>pay</v>
      </c>
    </row>
    <row r="3485">
      <c r="A3485" s="1" t="s">
        <v>3485</v>
      </c>
      <c r="B3485" s="2" t="str">
        <f>IFERROR(__xludf.DUMMYFUNCTION("GOOGLETRANSLATE(A3485, ""de"", ""en"")"),"evil")</f>
        <v>evil</v>
      </c>
    </row>
    <row r="3486">
      <c r="A3486" s="1" t="s">
        <v>3486</v>
      </c>
      <c r="B3486" s="2" t="str">
        <f>IFERROR(__xludf.DUMMYFUNCTION("GOOGLETRANSLATE(A3486, ""de"", ""en"")"),"stupid")</f>
        <v>stupid</v>
      </c>
    </row>
    <row r="3487">
      <c r="A3487" s="1" t="s">
        <v>3487</v>
      </c>
      <c r="B3487" s="2" t="str">
        <f>IFERROR(__xludf.DUMMYFUNCTION("GOOGLETRANSLATE(A3487, ""de"", ""en"")"),"rumors")</f>
        <v>rumors</v>
      </c>
    </row>
    <row r="3488">
      <c r="A3488" s="1" t="s">
        <v>3488</v>
      </c>
      <c r="B3488" s="2" t="str">
        <f>IFERROR(__xludf.DUMMYFUNCTION("GOOGLETRANSLATE(A3488, ""de"", ""en"")"),"set")</f>
        <v>set</v>
      </c>
    </row>
    <row r="3489">
      <c r="A3489" s="1" t="s">
        <v>3489</v>
      </c>
      <c r="B3489" s="2" t="str">
        <f>IFERROR(__xludf.DUMMYFUNCTION("GOOGLETRANSLATE(A3489, ""de"", ""en"")"),"m.")</f>
        <v>m.</v>
      </c>
    </row>
    <row r="3490">
      <c r="A3490" s="1" t="s">
        <v>3490</v>
      </c>
      <c r="B3490" s="2" t="str">
        <f>IFERROR(__xludf.DUMMYFUNCTION("GOOGLETRANSLATE(A3490, ""de"", ""en"")"),"move on")</f>
        <v>move on</v>
      </c>
    </row>
    <row r="3491">
      <c r="A3491" s="1" t="s">
        <v>3491</v>
      </c>
      <c r="B3491" s="2" t="str">
        <f>IFERROR(__xludf.DUMMYFUNCTION("GOOGLETRANSLATE(A3491, ""de"", ""en"")"),"technology")</f>
        <v>technology</v>
      </c>
    </row>
    <row r="3492">
      <c r="A3492" s="1" t="s">
        <v>3492</v>
      </c>
      <c r="B3492" s="2" t="str">
        <f>IFERROR(__xludf.DUMMYFUNCTION("GOOGLETRANSLATE(A3492, ""de"", ""en"")"),"ali")</f>
        <v>ali</v>
      </c>
    </row>
    <row r="3493">
      <c r="A3493" s="1" t="s">
        <v>3493</v>
      </c>
      <c r="B3493" s="2" t="str">
        <f>IFERROR(__xludf.DUMMYFUNCTION("GOOGLETRANSLATE(A3493, ""de"", ""en"")"),"doubt")</f>
        <v>doubt</v>
      </c>
    </row>
    <row r="3494">
      <c r="A3494" s="1" t="s">
        <v>3494</v>
      </c>
      <c r="B3494" s="2" t="str">
        <f>IFERROR(__xludf.DUMMYFUNCTION("GOOGLETRANSLATE(A3494, ""de"", ""en"")"),"piper")</f>
        <v>piper</v>
      </c>
    </row>
    <row r="3495">
      <c r="A3495" s="1" t="s">
        <v>3495</v>
      </c>
      <c r="B3495" s="2" t="str">
        <f>IFERROR(__xludf.DUMMYFUNCTION("GOOGLETRANSLATE(A3495, ""de"", ""en"")"),"over")</f>
        <v>over</v>
      </c>
    </row>
    <row r="3496">
      <c r="A3496" s="1" t="s">
        <v>3496</v>
      </c>
      <c r="B3496" s="2" t="str">
        <f>IFERROR(__xludf.DUMMYFUNCTION("GOOGLETRANSLATE(A3496, ""de"", ""en"")"),"cost")</f>
        <v>cost</v>
      </c>
    </row>
    <row r="3497">
      <c r="A3497" s="1" t="s">
        <v>3497</v>
      </c>
      <c r="B3497" s="2" t="str">
        <f>IFERROR(__xludf.DUMMYFUNCTION("GOOGLETRANSLATE(A3497, ""de"", ""en"")"),"advertisement")</f>
        <v>advertisement</v>
      </c>
    </row>
    <row r="3498">
      <c r="A3498" s="1" t="s">
        <v>3498</v>
      </c>
      <c r="B3498" s="2" t="str">
        <f>IFERROR(__xludf.DUMMYFUNCTION("GOOGLETRANSLATE(A3498, ""de"", ""en"")"),"live")</f>
        <v>live</v>
      </c>
    </row>
    <row r="3499">
      <c r="A3499" s="1" t="s">
        <v>3499</v>
      </c>
      <c r="B3499" s="2" t="str">
        <f>IFERROR(__xludf.DUMMYFUNCTION("GOOGLETRANSLATE(A3499, ""de"", ""en"")"),"Hans")</f>
        <v>Hans</v>
      </c>
    </row>
    <row r="3500">
      <c r="A3500" s="1" t="s">
        <v>3500</v>
      </c>
      <c r="B3500" s="2" t="str">
        <f>IFERROR(__xludf.DUMMYFUNCTION("GOOGLETRANSLATE(A3500, ""de"", ""en"")"),"result")</f>
        <v>result</v>
      </c>
    </row>
    <row r="3501">
      <c r="A3501" s="1" t="s">
        <v>3501</v>
      </c>
      <c r="B3501" s="2" t="str">
        <f>IFERROR(__xludf.DUMMYFUNCTION("GOOGLETRANSLATE(A3501, ""de"", ""en"")"),"conditions")</f>
        <v>conditions</v>
      </c>
    </row>
    <row r="3502">
      <c r="A3502" s="1" t="s">
        <v>3502</v>
      </c>
      <c r="B3502" s="2" t="str">
        <f>IFERROR(__xludf.DUMMYFUNCTION("GOOGLETRANSLATE(A3502, ""de"", ""en"")"),"brad")</f>
        <v>brad</v>
      </c>
    </row>
    <row r="3503">
      <c r="A3503" s="1" t="s">
        <v>3503</v>
      </c>
      <c r="B3503" s="2" t="str">
        <f>IFERROR(__xludf.DUMMYFUNCTION("GOOGLETRANSLATE(A3503, ""de"", ""en"")"),"to stop")</f>
        <v>to stop</v>
      </c>
    </row>
    <row r="3504">
      <c r="A3504" s="1" t="s">
        <v>3504</v>
      </c>
      <c r="B3504" s="2" t="str">
        <f>IFERROR(__xludf.DUMMYFUNCTION("GOOGLETRANSLATE(A3504, ""de"", ""en"")"),"promise")</f>
        <v>promise</v>
      </c>
    </row>
    <row r="3505">
      <c r="A3505" s="1" t="s">
        <v>3505</v>
      </c>
      <c r="B3505" s="2" t="str">
        <f>IFERROR(__xludf.DUMMYFUNCTION("GOOGLETRANSLATE(A3505, ""de"", ""en"")"),"deserve")</f>
        <v>deserve</v>
      </c>
    </row>
    <row r="3506">
      <c r="A3506" s="1" t="s">
        <v>3506</v>
      </c>
      <c r="B3506" s="2" t="str">
        <f>IFERROR(__xludf.DUMMYFUNCTION("GOOGLETRANSLATE(A3506, ""de"", ""en"")"),"caught")</f>
        <v>caught</v>
      </c>
    </row>
    <row r="3507">
      <c r="A3507" s="1" t="s">
        <v>3507</v>
      </c>
      <c r="B3507" s="2" t="str">
        <f>IFERROR(__xludf.DUMMYFUNCTION("GOOGLETRANSLATE(A3507, ""de"", ""en"")"),"francis")</f>
        <v>francis</v>
      </c>
    </row>
    <row r="3508">
      <c r="A3508" s="1" t="s">
        <v>3508</v>
      </c>
      <c r="B3508" s="2" t="str">
        <f>IFERROR(__xludf.DUMMYFUNCTION("GOOGLETRANSLATE(A3508, ""de"", ""en"")"),"hurry")</f>
        <v>hurry</v>
      </c>
    </row>
    <row r="3509">
      <c r="A3509" s="1" t="s">
        <v>3509</v>
      </c>
      <c r="B3509" s="2" t="str">
        <f>IFERROR(__xludf.DUMMYFUNCTION("GOOGLETRANSLATE(A3509, ""de"", ""en"")"),"inside")</f>
        <v>inside</v>
      </c>
    </row>
    <row r="3510">
      <c r="A3510" s="1" t="s">
        <v>3510</v>
      </c>
      <c r="B3510" s="2" t="str">
        <f>IFERROR(__xludf.DUMMYFUNCTION("GOOGLETRANSLATE(A3510, ""de"", ""en"")"),"Italy")</f>
        <v>Italy</v>
      </c>
    </row>
    <row r="3511">
      <c r="A3511" s="1" t="s">
        <v>3511</v>
      </c>
      <c r="B3511" s="2" t="str">
        <f>IFERROR(__xludf.DUMMYFUNCTION("GOOGLETRANSLATE(A3511, ""de"", ""en"")"),"agree")</f>
        <v>agree</v>
      </c>
    </row>
    <row r="3512">
      <c r="A3512" s="1" t="s">
        <v>3512</v>
      </c>
      <c r="B3512" s="2" t="str">
        <f>IFERROR(__xludf.DUMMYFUNCTION("GOOGLETRANSLATE(A3512, ""de"", ""en"")"),"negotiate")</f>
        <v>negotiate</v>
      </c>
    </row>
    <row r="3513">
      <c r="A3513" s="1" t="s">
        <v>3513</v>
      </c>
      <c r="B3513" s="2" t="str">
        <f>IFERROR(__xludf.DUMMYFUNCTION("GOOGLETRANSLATE(A3513, ""de"", ""en"")"),"why")</f>
        <v>why</v>
      </c>
    </row>
    <row r="3514">
      <c r="A3514" s="1" t="s">
        <v>3514</v>
      </c>
      <c r="B3514" s="2" t="str">
        <f>IFERROR(__xludf.DUMMYFUNCTION("GOOGLETRANSLATE(A3514, ""de"", ""en"")"),"useful")</f>
        <v>useful</v>
      </c>
    </row>
    <row r="3515">
      <c r="A3515" s="1" t="s">
        <v>3515</v>
      </c>
      <c r="B3515" s="2" t="str">
        <f>IFERROR(__xludf.DUMMYFUNCTION("GOOGLETRANSLATE(A3515, ""de"", ""en"")"),"inner")</f>
        <v>inner</v>
      </c>
    </row>
    <row r="3516">
      <c r="A3516" s="1" t="s">
        <v>3516</v>
      </c>
      <c r="B3516" s="2" t="str">
        <f>IFERROR(__xludf.DUMMYFUNCTION("GOOGLETRANSLATE(A3516, ""de"", ""en"")"),"gentleman")</f>
        <v>gentleman</v>
      </c>
    </row>
    <row r="3517">
      <c r="A3517" s="1" t="s">
        <v>3517</v>
      </c>
      <c r="B3517" s="2" t="str">
        <f>IFERROR(__xludf.DUMMYFUNCTION("GOOGLETRANSLATE(A3517, ""de"", ""en"")"),"felix")</f>
        <v>felix</v>
      </c>
    </row>
    <row r="3518">
      <c r="A3518" s="1" t="s">
        <v>3518</v>
      </c>
      <c r="B3518" s="2" t="str">
        <f>IFERROR(__xludf.DUMMYFUNCTION("GOOGLETRANSLATE(A3518, ""de"", ""en"")"),"forget")</f>
        <v>forget</v>
      </c>
    </row>
    <row r="3519">
      <c r="A3519" s="1" t="s">
        <v>3519</v>
      </c>
      <c r="B3519" s="2" t="str">
        <f>IFERROR(__xludf.DUMMYFUNCTION("GOOGLETRANSLATE(A3519, ""de"", ""en"")"),"dark")</f>
        <v>dark</v>
      </c>
    </row>
    <row r="3520">
      <c r="A3520" s="1" t="s">
        <v>3520</v>
      </c>
      <c r="B3520" s="2" t="str">
        <f>IFERROR(__xludf.DUMMYFUNCTION("GOOGLETRANSLATE(A3520, ""de"", ""en"")"),"warning")</f>
        <v>warning</v>
      </c>
    </row>
    <row r="3521">
      <c r="A3521" s="1" t="s">
        <v>3521</v>
      </c>
      <c r="B3521" s="2" t="str">
        <f>IFERROR(__xludf.DUMMYFUNCTION("GOOGLETRANSLATE(A3521, ""de"", ""en"")"),"community")</f>
        <v>community</v>
      </c>
    </row>
    <row r="3522">
      <c r="A3522" s="1" t="s">
        <v>3522</v>
      </c>
      <c r="B3522" s="2" t="str">
        <f>IFERROR(__xludf.DUMMYFUNCTION("GOOGLETRANSLATE(A3522, ""de"", ""en"")"),"diamonds")</f>
        <v>diamonds</v>
      </c>
    </row>
    <row r="3523">
      <c r="A3523" s="1" t="s">
        <v>3523</v>
      </c>
      <c r="B3523" s="2" t="str">
        <f>IFERROR(__xludf.DUMMYFUNCTION("GOOGLETRANSLATE(A3523, ""de"", ""en"")"),"grows")</f>
        <v>grows</v>
      </c>
    </row>
    <row r="3524">
      <c r="A3524" s="1" t="s">
        <v>3524</v>
      </c>
      <c r="B3524" s="2" t="str">
        <f>IFERROR(__xludf.DUMMYFUNCTION("GOOGLETRANSLATE(A3524, ""de"", ""en"")"),"usually")</f>
        <v>usually</v>
      </c>
    </row>
    <row r="3525">
      <c r="A3525" s="1" t="s">
        <v>3525</v>
      </c>
      <c r="B3525" s="2" t="str">
        <f>IFERROR(__xludf.DUMMYFUNCTION("GOOGLETRANSLATE(A3525, ""de"", ""en"")"),"rope")</f>
        <v>rope</v>
      </c>
    </row>
    <row r="3526">
      <c r="A3526" s="1" t="s">
        <v>3526</v>
      </c>
      <c r="B3526" s="2" t="str">
        <f>IFERROR(__xludf.DUMMYFUNCTION("GOOGLETRANSLATE(A3526, ""de"", ""en"")"),"bear")</f>
        <v>bear</v>
      </c>
    </row>
    <row r="3527">
      <c r="A3527" s="1" t="s">
        <v>3527</v>
      </c>
      <c r="B3527" s="2" t="str">
        <f>IFERROR(__xludf.DUMMYFUNCTION("GOOGLETRANSLATE(A3527, ""de"", ""en"")"),"euro")</f>
        <v>euro</v>
      </c>
    </row>
    <row r="3528">
      <c r="A3528" s="1" t="s">
        <v>3528</v>
      </c>
      <c r="B3528" s="2" t="str">
        <f>IFERROR(__xludf.DUMMYFUNCTION("GOOGLETRANSLATE(A3528, ""de"", ""en"")"),"great")</f>
        <v>great</v>
      </c>
    </row>
    <row r="3529">
      <c r="A3529" s="1" t="s">
        <v>3529</v>
      </c>
      <c r="B3529" s="2" t="str">
        <f>IFERROR(__xludf.DUMMYFUNCTION("GOOGLETRANSLATE(A3529, ""de"", ""en"")"),"Beth")</f>
        <v>Beth</v>
      </c>
    </row>
    <row r="3530">
      <c r="A3530" s="1" t="s">
        <v>3530</v>
      </c>
      <c r="B3530" s="2" t="str">
        <f>IFERROR(__xludf.DUMMYFUNCTION("GOOGLETRANSLATE(A3530, ""de"", ""en"")"),"goods")</f>
        <v>goods</v>
      </c>
    </row>
    <row r="3531">
      <c r="A3531" s="1" t="s">
        <v>3531</v>
      </c>
      <c r="B3531" s="2" t="str">
        <f>IFERROR(__xludf.DUMMYFUNCTION("GOOGLETRANSLATE(A3531, ""de"", ""en"")"),"sad ones")</f>
        <v>sad ones</v>
      </c>
    </row>
    <row r="3532">
      <c r="A3532" s="1" t="s">
        <v>3532</v>
      </c>
      <c r="B3532" s="2" t="str">
        <f>IFERROR(__xludf.DUMMYFUNCTION("GOOGLETRANSLATE(A3532, ""de"", ""en"")"),"personal")</f>
        <v>personal</v>
      </c>
    </row>
    <row r="3533">
      <c r="A3533" s="1" t="s">
        <v>3533</v>
      </c>
      <c r="B3533" s="2" t="str">
        <f>IFERROR(__xludf.DUMMYFUNCTION("GOOGLETRANSLATE(A3533, ""de"", ""en"")"),"figure")</f>
        <v>figure</v>
      </c>
    </row>
    <row r="3534">
      <c r="A3534" s="1" t="s">
        <v>3534</v>
      </c>
      <c r="B3534" s="2" t="str">
        <f>IFERROR(__xludf.DUMMYFUNCTION("GOOGLETRANSLATE(A3534, ""de"", ""en"")"),"time")</f>
        <v>time</v>
      </c>
    </row>
    <row r="3535">
      <c r="A3535" s="1" t="s">
        <v>3535</v>
      </c>
      <c r="B3535" s="2" t="str">
        <f>IFERROR(__xludf.DUMMYFUNCTION("GOOGLETRANSLATE(A3535, ""de"", ""en"")"),"robot")</f>
        <v>robot</v>
      </c>
    </row>
    <row r="3536">
      <c r="A3536" s="1" t="s">
        <v>3536</v>
      </c>
      <c r="B3536" s="2" t="str">
        <f>IFERROR(__xludf.DUMMYFUNCTION("GOOGLETRANSLATE(A3536, ""de"", ""en"")"),"look at")</f>
        <v>look at</v>
      </c>
    </row>
    <row r="3537">
      <c r="A3537" s="1" t="s">
        <v>3537</v>
      </c>
      <c r="B3537" s="2" t="str">
        <f>IFERROR(__xludf.DUMMYFUNCTION("GOOGLETRANSLATE(A3537, ""de"", ""en"")"),"recently")</f>
        <v>recently</v>
      </c>
    </row>
    <row r="3538">
      <c r="A3538" s="1" t="s">
        <v>3538</v>
      </c>
      <c r="B3538" s="2" t="str">
        <f>IFERROR(__xludf.DUMMYFUNCTION("GOOGLETRANSLATE(A3538, ""de"", ""en"")"),"material")</f>
        <v>material</v>
      </c>
    </row>
    <row r="3539">
      <c r="A3539" s="1" t="s">
        <v>3539</v>
      </c>
      <c r="B3539" s="2" t="str">
        <f>IFERROR(__xludf.DUMMYFUNCTION("GOOGLETRANSLATE(A3539, ""de"", ""en"")"),"paula")</f>
        <v>paula</v>
      </c>
    </row>
    <row r="3540">
      <c r="A3540" s="1" t="s">
        <v>3540</v>
      </c>
      <c r="B3540" s="2" t="str">
        <f>IFERROR(__xludf.DUMMYFUNCTION("GOOGLETRANSLATE(A3540, ""de"", ""en"")"),"would come")</f>
        <v>would come</v>
      </c>
    </row>
    <row r="3541">
      <c r="A3541" s="1" t="s">
        <v>3541</v>
      </c>
      <c r="B3541" s="2" t="str">
        <f>IFERROR(__xludf.DUMMYFUNCTION("GOOGLETRANSLATE(A3541, ""de"", ""en"")"),"put")</f>
        <v>put</v>
      </c>
    </row>
    <row r="3542">
      <c r="A3542" s="1" t="s">
        <v>3542</v>
      </c>
      <c r="B3542" s="2" t="str">
        <f>IFERROR(__xludf.DUMMYFUNCTION("GOOGLETRANSLATE(A3542, ""de"", ""en"")"),"prepared")</f>
        <v>prepared</v>
      </c>
    </row>
    <row r="3543">
      <c r="A3543" s="1" t="s">
        <v>3543</v>
      </c>
      <c r="B3543" s="2" t="str">
        <f>IFERROR(__xludf.DUMMYFUNCTION("GOOGLETRANSLATE(A3543, ""de"", ""en"")"),"come up")</f>
        <v>come up</v>
      </c>
    </row>
    <row r="3544">
      <c r="A3544" s="1" t="s">
        <v>3544</v>
      </c>
      <c r="B3544" s="2" t="str">
        <f>IFERROR(__xludf.DUMMYFUNCTION("GOOGLETRANSLATE(A3544, ""de"", ""en"")"),"cage")</f>
        <v>cage</v>
      </c>
    </row>
    <row r="3545">
      <c r="A3545" s="1" t="s">
        <v>3545</v>
      </c>
      <c r="B3545" s="2" t="str">
        <f>IFERROR(__xludf.DUMMYFUNCTION("GOOGLETRANSLATE(A3545, ""de"", ""en"")"),"fantasy")</f>
        <v>fantasy</v>
      </c>
    </row>
    <row r="3546">
      <c r="A3546" s="1" t="s">
        <v>3546</v>
      </c>
      <c r="B3546" s="2" t="str">
        <f>IFERROR(__xludf.DUMMYFUNCTION("GOOGLETRANSLATE(A3546, ""de"", ""en"")"),"broke")</f>
        <v>broke</v>
      </c>
    </row>
    <row r="3547">
      <c r="A3547" s="1" t="s">
        <v>3547</v>
      </c>
      <c r="B3547" s="2" t="str">
        <f>IFERROR(__xludf.DUMMYFUNCTION("GOOGLETRANSLATE(A3547, ""de"", ""en"")"),"sentence")</f>
        <v>sentence</v>
      </c>
    </row>
    <row r="3548">
      <c r="A3548" s="1" t="s">
        <v>3548</v>
      </c>
      <c r="B3548" s="2" t="str">
        <f>IFERROR(__xludf.DUMMYFUNCTION("GOOGLETRANSLATE(A3548, ""de"", ""en"")"),"commissioner")</f>
        <v>commissioner</v>
      </c>
    </row>
    <row r="3549">
      <c r="A3549" s="1" t="s">
        <v>3549</v>
      </c>
      <c r="B3549" s="2" t="str">
        <f>IFERROR(__xludf.DUMMYFUNCTION("GOOGLETRANSLATE(A3549, ""de"", ""en"")"),"excellence")</f>
        <v>excellence</v>
      </c>
    </row>
    <row r="3550">
      <c r="A3550" s="1" t="s">
        <v>3550</v>
      </c>
      <c r="B3550" s="2" t="str">
        <f>IFERROR(__xludf.DUMMYFUNCTION("GOOGLETRANSLATE(A3550, ""de"", ""en"")"),"you owe")</f>
        <v>you owe</v>
      </c>
    </row>
    <row r="3551">
      <c r="A3551" s="1" t="s">
        <v>3551</v>
      </c>
      <c r="B3551" s="2" t="str">
        <f>IFERROR(__xludf.DUMMYFUNCTION("GOOGLETRANSLATE(A3551, ""de"", ""en"")"),"wet")</f>
        <v>wet</v>
      </c>
    </row>
    <row r="3552">
      <c r="A3552" s="1" t="s">
        <v>3552</v>
      </c>
      <c r="B3552" s="2" t="str">
        <f>IFERROR(__xludf.DUMMYFUNCTION("GOOGLETRANSLATE(A3552, ""de"", ""en"")"),"revenge")</f>
        <v>revenge</v>
      </c>
    </row>
    <row r="3553">
      <c r="A3553" s="1" t="s">
        <v>3553</v>
      </c>
      <c r="B3553" s="2" t="str">
        <f>IFERROR(__xludf.DUMMYFUNCTION("GOOGLETRANSLATE(A3553, ""de"", ""en"")"),"possibly")</f>
        <v>possibly</v>
      </c>
    </row>
    <row r="3554">
      <c r="A3554" s="1" t="s">
        <v>3554</v>
      </c>
      <c r="B3554" s="2" t="str">
        <f>IFERROR(__xludf.DUMMYFUNCTION("GOOGLETRANSLATE(A3554, ""de"", ""en"")"),"greet")</f>
        <v>greet</v>
      </c>
    </row>
    <row r="3555">
      <c r="A3555" s="1" t="s">
        <v>3555</v>
      </c>
      <c r="B3555" s="2" t="str">
        <f>IFERROR(__xludf.DUMMYFUNCTION("GOOGLETRANSLATE(A3555, ""de"", ""en"")"),"Lou")</f>
        <v>Lou</v>
      </c>
    </row>
    <row r="3556">
      <c r="A3556" s="1" t="s">
        <v>3556</v>
      </c>
      <c r="B3556" s="2" t="str">
        <f>IFERROR(__xludf.DUMMYFUNCTION("GOOGLETRANSLATE(A3556, ""de"", ""en"")"),"Davis")</f>
        <v>Davis</v>
      </c>
    </row>
    <row r="3557">
      <c r="A3557" s="1" t="s">
        <v>3557</v>
      </c>
      <c r="B3557" s="2" t="str">
        <f>IFERROR(__xludf.DUMMYFUNCTION("GOOGLETRANSLATE(A3557, ""de"", ""en"")"),"surprise")</f>
        <v>surprise</v>
      </c>
    </row>
    <row r="3558">
      <c r="A3558" s="1" t="s">
        <v>3558</v>
      </c>
      <c r="B3558" s="2" t="str">
        <f>IFERROR(__xludf.DUMMYFUNCTION("GOOGLETRANSLATE(A3558, ""de"", ""en"")"),"human")</f>
        <v>human</v>
      </c>
    </row>
    <row r="3559">
      <c r="A3559" s="1" t="s">
        <v>3559</v>
      </c>
      <c r="B3559" s="2" t="str">
        <f>IFERROR(__xludf.DUMMYFUNCTION("GOOGLETRANSLATE(A3559, ""de"", ""en"")"),"repaired")</f>
        <v>repaired</v>
      </c>
    </row>
    <row r="3560">
      <c r="A3560" s="1" t="s">
        <v>3560</v>
      </c>
      <c r="B3560" s="2" t="str">
        <f>IFERROR(__xludf.DUMMYFUNCTION("GOOGLETRANSLATE(A3560, ""de"", ""en"")"),"guide")</f>
        <v>guide</v>
      </c>
    </row>
    <row r="3561">
      <c r="A3561" s="1" t="s">
        <v>3561</v>
      </c>
      <c r="B3561" s="2" t="str">
        <f>IFERROR(__xludf.DUMMYFUNCTION("GOOGLETRANSLATE(A3561, ""de"", ""en"")"),"confessed")</f>
        <v>confessed</v>
      </c>
    </row>
    <row r="3562">
      <c r="A3562" s="1" t="s">
        <v>3562</v>
      </c>
      <c r="B3562" s="2" t="str">
        <f>IFERROR(__xludf.DUMMYFUNCTION("GOOGLETRANSLATE(A3562, ""de"", ""en"")"),"Jacob")</f>
        <v>Jacob</v>
      </c>
    </row>
    <row r="3563">
      <c r="A3563" s="1" t="s">
        <v>3563</v>
      </c>
      <c r="B3563" s="2" t="str">
        <f>IFERROR(__xludf.DUMMYFUNCTION("GOOGLETRANSLATE(A3563, ""de"", ""en"")"),"protect")</f>
        <v>protect</v>
      </c>
    </row>
    <row r="3564">
      <c r="A3564" s="1" t="s">
        <v>3564</v>
      </c>
      <c r="B3564" s="2" t="str">
        <f>IFERROR(__xludf.DUMMYFUNCTION("GOOGLETRANSLATE(A3564, ""de"", ""en"")"),"disturb")</f>
        <v>disturb</v>
      </c>
    </row>
    <row r="3565">
      <c r="A3565" s="1" t="s">
        <v>3565</v>
      </c>
      <c r="B3565" s="2" t="str">
        <f>IFERROR(__xludf.DUMMYFUNCTION("GOOGLETRANSLATE(A3565, ""de"", ""en"")"),"nina")</f>
        <v>nina</v>
      </c>
    </row>
    <row r="3566">
      <c r="A3566" s="1" t="s">
        <v>3566</v>
      </c>
      <c r="B3566" s="2" t="str">
        <f>IFERROR(__xludf.DUMMYFUNCTION("GOOGLETRANSLATE(A3566, ""de"", ""en"")"),"film")</f>
        <v>film</v>
      </c>
    </row>
    <row r="3567">
      <c r="A3567" s="1" t="s">
        <v>3567</v>
      </c>
      <c r="B3567" s="2" t="str">
        <f>IFERROR(__xludf.DUMMYFUNCTION("GOOGLETRANSLATE(A3567, ""de"", ""en"")"),"jobs")</f>
        <v>jobs</v>
      </c>
    </row>
    <row r="3568">
      <c r="A3568" s="1" t="s">
        <v>3568</v>
      </c>
      <c r="B3568" s="2" t="str">
        <f>IFERROR(__xludf.DUMMYFUNCTION("GOOGLETRANSLATE(A3568, ""de"", ""en"")"),"machines")</f>
        <v>machines</v>
      </c>
    </row>
    <row r="3569">
      <c r="A3569" s="1" t="s">
        <v>3569</v>
      </c>
      <c r="B3569" s="2" t="str">
        <f>IFERROR(__xludf.DUMMYFUNCTION("GOOGLETRANSLATE(A3569, ""de"", ""en"")"),"documents")</f>
        <v>documents</v>
      </c>
    </row>
    <row r="3570">
      <c r="A3570" s="1" t="s">
        <v>3570</v>
      </c>
      <c r="B3570" s="2" t="str">
        <f>IFERROR(__xludf.DUMMYFUNCTION("GOOGLETRANSLATE(A3570, ""de"", ""en"")"),"palace")</f>
        <v>palace</v>
      </c>
    </row>
    <row r="3571">
      <c r="A3571" s="1" t="s">
        <v>3571</v>
      </c>
      <c r="B3571" s="2" t="str">
        <f>IFERROR(__xludf.DUMMYFUNCTION("GOOGLETRANSLATE(A3571, ""de"", ""en"")"),"dig")</f>
        <v>dig</v>
      </c>
    </row>
    <row r="3572">
      <c r="A3572" s="1" t="s">
        <v>3572</v>
      </c>
      <c r="B3572" s="2" t="str">
        <f>IFERROR(__xludf.DUMMYFUNCTION("GOOGLETRANSLATE(A3572, ""de"", ""en"")"),"chain")</f>
        <v>chain</v>
      </c>
    </row>
    <row r="3573">
      <c r="A3573" s="1" t="s">
        <v>3573</v>
      </c>
      <c r="B3573" s="2" t="str">
        <f>IFERROR(__xludf.DUMMYFUNCTION("GOOGLETRANSLATE(A3573, ""de"", ""en"")"),"turn up")</f>
        <v>turn up</v>
      </c>
    </row>
    <row r="3574">
      <c r="A3574" s="1" t="s">
        <v>3574</v>
      </c>
      <c r="B3574" s="2" t="str">
        <f>IFERROR(__xludf.DUMMYFUNCTION("GOOGLETRANSLATE(A3574, ""de"", ""en"")"),"interesting")</f>
        <v>interesting</v>
      </c>
    </row>
    <row r="3575">
      <c r="A3575" s="1" t="s">
        <v>3575</v>
      </c>
      <c r="B3575" s="2" t="str">
        <f>IFERROR(__xludf.DUMMYFUNCTION("GOOGLETRANSLATE(A3575, ""de"", ""en"")"),"from what")</f>
        <v>from what</v>
      </c>
    </row>
    <row r="3576">
      <c r="A3576" s="1" t="s">
        <v>3576</v>
      </c>
      <c r="B3576" s="2" t="str">
        <f>IFERROR(__xludf.DUMMYFUNCTION("GOOGLETRANSLATE(A3576, ""de"", ""en"")"),"jumps")</f>
        <v>jumps</v>
      </c>
    </row>
    <row r="3577">
      <c r="A3577" s="1" t="s">
        <v>3577</v>
      </c>
      <c r="B3577" s="2" t="str">
        <f>IFERROR(__xludf.DUMMYFUNCTION("GOOGLETRANSLATE(A3577, ""de"", ""en"")"),"terrorists")</f>
        <v>terrorists</v>
      </c>
    </row>
    <row r="3578">
      <c r="A3578" s="1" t="s">
        <v>3578</v>
      </c>
      <c r="B3578" s="2" t="str">
        <f>IFERROR(__xludf.DUMMYFUNCTION("GOOGLETRANSLATE(A3578, ""de"", ""en"")"),"stan")</f>
        <v>stan</v>
      </c>
    </row>
    <row r="3579">
      <c r="A3579" s="1" t="s">
        <v>3579</v>
      </c>
      <c r="B3579" s="2" t="str">
        <f>IFERROR(__xludf.DUMMYFUNCTION("GOOGLETRANSLATE(A3579, ""de"", ""en"")"),"fight")</f>
        <v>fight</v>
      </c>
    </row>
    <row r="3580">
      <c r="A3580" s="1" t="s">
        <v>3580</v>
      </c>
      <c r="B3580" s="2" t="str">
        <f>IFERROR(__xludf.DUMMYFUNCTION("GOOGLETRANSLATE(A3580, ""de"", ""en"")"),"noise")</f>
        <v>noise</v>
      </c>
    </row>
    <row r="3581">
      <c r="A3581" s="1" t="s">
        <v>3581</v>
      </c>
      <c r="B3581" s="2" t="str">
        <f>IFERROR(__xludf.DUMMYFUNCTION("GOOGLETRANSLATE(A3581, ""de"", ""en"")"),"beg")</f>
        <v>beg</v>
      </c>
    </row>
    <row r="3582">
      <c r="A3582" s="1" t="s">
        <v>3582</v>
      </c>
      <c r="B3582" s="2" t="str">
        <f>IFERROR(__xludf.DUMMYFUNCTION("GOOGLETRANSLATE(A3582, ""de"", ""en"")"),"grew up")</f>
        <v>grew up</v>
      </c>
    </row>
    <row r="3583">
      <c r="A3583" s="1" t="s">
        <v>3583</v>
      </c>
      <c r="B3583" s="2" t="str">
        <f>IFERROR(__xludf.DUMMYFUNCTION("GOOGLETRANSLATE(A3583, ""de"", ""en"")"),"worker")</f>
        <v>worker</v>
      </c>
    </row>
    <row r="3584">
      <c r="A3584" s="1" t="s">
        <v>3584</v>
      </c>
      <c r="B3584" s="2" t="str">
        <f>IFERROR(__xludf.DUMMYFUNCTION("GOOGLETRANSLATE(A3584, ""de"", ""en"")"),"larger")</f>
        <v>larger</v>
      </c>
    </row>
    <row r="3585">
      <c r="A3585" s="1" t="s">
        <v>3585</v>
      </c>
      <c r="B3585" s="2" t="str">
        <f>IFERROR(__xludf.DUMMYFUNCTION("GOOGLETRANSLATE(A3585, ""de"", ""en"")"),"humor")</f>
        <v>humor</v>
      </c>
    </row>
    <row r="3586">
      <c r="A3586" s="1" t="s">
        <v>3586</v>
      </c>
      <c r="B3586" s="2" t="str">
        <f>IFERROR(__xludf.DUMMYFUNCTION("GOOGLETRANSLATE(A3586, ""de"", ""en"")"),"regard")</f>
        <v>regard</v>
      </c>
    </row>
    <row r="3587">
      <c r="A3587" s="1" t="s">
        <v>3587</v>
      </c>
      <c r="B3587" s="2" t="str">
        <f>IFERROR(__xludf.DUMMYFUNCTION("GOOGLETRANSLATE(A3587, ""de"", ""en"")"),"be")</f>
        <v>be</v>
      </c>
    </row>
    <row r="3588">
      <c r="A3588" s="1" t="s">
        <v>3588</v>
      </c>
      <c r="B3588" s="2" t="str">
        <f>IFERROR(__xludf.DUMMYFUNCTION("GOOGLETRANSLATE(A3588, ""de"", ""en"")"),"organization")</f>
        <v>organization</v>
      </c>
    </row>
    <row r="3589">
      <c r="A3589" s="1" t="s">
        <v>3589</v>
      </c>
      <c r="B3589" s="2" t="str">
        <f>IFERROR(__xludf.DUMMYFUNCTION("GOOGLETRANSLATE(A3589, ""de"", ""en"")"),"resistance")</f>
        <v>resistance</v>
      </c>
    </row>
    <row r="3590">
      <c r="A3590" s="1" t="s">
        <v>3590</v>
      </c>
      <c r="B3590" s="2" t="str">
        <f>IFERROR(__xludf.DUMMYFUNCTION("GOOGLETRANSLATE(A3590, ""de"", ""en"")"),"recover")</f>
        <v>recover</v>
      </c>
    </row>
    <row r="3591">
      <c r="A3591" s="1" t="s">
        <v>3591</v>
      </c>
      <c r="B3591" s="2" t="str">
        <f>IFERROR(__xludf.DUMMYFUNCTION("GOOGLETRANSLATE(A3591, ""de"", ""en"")"),"studio")</f>
        <v>studio</v>
      </c>
    </row>
    <row r="3592">
      <c r="A3592" s="1" t="s">
        <v>3592</v>
      </c>
      <c r="B3592" s="2" t="str">
        <f>IFERROR(__xludf.DUMMYFUNCTION("GOOGLETRANSLATE(A3592, ""de"", ""en"")"),"homework")</f>
        <v>homework</v>
      </c>
    </row>
    <row r="3593">
      <c r="A3593" s="1" t="s">
        <v>3593</v>
      </c>
      <c r="B3593" s="2" t="str">
        <f>IFERROR(__xludf.DUMMYFUNCTION("GOOGLETRANSLATE(A3593, ""de"", ""en"")"),"fuck")</f>
        <v>fuck</v>
      </c>
    </row>
    <row r="3594">
      <c r="A3594" s="1" t="s">
        <v>3594</v>
      </c>
      <c r="B3594" s="2" t="str">
        <f>IFERROR(__xludf.DUMMYFUNCTION("GOOGLETRANSLATE(A3594, ""de"", ""en"")"),"stupid")</f>
        <v>stupid</v>
      </c>
    </row>
    <row r="3595">
      <c r="A3595" s="1" t="s">
        <v>3595</v>
      </c>
      <c r="B3595" s="2" t="str">
        <f>IFERROR(__xludf.DUMMYFUNCTION("GOOGLETRANSLATE(A3595, ""de"", ""en"")"),"go away")</f>
        <v>go away</v>
      </c>
    </row>
    <row r="3596">
      <c r="A3596" s="1" t="s">
        <v>3596</v>
      </c>
      <c r="B3596" s="2" t="str">
        <f>IFERROR(__xludf.DUMMYFUNCTION("GOOGLETRANSLATE(A3596, ""de"", ""en"")"),"plate")</f>
        <v>plate</v>
      </c>
    </row>
    <row r="3597">
      <c r="A3597" s="1" t="s">
        <v>3597</v>
      </c>
      <c r="B3597" s="2" t="str">
        <f>IFERROR(__xludf.DUMMYFUNCTION("GOOGLETRANSLATE(A3597, ""de"", ""en"")"),"original")</f>
        <v>original</v>
      </c>
    </row>
    <row r="3598">
      <c r="A3598" s="1" t="s">
        <v>3598</v>
      </c>
      <c r="B3598" s="2" t="str">
        <f>IFERROR(__xludf.DUMMYFUNCTION("GOOGLETRANSLATE(A3598, ""de"", ""en"")"),"revolution")</f>
        <v>revolution</v>
      </c>
    </row>
    <row r="3599">
      <c r="A3599" s="1" t="s">
        <v>3599</v>
      </c>
      <c r="B3599" s="2" t="str">
        <f>IFERROR(__xludf.DUMMYFUNCTION("GOOGLETRANSLATE(A3599, ""de"", ""en"")"),"Hitler")</f>
        <v>Hitler</v>
      </c>
    </row>
    <row r="3600">
      <c r="A3600" s="1" t="s">
        <v>3600</v>
      </c>
      <c r="B3600" s="2" t="str">
        <f>IFERROR(__xludf.DUMMYFUNCTION("GOOGLETRANSLATE(A3600, ""de"", ""en"")"),"girl")</f>
        <v>girl</v>
      </c>
    </row>
    <row r="3601">
      <c r="A3601" s="1" t="s">
        <v>3601</v>
      </c>
      <c r="B3601" s="2" t="str">
        <f>IFERROR(__xludf.DUMMYFUNCTION("GOOGLETRANSLATE(A3601, ""de"", ""en"")"),"connect")</f>
        <v>connect</v>
      </c>
    </row>
    <row r="3602">
      <c r="A3602" s="1" t="s">
        <v>3602</v>
      </c>
      <c r="B3602" s="2" t="str">
        <f>IFERROR(__xludf.DUMMYFUNCTION("GOOGLETRANSLATE(A3602, ""de"", ""en"")"),"Nathan")</f>
        <v>Nathan</v>
      </c>
    </row>
    <row r="3603">
      <c r="A3603" s="1" t="s">
        <v>3603</v>
      </c>
      <c r="B3603" s="2" t="str">
        <f>IFERROR(__xludf.DUMMYFUNCTION("GOOGLETRANSLATE(A3603, ""de"", ""en"")"),"investigations")</f>
        <v>investigations</v>
      </c>
    </row>
    <row r="3604">
      <c r="A3604" s="1" t="s">
        <v>3604</v>
      </c>
      <c r="B3604" s="2" t="str">
        <f>IFERROR(__xludf.DUMMYFUNCTION("GOOGLETRANSLATE(A3604, ""de"", ""en"")"),"plug")</f>
        <v>plug</v>
      </c>
    </row>
    <row r="3605">
      <c r="A3605" s="1" t="s">
        <v>3605</v>
      </c>
      <c r="B3605" s="2" t="str">
        <f>IFERROR(__xludf.DUMMYFUNCTION("GOOGLETRANSLATE(A3605, ""de"", ""en"")"),"wash")</f>
        <v>wash</v>
      </c>
    </row>
    <row r="3606">
      <c r="A3606" s="1" t="s">
        <v>3606</v>
      </c>
      <c r="B3606" s="2" t="str">
        <f>IFERROR(__xludf.DUMMYFUNCTION("GOOGLETRANSLATE(A3606, ""de"", ""en"")"),"puzzle")</f>
        <v>puzzle</v>
      </c>
    </row>
    <row r="3607">
      <c r="A3607" s="1" t="s">
        <v>3607</v>
      </c>
      <c r="B3607" s="2" t="str">
        <f>IFERROR(__xludf.DUMMYFUNCTION("GOOGLETRANSLATE(A3607, ""de"", ""en"")"),"special")</f>
        <v>special</v>
      </c>
    </row>
    <row r="3608">
      <c r="A3608" s="1" t="s">
        <v>3608</v>
      </c>
      <c r="B3608" s="2" t="str">
        <f>IFERROR(__xludf.DUMMYFUNCTION("GOOGLETRANSLATE(A3608, ""de"", ""en"")"),"hundreds")</f>
        <v>hundreds</v>
      </c>
    </row>
    <row r="3609">
      <c r="A3609" s="1" t="s">
        <v>3609</v>
      </c>
      <c r="B3609" s="2" t="str">
        <f>IFERROR(__xludf.DUMMYFUNCTION("GOOGLETRANSLATE(A3609, ""de"", ""en"")"),"offset")</f>
        <v>offset</v>
      </c>
    </row>
    <row r="3610">
      <c r="A3610" s="1" t="s">
        <v>3610</v>
      </c>
      <c r="B3610" s="2" t="str">
        <f>IFERROR(__xludf.DUMMYFUNCTION("GOOGLETRANSLATE(A3610, ""de"", ""en"")"),"Bible")</f>
        <v>Bible</v>
      </c>
    </row>
    <row r="3611">
      <c r="A3611" s="1" t="s">
        <v>3611</v>
      </c>
      <c r="B3611" s="2" t="str">
        <f>IFERROR(__xludf.DUMMYFUNCTION("GOOGLETRANSLATE(A3611, ""de"", ""en"")"),"holier")</f>
        <v>holier</v>
      </c>
    </row>
    <row r="3612">
      <c r="A3612" s="1" t="s">
        <v>3612</v>
      </c>
      <c r="B3612" s="2" t="str">
        <f>IFERROR(__xludf.DUMMYFUNCTION("GOOGLETRANSLATE(A3612, ""de"", ""en"")"),"tear")</f>
        <v>tear</v>
      </c>
    </row>
    <row r="3613">
      <c r="A3613" s="1" t="s">
        <v>3613</v>
      </c>
      <c r="B3613" s="2" t="str">
        <f>IFERROR(__xludf.DUMMYFUNCTION("GOOGLETRANSLATE(A3613, ""de"", ""en"")"),"copy")</f>
        <v>copy</v>
      </c>
    </row>
    <row r="3614">
      <c r="A3614" s="1" t="s">
        <v>3614</v>
      </c>
      <c r="B3614" s="2" t="str">
        <f>IFERROR(__xludf.DUMMYFUNCTION("GOOGLETRANSLATE(A3614, ""de"", ""en"")"),"own")</f>
        <v>own</v>
      </c>
    </row>
    <row r="3615">
      <c r="A3615" s="1" t="s">
        <v>3615</v>
      </c>
      <c r="B3615" s="2" t="str">
        <f>IFERROR(__xludf.DUMMYFUNCTION("GOOGLETRANSLATE(A3615, ""de"", ""en"")"),"newspapers")</f>
        <v>newspapers</v>
      </c>
    </row>
    <row r="3616">
      <c r="A3616" s="1" t="s">
        <v>3616</v>
      </c>
      <c r="B3616" s="2" t="str">
        <f>IFERROR(__xludf.DUMMYFUNCTION("GOOGLETRANSLATE(A3616, ""de"", ""en"")"),"came back")</f>
        <v>came back</v>
      </c>
    </row>
    <row r="3617">
      <c r="A3617" s="1" t="s">
        <v>3617</v>
      </c>
      <c r="B3617" s="2" t="str">
        <f>IFERROR(__xludf.DUMMYFUNCTION("GOOGLETRANSLATE(A3617, ""de"", ""en"")"),"sweet")</f>
        <v>sweet</v>
      </c>
    </row>
    <row r="3618">
      <c r="A3618" s="1" t="s">
        <v>3618</v>
      </c>
      <c r="B3618" s="2" t="str">
        <f>IFERROR(__xludf.DUMMYFUNCTION("GOOGLETRANSLATE(A3618, ""de"", ""en"")"),"barbara")</f>
        <v>barbara</v>
      </c>
    </row>
    <row r="3619">
      <c r="A3619" s="1" t="s">
        <v>3619</v>
      </c>
      <c r="B3619" s="2" t="str">
        <f>IFERROR(__xludf.DUMMYFUNCTION("GOOGLETRANSLATE(A3619, ""de"", ""en"")"),"unusual")</f>
        <v>unusual</v>
      </c>
    </row>
    <row r="3620">
      <c r="A3620" s="1" t="s">
        <v>3620</v>
      </c>
      <c r="B3620" s="2" t="str">
        <f>IFERROR(__xludf.DUMMYFUNCTION("GOOGLETRANSLATE(A3620, ""de"", ""en"")"),"height")</f>
        <v>height</v>
      </c>
    </row>
    <row r="3621">
      <c r="A3621" s="1" t="s">
        <v>3621</v>
      </c>
      <c r="B3621" s="2" t="str">
        <f>IFERROR(__xludf.DUMMYFUNCTION("GOOGLETRANSLATE(A3621, ""de"", ""en"")"),"created")</f>
        <v>created</v>
      </c>
    </row>
    <row r="3622">
      <c r="A3622" s="1" t="s">
        <v>3622</v>
      </c>
      <c r="B3622" s="2" t="str">
        <f>IFERROR(__xludf.DUMMYFUNCTION("GOOGLETRANSLATE(A3622, ""de"", ""en"")"),"describe")</f>
        <v>describe</v>
      </c>
    </row>
    <row r="3623">
      <c r="A3623" s="1" t="s">
        <v>3623</v>
      </c>
      <c r="B3623" s="2" t="str">
        <f>IFERROR(__xludf.DUMMYFUNCTION("GOOGLETRANSLATE(A3623, ""de"", ""en"")"),"selected")</f>
        <v>selected</v>
      </c>
    </row>
    <row r="3624">
      <c r="A3624" s="1" t="s">
        <v>3624</v>
      </c>
      <c r="B3624" s="2" t="str">
        <f>IFERROR(__xludf.DUMMYFUNCTION("GOOGLETRANSLATE(A3624, ""de"", ""en"")"),"necessary")</f>
        <v>necessary</v>
      </c>
    </row>
    <row r="3625">
      <c r="A3625" s="1" t="s">
        <v>3625</v>
      </c>
      <c r="B3625" s="2" t="str">
        <f>IFERROR(__xludf.DUMMYFUNCTION("GOOGLETRANSLATE(A3625, ""de"", ""en"")"),"dark")</f>
        <v>dark</v>
      </c>
    </row>
    <row r="3626">
      <c r="A3626" s="1" t="s">
        <v>3626</v>
      </c>
      <c r="B3626" s="2" t="str">
        <f>IFERROR(__xludf.DUMMYFUNCTION("GOOGLETRANSLATE(A3626, ""de"", ""en"")"),"ignore")</f>
        <v>ignore</v>
      </c>
    </row>
    <row r="3627">
      <c r="A3627" s="1" t="s">
        <v>3627</v>
      </c>
      <c r="B3627" s="2" t="str">
        <f>IFERROR(__xludf.DUMMYFUNCTION("GOOGLETRANSLATE(A3627, ""de"", ""en"")"),"dead")</f>
        <v>dead</v>
      </c>
    </row>
    <row r="3628">
      <c r="A3628" s="1" t="s">
        <v>3628</v>
      </c>
      <c r="B3628" s="2" t="str">
        <f>IFERROR(__xludf.DUMMYFUNCTION("GOOGLETRANSLATE(A3628, ""de"", ""en"")"),"deck")</f>
        <v>deck</v>
      </c>
    </row>
    <row r="3629">
      <c r="A3629" s="1" t="s">
        <v>3629</v>
      </c>
      <c r="B3629" s="2" t="str">
        <f>IFERROR(__xludf.DUMMYFUNCTION("GOOGLETRANSLATE(A3629, ""de"", ""en"")"),"fool")</f>
        <v>fool</v>
      </c>
    </row>
    <row r="3630">
      <c r="A3630" s="1" t="s">
        <v>3630</v>
      </c>
      <c r="B3630" s="2" t="str">
        <f>IFERROR(__xludf.DUMMYFUNCTION("GOOGLETRANSLATE(A3630, ""de"", ""en"")"),"don't give a fuck")</f>
        <v>don't give a fuck</v>
      </c>
    </row>
    <row r="3631">
      <c r="A3631" s="1" t="s">
        <v>3631</v>
      </c>
      <c r="B3631" s="2" t="str">
        <f>IFERROR(__xludf.DUMMYFUNCTION("GOOGLETRANSLATE(A3631, ""de"", ""en"")"),"at most")</f>
        <v>at most</v>
      </c>
    </row>
    <row r="3632">
      <c r="A3632" s="1" t="s">
        <v>3632</v>
      </c>
      <c r="B3632" s="2" t="str">
        <f>IFERROR(__xludf.DUMMYFUNCTION("GOOGLETRANSLATE(A3632, ""de"", ""en"")"),"overlook")</f>
        <v>overlook</v>
      </c>
    </row>
    <row r="3633">
      <c r="A3633" s="1" t="s">
        <v>3633</v>
      </c>
      <c r="B3633" s="2" t="str">
        <f>IFERROR(__xludf.DUMMYFUNCTION("GOOGLETRANSLATE(A3633, ""de"", ""en"")"),"mistaken")</f>
        <v>mistaken</v>
      </c>
    </row>
    <row r="3634">
      <c r="A3634" s="1" t="s">
        <v>3634</v>
      </c>
      <c r="B3634" s="2" t="str">
        <f>IFERROR(__xludf.DUMMYFUNCTION("GOOGLETRANSLATE(A3634, ""de"", ""en"")"),"underneath")</f>
        <v>underneath</v>
      </c>
    </row>
    <row r="3635">
      <c r="A3635" s="1" t="s">
        <v>3635</v>
      </c>
      <c r="B3635" s="2" t="str">
        <f>IFERROR(__xludf.DUMMYFUNCTION("GOOGLETRANSLATE(A3635, ""de"", ""en"")"),"outside")</f>
        <v>outside</v>
      </c>
    </row>
    <row r="3636">
      <c r="A3636" s="1" t="s">
        <v>3636</v>
      </c>
      <c r="B3636" s="2" t="str">
        <f>IFERROR(__xludf.DUMMYFUNCTION("GOOGLETRANSLATE(A3636, ""de"", ""en"")"),"only")</f>
        <v>only</v>
      </c>
    </row>
    <row r="3637">
      <c r="A3637" s="1" t="s">
        <v>3637</v>
      </c>
      <c r="B3637" s="2" t="str">
        <f>IFERROR(__xludf.DUMMYFUNCTION("GOOGLETRANSLATE(A3637, ""de"", ""en"")"),"die")</f>
        <v>die</v>
      </c>
    </row>
    <row r="3638">
      <c r="A3638" s="1" t="s">
        <v>3638</v>
      </c>
      <c r="B3638" s="2" t="str">
        <f>IFERROR(__xludf.DUMMYFUNCTION("GOOGLETRANSLATE(A3638, ""de"", ""en"")"),"yours")</f>
        <v>yours</v>
      </c>
    </row>
    <row r="3639">
      <c r="A3639" s="1" t="s">
        <v>3639</v>
      </c>
      <c r="B3639" s="2" t="str">
        <f>IFERROR(__xludf.DUMMYFUNCTION("GOOGLETRANSLATE(A3639, ""de"", ""en"")"),"games")</f>
        <v>games</v>
      </c>
    </row>
    <row r="3640">
      <c r="A3640" s="1" t="s">
        <v>3640</v>
      </c>
      <c r="B3640" s="2" t="str">
        <f>IFERROR(__xludf.DUMMYFUNCTION("GOOGLETRANSLATE(A3640, ""de"", ""en"")"),"girl")</f>
        <v>girl</v>
      </c>
    </row>
    <row r="3641">
      <c r="A3641" s="1" t="s">
        <v>3641</v>
      </c>
      <c r="B3641" s="2" t="str">
        <f>IFERROR(__xludf.DUMMYFUNCTION("GOOGLETRANSLATE(A3641, ""de"", ""en"")"),"bicycle")</f>
        <v>bicycle</v>
      </c>
    </row>
    <row r="3642">
      <c r="A3642" s="1" t="s">
        <v>3642</v>
      </c>
      <c r="B3642" s="2" t="str">
        <f>IFERROR(__xludf.DUMMYFUNCTION("GOOGLETRANSLATE(A3642, ""de"", ""en"")"),"hooker")</f>
        <v>hooker</v>
      </c>
    </row>
    <row r="3643">
      <c r="A3643" s="1" t="s">
        <v>3643</v>
      </c>
      <c r="B3643" s="2" t="str">
        <f>IFERROR(__xludf.DUMMYFUNCTION("GOOGLETRANSLATE(A3643, ""de"", ""en"")"),"wild ones")</f>
        <v>wild ones</v>
      </c>
    </row>
    <row r="3644">
      <c r="A3644" s="1" t="s">
        <v>3644</v>
      </c>
      <c r="B3644" s="2" t="str">
        <f>IFERROR(__xludf.DUMMYFUNCTION("GOOGLETRANSLATE(A3644, ""de"", ""en"")"),"Jordan")</f>
        <v>Jordan</v>
      </c>
    </row>
    <row r="3645">
      <c r="A3645" s="1" t="s">
        <v>3645</v>
      </c>
      <c r="B3645" s="2" t="str">
        <f>IFERROR(__xludf.DUMMYFUNCTION("GOOGLETRANSLATE(A3645, ""de"", ""en"")"),"comfortable")</f>
        <v>comfortable</v>
      </c>
    </row>
    <row r="3646">
      <c r="A3646" s="1" t="s">
        <v>3646</v>
      </c>
      <c r="B3646" s="2" t="str">
        <f>IFERROR(__xludf.DUMMYFUNCTION("GOOGLETRANSLATE(A3646, ""de"", ""en"")"),"smoke")</f>
        <v>smoke</v>
      </c>
    </row>
    <row r="3647">
      <c r="A3647" s="1" t="s">
        <v>3647</v>
      </c>
      <c r="B3647" s="2" t="str">
        <f>IFERROR(__xludf.DUMMYFUNCTION("GOOGLETRANSLATE(A3647, ""de"", ""en"")"),"different")</f>
        <v>different</v>
      </c>
    </row>
    <row r="3648">
      <c r="A3648" s="1" t="s">
        <v>3648</v>
      </c>
      <c r="B3648" s="2" t="str">
        <f>IFERROR(__xludf.DUMMYFUNCTION("GOOGLETRANSLATE(A3648, ""de"", ""en"")"),"came")</f>
        <v>came</v>
      </c>
    </row>
    <row r="3649">
      <c r="A3649" s="1" t="s">
        <v>3649</v>
      </c>
      <c r="B3649" s="2" t="str">
        <f>IFERROR(__xludf.DUMMYFUNCTION("GOOGLETRANSLATE(A3649, ""de"", ""en"")"),"l")</f>
        <v>l</v>
      </c>
    </row>
    <row r="3650">
      <c r="A3650" s="1" t="s">
        <v>3650</v>
      </c>
      <c r="B3650" s="2" t="str">
        <f>IFERROR(__xludf.DUMMYFUNCTION("GOOGLETRANSLATE(A3650, ""de"", ""en"")"),"Betty")</f>
        <v>Betty</v>
      </c>
    </row>
    <row r="3651">
      <c r="A3651" s="1" t="s">
        <v>3651</v>
      </c>
      <c r="B3651" s="2" t="str">
        <f>IFERROR(__xludf.DUMMYFUNCTION("GOOGLETRANSLATE(A3651, ""de"", ""en"")"),"pool")</f>
        <v>pool</v>
      </c>
    </row>
    <row r="3652">
      <c r="A3652" s="1" t="s">
        <v>3652</v>
      </c>
      <c r="B3652" s="2" t="str">
        <f>IFERROR(__xludf.DUMMYFUNCTION("GOOGLETRANSLATE(A3652, ""de"", ""en"")"),"helicopter")</f>
        <v>helicopter</v>
      </c>
    </row>
    <row r="3653">
      <c r="A3653" s="1" t="s">
        <v>3653</v>
      </c>
      <c r="B3653" s="2" t="str">
        <f>IFERROR(__xludf.DUMMYFUNCTION("GOOGLETRANSLATE(A3653, ""de"", ""en"")"),"would know")</f>
        <v>would know</v>
      </c>
    </row>
    <row r="3654">
      <c r="A3654" s="1" t="s">
        <v>3654</v>
      </c>
      <c r="B3654" s="2" t="str">
        <f>IFERROR(__xludf.DUMMYFUNCTION("GOOGLETRANSLATE(A3654, ""de"", ""en"")"),"first of all")</f>
        <v>first of all</v>
      </c>
    </row>
    <row r="3655">
      <c r="A3655" s="1" t="s">
        <v>3655</v>
      </c>
      <c r="B3655" s="2" t="str">
        <f>IFERROR(__xludf.DUMMYFUNCTION("GOOGLETRANSLATE(A3655, ""de"", ""en"")"),"colleague")</f>
        <v>colleague</v>
      </c>
    </row>
    <row r="3656">
      <c r="A3656" s="1" t="s">
        <v>3656</v>
      </c>
      <c r="B3656" s="2" t="str">
        <f>IFERROR(__xludf.DUMMYFUNCTION("GOOGLETRANSLATE(A3656, ""de"", ""en"")"),"destroyed")</f>
        <v>destroyed</v>
      </c>
    </row>
    <row r="3657">
      <c r="A3657" s="1" t="s">
        <v>3657</v>
      </c>
      <c r="B3657" s="2" t="str">
        <f>IFERROR(__xludf.DUMMYFUNCTION("GOOGLETRANSLATE(A3657, ""de"", ""en"")"),"faces")</f>
        <v>faces</v>
      </c>
    </row>
    <row r="3658">
      <c r="A3658" s="1" t="s">
        <v>3658</v>
      </c>
      <c r="B3658" s="2" t="str">
        <f>IFERROR(__xludf.DUMMYFUNCTION("GOOGLETRANSLATE(A3658, ""de"", ""en"")"),"same")</f>
        <v>same</v>
      </c>
    </row>
    <row r="3659">
      <c r="A3659" s="1" t="s">
        <v>3659</v>
      </c>
      <c r="B3659" s="2" t="str">
        <f>IFERROR(__xludf.DUMMYFUNCTION("GOOGLETRANSLATE(A3659, ""de"", ""en"")"),"had")</f>
        <v>had</v>
      </c>
    </row>
    <row r="3660">
      <c r="A3660" s="1" t="s">
        <v>3660</v>
      </c>
      <c r="B3660" s="2" t="str">
        <f>IFERROR(__xludf.DUMMYFUNCTION("GOOGLETRANSLATE(A3660, ""de"", ""en"")"),"account")</f>
        <v>account</v>
      </c>
    </row>
    <row r="3661">
      <c r="A3661" s="1" t="s">
        <v>3661</v>
      </c>
      <c r="B3661" s="2" t="str">
        <f>IFERROR(__xludf.DUMMYFUNCTION("GOOGLETRANSLATE(A3661, ""de"", ""en"")"),"free")</f>
        <v>free</v>
      </c>
    </row>
    <row r="3662">
      <c r="A3662" s="1" t="s">
        <v>3662</v>
      </c>
      <c r="B3662" s="2" t="str">
        <f>IFERROR(__xludf.DUMMYFUNCTION("GOOGLETRANSLATE(A3662, ""de"", ""en"")"),"casey")</f>
        <v>casey</v>
      </c>
    </row>
    <row r="3663">
      <c r="A3663" s="1" t="s">
        <v>3663</v>
      </c>
      <c r="B3663" s="2" t="str">
        <f>IFERROR(__xludf.DUMMYFUNCTION("GOOGLETRANSLATE(A3663, ""de"", ""en"")"),"hook")</f>
        <v>hook</v>
      </c>
    </row>
    <row r="3664">
      <c r="A3664" s="1" t="s">
        <v>3664</v>
      </c>
      <c r="B3664" s="2" t="str">
        <f>IFERROR(__xludf.DUMMYFUNCTION("GOOGLETRANSLATE(A3664, ""de"", ""en"")"),"ammunition")</f>
        <v>ammunition</v>
      </c>
    </row>
    <row r="3665">
      <c r="A3665" s="1" t="s">
        <v>3665</v>
      </c>
      <c r="B3665" s="2" t="str">
        <f>IFERROR(__xludf.DUMMYFUNCTION("GOOGLETRANSLATE(A3665, ""de"", ""en"")"),"sin")</f>
        <v>sin</v>
      </c>
    </row>
    <row r="3666">
      <c r="A3666" s="1" t="s">
        <v>3666</v>
      </c>
      <c r="B3666" s="2" t="str">
        <f>IFERROR(__xludf.DUMMYFUNCTION("GOOGLETRANSLATE(A3666, ""de"", ""en"")"),"military")</f>
        <v>military</v>
      </c>
    </row>
    <row r="3667">
      <c r="A3667" s="1" t="s">
        <v>3667</v>
      </c>
      <c r="B3667" s="2" t="str">
        <f>IFERROR(__xludf.DUMMYFUNCTION("GOOGLETRANSLATE(A3667, ""de"", ""en"")"),"caught")</f>
        <v>caught</v>
      </c>
    </row>
    <row r="3668">
      <c r="A3668" s="1" t="s">
        <v>3668</v>
      </c>
      <c r="B3668" s="2" t="str">
        <f>IFERROR(__xludf.DUMMYFUNCTION("GOOGLETRANSLATE(A3668, ""de"", ""en"")"),"signs")</f>
        <v>signs</v>
      </c>
    </row>
    <row r="3669">
      <c r="A3669" s="1" t="s">
        <v>3669</v>
      </c>
      <c r="B3669" s="2" t="str">
        <f>IFERROR(__xludf.DUMMYFUNCTION("GOOGLETRANSLATE(A3669, ""de"", ""en"")"),"succeeded")</f>
        <v>succeeded</v>
      </c>
    </row>
    <row r="3670">
      <c r="A3670" s="1" t="s">
        <v>3670</v>
      </c>
      <c r="B3670" s="2" t="str">
        <f>IFERROR(__xludf.DUMMYFUNCTION("GOOGLETRANSLATE(A3670, ""de"", ""en"")"),"background")</f>
        <v>background</v>
      </c>
    </row>
    <row r="3671">
      <c r="A3671" s="1" t="s">
        <v>3671</v>
      </c>
      <c r="B3671" s="2" t="str">
        <f>IFERROR(__xludf.DUMMYFUNCTION("GOOGLETRANSLATE(A3671, ""de"", ""en"")"),"mention")</f>
        <v>mention</v>
      </c>
    </row>
    <row r="3672">
      <c r="A3672" s="1" t="s">
        <v>3672</v>
      </c>
      <c r="B3672" s="2" t="str">
        <f>IFERROR(__xludf.DUMMYFUNCTION("GOOGLETRANSLATE(A3672, ""de"", ""en"")"),"tip")</f>
        <v>tip</v>
      </c>
    </row>
    <row r="3673">
      <c r="A3673" s="1" t="s">
        <v>3673</v>
      </c>
      <c r="B3673" s="2" t="str">
        <f>IFERROR(__xludf.DUMMYFUNCTION("GOOGLETRANSLATE(A3673, ""de"", ""en"")"),"tear")</f>
        <v>tear</v>
      </c>
    </row>
    <row r="3674">
      <c r="A3674" s="1" t="s">
        <v>3674</v>
      </c>
      <c r="B3674" s="2" t="str">
        <f>IFERROR(__xludf.DUMMYFUNCTION("GOOGLETRANSLATE(A3674, ""de"", ""en"")"),"none")</f>
        <v>none</v>
      </c>
    </row>
    <row r="3675">
      <c r="A3675" s="1" t="s">
        <v>3675</v>
      </c>
      <c r="B3675" s="2" t="str">
        <f>IFERROR(__xludf.DUMMYFUNCTION("GOOGLETRANSLATE(A3675, ""de"", ""en"")"),"brilliant")</f>
        <v>brilliant</v>
      </c>
    </row>
    <row r="3676">
      <c r="A3676" s="1" t="s">
        <v>3676</v>
      </c>
      <c r="B3676" s="2" t="str">
        <f>IFERROR(__xludf.DUMMYFUNCTION("GOOGLETRANSLATE(A3676, ""de"", ""en"")"),"reports")</f>
        <v>reports</v>
      </c>
    </row>
    <row r="3677">
      <c r="A3677" s="1" t="s">
        <v>3677</v>
      </c>
      <c r="B3677" s="2" t="str">
        <f>IFERROR(__xludf.DUMMYFUNCTION("GOOGLETRANSLATE(A3677, ""de"", ""en"")"),"junk")</f>
        <v>junk</v>
      </c>
    </row>
    <row r="3678">
      <c r="A3678" s="1" t="s">
        <v>3678</v>
      </c>
      <c r="B3678" s="2" t="str">
        <f>IFERROR(__xludf.DUMMYFUNCTION("GOOGLETRANSLATE(A3678, ""de"", ""en"")"),"snap")</f>
        <v>snap</v>
      </c>
    </row>
    <row r="3679">
      <c r="A3679" s="1" t="s">
        <v>3679</v>
      </c>
      <c r="B3679" s="2" t="str">
        <f>IFERROR(__xludf.DUMMYFUNCTION("GOOGLETRANSLATE(A3679, ""de"", ""en"")"),"should")</f>
        <v>should</v>
      </c>
    </row>
    <row r="3680">
      <c r="A3680" s="1" t="s">
        <v>3680</v>
      </c>
      <c r="B3680" s="2" t="str">
        <f>IFERROR(__xludf.DUMMYFUNCTION("GOOGLETRANSLATE(A3680, ""de"", ""en"")"),"randy")</f>
        <v>randy</v>
      </c>
    </row>
    <row r="3681">
      <c r="A3681" s="1" t="s">
        <v>3681</v>
      </c>
      <c r="B3681" s="2" t="str">
        <f>IFERROR(__xludf.DUMMYFUNCTION("GOOGLETRANSLATE(A3681, ""de"", ""en"")"),"move")</f>
        <v>move</v>
      </c>
    </row>
    <row r="3682">
      <c r="A3682" s="1" t="s">
        <v>3682</v>
      </c>
      <c r="B3682" s="2" t="str">
        <f>IFERROR(__xludf.DUMMYFUNCTION("GOOGLETRANSLATE(A3682, ""de"", ""en"")"),"first")</f>
        <v>first</v>
      </c>
    </row>
    <row r="3683">
      <c r="A3683" s="1" t="s">
        <v>3683</v>
      </c>
      <c r="B3683" s="2" t="str">
        <f>IFERROR(__xludf.DUMMYFUNCTION("GOOGLETRANSLATE(A3683, ""de"", ""en"")"),"none whatsoever")</f>
        <v>none whatsoever</v>
      </c>
    </row>
    <row r="3684">
      <c r="A3684" s="1" t="s">
        <v>3684</v>
      </c>
      <c r="B3684" s="2" t="str">
        <f>IFERROR(__xludf.DUMMYFUNCTION("GOOGLETRANSLATE(A3684, ""de"", ""en"")"),"typical")</f>
        <v>typical</v>
      </c>
    </row>
    <row r="3685">
      <c r="A3685" s="1" t="s">
        <v>3685</v>
      </c>
      <c r="B3685" s="2" t="str">
        <f>IFERROR(__xludf.DUMMYFUNCTION("GOOGLETRANSLATE(A3685, ""de"", ""en"")"),"offers")</f>
        <v>offers</v>
      </c>
    </row>
    <row r="3686">
      <c r="A3686" s="1" t="s">
        <v>3686</v>
      </c>
      <c r="B3686" s="2" t="str">
        <f>IFERROR(__xludf.DUMMYFUNCTION("GOOGLETRANSLATE(A3686, ""de"", ""en"")"),"live")</f>
        <v>live</v>
      </c>
    </row>
    <row r="3687">
      <c r="A3687" s="1" t="s">
        <v>3687</v>
      </c>
      <c r="B3687" s="2" t="str">
        <f>IFERROR(__xludf.DUMMYFUNCTION("GOOGLETRANSLATE(A3687, ""de"", ""en"")"),"technology")</f>
        <v>technology</v>
      </c>
    </row>
    <row r="3688">
      <c r="A3688" s="1" t="s">
        <v>3688</v>
      </c>
      <c r="B3688" s="2" t="str">
        <f>IFERROR(__xludf.DUMMYFUNCTION("GOOGLETRANSLATE(A3688, ""de"", ""en"")"),"john boy")</f>
        <v>john boy</v>
      </c>
    </row>
    <row r="3689">
      <c r="A3689" s="1" t="s">
        <v>3689</v>
      </c>
      <c r="B3689" s="2" t="str">
        <f>IFERROR(__xludf.DUMMYFUNCTION("GOOGLETRANSLATE(A3689, ""de"", ""en"")"),"ruin")</f>
        <v>ruin</v>
      </c>
    </row>
    <row r="3690">
      <c r="A3690" s="1" t="s">
        <v>3690</v>
      </c>
      <c r="B3690" s="2" t="str">
        <f>IFERROR(__xludf.DUMMYFUNCTION("GOOGLETRANSLATE(A3690, ""de"", ""en"")"),"younger")</f>
        <v>younger</v>
      </c>
    </row>
    <row r="3691">
      <c r="A3691" s="1" t="s">
        <v>3691</v>
      </c>
      <c r="B3691" s="2" t="str">
        <f>IFERROR(__xludf.DUMMYFUNCTION("GOOGLETRANSLATE(A3691, ""de"", ""en"")"),"Poirot")</f>
        <v>Poirot</v>
      </c>
    </row>
    <row r="3692">
      <c r="A3692" s="1" t="s">
        <v>3692</v>
      </c>
      <c r="B3692" s="2" t="str">
        <f>IFERROR(__xludf.DUMMYFUNCTION("GOOGLETRANSLATE(A3692, ""de"", ""en"")"),"all the more")</f>
        <v>all the more</v>
      </c>
    </row>
    <row r="3693">
      <c r="A3693" s="1" t="s">
        <v>3693</v>
      </c>
      <c r="B3693" s="2" t="str">
        <f>IFERROR(__xludf.DUMMYFUNCTION("GOOGLETRANSLATE(A3693, ""de"", ""en"")"),"died")</f>
        <v>died</v>
      </c>
    </row>
    <row r="3694">
      <c r="A3694" s="1" t="s">
        <v>3694</v>
      </c>
      <c r="B3694" s="2" t="str">
        <f>IFERROR(__xludf.DUMMYFUNCTION("GOOGLETRANSLATE(A3694, ""de"", ""en"")"),"save")</f>
        <v>save</v>
      </c>
    </row>
    <row r="3695">
      <c r="A3695" s="1" t="s">
        <v>3695</v>
      </c>
      <c r="B3695" s="2" t="str">
        <f>IFERROR(__xludf.DUMMYFUNCTION("GOOGLETRANSLATE(A3695, ""de"", ""en"")"),"meet")</f>
        <v>meet</v>
      </c>
    </row>
    <row r="3696">
      <c r="A3696" s="1" t="s">
        <v>3696</v>
      </c>
      <c r="B3696" s="2" t="str">
        <f>IFERROR(__xludf.DUMMYFUNCTION("GOOGLETRANSLATE(A3696, ""de"", ""en"")"),"impolite")</f>
        <v>impolite</v>
      </c>
    </row>
    <row r="3697">
      <c r="A3697" s="1" t="s">
        <v>3697</v>
      </c>
      <c r="B3697" s="2" t="str">
        <f>IFERROR(__xludf.DUMMYFUNCTION("GOOGLETRANSLATE(A3697, ""de"", ""en"")"),"safe")</f>
        <v>safe</v>
      </c>
    </row>
    <row r="3698">
      <c r="A3698" s="1" t="s">
        <v>3698</v>
      </c>
      <c r="B3698" s="2" t="str">
        <f>IFERROR(__xludf.DUMMYFUNCTION("GOOGLETRANSLATE(A3698, ""de"", ""en"")"),"to call")</f>
        <v>to call</v>
      </c>
    </row>
    <row r="3699">
      <c r="A3699" s="1" t="s">
        <v>3699</v>
      </c>
      <c r="B3699" s="2" t="str">
        <f>IFERROR(__xludf.DUMMYFUNCTION("GOOGLETRANSLATE(A3699, ""de"", ""en"")"),"university")</f>
        <v>university</v>
      </c>
    </row>
    <row r="3700">
      <c r="A3700" s="1" t="s">
        <v>3700</v>
      </c>
      <c r="B3700" s="2" t="str">
        <f>IFERROR(__xludf.DUMMYFUNCTION("GOOGLETRANSLATE(A3700, ""de"", ""en"")"),"May")</f>
        <v>May</v>
      </c>
    </row>
    <row r="3701">
      <c r="A3701" s="1" t="s">
        <v>3701</v>
      </c>
      <c r="B3701" s="2" t="str">
        <f>IFERROR(__xludf.DUMMYFUNCTION("GOOGLETRANSLATE(A3701, ""de"", ""en"")"),"lift")</f>
        <v>lift</v>
      </c>
    </row>
    <row r="3702">
      <c r="A3702" s="1" t="s">
        <v>3702</v>
      </c>
      <c r="B3702" s="2" t="str">
        <f>IFERROR(__xludf.DUMMYFUNCTION("GOOGLETRANSLATE(A3702, ""de"", ""en"")"),"cook")</f>
        <v>cook</v>
      </c>
    </row>
    <row r="3703">
      <c r="A3703" s="1" t="s">
        <v>3703</v>
      </c>
      <c r="B3703" s="2" t="str">
        <f>IFERROR(__xludf.DUMMYFUNCTION("GOOGLETRANSLATE(A3703, ""de"", ""en"")"),"the same")</f>
        <v>the same</v>
      </c>
    </row>
    <row r="3704">
      <c r="A3704" s="1" t="s">
        <v>3704</v>
      </c>
      <c r="B3704" s="2" t="str">
        <f>IFERROR(__xludf.DUMMYFUNCTION("GOOGLETRANSLATE(A3704, ""de"", ""en"")"),"disaster")</f>
        <v>disaster</v>
      </c>
    </row>
    <row r="3705">
      <c r="A3705" s="1" t="s">
        <v>3705</v>
      </c>
      <c r="B3705" s="2" t="str">
        <f>IFERROR(__xludf.DUMMYFUNCTION("GOOGLETRANSLATE(A3705, ""de"", ""en"")"),"paint")</f>
        <v>paint</v>
      </c>
    </row>
    <row r="3706">
      <c r="A3706" s="1" t="s">
        <v>3706</v>
      </c>
      <c r="B3706" s="2" t="str">
        <f>IFERROR(__xludf.DUMMYFUNCTION("GOOGLETRANSLATE(A3706, ""de"", ""en"")"),"Olivia")</f>
        <v>Olivia</v>
      </c>
    </row>
    <row r="3707">
      <c r="A3707" s="1" t="s">
        <v>3707</v>
      </c>
      <c r="B3707" s="2" t="str">
        <f>IFERROR(__xludf.DUMMYFUNCTION("GOOGLETRANSLATE(A3707, ""de"", ""en"")"),"test")</f>
        <v>test</v>
      </c>
    </row>
    <row r="3708">
      <c r="A3708" s="1" t="s">
        <v>3708</v>
      </c>
      <c r="B3708" s="2" t="str">
        <f>IFERROR(__xludf.DUMMYFUNCTION("GOOGLETRANSLATE(A3708, ""de"", ""en"")"),"brown")</f>
        <v>brown</v>
      </c>
    </row>
    <row r="3709">
      <c r="A3709" s="1" t="s">
        <v>3709</v>
      </c>
      <c r="B3709" s="2" t="str">
        <f>IFERROR(__xludf.DUMMYFUNCTION("GOOGLETRANSLATE(A3709, ""de"", ""en"")"),"laws")</f>
        <v>laws</v>
      </c>
    </row>
    <row r="3710">
      <c r="A3710" s="1" t="s">
        <v>3710</v>
      </c>
      <c r="B3710" s="2" t="str">
        <f>IFERROR(__xludf.DUMMYFUNCTION("GOOGLETRANSLATE(A3710, ""de"", ""en"")"),"meeting")</f>
        <v>meeting</v>
      </c>
    </row>
    <row r="3711">
      <c r="A3711" s="1" t="s">
        <v>3711</v>
      </c>
      <c r="B3711" s="2" t="str">
        <f>IFERROR(__xludf.DUMMYFUNCTION("GOOGLETRANSLATE(A3711, ""de"", ""en"")"),"insurance")</f>
        <v>insurance</v>
      </c>
    </row>
    <row r="3712">
      <c r="A3712" s="1" t="s">
        <v>3712</v>
      </c>
      <c r="B3712" s="2" t="str">
        <f>IFERROR(__xludf.DUMMYFUNCTION("GOOGLETRANSLATE(A3712, ""de"", ""en"")"),"worn")</f>
        <v>worn</v>
      </c>
    </row>
    <row r="3713">
      <c r="A3713" s="1" t="s">
        <v>3713</v>
      </c>
      <c r="B3713" s="2" t="str">
        <f>IFERROR(__xludf.DUMMYFUNCTION("GOOGLETRANSLATE(A3713, ""de"", ""en"")"),"wife")</f>
        <v>wife</v>
      </c>
    </row>
    <row r="3714">
      <c r="A3714" s="1" t="s">
        <v>3714</v>
      </c>
      <c r="B3714" s="2" t="str">
        <f>IFERROR(__xludf.DUMMYFUNCTION("GOOGLETRANSLATE(A3714, ""de"", ""en"")"),"join in")</f>
        <v>join in</v>
      </c>
    </row>
    <row r="3715">
      <c r="A3715" s="1" t="s">
        <v>3715</v>
      </c>
      <c r="B3715" s="2" t="str">
        <f>IFERROR(__xludf.DUMMYFUNCTION("GOOGLETRANSLATE(A3715, ""de"", ""en"")"),"to exchange")</f>
        <v>to exchange</v>
      </c>
    </row>
    <row r="3716">
      <c r="A3716" s="1" t="s">
        <v>3716</v>
      </c>
      <c r="B3716" s="2" t="str">
        <f>IFERROR(__xludf.DUMMYFUNCTION("GOOGLETRANSLATE(A3716, ""de"", ""en"")"),"results")</f>
        <v>results</v>
      </c>
    </row>
    <row r="3717">
      <c r="A3717" s="1" t="s">
        <v>3717</v>
      </c>
      <c r="B3717" s="2" t="str">
        <f>IFERROR(__xludf.DUMMYFUNCTION("GOOGLETRANSLATE(A3717, ""de"", ""en"")"),"Boston")</f>
        <v>Boston</v>
      </c>
    </row>
    <row r="3718">
      <c r="A3718" s="1" t="s">
        <v>3718</v>
      </c>
      <c r="B3718" s="2" t="str">
        <f>IFERROR(__xludf.DUMMYFUNCTION("GOOGLETRANSLATE(A3718, ""de"", ""en"")"),"reg")</f>
        <v>reg</v>
      </c>
    </row>
    <row r="3719">
      <c r="A3719" s="1" t="s">
        <v>3719</v>
      </c>
      <c r="B3719" s="2" t="str">
        <f>IFERROR(__xludf.DUMMYFUNCTION("GOOGLETRANSLATE(A3719, ""de"", ""en"")"),"set")</f>
        <v>set</v>
      </c>
    </row>
    <row r="3720">
      <c r="A3720" s="1" t="s">
        <v>3720</v>
      </c>
      <c r="B3720" s="2" t="str">
        <f>IFERROR(__xludf.DUMMYFUNCTION("GOOGLETRANSLATE(A3720, ""de"", ""en"")"),"react")</f>
        <v>react</v>
      </c>
    </row>
    <row r="3721">
      <c r="A3721" s="1" t="s">
        <v>3721</v>
      </c>
      <c r="B3721" s="2" t="str">
        <f>IFERROR(__xludf.DUMMYFUNCTION("GOOGLETRANSLATE(A3721, ""de"", ""en"")"),"missing")</f>
        <v>missing</v>
      </c>
    </row>
    <row r="3722">
      <c r="A3722" s="1" t="s">
        <v>3722</v>
      </c>
      <c r="B3722" s="2" t="str">
        <f>IFERROR(__xludf.DUMMYFUNCTION("GOOGLETRANSLATE(A3722, ""de"", ""en"")"),"transform")</f>
        <v>transform</v>
      </c>
    </row>
    <row r="3723">
      <c r="A3723" s="1" t="s">
        <v>3723</v>
      </c>
      <c r="B3723" s="2" t="str">
        <f>IFERROR(__xludf.DUMMYFUNCTION("GOOGLETRANSLATE(A3723, ""de"", ""en"")"),"lasted")</f>
        <v>lasted</v>
      </c>
    </row>
    <row r="3724">
      <c r="A3724" s="1" t="s">
        <v>3724</v>
      </c>
      <c r="B3724" s="2" t="str">
        <f>IFERROR(__xludf.DUMMYFUNCTION("GOOGLETRANSLATE(A3724, ""de"", ""en"")"),"send")</f>
        <v>send</v>
      </c>
    </row>
    <row r="3725">
      <c r="A3725" s="1" t="s">
        <v>3725</v>
      </c>
      <c r="B3725" s="2" t="str">
        <f>IFERROR(__xludf.DUMMYFUNCTION("GOOGLETRANSLATE(A3725, ""de"", ""en"")"),"blair")</f>
        <v>blair</v>
      </c>
    </row>
    <row r="3726">
      <c r="A3726" s="1" t="s">
        <v>3726</v>
      </c>
      <c r="B3726" s="2" t="str">
        <f>IFERROR(__xludf.DUMMYFUNCTION("GOOGLETRANSLATE(A3726, ""de"", ""en"")"),"reporter")</f>
        <v>reporter</v>
      </c>
    </row>
    <row r="3727">
      <c r="A3727" s="1" t="s">
        <v>3727</v>
      </c>
      <c r="B3727" s="2" t="str">
        <f>IFERROR(__xludf.DUMMYFUNCTION("GOOGLETRANSLATE(A3727, ""de"", ""en"")"),"hand over")</f>
        <v>hand over</v>
      </c>
    </row>
    <row r="3728">
      <c r="A3728" s="1" t="s">
        <v>3728</v>
      </c>
      <c r="B3728" s="2" t="str">
        <f>IFERROR(__xludf.DUMMYFUNCTION("GOOGLETRANSLATE(A3728, ""de"", ""en"")"),"mm")</f>
        <v>mm</v>
      </c>
    </row>
    <row r="3729">
      <c r="A3729" s="1" t="s">
        <v>3729</v>
      </c>
      <c r="B3729" s="2" t="str">
        <f>IFERROR(__xludf.DUMMYFUNCTION("GOOGLETRANSLATE(A3729, ""de"", ""en"")"),"parker")</f>
        <v>parker</v>
      </c>
    </row>
    <row r="3730">
      <c r="A3730" s="1" t="s">
        <v>3730</v>
      </c>
      <c r="B3730" s="2" t="str">
        <f>IFERROR(__xludf.DUMMYFUNCTION("GOOGLETRANSLATE(A3730, ""de"", ""en"")"),"listen")</f>
        <v>listen</v>
      </c>
    </row>
    <row r="3731">
      <c r="A3731" s="1" t="s">
        <v>3731</v>
      </c>
      <c r="B3731" s="2" t="str">
        <f>IFERROR(__xludf.DUMMYFUNCTION("GOOGLETRANSLATE(A3731, ""de"", ""en"")"),"library")</f>
        <v>library</v>
      </c>
    </row>
    <row r="3732">
      <c r="A3732" s="1" t="s">
        <v>3732</v>
      </c>
      <c r="B3732" s="2" t="str">
        <f>IFERROR(__xludf.DUMMYFUNCTION("GOOGLETRANSLATE(A3732, ""de"", ""en"")"),"Japan")</f>
        <v>Japan</v>
      </c>
    </row>
    <row r="3733">
      <c r="A3733" s="1" t="s">
        <v>3733</v>
      </c>
      <c r="B3733" s="2" t="str">
        <f>IFERROR(__xludf.DUMMYFUNCTION("GOOGLETRANSLATE(A3733, ""de"", ""en"")"),"sit down")</f>
        <v>sit down</v>
      </c>
    </row>
    <row r="3734">
      <c r="A3734" s="1" t="s">
        <v>3734</v>
      </c>
      <c r="B3734" s="2" t="str">
        <f>IFERROR(__xludf.DUMMYFUNCTION("GOOGLETRANSLATE(A3734, ""de"", ""en"")"),"Hannah")</f>
        <v>Hannah</v>
      </c>
    </row>
    <row r="3735">
      <c r="A3735" s="1" t="s">
        <v>3735</v>
      </c>
      <c r="B3735" s="2" t="str">
        <f>IFERROR(__xludf.DUMMYFUNCTION("GOOGLETRANSLATE(A3735, ""de"", ""en"")"),"Serena")</f>
        <v>Serena</v>
      </c>
    </row>
    <row r="3736">
      <c r="A3736" s="1" t="s">
        <v>3736</v>
      </c>
      <c r="B3736" s="2" t="str">
        <f>IFERROR(__xludf.DUMMYFUNCTION("GOOGLETRANSLATE(A3736, ""de"", ""en"")"),"motive")</f>
        <v>motive</v>
      </c>
    </row>
    <row r="3737">
      <c r="A3737" s="1" t="s">
        <v>3737</v>
      </c>
      <c r="B3737" s="2" t="str">
        <f>IFERROR(__xludf.DUMMYFUNCTION("GOOGLETRANSLATE(A3737, ""de"", ""en"")"),"paige")</f>
        <v>paige</v>
      </c>
    </row>
    <row r="3738">
      <c r="A3738" s="1" t="s">
        <v>3738</v>
      </c>
      <c r="B3738" s="2" t="str">
        <f>IFERROR(__xludf.DUMMYFUNCTION("GOOGLETRANSLATE(A3738, ""de"", ""en"")"),"switch")</f>
        <v>switch</v>
      </c>
    </row>
    <row r="3739">
      <c r="A3739" s="1" t="s">
        <v>3739</v>
      </c>
      <c r="B3739" s="2" t="str">
        <f>IFERROR(__xludf.DUMMYFUNCTION("GOOGLETRANSLATE(A3739, ""de"", ""en"")"),"Derek")</f>
        <v>Derek</v>
      </c>
    </row>
    <row r="3740">
      <c r="A3740" s="1" t="s">
        <v>3740</v>
      </c>
      <c r="B3740" s="2" t="str">
        <f>IFERROR(__xludf.DUMMYFUNCTION("GOOGLETRANSLATE(A3740, ""de"", ""en"")"),"get used to")</f>
        <v>get used to</v>
      </c>
    </row>
    <row r="3741">
      <c r="A3741" s="1" t="s">
        <v>3741</v>
      </c>
      <c r="B3741" s="2" t="str">
        <f>IFERROR(__xludf.DUMMYFUNCTION("GOOGLETRANSLATE(A3741, ""de"", ""en"")"),"learned")</f>
        <v>learned</v>
      </c>
    </row>
    <row r="3742">
      <c r="A3742" s="1" t="s">
        <v>3742</v>
      </c>
      <c r="B3742" s="2" t="str">
        <f>IFERROR(__xludf.DUMMYFUNCTION("GOOGLETRANSLATE(A3742, ""de"", ""en"")"),"united")</f>
        <v>united</v>
      </c>
    </row>
    <row r="3743">
      <c r="A3743" s="1" t="s">
        <v>3743</v>
      </c>
      <c r="B3743" s="2" t="str">
        <f>IFERROR(__xludf.DUMMYFUNCTION("GOOGLETRANSLATE(A3743, ""de"", ""en"")"),"weight")</f>
        <v>weight</v>
      </c>
    </row>
    <row r="3744">
      <c r="A3744" s="1" t="s">
        <v>3744</v>
      </c>
      <c r="B3744" s="2" t="str">
        <f>IFERROR(__xludf.DUMMYFUNCTION("GOOGLETRANSLATE(A3744, ""de"", ""en"")"),"second")</f>
        <v>second</v>
      </c>
    </row>
    <row r="3745">
      <c r="A3745" s="1" t="s">
        <v>3745</v>
      </c>
      <c r="B3745" s="2" t="str">
        <f>IFERROR(__xludf.DUMMYFUNCTION("GOOGLETRANSLATE(A3745, ""de"", ""en"")"),"bathroom")</f>
        <v>bathroom</v>
      </c>
    </row>
    <row r="3746">
      <c r="A3746" s="1" t="s">
        <v>3746</v>
      </c>
      <c r="B3746" s="2" t="str">
        <f>IFERROR(__xludf.DUMMYFUNCTION("GOOGLETRANSLATE(A3746, ""de"", ""en"")"),"push")</f>
        <v>push</v>
      </c>
    </row>
    <row r="3747">
      <c r="A3747" s="1" t="s">
        <v>3747</v>
      </c>
      <c r="B3747" s="2" t="str">
        <f>IFERROR(__xludf.DUMMYFUNCTION("GOOGLETRANSLATE(A3747, ""de"", ""en"")"),"three times")</f>
        <v>three times</v>
      </c>
    </row>
    <row r="3748">
      <c r="A3748" s="1" t="s">
        <v>3748</v>
      </c>
      <c r="B3748" s="2" t="str">
        <f>IFERROR(__xludf.DUMMYFUNCTION("GOOGLETRANSLATE(A3748, ""de"", ""en"")"),"soft")</f>
        <v>soft</v>
      </c>
    </row>
    <row r="3749">
      <c r="A3749" s="1" t="s">
        <v>3749</v>
      </c>
      <c r="B3749" s="2" t="str">
        <f>IFERROR(__xludf.DUMMYFUNCTION("GOOGLETRANSLATE(A3749, ""de"", ""en"")"),"real")</f>
        <v>real</v>
      </c>
    </row>
    <row r="3750">
      <c r="A3750" s="1" t="s">
        <v>3750</v>
      </c>
      <c r="B3750" s="2" t="str">
        <f>IFERROR(__xludf.DUMMYFUNCTION("GOOGLETRANSLATE(A3750, ""de"", ""en"")"),"secondly")</f>
        <v>secondly</v>
      </c>
    </row>
    <row r="3751">
      <c r="A3751" s="1" t="s">
        <v>3751</v>
      </c>
      <c r="B3751" s="2" t="str">
        <f>IFERROR(__xludf.DUMMYFUNCTION("GOOGLETRANSLATE(A3751, ""de"", ""en"")"),"dragon")</f>
        <v>dragon</v>
      </c>
    </row>
    <row r="3752">
      <c r="A3752" s="1" t="s">
        <v>3752</v>
      </c>
      <c r="B3752" s="2" t="str">
        <f>IFERROR(__xludf.DUMMYFUNCTION("GOOGLETRANSLATE(A3752, ""de"", ""en"")"),"railroad station")</f>
        <v>railroad station</v>
      </c>
    </row>
    <row r="3753">
      <c r="A3753" s="1" t="s">
        <v>3753</v>
      </c>
      <c r="B3753" s="2" t="str">
        <f>IFERROR(__xludf.DUMMYFUNCTION("GOOGLETRANSLATE(A3753, ""de"", ""en"")"),"exhausted")</f>
        <v>exhausted</v>
      </c>
    </row>
    <row r="3754">
      <c r="A3754" s="1" t="s">
        <v>3754</v>
      </c>
      <c r="B3754" s="2" t="str">
        <f>IFERROR(__xludf.DUMMYFUNCTION("GOOGLETRANSLATE(A3754, ""de"", ""en"")"),"more precise")</f>
        <v>more precise</v>
      </c>
    </row>
    <row r="3755">
      <c r="A3755" s="1" t="s">
        <v>3755</v>
      </c>
      <c r="B3755" s="2" t="str">
        <f>IFERROR(__xludf.DUMMYFUNCTION("GOOGLETRANSLATE(A3755, ""de"", ""en"")"),"demand")</f>
        <v>demand</v>
      </c>
    </row>
    <row r="3756">
      <c r="A3756" s="1" t="s">
        <v>3756</v>
      </c>
      <c r="B3756" s="2" t="str">
        <f>IFERROR(__xludf.DUMMYFUNCTION("GOOGLETRANSLATE(A3756, ""de"", ""en"")"),"Spanish")</f>
        <v>Spanish</v>
      </c>
    </row>
    <row r="3757">
      <c r="A3757" s="1" t="s">
        <v>3757</v>
      </c>
      <c r="B3757" s="2" t="str">
        <f>IFERROR(__xludf.DUMMYFUNCTION("GOOGLETRANSLATE(A3757, ""de"", ""en"")"),"betrayal")</f>
        <v>betrayal</v>
      </c>
    </row>
    <row r="3758">
      <c r="A3758" s="1" t="s">
        <v>3758</v>
      </c>
      <c r="B3758" s="2" t="str">
        <f>IFERROR(__xludf.DUMMYFUNCTION("GOOGLETRANSLATE(A3758, ""de"", ""en"")"),"witches")</f>
        <v>witches</v>
      </c>
    </row>
    <row r="3759">
      <c r="A3759" s="1" t="s">
        <v>3759</v>
      </c>
      <c r="B3759" s="2" t="str">
        <f>IFERROR(__xludf.DUMMYFUNCTION("GOOGLETRANSLATE(A3759, ""de"", ""en"")"),"live")</f>
        <v>live</v>
      </c>
    </row>
    <row r="3760">
      <c r="A3760" s="1" t="s">
        <v>3760</v>
      </c>
      <c r="B3760" s="2" t="str">
        <f>IFERROR(__xludf.DUMMYFUNCTION("GOOGLETRANSLATE(A3760, ""de"", ""en"")"),"legend")</f>
        <v>legend</v>
      </c>
    </row>
    <row r="3761">
      <c r="A3761" s="1" t="s">
        <v>3761</v>
      </c>
      <c r="B3761" s="2" t="str">
        <f>IFERROR(__xludf.DUMMYFUNCTION("GOOGLETRANSLATE(A3761, ""de"", ""en"")"),"deaf")</f>
        <v>deaf</v>
      </c>
    </row>
    <row r="3762">
      <c r="A3762" s="1" t="s">
        <v>3762</v>
      </c>
      <c r="B3762" s="2" t="str">
        <f>IFERROR(__xludf.DUMMYFUNCTION("GOOGLETRANSLATE(A3762, ""de"", ""en"")"),"happy")</f>
        <v>happy</v>
      </c>
    </row>
    <row r="3763">
      <c r="A3763" s="1" t="s">
        <v>3763</v>
      </c>
      <c r="B3763" s="2" t="str">
        <f>IFERROR(__xludf.DUMMYFUNCTION("GOOGLETRANSLATE(A3763, ""de"", ""en"")"),"concert")</f>
        <v>concert</v>
      </c>
    </row>
    <row r="3764">
      <c r="A3764" s="1" t="s">
        <v>3764</v>
      </c>
      <c r="B3764" s="2" t="str">
        <f>IFERROR(__xludf.DUMMYFUNCTION("GOOGLETRANSLATE(A3764, ""de"", ""en"")"),"oops")</f>
        <v>oops</v>
      </c>
    </row>
    <row r="3765">
      <c r="A3765" s="1" t="s">
        <v>3765</v>
      </c>
      <c r="B3765" s="2" t="str">
        <f>IFERROR(__xludf.DUMMYFUNCTION("GOOGLETRANSLATE(A3765, ""de"", ""en"")"),"to see again")</f>
        <v>to see again</v>
      </c>
    </row>
    <row r="3766">
      <c r="A3766" s="1" t="s">
        <v>3766</v>
      </c>
      <c r="B3766" s="2" t="str">
        <f>IFERROR(__xludf.DUMMYFUNCTION("GOOGLETRANSLATE(A3766, ""de"", ""en"")"),"double")</f>
        <v>double</v>
      </c>
    </row>
    <row r="3767">
      <c r="A3767" s="1" t="s">
        <v>3767</v>
      </c>
      <c r="B3767" s="2" t="str">
        <f>IFERROR(__xludf.DUMMYFUNCTION("GOOGLETRANSLATE(A3767, ""de"", ""en"")"),"load")</f>
        <v>load</v>
      </c>
    </row>
    <row r="3768">
      <c r="A3768" s="1" t="s">
        <v>3768</v>
      </c>
      <c r="B3768" s="2" t="str">
        <f>IFERROR(__xludf.DUMMYFUNCTION("GOOGLETRANSLATE(A3768, ""de"", ""en"")"),"comparison")</f>
        <v>comparison</v>
      </c>
    </row>
    <row r="3769">
      <c r="A3769" s="1" t="s">
        <v>3769</v>
      </c>
      <c r="B3769" s="2" t="str">
        <f>IFERROR(__xludf.DUMMYFUNCTION("GOOGLETRANSLATE(A3769, ""de"", ""en"")"),"more evil")</f>
        <v>more evil</v>
      </c>
    </row>
    <row r="3770">
      <c r="A3770" s="1" t="s">
        <v>3770</v>
      </c>
      <c r="B3770" s="2" t="str">
        <f>IFERROR(__xludf.DUMMYFUNCTION("GOOGLETRANSLATE(A3770, ""de"", ""en"")"),"heartfelt")</f>
        <v>heartfelt</v>
      </c>
    </row>
    <row r="3771">
      <c r="A3771" s="1" t="s">
        <v>3771</v>
      </c>
      <c r="B3771" s="2" t="str">
        <f>IFERROR(__xludf.DUMMYFUNCTION("GOOGLETRANSLATE(A3771, ""de"", ""en"")"),"Monica")</f>
        <v>Monica</v>
      </c>
    </row>
    <row r="3772">
      <c r="A3772" s="1" t="s">
        <v>3772</v>
      </c>
      <c r="B3772" s="2" t="str">
        <f>IFERROR(__xludf.DUMMYFUNCTION("GOOGLETRANSLATE(A3772, ""de"", ""en"")"),"bags")</f>
        <v>bags</v>
      </c>
    </row>
    <row r="3773">
      <c r="A3773" s="1" t="s">
        <v>3773</v>
      </c>
      <c r="B3773" s="2" t="str">
        <f>IFERROR(__xludf.DUMMYFUNCTION("GOOGLETRANSLATE(A3773, ""de"", ""en"")"),"is enough")</f>
        <v>is enough</v>
      </c>
    </row>
    <row r="3774">
      <c r="A3774" s="1" t="s">
        <v>3774</v>
      </c>
      <c r="B3774" s="2" t="str">
        <f>IFERROR(__xludf.DUMMYFUNCTION("GOOGLETRANSLATE(A3774, ""de"", ""en"")"),"visitors")</f>
        <v>visitors</v>
      </c>
    </row>
    <row r="3775">
      <c r="A3775" s="1" t="s">
        <v>3775</v>
      </c>
      <c r="B3775" s="2" t="str">
        <f>IFERROR(__xludf.DUMMYFUNCTION("GOOGLETRANSLATE(A3775, ""de"", ""en"")"),"Spain")</f>
        <v>Spain</v>
      </c>
    </row>
    <row r="3776">
      <c r="A3776" s="1" t="s">
        <v>3776</v>
      </c>
      <c r="B3776" s="2" t="str">
        <f>IFERROR(__xludf.DUMMYFUNCTION("GOOGLETRANSLATE(A3776, ""de"", ""en"")"),"generous")</f>
        <v>generous</v>
      </c>
    </row>
    <row r="3777">
      <c r="A3777" s="1" t="s">
        <v>3777</v>
      </c>
      <c r="B3777" s="2" t="str">
        <f>IFERROR(__xludf.DUMMYFUNCTION("GOOGLETRANSLATE(A3777, ""de"", ""en"")"),"teddy")</f>
        <v>teddy</v>
      </c>
    </row>
    <row r="3778">
      <c r="A3778" s="1" t="s">
        <v>3778</v>
      </c>
      <c r="B3778" s="2" t="str">
        <f>IFERROR(__xludf.DUMMYFUNCTION("GOOGLETRANSLATE(A3778, ""de"", ""en"")"),"house")</f>
        <v>house</v>
      </c>
    </row>
    <row r="3779">
      <c r="A3779" s="1" t="s">
        <v>3779</v>
      </c>
      <c r="B3779" s="2" t="str">
        <f>IFERROR(__xludf.DUMMYFUNCTION("GOOGLETRANSLATE(A3779, ""de"", ""en"")"),"lend")</f>
        <v>lend</v>
      </c>
    </row>
    <row r="3780">
      <c r="A3780" s="1" t="s">
        <v>3780</v>
      </c>
      <c r="B3780" s="2" t="str">
        <f>IFERROR(__xludf.DUMMYFUNCTION("GOOGLETRANSLATE(A3780, ""de"", ""en"")"),"divorce")</f>
        <v>divorce</v>
      </c>
    </row>
    <row r="3781">
      <c r="A3781" s="1" t="s">
        <v>3781</v>
      </c>
      <c r="B3781" s="2" t="str">
        <f>IFERROR(__xludf.DUMMYFUNCTION("GOOGLETRANSLATE(A3781, ""de"", ""en"")"),"attitude")</f>
        <v>attitude</v>
      </c>
    </row>
    <row r="3782">
      <c r="A3782" s="1" t="s">
        <v>3782</v>
      </c>
      <c r="B3782" s="2" t="str">
        <f>IFERROR(__xludf.DUMMYFUNCTION("GOOGLETRANSLATE(A3782, ""de"", ""en"")"),"delicious")</f>
        <v>delicious</v>
      </c>
    </row>
    <row r="3783">
      <c r="A3783" s="1" t="s">
        <v>3783</v>
      </c>
      <c r="B3783" s="2" t="str">
        <f>IFERROR(__xludf.DUMMYFUNCTION("GOOGLETRANSLATE(A3783, ""de"", ""en"")"),"Watson")</f>
        <v>Watson</v>
      </c>
    </row>
    <row r="3784">
      <c r="A3784" s="1" t="s">
        <v>3784</v>
      </c>
      <c r="B3784" s="2" t="str">
        <f>IFERROR(__xludf.DUMMYFUNCTION("GOOGLETRANSLATE(A3784, ""de"", ""en"")"),"units")</f>
        <v>units</v>
      </c>
    </row>
    <row r="3785">
      <c r="A3785" s="1" t="s">
        <v>3785</v>
      </c>
      <c r="B3785" s="2" t="str">
        <f>IFERROR(__xludf.DUMMYFUNCTION("GOOGLETRANSLATE(A3785, ""de"", ""en"")"),"important")</f>
        <v>important</v>
      </c>
    </row>
    <row r="3786">
      <c r="A3786" s="1" t="s">
        <v>3786</v>
      </c>
      <c r="B3786" s="2" t="str">
        <f>IFERROR(__xludf.DUMMYFUNCTION("GOOGLETRANSLATE(A3786, ""de"", ""en"")"),"go")</f>
        <v>go</v>
      </c>
    </row>
    <row r="3787">
      <c r="A3787" s="1" t="s">
        <v>3787</v>
      </c>
      <c r="B3787" s="2" t="str">
        <f>IFERROR(__xludf.DUMMYFUNCTION("GOOGLETRANSLATE(A3787, ""de"", ""en"")"),"warn")</f>
        <v>warn</v>
      </c>
    </row>
    <row r="3788">
      <c r="A3788" s="1" t="s">
        <v>3788</v>
      </c>
      <c r="B3788" s="2" t="str">
        <f>IFERROR(__xludf.DUMMYFUNCTION("GOOGLETRANSLATE(A3788, ""de"", ""en"")"),"Russia")</f>
        <v>Russia</v>
      </c>
    </row>
    <row r="3789">
      <c r="A3789" s="1" t="s">
        <v>3789</v>
      </c>
      <c r="B3789" s="2" t="str">
        <f>IFERROR(__xludf.DUMMYFUNCTION("GOOGLETRANSLATE(A3789, ""de"", ""en"")"),"shot")</f>
        <v>shot</v>
      </c>
    </row>
    <row r="3790">
      <c r="A3790" s="1" t="s">
        <v>3790</v>
      </c>
      <c r="B3790" s="2" t="str">
        <f>IFERROR(__xludf.DUMMYFUNCTION("GOOGLETRANSLATE(A3790, ""de"", ""en"")"),"sammy")</f>
        <v>sammy</v>
      </c>
    </row>
    <row r="3791">
      <c r="A3791" s="1" t="s">
        <v>3791</v>
      </c>
      <c r="B3791" s="2" t="str">
        <f>IFERROR(__xludf.DUMMYFUNCTION("GOOGLETRANSLATE(A3791, ""de"", ""en"")"),"pierre")</f>
        <v>pierre</v>
      </c>
    </row>
    <row r="3792">
      <c r="A3792" s="1" t="s">
        <v>3792</v>
      </c>
      <c r="B3792" s="2" t="str">
        <f>IFERROR(__xludf.DUMMYFUNCTION("GOOGLETRANSLATE(A3792, ""de"", ""en"")"),"slaves")</f>
        <v>slaves</v>
      </c>
    </row>
    <row r="3793">
      <c r="A3793" s="1" t="s">
        <v>3793</v>
      </c>
      <c r="B3793" s="2" t="str">
        <f>IFERROR(__xludf.DUMMYFUNCTION("GOOGLETRANSLATE(A3793, ""de"", ""en"")"),"mood")</f>
        <v>mood</v>
      </c>
    </row>
    <row r="3794">
      <c r="A3794" s="1" t="s">
        <v>3794</v>
      </c>
      <c r="B3794" s="2" t="str">
        <f>IFERROR(__xludf.DUMMYFUNCTION("GOOGLETRANSLATE(A3794, ""de"", ""en"")"),"entire")</f>
        <v>entire</v>
      </c>
    </row>
    <row r="3795">
      <c r="A3795" s="1" t="s">
        <v>3795</v>
      </c>
      <c r="B3795" s="2" t="str">
        <f>IFERROR(__xludf.DUMMYFUNCTION("GOOGLETRANSLATE(A3795, ""de"", ""en"")"),"silence")</f>
        <v>silence</v>
      </c>
    </row>
    <row r="3796">
      <c r="A3796" s="1" t="s">
        <v>3796</v>
      </c>
      <c r="B3796" s="2" t="str">
        <f>IFERROR(__xludf.DUMMYFUNCTION("GOOGLETRANSLATE(A3796, ""de"", ""en"")"),"ash")</f>
        <v>ash</v>
      </c>
    </row>
    <row r="3797">
      <c r="A3797" s="1" t="s">
        <v>3797</v>
      </c>
      <c r="B3797" s="2" t="str">
        <f>IFERROR(__xludf.DUMMYFUNCTION("GOOGLETRANSLATE(A3797, ""de"", ""en"")"),"flown")</f>
        <v>flown</v>
      </c>
    </row>
    <row r="3798">
      <c r="A3798" s="1" t="s">
        <v>3798</v>
      </c>
      <c r="B3798" s="2" t="str">
        <f>IFERROR(__xludf.DUMMYFUNCTION("GOOGLETRANSLATE(A3798, ""de"", ""en"")"),"spy")</f>
        <v>spy</v>
      </c>
    </row>
    <row r="3799">
      <c r="A3799" s="1" t="s">
        <v>3799</v>
      </c>
      <c r="B3799" s="2" t="str">
        <f>IFERROR(__xludf.DUMMYFUNCTION("GOOGLETRANSLATE(A3799, ""de"", ""en"")"),"what")</f>
        <v>what</v>
      </c>
    </row>
    <row r="3800">
      <c r="A3800" s="1" t="s">
        <v>3800</v>
      </c>
      <c r="B3800" s="2" t="str">
        <f>IFERROR(__xludf.DUMMYFUNCTION("GOOGLETRANSLATE(A3800, ""de"", ""en"")"),"Aaron")</f>
        <v>Aaron</v>
      </c>
    </row>
    <row r="3801">
      <c r="A3801" s="1" t="s">
        <v>3801</v>
      </c>
      <c r="B3801" s="2" t="str">
        <f>IFERROR(__xludf.DUMMYFUNCTION("GOOGLETRANSLATE(A3801, ""de"", ""en"")"),"Santa Claus")</f>
        <v>Santa Claus</v>
      </c>
    </row>
    <row r="3802">
      <c r="A3802" s="1" t="s">
        <v>3802</v>
      </c>
      <c r="B3802" s="2" t="str">
        <f>IFERROR(__xludf.DUMMYFUNCTION("GOOGLETRANSLATE(A3802, ""de"", ""en"")"),"terrific")</f>
        <v>terrific</v>
      </c>
    </row>
    <row r="3803">
      <c r="A3803" s="1" t="s">
        <v>3803</v>
      </c>
      <c r="B3803" s="2" t="str">
        <f>IFERROR(__xludf.DUMMYFUNCTION("GOOGLETRANSLATE(A3803, ""de"", ""en"")"),"can")</f>
        <v>can</v>
      </c>
    </row>
    <row r="3804">
      <c r="A3804" s="1" t="s">
        <v>3804</v>
      </c>
      <c r="B3804" s="2" t="str">
        <f>IFERROR(__xludf.DUMMYFUNCTION("GOOGLETRANSLATE(A3804, ""de"", ""en"")"),"annoyed")</f>
        <v>annoyed</v>
      </c>
    </row>
    <row r="3805">
      <c r="A3805" s="1" t="s">
        <v>3805</v>
      </c>
      <c r="B3805" s="2" t="str">
        <f>IFERROR(__xludf.DUMMYFUNCTION("GOOGLETRANSLATE(A3805, ""de"", ""en"")"),"doll")</f>
        <v>doll</v>
      </c>
    </row>
    <row r="3806">
      <c r="A3806" s="1" t="s">
        <v>3806</v>
      </c>
      <c r="B3806" s="2" t="str">
        <f>IFERROR(__xludf.DUMMYFUNCTION("GOOGLETRANSLATE(A3806, ""de"", ""en"")"),"raid")</f>
        <v>raid</v>
      </c>
    </row>
    <row r="3807">
      <c r="A3807" s="1" t="s">
        <v>3807</v>
      </c>
      <c r="B3807" s="2" t="str">
        <f>IFERROR(__xludf.DUMMYFUNCTION("GOOGLETRANSLATE(A3807, ""de"", ""en"")"),"unimportant")</f>
        <v>unimportant</v>
      </c>
    </row>
    <row r="3808">
      <c r="A3808" s="1" t="s">
        <v>3808</v>
      </c>
      <c r="B3808" s="2" t="str">
        <f>IFERROR(__xludf.DUMMYFUNCTION("GOOGLETRANSLATE(A3808, ""de"", ""en"")"),"santa")</f>
        <v>santa</v>
      </c>
    </row>
    <row r="3809">
      <c r="A3809" s="1" t="s">
        <v>3809</v>
      </c>
      <c r="B3809" s="2" t="str">
        <f>IFERROR(__xludf.DUMMYFUNCTION("GOOGLETRANSLATE(A3809, ""de"", ""en"")"),"left")</f>
        <v>left</v>
      </c>
    </row>
    <row r="3810">
      <c r="A3810" s="1" t="s">
        <v>3810</v>
      </c>
      <c r="B3810" s="2" t="str">
        <f>IFERROR(__xludf.DUMMYFUNCTION("GOOGLETRANSLATE(A3810, ""de"", ""en"")"),"exercise")</f>
        <v>exercise</v>
      </c>
    </row>
    <row r="3811">
      <c r="A3811" s="1" t="s">
        <v>3811</v>
      </c>
      <c r="B3811" s="2" t="str">
        <f>IFERROR(__xludf.DUMMYFUNCTION("GOOGLETRANSLATE(A3811, ""de"", ""en"")"),"buffy")</f>
        <v>buffy</v>
      </c>
    </row>
    <row r="3812">
      <c r="A3812" s="1" t="s">
        <v>3812</v>
      </c>
      <c r="B3812" s="2" t="str">
        <f>IFERROR(__xludf.DUMMYFUNCTION("GOOGLETRANSLATE(A3812, ""de"", ""en"")"),"French")</f>
        <v>French</v>
      </c>
    </row>
    <row r="3813">
      <c r="A3813" s="1" t="s">
        <v>3813</v>
      </c>
      <c r="B3813" s="2" t="str">
        <f>IFERROR(__xludf.DUMMYFUNCTION("GOOGLETRANSLATE(A3813, ""de"", ""en"")"),"hurt")</f>
        <v>hurt</v>
      </c>
    </row>
    <row r="3814">
      <c r="A3814" s="1" t="s">
        <v>3814</v>
      </c>
      <c r="B3814" s="2" t="str">
        <f>IFERROR(__xludf.DUMMYFUNCTION("GOOGLETRANSLATE(A3814, ""de"", ""en"")"),"weakness")</f>
        <v>weakness</v>
      </c>
    </row>
    <row r="3815">
      <c r="A3815" s="1" t="s">
        <v>3815</v>
      </c>
      <c r="B3815" s="2" t="str">
        <f>IFERROR(__xludf.DUMMYFUNCTION("GOOGLETRANSLATE(A3815, ""de"", ""en"")"),"couch")</f>
        <v>couch</v>
      </c>
    </row>
    <row r="3816">
      <c r="A3816" s="1" t="s">
        <v>3816</v>
      </c>
      <c r="B3816" s="2" t="str">
        <f>IFERROR(__xludf.DUMMYFUNCTION("GOOGLETRANSLATE(A3816, ""de"", ""en"")"),"cousin")</f>
        <v>cousin</v>
      </c>
    </row>
    <row r="3817">
      <c r="A3817" s="1" t="s">
        <v>3817</v>
      </c>
      <c r="B3817" s="2" t="str">
        <f>IFERROR(__xludf.DUMMYFUNCTION("GOOGLETRANSLATE(A3817, ""de"", ""en"")"),"grant")</f>
        <v>grant</v>
      </c>
    </row>
    <row r="3818">
      <c r="A3818" s="1" t="s">
        <v>3818</v>
      </c>
      <c r="B3818" s="2" t="str">
        <f>IFERROR(__xludf.DUMMYFUNCTION("GOOGLETRANSLATE(A3818, ""de"", ""en"")"),"breathe")</f>
        <v>breathe</v>
      </c>
    </row>
    <row r="3819">
      <c r="A3819" s="1" t="s">
        <v>3819</v>
      </c>
      <c r="B3819" s="2" t="str">
        <f>IFERROR(__xludf.DUMMYFUNCTION("GOOGLETRANSLATE(A3819, ""de"", ""en"")"),"anyone")</f>
        <v>anyone</v>
      </c>
    </row>
    <row r="3820">
      <c r="A3820" s="1" t="s">
        <v>3820</v>
      </c>
      <c r="B3820" s="2" t="str">
        <f>IFERROR(__xludf.DUMMYFUNCTION("GOOGLETRANSLATE(A3820, ""de"", ""en"")"),"supports")</f>
        <v>supports</v>
      </c>
    </row>
    <row r="3821">
      <c r="A3821" s="1" t="s">
        <v>3821</v>
      </c>
      <c r="B3821" s="2" t="str">
        <f>IFERROR(__xludf.DUMMYFUNCTION("GOOGLETRANSLATE(A3821, ""de"", ""en"")"),"oscar")</f>
        <v>oscar</v>
      </c>
    </row>
    <row r="3822">
      <c r="A3822" s="1" t="s">
        <v>3822</v>
      </c>
      <c r="B3822" s="2" t="str">
        <f>IFERROR(__xludf.DUMMYFUNCTION("GOOGLETRANSLATE(A3822, ""de"", ""en"")"),"expression")</f>
        <v>expression</v>
      </c>
    </row>
    <row r="3823">
      <c r="A3823" s="1" t="s">
        <v>3823</v>
      </c>
      <c r="B3823" s="2" t="str">
        <f>IFERROR(__xludf.DUMMYFUNCTION("GOOGLETRANSLATE(A3823, ""de"", ""en"")"),"broke")</f>
        <v>broke</v>
      </c>
    </row>
    <row r="3824">
      <c r="A3824" s="1" t="s">
        <v>3824</v>
      </c>
      <c r="B3824" s="2" t="str">
        <f>IFERROR(__xludf.DUMMYFUNCTION("GOOGLETRANSLATE(A3824, ""de"", ""en"")"),"insulted")</f>
        <v>insulted</v>
      </c>
    </row>
    <row r="3825">
      <c r="A3825" s="1" t="s">
        <v>3825</v>
      </c>
      <c r="B3825" s="2" t="str">
        <f>IFERROR(__xludf.DUMMYFUNCTION("GOOGLETRANSLATE(A3825, ""de"", ""en"")"),"button")</f>
        <v>button</v>
      </c>
    </row>
    <row r="3826">
      <c r="A3826" s="1" t="s">
        <v>3826</v>
      </c>
      <c r="B3826" s="2" t="str">
        <f>IFERROR(__xludf.DUMMYFUNCTION("GOOGLETRANSLATE(A3826, ""de"", ""en"")"),"Stop")</f>
        <v>Stop</v>
      </c>
    </row>
    <row r="3827">
      <c r="A3827" s="1" t="s">
        <v>3827</v>
      </c>
      <c r="B3827" s="2" t="str">
        <f>IFERROR(__xludf.DUMMYFUNCTION("GOOGLETRANSLATE(A3827, ""de"", ""en"")"),"bad ones")</f>
        <v>bad ones</v>
      </c>
    </row>
    <row r="3828">
      <c r="A3828" s="1" t="s">
        <v>3828</v>
      </c>
      <c r="B3828" s="2" t="str">
        <f>IFERROR(__xludf.DUMMYFUNCTION("GOOGLETRANSLATE(A3828, ""de"", ""en"")"),"proves")</f>
        <v>proves</v>
      </c>
    </row>
    <row r="3829">
      <c r="A3829" s="1" t="s">
        <v>3829</v>
      </c>
      <c r="B3829" s="2" t="str">
        <f>IFERROR(__xludf.DUMMYFUNCTION("GOOGLETRANSLATE(A3829, ""de"", ""en"")"),"katie")</f>
        <v>katie</v>
      </c>
    </row>
    <row r="3830">
      <c r="A3830" s="1" t="s">
        <v>3830</v>
      </c>
      <c r="B3830" s="2" t="str">
        <f>IFERROR(__xludf.DUMMYFUNCTION("GOOGLETRANSLATE(A3830, ""de"", ""en"")"),"dramatic")</f>
        <v>dramatic</v>
      </c>
    </row>
    <row r="3831">
      <c r="A3831" s="1" t="s">
        <v>3831</v>
      </c>
      <c r="B3831" s="2" t="str">
        <f>IFERROR(__xludf.DUMMYFUNCTION("GOOGLETRANSLATE(A3831, ""de"", ""en"")"),"today")</f>
        <v>today</v>
      </c>
    </row>
    <row r="3832">
      <c r="A3832" s="1" t="s">
        <v>3832</v>
      </c>
      <c r="B3832" s="2" t="str">
        <f>IFERROR(__xludf.DUMMYFUNCTION("GOOGLETRANSLATE(A3832, ""de"", ""en"")"),"empty")</f>
        <v>empty</v>
      </c>
    </row>
    <row r="3833">
      <c r="A3833" s="1" t="s">
        <v>3833</v>
      </c>
      <c r="B3833" s="2" t="str">
        <f>IFERROR(__xludf.DUMMYFUNCTION("GOOGLETRANSLATE(A3833, ""de"", ""en"")"),"Iceland")</f>
        <v>Iceland</v>
      </c>
    </row>
    <row r="3834">
      <c r="A3834" s="1" t="s">
        <v>3834</v>
      </c>
      <c r="B3834" s="2" t="str">
        <f>IFERROR(__xludf.DUMMYFUNCTION("GOOGLETRANSLATE(A3834, ""de"", ""en"")"),"Shane")</f>
        <v>Shane</v>
      </c>
    </row>
    <row r="3835">
      <c r="A3835" s="1" t="s">
        <v>3835</v>
      </c>
      <c r="B3835" s="2" t="str">
        <f>IFERROR(__xludf.DUMMYFUNCTION("GOOGLETRANSLATE(A3835, ""de"", ""en"")"),"daisy")</f>
        <v>daisy</v>
      </c>
    </row>
    <row r="3836">
      <c r="A3836" s="1" t="s">
        <v>3836</v>
      </c>
      <c r="B3836" s="2" t="str">
        <f>IFERROR(__xludf.DUMMYFUNCTION("GOOGLETRANSLATE(A3836, ""de"", ""en"")"),"drink")</f>
        <v>drink</v>
      </c>
    </row>
    <row r="3837">
      <c r="A3837" s="1" t="s">
        <v>3837</v>
      </c>
      <c r="B3837" s="2" t="str">
        <f>IFERROR(__xludf.DUMMYFUNCTION("GOOGLETRANSLATE(A3837, ""de"", ""en"")"),"secretly")</f>
        <v>secretly</v>
      </c>
    </row>
    <row r="3838">
      <c r="A3838" s="1" t="s">
        <v>3838</v>
      </c>
      <c r="B3838" s="2" t="str">
        <f>IFERROR(__xludf.DUMMYFUNCTION("GOOGLETRANSLATE(A3838, ""de"", ""en"")"),"enter")</f>
        <v>enter</v>
      </c>
    </row>
    <row r="3839">
      <c r="A3839" s="1" t="s">
        <v>3839</v>
      </c>
      <c r="B3839" s="2" t="str">
        <f>IFERROR(__xludf.DUMMYFUNCTION("GOOGLETRANSLATE(A3839, ""de"", ""en"")"),"wheel")</f>
        <v>wheel</v>
      </c>
    </row>
    <row r="3840">
      <c r="A3840" s="1" t="s">
        <v>3840</v>
      </c>
      <c r="B3840" s="2" t="str">
        <f>IFERROR(__xludf.DUMMYFUNCTION("GOOGLETRANSLATE(A3840, ""de"", ""en"")"),"takes hold")</f>
        <v>takes hold</v>
      </c>
    </row>
    <row r="3841">
      <c r="A3841" s="1" t="s">
        <v>3841</v>
      </c>
      <c r="B3841" s="2" t="str">
        <f>IFERROR(__xludf.DUMMYFUNCTION("GOOGLETRANSLATE(A3841, ""de"", ""en"")"),"powerful")</f>
        <v>powerful</v>
      </c>
    </row>
    <row r="3842">
      <c r="A3842" s="1" t="s">
        <v>3842</v>
      </c>
      <c r="B3842" s="2" t="str">
        <f>IFERROR(__xludf.DUMMYFUNCTION("GOOGLETRANSLATE(A3842, ""de"", ""en"")"),"williams")</f>
        <v>williams</v>
      </c>
    </row>
    <row r="3843">
      <c r="A3843" s="1" t="s">
        <v>3843</v>
      </c>
      <c r="B3843" s="2" t="str">
        <f>IFERROR(__xludf.DUMMYFUNCTION("GOOGLETRANSLATE(A3843, ""de"", ""en"")"),"pointless")</f>
        <v>pointless</v>
      </c>
    </row>
    <row r="3844">
      <c r="A3844" s="1" t="s">
        <v>3844</v>
      </c>
      <c r="B3844" s="2" t="str">
        <f>IFERROR(__xludf.DUMMYFUNCTION("GOOGLETRANSLATE(A3844, ""de"", ""en"")"),"messed up")</f>
        <v>messed up</v>
      </c>
    </row>
    <row r="3845">
      <c r="A3845" s="1" t="s">
        <v>3845</v>
      </c>
      <c r="B3845" s="2" t="str">
        <f>IFERROR(__xludf.DUMMYFUNCTION("GOOGLETRANSLATE(A3845, ""de"", ""en"")"),"network")</f>
        <v>network</v>
      </c>
    </row>
    <row r="3846">
      <c r="A3846" s="1" t="s">
        <v>3846</v>
      </c>
      <c r="B3846" s="2" t="str">
        <f>IFERROR(__xludf.DUMMYFUNCTION("GOOGLETRANSLATE(A3846, ""de"", ""en"")"),"breath")</f>
        <v>breath</v>
      </c>
    </row>
    <row r="3847">
      <c r="A3847" s="1" t="s">
        <v>3847</v>
      </c>
      <c r="B3847" s="2" t="str">
        <f>IFERROR(__xludf.DUMMYFUNCTION("GOOGLETRANSLATE(A3847, ""de"", ""en"")"),"hire")</f>
        <v>hire</v>
      </c>
    </row>
    <row r="3848">
      <c r="A3848" s="1" t="s">
        <v>3848</v>
      </c>
      <c r="B3848" s="2" t="str">
        <f>IFERROR(__xludf.DUMMYFUNCTION("GOOGLETRANSLATE(A3848, ""de"", ""en"")"),"billion")</f>
        <v>billion</v>
      </c>
    </row>
    <row r="3849">
      <c r="A3849" s="1" t="s">
        <v>3849</v>
      </c>
      <c r="B3849" s="2" t="str">
        <f>IFERROR(__xludf.DUMMYFUNCTION("GOOGLETRANSLATE(A3849, ""de"", ""en"")"),"fleet")</f>
        <v>fleet</v>
      </c>
    </row>
    <row r="3850">
      <c r="A3850" s="1" t="s">
        <v>3850</v>
      </c>
      <c r="B3850" s="2" t="str">
        <f>IFERROR(__xludf.DUMMYFUNCTION("GOOGLETRANSLATE(A3850, ""de"", ""en"")"),"vicinity")</f>
        <v>vicinity</v>
      </c>
    </row>
    <row r="3851">
      <c r="A3851" s="1" t="s">
        <v>3851</v>
      </c>
      <c r="B3851" s="2" t="str">
        <f>IFERROR(__xludf.DUMMYFUNCTION("GOOGLETRANSLATE(A3851, ""de"", ""en"")"),"bring along")</f>
        <v>bring along</v>
      </c>
    </row>
    <row r="3852">
      <c r="A3852" s="1" t="s">
        <v>3852</v>
      </c>
      <c r="B3852" s="2" t="str">
        <f>IFERROR(__xludf.DUMMYFUNCTION("GOOGLETRANSLATE(A3852, ""de"", ""en"")"),"involved")</f>
        <v>involved</v>
      </c>
    </row>
    <row r="3853">
      <c r="A3853" s="1" t="s">
        <v>3853</v>
      </c>
      <c r="B3853" s="2" t="str">
        <f>IFERROR(__xludf.DUMMYFUNCTION("GOOGLETRANSLATE(A3853, ""de"", ""en"")"),"darken")</f>
        <v>darken</v>
      </c>
    </row>
    <row r="3854">
      <c r="A3854" s="1" t="s">
        <v>3854</v>
      </c>
      <c r="B3854" s="2" t="str">
        <f>IFERROR(__xludf.DUMMYFUNCTION("GOOGLETRANSLATE(A3854, ""de"", ""en"")"),"develop")</f>
        <v>develop</v>
      </c>
    </row>
    <row r="3855">
      <c r="A3855" s="1" t="s">
        <v>3855</v>
      </c>
      <c r="B3855" s="2" t="str">
        <f>IFERROR(__xludf.DUMMYFUNCTION("GOOGLETRANSLATE(A3855, ""de"", ""en"")"),"ashamed")</f>
        <v>ashamed</v>
      </c>
    </row>
    <row r="3856">
      <c r="A3856" s="1" t="s">
        <v>3856</v>
      </c>
      <c r="B3856" s="2" t="str">
        <f>IFERROR(__xludf.DUMMYFUNCTION("GOOGLETRANSLATE(A3856, ""de"", ""en"")"),"adult")</f>
        <v>adult</v>
      </c>
    </row>
    <row r="3857">
      <c r="A3857" s="1" t="s">
        <v>3857</v>
      </c>
      <c r="B3857" s="2" t="str">
        <f>IFERROR(__xludf.DUMMYFUNCTION("GOOGLETRANSLATE(A3857, ""de"", ""en"")"),"boom")</f>
        <v>boom</v>
      </c>
    </row>
    <row r="3858">
      <c r="A3858" s="1" t="s">
        <v>3858</v>
      </c>
      <c r="B3858" s="2" t="str">
        <f>IFERROR(__xludf.DUMMYFUNCTION("GOOGLETRANSLATE(A3858, ""de"", ""en"")"),"browse")</f>
        <v>browse</v>
      </c>
    </row>
    <row r="3859">
      <c r="A3859" s="1" t="s">
        <v>3859</v>
      </c>
      <c r="B3859" s="2" t="str">
        <f>IFERROR(__xludf.DUMMYFUNCTION("GOOGLETRANSLATE(A3859, ""de"", ""en"")"),"Hollywood")</f>
        <v>Hollywood</v>
      </c>
    </row>
    <row r="3860">
      <c r="A3860" s="1" t="s">
        <v>3860</v>
      </c>
      <c r="B3860" s="2" t="str">
        <f>IFERROR(__xludf.DUMMYFUNCTION("GOOGLETRANSLATE(A3860, ""de"", ""en"")"),"roll")</f>
        <v>roll</v>
      </c>
    </row>
    <row r="3861">
      <c r="A3861" s="1" t="s">
        <v>3861</v>
      </c>
      <c r="B3861" s="2" t="str">
        <f>IFERROR(__xludf.DUMMYFUNCTION("GOOGLETRANSLATE(A3861, ""de"", ""en"")"),"forget")</f>
        <v>forget</v>
      </c>
    </row>
    <row r="3862">
      <c r="A3862" s="1" t="s">
        <v>3862</v>
      </c>
      <c r="B3862" s="2" t="str">
        <f>IFERROR(__xludf.DUMMYFUNCTION("GOOGLETRANSLATE(A3862, ""de"", ""en"")"),"tricks")</f>
        <v>tricks</v>
      </c>
    </row>
    <row r="3863">
      <c r="A3863" s="1" t="s">
        <v>3863</v>
      </c>
      <c r="B3863" s="2" t="str">
        <f>IFERROR(__xludf.DUMMYFUNCTION("GOOGLETRANSLATE(A3863, ""de"", ""en"")"),"places")</f>
        <v>places</v>
      </c>
    </row>
    <row r="3864">
      <c r="A3864" s="1" t="s">
        <v>3864</v>
      </c>
      <c r="B3864" s="2" t="str">
        <f>IFERROR(__xludf.DUMMYFUNCTION("GOOGLETRANSLATE(A3864, ""de"", ""en"")"),"prisoners")</f>
        <v>prisoners</v>
      </c>
    </row>
    <row r="3865">
      <c r="A3865" s="1" t="s">
        <v>3865</v>
      </c>
      <c r="B3865" s="2" t="str">
        <f>IFERROR(__xludf.DUMMYFUNCTION("GOOGLETRANSLATE(A3865, ""de"", ""en"")"),"sins")</f>
        <v>sins</v>
      </c>
    </row>
    <row r="3866">
      <c r="A3866" s="1" t="s">
        <v>3866</v>
      </c>
      <c r="B3866" s="2" t="str">
        <f>IFERROR(__xludf.DUMMYFUNCTION("GOOGLETRANSLATE(A3866, ""de"", ""en"")"),"transmitter")</f>
        <v>transmitter</v>
      </c>
    </row>
    <row r="3867">
      <c r="A3867" s="1" t="s">
        <v>3867</v>
      </c>
      <c r="B3867" s="2" t="str">
        <f>IFERROR(__xludf.DUMMYFUNCTION("GOOGLETRANSLATE(A3867, ""de"", ""en"")"),"leave")</f>
        <v>leave</v>
      </c>
    </row>
    <row r="3868">
      <c r="A3868" s="1" t="s">
        <v>3868</v>
      </c>
      <c r="B3868" s="2" t="str">
        <f>IFERROR(__xludf.DUMMYFUNCTION("GOOGLETRANSLATE(A3868, ""de"", ""en"")"),"clear")</f>
        <v>clear</v>
      </c>
    </row>
    <row r="3869">
      <c r="A3869" s="1" t="s">
        <v>3869</v>
      </c>
      <c r="B3869" s="2" t="str">
        <f>IFERROR(__xludf.DUMMYFUNCTION("GOOGLETRANSLATE(A3869, ""de"", ""en"")"),"learn")</f>
        <v>learn</v>
      </c>
    </row>
    <row r="3870">
      <c r="A3870" s="1" t="s">
        <v>3870</v>
      </c>
      <c r="B3870" s="2" t="str">
        <f>IFERROR(__xludf.DUMMYFUNCTION("GOOGLETRANSLATE(A3870, ""de"", ""en"")"),"saves")</f>
        <v>saves</v>
      </c>
    </row>
    <row r="3871">
      <c r="A3871" s="1" t="s">
        <v>3871</v>
      </c>
      <c r="B3871" s="2" t="str">
        <f>IFERROR(__xludf.DUMMYFUNCTION("GOOGLETRANSLATE(A3871, ""de"", ""en"")"),"notes")</f>
        <v>notes</v>
      </c>
    </row>
    <row r="3872">
      <c r="A3872" s="1" t="s">
        <v>3872</v>
      </c>
      <c r="B3872" s="2" t="str">
        <f>IFERROR(__xludf.DUMMYFUNCTION("GOOGLETRANSLATE(A3872, ""de"", ""en"")"),"excuses")</f>
        <v>excuses</v>
      </c>
    </row>
    <row r="3873">
      <c r="A3873" s="1" t="s">
        <v>3873</v>
      </c>
      <c r="B3873" s="2" t="str">
        <f>IFERROR(__xludf.DUMMYFUNCTION("GOOGLETRANSLATE(A3873, ""de"", ""en"")"),"Alexander")</f>
        <v>Alexander</v>
      </c>
    </row>
    <row r="3874">
      <c r="A3874" s="1" t="s">
        <v>3874</v>
      </c>
      <c r="B3874" s="2" t="str">
        <f>IFERROR(__xludf.DUMMYFUNCTION("GOOGLETRANSLATE(A3874, ""de"", ""en"")"),"mommy")</f>
        <v>mommy</v>
      </c>
    </row>
    <row r="3875">
      <c r="A3875" s="1" t="s">
        <v>3875</v>
      </c>
      <c r="B3875" s="2" t="str">
        <f>IFERROR(__xludf.DUMMYFUNCTION("GOOGLETRANSLATE(A3875, ""de"", ""en"")"),"the one")</f>
        <v>the one</v>
      </c>
    </row>
    <row r="3876">
      <c r="A3876" s="1" t="s">
        <v>3876</v>
      </c>
      <c r="B3876" s="2" t="str">
        <f>IFERROR(__xludf.DUMMYFUNCTION("GOOGLETRANSLATE(A3876, ""de"", ""en"")"),"nights")</f>
        <v>nights</v>
      </c>
    </row>
    <row r="3877">
      <c r="A3877" s="1" t="s">
        <v>3877</v>
      </c>
      <c r="B3877" s="2" t="str">
        <f>IFERROR(__xludf.DUMMYFUNCTION("GOOGLETRANSLATE(A3877, ""de"", ""en"")"),"prevails")</f>
        <v>prevails</v>
      </c>
    </row>
    <row r="3878">
      <c r="A3878" s="1" t="s">
        <v>3878</v>
      </c>
      <c r="B3878" s="2" t="str">
        <f>IFERROR(__xludf.DUMMYFUNCTION("GOOGLETRANSLATE(A3878, ""de"", ""en"")"),"bud")</f>
        <v>bud</v>
      </c>
    </row>
    <row r="3879">
      <c r="A3879" s="1" t="s">
        <v>3879</v>
      </c>
      <c r="B3879" s="2" t="str">
        <f>IFERROR(__xludf.DUMMYFUNCTION("GOOGLETRANSLATE(A3879, ""de"", ""en"")"),"year")</f>
        <v>year</v>
      </c>
    </row>
    <row r="3880">
      <c r="A3880" s="1" t="s">
        <v>3880</v>
      </c>
      <c r="B3880" s="2" t="str">
        <f>IFERROR(__xludf.DUMMYFUNCTION("GOOGLETRANSLATE(A3880, ""de"", ""en"")"),"dna")</f>
        <v>dna</v>
      </c>
    </row>
    <row r="3881">
      <c r="A3881" s="1" t="s">
        <v>3881</v>
      </c>
      <c r="B3881" s="2" t="str">
        <f>IFERROR(__xludf.DUMMYFUNCTION("GOOGLETRANSLATE(A3881, ""de"", ""en"")"),"romantic")</f>
        <v>romantic</v>
      </c>
    </row>
    <row r="3882">
      <c r="A3882" s="1" t="s">
        <v>3882</v>
      </c>
      <c r="B3882" s="2" t="str">
        <f>IFERROR(__xludf.DUMMYFUNCTION("GOOGLETRANSLATE(A3882, ""de"", ""en"")"),"whispers")</f>
        <v>whispers</v>
      </c>
    </row>
    <row r="3883">
      <c r="A3883" s="1" t="s">
        <v>3883</v>
      </c>
      <c r="B3883" s="2" t="str">
        <f>IFERROR(__xludf.DUMMYFUNCTION("GOOGLETRANSLATE(A3883, ""de"", ""en"")"),"press")</f>
        <v>press</v>
      </c>
    </row>
    <row r="3884">
      <c r="A3884" s="1" t="s">
        <v>3884</v>
      </c>
      <c r="B3884" s="2" t="str">
        <f>IFERROR(__xludf.DUMMYFUNCTION("GOOGLETRANSLATE(A3884, ""de"", ""en"")"),"jeremy")</f>
        <v>jeremy</v>
      </c>
    </row>
    <row r="3885">
      <c r="A3885" s="1" t="s">
        <v>3885</v>
      </c>
      <c r="B3885" s="2" t="str">
        <f>IFERROR(__xludf.DUMMYFUNCTION("GOOGLETRANSLATE(A3885, ""de"", ""en"")"),"thank you")</f>
        <v>thank you</v>
      </c>
    </row>
    <row r="3886">
      <c r="A3886" s="1" t="s">
        <v>3886</v>
      </c>
      <c r="B3886" s="2" t="str">
        <f>IFERROR(__xludf.DUMMYFUNCTION("GOOGLETRANSLATE(A3886, ""de"", ""en"")"),"have an appointment")</f>
        <v>have an appointment</v>
      </c>
    </row>
    <row r="3887">
      <c r="A3887" s="1" t="s">
        <v>3887</v>
      </c>
      <c r="B3887" s="2" t="str">
        <f>IFERROR(__xludf.DUMMYFUNCTION("GOOGLETRANSLATE(A3887, ""de"", ""en"")"),"pilot")</f>
        <v>pilot</v>
      </c>
    </row>
    <row r="3888">
      <c r="A3888" s="1" t="s">
        <v>3888</v>
      </c>
      <c r="B3888" s="2" t="str">
        <f>IFERROR(__xludf.DUMMYFUNCTION("GOOGLETRANSLATE(A3888, ""de"", ""en"")"),"Colt")</f>
        <v>Colt</v>
      </c>
    </row>
    <row r="3889">
      <c r="A3889" s="1" t="s">
        <v>3889</v>
      </c>
      <c r="B3889" s="2" t="str">
        <f>IFERROR(__xludf.DUMMYFUNCTION("GOOGLETRANSLATE(A3889, ""de"", ""en"")"),"nigger")</f>
        <v>nigger</v>
      </c>
    </row>
    <row r="3890">
      <c r="A3890" s="1" t="s">
        <v>3890</v>
      </c>
      <c r="B3890" s="2" t="str">
        <f>IFERROR(__xludf.DUMMYFUNCTION("GOOGLETRANSLATE(A3890, ""de"", ""en"")"),"lovely")</f>
        <v>lovely</v>
      </c>
    </row>
    <row r="3891">
      <c r="A3891" s="1" t="s">
        <v>3891</v>
      </c>
      <c r="B3891" s="2" t="str">
        <f>IFERROR(__xludf.DUMMYFUNCTION("GOOGLETRANSLATE(A3891, ""de"", ""en"")"),"straight")</f>
        <v>straight</v>
      </c>
    </row>
    <row r="3892">
      <c r="A3892" s="1" t="s">
        <v>3892</v>
      </c>
      <c r="B3892" s="2" t="str">
        <f>IFERROR(__xludf.DUMMYFUNCTION("GOOGLETRANSLATE(A3892, ""de"", ""en"")"),"stanley")</f>
        <v>stanley</v>
      </c>
    </row>
    <row r="3893">
      <c r="A3893" s="1" t="s">
        <v>3893</v>
      </c>
      <c r="B3893" s="2" t="str">
        <f>IFERROR(__xludf.DUMMYFUNCTION("GOOGLETRANSLATE(A3893, ""de"", ""en"")"),"body")</f>
        <v>body</v>
      </c>
    </row>
    <row r="3894">
      <c r="A3894" s="1" t="s">
        <v>3894</v>
      </c>
      <c r="B3894" s="2" t="str">
        <f>IFERROR(__xludf.DUMMYFUNCTION("GOOGLETRANSLATE(A3894, ""de"", ""en"")"),"stuck")</f>
        <v>stuck</v>
      </c>
    </row>
    <row r="3895">
      <c r="A3895" s="1" t="s">
        <v>3895</v>
      </c>
      <c r="B3895" s="2" t="str">
        <f>IFERROR(__xludf.DUMMYFUNCTION("GOOGLETRANSLATE(A3895, ""de"", ""en"")"),"shit")</f>
        <v>shit</v>
      </c>
    </row>
    <row r="3896">
      <c r="A3896" s="1" t="s">
        <v>3896</v>
      </c>
      <c r="B3896" s="2" t="str">
        <f>IFERROR(__xludf.DUMMYFUNCTION("GOOGLETRANSLATE(A3896, ""de"", ""en"")"),"doctor")</f>
        <v>doctor</v>
      </c>
    </row>
    <row r="3897">
      <c r="A3897" s="1" t="s">
        <v>3897</v>
      </c>
      <c r="B3897" s="2" t="str">
        <f>IFERROR(__xludf.DUMMYFUNCTION("GOOGLETRANSLATE(A3897, ""de"", ""en"")"),"raped")</f>
        <v>raped</v>
      </c>
    </row>
    <row r="3898">
      <c r="A3898" s="1" t="s">
        <v>3898</v>
      </c>
      <c r="B3898" s="2" t="str">
        <f>IFERROR(__xludf.DUMMYFUNCTION("GOOGLETRANSLATE(A3898, ""de"", ""en"")"),"must")</f>
        <v>must</v>
      </c>
    </row>
    <row r="3899">
      <c r="A3899" s="1" t="s">
        <v>3899</v>
      </c>
      <c r="B3899" s="2" t="str">
        <f>IFERROR(__xludf.DUMMYFUNCTION("GOOGLETRANSLATE(A3899, ""de"", ""en"")"),"delivery")</f>
        <v>delivery</v>
      </c>
    </row>
    <row r="3900">
      <c r="A3900" s="1" t="s">
        <v>3900</v>
      </c>
      <c r="B3900" s="2" t="str">
        <f>IFERROR(__xludf.DUMMYFUNCTION("GOOGLETRANSLATE(A3900, ""de"", ""en"")"),"ambassador")</f>
        <v>ambassador</v>
      </c>
    </row>
    <row r="3901">
      <c r="A3901" s="1" t="s">
        <v>3901</v>
      </c>
      <c r="B3901" s="2" t="str">
        <f>IFERROR(__xludf.DUMMYFUNCTION("GOOGLETRANSLATE(A3901, ""de"", ""en"")"),"study")</f>
        <v>study</v>
      </c>
    </row>
    <row r="3902">
      <c r="A3902" s="1" t="s">
        <v>3902</v>
      </c>
      <c r="B3902" s="2" t="str">
        <f>IFERROR(__xludf.DUMMYFUNCTION("GOOGLETRANSLATE(A3902, ""de"", ""en"")"),"heads")</f>
        <v>heads</v>
      </c>
    </row>
    <row r="3903">
      <c r="A3903" s="1" t="s">
        <v>3903</v>
      </c>
      <c r="B3903" s="2" t="str">
        <f>IFERROR(__xludf.DUMMYFUNCTION("GOOGLETRANSLATE(A3903, ""de"", ""en"")"),"shower")</f>
        <v>shower</v>
      </c>
    </row>
    <row r="3904">
      <c r="A3904" s="1" t="s">
        <v>3904</v>
      </c>
      <c r="B3904" s="2" t="str">
        <f>IFERROR(__xludf.DUMMYFUNCTION("GOOGLETRANSLATE(A3904, ""de"", ""en"")"),"headache")</f>
        <v>headache</v>
      </c>
    </row>
    <row r="3905">
      <c r="A3905" s="1" t="s">
        <v>3905</v>
      </c>
      <c r="B3905" s="2" t="str">
        <f>IFERROR(__xludf.DUMMYFUNCTION("GOOGLETRANSLATE(A3905, ""de"", ""en"")"),"oil")</f>
        <v>oil</v>
      </c>
    </row>
    <row r="3906">
      <c r="A3906" s="1" t="s">
        <v>3906</v>
      </c>
      <c r="B3906" s="2" t="str">
        <f>IFERROR(__xludf.DUMMYFUNCTION("GOOGLETRANSLATE(A3906, ""de"", ""en"")"),"creak")</f>
        <v>creak</v>
      </c>
    </row>
    <row r="3907">
      <c r="A3907" s="1" t="s">
        <v>3907</v>
      </c>
      <c r="B3907" s="2" t="str">
        <f>IFERROR(__xludf.DUMMYFUNCTION("GOOGLETRANSLATE(A3907, ""de"", ""en"")"),"secretary")</f>
        <v>secretary</v>
      </c>
    </row>
    <row r="3908">
      <c r="A3908" s="1" t="s">
        <v>3908</v>
      </c>
      <c r="B3908" s="2" t="str">
        <f>IFERROR(__xludf.DUMMYFUNCTION("GOOGLETRANSLATE(A3908, ""de"", ""en"")"),"phase")</f>
        <v>phase</v>
      </c>
    </row>
    <row r="3909">
      <c r="A3909" s="1" t="s">
        <v>3909</v>
      </c>
      <c r="B3909" s="2" t="str">
        <f>IFERROR(__xludf.DUMMYFUNCTION("GOOGLETRANSLATE(A3909, ""de"", ""en"")"),"handcuffs")</f>
        <v>handcuffs</v>
      </c>
    </row>
    <row r="3910">
      <c r="A3910" s="1" t="s">
        <v>3910</v>
      </c>
      <c r="B3910" s="2" t="str">
        <f>IFERROR(__xludf.DUMMYFUNCTION("GOOGLETRANSLATE(A3910, ""de"", ""en"")"),"Lewis")</f>
        <v>Lewis</v>
      </c>
    </row>
    <row r="3911">
      <c r="A3911" s="1" t="s">
        <v>3911</v>
      </c>
      <c r="B3911" s="2" t="str">
        <f>IFERROR(__xludf.DUMMYFUNCTION("GOOGLETRANSLATE(A3911, ""de"", ""en"")"),"provided")</f>
        <v>provided</v>
      </c>
    </row>
    <row r="3912">
      <c r="A3912" s="1" t="s">
        <v>3912</v>
      </c>
      <c r="B3912" s="2" t="str">
        <f>IFERROR(__xludf.DUMMYFUNCTION("GOOGLETRANSLATE(A3912, ""de"", ""en"")"),"band")</f>
        <v>band</v>
      </c>
    </row>
    <row r="3913">
      <c r="A3913" s="1" t="s">
        <v>3913</v>
      </c>
      <c r="B3913" s="2" t="str">
        <f>IFERROR(__xludf.DUMMYFUNCTION("GOOGLETRANSLATE(A3913, ""de"", ""en"")"),"faithful")</f>
        <v>faithful</v>
      </c>
    </row>
    <row r="3914">
      <c r="A3914" s="1" t="s">
        <v>3914</v>
      </c>
      <c r="B3914" s="2" t="str">
        <f>IFERROR(__xludf.DUMMYFUNCTION("GOOGLETRANSLATE(A3914, ""de"", ""en"")"),"positive")</f>
        <v>positive</v>
      </c>
    </row>
    <row r="3915">
      <c r="A3915" s="1" t="s">
        <v>3915</v>
      </c>
      <c r="B3915" s="2" t="str">
        <f>IFERROR(__xludf.DUMMYFUNCTION("GOOGLETRANSLATE(A3915, ""de"", ""en"")"),"most")</f>
        <v>most</v>
      </c>
    </row>
    <row r="3916">
      <c r="A3916" s="1" t="s">
        <v>3916</v>
      </c>
      <c r="B3916" s="2" t="str">
        <f>IFERROR(__xludf.DUMMYFUNCTION("GOOGLETRANSLATE(A3916, ""de"", ""en"")"),"museum")</f>
        <v>museum</v>
      </c>
    </row>
    <row r="3917">
      <c r="A3917" s="1" t="s">
        <v>3917</v>
      </c>
      <c r="B3917" s="2" t="str">
        <f>IFERROR(__xludf.DUMMYFUNCTION("GOOGLETRANSLATE(A3917, ""de"", ""en"")"),"nightmare")</f>
        <v>nightmare</v>
      </c>
    </row>
    <row r="3918">
      <c r="A3918" s="1" t="s">
        <v>3918</v>
      </c>
      <c r="B3918" s="2" t="str">
        <f>IFERROR(__xludf.DUMMYFUNCTION("GOOGLETRANSLATE(A3918, ""de"", ""en"")"),"Margaret")</f>
        <v>Margaret</v>
      </c>
    </row>
    <row r="3919">
      <c r="A3919" s="1" t="s">
        <v>3919</v>
      </c>
      <c r="B3919" s="2" t="str">
        <f>IFERROR(__xludf.DUMMYFUNCTION("GOOGLETRANSLATE(A3919, ""de"", ""en"")"),"engaged")</f>
        <v>engaged</v>
      </c>
    </row>
    <row r="3920">
      <c r="A3920" s="1" t="s">
        <v>3920</v>
      </c>
      <c r="B3920" s="2" t="str">
        <f>IFERROR(__xludf.DUMMYFUNCTION("GOOGLETRANSLATE(A3920, ""de"", ""en"")"),"defeated")</f>
        <v>defeated</v>
      </c>
    </row>
    <row r="3921">
      <c r="A3921" s="1" t="s">
        <v>3921</v>
      </c>
      <c r="B3921" s="2" t="str">
        <f>IFERROR(__xludf.DUMMYFUNCTION("GOOGLETRANSLATE(A3921, ""de"", ""en"")"),"exist")</f>
        <v>exist</v>
      </c>
    </row>
    <row r="3922">
      <c r="A3922" s="1" t="s">
        <v>3922</v>
      </c>
      <c r="B3922" s="2" t="str">
        <f>IFERROR(__xludf.DUMMYFUNCTION("GOOGLETRANSLATE(A3922, ""de"", ""en"")"),"could")</f>
        <v>could</v>
      </c>
    </row>
    <row r="3923">
      <c r="A3923" s="1" t="s">
        <v>3923</v>
      </c>
      <c r="B3923" s="2" t="str">
        <f>IFERROR(__xludf.DUMMYFUNCTION("GOOGLETRANSLATE(A3923, ""de"", ""en"")"),"rehearse")</f>
        <v>rehearse</v>
      </c>
    </row>
    <row r="3924">
      <c r="A3924" s="1" t="s">
        <v>3924</v>
      </c>
      <c r="B3924" s="2" t="str">
        <f>IFERROR(__xludf.DUMMYFUNCTION("GOOGLETRANSLATE(A3924, ""de"", ""en"")"),"crappy")</f>
        <v>crappy</v>
      </c>
    </row>
    <row r="3925">
      <c r="A3925" s="1" t="s">
        <v>3925</v>
      </c>
      <c r="B3925" s="2" t="str">
        <f>IFERROR(__xludf.DUMMYFUNCTION("GOOGLETRANSLATE(A3925, ""de"", ""en"")"),"win")</f>
        <v>win</v>
      </c>
    </row>
    <row r="3926">
      <c r="A3926" s="1" t="s">
        <v>3926</v>
      </c>
      <c r="B3926" s="2" t="str">
        <f>IFERROR(__xludf.DUMMYFUNCTION("GOOGLETRANSLATE(A3926, ""de"", ""en"")"),"staff")</f>
        <v>staff</v>
      </c>
    </row>
    <row r="3927">
      <c r="A3927" s="1" t="s">
        <v>3927</v>
      </c>
      <c r="B3927" s="2" t="str">
        <f>IFERROR(__xludf.DUMMYFUNCTION("GOOGLETRANSLATE(A3927, ""de"", ""en"")"),"Christian")</f>
        <v>Christian</v>
      </c>
    </row>
    <row r="3928">
      <c r="A3928" s="1" t="s">
        <v>3928</v>
      </c>
      <c r="B3928" s="2" t="str">
        <f>IFERROR(__xludf.DUMMYFUNCTION("GOOGLETRANSLATE(A3928, ""de"", ""en"")"),"armed")</f>
        <v>armed</v>
      </c>
    </row>
    <row r="3929">
      <c r="A3929" s="1" t="s">
        <v>3929</v>
      </c>
      <c r="B3929" s="2" t="str">
        <f>IFERROR(__xludf.DUMMYFUNCTION("GOOGLETRANSLATE(A3929, ""de"", ""en"")"),"fell")</f>
        <v>fell</v>
      </c>
    </row>
    <row r="3930">
      <c r="A3930" s="1" t="s">
        <v>3930</v>
      </c>
      <c r="B3930" s="2" t="str">
        <f>IFERROR(__xludf.DUMMYFUNCTION("GOOGLETRANSLATE(A3930, ""de"", ""en"")"),"wake up")</f>
        <v>wake up</v>
      </c>
    </row>
    <row r="3931">
      <c r="A3931" s="1" t="s">
        <v>3931</v>
      </c>
      <c r="B3931" s="2" t="str">
        <f>IFERROR(__xludf.DUMMYFUNCTION("GOOGLETRANSLATE(A3931, ""de"", ""en"")"),"effect")</f>
        <v>effect</v>
      </c>
    </row>
    <row r="3932">
      <c r="A3932" s="1" t="s">
        <v>3932</v>
      </c>
      <c r="B3932" s="2" t="str">
        <f>IFERROR(__xludf.DUMMYFUNCTION("GOOGLETRANSLATE(A3932, ""de"", ""en"")"),"Kurt")</f>
        <v>Kurt</v>
      </c>
    </row>
    <row r="3933">
      <c r="A3933" s="1" t="s">
        <v>3933</v>
      </c>
      <c r="B3933" s="2" t="str">
        <f>IFERROR(__xludf.DUMMYFUNCTION("GOOGLETRANSLATE(A3933, ""de"", ""en"")"),"Connor")</f>
        <v>Connor</v>
      </c>
    </row>
    <row r="3934">
      <c r="A3934" s="1" t="s">
        <v>3934</v>
      </c>
      <c r="B3934" s="2" t="str">
        <f>IFERROR(__xludf.DUMMYFUNCTION("GOOGLETRANSLATE(A3934, ""de"", ""en"")"),"Rebecca")</f>
        <v>Rebecca</v>
      </c>
    </row>
    <row r="3935">
      <c r="A3935" s="1" t="s">
        <v>3935</v>
      </c>
      <c r="B3935" s="2" t="str">
        <f>IFERROR(__xludf.DUMMYFUNCTION("GOOGLETRANSLATE(A3935, ""de"", ""en"")"),"therapy")</f>
        <v>therapy</v>
      </c>
    </row>
    <row r="3936">
      <c r="A3936" s="1" t="s">
        <v>3936</v>
      </c>
      <c r="B3936" s="2" t="str">
        <f>IFERROR(__xludf.DUMMYFUNCTION("GOOGLETRANSLATE(A3936, ""de"", ""en"")"),"travis")</f>
        <v>travis</v>
      </c>
    </row>
    <row r="3937">
      <c r="A3937" s="1" t="s">
        <v>3937</v>
      </c>
      <c r="B3937" s="2" t="str">
        <f>IFERROR(__xludf.DUMMYFUNCTION("GOOGLETRANSLATE(A3937, ""de"", ""en"")"),"amuse")</f>
        <v>amuse</v>
      </c>
    </row>
    <row r="3938">
      <c r="A3938" s="1" t="s">
        <v>3938</v>
      </c>
      <c r="B3938" s="2" t="str">
        <f>IFERROR(__xludf.DUMMYFUNCTION("GOOGLETRANSLATE(A3938, ""de"", ""en"")"),"orderly")</f>
        <v>orderly</v>
      </c>
    </row>
    <row r="3939">
      <c r="A3939" s="1" t="s">
        <v>3939</v>
      </c>
      <c r="B3939" s="2" t="str">
        <f>IFERROR(__xludf.DUMMYFUNCTION("GOOGLETRANSLATE(A3939, ""de"", ""en"")"),"run away")</f>
        <v>run away</v>
      </c>
    </row>
    <row r="3940">
      <c r="A3940" s="1" t="s">
        <v>3940</v>
      </c>
      <c r="B3940" s="2" t="str">
        <f>IFERROR(__xludf.DUMMYFUNCTION("GOOGLETRANSLATE(A3940, ""de"", ""en"")"),"woke up")</f>
        <v>woke up</v>
      </c>
    </row>
    <row r="3941">
      <c r="A3941" s="1" t="s">
        <v>3941</v>
      </c>
      <c r="B3941" s="2" t="str">
        <f>IFERROR(__xludf.DUMMYFUNCTION("GOOGLETRANSLATE(A3941, ""de"", ""en"")"),"approach")</f>
        <v>approach</v>
      </c>
    </row>
    <row r="3942">
      <c r="A3942" s="1" t="s">
        <v>3942</v>
      </c>
      <c r="B3942" s="2" t="str">
        <f>IFERROR(__xludf.DUMMYFUNCTION("GOOGLETRANSLATE(A3942, ""de"", ""en"")"),"cover")</f>
        <v>cover</v>
      </c>
    </row>
    <row r="3943">
      <c r="A3943" s="1" t="s">
        <v>3943</v>
      </c>
      <c r="B3943" s="2" t="str">
        <f>IFERROR(__xludf.DUMMYFUNCTION("GOOGLETRANSLATE(A3943, ""de"", ""en"")"),"senses")</f>
        <v>senses</v>
      </c>
    </row>
    <row r="3944">
      <c r="A3944" s="1" t="s">
        <v>3944</v>
      </c>
      <c r="B3944" s="2" t="str">
        <f>IFERROR(__xludf.DUMMYFUNCTION("GOOGLETRANSLATE(A3944, ""de"", ""en"")"),"lieutenant")</f>
        <v>lieutenant</v>
      </c>
    </row>
    <row r="3945">
      <c r="A3945" s="1" t="s">
        <v>3945</v>
      </c>
      <c r="B3945" s="2" t="str">
        <f>IFERROR(__xludf.DUMMYFUNCTION("GOOGLETRANSLATE(A3945, ""de"", ""en"")"),"wizard")</f>
        <v>wizard</v>
      </c>
    </row>
    <row r="3946">
      <c r="A3946" s="1" t="s">
        <v>3946</v>
      </c>
      <c r="B3946" s="2" t="str">
        <f>IFERROR(__xludf.DUMMYFUNCTION("GOOGLETRANSLATE(A3946, ""de"", ""en"")"),"Hogan")</f>
        <v>Hogan</v>
      </c>
    </row>
    <row r="3947">
      <c r="A3947" s="1" t="s">
        <v>3947</v>
      </c>
      <c r="B3947" s="2" t="str">
        <f>IFERROR(__xludf.DUMMYFUNCTION("GOOGLETRANSLATE(A3947, ""de"", ""en"")"),"asks")</f>
        <v>asks</v>
      </c>
    </row>
    <row r="3948">
      <c r="A3948" s="1" t="s">
        <v>3948</v>
      </c>
      <c r="B3948" s="2" t="str">
        <f>IFERROR(__xludf.DUMMYFUNCTION("GOOGLETRANSLATE(A3948, ""de"", ""en"")"),"arrival")</f>
        <v>arrival</v>
      </c>
    </row>
    <row r="3949">
      <c r="A3949" s="1" t="s">
        <v>3949</v>
      </c>
      <c r="B3949" s="2" t="str">
        <f>IFERROR(__xludf.DUMMYFUNCTION("GOOGLETRANSLATE(A3949, ""de"", ""en"")"),"knocks")</f>
        <v>knocks</v>
      </c>
    </row>
    <row r="3950">
      <c r="A3950" s="1" t="s">
        <v>3950</v>
      </c>
      <c r="B3950" s="2" t="str">
        <f>IFERROR(__xludf.DUMMYFUNCTION("GOOGLETRANSLATE(A3950, ""de"", ""en"")"),"distance")</f>
        <v>distance</v>
      </c>
    </row>
    <row r="3951">
      <c r="A3951" s="1" t="s">
        <v>3951</v>
      </c>
      <c r="B3951" s="2" t="str">
        <f>IFERROR(__xludf.DUMMYFUNCTION("GOOGLETRANSLATE(A3951, ""de"", ""en"")"),"consciousness")</f>
        <v>consciousness</v>
      </c>
    </row>
    <row r="3952">
      <c r="A3952" s="1" t="s">
        <v>3952</v>
      </c>
      <c r="B3952" s="2" t="str">
        <f>IFERROR(__xludf.DUMMYFUNCTION("GOOGLETRANSLATE(A3952, ""de"", ""en"")"),"nation")</f>
        <v>nation</v>
      </c>
    </row>
    <row r="3953">
      <c r="A3953" s="1" t="s">
        <v>3953</v>
      </c>
      <c r="B3953" s="2" t="str">
        <f>IFERROR(__xludf.DUMMYFUNCTION("GOOGLETRANSLATE(A3953, ""de"", ""en"")"),"controlled")</f>
        <v>controlled</v>
      </c>
    </row>
    <row r="3954">
      <c r="A3954" s="1" t="s">
        <v>3954</v>
      </c>
      <c r="B3954" s="2" t="str">
        <f>IFERROR(__xludf.DUMMYFUNCTION("GOOGLETRANSLATE(A3954, ""de"", ""en"")"),"hit")</f>
        <v>hit</v>
      </c>
    </row>
    <row r="3955">
      <c r="A3955" s="1" t="s">
        <v>3955</v>
      </c>
      <c r="B3955" s="2" t="str">
        <f>IFERROR(__xludf.DUMMYFUNCTION("GOOGLETRANSLATE(A3955, ""de"", ""en"")"),"lose weight")</f>
        <v>lose weight</v>
      </c>
    </row>
    <row r="3956">
      <c r="A3956" s="1" t="s">
        <v>3956</v>
      </c>
      <c r="B3956" s="2" t="str">
        <f>IFERROR(__xludf.DUMMYFUNCTION("GOOGLETRANSLATE(A3956, ""de"", ""en"")"),"rats")</f>
        <v>rats</v>
      </c>
    </row>
    <row r="3957">
      <c r="A3957" s="1" t="s">
        <v>3957</v>
      </c>
      <c r="B3957" s="2" t="str">
        <f>IFERROR(__xludf.DUMMYFUNCTION("GOOGLETRANSLATE(A3957, ""de"", ""en"")"),"lawyers")</f>
        <v>lawyers</v>
      </c>
    </row>
    <row r="3958">
      <c r="A3958" s="1" t="s">
        <v>3958</v>
      </c>
      <c r="B3958" s="2" t="str">
        <f>IFERROR(__xludf.DUMMYFUNCTION("GOOGLETRANSLATE(A3958, ""de"", ""en"")"),"temple")</f>
        <v>temple</v>
      </c>
    </row>
    <row r="3959">
      <c r="A3959" s="1" t="s">
        <v>3959</v>
      </c>
      <c r="B3959" s="2" t="str">
        <f>IFERROR(__xludf.DUMMYFUNCTION("GOOGLETRANSLATE(A3959, ""de"", ""en"")"),"poisoned")</f>
        <v>poisoned</v>
      </c>
    </row>
    <row r="3960">
      <c r="A3960" s="1" t="s">
        <v>3960</v>
      </c>
      <c r="B3960" s="2" t="str">
        <f>IFERROR(__xludf.DUMMYFUNCTION("GOOGLETRANSLATE(A3960, ""de"", ""en"")"),"customer")</f>
        <v>customer</v>
      </c>
    </row>
    <row r="3961">
      <c r="A3961" s="1" t="s">
        <v>3961</v>
      </c>
      <c r="B3961" s="2" t="str">
        <f>IFERROR(__xludf.DUMMYFUNCTION("GOOGLETRANSLATE(A3961, ""de"", ""en"")"),"August")</f>
        <v>August</v>
      </c>
    </row>
    <row r="3962">
      <c r="A3962" s="1" t="s">
        <v>3962</v>
      </c>
      <c r="B3962" s="2" t="str">
        <f>IFERROR(__xludf.DUMMYFUNCTION("GOOGLETRANSLATE(A3962, ""de"", ""en"")"),"wounds")</f>
        <v>wounds</v>
      </c>
    </row>
    <row r="3963">
      <c r="A3963" s="1" t="s">
        <v>3963</v>
      </c>
      <c r="B3963" s="2" t="str">
        <f>IFERROR(__xludf.DUMMYFUNCTION("GOOGLETRANSLATE(A3963, ""de"", ""en"")"),"unpleasant")</f>
        <v>unpleasant</v>
      </c>
    </row>
    <row r="3964">
      <c r="A3964" s="1" t="s">
        <v>3964</v>
      </c>
      <c r="B3964" s="2" t="str">
        <f>IFERROR(__xludf.DUMMYFUNCTION("GOOGLETRANSLATE(A3964, ""de"", ""en"")"),"equipment")</f>
        <v>equipment</v>
      </c>
    </row>
    <row r="3965">
      <c r="A3965" s="1" t="s">
        <v>3965</v>
      </c>
      <c r="B3965" s="2" t="str">
        <f>IFERROR(__xludf.DUMMYFUNCTION("GOOGLETRANSLATE(A3965, ""de"", ""en"")"),"blessing")</f>
        <v>blessing</v>
      </c>
    </row>
    <row r="3966">
      <c r="A3966" s="1" t="s">
        <v>3966</v>
      </c>
      <c r="B3966" s="2" t="str">
        <f>IFERROR(__xludf.DUMMYFUNCTION("GOOGLETRANSLATE(A3966, ""de"", ""en"")"),"presented")</f>
        <v>presented</v>
      </c>
    </row>
    <row r="3967">
      <c r="A3967" s="1" t="s">
        <v>3967</v>
      </c>
      <c r="B3967" s="2" t="str">
        <f>IFERROR(__xludf.DUMMYFUNCTION("GOOGLETRANSLATE(A3967, ""de"", ""en"")"),"close")</f>
        <v>close</v>
      </c>
    </row>
    <row r="3968">
      <c r="A3968" s="1" t="s">
        <v>3968</v>
      </c>
      <c r="B3968" s="2" t="str">
        <f>IFERROR(__xludf.DUMMYFUNCTION("GOOGLETRANSLATE(A3968, ""de"", ""en"")"),"throat")</f>
        <v>throat</v>
      </c>
    </row>
    <row r="3969">
      <c r="A3969" s="1" t="s">
        <v>3969</v>
      </c>
      <c r="B3969" s="2" t="str">
        <f>IFERROR(__xludf.DUMMYFUNCTION("GOOGLETRANSLATE(A3969, ""de"", ""en"")"),"crown")</f>
        <v>crown</v>
      </c>
    </row>
    <row r="3970">
      <c r="A3970" s="1" t="s">
        <v>3970</v>
      </c>
      <c r="B3970" s="2" t="str">
        <f>IFERROR(__xludf.DUMMYFUNCTION("GOOGLETRANSLATE(A3970, ""de"", ""en"")"),"guaranteed")</f>
        <v>guaranteed</v>
      </c>
    </row>
    <row r="3971">
      <c r="A3971" s="1" t="s">
        <v>3971</v>
      </c>
      <c r="B3971" s="2" t="str">
        <f>IFERROR(__xludf.DUMMYFUNCTION("GOOGLETRANSLATE(A3971, ""de"", ""en"")"),"searched")</f>
        <v>searched</v>
      </c>
    </row>
    <row r="3972">
      <c r="A3972" s="1" t="s">
        <v>3972</v>
      </c>
      <c r="B3972" s="2" t="str">
        <f>IFERROR(__xludf.DUMMYFUNCTION("GOOGLETRANSLATE(A3972, ""de"", ""en"")"),"president")</f>
        <v>president</v>
      </c>
    </row>
    <row r="3973">
      <c r="A3973" s="1" t="s">
        <v>3973</v>
      </c>
      <c r="B3973" s="2" t="str">
        <f>IFERROR(__xludf.DUMMYFUNCTION("GOOGLETRANSLATE(A3973, ""de"", ""en"")"),"Tracy")</f>
        <v>Tracy</v>
      </c>
    </row>
    <row r="3974">
      <c r="A3974" s="1" t="s">
        <v>3974</v>
      </c>
      <c r="B3974" s="2" t="str">
        <f>IFERROR(__xludf.DUMMYFUNCTION("GOOGLETRANSLATE(A3974, ""de"", ""en"")"),"cursed")</f>
        <v>cursed</v>
      </c>
    </row>
    <row r="3975">
      <c r="A3975" s="1" t="s">
        <v>3975</v>
      </c>
      <c r="B3975" s="2" t="str">
        <f>IFERROR(__xludf.DUMMYFUNCTION("GOOGLETRANSLATE(A3975, ""de"", ""en"")"),"certain")</f>
        <v>certain</v>
      </c>
    </row>
    <row r="3976">
      <c r="A3976" s="1" t="s">
        <v>3976</v>
      </c>
      <c r="B3976" s="2" t="str">
        <f>IFERROR(__xludf.DUMMYFUNCTION("GOOGLETRANSLATE(A3976, ""de"", ""en"")"),"clay")</f>
        <v>clay</v>
      </c>
    </row>
    <row r="3977">
      <c r="A3977" s="1" t="s">
        <v>3977</v>
      </c>
      <c r="B3977" s="2" t="str">
        <f>IFERROR(__xludf.DUMMYFUNCTION("GOOGLETRANSLATE(A3977, ""de"", ""en"")"),"ladies")</f>
        <v>ladies</v>
      </c>
    </row>
    <row r="3978">
      <c r="A3978" s="1" t="s">
        <v>3978</v>
      </c>
      <c r="B3978" s="2" t="str">
        <f>IFERROR(__xludf.DUMMYFUNCTION("GOOGLETRANSLATE(A3978, ""de"", ""en"")"),"b.")</f>
        <v>b.</v>
      </c>
    </row>
    <row r="3979">
      <c r="A3979" s="1" t="s">
        <v>3979</v>
      </c>
      <c r="B3979" s="2" t="str">
        <f>IFERROR(__xludf.DUMMYFUNCTION("GOOGLETRANSLATE(A3979, ""de"", ""en"")"),"charge")</f>
        <v>charge</v>
      </c>
    </row>
    <row r="3980">
      <c r="A3980" s="1" t="s">
        <v>3980</v>
      </c>
      <c r="B3980" s="2" t="str">
        <f>IFERROR(__xludf.DUMMYFUNCTION("GOOGLETRANSLATE(A3980, ""de"", ""en"")"),"legs")</f>
        <v>legs</v>
      </c>
    </row>
    <row r="3981">
      <c r="A3981" s="1" t="s">
        <v>3981</v>
      </c>
      <c r="B3981" s="2" t="str">
        <f>IFERROR(__xludf.DUMMYFUNCTION("GOOGLETRANSLATE(A3981, ""de"", ""en"")"),"bright")</f>
        <v>bright</v>
      </c>
    </row>
    <row r="3982">
      <c r="A3982" s="1" t="s">
        <v>3982</v>
      </c>
      <c r="B3982" s="2" t="str">
        <f>IFERROR(__xludf.DUMMYFUNCTION("GOOGLETRANSLATE(A3982, ""de"", ""en"")"),"kent")</f>
        <v>kent</v>
      </c>
    </row>
    <row r="3983">
      <c r="A3983" s="1" t="s">
        <v>3983</v>
      </c>
      <c r="B3983" s="2" t="str">
        <f>IFERROR(__xludf.DUMMYFUNCTION("GOOGLETRANSLATE(A3983, ""de"", ""en"")"),"chapter")</f>
        <v>chapter</v>
      </c>
    </row>
    <row r="3984">
      <c r="A3984" s="1" t="s">
        <v>3984</v>
      </c>
      <c r="B3984" s="2" t="str">
        <f>IFERROR(__xludf.DUMMYFUNCTION("GOOGLETRANSLATE(A3984, ""de"", ""en"")"),"chase")</f>
        <v>chase</v>
      </c>
    </row>
    <row r="3985">
      <c r="A3985" s="1" t="s">
        <v>3985</v>
      </c>
      <c r="B3985" s="2" t="str">
        <f>IFERROR(__xludf.DUMMYFUNCTION("GOOGLETRANSLATE(A3985, ""de"", ""en"")"),"use")</f>
        <v>use</v>
      </c>
    </row>
    <row r="3986">
      <c r="A3986" s="1" t="s">
        <v>3986</v>
      </c>
      <c r="B3986" s="2" t="str">
        <f>IFERROR(__xludf.DUMMYFUNCTION("GOOGLETRANSLATE(A3986, ""de"", ""en"")"),"alibi")</f>
        <v>alibi</v>
      </c>
    </row>
    <row r="3987">
      <c r="A3987" s="1" t="s">
        <v>3987</v>
      </c>
      <c r="B3987" s="2" t="str">
        <f>IFERROR(__xludf.DUMMYFUNCTION("GOOGLETRANSLATE(A3987, ""de"", ""en"")"),"goals")</f>
        <v>goals</v>
      </c>
    </row>
    <row r="3988">
      <c r="A3988" s="1" t="s">
        <v>3988</v>
      </c>
      <c r="B3988" s="2" t="str">
        <f>IFERROR(__xludf.DUMMYFUNCTION("GOOGLETRANSLATE(A3988, ""de"", ""en"")"),"beast")</f>
        <v>beast</v>
      </c>
    </row>
    <row r="3989">
      <c r="A3989" s="1" t="s">
        <v>3989</v>
      </c>
      <c r="B3989" s="2" t="str">
        <f>IFERROR(__xludf.DUMMYFUNCTION("GOOGLETRANSLATE(A3989, ""de"", ""en"")"),"gus")</f>
        <v>gus</v>
      </c>
    </row>
    <row r="3990">
      <c r="A3990" s="1" t="s">
        <v>3990</v>
      </c>
      <c r="B3990" s="2" t="str">
        <f>IFERROR(__xludf.DUMMYFUNCTION("GOOGLETRANSLATE(A3990, ""de"", ""en"")"),"nowhere")</f>
        <v>nowhere</v>
      </c>
    </row>
    <row r="3991">
      <c r="A3991" s="1" t="s">
        <v>3991</v>
      </c>
      <c r="B3991" s="2" t="str">
        <f>IFERROR(__xludf.DUMMYFUNCTION("GOOGLETRANSLATE(A3991, ""de"", ""en"")"),"living room")</f>
        <v>living room</v>
      </c>
    </row>
    <row r="3992">
      <c r="A3992" s="1" t="s">
        <v>3992</v>
      </c>
      <c r="B3992" s="2" t="str">
        <f>IFERROR(__xludf.DUMMYFUNCTION("GOOGLETRANSLATE(A3992, ""de"", ""en"")"),"prey")</f>
        <v>prey</v>
      </c>
    </row>
    <row r="3993">
      <c r="A3993" s="1" t="s">
        <v>3993</v>
      </c>
      <c r="B3993" s="2" t="str">
        <f>IFERROR(__xludf.DUMMYFUNCTION("GOOGLETRANSLATE(A3993, ""de"", ""en"")"),"building")</f>
        <v>building</v>
      </c>
    </row>
    <row r="3994">
      <c r="A3994" s="1" t="s">
        <v>3994</v>
      </c>
      <c r="B3994" s="2" t="str">
        <f>IFERROR(__xludf.DUMMYFUNCTION("GOOGLETRANSLATE(A3994, ""de"", ""en"")"),"burn")</f>
        <v>burn</v>
      </c>
    </row>
    <row r="3995">
      <c r="A3995" s="1" t="s">
        <v>3995</v>
      </c>
      <c r="B3995" s="2" t="str">
        <f>IFERROR(__xludf.DUMMYFUNCTION("GOOGLETRANSLATE(A3995, ""de"", ""en"")"),"lex")</f>
        <v>lex</v>
      </c>
    </row>
    <row r="3996">
      <c r="A3996" s="1" t="s">
        <v>3996</v>
      </c>
      <c r="B3996" s="2" t="str">
        <f>IFERROR(__xludf.DUMMYFUNCTION("GOOGLETRANSLATE(A3996, ""de"", ""en"")"),"thirst")</f>
        <v>thirst</v>
      </c>
    </row>
    <row r="3997">
      <c r="A3997" s="1" t="s">
        <v>3997</v>
      </c>
      <c r="B3997" s="2" t="str">
        <f>IFERROR(__xludf.DUMMYFUNCTION("GOOGLETRANSLATE(A3997, ""de"", ""en"")"),"logan")</f>
        <v>logan</v>
      </c>
    </row>
    <row r="3998">
      <c r="A3998" s="1" t="s">
        <v>3998</v>
      </c>
      <c r="B3998" s="2" t="str">
        <f>IFERROR(__xludf.DUMMYFUNCTION("GOOGLETRANSLATE(A3998, ""de"", ""en"")"),"black")</f>
        <v>black</v>
      </c>
    </row>
    <row r="3999">
      <c r="A3999" s="1" t="s">
        <v>3999</v>
      </c>
      <c r="B3999" s="2" t="str">
        <f>IFERROR(__xludf.DUMMYFUNCTION("GOOGLETRANSLATE(A3999, ""de"", ""en"")"),"dirty")</f>
        <v>dirty</v>
      </c>
    </row>
    <row r="4000">
      <c r="A4000" s="1" t="s">
        <v>4000</v>
      </c>
      <c r="B4000" s="2" t="str">
        <f>IFERROR(__xludf.DUMMYFUNCTION("GOOGLETRANSLATE(A4000, ""de"", ""en"")"),"lover")</f>
        <v>lover</v>
      </c>
    </row>
    <row r="4001">
      <c r="A4001" s="1" t="s">
        <v>4001</v>
      </c>
      <c r="B4001" s="2" t="str">
        <f>IFERROR(__xludf.DUMMYFUNCTION("GOOGLETRANSLATE(A4001, ""de"", ""en"")"),"substitute")</f>
        <v>substitute</v>
      </c>
    </row>
    <row r="4002">
      <c r="A4002" s="1" t="s">
        <v>4002</v>
      </c>
      <c r="B4002" s="2" t="str">
        <f>IFERROR(__xludf.DUMMYFUNCTION("GOOGLETRANSLATE(A4002, ""de"", ""en"")"),"July")</f>
        <v>July</v>
      </c>
    </row>
    <row r="4003">
      <c r="A4003" s="1" t="s">
        <v>4003</v>
      </c>
      <c r="B4003" s="2" t="str">
        <f>IFERROR(__xludf.DUMMYFUNCTION("GOOGLETRANSLATE(A4003, ""de"", ""en"")"),"procedure")</f>
        <v>procedure</v>
      </c>
    </row>
    <row r="4004">
      <c r="A4004" s="1" t="s">
        <v>4004</v>
      </c>
      <c r="B4004" s="2" t="str">
        <f>IFERROR(__xludf.DUMMYFUNCTION("GOOGLETRANSLATE(A4004, ""de"", ""en"")"),"Kirk")</f>
        <v>Kirk</v>
      </c>
    </row>
    <row r="4005">
      <c r="A4005" s="1" t="s">
        <v>4005</v>
      </c>
      <c r="B4005" s="2" t="str">
        <f>IFERROR(__xludf.DUMMYFUNCTION("GOOGLETRANSLATE(A4005, ""de"", ""en"")"),"boots")</f>
        <v>boots</v>
      </c>
    </row>
    <row r="4006">
      <c r="A4006" s="1" t="s">
        <v>4006</v>
      </c>
      <c r="B4006" s="2" t="str">
        <f>IFERROR(__xludf.DUMMYFUNCTION("GOOGLETRANSLATE(A4006, ""de"", ""en"")"),"inspector")</f>
        <v>inspector</v>
      </c>
    </row>
    <row r="4007">
      <c r="A4007" s="1" t="s">
        <v>4007</v>
      </c>
      <c r="B4007" s="2" t="str">
        <f>IFERROR(__xludf.DUMMYFUNCTION("GOOGLETRANSLATE(A4007, ""de"", ""en"")"),"too")</f>
        <v>too</v>
      </c>
    </row>
    <row r="4008">
      <c r="A4008" s="1" t="s">
        <v>4008</v>
      </c>
      <c r="B4008" s="2" t="str">
        <f>IFERROR(__xludf.DUMMYFUNCTION("GOOGLETRANSLATE(A4008, ""de"", ""en"")"),"camp")</f>
        <v>camp</v>
      </c>
    </row>
    <row r="4009">
      <c r="A4009" s="1" t="s">
        <v>4009</v>
      </c>
      <c r="B4009" s="2" t="str">
        <f>IFERROR(__xludf.DUMMYFUNCTION("GOOGLETRANSLATE(A4009, ""de"", ""en"")"),"may")</f>
        <v>may</v>
      </c>
    </row>
    <row r="4010">
      <c r="A4010" s="1" t="s">
        <v>4010</v>
      </c>
      <c r="B4010" s="2" t="str">
        <f>IFERROR(__xludf.DUMMYFUNCTION("GOOGLETRANSLATE(A4010, ""de"", ""en"")"),"places")</f>
        <v>places</v>
      </c>
    </row>
    <row r="4011">
      <c r="A4011" s="1" t="s">
        <v>4011</v>
      </c>
      <c r="B4011" s="2" t="str">
        <f>IFERROR(__xludf.DUMMYFUNCTION("GOOGLETRANSLATE(A4011, ""de"", ""en"")"),"heat")</f>
        <v>heat</v>
      </c>
    </row>
    <row r="4012">
      <c r="A4012" s="1" t="s">
        <v>4012</v>
      </c>
      <c r="B4012" s="2" t="str">
        <f>IFERROR(__xludf.DUMMYFUNCTION("GOOGLETRANSLATE(A4012, ""de"", ""en"")"),"toy")</f>
        <v>toy</v>
      </c>
    </row>
    <row r="4013">
      <c r="A4013" s="1" t="s">
        <v>4013</v>
      </c>
      <c r="B4013" s="2" t="str">
        <f>IFERROR(__xludf.DUMMYFUNCTION("GOOGLETRANSLATE(A4013, ""de"", ""en"")"),"tv")</f>
        <v>tv</v>
      </c>
    </row>
    <row r="4014">
      <c r="A4014" s="1" t="s">
        <v>4014</v>
      </c>
      <c r="B4014" s="2" t="str">
        <f>IFERROR(__xludf.DUMMYFUNCTION("GOOGLETRANSLATE(A4014, ""de"", ""en"")"),"gloria")</f>
        <v>gloria</v>
      </c>
    </row>
    <row r="4015">
      <c r="A4015" s="1" t="s">
        <v>4015</v>
      </c>
      <c r="B4015" s="2" t="str">
        <f>IFERROR(__xludf.DUMMYFUNCTION("GOOGLETRANSLATE(A4015, ""de"", ""en"")"),"wool")</f>
        <v>wool</v>
      </c>
    </row>
    <row r="4016">
      <c r="A4016" s="1" t="s">
        <v>4016</v>
      </c>
      <c r="B4016" s="2" t="str">
        <f>IFERROR(__xludf.DUMMYFUNCTION("GOOGLETRANSLATE(A4016, ""de"", ""en"")"),"growls")</f>
        <v>growls</v>
      </c>
    </row>
    <row r="4017">
      <c r="A4017" s="1" t="s">
        <v>4017</v>
      </c>
      <c r="B4017" s="2" t="str">
        <f>IFERROR(__xludf.DUMMYFUNCTION("GOOGLETRANSLATE(A4017, ""de"", ""en"")"),"reports")</f>
        <v>reports</v>
      </c>
    </row>
    <row r="4018">
      <c r="A4018" s="1" t="s">
        <v>4018</v>
      </c>
      <c r="B4018" s="2" t="str">
        <f>IFERROR(__xludf.DUMMYFUNCTION("GOOGLETRANSLATE(A4018, ""de"", ""en"")"),"rita")</f>
        <v>rita</v>
      </c>
    </row>
    <row r="4019">
      <c r="A4019" s="1" t="s">
        <v>4019</v>
      </c>
      <c r="B4019" s="2" t="str">
        <f>IFERROR(__xludf.DUMMYFUNCTION("GOOGLETRANSLATE(A4019, ""de"", ""en"")"),"Zone")</f>
        <v>Zone</v>
      </c>
    </row>
    <row r="4020">
      <c r="A4020" s="1" t="s">
        <v>4020</v>
      </c>
      <c r="B4020" s="2" t="str">
        <f>IFERROR(__xludf.DUMMYFUNCTION("GOOGLETRANSLATE(A4020, ""de"", ""en"")"),"dry")</f>
        <v>dry</v>
      </c>
    </row>
    <row r="4021">
      <c r="A4021" s="1" t="s">
        <v>4021</v>
      </c>
      <c r="B4021" s="2" t="str">
        <f>IFERROR(__xludf.DUMMYFUNCTION("GOOGLETRANSLATE(A4021, ""de"", ""en"")"),"lincoln")</f>
        <v>lincoln</v>
      </c>
    </row>
    <row r="4022">
      <c r="A4022" s="1" t="s">
        <v>4022</v>
      </c>
      <c r="B4022" s="2" t="str">
        <f>IFERROR(__xludf.DUMMYFUNCTION("GOOGLETRANSLATE(A4022, ""de"", ""en"")"),"write")</f>
        <v>write</v>
      </c>
    </row>
    <row r="4023">
      <c r="A4023" s="1" t="s">
        <v>4023</v>
      </c>
      <c r="B4023" s="2" t="str">
        <f>IFERROR(__xludf.DUMMYFUNCTION("GOOGLETRANSLATE(A4023, ""de"", ""en"")"),"Audrey")</f>
        <v>Audrey</v>
      </c>
    </row>
    <row r="4024">
      <c r="A4024" s="1" t="s">
        <v>4024</v>
      </c>
      <c r="B4024" s="2" t="str">
        <f>IFERROR(__xludf.DUMMYFUNCTION("GOOGLETRANSLATE(A4024, ""de"", ""en"")"),"quinn")</f>
        <v>quinn</v>
      </c>
    </row>
    <row r="4025">
      <c r="A4025" s="1" t="s">
        <v>4025</v>
      </c>
      <c r="B4025" s="2" t="str">
        <f>IFERROR(__xludf.DUMMYFUNCTION("GOOGLETRANSLATE(A4025, ""de"", ""en"")"),"try")</f>
        <v>try</v>
      </c>
    </row>
    <row r="4026">
      <c r="A4026" s="1" t="s">
        <v>4026</v>
      </c>
      <c r="B4026" s="2" t="str">
        <f>IFERROR(__xludf.DUMMYFUNCTION("GOOGLETRANSLATE(A4026, ""de"", ""en"")"),"le")</f>
        <v>le</v>
      </c>
    </row>
    <row r="4027">
      <c r="A4027" s="1" t="s">
        <v>4027</v>
      </c>
      <c r="B4027" s="2" t="str">
        <f>IFERROR(__xludf.DUMMYFUNCTION("GOOGLETRANSLATE(A4027, ""de"", ""en"")"),"kids")</f>
        <v>kids</v>
      </c>
    </row>
    <row r="4028">
      <c r="A4028" s="1" t="s">
        <v>4028</v>
      </c>
      <c r="B4028" s="2" t="str">
        <f>IFERROR(__xludf.DUMMYFUNCTION("GOOGLETRANSLATE(A4028, ""de"", ""en"")"),"signed")</f>
        <v>signed</v>
      </c>
    </row>
    <row r="4029">
      <c r="A4029" s="1" t="s">
        <v>4029</v>
      </c>
      <c r="B4029" s="2" t="str">
        <f>IFERROR(__xludf.DUMMYFUNCTION("GOOGLETRANSLATE(A4029, ""de"", ""en"")"),"do")</f>
        <v>do</v>
      </c>
    </row>
    <row r="4030">
      <c r="A4030" s="1" t="s">
        <v>4030</v>
      </c>
      <c r="B4030" s="2" t="str">
        <f>IFERROR(__xludf.DUMMYFUNCTION("GOOGLETRANSLATE(A4030, ""de"", ""en"")"),"cry")</f>
        <v>cry</v>
      </c>
    </row>
    <row r="4031">
      <c r="A4031" s="1" t="s">
        <v>4031</v>
      </c>
      <c r="B4031" s="2" t="str">
        <f>IFERROR(__xludf.DUMMYFUNCTION("GOOGLETRANSLATE(A4031, ""de"", ""en"")"),"determined")</f>
        <v>determined</v>
      </c>
    </row>
    <row r="4032">
      <c r="A4032" s="1" t="s">
        <v>4032</v>
      </c>
      <c r="B4032" s="2" t="str">
        <f>IFERROR(__xludf.DUMMYFUNCTION("GOOGLETRANSLATE(A4032, ""de"", ""en"")"),"package")</f>
        <v>package</v>
      </c>
    </row>
    <row r="4033">
      <c r="A4033" s="1" t="s">
        <v>4033</v>
      </c>
      <c r="B4033" s="2" t="str">
        <f>IFERROR(__xludf.DUMMYFUNCTION("GOOGLETRANSLATE(A4033, ""de"", ""en"")"),"liked")</f>
        <v>liked</v>
      </c>
    </row>
    <row r="4034">
      <c r="A4034" s="1" t="s">
        <v>4034</v>
      </c>
      <c r="B4034" s="2" t="str">
        <f>IFERROR(__xludf.DUMMYFUNCTION("GOOGLETRANSLATE(A4034, ""de"", ""en"")"),"got")</f>
        <v>got</v>
      </c>
    </row>
    <row r="4035">
      <c r="A4035" s="1" t="s">
        <v>4035</v>
      </c>
      <c r="B4035" s="2" t="str">
        <f>IFERROR(__xludf.DUMMYFUNCTION("GOOGLETRANSLATE(A4035, ""de"", ""en"")"),"nice ones")</f>
        <v>nice ones</v>
      </c>
    </row>
    <row r="4036">
      <c r="A4036" s="1" t="s">
        <v>4036</v>
      </c>
      <c r="B4036" s="2" t="str">
        <f>IFERROR(__xludf.DUMMYFUNCTION("GOOGLETRANSLATE(A4036, ""de"", ""en"")"),"secret")</f>
        <v>secret</v>
      </c>
    </row>
    <row r="4037">
      <c r="A4037" s="1" t="s">
        <v>4037</v>
      </c>
      <c r="B4037" s="2" t="str">
        <f>IFERROR(__xludf.DUMMYFUNCTION("GOOGLETRANSLATE(A4037, ""de"", ""en"")"),"jennifer")</f>
        <v>jennifer</v>
      </c>
    </row>
    <row r="4038">
      <c r="A4038" s="1" t="s">
        <v>4038</v>
      </c>
      <c r="B4038" s="2" t="str">
        <f>IFERROR(__xludf.DUMMYFUNCTION("GOOGLETRANSLATE(A4038, ""de"", ""en"")"),"activated")</f>
        <v>activated</v>
      </c>
    </row>
    <row r="4039">
      <c r="A4039" s="1" t="s">
        <v>4039</v>
      </c>
      <c r="B4039" s="2" t="str">
        <f>IFERROR(__xludf.DUMMYFUNCTION("GOOGLETRANSLATE(A4039, ""de"", ""en"")"),"way out")</f>
        <v>way out</v>
      </c>
    </row>
    <row r="4040">
      <c r="A4040" s="1" t="s">
        <v>4040</v>
      </c>
      <c r="B4040" s="2" t="str">
        <f>IFERROR(__xludf.DUMMYFUNCTION("GOOGLETRANSLATE(A4040, ""de"", ""en"")"),"away")</f>
        <v>away</v>
      </c>
    </row>
    <row r="4041">
      <c r="A4041" s="1" t="s">
        <v>4041</v>
      </c>
      <c r="B4041" s="2" t="str">
        <f>IFERROR(__xludf.DUMMYFUNCTION("GOOGLETRANSLATE(A4041, ""de"", ""en"")"),"jewelry")</f>
        <v>jewelry</v>
      </c>
    </row>
    <row r="4042">
      <c r="A4042" s="1" t="s">
        <v>4042</v>
      </c>
      <c r="B4042" s="2" t="str">
        <f>IFERROR(__xludf.DUMMYFUNCTION("GOOGLETRANSLATE(A4042, ""de"", ""en"")"),"exit")</f>
        <v>exit</v>
      </c>
    </row>
    <row r="4043">
      <c r="A4043" s="1" t="s">
        <v>4043</v>
      </c>
      <c r="B4043" s="2" t="str">
        <f>IFERROR(__xludf.DUMMYFUNCTION("GOOGLETRANSLATE(A4043, ""de"", ""en"")"),"beautiful")</f>
        <v>beautiful</v>
      </c>
    </row>
    <row r="4044">
      <c r="A4044" s="1" t="s">
        <v>4044</v>
      </c>
      <c r="B4044" s="2" t="str">
        <f>IFERROR(__xludf.DUMMYFUNCTION("GOOGLETRANSLATE(A4044, ""de"", ""en"")"),"comes back")</f>
        <v>comes back</v>
      </c>
    </row>
    <row r="4045">
      <c r="A4045" s="1" t="s">
        <v>4045</v>
      </c>
      <c r="B4045" s="2" t="str">
        <f>IFERROR(__xludf.DUMMYFUNCTION("GOOGLETRANSLATE(A4045, ""de"", ""en"")"),"ann")</f>
        <v>ann</v>
      </c>
    </row>
    <row r="4046">
      <c r="A4046" s="1" t="s">
        <v>4046</v>
      </c>
      <c r="B4046" s="2" t="str">
        <f>IFERROR(__xludf.DUMMYFUNCTION("GOOGLETRANSLATE(A4046, ""de"", ""en"")"),"illegal")</f>
        <v>illegal</v>
      </c>
    </row>
    <row r="4047">
      <c r="A4047" s="1" t="s">
        <v>4047</v>
      </c>
      <c r="B4047" s="2" t="str">
        <f>IFERROR(__xludf.DUMMYFUNCTION("GOOGLETRANSLATE(A4047, ""de"", ""en"")"),"holidays")</f>
        <v>holidays</v>
      </c>
    </row>
    <row r="4048">
      <c r="A4048" s="1" t="s">
        <v>4048</v>
      </c>
      <c r="B4048" s="2" t="str">
        <f>IFERROR(__xludf.DUMMYFUNCTION("GOOGLETRANSLATE(A4048, ""de"", ""en"")"),"personal")</f>
        <v>personal</v>
      </c>
    </row>
    <row r="4049">
      <c r="A4049" s="1" t="s">
        <v>4049</v>
      </c>
      <c r="B4049" s="2" t="str">
        <f>IFERROR(__xludf.DUMMYFUNCTION("GOOGLETRANSLATE(A4049, ""de"", ""en"")"),"hostages")</f>
        <v>hostages</v>
      </c>
    </row>
    <row r="4050">
      <c r="A4050" s="1" t="s">
        <v>4050</v>
      </c>
      <c r="B4050" s="2" t="str">
        <f>IFERROR(__xludf.DUMMYFUNCTION("GOOGLETRANSLATE(A4050, ""de"", ""en"")"),"bless")</f>
        <v>bless</v>
      </c>
    </row>
    <row r="4051">
      <c r="A4051" s="1" t="s">
        <v>4051</v>
      </c>
      <c r="B4051" s="2" t="str">
        <f>IFERROR(__xludf.DUMMYFUNCTION("GOOGLETRANSLATE(A4051, ""de"", ""en"")"),"more normal")</f>
        <v>more normal</v>
      </c>
    </row>
    <row r="4052">
      <c r="A4052" s="1" t="s">
        <v>4052</v>
      </c>
      <c r="B4052" s="2" t="str">
        <f>IFERROR(__xludf.DUMMYFUNCTION("GOOGLETRANSLATE(A4052, ""de"", ""en"")"),"tax")</f>
        <v>tax</v>
      </c>
    </row>
    <row r="4053">
      <c r="A4053" s="1" t="s">
        <v>4053</v>
      </c>
      <c r="B4053" s="2" t="str">
        <f>IFERROR(__xludf.DUMMYFUNCTION("GOOGLETRANSLATE(A4053, ""de"", ""en"")"),"watch out")</f>
        <v>watch out</v>
      </c>
    </row>
    <row r="4054">
      <c r="A4054" s="1" t="s">
        <v>4054</v>
      </c>
      <c r="B4054" s="2" t="str">
        <f>IFERROR(__xludf.DUMMYFUNCTION("GOOGLETRANSLATE(A4054, ""de"", ""en"")"),"murphy")</f>
        <v>murphy</v>
      </c>
    </row>
    <row r="4055">
      <c r="A4055" s="1" t="s">
        <v>4055</v>
      </c>
      <c r="B4055" s="2" t="str">
        <f>IFERROR(__xludf.DUMMYFUNCTION("GOOGLETRANSLATE(A4055, ""de"", ""en"")"),"spaceship")</f>
        <v>spaceship</v>
      </c>
    </row>
    <row r="4056">
      <c r="A4056" s="1" t="s">
        <v>4056</v>
      </c>
      <c r="B4056" s="2" t="str">
        <f>IFERROR(__xludf.DUMMYFUNCTION("GOOGLETRANSLATE(A4056, ""de"", ""en"")"),"stupid")</f>
        <v>stupid</v>
      </c>
    </row>
    <row r="4057">
      <c r="A4057" s="1" t="s">
        <v>4057</v>
      </c>
      <c r="B4057" s="2" t="str">
        <f>IFERROR(__xludf.DUMMYFUNCTION("GOOGLETRANSLATE(A4057, ""de"", ""en"")"),"whiter")</f>
        <v>whiter</v>
      </c>
    </row>
    <row r="4058">
      <c r="A4058" s="1" t="s">
        <v>4058</v>
      </c>
      <c r="B4058" s="2" t="str">
        <f>IFERROR(__xludf.DUMMYFUNCTION("GOOGLETRANSLATE(A4058, ""de"", ""en"")"),"education")</f>
        <v>education</v>
      </c>
    </row>
    <row r="4059">
      <c r="A4059" s="1" t="s">
        <v>4059</v>
      </c>
      <c r="B4059" s="2" t="str">
        <f>IFERROR(__xludf.DUMMYFUNCTION("GOOGLETRANSLATE(A4059, ""de"", ""en"")"),"piano")</f>
        <v>piano</v>
      </c>
    </row>
    <row r="4060">
      <c r="A4060" s="1" t="s">
        <v>4060</v>
      </c>
      <c r="B4060" s="2" t="str">
        <f>IFERROR(__xludf.DUMMYFUNCTION("GOOGLETRANSLATE(A4060, ""de"", ""en"")"),"main thing")</f>
        <v>main thing</v>
      </c>
    </row>
    <row r="4061">
      <c r="A4061" s="1" t="s">
        <v>4061</v>
      </c>
      <c r="B4061" s="2" t="str">
        <f>IFERROR(__xludf.DUMMYFUNCTION("GOOGLETRANSLATE(A4061, ""de"", ""en"")"),"admiral")</f>
        <v>admiral</v>
      </c>
    </row>
    <row r="4062">
      <c r="A4062" s="1" t="s">
        <v>4062</v>
      </c>
      <c r="B4062" s="2" t="str">
        <f>IFERROR(__xludf.DUMMYFUNCTION("GOOGLETRANSLATE(A4062, ""de"", ""en"")"),"in contrast to")</f>
        <v>in contrast to</v>
      </c>
    </row>
    <row r="4063">
      <c r="A4063" s="1" t="s">
        <v>4063</v>
      </c>
      <c r="B4063" s="2" t="str">
        <f>IFERROR(__xludf.DUMMYFUNCTION("GOOGLETRANSLATE(A4063, ""de"", ""en"")"),"grasp")</f>
        <v>grasp</v>
      </c>
    </row>
    <row r="4064">
      <c r="A4064" s="1" t="s">
        <v>4064</v>
      </c>
      <c r="B4064" s="2" t="str">
        <f>IFERROR(__xludf.DUMMYFUNCTION("GOOGLETRANSLATE(A4064, ""de"", ""en"")"),"route")</f>
        <v>route</v>
      </c>
    </row>
    <row r="4065">
      <c r="A4065" s="1" t="s">
        <v>4065</v>
      </c>
      <c r="B4065" s="2" t="str">
        <f>IFERROR(__xludf.DUMMYFUNCTION("GOOGLETRANSLATE(A4065, ""de"", ""en"")"),"Julian")</f>
        <v>Julian</v>
      </c>
    </row>
    <row r="4066">
      <c r="A4066" s="1" t="s">
        <v>4066</v>
      </c>
      <c r="B4066" s="2" t="str">
        <f>IFERROR(__xludf.DUMMYFUNCTION("GOOGLETRANSLATE(A4066, ""de"", ""en"")"),"version")</f>
        <v>version</v>
      </c>
    </row>
    <row r="4067">
      <c r="A4067" s="1" t="s">
        <v>4067</v>
      </c>
      <c r="B4067" s="2" t="str">
        <f>IFERROR(__xludf.DUMMYFUNCTION("GOOGLETRANSLATE(A4067, ""de"", ""en"")"),"helpful")</f>
        <v>helpful</v>
      </c>
    </row>
    <row r="4068">
      <c r="A4068" s="1" t="s">
        <v>4068</v>
      </c>
      <c r="B4068" s="2" t="str">
        <f>IFERROR(__xludf.DUMMYFUNCTION("GOOGLETRANSLATE(A4068, ""de"", ""en"")"),"heavy")</f>
        <v>heavy</v>
      </c>
    </row>
    <row r="4069">
      <c r="A4069" s="1" t="s">
        <v>4069</v>
      </c>
      <c r="B4069" s="2" t="str">
        <f>IFERROR(__xludf.DUMMYFUNCTION("GOOGLETRANSLATE(A4069, ""de"", ""en"")"),"h")</f>
        <v>h</v>
      </c>
    </row>
    <row r="4070">
      <c r="A4070" s="1" t="s">
        <v>4070</v>
      </c>
      <c r="B4070" s="2" t="str">
        <f>IFERROR(__xludf.DUMMYFUNCTION("GOOGLETRANSLATE(A4070, ""de"", ""en"")"),"for years")</f>
        <v>for years</v>
      </c>
    </row>
    <row r="4071">
      <c r="A4071" s="1" t="s">
        <v>4071</v>
      </c>
      <c r="B4071" s="2" t="str">
        <f>IFERROR(__xludf.DUMMYFUNCTION("GOOGLETRANSLATE(A4071, ""de"", ""en"")"),"empty")</f>
        <v>empty</v>
      </c>
    </row>
    <row r="4072">
      <c r="A4072" s="1" t="s">
        <v>4072</v>
      </c>
      <c r="B4072" s="2" t="str">
        <f>IFERROR(__xludf.DUMMYFUNCTION("GOOGLETRANSLATE(A4072, ""de"", ""en"")"),"coast")</f>
        <v>coast</v>
      </c>
    </row>
    <row r="4073">
      <c r="A4073" s="1" t="s">
        <v>4073</v>
      </c>
      <c r="B4073" s="2" t="str">
        <f>IFERROR(__xludf.DUMMYFUNCTION("GOOGLETRANSLATE(A4073, ""de"", ""en"")"),"baron")</f>
        <v>baron</v>
      </c>
    </row>
    <row r="4074">
      <c r="A4074" s="1" t="s">
        <v>4074</v>
      </c>
      <c r="B4074" s="2" t="str">
        <f>IFERROR(__xludf.DUMMYFUNCTION("GOOGLETRANSLATE(A4074, ""de"", ""en"")"),"authorities")</f>
        <v>authorities</v>
      </c>
    </row>
    <row r="4075">
      <c r="A4075" s="1" t="s">
        <v>4075</v>
      </c>
      <c r="B4075" s="2" t="str">
        <f>IFERROR(__xludf.DUMMYFUNCTION("GOOGLETRANSLATE(A4075, ""de"", ""en"")"),"greetings")</f>
        <v>greetings</v>
      </c>
    </row>
    <row r="4076">
      <c r="A4076" s="1" t="s">
        <v>4076</v>
      </c>
      <c r="B4076" s="2" t="str">
        <f>IFERROR(__xludf.DUMMYFUNCTION("GOOGLETRANSLATE(A4076, ""de"", ""en"")"),"clarified")</f>
        <v>clarified</v>
      </c>
    </row>
    <row r="4077">
      <c r="A4077" s="1" t="s">
        <v>4077</v>
      </c>
      <c r="B4077" s="2" t="str">
        <f>IFERROR(__xludf.DUMMYFUNCTION("GOOGLETRANSLATE(A4077, ""de"", ""en"")"),"brother")</f>
        <v>brother</v>
      </c>
    </row>
    <row r="4078">
      <c r="A4078" s="1" t="s">
        <v>4078</v>
      </c>
      <c r="B4078" s="2" t="str">
        <f>IFERROR(__xludf.DUMMYFUNCTION("GOOGLETRANSLATE(A4078, ""de"", ""en"")"),"bought")</f>
        <v>bought</v>
      </c>
    </row>
    <row r="4079">
      <c r="A4079" s="1" t="s">
        <v>4079</v>
      </c>
      <c r="B4079" s="2" t="str">
        <f>IFERROR(__xludf.DUMMYFUNCTION("GOOGLETRANSLATE(A4079, ""de"", ""en"")"),"stone")</f>
        <v>stone</v>
      </c>
    </row>
    <row r="4080">
      <c r="A4080" s="1" t="s">
        <v>4080</v>
      </c>
      <c r="B4080" s="2" t="str">
        <f>IFERROR(__xludf.DUMMYFUNCTION("GOOGLETRANSLATE(A4080, ""de"", ""en"")"),"pulse")</f>
        <v>pulse</v>
      </c>
    </row>
    <row r="4081">
      <c r="A4081" s="1" t="s">
        <v>4081</v>
      </c>
      <c r="B4081" s="2" t="str">
        <f>IFERROR(__xludf.DUMMYFUNCTION("GOOGLETRANSLATE(A4081, ""de"", ""en"")"),"blue")</f>
        <v>blue</v>
      </c>
    </row>
    <row r="4082">
      <c r="A4082" s="1" t="s">
        <v>4082</v>
      </c>
      <c r="B4082" s="2" t="str">
        <f>IFERROR(__xludf.DUMMYFUNCTION("GOOGLETRANSLATE(A4082, ""de"", ""en"")"),"corridor")</f>
        <v>corridor</v>
      </c>
    </row>
    <row r="4083">
      <c r="A4083" s="1" t="s">
        <v>4083</v>
      </c>
      <c r="B4083" s="2" t="str">
        <f>IFERROR(__xludf.DUMMYFUNCTION("GOOGLETRANSLATE(A4083, ""de"", ""en"")"),"the same")</f>
        <v>the same</v>
      </c>
    </row>
    <row r="4084">
      <c r="A4084" s="1" t="s">
        <v>4084</v>
      </c>
      <c r="B4084" s="2" t="str">
        <f>IFERROR(__xludf.DUMMYFUNCTION("GOOGLETRANSLATE(A4084, ""de"", ""en"")"),"rescue")</f>
        <v>rescue</v>
      </c>
    </row>
    <row r="4085">
      <c r="A4085" s="1" t="s">
        <v>4085</v>
      </c>
      <c r="B4085" s="2" t="str">
        <f>IFERROR(__xludf.DUMMYFUNCTION("GOOGLETRANSLATE(A4085, ""de"", ""en"")"),"disgusting")</f>
        <v>disgusting</v>
      </c>
    </row>
    <row r="4086">
      <c r="A4086" s="1" t="s">
        <v>4086</v>
      </c>
      <c r="B4086" s="2" t="str">
        <f>IFERROR(__xludf.DUMMYFUNCTION("GOOGLETRANSLATE(A4086, ""de"", ""en"")"),"parking")</f>
        <v>parking</v>
      </c>
    </row>
    <row r="4087">
      <c r="A4087" s="1" t="s">
        <v>4087</v>
      </c>
      <c r="B4087" s="2" t="str">
        <f>IFERROR(__xludf.DUMMYFUNCTION("GOOGLETRANSLATE(A4087, ""de"", ""en"")"),"cats")</f>
        <v>cats</v>
      </c>
    </row>
    <row r="4088">
      <c r="A4088" s="1" t="s">
        <v>4088</v>
      </c>
      <c r="B4088" s="2" t="str">
        <f>IFERROR(__xludf.DUMMYFUNCTION("GOOGLETRANSLATE(A4088, ""de"", ""en"")"),"vice")</f>
        <v>vice</v>
      </c>
    </row>
    <row r="4089">
      <c r="A4089" s="1" t="s">
        <v>4089</v>
      </c>
      <c r="B4089" s="2" t="str">
        <f>IFERROR(__xludf.DUMMYFUNCTION("GOOGLETRANSLATE(A4089, ""de"", ""en"")"),"so to speak")</f>
        <v>so to speak</v>
      </c>
    </row>
    <row r="4090">
      <c r="A4090" s="1" t="s">
        <v>4090</v>
      </c>
      <c r="B4090" s="2" t="str">
        <f>IFERROR(__xludf.DUMMYFUNCTION("GOOGLETRANSLATE(A4090, ""de"", ""en"")"),"Wednesday")</f>
        <v>Wednesday</v>
      </c>
    </row>
    <row r="4091">
      <c r="A4091" s="1" t="s">
        <v>4091</v>
      </c>
      <c r="B4091" s="2" t="str">
        <f>IFERROR(__xludf.DUMMYFUNCTION("GOOGLETRANSLATE(A4091, ""de"", ""en"")"),"innocent ones")</f>
        <v>innocent ones</v>
      </c>
    </row>
    <row r="4092">
      <c r="A4092" s="1" t="s">
        <v>4092</v>
      </c>
      <c r="B4092" s="2" t="str">
        <f>IFERROR(__xludf.DUMMYFUNCTION("GOOGLETRANSLATE(A4092, ""de"", ""en"")"),"wait")</f>
        <v>wait</v>
      </c>
    </row>
    <row r="4093">
      <c r="A4093" s="1" t="s">
        <v>4093</v>
      </c>
      <c r="B4093" s="2" t="str">
        <f>IFERROR(__xludf.DUMMYFUNCTION("GOOGLETRANSLATE(A4093, ""de"", ""en"")"),"grandma")</f>
        <v>grandma</v>
      </c>
    </row>
    <row r="4094">
      <c r="A4094" s="1" t="s">
        <v>4094</v>
      </c>
      <c r="B4094" s="2" t="str">
        <f>IFERROR(__xludf.DUMMYFUNCTION("GOOGLETRANSLATE(A4094, ""de"", ""en"")"),"Florida")</f>
        <v>Florida</v>
      </c>
    </row>
    <row r="4095">
      <c r="A4095" s="1" t="s">
        <v>4095</v>
      </c>
      <c r="B4095" s="2" t="str">
        <f>IFERROR(__xludf.DUMMYFUNCTION("GOOGLETRANSLATE(A4095, ""de"", ""en"")"),"re")</f>
        <v>re</v>
      </c>
    </row>
    <row r="4096">
      <c r="A4096" s="1" t="s">
        <v>4096</v>
      </c>
      <c r="B4096" s="2" t="str">
        <f>IFERROR(__xludf.DUMMYFUNCTION("GOOGLETRANSLATE(A4096, ""de"", ""en"")"),"greens")</f>
        <v>greens</v>
      </c>
    </row>
    <row r="4097">
      <c r="A4097" s="1" t="s">
        <v>4097</v>
      </c>
      <c r="B4097" s="2" t="str">
        <f>IFERROR(__xludf.DUMMYFUNCTION("GOOGLETRANSLATE(A4097, ""de"", ""en"")"),"could")</f>
        <v>could</v>
      </c>
    </row>
    <row r="4098">
      <c r="A4098" s="1" t="s">
        <v>4098</v>
      </c>
      <c r="B4098" s="2" t="str">
        <f>IFERROR(__xludf.DUMMYFUNCTION("GOOGLETRANSLATE(A4098, ""de"", ""en"")"),"recordings")</f>
        <v>recordings</v>
      </c>
    </row>
    <row r="4099">
      <c r="A4099" s="1" t="s">
        <v>4099</v>
      </c>
      <c r="B4099" s="2" t="str">
        <f>IFERROR(__xludf.DUMMYFUNCTION("GOOGLETRANSLATE(A4099, ""de"", ""en"")"),"vision")</f>
        <v>vision</v>
      </c>
    </row>
    <row r="4100">
      <c r="A4100" s="1" t="s">
        <v>4100</v>
      </c>
      <c r="B4100" s="2" t="str">
        <f>IFERROR(__xludf.DUMMYFUNCTION("GOOGLETRANSLATE(A4100, ""de"", ""en"")"),"actress")</f>
        <v>actress</v>
      </c>
    </row>
    <row r="4101">
      <c r="A4101" s="1" t="s">
        <v>4101</v>
      </c>
      <c r="B4101" s="2" t="str">
        <f>IFERROR(__xludf.DUMMYFUNCTION("GOOGLETRANSLATE(A4101, ""de"", ""en"")"),"pass")</f>
        <v>pass</v>
      </c>
    </row>
    <row r="4102">
      <c r="A4102" s="1" t="s">
        <v>4102</v>
      </c>
      <c r="B4102" s="2" t="str">
        <f>IFERROR(__xludf.DUMMYFUNCTION("GOOGLETRANSLATE(A4102, ""de"", ""en"")"),"sing")</f>
        <v>sing</v>
      </c>
    </row>
    <row r="4103">
      <c r="A4103" s="1" t="s">
        <v>4103</v>
      </c>
      <c r="B4103" s="2" t="str">
        <f>IFERROR(__xludf.DUMMYFUNCTION("GOOGLETRANSLATE(A4103, ""de"", ""en"")"),"happy ones")</f>
        <v>happy ones</v>
      </c>
    </row>
    <row r="4104">
      <c r="A4104" s="1" t="s">
        <v>4104</v>
      </c>
      <c r="B4104" s="2" t="str">
        <f>IFERROR(__xludf.DUMMYFUNCTION("GOOGLETRANSLATE(A4104, ""de"", ""en"")"),"high school")</f>
        <v>high school</v>
      </c>
    </row>
    <row r="4105">
      <c r="A4105" s="1" t="s">
        <v>4105</v>
      </c>
      <c r="B4105" s="2" t="str">
        <f>IFERROR(__xludf.DUMMYFUNCTION("GOOGLETRANSLATE(A4105, ""de"", ""en"")"),"cemetery")</f>
        <v>cemetery</v>
      </c>
    </row>
    <row r="4106">
      <c r="A4106" s="1" t="s">
        <v>4106</v>
      </c>
      <c r="B4106" s="2" t="str">
        <f>IFERROR(__xludf.DUMMYFUNCTION("GOOGLETRANSLATE(A4106, ""de"", ""en"")"),"error")</f>
        <v>error</v>
      </c>
    </row>
    <row r="4107">
      <c r="A4107" s="1" t="s">
        <v>4107</v>
      </c>
      <c r="B4107" s="2" t="str">
        <f>IFERROR(__xludf.DUMMYFUNCTION("GOOGLETRANSLATE(A4107, ""de"", ""en"")"),"clients")</f>
        <v>clients</v>
      </c>
    </row>
    <row r="4108">
      <c r="A4108" s="1" t="s">
        <v>4108</v>
      </c>
      <c r="B4108" s="2" t="str">
        <f>IFERROR(__xludf.DUMMYFUNCTION("GOOGLETRANSLATE(A4108, ""de"", ""en"")"),"annoying")</f>
        <v>annoying</v>
      </c>
    </row>
    <row r="4109">
      <c r="A4109" s="1" t="s">
        <v>4109</v>
      </c>
      <c r="B4109" s="2" t="str">
        <f>IFERROR(__xludf.DUMMYFUNCTION("GOOGLETRANSLATE(A4109, ""de"", ""en"")"),"suffers")</f>
        <v>suffers</v>
      </c>
    </row>
    <row r="4110">
      <c r="A4110" s="1" t="s">
        <v>4110</v>
      </c>
      <c r="B4110" s="2" t="str">
        <f>IFERROR(__xludf.DUMMYFUNCTION("GOOGLETRANSLATE(A4110, ""de"", ""en"")"),"reverend")</f>
        <v>reverend</v>
      </c>
    </row>
    <row r="4111">
      <c r="A4111" s="1" t="s">
        <v>4111</v>
      </c>
      <c r="B4111" s="2" t="str">
        <f>IFERROR(__xludf.DUMMYFUNCTION("GOOGLETRANSLATE(A4111, ""de"", ""en"")"),"train")</f>
        <v>train</v>
      </c>
    </row>
    <row r="4112">
      <c r="A4112" s="1" t="s">
        <v>4112</v>
      </c>
      <c r="B4112" s="2" t="str">
        <f>IFERROR(__xludf.DUMMYFUNCTION("GOOGLETRANSLATE(A4112, ""de"", ""en"")"),"present")</f>
        <v>present</v>
      </c>
    </row>
    <row r="4113">
      <c r="A4113" s="1" t="s">
        <v>4113</v>
      </c>
      <c r="B4113" s="2" t="str">
        <f>IFERROR(__xludf.DUMMYFUNCTION("GOOGLETRANSLATE(A4113, ""de"", ""en"")"),"bring back")</f>
        <v>bring back</v>
      </c>
    </row>
    <row r="4114">
      <c r="A4114" s="1" t="s">
        <v>4114</v>
      </c>
      <c r="B4114" s="2" t="str">
        <f>IFERROR(__xludf.DUMMYFUNCTION("GOOGLETRANSLATE(A4114, ""de"", ""en"")"),"herman")</f>
        <v>herman</v>
      </c>
    </row>
    <row r="4115">
      <c r="A4115" s="1" t="s">
        <v>4115</v>
      </c>
      <c r="B4115" s="2" t="str">
        <f>IFERROR(__xludf.DUMMYFUNCTION("GOOGLETRANSLATE(A4115, ""de"", ""en"")"),"protocol")</f>
        <v>protocol</v>
      </c>
    </row>
    <row r="4116">
      <c r="A4116" s="1" t="s">
        <v>4116</v>
      </c>
      <c r="B4116" s="2" t="str">
        <f>IFERROR(__xludf.DUMMYFUNCTION("GOOGLETRANSLATE(A4116, ""de"", ""en"")"),"students")</f>
        <v>students</v>
      </c>
    </row>
    <row r="4117">
      <c r="A4117" s="1" t="s">
        <v>4117</v>
      </c>
      <c r="B4117" s="2" t="str">
        <f>IFERROR(__xludf.DUMMYFUNCTION("GOOGLETRANSLATE(A4117, ""de"", ""en"")"),"absolutely")</f>
        <v>absolutely</v>
      </c>
    </row>
    <row r="4118">
      <c r="A4118" s="1" t="s">
        <v>4118</v>
      </c>
      <c r="B4118" s="2" t="str">
        <f>IFERROR(__xludf.DUMMYFUNCTION("GOOGLETRANSLATE(A4118, ""de"", ""en"")"),"awful")</f>
        <v>awful</v>
      </c>
    </row>
    <row r="4119">
      <c r="A4119" s="1" t="s">
        <v>4119</v>
      </c>
      <c r="B4119" s="2" t="str">
        <f>IFERROR(__xludf.DUMMYFUNCTION("GOOGLETRANSLATE(A4119, ""de"", ""en"")"),"highest")</f>
        <v>highest</v>
      </c>
    </row>
    <row r="4120">
      <c r="A4120" s="1" t="s">
        <v>4120</v>
      </c>
      <c r="B4120" s="2" t="str">
        <f>IFERROR(__xludf.DUMMYFUNCTION("GOOGLETRANSLATE(A4120, ""de"", ""en"")"),"involved")</f>
        <v>involved</v>
      </c>
    </row>
    <row r="4121">
      <c r="A4121" s="1" t="s">
        <v>4121</v>
      </c>
      <c r="B4121" s="2" t="str">
        <f>IFERROR(__xludf.DUMMYFUNCTION("GOOGLETRANSLATE(A4121, ""de"", ""en"")"),"taste good")</f>
        <v>taste good</v>
      </c>
    </row>
    <row r="4122">
      <c r="A4122" s="1" t="s">
        <v>4122</v>
      </c>
      <c r="B4122" s="2" t="str">
        <f>IFERROR(__xludf.DUMMYFUNCTION("GOOGLETRANSLATE(A4122, ""de"", ""en"")"),"succeed")</f>
        <v>succeed</v>
      </c>
    </row>
    <row r="4123">
      <c r="A4123" s="1" t="s">
        <v>4123</v>
      </c>
      <c r="B4123" s="2" t="str">
        <f>IFERROR(__xludf.DUMMYFUNCTION("GOOGLETRANSLATE(A4123, ""de"", ""en"")"),"speaking of")</f>
        <v>speaking of</v>
      </c>
    </row>
    <row r="4124">
      <c r="A4124" s="1" t="s">
        <v>4124</v>
      </c>
      <c r="B4124" s="2" t="str">
        <f>IFERROR(__xludf.DUMMYFUNCTION("GOOGLETRANSLATE(A4124, ""de"", ""en"")"),"liz")</f>
        <v>liz</v>
      </c>
    </row>
    <row r="4125">
      <c r="A4125" s="1" t="s">
        <v>4125</v>
      </c>
      <c r="B4125" s="2" t="str">
        <f>IFERROR(__xludf.DUMMYFUNCTION("GOOGLETRANSLATE(A4125, ""de"", ""en"")"),"Alfred")</f>
        <v>Alfred</v>
      </c>
    </row>
    <row r="4126">
      <c r="A4126" s="1" t="s">
        <v>4126</v>
      </c>
      <c r="B4126" s="2" t="str">
        <f>IFERROR(__xludf.DUMMYFUNCTION("GOOGLETRANSLATE(A4126, ""de"", ""en"")"),"otherwise")</f>
        <v>otherwise</v>
      </c>
    </row>
    <row r="4127">
      <c r="A4127" s="1" t="s">
        <v>4127</v>
      </c>
      <c r="B4127" s="2" t="str">
        <f>IFERROR(__xludf.DUMMYFUNCTION("GOOGLETRANSLATE(A4127, ""de"", ""en"")"),"calf")</f>
        <v>calf</v>
      </c>
    </row>
    <row r="4128">
      <c r="A4128" s="1" t="s">
        <v>4128</v>
      </c>
      <c r="B4128" s="2" t="str">
        <f>IFERROR(__xludf.DUMMYFUNCTION("GOOGLETRANSLATE(A4128, ""de"", ""en"")"),"misunderstanding")</f>
        <v>misunderstanding</v>
      </c>
    </row>
    <row r="4129">
      <c r="A4129" s="1" t="s">
        <v>4129</v>
      </c>
      <c r="B4129" s="2" t="str">
        <f>IFERROR(__xludf.DUMMYFUNCTION("GOOGLETRANSLATE(A4129, ""de"", ""en"")"),"members")</f>
        <v>members</v>
      </c>
    </row>
    <row r="4130">
      <c r="A4130" s="1" t="s">
        <v>4130</v>
      </c>
      <c r="B4130" s="2" t="str">
        <f>IFERROR(__xludf.DUMMYFUNCTION("GOOGLETRANSLATE(A4130, ""de"", ""en"")"),"motorcycle")</f>
        <v>motorcycle</v>
      </c>
    </row>
    <row r="4131">
      <c r="A4131" s="1" t="s">
        <v>4131</v>
      </c>
      <c r="B4131" s="2" t="str">
        <f>IFERROR(__xludf.DUMMYFUNCTION("GOOGLETRANSLATE(A4131, ""de"", ""en"")"),"mickey")</f>
        <v>mickey</v>
      </c>
    </row>
    <row r="4132">
      <c r="A4132" s="1" t="s">
        <v>4132</v>
      </c>
      <c r="B4132" s="2" t="str">
        <f>IFERROR(__xludf.DUMMYFUNCTION("GOOGLETRANSLATE(A4132, ""de"", ""en"")"),"look")</f>
        <v>look</v>
      </c>
    </row>
    <row r="4133">
      <c r="A4133" s="1" t="s">
        <v>4133</v>
      </c>
      <c r="B4133" s="2" t="str">
        <f>IFERROR(__xludf.DUMMYFUNCTION("GOOGLETRANSLATE(A4133, ""de"", ""en"")"),"happier")</f>
        <v>happier</v>
      </c>
    </row>
    <row r="4134">
      <c r="A4134" s="1" t="s">
        <v>4134</v>
      </c>
      <c r="B4134" s="2" t="str">
        <f>IFERROR(__xludf.DUMMYFUNCTION("GOOGLETRANSLATE(A4134, ""de"", ""en"")"),"pretty")</f>
        <v>pretty</v>
      </c>
    </row>
    <row r="4135">
      <c r="A4135" s="1" t="s">
        <v>4135</v>
      </c>
      <c r="B4135" s="2" t="str">
        <f>IFERROR(__xludf.DUMMYFUNCTION("GOOGLETRANSLATE(A4135, ""de"", ""en"")"),"thickness")</f>
        <v>thickness</v>
      </c>
    </row>
    <row r="4136">
      <c r="A4136" s="1" t="s">
        <v>4136</v>
      </c>
      <c r="B4136" s="2" t="str">
        <f>IFERROR(__xludf.DUMMYFUNCTION("GOOGLETRANSLATE(A4136, ""de"", ""en"")"),"desired")</f>
        <v>desired</v>
      </c>
    </row>
    <row r="4137">
      <c r="A4137" s="1" t="s">
        <v>4137</v>
      </c>
      <c r="B4137" s="2" t="str">
        <f>IFERROR(__xludf.DUMMYFUNCTION("GOOGLETRANSLATE(A4137, ""de"", ""en"")"),"hunted")</f>
        <v>hunted</v>
      </c>
    </row>
    <row r="4138">
      <c r="A4138" s="1" t="s">
        <v>4138</v>
      </c>
      <c r="B4138" s="2" t="str">
        <f>IFERROR(__xludf.DUMMYFUNCTION("GOOGLETRANSLATE(A4138, ""de"", ""en"")"),"those")</f>
        <v>those</v>
      </c>
    </row>
    <row r="4139">
      <c r="A4139" s="1" t="s">
        <v>4139</v>
      </c>
      <c r="B4139" s="2" t="str">
        <f>IFERROR(__xludf.DUMMYFUNCTION("GOOGLETRANSLATE(A4139, ""de"", ""en"")"),"discuss")</f>
        <v>discuss</v>
      </c>
    </row>
    <row r="4140">
      <c r="A4140" s="1" t="s">
        <v>4140</v>
      </c>
      <c r="B4140" s="2" t="str">
        <f>IFERROR(__xludf.DUMMYFUNCTION("GOOGLETRANSLATE(A4140, ""de"", ""en"")"),"pee")</f>
        <v>pee</v>
      </c>
    </row>
    <row r="4141">
      <c r="A4141" s="1" t="s">
        <v>4141</v>
      </c>
      <c r="B4141" s="2" t="str">
        <f>IFERROR(__xludf.DUMMYFUNCTION("GOOGLETRANSLATE(A4141, ""de"", ""en"")"),"chicken")</f>
        <v>chicken</v>
      </c>
    </row>
    <row r="4142">
      <c r="A4142" s="1" t="s">
        <v>4142</v>
      </c>
      <c r="B4142" s="2" t="str">
        <f>IFERROR(__xludf.DUMMYFUNCTION("GOOGLETRANSLATE(A4142, ""de"", ""en"")"),"raise")</f>
        <v>raise</v>
      </c>
    </row>
    <row r="4143">
      <c r="A4143" s="1" t="s">
        <v>4143</v>
      </c>
      <c r="B4143" s="2" t="str">
        <f>IFERROR(__xludf.DUMMYFUNCTION("GOOGLETRANSLATE(A4143, ""de"", ""en"")"),"paradise")</f>
        <v>paradise</v>
      </c>
    </row>
    <row r="4144">
      <c r="A4144" s="1" t="s">
        <v>4144</v>
      </c>
      <c r="B4144" s="2" t="str">
        <f>IFERROR(__xludf.DUMMYFUNCTION("GOOGLETRANSLATE(A4144, ""de"", ""en"")"),"diary")</f>
        <v>diary</v>
      </c>
    </row>
    <row r="4145">
      <c r="A4145" s="1" t="s">
        <v>4145</v>
      </c>
      <c r="B4145" s="2" t="str">
        <f>IFERROR(__xludf.DUMMYFUNCTION("GOOGLETRANSLATE(A4145, ""de"", ""en"")"),"possible")</f>
        <v>possible</v>
      </c>
    </row>
    <row r="4146">
      <c r="A4146" s="1" t="s">
        <v>4146</v>
      </c>
      <c r="B4146" s="2" t="str">
        <f>IFERROR(__xludf.DUMMYFUNCTION("GOOGLETRANSLATE(A4146, ""de"", ""en"")"),"beyond")</f>
        <v>beyond</v>
      </c>
    </row>
    <row r="4147">
      <c r="A4147" s="1" t="s">
        <v>4147</v>
      </c>
      <c r="B4147" s="2" t="str">
        <f>IFERROR(__xludf.DUMMYFUNCTION("GOOGLETRANSLATE(A4147, ""de"", ""en"")"),"assholes")</f>
        <v>assholes</v>
      </c>
    </row>
    <row r="4148">
      <c r="A4148" s="1" t="s">
        <v>4148</v>
      </c>
      <c r="B4148" s="2" t="str">
        <f>IFERROR(__xludf.DUMMYFUNCTION("GOOGLETRANSLATE(A4148, ""de"", ""en"")"),"apartment")</f>
        <v>apartment</v>
      </c>
    </row>
    <row r="4149">
      <c r="A4149" s="1" t="s">
        <v>4149</v>
      </c>
      <c r="B4149" s="2" t="str">
        <f>IFERROR(__xludf.DUMMYFUNCTION("GOOGLETRANSLATE(A4149, ""de"", ""en"")"),"mason")</f>
        <v>mason</v>
      </c>
    </row>
    <row r="4150">
      <c r="A4150" s="1" t="s">
        <v>4150</v>
      </c>
      <c r="B4150" s="2" t="str">
        <f>IFERROR(__xludf.DUMMYFUNCTION("GOOGLETRANSLATE(A4150, ""de"", ""en"")"),"whistles")</f>
        <v>whistles</v>
      </c>
    </row>
    <row r="4151">
      <c r="A4151" s="1" t="s">
        <v>4151</v>
      </c>
      <c r="B4151" s="2" t="str">
        <f>IFERROR(__xludf.DUMMYFUNCTION("GOOGLETRANSLATE(A4151, ""de"", ""en"")"),"the same")</f>
        <v>the same</v>
      </c>
    </row>
    <row r="4152">
      <c r="A4152" s="1" t="s">
        <v>4152</v>
      </c>
      <c r="B4152" s="2" t="str">
        <f>IFERROR(__xludf.DUMMYFUNCTION("GOOGLETRANSLATE(A4152, ""de"", ""en"")"),"wild")</f>
        <v>wild</v>
      </c>
    </row>
    <row r="4153">
      <c r="A4153" s="1" t="s">
        <v>4153</v>
      </c>
      <c r="B4153" s="2" t="str">
        <f>IFERROR(__xludf.DUMMYFUNCTION("GOOGLETRANSLATE(A4153, ""de"", ""en"")"),"forgot")</f>
        <v>forgot</v>
      </c>
    </row>
    <row r="4154">
      <c r="A4154" s="1" t="s">
        <v>4154</v>
      </c>
      <c r="B4154" s="2" t="str">
        <f>IFERROR(__xludf.DUMMYFUNCTION("GOOGLETRANSLATE(A4154, ""de"", ""en"")"),"disappoint")</f>
        <v>disappoint</v>
      </c>
    </row>
    <row r="4155">
      <c r="A4155" s="1" t="s">
        <v>4155</v>
      </c>
      <c r="B4155" s="2" t="str">
        <f>IFERROR(__xludf.DUMMYFUNCTION("GOOGLETRANSLATE(A4155, ""de"", ""en"")"),"greg")</f>
        <v>greg</v>
      </c>
    </row>
    <row r="4156">
      <c r="A4156" s="1" t="s">
        <v>4156</v>
      </c>
      <c r="B4156" s="2" t="str">
        <f>IFERROR(__xludf.DUMMYFUNCTION("GOOGLETRANSLATE(A4156, ""de"", ""en"")"),"consequences")</f>
        <v>consequences</v>
      </c>
    </row>
    <row r="4157">
      <c r="A4157" s="1" t="s">
        <v>4157</v>
      </c>
      <c r="B4157" s="2" t="str">
        <f>IFERROR(__xludf.DUMMYFUNCTION("GOOGLETRANSLATE(A4157, ""de"", ""en"")"),"spot")</f>
        <v>spot</v>
      </c>
    </row>
    <row r="4158">
      <c r="A4158" s="1" t="s">
        <v>4158</v>
      </c>
      <c r="B4158" s="2" t="str">
        <f>IFERROR(__xludf.DUMMYFUNCTION("GOOGLETRANSLATE(A4158, ""de"", ""en"")"),"macgyver")</f>
        <v>macgyver</v>
      </c>
    </row>
    <row r="4159">
      <c r="A4159" s="1" t="s">
        <v>4159</v>
      </c>
      <c r="B4159" s="2" t="str">
        <f>IFERROR(__xludf.DUMMYFUNCTION("GOOGLETRANSLATE(A4159, ""de"", ""en"")"),"driver's license")</f>
        <v>driver's license</v>
      </c>
    </row>
    <row r="4160">
      <c r="A4160" s="1" t="s">
        <v>4160</v>
      </c>
      <c r="B4160" s="2" t="str">
        <f>IFERROR(__xludf.DUMMYFUNCTION("GOOGLETRANSLATE(A4160, ""de"", ""en"")"),"on-line")</f>
        <v>on-line</v>
      </c>
    </row>
    <row r="4161">
      <c r="A4161" s="1" t="s">
        <v>4161</v>
      </c>
      <c r="B4161" s="2" t="str">
        <f>IFERROR(__xludf.DUMMYFUNCTION("GOOGLETRANSLATE(A4161, ""de"", ""en"")"),"pray")</f>
        <v>pray</v>
      </c>
    </row>
    <row r="4162">
      <c r="A4162" s="1" t="s">
        <v>4162</v>
      </c>
      <c r="B4162" s="2" t="str">
        <f>IFERROR(__xludf.DUMMYFUNCTION("GOOGLETRANSLATE(A4162, ""de"", ""en"")"),"suspects")</f>
        <v>suspects</v>
      </c>
    </row>
    <row r="4163">
      <c r="A4163" s="1" t="s">
        <v>4163</v>
      </c>
      <c r="B4163" s="2" t="str">
        <f>IFERROR(__xludf.DUMMYFUNCTION("GOOGLETRANSLATE(A4163, ""de"", ""en"")"),"grandson")</f>
        <v>grandson</v>
      </c>
    </row>
    <row r="4164">
      <c r="A4164" s="1" t="s">
        <v>4164</v>
      </c>
      <c r="B4164" s="2" t="str">
        <f>IFERROR(__xludf.DUMMYFUNCTION("GOOGLETRANSLATE(A4164, ""de"", ""en"")"),"normal")</f>
        <v>normal</v>
      </c>
    </row>
    <row r="4165">
      <c r="A4165" s="1" t="s">
        <v>4165</v>
      </c>
      <c r="B4165" s="2" t="str">
        <f>IFERROR(__xludf.DUMMYFUNCTION("GOOGLETRANSLATE(A4165, ""de"", ""en"")"),"pen")</f>
        <v>pen</v>
      </c>
    </row>
    <row r="4166">
      <c r="A4166" s="1" t="s">
        <v>4166</v>
      </c>
      <c r="B4166" s="2" t="str">
        <f>IFERROR(__xludf.DUMMYFUNCTION("GOOGLETRANSLATE(A4166, ""de"", ""en"")"),"interview")</f>
        <v>interview</v>
      </c>
    </row>
    <row r="4167">
      <c r="A4167" s="1" t="s">
        <v>4167</v>
      </c>
      <c r="B4167" s="2" t="str">
        <f>IFERROR(__xludf.DUMMYFUNCTION("GOOGLETRANSLATE(A4167, ""de"", ""en"")"),"sweeten")</f>
        <v>sweeten</v>
      </c>
    </row>
    <row r="4168">
      <c r="A4168" s="1" t="s">
        <v>4168</v>
      </c>
      <c r="B4168" s="2" t="str">
        <f>IFERROR(__xludf.DUMMYFUNCTION("GOOGLETRANSLATE(A4168, ""de"", ""en"")"),"huge")</f>
        <v>huge</v>
      </c>
    </row>
    <row r="4169">
      <c r="A4169" s="1" t="s">
        <v>4169</v>
      </c>
      <c r="B4169" s="2" t="str">
        <f>IFERROR(__xludf.DUMMYFUNCTION("GOOGLETRANSLATE(A4169, ""de"", ""en"")"),"outlook")</f>
        <v>outlook</v>
      </c>
    </row>
    <row r="4170">
      <c r="A4170" s="1" t="s">
        <v>4170</v>
      </c>
      <c r="B4170" s="2" t="str">
        <f>IFERROR(__xludf.DUMMYFUNCTION("GOOGLETRANSLATE(A4170, ""de"", ""en"")"),"ned")</f>
        <v>ned</v>
      </c>
    </row>
    <row r="4171">
      <c r="A4171" s="1" t="s">
        <v>4171</v>
      </c>
      <c r="B4171" s="2" t="str">
        <f>IFERROR(__xludf.DUMMYFUNCTION("GOOGLETRANSLATE(A4171, ""de"", ""en"")"),"come back")</f>
        <v>come back</v>
      </c>
    </row>
    <row r="4172">
      <c r="A4172" s="1" t="s">
        <v>4172</v>
      </c>
      <c r="B4172" s="2" t="str">
        <f>IFERROR(__xludf.DUMMYFUNCTION("GOOGLETRANSLATE(A4172, ""de"", ""en"")"),"advertising")</f>
        <v>advertising</v>
      </c>
    </row>
    <row r="4173">
      <c r="A4173" s="1" t="s">
        <v>4173</v>
      </c>
      <c r="B4173" s="2" t="str">
        <f>IFERROR(__xludf.DUMMYFUNCTION("GOOGLETRANSLATE(A4173, ""de"", ""en"")"),"threw")</f>
        <v>threw</v>
      </c>
    </row>
    <row r="4174">
      <c r="A4174" s="1" t="s">
        <v>4174</v>
      </c>
      <c r="B4174" s="2" t="str">
        <f>IFERROR(__xludf.DUMMYFUNCTION("GOOGLETRANSLATE(A4174, ""de"", ""en"")"),"telephoned")</f>
        <v>telephoned</v>
      </c>
    </row>
    <row r="4175">
      <c r="A4175" s="1" t="s">
        <v>4175</v>
      </c>
      <c r="B4175" s="2" t="str">
        <f>IFERROR(__xludf.DUMMYFUNCTION("GOOGLETRANSLATE(A4175, ""de"", ""en"")"),"sight")</f>
        <v>sight</v>
      </c>
    </row>
    <row r="4176">
      <c r="A4176" s="1" t="s">
        <v>4176</v>
      </c>
      <c r="B4176" s="2" t="str">
        <f>IFERROR(__xludf.DUMMYFUNCTION("GOOGLETRANSLATE(A4176, ""de"", ""en"")"),"individual")</f>
        <v>individual</v>
      </c>
    </row>
    <row r="4177">
      <c r="A4177" s="1" t="s">
        <v>4177</v>
      </c>
      <c r="B4177" s="2" t="str">
        <f>IFERROR(__xludf.DUMMYFUNCTION("GOOGLETRANSLATE(A4177, ""de"", ""en"")"),"carpet")</f>
        <v>carpet</v>
      </c>
    </row>
    <row r="4178">
      <c r="A4178" s="1" t="s">
        <v>4178</v>
      </c>
      <c r="B4178" s="2" t="str">
        <f>IFERROR(__xludf.DUMMYFUNCTION("GOOGLETRANSLATE(A4178, ""de"", ""en"")"),"held")</f>
        <v>held</v>
      </c>
    </row>
    <row r="4179">
      <c r="A4179" s="1" t="s">
        <v>4179</v>
      </c>
      <c r="B4179" s="2" t="str">
        <f>IFERROR(__xludf.DUMMYFUNCTION("GOOGLETRANSLATE(A4179, ""de"", ""en"")"),"trade")</f>
        <v>trade</v>
      </c>
    </row>
    <row r="4180">
      <c r="A4180" s="1" t="s">
        <v>4180</v>
      </c>
      <c r="B4180" s="2" t="str">
        <f>IFERROR(__xludf.DUMMYFUNCTION("GOOGLETRANSLATE(A4180, ""de"", ""en"")"),"known")</f>
        <v>known</v>
      </c>
    </row>
    <row r="4181">
      <c r="A4181" s="1" t="s">
        <v>4181</v>
      </c>
      <c r="B4181" s="2" t="str">
        <f>IFERROR(__xludf.DUMMYFUNCTION("GOOGLETRANSLATE(A4181, ""de"", ""en"")"),"driven")</f>
        <v>driven</v>
      </c>
    </row>
    <row r="4182">
      <c r="A4182" s="1" t="s">
        <v>4182</v>
      </c>
      <c r="B4182" s="2" t="str">
        <f>IFERROR(__xludf.DUMMYFUNCTION("GOOGLETRANSLATE(A4182, ""de"", ""en"")"),"trainer")</f>
        <v>trainer</v>
      </c>
    </row>
    <row r="4183">
      <c r="A4183" s="1" t="s">
        <v>4183</v>
      </c>
      <c r="B4183" s="2" t="str">
        <f>IFERROR(__xludf.DUMMYFUNCTION("GOOGLETRANSLATE(A4183, ""de"", ""en"")"),"scully")</f>
        <v>scully</v>
      </c>
    </row>
    <row r="4184">
      <c r="A4184" s="1" t="s">
        <v>4184</v>
      </c>
      <c r="B4184" s="2" t="str">
        <f>IFERROR(__xludf.DUMMYFUNCTION("GOOGLETRANSLATE(A4184, ""de"", ""en"")"),"shoe")</f>
        <v>shoe</v>
      </c>
    </row>
    <row r="4185">
      <c r="A4185" s="1" t="s">
        <v>4185</v>
      </c>
      <c r="B4185" s="2" t="str">
        <f>IFERROR(__xludf.DUMMYFUNCTION("GOOGLETRANSLATE(A4185, ""de"", ""en"")"),"bombs")</f>
        <v>bombs</v>
      </c>
    </row>
    <row r="4186">
      <c r="A4186" s="1" t="s">
        <v>4186</v>
      </c>
      <c r="B4186" s="2" t="str">
        <f>IFERROR(__xludf.DUMMYFUNCTION("GOOGLETRANSLATE(A4186, ""de"", ""en"")"),"fighter")</f>
        <v>fighter</v>
      </c>
    </row>
    <row r="4187">
      <c r="A4187" s="1" t="s">
        <v>4187</v>
      </c>
      <c r="B4187" s="2" t="str">
        <f>IFERROR(__xludf.DUMMYFUNCTION("GOOGLETRANSLATE(A4187, ""de"", ""en"")"),"victoria")</f>
        <v>victoria</v>
      </c>
    </row>
    <row r="4188">
      <c r="A4188" s="1" t="s">
        <v>4188</v>
      </c>
      <c r="B4188" s="2" t="str">
        <f>IFERROR(__xludf.DUMMYFUNCTION("GOOGLETRANSLATE(A4188, ""de"", ""en"")"),"consider")</f>
        <v>consider</v>
      </c>
    </row>
    <row r="4189">
      <c r="A4189" s="1" t="s">
        <v>4189</v>
      </c>
      <c r="B4189" s="2" t="str">
        <f>IFERROR(__xludf.DUMMYFUNCTION("GOOGLETRANSLATE(A4189, ""de"", ""en"")"),"meeting")</f>
        <v>meeting</v>
      </c>
    </row>
    <row r="4190">
      <c r="A4190" s="1" t="s">
        <v>4190</v>
      </c>
      <c r="B4190" s="2" t="str">
        <f>IFERROR(__xludf.DUMMYFUNCTION("GOOGLETRANSLATE(A4190, ""de"", ""en"")"),"ken")</f>
        <v>ken</v>
      </c>
    </row>
    <row r="4191">
      <c r="A4191" s="1" t="s">
        <v>4191</v>
      </c>
      <c r="B4191" s="2" t="str">
        <f>IFERROR(__xludf.DUMMYFUNCTION("GOOGLETRANSLATE(A4191, ""de"", ""en"")"),"safe")</f>
        <v>safe</v>
      </c>
    </row>
    <row r="4192">
      <c r="A4192" s="1" t="s">
        <v>4192</v>
      </c>
      <c r="B4192" s="2" t="str">
        <f>IFERROR(__xludf.DUMMYFUNCTION("GOOGLETRANSLATE(A4192, ""de"", ""en"")"),"sell")</f>
        <v>sell</v>
      </c>
    </row>
    <row r="4193">
      <c r="A4193" s="1" t="s">
        <v>4193</v>
      </c>
      <c r="B4193" s="2" t="str">
        <f>IFERROR(__xludf.DUMMYFUNCTION("GOOGLETRANSLATE(A4193, ""de"", ""en"")"),"ron")</f>
        <v>ron</v>
      </c>
    </row>
    <row r="4194">
      <c r="A4194" s="1" t="s">
        <v>4194</v>
      </c>
      <c r="B4194" s="2" t="str">
        <f>IFERROR(__xludf.DUMMYFUNCTION("GOOGLETRANSLATE(A4194, ""de"", ""en"")"),"brave")</f>
        <v>brave</v>
      </c>
    </row>
    <row r="4195">
      <c r="A4195" s="1" t="s">
        <v>4195</v>
      </c>
      <c r="B4195" s="2" t="str">
        <f>IFERROR(__xludf.DUMMYFUNCTION("GOOGLETRANSLATE(A4195, ""de"", ""en"")"),"experiment")</f>
        <v>experiment</v>
      </c>
    </row>
    <row r="4196">
      <c r="A4196" s="1" t="s">
        <v>4196</v>
      </c>
      <c r="B4196" s="2" t="str">
        <f>IFERROR(__xludf.DUMMYFUNCTION("GOOGLETRANSLATE(A4196, ""de"", ""en"")"),"get")</f>
        <v>get</v>
      </c>
    </row>
    <row r="4197">
      <c r="A4197" s="1" t="s">
        <v>4197</v>
      </c>
      <c r="B4197" s="2" t="str">
        <f>IFERROR(__xludf.DUMMYFUNCTION("GOOGLETRANSLATE(A4197, ""de"", ""en"")"),"depth")</f>
        <v>depth</v>
      </c>
    </row>
    <row r="4198">
      <c r="A4198" s="1" t="s">
        <v>4198</v>
      </c>
      <c r="B4198" s="2" t="str">
        <f>IFERROR(__xludf.DUMMYFUNCTION("GOOGLETRANSLATE(A4198, ""de"", ""en"")"),"fool")</f>
        <v>fool</v>
      </c>
    </row>
    <row r="4199">
      <c r="A4199" s="1" t="s">
        <v>4199</v>
      </c>
      <c r="B4199" s="2" t="str">
        <f>IFERROR(__xludf.DUMMYFUNCTION("GOOGLETRANSLATE(A4199, ""de"", ""en"")"),"picked up")</f>
        <v>picked up</v>
      </c>
    </row>
    <row r="4200">
      <c r="A4200" s="1" t="s">
        <v>4200</v>
      </c>
      <c r="B4200" s="2" t="str">
        <f>IFERROR(__xludf.DUMMYFUNCTION("GOOGLETRANSLATE(A4200, ""de"", ""en"")"),"hold off")</f>
        <v>hold off</v>
      </c>
    </row>
    <row r="4201">
      <c r="A4201" s="1" t="s">
        <v>4201</v>
      </c>
      <c r="B4201" s="2" t="str">
        <f>IFERROR(__xludf.DUMMYFUNCTION("GOOGLETRANSLATE(A4201, ""de"", ""en"")"),"particular")</f>
        <v>particular</v>
      </c>
    </row>
    <row r="4202">
      <c r="A4202" s="1" t="s">
        <v>4202</v>
      </c>
      <c r="B4202" s="2" t="str">
        <f>IFERROR(__xludf.DUMMYFUNCTION("GOOGLETRANSLATE(A4202, ""de"", ""en"")"),"ongoing")</f>
        <v>ongoing</v>
      </c>
    </row>
    <row r="4203">
      <c r="A4203" s="1" t="s">
        <v>4203</v>
      </c>
      <c r="B4203" s="2" t="str">
        <f>IFERROR(__xludf.DUMMYFUNCTION("GOOGLETRANSLATE(A4203, ""de"", ""en"")"),"appears")</f>
        <v>appears</v>
      </c>
    </row>
    <row r="4204">
      <c r="A4204" s="1" t="s">
        <v>4204</v>
      </c>
      <c r="B4204" s="2" t="str">
        <f>IFERROR(__xludf.DUMMYFUNCTION("GOOGLETRANSLATE(A4204, ""de"", ""en"")"),"school")</f>
        <v>school</v>
      </c>
    </row>
    <row r="4205">
      <c r="A4205" s="1" t="s">
        <v>4205</v>
      </c>
      <c r="B4205" s="2" t="str">
        <f>IFERROR(__xludf.DUMMYFUNCTION("GOOGLETRANSLATE(A4205, ""de"", ""en"")"),"delete")</f>
        <v>delete</v>
      </c>
    </row>
    <row r="4206">
      <c r="A4206" s="1" t="s">
        <v>4206</v>
      </c>
      <c r="B4206" s="2" t="str">
        <f>IFERROR(__xludf.DUMMYFUNCTION("GOOGLETRANSLATE(A4206, ""de"", ""en"")"),"tara")</f>
        <v>tara</v>
      </c>
    </row>
    <row r="4207">
      <c r="A4207" s="1" t="s">
        <v>4207</v>
      </c>
      <c r="B4207" s="2" t="str">
        <f>IFERROR(__xludf.DUMMYFUNCTION("GOOGLETRANSLATE(A4207, ""de"", ""en"")"),"Sebastian")</f>
        <v>Sebastian</v>
      </c>
    </row>
    <row r="4208">
      <c r="A4208" s="1" t="s">
        <v>4208</v>
      </c>
      <c r="B4208" s="2" t="str">
        <f>IFERROR(__xludf.DUMMYFUNCTION("GOOGLETRANSLATE(A4208, ""de"", ""en"")"),"lousy")</f>
        <v>lousy</v>
      </c>
    </row>
    <row r="4209">
      <c r="A4209" s="1" t="s">
        <v>4209</v>
      </c>
      <c r="B4209" s="2" t="str">
        <f>IFERROR(__xludf.DUMMYFUNCTION("GOOGLETRANSLATE(A4209, ""de"", ""en"")"),"coffin")</f>
        <v>coffin</v>
      </c>
    </row>
    <row r="4210">
      <c r="A4210" s="1" t="s">
        <v>4210</v>
      </c>
      <c r="B4210" s="2" t="str">
        <f>IFERROR(__xludf.DUMMYFUNCTION("GOOGLETRANSLATE(A4210, ""de"", ""en"")"),"r")</f>
        <v>r</v>
      </c>
    </row>
    <row r="4211">
      <c r="A4211" s="1" t="s">
        <v>4211</v>
      </c>
      <c r="B4211" s="2" t="str">
        <f>IFERROR(__xludf.DUMMYFUNCTION("GOOGLETRANSLATE(A4211, ""de"", ""en"")"),"tolerated")</f>
        <v>tolerated</v>
      </c>
    </row>
    <row r="4212">
      <c r="A4212" s="1" t="s">
        <v>4212</v>
      </c>
      <c r="B4212" s="2" t="str">
        <f>IFERROR(__xludf.DUMMYFUNCTION("GOOGLETRANSLATE(A4212, ""de"", ""en"")"),"bitten")</f>
        <v>bitten</v>
      </c>
    </row>
    <row r="4213">
      <c r="A4213" s="1" t="s">
        <v>4213</v>
      </c>
      <c r="B4213" s="2" t="str">
        <f>IFERROR(__xludf.DUMMYFUNCTION("GOOGLETRANSLATE(A4213, ""de"", ""en"")"),"secret")</f>
        <v>secret</v>
      </c>
    </row>
    <row r="4214">
      <c r="A4214" s="1" t="s">
        <v>4214</v>
      </c>
      <c r="B4214" s="2" t="str">
        <f>IFERROR(__xludf.DUMMYFUNCTION("GOOGLETRANSLATE(A4214, ""de"", ""en"")"),"drinks")</f>
        <v>drinks</v>
      </c>
    </row>
    <row r="4215">
      <c r="A4215" s="1" t="s">
        <v>4215</v>
      </c>
      <c r="B4215" s="2" t="str">
        <f>IFERROR(__xludf.DUMMYFUNCTION("GOOGLETRANSLATE(A4215, ""de"", ""en"")"),"slept")</f>
        <v>slept</v>
      </c>
    </row>
    <row r="4216">
      <c r="A4216" s="1" t="s">
        <v>4216</v>
      </c>
      <c r="B4216" s="2" t="str">
        <f>IFERROR(__xludf.DUMMYFUNCTION("GOOGLETRANSLATE(A4216, ""de"", ""en"")"),"tradition")</f>
        <v>tradition</v>
      </c>
    </row>
    <row r="4217">
      <c r="A4217" s="1" t="s">
        <v>4217</v>
      </c>
      <c r="B4217" s="2" t="str">
        <f>IFERROR(__xludf.DUMMYFUNCTION("GOOGLETRANSLATE(A4217, ""de"", ""en"")"),"just")</f>
        <v>just</v>
      </c>
    </row>
    <row r="4218">
      <c r="A4218" s="1" t="s">
        <v>4218</v>
      </c>
      <c r="B4218" s="2" t="str">
        <f>IFERROR(__xludf.DUMMYFUNCTION("GOOGLETRANSLATE(A4218, ""de"", ""en"")"),"funny ones")</f>
        <v>funny ones</v>
      </c>
    </row>
    <row r="4219">
      <c r="A4219" s="1" t="s">
        <v>4219</v>
      </c>
      <c r="B4219" s="2" t="str">
        <f>IFERROR(__xludf.DUMMYFUNCTION("GOOGLETRANSLATE(A4219, ""de"", ""en"")"),"Schultz")</f>
        <v>Schultz</v>
      </c>
    </row>
    <row r="4220">
      <c r="A4220" s="1" t="s">
        <v>4220</v>
      </c>
      <c r="B4220" s="2" t="str">
        <f>IFERROR(__xludf.DUMMYFUNCTION("GOOGLETRANSLATE(A4220, ""de"", ""en"")"),"stopped")</f>
        <v>stopped</v>
      </c>
    </row>
    <row r="4221">
      <c r="A4221" s="1" t="s">
        <v>4221</v>
      </c>
      <c r="B4221" s="2" t="str">
        <f>IFERROR(__xludf.DUMMYFUNCTION("GOOGLETRANSLATE(A4221, ""de"", ""en"")"),"capability")</f>
        <v>capability</v>
      </c>
    </row>
    <row r="4222">
      <c r="A4222" s="1" t="s">
        <v>4222</v>
      </c>
      <c r="B4222" s="2" t="str">
        <f>IFERROR(__xludf.DUMMYFUNCTION("GOOGLETRANSLATE(A4222, ""de"", ""en"")"),"attractive")</f>
        <v>attractive</v>
      </c>
    </row>
    <row r="4223">
      <c r="A4223" s="1" t="s">
        <v>4223</v>
      </c>
      <c r="B4223" s="2" t="str">
        <f>IFERROR(__xludf.DUMMYFUNCTION("GOOGLETRANSLATE(A4223, ""de"", ""en"")"),"expression")</f>
        <v>expression</v>
      </c>
    </row>
    <row r="4224">
      <c r="A4224" s="1" t="s">
        <v>4224</v>
      </c>
      <c r="B4224" s="2" t="str">
        <f>IFERROR(__xludf.DUMMYFUNCTION("GOOGLETRANSLATE(A4224, ""de"", ""en"")"),"insure")</f>
        <v>insure</v>
      </c>
    </row>
    <row r="4225">
      <c r="A4225" s="1" t="s">
        <v>4225</v>
      </c>
      <c r="B4225" s="2" t="str">
        <f>IFERROR(__xludf.DUMMYFUNCTION("GOOGLETRANSLATE(A4225, ""de"", ""en"")"),"shields")</f>
        <v>shields</v>
      </c>
    </row>
    <row r="4226">
      <c r="A4226" s="1" t="s">
        <v>4226</v>
      </c>
      <c r="B4226" s="2" t="str">
        <f>IFERROR(__xludf.DUMMYFUNCTION("GOOGLETRANSLATE(A4226, ""de"", ""en"")"),"laid")</f>
        <v>laid</v>
      </c>
    </row>
    <row r="4227">
      <c r="A4227" s="1" t="s">
        <v>4227</v>
      </c>
      <c r="B4227" s="2" t="str">
        <f>IFERROR(__xludf.DUMMYFUNCTION("GOOGLETRANSLATE(A4227, ""de"", ""en"")"),"communicate")</f>
        <v>communicate</v>
      </c>
    </row>
    <row r="4228">
      <c r="A4228" s="1" t="s">
        <v>4228</v>
      </c>
      <c r="B4228" s="2" t="str">
        <f>IFERROR(__xludf.DUMMYFUNCTION("GOOGLETRANSLATE(A4228, ""de"", ""en"")"),"sdh")</f>
        <v>sdh</v>
      </c>
    </row>
    <row r="4229">
      <c r="A4229" s="1" t="s">
        <v>4229</v>
      </c>
      <c r="B4229" s="2" t="str">
        <f>IFERROR(__xludf.DUMMYFUNCTION("GOOGLETRANSLATE(A4229, ""de"", ""en"")"),"cozy")</f>
        <v>cozy</v>
      </c>
    </row>
    <row r="4230">
      <c r="A4230" s="1" t="s">
        <v>4230</v>
      </c>
      <c r="B4230" s="2" t="str">
        <f>IFERROR(__xludf.DUMMYFUNCTION("GOOGLETRANSLATE(A4230, ""de"", ""en"")"),"pattern")</f>
        <v>pattern</v>
      </c>
    </row>
    <row r="4231">
      <c r="A4231" s="1" t="s">
        <v>4231</v>
      </c>
      <c r="B4231" s="2" t="str">
        <f>IFERROR(__xludf.DUMMYFUNCTION("GOOGLETRANSLATE(A4231, ""de"", ""en"")"),"promised")</f>
        <v>promised</v>
      </c>
    </row>
    <row r="4232">
      <c r="A4232" s="1" t="s">
        <v>4232</v>
      </c>
      <c r="B4232" s="2" t="str">
        <f>IFERROR(__xludf.DUMMYFUNCTION("GOOGLETRANSLATE(A4232, ""de"", ""en"")"),"monitor")</f>
        <v>monitor</v>
      </c>
    </row>
    <row r="4233">
      <c r="A4233" s="1" t="s">
        <v>4233</v>
      </c>
      <c r="B4233" s="2" t="str">
        <f>IFERROR(__xludf.DUMMYFUNCTION("GOOGLETRANSLATE(A4233, ""de"", ""en"")"),"fell asleep")</f>
        <v>fell asleep</v>
      </c>
    </row>
    <row r="4234">
      <c r="A4234" s="1" t="s">
        <v>4234</v>
      </c>
      <c r="B4234" s="2" t="str">
        <f>IFERROR(__xludf.DUMMYFUNCTION("GOOGLETRANSLATE(A4234, ""de"", ""en"")"),"worst")</f>
        <v>worst</v>
      </c>
    </row>
    <row r="4235">
      <c r="A4235" s="1" t="s">
        <v>4235</v>
      </c>
      <c r="B4235" s="2" t="str">
        <f>IFERROR(__xludf.DUMMYFUNCTION("GOOGLETRANSLATE(A4235, ""de"", ""en"")"),"lose")</f>
        <v>lose</v>
      </c>
    </row>
    <row r="4236">
      <c r="A4236" s="1" t="s">
        <v>4236</v>
      </c>
      <c r="B4236" s="2" t="str">
        <f>IFERROR(__xludf.DUMMYFUNCTION("GOOGLETRANSLATE(A4236, ""de"", ""en"")"),"individual")</f>
        <v>individual</v>
      </c>
    </row>
    <row r="4237">
      <c r="A4237" s="1" t="s">
        <v>4237</v>
      </c>
      <c r="B4237" s="2" t="str">
        <f>IFERROR(__xludf.DUMMYFUNCTION("GOOGLETRANSLATE(A4237, ""de"", ""en"")"),"forgive")</f>
        <v>forgive</v>
      </c>
    </row>
    <row r="4238">
      <c r="A4238" s="1" t="s">
        <v>4238</v>
      </c>
      <c r="B4238" s="2" t="str">
        <f>IFERROR(__xludf.DUMMYFUNCTION("GOOGLETRANSLATE(A4238, ""de"", ""en"")"),"come over")</f>
        <v>come over</v>
      </c>
    </row>
    <row r="4239">
      <c r="A4239" s="1" t="s">
        <v>4239</v>
      </c>
      <c r="B4239" s="2" t="str">
        <f>IFERROR(__xludf.DUMMYFUNCTION("GOOGLETRANSLATE(A4239, ""de"", ""en"")"),"ouch")</f>
        <v>ouch</v>
      </c>
    </row>
    <row r="4240">
      <c r="A4240" s="1" t="s">
        <v>4240</v>
      </c>
      <c r="B4240" s="2" t="str">
        <f>IFERROR(__xludf.DUMMYFUNCTION("GOOGLETRANSLATE(A4240, ""de"", ""en"")"),"breasts")</f>
        <v>breasts</v>
      </c>
    </row>
    <row r="4241">
      <c r="A4241" s="1" t="s">
        <v>4241</v>
      </c>
      <c r="B4241" s="2" t="str">
        <f>IFERROR(__xludf.DUMMYFUNCTION("GOOGLETRANSLATE(A4241, ""de"", ""en"")"),"sandwich")</f>
        <v>sandwich</v>
      </c>
    </row>
    <row r="4242">
      <c r="A4242" s="1" t="s">
        <v>4242</v>
      </c>
      <c r="B4242" s="2" t="str">
        <f>IFERROR(__xludf.DUMMYFUNCTION("GOOGLETRANSLATE(A4242, ""de"", ""en"")"),"winner")</f>
        <v>winner</v>
      </c>
    </row>
    <row r="4243">
      <c r="A4243" s="1" t="s">
        <v>4243</v>
      </c>
      <c r="B4243" s="2" t="str">
        <f>IFERROR(__xludf.DUMMYFUNCTION("GOOGLETRANSLATE(A4243, ""de"", ""en"")"),"understanding")</f>
        <v>understanding</v>
      </c>
    </row>
    <row r="4244">
      <c r="A4244" s="1" t="s">
        <v>4244</v>
      </c>
      <c r="B4244" s="2" t="str">
        <f>IFERROR(__xludf.DUMMYFUNCTION("GOOGLETRANSLATE(A4244, ""de"", ""en"")"),"G")</f>
        <v>G</v>
      </c>
    </row>
    <row r="4245">
      <c r="A4245" s="1" t="s">
        <v>4245</v>
      </c>
      <c r="B4245" s="2" t="str">
        <f>IFERROR(__xludf.DUMMYFUNCTION("GOOGLETRANSLATE(A4245, ""de"", ""en"")"),"Raymond")</f>
        <v>Raymond</v>
      </c>
    </row>
    <row r="4246">
      <c r="A4246" s="1" t="s">
        <v>4246</v>
      </c>
      <c r="B4246" s="2" t="str">
        <f>IFERROR(__xludf.DUMMYFUNCTION("GOOGLETRANSLATE(A4246, ""de"", ""en"")"),"pope")</f>
        <v>pope</v>
      </c>
    </row>
    <row r="4247">
      <c r="A4247" s="1" t="s">
        <v>4247</v>
      </c>
      <c r="B4247" s="2" t="str">
        <f>IFERROR(__xludf.DUMMYFUNCTION("GOOGLETRANSLATE(A4247, ""de"", ""en"")"),"toast")</f>
        <v>toast</v>
      </c>
    </row>
    <row r="4248">
      <c r="A4248" s="1" t="s">
        <v>4248</v>
      </c>
      <c r="B4248" s="2" t="str">
        <f>IFERROR(__xludf.DUMMYFUNCTION("GOOGLETRANSLATE(A4248, ""de"", ""en"")"),"Matthew")</f>
        <v>Matthew</v>
      </c>
    </row>
    <row r="4249">
      <c r="A4249" s="1" t="s">
        <v>4249</v>
      </c>
      <c r="B4249" s="2" t="str">
        <f>IFERROR(__xludf.DUMMYFUNCTION("GOOGLETRANSLATE(A4249, ""de"", ""en"")"),"get in")</f>
        <v>get in</v>
      </c>
    </row>
    <row r="4250">
      <c r="A4250" s="1" t="s">
        <v>4250</v>
      </c>
      <c r="B4250" s="2" t="str">
        <f>IFERROR(__xludf.DUMMYFUNCTION("GOOGLETRANSLATE(A4250, ""de"", ""en"")"),"lions")</f>
        <v>lions</v>
      </c>
    </row>
    <row r="4251">
      <c r="A4251" s="1" t="s">
        <v>4251</v>
      </c>
      <c r="B4251" s="2" t="str">
        <f>IFERROR(__xludf.DUMMYFUNCTION("GOOGLETRANSLATE(A4251, ""de"", ""en"")"),"insert")</f>
        <v>insert</v>
      </c>
    </row>
    <row r="4252">
      <c r="A4252" s="1" t="s">
        <v>4252</v>
      </c>
      <c r="B4252" s="2" t="str">
        <f>IFERROR(__xludf.DUMMYFUNCTION("GOOGLETRANSLATE(A4252, ""de"", ""en"")"),"profit")</f>
        <v>profit</v>
      </c>
    </row>
    <row r="4253">
      <c r="A4253" s="1" t="s">
        <v>4253</v>
      </c>
      <c r="B4253" s="2" t="str">
        <f>IFERROR(__xludf.DUMMYFUNCTION("GOOGLETRANSLATE(A4253, ""de"", ""en"")"),"shy")</f>
        <v>shy</v>
      </c>
    </row>
    <row r="4254">
      <c r="A4254" s="1" t="s">
        <v>4254</v>
      </c>
      <c r="B4254" s="2" t="str">
        <f>IFERROR(__xludf.DUMMYFUNCTION("GOOGLETRANSLATE(A4254, ""de"", ""en"")"),"seem")</f>
        <v>seem</v>
      </c>
    </row>
    <row r="4255">
      <c r="A4255" s="1" t="s">
        <v>4255</v>
      </c>
      <c r="B4255" s="2" t="str">
        <f>IFERROR(__xludf.DUMMYFUNCTION("GOOGLETRANSLATE(A4255, ""de"", ""en"")"),"plant")</f>
        <v>plant</v>
      </c>
    </row>
    <row r="4256">
      <c r="A4256" s="1" t="s">
        <v>4256</v>
      </c>
      <c r="B4256" s="2" t="str">
        <f>IFERROR(__xludf.DUMMYFUNCTION("GOOGLETRANSLATE(A4256, ""de"", ""en"")"),"green")</f>
        <v>green</v>
      </c>
    </row>
    <row r="4257">
      <c r="A4257" s="1" t="s">
        <v>4257</v>
      </c>
      <c r="B4257" s="2" t="str">
        <f>IFERROR(__xludf.DUMMYFUNCTION("GOOGLETRANSLATE(A4257, ""de"", ""en"")"),"Sheldon")</f>
        <v>Sheldon</v>
      </c>
    </row>
    <row r="4258">
      <c r="A4258" s="1" t="s">
        <v>4258</v>
      </c>
      <c r="B4258" s="2" t="str">
        <f>IFERROR(__xludf.DUMMYFUNCTION("GOOGLETRANSLATE(A4258, ""de"", ""en"")"),"christopher")</f>
        <v>christopher</v>
      </c>
    </row>
    <row r="4259">
      <c r="A4259" s="1" t="s">
        <v>4259</v>
      </c>
      <c r="B4259" s="2" t="str">
        <f>IFERROR(__xludf.DUMMYFUNCTION("GOOGLETRANSLATE(A4259, ""de"", ""en"")"),"would have")</f>
        <v>would have</v>
      </c>
    </row>
    <row r="4260">
      <c r="A4260" s="1" t="s">
        <v>4260</v>
      </c>
      <c r="B4260" s="2" t="str">
        <f>IFERROR(__xludf.DUMMYFUNCTION("GOOGLETRANSLATE(A4260, ""de"", ""en"")"),"coach")</f>
        <v>coach</v>
      </c>
    </row>
    <row r="4261">
      <c r="A4261" s="1" t="s">
        <v>4261</v>
      </c>
      <c r="B4261" s="2" t="str">
        <f>IFERROR(__xludf.DUMMYFUNCTION("GOOGLETRANSLATE(A4261, ""de"", ""en"")"),"values")</f>
        <v>values</v>
      </c>
    </row>
    <row r="4262">
      <c r="A4262" s="1" t="s">
        <v>4262</v>
      </c>
      <c r="B4262" s="2" t="str">
        <f>IFERROR(__xludf.DUMMYFUNCTION("GOOGLETRANSLATE(A4262, ""de"", ""en"")"),"model")</f>
        <v>model</v>
      </c>
    </row>
    <row r="4263">
      <c r="A4263" s="1" t="s">
        <v>4263</v>
      </c>
      <c r="B4263" s="2" t="str">
        <f>IFERROR(__xludf.DUMMYFUNCTION("GOOGLETRANSLATE(A4263, ""de"", ""en"")"),"takes over")</f>
        <v>takes over</v>
      </c>
    </row>
    <row r="4264">
      <c r="A4264" s="1" t="s">
        <v>4264</v>
      </c>
      <c r="B4264" s="2" t="str">
        <f>IFERROR(__xludf.DUMMYFUNCTION("GOOGLETRANSLATE(A4264, ""de"", ""en"")"),"walton")</f>
        <v>walton</v>
      </c>
    </row>
    <row r="4265">
      <c r="A4265" s="1" t="s">
        <v>4265</v>
      </c>
      <c r="B4265" s="2" t="str">
        <f>IFERROR(__xludf.DUMMYFUNCTION("GOOGLETRANSLATE(A4265, ""de"", ""en"")"),"violent")</f>
        <v>violent</v>
      </c>
    </row>
    <row r="4266">
      <c r="A4266" s="1" t="s">
        <v>4266</v>
      </c>
      <c r="B4266" s="2" t="str">
        <f>IFERROR(__xludf.DUMMYFUNCTION("GOOGLETRANSLATE(A4266, ""de"", ""en"")"),"incident")</f>
        <v>incident</v>
      </c>
    </row>
    <row r="4267">
      <c r="A4267" s="1" t="s">
        <v>4267</v>
      </c>
      <c r="B4267" s="2" t="str">
        <f>IFERROR(__xludf.DUMMYFUNCTION("GOOGLETRANSLATE(A4267, ""de"", ""en"")"),"motel")</f>
        <v>motel</v>
      </c>
    </row>
    <row r="4268">
      <c r="A4268" s="1" t="s">
        <v>4268</v>
      </c>
      <c r="B4268" s="2" t="str">
        <f>IFERROR(__xludf.DUMMYFUNCTION("GOOGLETRANSLATE(A4268, ""de"", ""en"")"),"teams")</f>
        <v>teams</v>
      </c>
    </row>
    <row r="4269">
      <c r="A4269" s="1" t="s">
        <v>4269</v>
      </c>
      <c r="B4269" s="2" t="str">
        <f>IFERROR(__xludf.DUMMYFUNCTION("GOOGLETRANSLATE(A4269, ""de"", ""en"")"),"anyone")</f>
        <v>anyone</v>
      </c>
    </row>
    <row r="4270">
      <c r="A4270" s="1" t="s">
        <v>4270</v>
      </c>
      <c r="B4270" s="2" t="str">
        <f>IFERROR(__xludf.DUMMYFUNCTION("GOOGLETRANSLATE(A4270, ""de"", ""en"")"),"would have to")</f>
        <v>would have to</v>
      </c>
    </row>
    <row r="4271">
      <c r="A4271" s="1" t="s">
        <v>4271</v>
      </c>
      <c r="B4271" s="2" t="str">
        <f>IFERROR(__xludf.DUMMYFUNCTION("GOOGLETRANSLATE(A4271, ""de"", ""en"")"),"freer")</f>
        <v>freer</v>
      </c>
    </row>
    <row r="4272">
      <c r="A4272" s="1" t="s">
        <v>4272</v>
      </c>
      <c r="B4272" s="2" t="str">
        <f>IFERROR(__xludf.DUMMYFUNCTION("GOOGLETRANSLATE(A4272, ""de"", ""en"")"),"circus")</f>
        <v>circus</v>
      </c>
    </row>
    <row r="4273">
      <c r="A4273" s="1" t="s">
        <v>4273</v>
      </c>
      <c r="B4273" s="2" t="str">
        <f>IFERROR(__xludf.DUMMYFUNCTION("GOOGLETRANSLATE(A4273, ""de"", ""en"")"),"fame")</f>
        <v>fame</v>
      </c>
    </row>
    <row r="4274">
      <c r="A4274" s="1" t="s">
        <v>4274</v>
      </c>
      <c r="B4274" s="2" t="str">
        <f>IFERROR(__xludf.DUMMYFUNCTION("GOOGLETRANSLATE(A4274, ""de"", ""en"")"),"currently")</f>
        <v>currently</v>
      </c>
    </row>
    <row r="4275">
      <c r="A4275" s="1" t="s">
        <v>4275</v>
      </c>
      <c r="B4275" s="2" t="str">
        <f>IFERROR(__xludf.DUMMYFUNCTION("GOOGLETRANSLATE(A4275, ""de"", ""en"")"),"turn off")</f>
        <v>turn off</v>
      </c>
    </row>
    <row r="4276">
      <c r="A4276" s="1" t="s">
        <v>4276</v>
      </c>
      <c r="B4276" s="2" t="str">
        <f>IFERROR(__xludf.DUMMYFUNCTION("GOOGLETRANSLATE(A4276, ""de"", ""en"")"),"recipe")</f>
        <v>recipe</v>
      </c>
    </row>
    <row r="4277">
      <c r="A4277" s="1" t="s">
        <v>4277</v>
      </c>
      <c r="B4277" s="2" t="str">
        <f>IFERROR(__xludf.DUMMYFUNCTION("GOOGLETRANSLATE(A4277, ""de"", ""en"")"),"daughters")</f>
        <v>daughters</v>
      </c>
    </row>
    <row r="4278">
      <c r="A4278" s="1" t="s">
        <v>4278</v>
      </c>
      <c r="B4278" s="2" t="str">
        <f>IFERROR(__xludf.DUMMYFUNCTION("GOOGLETRANSLATE(A4278, ""de"", ""en"")"),"loud")</f>
        <v>loud</v>
      </c>
    </row>
    <row r="4279">
      <c r="A4279" s="1" t="s">
        <v>4279</v>
      </c>
      <c r="B4279" s="2" t="str">
        <f>IFERROR(__xludf.DUMMYFUNCTION("GOOGLETRANSLATE(A4279, ""de"", ""en"")"),"accepted")</f>
        <v>accepted</v>
      </c>
    </row>
    <row r="4280">
      <c r="A4280" s="1" t="s">
        <v>4280</v>
      </c>
      <c r="B4280" s="2" t="str">
        <f>IFERROR(__xludf.DUMMYFUNCTION("GOOGLETRANSLATE(A4280, ""de"", ""en"")"),"speed")</f>
        <v>speed</v>
      </c>
    </row>
    <row r="4281">
      <c r="A4281" s="1" t="s">
        <v>4281</v>
      </c>
      <c r="B4281" s="2" t="str">
        <f>IFERROR(__xludf.DUMMYFUNCTION("GOOGLETRANSLATE(A4281, ""de"", ""en"")"),"popular")</f>
        <v>popular</v>
      </c>
    </row>
    <row r="4282">
      <c r="A4282" s="1" t="s">
        <v>4282</v>
      </c>
      <c r="B4282" s="2" t="str">
        <f>IFERROR(__xludf.DUMMYFUNCTION("GOOGLETRANSLATE(A4282, ""de"", ""en"")"),"obligated")</f>
        <v>obligated</v>
      </c>
    </row>
    <row r="4283">
      <c r="A4283" s="1" t="s">
        <v>4283</v>
      </c>
      <c r="B4283" s="2" t="str">
        <f>IFERROR(__xludf.DUMMYFUNCTION("GOOGLETRANSLATE(A4283, ""de"", ""en"")"),"cheater")</f>
        <v>cheater</v>
      </c>
    </row>
    <row r="4284">
      <c r="A4284" s="1" t="s">
        <v>4284</v>
      </c>
      <c r="B4284" s="2" t="str">
        <f>IFERROR(__xludf.DUMMYFUNCTION("GOOGLETRANSLATE(A4284, ""de"", ""en"")"),"worth it")</f>
        <v>worth it</v>
      </c>
    </row>
    <row r="4285">
      <c r="A4285" s="1" t="s">
        <v>4285</v>
      </c>
      <c r="B4285" s="2" t="str">
        <f>IFERROR(__xludf.DUMMYFUNCTION("GOOGLETRANSLATE(A4285, ""de"", ""en"")"),"fairy tale")</f>
        <v>fairy tale</v>
      </c>
    </row>
    <row r="4286">
      <c r="A4286" s="1" t="s">
        <v>4286</v>
      </c>
      <c r="B4286" s="2" t="str">
        <f>IFERROR(__xludf.DUMMYFUNCTION("GOOGLETRANSLATE(A4286, ""de"", ""en"")"),"stupider")</f>
        <v>stupider</v>
      </c>
    </row>
    <row r="4287">
      <c r="A4287" s="1" t="s">
        <v>4287</v>
      </c>
      <c r="B4287" s="2" t="str">
        <f>IFERROR(__xludf.DUMMYFUNCTION("GOOGLETRANSLATE(A4287, ""de"", ""en"")"),"Becky")</f>
        <v>Becky</v>
      </c>
    </row>
    <row r="4288">
      <c r="A4288" s="1" t="s">
        <v>4288</v>
      </c>
      <c r="B4288" s="2" t="str">
        <f>IFERROR(__xludf.DUMMYFUNCTION("GOOGLETRANSLATE(A4288, ""de"", ""en"")"),"will")</f>
        <v>will</v>
      </c>
    </row>
    <row r="4289">
      <c r="A4289" s="1" t="s">
        <v>4289</v>
      </c>
      <c r="B4289" s="2" t="str">
        <f>IFERROR(__xludf.DUMMYFUNCTION("GOOGLETRANSLATE(A4289, ""de"", ""en"")"),"hill")</f>
        <v>hill</v>
      </c>
    </row>
    <row r="4290">
      <c r="A4290" s="1" t="s">
        <v>4290</v>
      </c>
      <c r="B4290" s="2" t="str">
        <f>IFERROR(__xludf.DUMMYFUNCTION("GOOGLETRANSLATE(A4290, ""de"", ""en"")"),"kingdom")</f>
        <v>kingdom</v>
      </c>
    </row>
    <row r="4291">
      <c r="A4291" s="1" t="s">
        <v>4291</v>
      </c>
      <c r="B4291" s="2" t="str">
        <f>IFERROR(__xludf.DUMMYFUNCTION("GOOGLETRANSLATE(A4291, ""de"", ""en"")"),"Dennis")</f>
        <v>Dennis</v>
      </c>
    </row>
    <row r="4292">
      <c r="A4292" s="1" t="s">
        <v>4292</v>
      </c>
      <c r="B4292" s="2" t="str">
        <f>IFERROR(__xludf.DUMMYFUNCTION("GOOGLETRANSLATE(A4292, ""de"", ""en"")"),"sweep")</f>
        <v>sweep</v>
      </c>
    </row>
    <row r="4293">
      <c r="A4293" s="1" t="s">
        <v>4293</v>
      </c>
      <c r="B4293" s="2" t="str">
        <f>IFERROR(__xludf.DUMMYFUNCTION("GOOGLETRANSLATE(A4293, ""de"", ""en"")"),"builds")</f>
        <v>builds</v>
      </c>
    </row>
    <row r="4294">
      <c r="A4294" s="1" t="s">
        <v>4294</v>
      </c>
      <c r="B4294" s="2" t="str">
        <f>IFERROR(__xludf.DUMMYFUNCTION("GOOGLETRANSLATE(A4294, ""de"", ""en"")"),"Chinese")</f>
        <v>Chinese</v>
      </c>
    </row>
    <row r="4295">
      <c r="A4295" s="1" t="s">
        <v>4295</v>
      </c>
      <c r="B4295" s="2" t="str">
        <f>IFERROR(__xludf.DUMMYFUNCTION("GOOGLETRANSLATE(A4295, ""de"", ""en"")"),"secured")</f>
        <v>secured</v>
      </c>
    </row>
    <row r="4296">
      <c r="A4296" s="1" t="s">
        <v>4296</v>
      </c>
      <c r="B4296" s="2" t="str">
        <f>IFERROR(__xludf.DUMMYFUNCTION("GOOGLETRANSLATE(A4296, ""de"", ""en"")"),"michel")</f>
        <v>michel</v>
      </c>
    </row>
    <row r="4297">
      <c r="A4297" s="1" t="s">
        <v>4297</v>
      </c>
      <c r="B4297" s="2" t="str">
        <f>IFERROR(__xludf.DUMMYFUNCTION("GOOGLETRANSLATE(A4297, ""de"", ""en"")"),"Ruth")</f>
        <v>Ruth</v>
      </c>
    </row>
    <row r="4298">
      <c r="A4298" s="1" t="s">
        <v>4298</v>
      </c>
      <c r="B4298" s="2" t="str">
        <f>IFERROR(__xludf.DUMMYFUNCTION("GOOGLETRANSLATE(A4298, ""de"", ""en"")"),"block")</f>
        <v>block</v>
      </c>
    </row>
    <row r="4299">
      <c r="A4299" s="1" t="s">
        <v>4299</v>
      </c>
      <c r="B4299" s="2" t="str">
        <f>IFERROR(__xludf.DUMMYFUNCTION("GOOGLETRANSLATE(A4299, ""de"", ""en"")"),"lied to")</f>
        <v>lied to</v>
      </c>
    </row>
    <row r="4300">
      <c r="A4300" s="1" t="s">
        <v>4300</v>
      </c>
      <c r="B4300" s="2" t="str">
        <f>IFERROR(__xludf.DUMMYFUNCTION("GOOGLETRANSLATE(A4300, ""de"", ""en"")"),"paint")</f>
        <v>paint</v>
      </c>
    </row>
    <row r="4301">
      <c r="A4301" s="1" t="s">
        <v>4301</v>
      </c>
      <c r="B4301" s="2" t="str">
        <f>IFERROR(__xludf.DUMMYFUNCTION("GOOGLETRANSLATE(A4301, ""de"", ""en"")"),"trunk")</f>
        <v>trunk</v>
      </c>
    </row>
    <row r="4302">
      <c r="A4302" s="1" t="s">
        <v>4302</v>
      </c>
      <c r="B4302" s="2" t="str">
        <f>IFERROR(__xludf.DUMMYFUNCTION("GOOGLETRANSLATE(A4302, ""de"", ""en"")"),"road")</f>
        <v>road</v>
      </c>
    </row>
    <row r="4303">
      <c r="A4303" s="1" t="s">
        <v>4303</v>
      </c>
      <c r="B4303" s="2" t="str">
        <f>IFERROR(__xludf.DUMMYFUNCTION("GOOGLETRANSLATE(A4303, ""de"", ""en"")"),"fellow")</f>
        <v>fellow</v>
      </c>
    </row>
    <row r="4304">
      <c r="A4304" s="1" t="s">
        <v>4304</v>
      </c>
      <c r="B4304" s="2" t="str">
        <f>IFERROR(__xludf.DUMMYFUNCTION("GOOGLETRANSLATE(A4304, ""de"", ""en"")"),"erin")</f>
        <v>erin</v>
      </c>
    </row>
    <row r="4305">
      <c r="A4305" s="1" t="s">
        <v>4305</v>
      </c>
      <c r="B4305" s="2" t="str">
        <f>IFERROR(__xludf.DUMMYFUNCTION("GOOGLETRANSLATE(A4305, ""de"", ""en"")"),"confession")</f>
        <v>confession</v>
      </c>
    </row>
    <row r="4306">
      <c r="A4306" s="1" t="s">
        <v>4306</v>
      </c>
      <c r="B4306" s="2" t="str">
        <f>IFERROR(__xludf.DUMMYFUNCTION("GOOGLETRANSLATE(A4306, ""de"", ""en"")"),"went out")</f>
        <v>went out</v>
      </c>
    </row>
    <row r="4307">
      <c r="A4307" s="1" t="s">
        <v>4307</v>
      </c>
      <c r="B4307" s="2" t="str">
        <f>IFERROR(__xludf.DUMMYFUNCTION("GOOGLETRANSLATE(A4307, ""de"", ""en"")"),"understand")</f>
        <v>understand</v>
      </c>
    </row>
    <row r="4308">
      <c r="A4308" s="1" t="s">
        <v>4308</v>
      </c>
      <c r="B4308" s="2" t="str">
        <f>IFERROR(__xludf.DUMMYFUNCTION("GOOGLETRANSLATE(A4308, ""de"", ""en"")"),"Dana")</f>
        <v>Dana</v>
      </c>
    </row>
    <row r="4309">
      <c r="A4309" s="1" t="s">
        <v>4309</v>
      </c>
      <c r="B4309" s="2" t="str">
        <f>IFERROR(__xludf.DUMMYFUNCTION("GOOGLETRANSLATE(A4309, ""de"", ""en"")"),"flash")</f>
        <v>flash</v>
      </c>
    </row>
    <row r="4310">
      <c r="A4310" s="1" t="s">
        <v>4310</v>
      </c>
      <c r="B4310" s="2" t="str">
        <f>IFERROR(__xludf.DUMMYFUNCTION("GOOGLETRANSLATE(A4310, ""de"", ""en"")"),"solves")</f>
        <v>solves</v>
      </c>
    </row>
    <row r="4311">
      <c r="A4311" s="1" t="s">
        <v>4311</v>
      </c>
      <c r="B4311" s="2" t="str">
        <f>IFERROR(__xludf.DUMMYFUNCTION("GOOGLETRANSLATE(A4311, ""de"", ""en"")"),"fear")</f>
        <v>fear</v>
      </c>
    </row>
    <row r="4312">
      <c r="A4312" s="1" t="s">
        <v>4312</v>
      </c>
      <c r="B4312" s="2" t="str">
        <f>IFERROR(__xludf.DUMMYFUNCTION("GOOGLETRANSLATE(A4312, ""de"", ""en"")"),"jersey")</f>
        <v>jersey</v>
      </c>
    </row>
    <row r="4313">
      <c r="A4313" s="1" t="s">
        <v>4313</v>
      </c>
      <c r="B4313" s="2" t="str">
        <f>IFERROR(__xludf.DUMMYFUNCTION("GOOGLETRANSLATE(A4313, ""de"", ""en"")"),"serious")</f>
        <v>serious</v>
      </c>
    </row>
    <row r="4314">
      <c r="A4314" s="1" t="s">
        <v>4314</v>
      </c>
      <c r="B4314" s="2" t="str">
        <f>IFERROR(__xludf.DUMMYFUNCTION("GOOGLETRANSLATE(A4314, ""de"", ""en"")"),"distributed")</f>
        <v>distributed</v>
      </c>
    </row>
    <row r="4315">
      <c r="A4315" s="1" t="s">
        <v>4315</v>
      </c>
      <c r="B4315" s="2" t="str">
        <f>IFERROR(__xludf.DUMMYFUNCTION("GOOGLETRANSLATE(A4315, ""de"", ""en"")"),"with reference to")</f>
        <v>with reference to</v>
      </c>
    </row>
    <row r="4316">
      <c r="A4316" s="1" t="s">
        <v>4316</v>
      </c>
      <c r="B4316" s="2" t="str">
        <f>IFERROR(__xludf.DUMMYFUNCTION("GOOGLETRANSLATE(A4316, ""de"", ""en"")"),"fascinating")</f>
        <v>fascinating</v>
      </c>
    </row>
    <row r="4317">
      <c r="A4317" s="1" t="s">
        <v>4317</v>
      </c>
      <c r="B4317" s="2" t="str">
        <f>IFERROR(__xludf.DUMMYFUNCTION("GOOGLETRANSLATE(A4317, ""de"", ""en"")"),"attentive")</f>
        <v>attentive</v>
      </c>
    </row>
    <row r="4318">
      <c r="A4318" s="1" t="s">
        <v>4318</v>
      </c>
      <c r="B4318" s="2" t="str">
        <f>IFERROR(__xludf.DUMMYFUNCTION("GOOGLETRANSLATE(A4318, ""de"", ""en"")"),"excitement")</f>
        <v>excitement</v>
      </c>
    </row>
    <row r="4319">
      <c r="A4319" s="1" t="s">
        <v>4319</v>
      </c>
      <c r="B4319" s="2" t="str">
        <f>IFERROR(__xludf.DUMMYFUNCTION("GOOGLETRANSLATE(A4319, ""de"", ""en"")"),"wendy")</f>
        <v>wendy</v>
      </c>
    </row>
    <row r="4320">
      <c r="A4320" s="1" t="s">
        <v>4320</v>
      </c>
      <c r="B4320" s="2" t="str">
        <f>IFERROR(__xludf.DUMMYFUNCTION("GOOGLETRANSLATE(A4320, ""de"", ""en"")"),"ethan")</f>
        <v>ethan</v>
      </c>
    </row>
    <row r="4321">
      <c r="A4321" s="1" t="s">
        <v>4321</v>
      </c>
      <c r="B4321" s="2" t="str">
        <f>IFERROR(__xludf.DUMMYFUNCTION("GOOGLETRANSLATE(A4321, ""de"", ""en"")"),"places")</f>
        <v>places</v>
      </c>
    </row>
    <row r="4322">
      <c r="A4322" s="1" t="s">
        <v>4322</v>
      </c>
      <c r="B4322" s="2" t="str">
        <f>IFERROR(__xludf.DUMMYFUNCTION("GOOGLETRANSLATE(A4322, ""de"", ""en"")"),"kidnapping")</f>
        <v>kidnapping</v>
      </c>
    </row>
    <row r="4323">
      <c r="A4323" s="1" t="s">
        <v>4323</v>
      </c>
      <c r="B4323" s="2" t="str">
        <f>IFERROR(__xludf.DUMMYFUNCTION("GOOGLETRANSLATE(A4323, ""de"", ""en"")"),"gasps")</f>
        <v>gasps</v>
      </c>
    </row>
    <row r="4324">
      <c r="A4324" s="1" t="s">
        <v>4324</v>
      </c>
      <c r="B4324" s="2" t="str">
        <f>IFERROR(__xludf.DUMMYFUNCTION("GOOGLETRANSLATE(A4324, ""de"", ""en"")"),"received")</f>
        <v>received</v>
      </c>
    </row>
    <row r="4325">
      <c r="A4325" s="1" t="s">
        <v>4325</v>
      </c>
      <c r="B4325" s="2" t="str">
        <f>IFERROR(__xludf.DUMMYFUNCTION("GOOGLETRANSLATE(A4325, ""de"", ""en"")"),"loyalty")</f>
        <v>loyalty</v>
      </c>
    </row>
    <row r="4326">
      <c r="A4326" s="1" t="s">
        <v>4326</v>
      </c>
      <c r="B4326" s="2" t="str">
        <f>IFERROR(__xludf.DUMMYFUNCTION("GOOGLETRANSLATE(A4326, ""de"", ""en"")"),"rock")</f>
        <v>rock</v>
      </c>
    </row>
    <row r="4327">
      <c r="A4327" s="1" t="s">
        <v>4327</v>
      </c>
      <c r="B4327" s="2" t="str">
        <f>IFERROR(__xludf.DUMMYFUNCTION("GOOGLETRANSLATE(A4327, ""de"", ""en"")"),"Malcolm")</f>
        <v>Malcolm</v>
      </c>
    </row>
    <row r="4328">
      <c r="A4328" s="1" t="s">
        <v>4328</v>
      </c>
      <c r="B4328" s="2" t="str">
        <f>IFERROR(__xludf.DUMMYFUNCTION("GOOGLETRANSLATE(A4328, ""de"", ""en"")"),"short")</f>
        <v>short</v>
      </c>
    </row>
    <row r="4329">
      <c r="A4329" s="1" t="s">
        <v>4329</v>
      </c>
      <c r="B4329" s="2" t="str">
        <f>IFERROR(__xludf.DUMMYFUNCTION("GOOGLETRANSLATE(A4329, ""de"", ""en"")"),"anger")</f>
        <v>anger</v>
      </c>
    </row>
    <row r="4330">
      <c r="A4330" s="1" t="s">
        <v>4330</v>
      </c>
      <c r="B4330" s="2" t="str">
        <f>IFERROR(__xludf.DUMMYFUNCTION("GOOGLETRANSLATE(A4330, ""de"", ""en"")"),"dives")</f>
        <v>dives</v>
      </c>
    </row>
    <row r="4331">
      <c r="A4331" s="1" t="s">
        <v>4331</v>
      </c>
      <c r="B4331" s="2" t="str">
        <f>IFERROR(__xludf.DUMMYFUNCTION("GOOGLETRANSLATE(A4331, ""de"", ""en"")"),"determine")</f>
        <v>determine</v>
      </c>
    </row>
    <row r="4332">
      <c r="A4332" s="1" t="s">
        <v>4332</v>
      </c>
      <c r="B4332" s="2" t="str">
        <f>IFERROR(__xludf.DUMMYFUNCTION("GOOGLETRANSLATE(A4332, ""de"", ""en"")"),"exposed")</f>
        <v>exposed</v>
      </c>
    </row>
    <row r="4333">
      <c r="A4333" s="1" t="s">
        <v>4333</v>
      </c>
      <c r="B4333" s="2" t="str">
        <f>IFERROR(__xludf.DUMMYFUNCTION("GOOGLETRANSLATE(A4333, ""de"", ""en"")"),"return")</f>
        <v>return</v>
      </c>
    </row>
    <row r="4334">
      <c r="A4334" s="1" t="s">
        <v>4334</v>
      </c>
      <c r="B4334" s="2" t="str">
        <f>IFERROR(__xludf.DUMMYFUNCTION("GOOGLETRANSLATE(A4334, ""de"", ""en"")"),"traffic")</f>
        <v>traffic</v>
      </c>
    </row>
    <row r="4335">
      <c r="A4335" s="1" t="s">
        <v>4335</v>
      </c>
      <c r="B4335" s="2" t="str">
        <f>IFERROR(__xludf.DUMMYFUNCTION("GOOGLETRANSLATE(A4335, ""de"", ""en"")"),"proven")</f>
        <v>proven</v>
      </c>
    </row>
    <row r="4336">
      <c r="A4336" s="1" t="s">
        <v>4336</v>
      </c>
      <c r="B4336" s="2" t="str">
        <f>IFERROR(__xludf.DUMMYFUNCTION("GOOGLETRANSLATE(A4336, ""de"", ""en"")"),"generation")</f>
        <v>generation</v>
      </c>
    </row>
    <row r="4337">
      <c r="A4337" s="1" t="s">
        <v>4337</v>
      </c>
      <c r="B4337" s="2" t="str">
        <f>IFERROR(__xludf.DUMMYFUNCTION("GOOGLETRANSLATE(A4337, ""de"", ""en"")"),"favorite")</f>
        <v>favorite</v>
      </c>
    </row>
    <row r="4338">
      <c r="A4338" s="1" t="s">
        <v>4338</v>
      </c>
      <c r="B4338" s="2" t="str">
        <f>IFERROR(__xludf.DUMMYFUNCTION("GOOGLETRANSLATE(A4338, ""de"", ""en"")"),"align")</f>
        <v>align</v>
      </c>
    </row>
    <row r="4339">
      <c r="A4339" s="1" t="s">
        <v>4339</v>
      </c>
      <c r="B4339" s="2" t="str">
        <f>IFERROR(__xludf.DUMMYFUNCTION("GOOGLETRANSLATE(A4339, ""de"", ""en"")"),"exception")</f>
        <v>exception</v>
      </c>
    </row>
    <row r="4340">
      <c r="A4340" s="1" t="s">
        <v>4340</v>
      </c>
      <c r="B4340" s="2" t="str">
        <f>IFERROR(__xludf.DUMMYFUNCTION("GOOGLETRANSLATE(A4340, ""de"", ""en"")"),"level")</f>
        <v>level</v>
      </c>
    </row>
    <row r="4341">
      <c r="A4341" s="1" t="s">
        <v>4341</v>
      </c>
      <c r="B4341" s="2" t="str">
        <f>IFERROR(__xludf.DUMMYFUNCTION("GOOGLETRANSLATE(A4341, ""de"", ""en"")"),"splendid")</f>
        <v>splendid</v>
      </c>
    </row>
    <row r="4342">
      <c r="A4342" s="1" t="s">
        <v>4342</v>
      </c>
      <c r="B4342" s="2" t="str">
        <f>IFERROR(__xludf.DUMMYFUNCTION("GOOGLETRANSLATE(A4342, ""de"", ""en"")"),"fall")</f>
        <v>fall</v>
      </c>
    </row>
    <row r="4343">
      <c r="A4343" s="1" t="s">
        <v>4343</v>
      </c>
      <c r="B4343" s="2" t="str">
        <f>IFERROR(__xludf.DUMMYFUNCTION("GOOGLETRANSLATE(A4343, ""de"", ""en"")"),"challenge")</f>
        <v>challenge</v>
      </c>
    </row>
    <row r="4344">
      <c r="A4344" s="1" t="s">
        <v>4344</v>
      </c>
      <c r="B4344" s="2" t="str">
        <f>IFERROR(__xludf.DUMMYFUNCTION("GOOGLETRANSLATE(A4344, ""de"", ""en"")"),"if you please")</f>
        <v>if you please</v>
      </c>
    </row>
    <row r="4345">
      <c r="A4345" s="1" t="s">
        <v>4345</v>
      </c>
      <c r="B4345" s="2" t="str">
        <f>IFERROR(__xludf.DUMMYFUNCTION("GOOGLETRANSLATE(A4345, ""de"", ""en"")"),"colors")</f>
        <v>colors</v>
      </c>
    </row>
    <row r="4346">
      <c r="A4346" s="1" t="s">
        <v>4346</v>
      </c>
      <c r="B4346" s="2" t="str">
        <f>IFERROR(__xludf.DUMMYFUNCTION("GOOGLETRANSLATE(A4346, ""de"", ""en"")"),"loved ones")</f>
        <v>loved ones</v>
      </c>
    </row>
    <row r="4347">
      <c r="A4347" s="1" t="s">
        <v>4347</v>
      </c>
      <c r="B4347" s="2" t="str">
        <f>IFERROR(__xludf.DUMMYFUNCTION("GOOGLETRANSLATE(A4347, ""de"", ""en"")"),"arrive")</f>
        <v>arrive</v>
      </c>
    </row>
    <row r="4348">
      <c r="A4348" s="1" t="s">
        <v>4348</v>
      </c>
      <c r="B4348" s="2" t="str">
        <f>IFERROR(__xludf.DUMMYFUNCTION("GOOGLETRANSLATE(A4348, ""de"", ""en"")"),"tempo")</f>
        <v>tempo</v>
      </c>
    </row>
    <row r="4349">
      <c r="A4349" s="1" t="s">
        <v>4349</v>
      </c>
      <c r="B4349" s="2" t="str">
        <f>IFERROR(__xludf.DUMMYFUNCTION("GOOGLETRANSLATE(A4349, ""de"", ""en"")"),"interrupt")</f>
        <v>interrupt</v>
      </c>
    </row>
    <row r="4350">
      <c r="A4350" s="1" t="s">
        <v>4350</v>
      </c>
      <c r="B4350" s="2" t="str">
        <f>IFERROR(__xludf.DUMMYFUNCTION("GOOGLETRANSLATE(A4350, ""de"", ""en"")"),"child")</f>
        <v>child</v>
      </c>
    </row>
    <row r="4351">
      <c r="A4351" s="1" t="s">
        <v>4351</v>
      </c>
      <c r="B4351" s="2" t="str">
        <f>IFERROR(__xludf.DUMMYFUNCTION("GOOGLETRANSLATE(A4351, ""de"", ""en"")"),"babe")</f>
        <v>babe</v>
      </c>
    </row>
    <row r="4352">
      <c r="A4352" s="1" t="s">
        <v>4352</v>
      </c>
      <c r="B4352" s="2" t="str">
        <f>IFERROR(__xludf.DUMMYFUNCTION("GOOGLETRANSLATE(A4352, ""de"", ""en"")"),"earth")</f>
        <v>earth</v>
      </c>
    </row>
    <row r="4353">
      <c r="A4353" s="1" t="s">
        <v>4353</v>
      </c>
      <c r="B4353" s="2" t="str">
        <f>IFERROR(__xludf.DUMMYFUNCTION("GOOGLETRANSLATE(A4353, ""de"", ""en"")"),"terrible")</f>
        <v>terrible</v>
      </c>
    </row>
    <row r="4354">
      <c r="A4354" s="1" t="s">
        <v>4354</v>
      </c>
      <c r="B4354" s="2" t="str">
        <f>IFERROR(__xludf.DUMMYFUNCTION("GOOGLETRANSLATE(A4354, ""de"", ""en"")"),"wrong")</f>
        <v>wrong</v>
      </c>
    </row>
    <row r="4355">
      <c r="A4355" s="1" t="s">
        <v>4355</v>
      </c>
      <c r="B4355" s="2" t="str">
        <f>IFERROR(__xludf.DUMMYFUNCTION("GOOGLETRANSLATE(A4355, ""de"", ""en"")"),"deceive")</f>
        <v>deceive</v>
      </c>
    </row>
    <row r="4356">
      <c r="A4356" s="1" t="s">
        <v>4356</v>
      </c>
      <c r="B4356" s="2" t="str">
        <f>IFERROR(__xludf.DUMMYFUNCTION("GOOGLETRANSLATE(A4356, ""de"", ""en"")"),"valley")</f>
        <v>valley</v>
      </c>
    </row>
    <row r="4357">
      <c r="A4357" s="1" t="s">
        <v>4357</v>
      </c>
      <c r="B4357" s="2" t="str">
        <f>IFERROR(__xludf.DUMMYFUNCTION("GOOGLETRANSLATE(A4357, ""de"", ""en"")"),"anyone")</f>
        <v>anyone</v>
      </c>
    </row>
    <row r="4358">
      <c r="A4358" s="1" t="s">
        <v>4358</v>
      </c>
      <c r="B4358" s="2" t="str">
        <f>IFERROR(__xludf.DUMMYFUNCTION("GOOGLETRANSLATE(A4358, ""de"", ""en"")"),"yours")</f>
        <v>yours</v>
      </c>
    </row>
    <row r="4359">
      <c r="A4359" s="1" t="s">
        <v>4359</v>
      </c>
      <c r="B4359" s="2" t="str">
        <f>IFERROR(__xludf.DUMMYFUNCTION("GOOGLETRANSLATE(A4359, ""de"", ""en"")"),"widow")</f>
        <v>widow</v>
      </c>
    </row>
    <row r="4360">
      <c r="A4360" s="1" t="s">
        <v>4360</v>
      </c>
      <c r="B4360" s="2" t="str">
        <f>IFERROR(__xludf.DUMMYFUNCTION("GOOGLETRANSLATE(A4360, ""de"", ""en"")"),"secure")</f>
        <v>secure</v>
      </c>
    </row>
    <row r="4361">
      <c r="A4361" s="1" t="s">
        <v>4361</v>
      </c>
      <c r="B4361" s="2" t="str">
        <f>IFERROR(__xludf.DUMMYFUNCTION("GOOGLETRANSLATE(A4361, ""de"", ""en"")"),"talk")</f>
        <v>talk</v>
      </c>
    </row>
    <row r="4362">
      <c r="A4362" s="1" t="s">
        <v>4362</v>
      </c>
      <c r="B4362" s="2" t="str">
        <f>IFERROR(__xludf.DUMMYFUNCTION("GOOGLETRANSLATE(A4362, ""de"", ""en"")"),"fraud")</f>
        <v>fraud</v>
      </c>
    </row>
    <row r="4363">
      <c r="A4363" s="1" t="s">
        <v>4363</v>
      </c>
      <c r="B4363" s="2" t="str">
        <f>IFERROR(__xludf.DUMMYFUNCTION("GOOGLETRANSLATE(A4363, ""de"", ""en"")"),"grief")</f>
        <v>grief</v>
      </c>
    </row>
    <row r="4364">
      <c r="A4364" s="1" t="s">
        <v>4364</v>
      </c>
      <c r="B4364" s="2" t="str">
        <f>IFERROR(__xludf.DUMMYFUNCTION("GOOGLETRANSLATE(A4364, ""de"", ""en"")"),"presence")</f>
        <v>presence</v>
      </c>
    </row>
    <row r="4365">
      <c r="A4365" s="1" t="s">
        <v>4365</v>
      </c>
      <c r="B4365" s="2" t="str">
        <f>IFERROR(__xludf.DUMMYFUNCTION("GOOGLETRANSLATE(A4365, ""de"", ""en"")"),"form")</f>
        <v>form</v>
      </c>
    </row>
    <row r="4366">
      <c r="A4366" s="1" t="s">
        <v>4366</v>
      </c>
      <c r="B4366" s="2" t="str">
        <f>IFERROR(__xludf.DUMMYFUNCTION("GOOGLETRANSLATE(A4366, ""de"", ""en"")"),"grown")</f>
        <v>grown</v>
      </c>
    </row>
    <row r="4367">
      <c r="A4367" s="1" t="s">
        <v>4367</v>
      </c>
      <c r="B4367" s="2" t="str">
        <f>IFERROR(__xludf.DUMMYFUNCTION("GOOGLETRANSLATE(A4367, ""de"", ""en"")"),"side trip")</f>
        <v>side trip</v>
      </c>
    </row>
    <row r="4368">
      <c r="A4368" s="1" t="s">
        <v>4368</v>
      </c>
      <c r="B4368" s="2" t="str">
        <f>IFERROR(__xludf.DUMMYFUNCTION("GOOGLETRANSLATE(A4368, ""de"", ""en"")"),"jill")</f>
        <v>jill</v>
      </c>
    </row>
    <row r="4369">
      <c r="A4369" s="1" t="s">
        <v>4369</v>
      </c>
      <c r="B4369" s="2" t="str">
        <f>IFERROR(__xludf.DUMMYFUNCTION("GOOGLETRANSLATE(A4369, ""de"", ""en"")"),"get lost")</f>
        <v>get lost</v>
      </c>
    </row>
    <row r="4370">
      <c r="A4370" s="1" t="s">
        <v>4370</v>
      </c>
      <c r="B4370" s="2" t="str">
        <f>IFERROR(__xludf.DUMMYFUNCTION("GOOGLETRANSLATE(A4370, ""de"", ""en"")"),"edge")</f>
        <v>edge</v>
      </c>
    </row>
    <row r="4371">
      <c r="A4371" s="1" t="s">
        <v>4371</v>
      </c>
      <c r="B4371" s="2" t="str">
        <f>IFERROR(__xludf.DUMMYFUNCTION("GOOGLETRANSLATE(A4371, ""de"", ""en"")"),"Kenny")</f>
        <v>Kenny</v>
      </c>
    </row>
    <row r="4372">
      <c r="A4372" s="1" t="s">
        <v>4372</v>
      </c>
      <c r="B4372" s="2" t="str">
        <f>IFERROR(__xludf.DUMMYFUNCTION("GOOGLETRANSLATE(A4372, ""de"", ""en"")"),"calculate")</f>
        <v>calculate</v>
      </c>
    </row>
    <row r="4373">
      <c r="A4373" s="1" t="s">
        <v>4373</v>
      </c>
      <c r="B4373" s="2" t="str">
        <f>IFERROR(__xludf.DUMMYFUNCTION("GOOGLETRANSLATE(A4373, ""de"", ""en"")"),"elevator")</f>
        <v>elevator</v>
      </c>
    </row>
    <row r="4374">
      <c r="A4374" s="1" t="s">
        <v>4374</v>
      </c>
      <c r="B4374" s="2" t="str">
        <f>IFERROR(__xludf.DUMMYFUNCTION("GOOGLETRANSLATE(A4374, ""de"", ""en"")"),"question")</f>
        <v>question</v>
      </c>
    </row>
    <row r="4375">
      <c r="A4375" s="1" t="s">
        <v>4375</v>
      </c>
      <c r="B4375" s="2" t="str">
        <f>IFERROR(__xludf.DUMMYFUNCTION("GOOGLETRANSLATE(A4375, ""de"", ""en"")"),"take away")</f>
        <v>take away</v>
      </c>
    </row>
    <row r="4376">
      <c r="A4376" s="1" t="s">
        <v>4376</v>
      </c>
      <c r="B4376" s="2" t="str">
        <f>IFERROR(__xludf.DUMMYFUNCTION("GOOGLETRANSLATE(A4376, ""de"", ""en"")"),"farewell")</f>
        <v>farewell</v>
      </c>
    </row>
    <row r="4377">
      <c r="A4377" s="1" t="s">
        <v>4377</v>
      </c>
      <c r="B4377" s="2" t="str">
        <f>IFERROR(__xludf.DUMMYFUNCTION("GOOGLETRANSLATE(A4377, ""de"", ""en"")"),"need")</f>
        <v>need</v>
      </c>
    </row>
    <row r="4378">
      <c r="A4378" s="1" t="s">
        <v>4378</v>
      </c>
      <c r="B4378" s="2" t="str">
        <f>IFERROR(__xludf.DUMMYFUNCTION("GOOGLETRANSLATE(A4378, ""de"", ""en"")"),"psst")</f>
        <v>psst</v>
      </c>
    </row>
    <row r="4379">
      <c r="A4379" s="1" t="s">
        <v>4379</v>
      </c>
      <c r="B4379" s="2" t="str">
        <f>IFERROR(__xludf.DUMMYFUNCTION("GOOGLETRANSLATE(A4379, ""de"", ""en"")"),"government office")</f>
        <v>government office</v>
      </c>
    </row>
    <row r="4380">
      <c r="A4380" s="1" t="s">
        <v>4380</v>
      </c>
      <c r="B4380" s="2" t="str">
        <f>IFERROR(__xludf.DUMMYFUNCTION("GOOGLETRANSLATE(A4380, ""de"", ""en"")"),"rich")</f>
        <v>rich</v>
      </c>
    </row>
    <row r="4381">
      <c r="A4381" s="1" t="s">
        <v>4381</v>
      </c>
      <c r="B4381" s="2" t="str">
        <f>IFERROR(__xludf.DUMMYFUNCTION("GOOGLETRANSLATE(A4381, ""de"", ""en"")"),"otto")</f>
        <v>otto</v>
      </c>
    </row>
    <row r="4382">
      <c r="A4382" s="1" t="s">
        <v>4382</v>
      </c>
      <c r="B4382" s="2" t="str">
        <f>IFERROR(__xludf.DUMMYFUNCTION("GOOGLETRANSLATE(A4382, ""de"", ""en"")"),"start")</f>
        <v>start</v>
      </c>
    </row>
    <row r="4383">
      <c r="A4383" s="1" t="s">
        <v>4383</v>
      </c>
      <c r="B4383" s="2" t="str">
        <f>IFERROR(__xludf.DUMMYFUNCTION("GOOGLETRANSLATE(A4383, ""de"", ""en"")"),"thumb")</f>
        <v>thumb</v>
      </c>
    </row>
    <row r="4384">
      <c r="A4384" s="1" t="s">
        <v>4384</v>
      </c>
      <c r="B4384" s="2" t="str">
        <f>IFERROR(__xludf.DUMMYFUNCTION("GOOGLETRANSLATE(A4384, ""de"", ""en"")"),"punish")</f>
        <v>punish</v>
      </c>
    </row>
    <row r="4385">
      <c r="A4385" s="1" t="s">
        <v>4385</v>
      </c>
      <c r="B4385" s="2" t="str">
        <f>IFERROR(__xludf.DUMMYFUNCTION("GOOGLETRANSLATE(A4385, ""de"", ""en"")"),"clarence")</f>
        <v>clarence</v>
      </c>
    </row>
    <row r="4386">
      <c r="A4386" s="1" t="s">
        <v>4386</v>
      </c>
      <c r="B4386" s="2" t="str">
        <f>IFERROR(__xludf.DUMMYFUNCTION("GOOGLETRANSLATE(A4386, ""de"", ""en"")"),"cry")</f>
        <v>cry</v>
      </c>
    </row>
    <row r="4387">
      <c r="A4387" s="1" t="s">
        <v>4387</v>
      </c>
      <c r="B4387" s="2" t="str">
        <f>IFERROR(__xludf.DUMMYFUNCTION("GOOGLETRANSLATE(A4387, ""de"", ""en"")"),"stranger")</f>
        <v>stranger</v>
      </c>
    </row>
    <row r="4388">
      <c r="A4388" s="1" t="s">
        <v>4388</v>
      </c>
      <c r="B4388" s="2" t="str">
        <f>IFERROR(__xludf.DUMMYFUNCTION("GOOGLETRANSLATE(A4388, ""de"", ""en"")"),"gently")</f>
        <v>gently</v>
      </c>
    </row>
    <row r="4389">
      <c r="A4389" s="1" t="s">
        <v>4389</v>
      </c>
      <c r="B4389" s="2" t="str">
        <f>IFERROR(__xludf.DUMMYFUNCTION("GOOGLETRANSLATE(A4389, ""de"", ""en"")"),"identified")</f>
        <v>identified</v>
      </c>
    </row>
    <row r="4390">
      <c r="A4390" s="1" t="s">
        <v>4390</v>
      </c>
      <c r="B4390" s="2" t="str">
        <f>IFERROR(__xludf.DUMMYFUNCTION("GOOGLETRANSLATE(A4390, ""de"", ""en"")"),"confess")</f>
        <v>confess</v>
      </c>
    </row>
    <row r="4391">
      <c r="A4391" s="1" t="s">
        <v>4391</v>
      </c>
      <c r="B4391" s="2" t="str">
        <f>IFERROR(__xludf.DUMMYFUNCTION("GOOGLETRANSLATE(A4391, ""de"", ""en"")"),"mac")</f>
        <v>mac</v>
      </c>
    </row>
    <row r="4392">
      <c r="A4392" s="1" t="s">
        <v>4392</v>
      </c>
      <c r="B4392" s="2" t="str">
        <f>IFERROR(__xludf.DUMMYFUNCTION("GOOGLETRANSLATE(A4392, ""de"", ""en"")"),"owen")</f>
        <v>owen</v>
      </c>
    </row>
    <row r="4393">
      <c r="A4393" s="1" t="s">
        <v>4393</v>
      </c>
      <c r="B4393" s="2" t="str">
        <f>IFERROR(__xludf.DUMMYFUNCTION("GOOGLETRANSLATE(A4393, ""de"", ""en"")"),"morris")</f>
        <v>morris</v>
      </c>
    </row>
    <row r="4394">
      <c r="A4394" s="1" t="s">
        <v>4394</v>
      </c>
      <c r="B4394" s="2" t="str">
        <f>IFERROR(__xludf.DUMMYFUNCTION("GOOGLETRANSLATE(A4394, ""de"", ""en"")"),"gigantic")</f>
        <v>gigantic</v>
      </c>
    </row>
    <row r="4395">
      <c r="A4395" s="1" t="s">
        <v>4395</v>
      </c>
      <c r="B4395" s="2" t="str">
        <f>IFERROR(__xludf.DUMMYFUNCTION("GOOGLETRANSLATE(A4395, ""de"", ""en"")"),"decide")</f>
        <v>decide</v>
      </c>
    </row>
    <row r="4396">
      <c r="A4396" s="1" t="s">
        <v>4396</v>
      </c>
      <c r="B4396" s="2" t="str">
        <f>IFERROR(__xludf.DUMMYFUNCTION("GOOGLETRANSLATE(A4396, ""de"", ""en"")"),"coma")</f>
        <v>coma</v>
      </c>
    </row>
    <row r="4397">
      <c r="A4397" s="1" t="s">
        <v>4397</v>
      </c>
      <c r="B4397" s="2" t="str">
        <f>IFERROR(__xludf.DUMMYFUNCTION("GOOGLETRANSLATE(A4397, ""de"", ""en"")"),"princes")</f>
        <v>princes</v>
      </c>
    </row>
    <row r="4398">
      <c r="A4398" s="1" t="s">
        <v>4398</v>
      </c>
      <c r="B4398" s="2" t="str">
        <f>IFERROR(__xludf.DUMMYFUNCTION("GOOGLETRANSLATE(A4398, ""de"", ""en"")"),"unconscious")</f>
        <v>unconscious</v>
      </c>
    </row>
    <row r="4399">
      <c r="A4399" s="1" t="s">
        <v>4399</v>
      </c>
      <c r="B4399" s="2" t="str">
        <f>IFERROR(__xludf.DUMMYFUNCTION("GOOGLETRANSLATE(A4399, ""de"", ""en"")"),"county")</f>
        <v>county</v>
      </c>
    </row>
    <row r="4400">
      <c r="A4400" s="1" t="s">
        <v>4400</v>
      </c>
      <c r="B4400" s="2" t="str">
        <f>IFERROR(__xludf.DUMMYFUNCTION("GOOGLETRANSLATE(A4400, ""de"", ""en"")"),"brand")</f>
        <v>brand</v>
      </c>
    </row>
    <row r="4401">
      <c r="A4401" s="1" t="s">
        <v>4401</v>
      </c>
      <c r="B4401" s="2" t="str">
        <f>IFERROR(__xludf.DUMMYFUNCTION("GOOGLETRANSLATE(A4401, ""de"", ""en"")"),"harder")</f>
        <v>harder</v>
      </c>
    </row>
    <row r="4402">
      <c r="A4402" s="1" t="s">
        <v>4402</v>
      </c>
      <c r="B4402" s="2" t="str">
        <f>IFERROR(__xludf.DUMMYFUNCTION("GOOGLETRANSLATE(A4402, ""de"", ""en"")"),"hill")</f>
        <v>hill</v>
      </c>
    </row>
    <row r="4403">
      <c r="A4403" s="1" t="s">
        <v>4403</v>
      </c>
      <c r="B4403" s="2" t="str">
        <f>IFERROR(__xludf.DUMMYFUNCTION("GOOGLETRANSLATE(A4403, ""de"", ""en"")"),"polite")</f>
        <v>polite</v>
      </c>
    </row>
    <row r="4404">
      <c r="A4404" s="1" t="s">
        <v>4404</v>
      </c>
      <c r="B4404" s="2" t="str">
        <f>IFERROR(__xludf.DUMMYFUNCTION("GOOGLETRANSLATE(A4404, ""de"", ""en"")"),"Jew")</f>
        <v>Jew</v>
      </c>
    </row>
    <row r="4405">
      <c r="A4405" s="1" t="s">
        <v>4405</v>
      </c>
      <c r="B4405" s="2" t="str">
        <f>IFERROR(__xludf.DUMMYFUNCTION("GOOGLETRANSLATE(A4405, ""de"", ""en"")"),"sat")</f>
        <v>sat</v>
      </c>
    </row>
    <row r="4406">
      <c r="A4406" s="1" t="s">
        <v>4406</v>
      </c>
      <c r="B4406" s="2" t="str">
        <f>IFERROR(__xludf.DUMMYFUNCTION("GOOGLETRANSLATE(A4406, ""de"", ""en"")"),"worry")</f>
        <v>worry</v>
      </c>
    </row>
    <row r="4407">
      <c r="A4407" s="1" t="s">
        <v>4407</v>
      </c>
      <c r="B4407" s="2" t="str">
        <f>IFERROR(__xludf.DUMMYFUNCTION("GOOGLETRANSLATE(A4407, ""de"", ""en"")"),"intentionally")</f>
        <v>intentionally</v>
      </c>
    </row>
    <row r="4408">
      <c r="A4408" s="1" t="s">
        <v>4408</v>
      </c>
      <c r="B4408" s="2" t="str">
        <f>IFERROR(__xludf.DUMMYFUNCTION("GOOGLETRANSLATE(A4408, ""de"", ""en"")"),"screwed up")</f>
        <v>screwed up</v>
      </c>
    </row>
    <row r="4409">
      <c r="A4409" s="1" t="s">
        <v>4409</v>
      </c>
      <c r="B4409" s="2" t="str">
        <f>IFERROR(__xludf.DUMMYFUNCTION("GOOGLETRANSLATE(A4409, ""de"", ""en"")"),"closed")</f>
        <v>closed</v>
      </c>
    </row>
    <row r="4410">
      <c r="A4410" s="1" t="s">
        <v>4410</v>
      </c>
      <c r="B4410" s="2" t="str">
        <f>IFERROR(__xludf.DUMMYFUNCTION("GOOGLETRANSLATE(A4410, ""de"", ""en"")"),"as well as ")</f>
        <v>as well as </v>
      </c>
    </row>
    <row r="4411">
      <c r="A4411" s="1" t="s">
        <v>4411</v>
      </c>
      <c r="B4411" s="2" t="str">
        <f>IFERROR(__xludf.DUMMYFUNCTION("GOOGLETRANSLATE(A4411, ""de"", ""en"")"),"singing")</f>
        <v>singing</v>
      </c>
    </row>
    <row r="4412">
      <c r="A4412" s="1" t="s">
        <v>4412</v>
      </c>
      <c r="B4412" s="2" t="str">
        <f>IFERROR(__xludf.DUMMYFUNCTION("GOOGLETRANSLATE(A4412, ""de"", ""en"")"),"rotated")</f>
        <v>rotated</v>
      </c>
    </row>
    <row r="4413">
      <c r="A4413" s="1" t="s">
        <v>4413</v>
      </c>
      <c r="B4413" s="2" t="str">
        <f>IFERROR(__xludf.DUMMYFUNCTION("GOOGLETRANSLATE(A4413, ""de"", ""en"")"),"ford")</f>
        <v>ford</v>
      </c>
    </row>
    <row r="4414">
      <c r="A4414" s="1" t="s">
        <v>4414</v>
      </c>
      <c r="B4414" s="2" t="str">
        <f>IFERROR(__xludf.DUMMYFUNCTION("GOOGLETRANSLATE(A4414, ""de"", ""en"")"),"religion")</f>
        <v>religion</v>
      </c>
    </row>
    <row r="4415">
      <c r="A4415" s="1" t="s">
        <v>4415</v>
      </c>
      <c r="B4415" s="2" t="str">
        <f>IFERROR(__xludf.DUMMYFUNCTION("GOOGLETRANSLATE(A4415, ""de"", ""en"")"),"hey")</f>
        <v>hey</v>
      </c>
    </row>
    <row r="4416">
      <c r="A4416" s="1" t="s">
        <v>4416</v>
      </c>
      <c r="B4416" s="2" t="str">
        <f>IFERROR(__xludf.DUMMYFUNCTION("GOOGLETRANSLATE(A4416, ""de"", ""en"")"),"signature")</f>
        <v>signature</v>
      </c>
    </row>
    <row r="4417">
      <c r="A4417" s="1" t="s">
        <v>4417</v>
      </c>
      <c r="B4417" s="2" t="str">
        <f>IFERROR(__xludf.DUMMYFUNCTION("GOOGLETRANSLATE(A4417, ""de"", ""en"")"),"roses")</f>
        <v>roses</v>
      </c>
    </row>
    <row r="4418">
      <c r="A4418" s="1" t="s">
        <v>4418</v>
      </c>
      <c r="B4418" s="2" t="str">
        <f>IFERROR(__xludf.DUMMYFUNCTION("GOOGLETRANSLATE(A4418, ""de"", ""en"")"),"personal")</f>
        <v>personal</v>
      </c>
    </row>
    <row r="4419">
      <c r="A4419" s="1" t="s">
        <v>4419</v>
      </c>
      <c r="B4419" s="2" t="str">
        <f>IFERROR(__xludf.DUMMYFUNCTION("GOOGLETRANSLATE(A4419, ""de"", ""en"")"),"queen")</f>
        <v>queen</v>
      </c>
    </row>
    <row r="4420">
      <c r="A4420" s="1" t="s">
        <v>4420</v>
      </c>
      <c r="B4420" s="2" t="str">
        <f>IFERROR(__xludf.DUMMYFUNCTION("GOOGLETRANSLATE(A4420, ""de"", ""en"")"),"progress")</f>
        <v>progress</v>
      </c>
    </row>
    <row r="4421">
      <c r="A4421" s="1" t="s">
        <v>4421</v>
      </c>
      <c r="B4421" s="2" t="str">
        <f>IFERROR(__xludf.DUMMYFUNCTION("GOOGLETRANSLATE(A4421, ""de"", ""en"")"),"entrance")</f>
        <v>entrance</v>
      </c>
    </row>
    <row r="4422">
      <c r="A4422" s="1" t="s">
        <v>4422</v>
      </c>
      <c r="B4422" s="2" t="str">
        <f>IFERROR(__xludf.DUMMYFUNCTION("GOOGLETRANSLATE(A4422, ""de"", ""en"")"),"listened")</f>
        <v>listened</v>
      </c>
    </row>
    <row r="4423">
      <c r="A4423" s="1" t="s">
        <v>4423</v>
      </c>
      <c r="B4423" s="2" t="str">
        <f>IFERROR(__xludf.DUMMYFUNCTION("GOOGLETRANSLATE(A4423, ""de"", ""en"")"),"offer")</f>
        <v>offer</v>
      </c>
    </row>
    <row r="4424">
      <c r="A4424" s="1" t="s">
        <v>4424</v>
      </c>
      <c r="B4424" s="2" t="str">
        <f>IFERROR(__xludf.DUMMYFUNCTION("GOOGLETRANSLATE(A4424, ""de"", ""en"")"),"Clara")</f>
        <v>Clara</v>
      </c>
    </row>
    <row r="4425">
      <c r="A4425" s="1" t="s">
        <v>4425</v>
      </c>
      <c r="B4425" s="2" t="str">
        <f>IFERROR(__xludf.DUMMYFUNCTION("GOOGLETRANSLATE(A4425, ""de"", ""en"")"),"plan")</f>
        <v>plan</v>
      </c>
    </row>
    <row r="4426">
      <c r="A4426" s="1" t="s">
        <v>4426</v>
      </c>
      <c r="B4426" s="2" t="str">
        <f>IFERROR(__xludf.DUMMYFUNCTION("GOOGLETRANSLATE(A4426, ""de"", ""en"")"),"culture")</f>
        <v>culture</v>
      </c>
    </row>
    <row r="4427">
      <c r="A4427" s="1" t="s">
        <v>4427</v>
      </c>
      <c r="B4427" s="2" t="str">
        <f>IFERROR(__xludf.DUMMYFUNCTION("GOOGLETRANSLATE(A4427, ""de"", ""en"")"),"patient")</f>
        <v>patient</v>
      </c>
    </row>
    <row r="4428">
      <c r="A4428" s="1" t="s">
        <v>4428</v>
      </c>
      <c r="B4428" s="2" t="str">
        <f>IFERROR(__xludf.DUMMYFUNCTION("GOOGLETRANSLATE(A4428, ""de"", ""en"")"),"stephen")</f>
        <v>stephen</v>
      </c>
    </row>
    <row r="4429">
      <c r="A4429" s="1" t="s">
        <v>4429</v>
      </c>
      <c r="B4429" s="2" t="str">
        <f>IFERROR(__xludf.DUMMYFUNCTION("GOOGLETRANSLATE(A4429, ""de"", ""en"")"),"explodes")</f>
        <v>explodes</v>
      </c>
    </row>
    <row r="4430">
      <c r="A4430" s="1" t="s">
        <v>4430</v>
      </c>
      <c r="B4430" s="2" t="str">
        <f>IFERROR(__xludf.DUMMYFUNCTION("GOOGLETRANSLATE(A4430, ""de"", ""en"")"),"niece")</f>
        <v>niece</v>
      </c>
    </row>
    <row r="4431">
      <c r="A4431" s="1" t="s">
        <v>4431</v>
      </c>
      <c r="B4431" s="2" t="str">
        <f>IFERROR(__xludf.DUMMYFUNCTION("GOOGLETRANSLATE(A4431, ""de"", ""en"")"),"waive")</f>
        <v>waive</v>
      </c>
    </row>
    <row r="4432">
      <c r="A4432" s="1" t="s">
        <v>4432</v>
      </c>
      <c r="B4432" s="2" t="str">
        <f>IFERROR(__xludf.DUMMYFUNCTION("GOOGLETRANSLATE(A4432, ""de"", ""en"")"),"Steven")</f>
        <v>Steven</v>
      </c>
    </row>
    <row r="4433">
      <c r="A4433" s="1" t="s">
        <v>4433</v>
      </c>
      <c r="B4433" s="2" t="str">
        <f>IFERROR(__xludf.DUMMYFUNCTION("GOOGLETRANSLATE(A4433, ""de"", ""en"")"),"harris")</f>
        <v>harris</v>
      </c>
    </row>
    <row r="4434">
      <c r="A4434" s="1" t="s">
        <v>4434</v>
      </c>
      <c r="B4434" s="2" t="str">
        <f>IFERROR(__xludf.DUMMYFUNCTION("GOOGLETRANSLATE(A4434, ""de"", ""en"")"),"existence")</f>
        <v>existence</v>
      </c>
    </row>
    <row r="4435">
      <c r="A4435" s="1" t="s">
        <v>4435</v>
      </c>
      <c r="B4435" s="2" t="str">
        <f>IFERROR(__xludf.DUMMYFUNCTION("GOOGLETRANSLATE(A4435, ""de"", ""en"")"),"script")</f>
        <v>script</v>
      </c>
    </row>
    <row r="4436">
      <c r="A4436" s="1" t="s">
        <v>4436</v>
      </c>
      <c r="B4436" s="2" t="str">
        <f>IFERROR(__xludf.DUMMYFUNCTION("GOOGLETRANSLATE(A4436, ""de"", ""en"")"),"football")</f>
        <v>football</v>
      </c>
    </row>
    <row r="4437">
      <c r="A4437" s="1" t="s">
        <v>4437</v>
      </c>
      <c r="B4437" s="2" t="str">
        <f>IFERROR(__xludf.DUMMYFUNCTION("GOOGLETRANSLATE(A4437, ""de"", ""en"")"),"to view")</f>
        <v>to view</v>
      </c>
    </row>
    <row r="4438">
      <c r="A4438" s="1" t="s">
        <v>4438</v>
      </c>
      <c r="B4438" s="2" t="str">
        <f>IFERROR(__xludf.DUMMYFUNCTION("GOOGLETRANSLATE(A4438, ""de"", ""en"")"),"fainted")</f>
        <v>fainted</v>
      </c>
    </row>
    <row r="4439">
      <c r="A4439" s="1" t="s">
        <v>4439</v>
      </c>
      <c r="B4439" s="2" t="str">
        <f>IFERROR(__xludf.DUMMYFUNCTION("GOOGLETRANSLATE(A4439, ""de"", ""en"")"),"fence")</f>
        <v>fence</v>
      </c>
    </row>
    <row r="4440">
      <c r="A4440" s="1" t="s">
        <v>4440</v>
      </c>
      <c r="B4440" s="2" t="str">
        <f>IFERROR(__xludf.DUMMYFUNCTION("GOOGLETRANSLATE(A4440, ""de"", ""en"")"),"Anthony")</f>
        <v>Anthony</v>
      </c>
    </row>
    <row r="4441">
      <c r="A4441" s="1" t="s">
        <v>4441</v>
      </c>
      <c r="B4441" s="2" t="str">
        <f>IFERROR(__xludf.DUMMYFUNCTION("GOOGLETRANSLATE(A4441, ""de"", ""en"")"),"loaded")</f>
        <v>loaded</v>
      </c>
    </row>
    <row r="4442">
      <c r="A4442" s="1" t="s">
        <v>4442</v>
      </c>
      <c r="B4442" s="2" t="str">
        <f>IFERROR(__xludf.DUMMYFUNCTION("GOOGLETRANSLATE(A4442, ""de"", ""en"")"),"looks")</f>
        <v>looks</v>
      </c>
    </row>
    <row r="4443">
      <c r="A4443" s="1" t="s">
        <v>4443</v>
      </c>
      <c r="B4443" s="2" t="str">
        <f>IFERROR(__xludf.DUMMYFUNCTION("GOOGLETRANSLATE(A4443, ""de"", ""en"")"),"private")</f>
        <v>private</v>
      </c>
    </row>
    <row r="4444">
      <c r="A4444" s="1" t="s">
        <v>4444</v>
      </c>
      <c r="B4444" s="2" t="str">
        <f>IFERROR(__xludf.DUMMYFUNCTION("GOOGLETRANSLATE(A4444, ""de"", ""en"")"),"peg")</f>
        <v>peg</v>
      </c>
    </row>
    <row r="4445">
      <c r="A4445" s="1" t="s">
        <v>4445</v>
      </c>
      <c r="B4445" s="2" t="str">
        <f>IFERROR(__xludf.DUMMYFUNCTION("GOOGLETRANSLATE(A4445, ""de"", ""en"")"),"needed")</f>
        <v>needed</v>
      </c>
    </row>
    <row r="4446">
      <c r="A4446" s="1" t="s">
        <v>4446</v>
      </c>
      <c r="B4446" s="2" t="str">
        <f>IFERROR(__xludf.DUMMYFUNCTION("GOOGLETRANSLATE(A4446, ""de"", ""en"")"),"Liam")</f>
        <v>Liam</v>
      </c>
    </row>
    <row r="4447">
      <c r="A4447" s="1" t="s">
        <v>4447</v>
      </c>
      <c r="B4447" s="2" t="str">
        <f>IFERROR(__xludf.DUMMYFUNCTION("GOOGLETRANSLATE(A4447, ""de"", ""en"")"),"Heb")</f>
        <v>Heb</v>
      </c>
    </row>
    <row r="4448">
      <c r="A4448" s="1" t="s">
        <v>4448</v>
      </c>
      <c r="B4448" s="2" t="str">
        <f>IFERROR(__xludf.DUMMYFUNCTION("GOOGLETRANSLATE(A4448, ""de"", ""en"")"),"Virginia")</f>
        <v>Virginia</v>
      </c>
    </row>
    <row r="4449">
      <c r="A4449" s="1" t="s">
        <v>4449</v>
      </c>
      <c r="B4449" s="2" t="str">
        <f>IFERROR(__xludf.DUMMYFUNCTION("GOOGLETRANSLATE(A4449, ""de"", ""en"")"),"guard")</f>
        <v>guard</v>
      </c>
    </row>
    <row r="4450">
      <c r="A4450" s="1" t="s">
        <v>4450</v>
      </c>
      <c r="B4450" s="2" t="str">
        <f>IFERROR(__xludf.DUMMYFUNCTION("GOOGLETRANSLATE(A4450, ""de"", ""en"")"),"bucket")</f>
        <v>bucket</v>
      </c>
    </row>
    <row r="4451">
      <c r="A4451" s="1" t="s">
        <v>4451</v>
      </c>
      <c r="B4451" s="2" t="str">
        <f>IFERROR(__xludf.DUMMYFUNCTION("GOOGLETRANSLATE(A4451, ""de"", ""en"")"),"blow")</f>
        <v>blow</v>
      </c>
    </row>
    <row r="4452">
      <c r="A4452" s="1" t="s">
        <v>4452</v>
      </c>
      <c r="B4452" s="2" t="str">
        <f>IFERROR(__xludf.DUMMYFUNCTION("GOOGLETRANSLATE(A4452, ""de"", ""en"")"),"rocket")</f>
        <v>rocket</v>
      </c>
    </row>
    <row r="4453">
      <c r="A4453" s="1" t="s">
        <v>4453</v>
      </c>
      <c r="B4453" s="2" t="str">
        <f>IFERROR(__xludf.DUMMYFUNCTION("GOOGLETRANSLATE(A4453, ""de"", ""en"")"),"salt")</f>
        <v>salt</v>
      </c>
    </row>
    <row r="4454">
      <c r="A4454" s="1" t="s">
        <v>4454</v>
      </c>
      <c r="B4454" s="2" t="str">
        <f>IFERROR(__xludf.DUMMYFUNCTION("GOOGLETRANSLATE(A4454, ""de"", ""en"")"),"unfair")</f>
        <v>unfair</v>
      </c>
    </row>
    <row r="4455">
      <c r="A4455" s="1" t="s">
        <v>4455</v>
      </c>
      <c r="B4455" s="2" t="str">
        <f>IFERROR(__xludf.DUMMYFUNCTION("GOOGLETRANSLATE(A4455, ""de"", ""en"")"),"forgive")</f>
        <v>forgive</v>
      </c>
    </row>
    <row r="4456">
      <c r="A4456" s="1" t="s">
        <v>4456</v>
      </c>
      <c r="B4456" s="2" t="str">
        <f>IFERROR(__xludf.DUMMYFUNCTION("GOOGLETRANSLATE(A4456, ""de"", ""en"")"),"donkey")</f>
        <v>donkey</v>
      </c>
    </row>
    <row r="4457">
      <c r="A4457" s="1" t="s">
        <v>4457</v>
      </c>
      <c r="B4457" s="2" t="str">
        <f>IFERROR(__xludf.DUMMYFUNCTION("GOOGLETRANSLATE(A4457, ""de"", ""en"")"),"nurse")</f>
        <v>nurse</v>
      </c>
    </row>
    <row r="4458">
      <c r="A4458" s="1" t="s">
        <v>4458</v>
      </c>
      <c r="B4458" s="2" t="str">
        <f>IFERROR(__xludf.DUMMYFUNCTION("GOOGLETRANSLATE(A4458, ""de"", ""en"")"),"symbol")</f>
        <v>symbol</v>
      </c>
    </row>
    <row r="4459">
      <c r="A4459" s="1" t="s">
        <v>4459</v>
      </c>
      <c r="B4459" s="2" t="str">
        <f>IFERROR(__xludf.DUMMYFUNCTION("GOOGLETRANSLATE(A4459, ""de"", ""en"")"),"decides")</f>
        <v>decides</v>
      </c>
    </row>
    <row r="4460">
      <c r="A4460" s="1" t="s">
        <v>4460</v>
      </c>
      <c r="B4460" s="2" t="str">
        <f>IFERROR(__xludf.DUMMYFUNCTION("GOOGLETRANSLATE(A4460, ""de"", ""en"")"),"vehicle")</f>
        <v>vehicle</v>
      </c>
    </row>
    <row r="4461">
      <c r="A4461" s="1" t="s">
        <v>4461</v>
      </c>
      <c r="B4461" s="2" t="str">
        <f>IFERROR(__xludf.DUMMYFUNCTION("GOOGLETRANSLATE(A4461, ""de"", ""en"")"),"underwear")</f>
        <v>underwear</v>
      </c>
    </row>
    <row r="4462">
      <c r="A4462" s="1" t="s">
        <v>4462</v>
      </c>
      <c r="B4462" s="2" t="str">
        <f>IFERROR(__xludf.DUMMYFUNCTION("GOOGLETRANSLATE(A4462, ""de"", ""en"")"),"considered")</f>
        <v>considered</v>
      </c>
    </row>
    <row r="4463">
      <c r="A4463" s="1" t="s">
        <v>4463</v>
      </c>
      <c r="B4463" s="2" t="str">
        <f>IFERROR(__xludf.DUMMYFUNCTION("GOOGLETRANSLATE(A4463, ""de"", ""en"")"),"farmers")</f>
        <v>farmers</v>
      </c>
    </row>
    <row r="4464">
      <c r="A4464" s="1" t="s">
        <v>4464</v>
      </c>
      <c r="B4464" s="2" t="str">
        <f>IFERROR(__xludf.DUMMYFUNCTION("GOOGLETRANSLATE(A4464, ""de"", ""en"")"),"English")</f>
        <v>English</v>
      </c>
    </row>
    <row r="4465">
      <c r="A4465" s="1" t="s">
        <v>4465</v>
      </c>
      <c r="B4465" s="2" t="str">
        <f>IFERROR(__xludf.DUMMYFUNCTION("GOOGLETRANSLATE(A4465, ""de"", ""en"")"),"waited")</f>
        <v>waited</v>
      </c>
    </row>
    <row r="4466">
      <c r="A4466" s="1" t="s">
        <v>4466</v>
      </c>
      <c r="B4466" s="2" t="str">
        <f>IFERROR(__xludf.DUMMYFUNCTION("GOOGLETRANSLATE(A4466, ""de"", ""en"")"),"look")</f>
        <v>look</v>
      </c>
    </row>
    <row r="4467">
      <c r="A4467" s="1" t="s">
        <v>4467</v>
      </c>
      <c r="B4467" s="2" t="str">
        <f>IFERROR(__xludf.DUMMYFUNCTION("GOOGLETRANSLATE(A4467, ""de"", ""en"")"),"enjoyed")</f>
        <v>enjoyed</v>
      </c>
    </row>
    <row r="4468">
      <c r="A4468" s="1" t="s">
        <v>4468</v>
      </c>
      <c r="B4468" s="2" t="str">
        <f>IFERROR(__xludf.DUMMYFUNCTION("GOOGLETRANSLATE(A4468, ""de"", ""en"")"),"drops")</f>
        <v>drops</v>
      </c>
    </row>
    <row r="4469">
      <c r="A4469" s="1" t="s">
        <v>4469</v>
      </c>
      <c r="B4469" s="2" t="str">
        <f>IFERROR(__xludf.DUMMYFUNCTION("GOOGLETRANSLATE(A4469, ""de"", ""en"")"),"tried")</f>
        <v>tried</v>
      </c>
    </row>
    <row r="4470">
      <c r="A4470" s="1" t="s">
        <v>4470</v>
      </c>
      <c r="B4470" s="2" t="str">
        <f>IFERROR(__xludf.DUMMYFUNCTION("GOOGLETRANSLATE(A4470, ""de"", ""en"")"),"spock")</f>
        <v>spock</v>
      </c>
    </row>
    <row r="4471">
      <c r="A4471" s="1" t="s">
        <v>4471</v>
      </c>
      <c r="B4471" s="2" t="str">
        <f>IFERROR(__xludf.DUMMYFUNCTION("GOOGLETRANSLATE(A4471, ""de"", ""en"")"),"cafe")</f>
        <v>cafe</v>
      </c>
    </row>
    <row r="4472">
      <c r="A4472" s="1" t="s">
        <v>4472</v>
      </c>
      <c r="B4472" s="2" t="str">
        <f>IFERROR(__xludf.DUMMYFUNCTION("GOOGLETRANSLATE(A4472, ""de"", ""en"")"),"starvation")</f>
        <v>starvation</v>
      </c>
    </row>
    <row r="4473">
      <c r="A4473" s="1" t="s">
        <v>4473</v>
      </c>
      <c r="B4473" s="2" t="str">
        <f>IFERROR(__xludf.DUMMYFUNCTION("GOOGLETRANSLATE(A4473, ""de"", ""en"")"),"tried")</f>
        <v>tried</v>
      </c>
    </row>
    <row r="4474">
      <c r="A4474" s="1" t="s">
        <v>4474</v>
      </c>
      <c r="B4474" s="2" t="str">
        <f>IFERROR(__xludf.DUMMYFUNCTION("GOOGLETRANSLATE(A4474, ""de"", ""en"")"),"mothers")</f>
        <v>mothers</v>
      </c>
    </row>
    <row r="4475">
      <c r="A4475" s="1" t="s">
        <v>4475</v>
      </c>
      <c r="B4475" s="2" t="str">
        <f>IFERROR(__xludf.DUMMYFUNCTION("GOOGLETRANSLATE(A4475, ""de"", ""en"")"),"September")</f>
        <v>September</v>
      </c>
    </row>
    <row r="4476">
      <c r="A4476" s="1" t="s">
        <v>4476</v>
      </c>
      <c r="B4476" s="2" t="str">
        <f>IFERROR(__xludf.DUMMYFUNCTION("GOOGLETRANSLATE(A4476, ""de"", ""en"")"),"action")</f>
        <v>action</v>
      </c>
    </row>
    <row r="4477">
      <c r="A4477" s="1" t="s">
        <v>4477</v>
      </c>
      <c r="B4477" s="2" t="str">
        <f>IFERROR(__xludf.DUMMYFUNCTION("GOOGLETRANSLATE(A4477, ""de"", ""en"")"),"passed")</f>
        <v>passed</v>
      </c>
    </row>
    <row r="4478">
      <c r="A4478" s="1" t="s">
        <v>4478</v>
      </c>
      <c r="B4478" s="2" t="str">
        <f>IFERROR(__xludf.DUMMYFUNCTION("GOOGLETRANSLATE(A4478, ""de"", ""en"")"),"hair")</f>
        <v>hair</v>
      </c>
    </row>
    <row r="4479">
      <c r="A4479" s="1" t="s">
        <v>4479</v>
      </c>
      <c r="B4479" s="2" t="str">
        <f>IFERROR(__xludf.DUMMYFUNCTION("GOOGLETRANSLATE(A4479, ""de"", ""en"")"),"Louise")</f>
        <v>Louise</v>
      </c>
    </row>
    <row r="4480">
      <c r="A4480" s="1" t="s">
        <v>4480</v>
      </c>
      <c r="B4480" s="2" t="str">
        <f>IFERROR(__xludf.DUMMYFUNCTION("GOOGLETRANSLATE(A4480, ""de"", ""en"")"),"sobs")</f>
        <v>sobs</v>
      </c>
    </row>
    <row r="4481">
      <c r="A4481" s="1" t="s">
        <v>4481</v>
      </c>
      <c r="B4481" s="2" t="str">
        <f>IFERROR(__xludf.DUMMYFUNCTION("GOOGLETRANSLATE(A4481, ""de"", ""en"")"),"exaggerated")</f>
        <v>exaggerated</v>
      </c>
    </row>
    <row r="4482">
      <c r="A4482" s="1" t="s">
        <v>4482</v>
      </c>
      <c r="B4482" s="2" t="str">
        <f>IFERROR(__xludf.DUMMYFUNCTION("GOOGLETRANSLATE(A4482, ""de"", ""en"")"),"remedies")</f>
        <v>remedies</v>
      </c>
    </row>
    <row r="4483">
      <c r="A4483" s="1" t="s">
        <v>4483</v>
      </c>
      <c r="B4483" s="2" t="str">
        <f>IFERROR(__xludf.DUMMYFUNCTION("GOOGLETRANSLATE(A4483, ""de"", ""en"")"),"apparatus")</f>
        <v>apparatus</v>
      </c>
    </row>
    <row r="4484">
      <c r="A4484" s="1" t="s">
        <v>4484</v>
      </c>
      <c r="B4484" s="2" t="str">
        <f>IFERROR(__xludf.DUMMYFUNCTION("GOOGLETRANSLATE(A4484, ""de"", ""en"")"),"before")</f>
        <v>before</v>
      </c>
    </row>
    <row r="4485">
      <c r="A4485" s="1" t="s">
        <v>4485</v>
      </c>
      <c r="B4485" s="2" t="str">
        <f>IFERROR(__xludf.DUMMYFUNCTION("GOOGLETRANSLATE(A4485, ""de"", ""en"")"),"peaceful")</f>
        <v>peaceful</v>
      </c>
    </row>
    <row r="4486">
      <c r="A4486" s="1" t="s">
        <v>4486</v>
      </c>
      <c r="B4486" s="2" t="str">
        <f>IFERROR(__xludf.DUMMYFUNCTION("GOOGLETRANSLATE(A4486, ""de"", ""en"")"),"correct")</f>
        <v>correct</v>
      </c>
    </row>
    <row r="4487">
      <c r="A4487" s="1" t="s">
        <v>4487</v>
      </c>
      <c r="B4487" s="2" t="str">
        <f>IFERROR(__xludf.DUMMYFUNCTION("GOOGLETRANSLATE(A4487, ""de"", ""en"")"),"viewers")</f>
        <v>viewers</v>
      </c>
    </row>
    <row r="4488">
      <c r="A4488" s="1" t="s">
        <v>4488</v>
      </c>
      <c r="B4488" s="2" t="str">
        <f>IFERROR(__xludf.DUMMYFUNCTION("GOOGLETRANSLATE(A4488, ""de"", ""en"")"),"teenager")</f>
        <v>teenager</v>
      </c>
    </row>
    <row r="4489">
      <c r="A4489" s="1" t="s">
        <v>4489</v>
      </c>
      <c r="B4489" s="2" t="str">
        <f>IFERROR(__xludf.DUMMYFUNCTION("GOOGLETRANSLATE(A4489, ""de"", ""en"")"),"delivered")</f>
        <v>delivered</v>
      </c>
    </row>
    <row r="4490">
      <c r="A4490" s="1" t="s">
        <v>4490</v>
      </c>
      <c r="B4490" s="2" t="str">
        <f>IFERROR(__xludf.DUMMYFUNCTION("GOOGLETRANSLATE(A4490, ""de"", ""en"")"),"may")</f>
        <v>may</v>
      </c>
    </row>
    <row r="4491">
      <c r="A4491" s="1" t="s">
        <v>4491</v>
      </c>
      <c r="B4491" s="2" t="str">
        <f>IFERROR(__xludf.DUMMYFUNCTION("GOOGLETRANSLATE(A4491, ""de"", ""en"")"),"argued")</f>
        <v>argued</v>
      </c>
    </row>
    <row r="4492">
      <c r="A4492" s="1" t="s">
        <v>4492</v>
      </c>
      <c r="B4492" s="2" t="str">
        <f>IFERROR(__xludf.DUMMYFUNCTION("GOOGLETRANSLATE(A4492, ""de"", ""en"")"),"mouse")</f>
        <v>mouse</v>
      </c>
    </row>
    <row r="4493">
      <c r="A4493" s="1" t="s">
        <v>4493</v>
      </c>
      <c r="B4493" s="2" t="str">
        <f>IFERROR(__xludf.DUMMYFUNCTION("GOOGLETRANSLATE(A4493, ""de"", ""en"")"),"only ")</f>
        <v>only </v>
      </c>
    </row>
    <row r="4494">
      <c r="A4494" s="1" t="s">
        <v>4494</v>
      </c>
      <c r="B4494" s="2" t="str">
        <f>IFERROR(__xludf.DUMMYFUNCTION("GOOGLETRANSLATE(A4494, ""de"", ""en"")"),"character")</f>
        <v>character</v>
      </c>
    </row>
    <row r="4495">
      <c r="A4495" s="1" t="s">
        <v>4495</v>
      </c>
      <c r="B4495" s="2" t="str">
        <f>IFERROR(__xludf.DUMMYFUNCTION("GOOGLETRANSLATE(A4495, ""de"", ""en"")"),"riley")</f>
        <v>riley</v>
      </c>
    </row>
    <row r="4496">
      <c r="A4496" s="1" t="s">
        <v>4496</v>
      </c>
      <c r="B4496" s="2" t="str">
        <f>IFERROR(__xludf.DUMMYFUNCTION("GOOGLETRANSLATE(A4496, ""de"", ""en"")"),"cool")</f>
        <v>cool</v>
      </c>
    </row>
    <row r="4497">
      <c r="A4497" s="1" t="s">
        <v>4497</v>
      </c>
      <c r="B4497" s="2" t="str">
        <f>IFERROR(__xludf.DUMMYFUNCTION("GOOGLETRANSLATE(A4497, ""de"", ""en"")"),"further")</f>
        <v>further</v>
      </c>
    </row>
    <row r="4498">
      <c r="A4498" s="1" t="s">
        <v>4498</v>
      </c>
      <c r="B4498" s="2" t="str">
        <f>IFERROR(__xludf.DUMMYFUNCTION("GOOGLETRANSLATE(A4498, ""de"", ""en"")"),"group")</f>
        <v>group</v>
      </c>
    </row>
    <row r="4499">
      <c r="A4499" s="1" t="s">
        <v>4499</v>
      </c>
      <c r="B4499" s="2" t="str">
        <f>IFERROR(__xludf.DUMMYFUNCTION("GOOGLETRANSLATE(A4499, ""de"", ""en"")"),"ricky")</f>
        <v>ricky</v>
      </c>
    </row>
    <row r="4500">
      <c r="A4500" s="1" t="s">
        <v>4500</v>
      </c>
      <c r="B4500" s="2" t="str">
        <f>IFERROR(__xludf.DUMMYFUNCTION("GOOGLETRANSLATE(A4500, ""de"", ""en"")"),"Diana")</f>
        <v>Diana</v>
      </c>
    </row>
    <row r="4501">
      <c r="A4501" s="1" t="s">
        <v>4501</v>
      </c>
      <c r="B4501" s="2" t="str">
        <f>IFERROR(__xludf.DUMMYFUNCTION("GOOGLETRANSLATE(A4501, ""de"", ""en"")"),"noises")</f>
        <v>noises</v>
      </c>
    </row>
    <row r="4502">
      <c r="A4502" s="1" t="s">
        <v>4502</v>
      </c>
      <c r="B4502" s="2" t="str">
        <f>IFERROR(__xludf.DUMMYFUNCTION("GOOGLETRANSLATE(A4502, ""de"", ""en"")"),"lights")</f>
        <v>lights</v>
      </c>
    </row>
    <row r="4503">
      <c r="A4503" s="1" t="s">
        <v>4503</v>
      </c>
      <c r="B4503" s="2" t="str">
        <f>IFERROR(__xludf.DUMMYFUNCTION("GOOGLETRANSLATE(A4503, ""de"", ""en"")"),"strengthen")</f>
        <v>strengthen</v>
      </c>
    </row>
    <row r="4504">
      <c r="A4504" s="1" t="s">
        <v>4504</v>
      </c>
      <c r="B4504" s="2" t="str">
        <f>IFERROR(__xludf.DUMMYFUNCTION("GOOGLETRANSLATE(A4504, ""de"", ""en"")"),"dexter")</f>
        <v>dexter</v>
      </c>
    </row>
    <row r="4505">
      <c r="A4505" s="1" t="s">
        <v>4505</v>
      </c>
      <c r="B4505" s="2" t="str">
        <f>IFERROR(__xludf.DUMMYFUNCTION("GOOGLETRANSLATE(A4505, ""de"", ""en"")"),"squadron")</f>
        <v>squadron</v>
      </c>
    </row>
    <row r="4506">
      <c r="A4506" s="1" t="s">
        <v>4506</v>
      </c>
      <c r="B4506" s="2" t="str">
        <f>IFERROR(__xludf.DUMMYFUNCTION("GOOGLETRANSLATE(A4506, ""de"", ""en"")"),"bottles")</f>
        <v>bottles</v>
      </c>
    </row>
    <row r="4507">
      <c r="A4507" s="1" t="s">
        <v>4507</v>
      </c>
      <c r="B4507" s="2" t="str">
        <f>IFERROR(__xludf.DUMMYFUNCTION("GOOGLETRANSLATE(A4507, ""de"", ""en"")"),"cleaning")</f>
        <v>cleaning</v>
      </c>
    </row>
    <row r="4508">
      <c r="A4508" s="1" t="s">
        <v>4508</v>
      </c>
      <c r="B4508" s="2" t="str">
        <f>IFERROR(__xludf.DUMMYFUNCTION("GOOGLETRANSLATE(A4508, ""de"", ""en"")"),"burglary")</f>
        <v>burglary</v>
      </c>
    </row>
    <row r="4509">
      <c r="A4509" s="1" t="s">
        <v>4509</v>
      </c>
      <c r="B4509" s="2" t="str">
        <f>IFERROR(__xludf.DUMMYFUNCTION("GOOGLETRANSLATE(A4509, ""de"", ""en"")"),"healed")</f>
        <v>healed</v>
      </c>
    </row>
    <row r="4510">
      <c r="A4510" s="1" t="s">
        <v>4510</v>
      </c>
      <c r="B4510" s="2" t="str">
        <f>IFERROR(__xludf.DUMMYFUNCTION("GOOGLETRANSLATE(A4510, ""de"", ""en"")"),"bite")</f>
        <v>bite</v>
      </c>
    </row>
    <row r="4511">
      <c r="A4511" s="1" t="s">
        <v>4511</v>
      </c>
      <c r="B4511" s="2" t="str">
        <f>IFERROR(__xludf.DUMMYFUNCTION("GOOGLETRANSLATE(A4511, ""de"", ""en"")"),"Nicole")</f>
        <v>Nicole</v>
      </c>
    </row>
    <row r="4512">
      <c r="A4512" s="1" t="s">
        <v>4512</v>
      </c>
      <c r="B4512" s="2" t="str">
        <f>IFERROR(__xludf.DUMMYFUNCTION("GOOGLETRANSLATE(A4512, ""de"", ""en"")"),"come from")</f>
        <v>come from</v>
      </c>
    </row>
    <row r="4513">
      <c r="A4513" s="1" t="s">
        <v>4513</v>
      </c>
      <c r="B4513" s="2" t="str">
        <f>IFERROR(__xludf.DUMMYFUNCTION("GOOGLETRANSLATE(A4513, ""de"", ""en"")"),"walls")</f>
        <v>walls</v>
      </c>
    </row>
    <row r="4514">
      <c r="A4514" s="1" t="s">
        <v>4514</v>
      </c>
      <c r="B4514" s="2" t="str">
        <f>IFERROR(__xludf.DUMMYFUNCTION("GOOGLETRANSLATE(A4514, ""de"", ""en"")"),"fear")</f>
        <v>fear</v>
      </c>
    </row>
    <row r="4515">
      <c r="A4515" s="1" t="s">
        <v>4515</v>
      </c>
      <c r="B4515" s="2" t="str">
        <f>IFERROR(__xludf.DUMMYFUNCTION("GOOGLETRANSLATE(A4515, ""de"", ""en"")"),"costume")</f>
        <v>costume</v>
      </c>
    </row>
    <row r="4516">
      <c r="A4516" s="1" t="s">
        <v>4516</v>
      </c>
      <c r="B4516" s="2" t="str">
        <f>IFERROR(__xludf.DUMMYFUNCTION("GOOGLETRANSLATE(A4516, ""de"", ""en"")"),"warren")</f>
        <v>warren</v>
      </c>
    </row>
    <row r="4517">
      <c r="A4517" s="1" t="s">
        <v>4517</v>
      </c>
      <c r="B4517" s="2" t="str">
        <f>IFERROR(__xludf.DUMMYFUNCTION("GOOGLETRANSLATE(A4517, ""de"", ""en"")"),"greet")</f>
        <v>greet</v>
      </c>
    </row>
    <row r="4518">
      <c r="A4518" s="1" t="s">
        <v>4518</v>
      </c>
      <c r="B4518" s="2" t="str">
        <f>IFERROR(__xludf.DUMMYFUNCTION("GOOGLETRANSLATE(A4518, ""de"", ""en"")"),"fail")</f>
        <v>fail</v>
      </c>
    </row>
    <row r="4519">
      <c r="A4519" s="1" t="s">
        <v>4519</v>
      </c>
      <c r="B4519" s="2" t="str">
        <f>IFERROR(__xludf.DUMMYFUNCTION("GOOGLETRANSLATE(A4519, ""de"", ""en"")"),"taken over")</f>
        <v>taken over</v>
      </c>
    </row>
    <row r="4520">
      <c r="A4520" s="1" t="s">
        <v>4520</v>
      </c>
      <c r="B4520" s="2" t="str">
        <f>IFERROR(__xludf.DUMMYFUNCTION("GOOGLETRANSLATE(A4520, ""de"", ""en"")"),"hoped")</f>
        <v>hoped</v>
      </c>
    </row>
    <row r="4521">
      <c r="A4521" s="1" t="s">
        <v>4521</v>
      </c>
      <c r="B4521" s="2" t="str">
        <f>IFERROR(__xludf.DUMMYFUNCTION("GOOGLETRANSLATE(A4521, ""de"", ""en"")"),"move")</f>
        <v>move</v>
      </c>
    </row>
    <row r="4522">
      <c r="A4522" s="1" t="s">
        <v>4522</v>
      </c>
      <c r="B4522" s="2" t="str">
        <f>IFERROR(__xludf.DUMMYFUNCTION("GOOGLETRANSLATE(A4522, ""de"", ""en"")"),"lateness")</f>
        <v>lateness</v>
      </c>
    </row>
    <row r="4523">
      <c r="A4523" s="1" t="s">
        <v>4523</v>
      </c>
      <c r="B4523" s="2" t="str">
        <f>IFERROR(__xludf.DUMMYFUNCTION("GOOGLETRANSLATE(A4523, ""de"", ""en"")"),"whiskey")</f>
        <v>whiskey</v>
      </c>
    </row>
    <row r="4524">
      <c r="A4524" s="1" t="s">
        <v>4524</v>
      </c>
      <c r="B4524" s="2" t="str">
        <f>IFERROR(__xludf.DUMMYFUNCTION("GOOGLETRANSLATE(A4524, ""de"", ""en"")"),"Mars")</f>
        <v>Mars</v>
      </c>
    </row>
    <row r="4525">
      <c r="A4525" s="1" t="s">
        <v>4525</v>
      </c>
      <c r="B4525" s="2" t="str">
        <f>IFERROR(__xludf.DUMMYFUNCTION("GOOGLETRANSLATE(A4525, ""de"", ""en"")"),"media")</f>
        <v>media</v>
      </c>
    </row>
    <row r="4526">
      <c r="A4526" s="1" t="s">
        <v>4526</v>
      </c>
      <c r="B4526" s="2" t="str">
        <f>IFERROR(__xludf.DUMMYFUNCTION("GOOGLETRANSLATE(A4526, ""de"", ""en"")"),"discover")</f>
        <v>discover</v>
      </c>
    </row>
    <row r="4527">
      <c r="A4527" s="1" t="s">
        <v>4527</v>
      </c>
      <c r="B4527" s="2" t="str">
        <f>IFERROR(__xludf.DUMMYFUNCTION("GOOGLETRANSLATE(A4527, ""de"", ""en"")"),"trust")</f>
        <v>trust</v>
      </c>
    </row>
    <row r="4528">
      <c r="A4528" s="1" t="s">
        <v>4528</v>
      </c>
      <c r="B4528" s="2" t="str">
        <f>IFERROR(__xludf.DUMMYFUNCTION("GOOGLETRANSLATE(A4528, ""de"", ""en"")"),"throne")</f>
        <v>throne</v>
      </c>
    </row>
    <row r="4529">
      <c r="A4529" s="1" t="s">
        <v>4529</v>
      </c>
      <c r="B4529" s="2" t="str">
        <f>IFERROR(__xludf.DUMMYFUNCTION("GOOGLETRANSLATE(A4529, ""de"", ""en"")"),"huge")</f>
        <v>huge</v>
      </c>
    </row>
    <row r="4530">
      <c r="A4530" s="1" t="s">
        <v>4530</v>
      </c>
      <c r="B4530" s="2" t="str">
        <f>IFERROR(__xludf.DUMMYFUNCTION("GOOGLETRANSLATE(A4530, ""de"", ""en"")"),"tent")</f>
        <v>tent</v>
      </c>
    </row>
    <row r="4531">
      <c r="A4531" s="1" t="s">
        <v>4531</v>
      </c>
      <c r="B4531" s="2" t="str">
        <f>IFERROR(__xludf.DUMMYFUNCTION("GOOGLETRANSLATE(A4531, ""de"", ""en"")"),"accent")</f>
        <v>accent</v>
      </c>
    </row>
    <row r="4532">
      <c r="A4532" s="1" t="s">
        <v>4532</v>
      </c>
      <c r="B4532" s="2" t="str">
        <f>IFERROR(__xludf.DUMMYFUNCTION("GOOGLETRANSLATE(A4532, ""de"", ""en"")"),"troop")</f>
        <v>troop</v>
      </c>
    </row>
    <row r="4533">
      <c r="A4533" s="1" t="s">
        <v>4533</v>
      </c>
      <c r="B4533" s="2" t="str">
        <f>IFERROR(__xludf.DUMMYFUNCTION("GOOGLETRANSLATE(A4533, ""de"", ""en"")"),"transmitted")</f>
        <v>transmitted</v>
      </c>
    </row>
    <row r="4534">
      <c r="A4534" s="1" t="s">
        <v>4534</v>
      </c>
      <c r="B4534" s="2" t="str">
        <f>IFERROR(__xludf.DUMMYFUNCTION("GOOGLETRANSLATE(A4534, ""de"", ""en"")"),"compliment")</f>
        <v>compliment</v>
      </c>
    </row>
    <row r="4535">
      <c r="A4535" s="1" t="s">
        <v>4535</v>
      </c>
      <c r="B4535" s="2" t="str">
        <f>IFERROR(__xludf.DUMMYFUNCTION("GOOGLETRANSLATE(A4535, ""de"", ""en"")"),"flame")</f>
        <v>flame</v>
      </c>
    </row>
    <row r="4536">
      <c r="A4536" s="1" t="s">
        <v>4536</v>
      </c>
      <c r="B4536" s="2" t="str">
        <f>IFERROR(__xludf.DUMMYFUNCTION("GOOGLETRANSLATE(A4536, ""de"", ""en"")"),"recognize")</f>
        <v>recognize</v>
      </c>
    </row>
    <row r="4537">
      <c r="A4537" s="1" t="s">
        <v>4537</v>
      </c>
      <c r="B4537" s="2" t="str">
        <f>IFERROR(__xludf.DUMMYFUNCTION("GOOGLETRANSLATE(A4537, ""de"", ""en"")"),"scare")</f>
        <v>scare</v>
      </c>
    </row>
    <row r="4538">
      <c r="A4538" s="1" t="s">
        <v>4538</v>
      </c>
      <c r="B4538" s="2" t="str">
        <f>IFERROR(__xludf.DUMMYFUNCTION("GOOGLETRANSLATE(A4538, ""de"", ""en"")"),"painting")</f>
        <v>painting</v>
      </c>
    </row>
    <row r="4539">
      <c r="A4539" s="1" t="s">
        <v>4539</v>
      </c>
      <c r="B4539" s="2" t="str">
        <f>IFERROR(__xludf.DUMMYFUNCTION("GOOGLETRANSLATE(A4539, ""de"", ""en"")"),"ari")</f>
        <v>ari</v>
      </c>
    </row>
    <row r="4540">
      <c r="A4540" s="1" t="s">
        <v>4540</v>
      </c>
      <c r="B4540" s="2" t="str">
        <f>IFERROR(__xludf.DUMMYFUNCTION("GOOGLETRANSLATE(A4540, ""de"", ""en"")"),"walt")</f>
        <v>walt</v>
      </c>
    </row>
    <row r="4541">
      <c r="A4541" s="1" t="s">
        <v>4541</v>
      </c>
      <c r="B4541" s="2" t="str">
        <f>IFERROR(__xludf.DUMMYFUNCTION("GOOGLETRANSLATE(A4541, ""de"", ""en"")"),"chip")</f>
        <v>chip</v>
      </c>
    </row>
    <row r="4542">
      <c r="A4542" s="1" t="s">
        <v>4542</v>
      </c>
      <c r="B4542" s="2" t="str">
        <f>IFERROR(__xludf.DUMMYFUNCTION("GOOGLETRANSLATE(A4542, ""de"", ""en"")"),"team")</f>
        <v>team</v>
      </c>
    </row>
    <row r="4543">
      <c r="A4543" s="1" t="s">
        <v>4543</v>
      </c>
      <c r="B4543" s="2" t="str">
        <f>IFERROR(__xludf.DUMMYFUNCTION("GOOGLETRANSLATE(A4543, ""de"", ""en"")"),"Cindy")</f>
        <v>Cindy</v>
      </c>
    </row>
    <row r="4544">
      <c r="A4544" s="1" t="s">
        <v>4544</v>
      </c>
      <c r="B4544" s="2" t="str">
        <f>IFERROR(__xludf.DUMMYFUNCTION("GOOGLETRANSLATE(A4544, ""de"", ""en"")"),"loyalty")</f>
        <v>loyalty</v>
      </c>
    </row>
    <row r="4545">
      <c r="A4545" s="1" t="s">
        <v>4545</v>
      </c>
      <c r="B4545" s="2" t="str">
        <f>IFERROR(__xludf.DUMMYFUNCTION("GOOGLETRANSLATE(A4545, ""de"", ""en"")"),"Benjamin")</f>
        <v>Benjamin</v>
      </c>
    </row>
    <row r="4546">
      <c r="A4546" s="1" t="s">
        <v>4546</v>
      </c>
      <c r="B4546" s="2" t="str">
        <f>IFERROR(__xludf.DUMMYFUNCTION("GOOGLETRANSLATE(A4546, ""de"", ""en"")"),"Thank you very much")</f>
        <v>Thank you very much</v>
      </c>
    </row>
    <row r="4547">
      <c r="A4547" s="1" t="s">
        <v>4547</v>
      </c>
      <c r="B4547" s="2" t="str">
        <f>IFERROR(__xludf.DUMMYFUNCTION("GOOGLETRANSLATE(A4547, ""de"", ""en"")"),"represent")</f>
        <v>represent</v>
      </c>
    </row>
    <row r="4548">
      <c r="A4548" s="1" t="s">
        <v>4548</v>
      </c>
      <c r="B4548" s="2" t="str">
        <f>IFERROR(__xludf.DUMMYFUNCTION("GOOGLETRANSLATE(A4548, ""de"", ""en"")"),"negotiation")</f>
        <v>negotiation</v>
      </c>
    </row>
    <row r="4549">
      <c r="A4549" s="1" t="s">
        <v>4549</v>
      </c>
      <c r="B4549" s="2" t="str">
        <f>IFERROR(__xludf.DUMMYFUNCTION("GOOGLETRANSLATE(A4549, ""de"", ""en"")"),"learn")</f>
        <v>learn</v>
      </c>
    </row>
    <row r="4550">
      <c r="A4550" s="1" t="s">
        <v>4550</v>
      </c>
      <c r="B4550" s="2" t="str">
        <f>IFERROR(__xludf.DUMMYFUNCTION("GOOGLETRANSLATE(A4550, ""de"", ""en"")"),"roars")</f>
        <v>roars</v>
      </c>
    </row>
    <row r="4551">
      <c r="A4551" s="1" t="s">
        <v>4551</v>
      </c>
      <c r="B4551" s="2" t="str">
        <f>IFERROR(__xludf.DUMMYFUNCTION("GOOGLETRANSLATE(A4551, ""de"", ""en"")"),"fill")</f>
        <v>fill</v>
      </c>
    </row>
    <row r="4552">
      <c r="A4552" s="1" t="s">
        <v>4552</v>
      </c>
      <c r="B4552" s="2" t="str">
        <f>IFERROR(__xludf.DUMMYFUNCTION("GOOGLETRANSLATE(A4552, ""de"", ""en"")"),"ultimately")</f>
        <v>ultimately</v>
      </c>
    </row>
    <row r="4553">
      <c r="A4553" s="1" t="s">
        <v>4553</v>
      </c>
      <c r="B4553" s="2" t="str">
        <f>IFERROR(__xludf.DUMMYFUNCTION("GOOGLETRANSLATE(A4553, ""de"", ""en"")"),"crisis")</f>
        <v>crisis</v>
      </c>
    </row>
    <row r="4554">
      <c r="A4554" s="1" t="s">
        <v>4554</v>
      </c>
      <c r="B4554" s="2" t="str">
        <f>IFERROR(__xludf.DUMMYFUNCTION("GOOGLETRANSLATE(A4554, ""de"", ""en"")"),"loser")</f>
        <v>loser</v>
      </c>
    </row>
    <row r="4555">
      <c r="A4555" s="1" t="s">
        <v>4555</v>
      </c>
      <c r="B4555" s="2" t="str">
        <f>IFERROR(__xludf.DUMMYFUNCTION("GOOGLETRANSLATE(A4555, ""de"", ""en"")"),"spencer")</f>
        <v>spencer</v>
      </c>
    </row>
    <row r="4556">
      <c r="A4556" s="1" t="s">
        <v>4556</v>
      </c>
      <c r="B4556" s="2" t="str">
        <f>IFERROR(__xludf.DUMMYFUNCTION("GOOGLETRANSLATE(A4556, ""de"", ""en"")"),"with")</f>
        <v>with</v>
      </c>
    </row>
    <row r="4557">
      <c r="A4557" s="1" t="s">
        <v>4557</v>
      </c>
      <c r="B4557" s="2" t="str">
        <f>IFERROR(__xludf.DUMMYFUNCTION("GOOGLETRANSLATE(A4557, ""de"", ""en"")"),"cookies")</f>
        <v>cookies</v>
      </c>
    </row>
    <row r="4558">
      <c r="A4558" s="1" t="s">
        <v>4558</v>
      </c>
      <c r="B4558" s="2" t="str">
        <f>IFERROR(__xludf.DUMMYFUNCTION("GOOGLETRANSLATE(A4558, ""de"", ""en"")"),"turn off")</f>
        <v>turn off</v>
      </c>
    </row>
    <row r="4559">
      <c r="A4559" s="1" t="s">
        <v>4559</v>
      </c>
      <c r="B4559" s="2" t="str">
        <f>IFERROR(__xludf.DUMMYFUNCTION("GOOGLETRANSLATE(A4559, ""de"", ""en"")"),"penis")</f>
        <v>penis</v>
      </c>
    </row>
    <row r="4560">
      <c r="A4560" s="1" t="s">
        <v>4560</v>
      </c>
      <c r="B4560" s="2" t="str">
        <f>IFERROR(__xludf.DUMMYFUNCTION("GOOGLETRANSLATE(A4560, ""de"", ""en"")"),"professional")</f>
        <v>professional</v>
      </c>
    </row>
    <row r="4561">
      <c r="A4561" s="1" t="s">
        <v>4561</v>
      </c>
      <c r="B4561" s="2" t="str">
        <f>IFERROR(__xludf.DUMMYFUNCTION("GOOGLETRANSLATE(A4561, ""de"", ""en"")"),"whiskey")</f>
        <v>whiskey</v>
      </c>
    </row>
    <row r="4562">
      <c r="A4562" s="1" t="s">
        <v>4562</v>
      </c>
      <c r="B4562" s="2" t="str">
        <f>IFERROR(__xludf.DUMMYFUNCTION("GOOGLETRANSLATE(A4562, ""de"", ""en"")"),"do")</f>
        <v>do</v>
      </c>
    </row>
    <row r="4563">
      <c r="A4563" s="1" t="s">
        <v>4563</v>
      </c>
      <c r="B4563" s="2" t="str">
        <f>IFERROR(__xludf.DUMMYFUNCTION("GOOGLETRANSLATE(A4563, ""de"", ""en"")"),"laughter")</f>
        <v>laughter</v>
      </c>
    </row>
    <row r="4564">
      <c r="A4564" s="1" t="s">
        <v>4564</v>
      </c>
      <c r="B4564" s="2" t="str">
        <f>IFERROR(__xludf.DUMMYFUNCTION("GOOGLETRANSLATE(A4564, ""de"", ""en"")"),"catch")</f>
        <v>catch</v>
      </c>
    </row>
    <row r="4565">
      <c r="A4565" s="1" t="s">
        <v>4565</v>
      </c>
      <c r="B4565" s="2" t="str">
        <f>IFERROR(__xludf.DUMMYFUNCTION("GOOGLETRANSLATE(A4565, ""de"", ""en"")"),"explain")</f>
        <v>explain</v>
      </c>
    </row>
    <row r="4566">
      <c r="A4566" s="1" t="s">
        <v>4566</v>
      </c>
      <c r="B4566" s="2" t="str">
        <f>IFERROR(__xludf.DUMMYFUNCTION("GOOGLETRANSLATE(A4566, ""de"", ""en"")"),"objection")</f>
        <v>objection</v>
      </c>
    </row>
    <row r="4567">
      <c r="A4567" s="1" t="s">
        <v>4567</v>
      </c>
      <c r="B4567" s="2" t="str">
        <f>IFERROR(__xludf.DUMMYFUNCTION("GOOGLETRANSLATE(A4567, ""de"", ""en"")"),"fishing")</f>
        <v>fishing</v>
      </c>
    </row>
    <row r="4568">
      <c r="A4568" s="1" t="s">
        <v>4568</v>
      </c>
      <c r="B4568" s="2" t="str">
        <f>IFERROR(__xludf.DUMMYFUNCTION("GOOGLETRANSLATE(A4568, ""de"", ""en"")"),"go out")</f>
        <v>go out</v>
      </c>
    </row>
    <row r="4569">
      <c r="A4569" s="1" t="s">
        <v>4569</v>
      </c>
      <c r="B4569" s="2" t="str">
        <f>IFERROR(__xludf.DUMMYFUNCTION("GOOGLETRANSLATE(A4569, ""de"", ""en"")"),"monk")</f>
        <v>monk</v>
      </c>
    </row>
    <row r="4570">
      <c r="A4570" s="1" t="s">
        <v>4570</v>
      </c>
      <c r="B4570" s="2" t="str">
        <f>IFERROR(__xludf.DUMMYFUNCTION("GOOGLETRANSLATE(A4570, ""de"", ""en"")"),"deposit")</f>
        <v>deposit</v>
      </c>
    </row>
    <row r="4571">
      <c r="A4571" s="1" t="s">
        <v>4571</v>
      </c>
      <c r="B4571" s="2" t="str">
        <f>IFERROR(__xludf.DUMMYFUNCTION("GOOGLETRANSLATE(A4571, ""de"", ""en"")"),"yours")</f>
        <v>yours</v>
      </c>
    </row>
    <row r="4572">
      <c r="A4572" s="1" t="s">
        <v>4572</v>
      </c>
      <c r="B4572" s="2" t="str">
        <f>IFERROR(__xludf.DUMMYFUNCTION("GOOGLETRANSLATE(A4572, ""de"", ""en"")"),"sat")</f>
        <v>sat</v>
      </c>
    </row>
    <row r="4573">
      <c r="A4573" s="1" t="s">
        <v>4573</v>
      </c>
      <c r="B4573" s="2" t="str">
        <f>IFERROR(__xludf.DUMMYFUNCTION("GOOGLETRANSLATE(A4573, ""de"", ""en"")"),"betray")</f>
        <v>betray</v>
      </c>
    </row>
    <row r="4574">
      <c r="A4574" s="1" t="s">
        <v>4574</v>
      </c>
      <c r="B4574" s="2" t="str">
        <f>IFERROR(__xludf.DUMMYFUNCTION("GOOGLETRANSLATE(A4574, ""de"", ""en"")"),"returns")</f>
        <v>returns</v>
      </c>
    </row>
    <row r="4575">
      <c r="A4575" s="1" t="s">
        <v>4575</v>
      </c>
      <c r="B4575" s="2" t="str">
        <f>IFERROR(__xludf.DUMMYFUNCTION("GOOGLETRANSLATE(A4575, ""de"", ""en"")"),"boy")</f>
        <v>boy</v>
      </c>
    </row>
    <row r="4576">
      <c r="A4576" s="1" t="s">
        <v>4576</v>
      </c>
      <c r="B4576" s="2" t="str">
        <f>IFERROR(__xludf.DUMMYFUNCTION("GOOGLETRANSLATE(A4576, ""de"", ""en"")"),"sum")</f>
        <v>sum</v>
      </c>
    </row>
    <row r="4577">
      <c r="A4577" s="1" t="s">
        <v>4577</v>
      </c>
      <c r="B4577" s="2" t="str">
        <f>IFERROR(__xludf.DUMMYFUNCTION("GOOGLETRANSLATE(A4577, ""de"", ""en"")"),"load")</f>
        <v>load</v>
      </c>
    </row>
    <row r="4578">
      <c r="A4578" s="1" t="s">
        <v>4578</v>
      </c>
      <c r="B4578" s="2" t="str">
        <f>IFERROR(__xludf.DUMMYFUNCTION("GOOGLETRANSLATE(A4578, ""de"", ""en"")"),"cheap")</f>
        <v>cheap</v>
      </c>
    </row>
    <row r="4579">
      <c r="A4579" s="1" t="s">
        <v>4579</v>
      </c>
      <c r="B4579" s="2" t="str">
        <f>IFERROR(__xludf.DUMMYFUNCTION("GOOGLETRANSLATE(A4579, ""de"", ""en"")"),"curtis")</f>
        <v>curtis</v>
      </c>
    </row>
    <row r="4580">
      <c r="A4580" s="1" t="s">
        <v>4580</v>
      </c>
      <c r="B4580" s="2" t="str">
        <f>IFERROR(__xludf.DUMMYFUNCTION("GOOGLETRANSLATE(A4580, ""de"", ""en"")"),"Bernard")</f>
        <v>Bernard</v>
      </c>
    </row>
    <row r="4581">
      <c r="A4581" s="1" t="s">
        <v>4581</v>
      </c>
      <c r="B4581" s="2" t="str">
        <f>IFERROR(__xludf.DUMMYFUNCTION("GOOGLETRANSLATE(A4581, ""de"", ""en"")"),"June")</f>
        <v>June</v>
      </c>
    </row>
    <row r="4582">
      <c r="A4582" s="1" t="s">
        <v>4582</v>
      </c>
      <c r="B4582" s="2" t="str">
        <f>IFERROR(__xludf.DUMMYFUNCTION("GOOGLETRANSLATE(A4582, ""de"", ""en"")"),"ripped")</f>
        <v>ripped</v>
      </c>
    </row>
    <row r="4583">
      <c r="A4583" s="1" t="s">
        <v>4583</v>
      </c>
      <c r="B4583" s="2" t="str">
        <f>IFERROR(__xludf.DUMMYFUNCTION("GOOGLETRANSLATE(A4583, ""de"", ""en"")"),"arrested")</f>
        <v>arrested</v>
      </c>
    </row>
    <row r="4584">
      <c r="A4584" s="1" t="s">
        <v>4584</v>
      </c>
      <c r="B4584" s="2" t="str">
        <f>IFERROR(__xludf.DUMMYFUNCTION("GOOGLETRANSLATE(A4584, ""de"", ""en"")"),"ralph")</f>
        <v>ralph</v>
      </c>
    </row>
    <row r="4585">
      <c r="A4585" s="1" t="s">
        <v>4585</v>
      </c>
      <c r="B4585" s="2" t="str">
        <f>IFERROR(__xludf.DUMMYFUNCTION("GOOGLETRANSLATE(A4585, ""de"", ""en"")"),"ordered")</f>
        <v>ordered</v>
      </c>
    </row>
    <row r="4586">
      <c r="A4586" s="1" t="s">
        <v>4586</v>
      </c>
      <c r="B4586" s="2" t="str">
        <f>IFERROR(__xludf.DUMMYFUNCTION("GOOGLETRANSLATE(A4586, ""de"", ""en"")"),"consider")</f>
        <v>consider</v>
      </c>
    </row>
    <row r="4587">
      <c r="A4587" s="1" t="s">
        <v>4587</v>
      </c>
      <c r="B4587" s="2" t="str">
        <f>IFERROR(__xludf.DUMMYFUNCTION("GOOGLETRANSLATE(A4587, ""de"", ""en"")"),"coordinates")</f>
        <v>coordinates</v>
      </c>
    </row>
    <row r="4588">
      <c r="A4588" s="1" t="s">
        <v>4588</v>
      </c>
      <c r="B4588" s="2" t="str">
        <f>IFERROR(__xludf.DUMMYFUNCTION("GOOGLETRANSLATE(A4588, ""de"", ""en"")"),"flew")</f>
        <v>flew</v>
      </c>
    </row>
    <row r="4589">
      <c r="A4589" s="1" t="s">
        <v>4589</v>
      </c>
      <c r="B4589" s="2" t="str">
        <f>IFERROR(__xludf.DUMMYFUNCTION("GOOGLETRANSLATE(A4589, ""de"", ""en"")"),"heart attack")</f>
        <v>heart attack</v>
      </c>
    </row>
    <row r="4590">
      <c r="A4590" s="1" t="s">
        <v>4590</v>
      </c>
      <c r="B4590" s="2" t="str">
        <f>IFERROR(__xludf.DUMMYFUNCTION("GOOGLETRANSLATE(A4590, ""de"", ""en"")"),"lie down")</f>
        <v>lie down</v>
      </c>
    </row>
    <row r="4591">
      <c r="A4591" s="1" t="s">
        <v>4591</v>
      </c>
      <c r="B4591" s="2" t="str">
        <f>IFERROR(__xludf.DUMMYFUNCTION("GOOGLETRANSLATE(A4591, ""de"", ""en"")"),"food")</f>
        <v>food</v>
      </c>
    </row>
    <row r="4592">
      <c r="A4592" s="1" t="s">
        <v>4592</v>
      </c>
      <c r="B4592" s="2" t="str">
        <f>IFERROR(__xludf.DUMMYFUNCTION("GOOGLETRANSLATE(A4592, ""de"", ""en"")"),"lie")</f>
        <v>lie</v>
      </c>
    </row>
    <row r="4593">
      <c r="A4593" s="1" t="s">
        <v>4593</v>
      </c>
      <c r="B4593" s="2" t="str">
        <f>IFERROR(__xludf.DUMMYFUNCTION("GOOGLETRANSLATE(A4593, ""de"", ""en"")"),"fled")</f>
        <v>fled</v>
      </c>
    </row>
    <row r="4594">
      <c r="A4594" s="1" t="s">
        <v>4594</v>
      </c>
      <c r="B4594" s="2" t="str">
        <f>IFERROR(__xludf.DUMMYFUNCTION("GOOGLETRANSLATE(A4594, ""de"", ""en"")"),"bang")</f>
        <v>bang</v>
      </c>
    </row>
    <row r="4595">
      <c r="A4595" s="1" t="s">
        <v>4595</v>
      </c>
      <c r="B4595" s="2" t="str">
        <f>IFERROR(__xludf.DUMMYFUNCTION("GOOGLETRANSLATE(A4595, ""de"", ""en"")"),"alongside")</f>
        <v>alongside</v>
      </c>
    </row>
    <row r="4596">
      <c r="A4596" s="1" t="s">
        <v>4596</v>
      </c>
      <c r="B4596" s="2" t="str">
        <f>IFERROR(__xludf.DUMMYFUNCTION("GOOGLETRANSLATE(A4596, ""de"", ""en"")"),"my lord")</f>
        <v>my lord</v>
      </c>
    </row>
    <row r="4597">
      <c r="A4597" s="1" t="s">
        <v>4597</v>
      </c>
      <c r="B4597" s="2" t="str">
        <f>IFERROR(__xludf.DUMMYFUNCTION("GOOGLETRANSLATE(A4597, ""de"", ""en"")"),"neighbor")</f>
        <v>neighbor</v>
      </c>
    </row>
    <row r="4598">
      <c r="A4598" s="1" t="s">
        <v>4598</v>
      </c>
      <c r="B4598" s="2" t="str">
        <f>IFERROR(__xludf.DUMMYFUNCTION("GOOGLETRANSLATE(A4598, ""de"", ""en"")"),"kiss")</f>
        <v>kiss</v>
      </c>
    </row>
    <row r="4599">
      <c r="A4599" s="1" t="s">
        <v>4599</v>
      </c>
      <c r="B4599" s="2" t="str">
        <f>IFERROR(__xludf.DUMMYFUNCTION("GOOGLETRANSLATE(A4599, ""de"", ""en"")"),"yours")</f>
        <v>yours</v>
      </c>
    </row>
    <row r="4600">
      <c r="A4600" s="1" t="s">
        <v>4600</v>
      </c>
      <c r="B4600" s="2" t="str">
        <f>IFERROR(__xludf.DUMMYFUNCTION("GOOGLETRANSLATE(A4600, ""de"", ""en"")"),"accomplished")</f>
        <v>accomplished</v>
      </c>
    </row>
    <row r="4601">
      <c r="A4601" s="1" t="s">
        <v>4601</v>
      </c>
      <c r="B4601" s="2" t="str">
        <f>IFERROR(__xludf.DUMMYFUNCTION("GOOGLETRANSLATE(A4601, ""de"", ""en"")"),"uses")</f>
        <v>uses</v>
      </c>
    </row>
    <row r="4602">
      <c r="A4602" s="1" t="s">
        <v>4602</v>
      </c>
      <c r="B4602" s="2" t="str">
        <f>IFERROR(__xludf.DUMMYFUNCTION("GOOGLETRANSLATE(A4602, ""de"", ""en"")"),"happy ones")</f>
        <v>happy ones</v>
      </c>
    </row>
    <row r="4603">
      <c r="A4603" s="1" t="s">
        <v>4603</v>
      </c>
      <c r="B4603" s="2" t="str">
        <f>IFERROR(__xludf.DUMMYFUNCTION("GOOGLETRANSLATE(A4603, ""de"", ""en"")"),"fog")</f>
        <v>fog</v>
      </c>
    </row>
    <row r="4604">
      <c r="A4604" s="1" t="s">
        <v>4604</v>
      </c>
      <c r="B4604" s="2" t="str">
        <f>IFERROR(__xludf.DUMMYFUNCTION("GOOGLETRANSLATE(A4604, ""de"", ""en"")"),"front")</f>
        <v>front</v>
      </c>
    </row>
    <row r="4605">
      <c r="A4605" s="1" t="s">
        <v>4605</v>
      </c>
      <c r="B4605" s="2" t="str">
        <f>IFERROR(__xludf.DUMMYFUNCTION("GOOGLETRANSLATE(A4605, ""de"", ""en"")"),"change")</f>
        <v>change</v>
      </c>
    </row>
    <row r="4606">
      <c r="A4606" s="1" t="s">
        <v>4606</v>
      </c>
      <c r="B4606" s="2" t="str">
        <f>IFERROR(__xludf.DUMMYFUNCTION("GOOGLETRANSLATE(A4606, ""de"", ""en"")"),"ape")</f>
        <v>ape</v>
      </c>
    </row>
    <row r="4607">
      <c r="A4607" s="1" t="s">
        <v>4607</v>
      </c>
      <c r="B4607" s="2" t="str">
        <f>IFERROR(__xludf.DUMMYFUNCTION("GOOGLETRANSLATE(A4607, ""de"", ""en"")"),"contact")</f>
        <v>contact</v>
      </c>
    </row>
    <row r="4608">
      <c r="A4608" s="1" t="s">
        <v>4608</v>
      </c>
      <c r="B4608" s="2" t="str">
        <f>IFERROR(__xludf.DUMMYFUNCTION("GOOGLETRANSLATE(A4608, ""de"", ""en"")"),"fire")</f>
        <v>fire</v>
      </c>
    </row>
    <row r="4609">
      <c r="A4609" s="1" t="s">
        <v>4609</v>
      </c>
      <c r="B4609" s="2" t="str">
        <f>IFERROR(__xludf.DUMMYFUNCTION("GOOGLETRANSLATE(A4609, ""de"", ""en"")"),"lead")</f>
        <v>lead</v>
      </c>
    </row>
    <row r="4610">
      <c r="A4610" s="1" t="s">
        <v>4610</v>
      </c>
      <c r="B4610" s="2" t="str">
        <f>IFERROR(__xludf.DUMMYFUNCTION("GOOGLETRANSLATE(A4610, ""de"", ""en"")"),"in the meantime")</f>
        <v>in the meantime</v>
      </c>
    </row>
    <row r="4611">
      <c r="A4611" s="1" t="s">
        <v>4611</v>
      </c>
      <c r="B4611" s="2" t="str">
        <f>IFERROR(__xludf.DUMMYFUNCTION("GOOGLETRANSLATE(A4611, ""de"", ""en"")"),"used")</f>
        <v>used</v>
      </c>
    </row>
    <row r="4612">
      <c r="A4612" s="1" t="s">
        <v>4612</v>
      </c>
      <c r="B4612" s="2" t="str">
        <f>IFERROR(__xludf.DUMMYFUNCTION("GOOGLETRANSLATE(A4612, ""de"", ""en"")"),"anton")</f>
        <v>anton</v>
      </c>
    </row>
    <row r="4613">
      <c r="A4613" s="1" t="s">
        <v>4613</v>
      </c>
      <c r="B4613" s="2" t="str">
        <f>IFERROR(__xludf.DUMMYFUNCTION("GOOGLETRANSLATE(A4613, ""de"", ""en"")"),"Philip")</f>
        <v>Philip</v>
      </c>
    </row>
    <row r="4614">
      <c r="A4614" s="1" t="s">
        <v>4614</v>
      </c>
      <c r="B4614" s="2" t="str">
        <f>IFERROR(__xludf.DUMMYFUNCTION("GOOGLETRANSLATE(A4614, ""de"", ""en"")"),"megan")</f>
        <v>megan</v>
      </c>
    </row>
    <row r="4615">
      <c r="A4615" s="1" t="s">
        <v>4615</v>
      </c>
      <c r="B4615" s="2" t="str">
        <f>IFERROR(__xludf.DUMMYFUNCTION("GOOGLETRANSLATE(A4615, ""de"", ""en"")"),"worse")</f>
        <v>worse</v>
      </c>
    </row>
    <row r="4616">
      <c r="A4616" s="1" t="s">
        <v>4616</v>
      </c>
      <c r="B4616" s="2" t="str">
        <f>IFERROR(__xludf.DUMMYFUNCTION("GOOGLETRANSLATE(A4616, ""de"", ""en"")"),"runs")</f>
        <v>runs</v>
      </c>
    </row>
    <row r="4617">
      <c r="A4617" s="1" t="s">
        <v>4617</v>
      </c>
      <c r="B4617" s="2" t="str">
        <f>IFERROR(__xludf.DUMMYFUNCTION("GOOGLETRANSLATE(A4617, ""de"", ""en"")"),"invest")</f>
        <v>invest</v>
      </c>
    </row>
    <row r="4618">
      <c r="A4618" s="1" t="s">
        <v>4618</v>
      </c>
      <c r="B4618" s="2" t="str">
        <f>IFERROR(__xludf.DUMMYFUNCTION("GOOGLETRANSLATE(A4618, ""de"", ""en"")"),"to think about")</f>
        <v>to think about</v>
      </c>
    </row>
    <row r="4619">
      <c r="A4619" s="1" t="s">
        <v>4619</v>
      </c>
      <c r="B4619" s="2" t="str">
        <f>IFERROR(__xludf.DUMMYFUNCTION("GOOGLETRANSLATE(A4619, ""de"", ""en"")"),"swear")</f>
        <v>swear</v>
      </c>
    </row>
    <row r="4620">
      <c r="A4620" s="1" t="s">
        <v>4620</v>
      </c>
      <c r="B4620" s="2" t="str">
        <f>IFERROR(__xludf.DUMMYFUNCTION("GOOGLETRANSLATE(A4620, ""de"", ""en"")"),"usual")</f>
        <v>usual</v>
      </c>
    </row>
    <row r="4621">
      <c r="A4621" s="1" t="s">
        <v>4621</v>
      </c>
      <c r="B4621" s="2" t="str">
        <f>IFERROR(__xludf.DUMMYFUNCTION("GOOGLETRANSLATE(A4621, ""de"", ""en"")"),"creature")</f>
        <v>creature</v>
      </c>
    </row>
    <row r="4622">
      <c r="A4622" s="1" t="s">
        <v>4622</v>
      </c>
      <c r="B4622" s="2" t="str">
        <f>IFERROR(__xludf.DUMMYFUNCTION("GOOGLETRANSLATE(A4622, ""de"", ""en"")"),"spoil")</f>
        <v>spoil</v>
      </c>
    </row>
    <row r="4623">
      <c r="A4623" s="1" t="s">
        <v>4623</v>
      </c>
      <c r="B4623" s="2" t="str">
        <f>IFERROR(__xludf.DUMMYFUNCTION("GOOGLETRANSLATE(A4623, ""de"", ""en"")"),"medical")</f>
        <v>medical</v>
      </c>
    </row>
    <row r="4624">
      <c r="A4624" s="1" t="s">
        <v>4624</v>
      </c>
      <c r="B4624" s="2" t="str">
        <f>IFERROR(__xludf.DUMMYFUNCTION("GOOGLETRANSLATE(A4624, ""de"", ""en"")"),"occupied")</f>
        <v>occupied</v>
      </c>
    </row>
    <row r="4625">
      <c r="A4625" s="1" t="s">
        <v>4625</v>
      </c>
      <c r="B4625" s="2" t="str">
        <f>IFERROR(__xludf.DUMMYFUNCTION("GOOGLETRANSLATE(A4625, ""de"", ""en"")"),"access")</f>
        <v>access</v>
      </c>
    </row>
    <row r="4626">
      <c r="A4626" s="1" t="s">
        <v>4626</v>
      </c>
      <c r="B4626" s="2" t="str">
        <f>IFERROR(__xludf.DUMMYFUNCTION("GOOGLETRANSLATE(A4626, ""de"", ""en"")"),"channel")</f>
        <v>channel</v>
      </c>
    </row>
    <row r="4627">
      <c r="A4627" s="1" t="s">
        <v>4627</v>
      </c>
      <c r="B4627" s="2" t="str">
        <f>IFERROR(__xludf.DUMMYFUNCTION("GOOGLETRANSLATE(A4627, ""de"", ""en"")"),"blood pressure")</f>
        <v>blood pressure</v>
      </c>
    </row>
    <row r="4628">
      <c r="A4628" s="1" t="s">
        <v>4628</v>
      </c>
      <c r="B4628" s="2" t="str">
        <f>IFERROR(__xludf.DUMMYFUNCTION("GOOGLETRANSLATE(A4628, ""de"", ""en"")"),"green")</f>
        <v>green</v>
      </c>
    </row>
    <row r="4629">
      <c r="A4629" s="1" t="s">
        <v>4629</v>
      </c>
      <c r="B4629" s="2" t="str">
        <f>IFERROR(__xludf.DUMMYFUNCTION("GOOGLETRANSLATE(A4629, ""de"", ""en"")"),"spend")</f>
        <v>spend</v>
      </c>
    </row>
    <row r="4630">
      <c r="A4630" s="1" t="s">
        <v>4630</v>
      </c>
      <c r="B4630" s="2" t="str">
        <f>IFERROR(__xludf.DUMMYFUNCTION("GOOGLETRANSLATE(A4630, ""de"", ""en"")"),"daddy")</f>
        <v>daddy</v>
      </c>
    </row>
    <row r="4631">
      <c r="A4631" s="1" t="s">
        <v>4631</v>
      </c>
      <c r="B4631" s="2" t="str">
        <f>IFERROR(__xludf.DUMMYFUNCTION("GOOGLETRANSLATE(A4631, ""de"", ""en"")"),"clown")</f>
        <v>clown</v>
      </c>
    </row>
    <row r="4632">
      <c r="A4632" s="1" t="s">
        <v>4632</v>
      </c>
      <c r="B4632" s="2" t="str">
        <f>IFERROR(__xludf.DUMMYFUNCTION("GOOGLETRANSLATE(A4632, ""de"", ""en"")"),"yours")</f>
        <v>yours</v>
      </c>
    </row>
    <row r="4633">
      <c r="A4633" s="1" t="s">
        <v>4633</v>
      </c>
      <c r="B4633" s="2" t="str">
        <f>IFERROR(__xludf.DUMMYFUNCTION("GOOGLETRANSLATE(A4633, ""de"", ""en"")"),"sonny")</f>
        <v>sonny</v>
      </c>
    </row>
    <row r="4634">
      <c r="A4634" s="1" t="s">
        <v>4634</v>
      </c>
      <c r="B4634" s="2" t="str">
        <f>IFERROR(__xludf.DUMMYFUNCTION("GOOGLETRANSLATE(A4634, ""de"", ""en"")"),"swear")</f>
        <v>swear</v>
      </c>
    </row>
    <row r="4635">
      <c r="A4635" s="1" t="s">
        <v>4635</v>
      </c>
      <c r="B4635" s="2" t="str">
        <f>IFERROR(__xludf.DUMMYFUNCTION("GOOGLETRANSLATE(A4635, ""de"", ""en"")"),"chicken")</f>
        <v>chicken</v>
      </c>
    </row>
    <row r="4636">
      <c r="A4636" s="1" t="s">
        <v>4636</v>
      </c>
      <c r="B4636" s="2" t="str">
        <f>IFERROR(__xludf.DUMMYFUNCTION("GOOGLETRANSLATE(A4636, ""de"", ""en"")"),"species")</f>
        <v>species</v>
      </c>
    </row>
    <row r="4637">
      <c r="A4637" s="1" t="s">
        <v>4637</v>
      </c>
      <c r="B4637" s="2" t="str">
        <f>IFERROR(__xludf.DUMMYFUNCTION("GOOGLETRANSLATE(A4637, ""de"", ""en"")"),"constructed")</f>
        <v>constructed</v>
      </c>
    </row>
    <row r="4638">
      <c r="A4638" s="1" t="s">
        <v>4638</v>
      </c>
      <c r="B4638" s="2" t="str">
        <f>IFERROR(__xludf.DUMMYFUNCTION("GOOGLETRANSLATE(A4638, ""de"", ""en"")"),"Sydney")</f>
        <v>Sydney</v>
      </c>
    </row>
    <row r="4639">
      <c r="A4639" s="1" t="s">
        <v>4639</v>
      </c>
      <c r="B4639" s="2" t="str">
        <f>IFERROR(__xludf.DUMMYFUNCTION("GOOGLETRANSLATE(A4639, ""de"", ""en"")"),"deceive")</f>
        <v>deceive</v>
      </c>
    </row>
    <row r="4640">
      <c r="A4640" s="1" t="s">
        <v>4640</v>
      </c>
      <c r="B4640" s="2" t="str">
        <f>IFERROR(__xludf.DUMMYFUNCTION("GOOGLETRANSLATE(A4640, ""de"", ""en"")"),"Steele")</f>
        <v>Steele</v>
      </c>
    </row>
    <row r="4641">
      <c r="A4641" s="1" t="s">
        <v>4641</v>
      </c>
      <c r="B4641" s="2" t="str">
        <f>IFERROR(__xludf.DUMMYFUNCTION("GOOGLETRANSLATE(A4641, ""de"", ""en"")"),"drank")</f>
        <v>drank</v>
      </c>
    </row>
    <row r="4642">
      <c r="A4642" s="1" t="s">
        <v>4642</v>
      </c>
      <c r="B4642" s="2" t="str">
        <f>IFERROR(__xludf.DUMMYFUNCTION("GOOGLETRANSLATE(A4642, ""de"", ""en"")"),"smooth")</f>
        <v>smooth</v>
      </c>
    </row>
    <row r="4643">
      <c r="A4643" s="1" t="s">
        <v>4643</v>
      </c>
      <c r="B4643" s="2" t="str">
        <f>IFERROR(__xludf.DUMMYFUNCTION("GOOGLETRANSLATE(A4643, ""de"", ""en"")"),"trained")</f>
        <v>trained</v>
      </c>
    </row>
    <row r="4644">
      <c r="A4644" s="1" t="s">
        <v>4644</v>
      </c>
      <c r="B4644" s="2" t="str">
        <f>IFERROR(__xludf.DUMMYFUNCTION("GOOGLETRANSLATE(A4644, ""de"", ""en"")"),"India")</f>
        <v>India</v>
      </c>
    </row>
    <row r="4645">
      <c r="A4645" s="1" t="s">
        <v>4645</v>
      </c>
      <c r="B4645" s="2" t="str">
        <f>IFERROR(__xludf.DUMMYFUNCTION("GOOGLETRANSLATE(A4645, ""de"", ""en"")"),"author")</f>
        <v>author</v>
      </c>
    </row>
    <row r="4646">
      <c r="A4646" s="1" t="s">
        <v>4646</v>
      </c>
      <c r="B4646" s="2" t="str">
        <f>IFERROR(__xludf.DUMMYFUNCTION("GOOGLETRANSLATE(A4646, ""de"", ""en"")"),"cried")</f>
        <v>cried</v>
      </c>
    </row>
    <row r="4647">
      <c r="A4647" s="1" t="s">
        <v>4647</v>
      </c>
      <c r="B4647" s="2" t="str">
        <f>IFERROR(__xludf.DUMMYFUNCTION("GOOGLETRANSLATE(A4647, ""de"", ""en"")"),"flower")</f>
        <v>flower</v>
      </c>
    </row>
    <row r="4648">
      <c r="A4648" s="1" t="s">
        <v>4648</v>
      </c>
      <c r="B4648" s="2" t="str">
        <f>IFERROR(__xludf.DUMMYFUNCTION("GOOGLETRANSLATE(A4648, ""de"", ""en"")"),"injuries")</f>
        <v>injuries</v>
      </c>
    </row>
    <row r="4649">
      <c r="A4649" s="1" t="s">
        <v>4649</v>
      </c>
      <c r="B4649" s="2" t="str">
        <f>IFERROR(__xludf.DUMMYFUNCTION("GOOGLETRANSLATE(A4649, ""de"", ""en"")"),"special")</f>
        <v>special</v>
      </c>
    </row>
    <row r="4650">
      <c r="A4650" s="1" t="s">
        <v>4650</v>
      </c>
      <c r="B4650" s="2" t="str">
        <f>IFERROR(__xludf.DUMMYFUNCTION("GOOGLETRANSLATE(A4650, ""de"", ""en"")"),"twins")</f>
        <v>twins</v>
      </c>
    </row>
    <row r="4651">
      <c r="A4651" s="1" t="s">
        <v>4651</v>
      </c>
      <c r="B4651" s="2" t="str">
        <f>IFERROR(__xludf.DUMMYFUNCTION("GOOGLETRANSLATE(A4651, ""de"", ""en"")"),"mia")</f>
        <v>mia</v>
      </c>
    </row>
    <row r="4652">
      <c r="A4652" s="1" t="s">
        <v>4652</v>
      </c>
      <c r="B4652" s="2" t="str">
        <f>IFERROR(__xludf.DUMMYFUNCTION("GOOGLETRANSLATE(A4652, ""de"", ""en"")"),"tears")</f>
        <v>tears</v>
      </c>
    </row>
    <row r="4653">
      <c r="A4653" s="1" t="s">
        <v>4653</v>
      </c>
      <c r="B4653" s="2" t="str">
        <f>IFERROR(__xludf.DUMMYFUNCTION("GOOGLETRANSLATE(A4653, ""de"", ""en"")"),"show")</f>
        <v>show</v>
      </c>
    </row>
    <row r="4654">
      <c r="A4654" s="1" t="s">
        <v>4654</v>
      </c>
      <c r="B4654" s="2" t="str">
        <f>IFERROR(__xludf.DUMMYFUNCTION("GOOGLETRANSLATE(A4654, ""de"", ""en"")"),"die")</f>
        <v>die</v>
      </c>
    </row>
    <row r="4655">
      <c r="A4655" s="1" t="s">
        <v>4655</v>
      </c>
      <c r="B4655" s="2" t="str">
        <f>IFERROR(__xludf.DUMMYFUNCTION("GOOGLETRANSLATE(A4655, ""de"", ""en"")"),"Justin")</f>
        <v>Justin</v>
      </c>
    </row>
    <row r="4656">
      <c r="A4656" s="1" t="s">
        <v>4656</v>
      </c>
      <c r="B4656" s="2" t="str">
        <f>IFERROR(__xludf.DUMMYFUNCTION("GOOGLETRANSLATE(A4656, ""de"", ""en"")"),"diane")</f>
        <v>diane</v>
      </c>
    </row>
    <row r="4657">
      <c r="A4657" s="1" t="s">
        <v>4657</v>
      </c>
      <c r="B4657" s="2" t="str">
        <f>IFERROR(__xludf.DUMMYFUNCTION("GOOGLETRANSLATE(A4657, ""de"", ""en"")"),"fucked")</f>
        <v>fucked</v>
      </c>
    </row>
    <row r="4658">
      <c r="A4658" s="1" t="s">
        <v>4658</v>
      </c>
      <c r="B4658" s="2" t="str">
        <f>IFERROR(__xludf.DUMMYFUNCTION("GOOGLETRANSLATE(A4658, ""de"", ""en"")"),"beats")</f>
        <v>beats</v>
      </c>
    </row>
    <row r="4659">
      <c r="A4659" s="1" t="s">
        <v>4659</v>
      </c>
      <c r="B4659" s="2" t="str">
        <f>IFERROR(__xludf.DUMMYFUNCTION("GOOGLETRANSLATE(A4659, ""de"", ""en"")"),"Moscow")</f>
        <v>Moscow</v>
      </c>
    </row>
    <row r="4660">
      <c r="A4660" s="1" t="s">
        <v>4660</v>
      </c>
      <c r="B4660" s="2" t="str">
        <f>IFERROR(__xludf.DUMMYFUNCTION("GOOGLETRANSLATE(A4660, ""de"", ""en"")"),"expect")</f>
        <v>expect</v>
      </c>
    </row>
    <row r="4661">
      <c r="A4661" s="1" t="s">
        <v>4661</v>
      </c>
      <c r="B4661" s="2" t="str">
        <f>IFERROR(__xludf.DUMMYFUNCTION("GOOGLETRANSLATE(A4661, ""de"", ""en"")"),"bumped")</f>
        <v>bumped</v>
      </c>
    </row>
    <row r="4662">
      <c r="A4662" s="1" t="s">
        <v>4662</v>
      </c>
      <c r="B4662" s="2" t="str">
        <f>IFERROR(__xludf.DUMMYFUNCTION("GOOGLETRANSLATE(A4662, ""de"", ""en"")"),"go through")</f>
        <v>go through</v>
      </c>
    </row>
    <row r="4663">
      <c r="A4663" s="1" t="s">
        <v>4663</v>
      </c>
      <c r="B4663" s="2" t="str">
        <f>IFERROR(__xludf.DUMMYFUNCTION("GOOGLETRANSLATE(A4663, ""de"", ""en"")"),"practice")</f>
        <v>practice</v>
      </c>
    </row>
    <row r="4664">
      <c r="A4664" s="1" t="s">
        <v>4664</v>
      </c>
      <c r="B4664" s="2" t="str">
        <f>IFERROR(__xludf.DUMMYFUNCTION("GOOGLETRANSLATE(A4664, ""de"", ""en"")"),"thorough")</f>
        <v>thorough</v>
      </c>
    </row>
    <row r="4665">
      <c r="A4665" s="1" t="s">
        <v>4665</v>
      </c>
      <c r="B4665" s="2" t="str">
        <f>IFERROR(__xludf.DUMMYFUNCTION("GOOGLETRANSLATE(A4665, ""de"", ""en"")"),"benny")</f>
        <v>benny</v>
      </c>
    </row>
    <row r="4666">
      <c r="A4666" s="1" t="s">
        <v>4666</v>
      </c>
      <c r="B4666" s="2" t="str">
        <f>IFERROR(__xludf.DUMMYFUNCTION("GOOGLETRANSLATE(A4666, ""de"", ""en"")"),"included")</f>
        <v>included</v>
      </c>
    </row>
    <row r="4667">
      <c r="A4667" s="1" t="s">
        <v>4667</v>
      </c>
      <c r="B4667" s="2" t="str">
        <f>IFERROR(__xludf.DUMMYFUNCTION("GOOGLETRANSLATE(A4667, ""de"", ""en"")"),"tragedy")</f>
        <v>tragedy</v>
      </c>
    </row>
    <row r="4668">
      <c r="A4668" s="1" t="s">
        <v>4668</v>
      </c>
      <c r="B4668" s="2" t="str">
        <f>IFERROR(__xludf.DUMMYFUNCTION("GOOGLETRANSLATE(A4668, ""de"", ""en"")"),"complete")</f>
        <v>complete</v>
      </c>
    </row>
    <row r="4669">
      <c r="A4669" s="1" t="s">
        <v>4669</v>
      </c>
      <c r="B4669" s="2" t="str">
        <f>IFERROR(__xludf.DUMMYFUNCTION("GOOGLETRANSLATE(A4669, ""de"", ""en"")"),"psychiatrist")</f>
        <v>psychiatrist</v>
      </c>
    </row>
    <row r="4670">
      <c r="A4670" s="1" t="s">
        <v>4670</v>
      </c>
      <c r="B4670" s="2" t="str">
        <f>IFERROR(__xludf.DUMMYFUNCTION("GOOGLETRANSLATE(A4670, ""de"", ""en"")"),"race")</f>
        <v>race</v>
      </c>
    </row>
    <row r="4671">
      <c r="A4671" s="1" t="s">
        <v>4671</v>
      </c>
      <c r="B4671" s="2" t="str">
        <f>IFERROR(__xludf.DUMMYFUNCTION("GOOGLETRANSLATE(A4671, ""de"", ""en"")"),"lance")</f>
        <v>lance</v>
      </c>
    </row>
    <row r="4672">
      <c r="A4672" s="1" t="s">
        <v>4672</v>
      </c>
      <c r="B4672" s="2" t="str">
        <f>IFERROR(__xludf.DUMMYFUNCTION("GOOGLETRANSLATE(A4672, ""de"", ""en"")"),"trusted")</f>
        <v>trusted</v>
      </c>
    </row>
    <row r="4673">
      <c r="A4673" s="1" t="s">
        <v>4673</v>
      </c>
      <c r="B4673" s="2" t="str">
        <f>IFERROR(__xludf.DUMMYFUNCTION("GOOGLETRANSLATE(A4673, ""de"", ""en"")"),"sorrow")</f>
        <v>sorrow</v>
      </c>
    </row>
    <row r="4674">
      <c r="A4674" s="1" t="s">
        <v>4674</v>
      </c>
      <c r="B4674" s="2" t="str">
        <f>IFERROR(__xludf.DUMMYFUNCTION("GOOGLETRANSLATE(A4674, ""de"", ""en"")"),"own")</f>
        <v>own</v>
      </c>
    </row>
    <row r="4675">
      <c r="A4675" s="1" t="s">
        <v>4675</v>
      </c>
      <c r="B4675" s="2" t="str">
        <f>IFERROR(__xludf.DUMMYFUNCTION("GOOGLETRANSLATE(A4675, ""de"", ""en"")"),"christine")</f>
        <v>christine</v>
      </c>
    </row>
    <row r="4676">
      <c r="A4676" s="1" t="s">
        <v>4676</v>
      </c>
      <c r="B4676" s="2" t="str">
        <f>IFERROR(__xludf.DUMMYFUNCTION("GOOGLETRANSLATE(A4676, ""de"", ""en"")"),"party")</f>
        <v>party</v>
      </c>
    </row>
    <row r="4677">
      <c r="A4677" s="1" t="s">
        <v>4677</v>
      </c>
      <c r="B4677" s="2" t="str">
        <f>IFERROR(__xludf.DUMMYFUNCTION("GOOGLETRANSLATE(A4677, ""de"", ""en"")"),"center")</f>
        <v>center</v>
      </c>
    </row>
    <row r="4678">
      <c r="A4678" s="1" t="s">
        <v>4678</v>
      </c>
      <c r="B4678" s="2" t="str">
        <f>IFERROR(__xludf.DUMMYFUNCTION("GOOGLETRANSLATE(A4678, ""de"", ""en"")"),"testament")</f>
        <v>testament</v>
      </c>
    </row>
    <row r="4679">
      <c r="A4679" s="1" t="s">
        <v>4679</v>
      </c>
      <c r="B4679" s="2" t="str">
        <f>IFERROR(__xludf.DUMMYFUNCTION("GOOGLETRANSLATE(A4679, ""de"", ""en"")"),"distance")</f>
        <v>distance</v>
      </c>
    </row>
    <row r="4680">
      <c r="A4680" s="1" t="s">
        <v>4680</v>
      </c>
      <c r="B4680" s="2" t="str">
        <f>IFERROR(__xludf.DUMMYFUNCTION("GOOGLETRANSLATE(A4680, ""de"", ""en"")"),"private")</f>
        <v>private</v>
      </c>
    </row>
    <row r="4681">
      <c r="A4681" s="1" t="s">
        <v>4681</v>
      </c>
      <c r="B4681" s="2" t="str">
        <f>IFERROR(__xludf.DUMMYFUNCTION("GOOGLETRANSLATE(A4681, ""de"", ""en"")"),"worlds")</f>
        <v>worlds</v>
      </c>
    </row>
    <row r="4682">
      <c r="A4682" s="1" t="s">
        <v>4682</v>
      </c>
      <c r="B4682" s="2" t="str">
        <f>IFERROR(__xludf.DUMMYFUNCTION("GOOGLETRANSLATE(A4682, ""de"", ""en"")"),"embarrassed")</f>
        <v>embarrassed</v>
      </c>
    </row>
    <row r="4683">
      <c r="A4683" s="1" t="s">
        <v>4683</v>
      </c>
      <c r="B4683" s="2" t="str">
        <f>IFERROR(__xludf.DUMMYFUNCTION("GOOGLETRANSLATE(A4683, ""de"", ""en"")"),"heroin")</f>
        <v>heroin</v>
      </c>
    </row>
    <row r="4684">
      <c r="A4684" s="1" t="s">
        <v>4684</v>
      </c>
      <c r="B4684" s="2" t="str">
        <f>IFERROR(__xludf.DUMMYFUNCTION("GOOGLETRANSLATE(A4684, ""de"", ""en"")"),"learned")</f>
        <v>learned</v>
      </c>
    </row>
    <row r="4685">
      <c r="A4685" s="1" t="s">
        <v>4685</v>
      </c>
      <c r="B4685" s="2" t="str">
        <f>IFERROR(__xludf.DUMMYFUNCTION("GOOGLETRANSLATE(A4685, ""de"", ""en"")"),"terrain")</f>
        <v>terrain</v>
      </c>
    </row>
    <row r="4686">
      <c r="A4686" s="1" t="s">
        <v>4686</v>
      </c>
      <c r="B4686" s="2" t="str">
        <f>IFERROR(__xludf.DUMMYFUNCTION("GOOGLETRANSLATE(A4686, ""de"", ""en"")"),"coach")</f>
        <v>coach</v>
      </c>
    </row>
    <row r="4687">
      <c r="A4687" s="1" t="s">
        <v>4687</v>
      </c>
      <c r="B4687" s="2" t="str">
        <f>IFERROR(__xludf.DUMMYFUNCTION("GOOGLETRANSLATE(A4687, ""de"", ""en"")"),"stupider")</f>
        <v>stupider</v>
      </c>
    </row>
    <row r="4688">
      <c r="A4688" s="1" t="s">
        <v>4688</v>
      </c>
      <c r="B4688" s="2" t="str">
        <f>IFERROR(__xludf.DUMMYFUNCTION("GOOGLETRANSLATE(A4688, ""de"", ""en"")"),"Homer")</f>
        <v>Homer</v>
      </c>
    </row>
    <row r="4689">
      <c r="A4689" s="1" t="s">
        <v>4689</v>
      </c>
      <c r="B4689" s="2" t="str">
        <f>IFERROR(__xludf.DUMMYFUNCTION("GOOGLETRANSLATE(A4689, ""de"", ""en"")"),"stable")</f>
        <v>stable</v>
      </c>
    </row>
    <row r="4690">
      <c r="A4690" s="1" t="s">
        <v>4690</v>
      </c>
      <c r="B4690" s="2" t="str">
        <f>IFERROR(__xludf.DUMMYFUNCTION("GOOGLETRANSLATE(A4690, ""de"", ""en"")"),"excluded")</f>
        <v>excluded</v>
      </c>
    </row>
    <row r="4691">
      <c r="A4691" s="1" t="s">
        <v>4691</v>
      </c>
      <c r="B4691" s="2" t="str">
        <f>IFERROR(__xludf.DUMMYFUNCTION("GOOGLETRANSLATE(A4691, ""de"", ""en"")"),"out")</f>
        <v>out</v>
      </c>
    </row>
    <row r="4692">
      <c r="A4692" s="1" t="s">
        <v>4692</v>
      </c>
      <c r="B4692" s="2" t="str">
        <f>IFERROR(__xludf.DUMMYFUNCTION("GOOGLETRANSLATE(A4692, ""de"", ""en"")"),"out")</f>
        <v>out</v>
      </c>
    </row>
    <row r="4693">
      <c r="A4693" s="1" t="s">
        <v>4693</v>
      </c>
      <c r="B4693" s="2" t="str">
        <f>IFERROR(__xludf.DUMMYFUNCTION("GOOGLETRANSLATE(A4693, ""de"", ""en"")"),"lifted")</f>
        <v>lifted</v>
      </c>
    </row>
    <row r="4694">
      <c r="A4694" s="1" t="s">
        <v>4694</v>
      </c>
      <c r="B4694" s="2" t="str">
        <f>IFERROR(__xludf.DUMMYFUNCTION("GOOGLETRANSLATE(A4694, ""de"", ""en"")"),"single")</f>
        <v>single</v>
      </c>
    </row>
    <row r="4695">
      <c r="A4695" s="1" t="s">
        <v>4695</v>
      </c>
      <c r="B4695" s="2" t="str">
        <f>IFERROR(__xludf.DUMMYFUNCTION("GOOGLETRANSLATE(A4695, ""de"", ""en"")"),"director")</f>
        <v>director</v>
      </c>
    </row>
    <row r="4696">
      <c r="A4696" s="1" t="s">
        <v>4696</v>
      </c>
      <c r="B4696" s="2" t="str">
        <f>IFERROR(__xludf.DUMMYFUNCTION("GOOGLETRANSLATE(A4696, ""de"", ""en"")"),"many times")</f>
        <v>many times</v>
      </c>
    </row>
    <row r="4697">
      <c r="A4697" s="1" t="s">
        <v>4697</v>
      </c>
      <c r="B4697" s="2" t="str">
        <f>IFERROR(__xludf.DUMMYFUNCTION("GOOGLETRANSLATE(A4697, ""de"", ""en"")"),"dylan")</f>
        <v>dylan</v>
      </c>
    </row>
    <row r="4698">
      <c r="A4698" s="1" t="s">
        <v>4698</v>
      </c>
      <c r="B4698" s="2" t="str">
        <f>IFERROR(__xludf.DUMMYFUNCTION("GOOGLETRANSLATE(A4698, ""de"", ""en"")"),"existed")</f>
        <v>existed</v>
      </c>
    </row>
    <row r="4699">
      <c r="A4699" s="1" t="s">
        <v>4699</v>
      </c>
      <c r="B4699" s="2" t="str">
        <f>IFERROR(__xludf.DUMMYFUNCTION("GOOGLETRANSLATE(A4699, ""de"", ""en"")"),"k")</f>
        <v>k</v>
      </c>
    </row>
    <row r="4700">
      <c r="A4700" s="1" t="s">
        <v>4700</v>
      </c>
      <c r="B4700" s="2" t="str">
        <f>IFERROR(__xludf.DUMMYFUNCTION("GOOGLETRANSLATE(A4700, ""de"", ""en"")"),"heritage")</f>
        <v>heritage</v>
      </c>
    </row>
    <row r="4701">
      <c r="A4701" s="1" t="s">
        <v>4701</v>
      </c>
      <c r="B4701" s="2" t="str">
        <f>IFERROR(__xludf.DUMMYFUNCTION("GOOGLETRANSLATE(A4701, ""de"", ""en"")"),"ran away")</f>
        <v>ran away</v>
      </c>
    </row>
    <row r="4702">
      <c r="A4702" s="1" t="s">
        <v>4702</v>
      </c>
      <c r="B4702" s="2" t="str">
        <f>IFERROR(__xludf.DUMMYFUNCTION("GOOGLETRANSLATE(A4702, ""de"", ""en"")"),"jim bob")</f>
        <v>jim bob</v>
      </c>
    </row>
    <row r="4703">
      <c r="A4703" s="1" t="s">
        <v>4703</v>
      </c>
      <c r="B4703" s="2" t="str">
        <f>IFERROR(__xludf.DUMMYFUNCTION("GOOGLETRANSLATE(A4703, ""de"", ""en"")"),"Noah")</f>
        <v>Noah</v>
      </c>
    </row>
    <row r="4704">
      <c r="A4704" s="1" t="s">
        <v>4704</v>
      </c>
      <c r="B4704" s="2" t="str">
        <f>IFERROR(__xludf.DUMMYFUNCTION("GOOGLETRANSLATE(A4704, ""de"", ""en"")"),"light")</f>
        <v>light</v>
      </c>
    </row>
    <row r="4705">
      <c r="A4705" s="1" t="s">
        <v>4705</v>
      </c>
      <c r="B4705" s="2" t="str">
        <f>IFERROR(__xludf.DUMMYFUNCTION("GOOGLETRANSLATE(A4705, ""de"", ""en"")"),"responsible")</f>
        <v>responsible</v>
      </c>
    </row>
    <row r="4706">
      <c r="A4706" s="1" t="s">
        <v>4706</v>
      </c>
      <c r="B4706" s="2" t="str">
        <f>IFERROR(__xludf.DUMMYFUNCTION("GOOGLETRANSLATE(A4706, ""de"", ""en"")"),"go off")</f>
        <v>go off</v>
      </c>
    </row>
    <row r="4707">
      <c r="A4707" s="1" t="s">
        <v>4707</v>
      </c>
      <c r="B4707" s="2" t="str">
        <f>IFERROR(__xludf.DUMMYFUNCTION("GOOGLETRANSLATE(A4707, ""de"", ""en"")"),"long")</f>
        <v>long</v>
      </c>
    </row>
    <row r="4708">
      <c r="A4708" s="1" t="s">
        <v>4708</v>
      </c>
      <c r="B4708" s="2" t="str">
        <f>IFERROR(__xludf.DUMMYFUNCTION("GOOGLETRANSLATE(A4708, ""de"", ""en"")"),"coughs")</f>
        <v>coughs</v>
      </c>
    </row>
    <row r="4709">
      <c r="A4709" s="1" t="s">
        <v>4709</v>
      </c>
      <c r="B4709" s="2" t="str">
        <f>IFERROR(__xludf.DUMMYFUNCTION("GOOGLETRANSLATE(A4709, ""de"", ""en"")"),"brutally")</f>
        <v>brutally</v>
      </c>
    </row>
    <row r="4710">
      <c r="A4710" s="1" t="s">
        <v>4710</v>
      </c>
      <c r="B4710" s="2" t="str">
        <f>IFERROR(__xludf.DUMMYFUNCTION("GOOGLETRANSLATE(A4710, ""de"", ""en"")"),"discussed")</f>
        <v>discussed</v>
      </c>
    </row>
    <row r="4711">
      <c r="A4711" s="1" t="s">
        <v>4711</v>
      </c>
      <c r="B4711" s="2" t="str">
        <f>IFERROR(__xludf.DUMMYFUNCTION("GOOGLETRANSLATE(A4711, ""de"", ""en"")"),"half")</f>
        <v>half</v>
      </c>
    </row>
    <row r="4712">
      <c r="A4712" s="1" t="s">
        <v>4712</v>
      </c>
      <c r="B4712" s="2" t="str">
        <f>IFERROR(__xludf.DUMMYFUNCTION("GOOGLETRANSLATE(A4712, ""de"", ""en"")"),"cash")</f>
        <v>cash</v>
      </c>
    </row>
    <row r="4713">
      <c r="A4713" s="1" t="s">
        <v>4713</v>
      </c>
      <c r="B4713" s="2" t="str">
        <f>IFERROR(__xludf.DUMMYFUNCTION("GOOGLETRANSLATE(A4713, ""de"", ""en"")"),"Peggy")</f>
        <v>Peggy</v>
      </c>
    </row>
    <row r="4714">
      <c r="A4714" s="1" t="s">
        <v>4714</v>
      </c>
      <c r="B4714" s="2" t="str">
        <f>IFERROR(__xludf.DUMMYFUNCTION("GOOGLETRANSLATE(A4714, ""de"", ""en"")"),"action")</f>
        <v>action</v>
      </c>
    </row>
    <row r="4715">
      <c r="A4715" s="1" t="s">
        <v>4715</v>
      </c>
      <c r="B4715" s="2" t="str">
        <f>IFERROR(__xludf.DUMMYFUNCTION("GOOGLETRANSLATE(A4715, ""de"", ""en"")"),"work together")</f>
        <v>work together</v>
      </c>
    </row>
    <row r="4716">
      <c r="A4716" s="1" t="s">
        <v>4716</v>
      </c>
      <c r="B4716" s="2" t="str">
        <f>IFERROR(__xludf.DUMMYFUNCTION("GOOGLETRANSLATE(A4716, ""de"", ""en"")"),"worried")</f>
        <v>worried</v>
      </c>
    </row>
    <row r="4717">
      <c r="A4717" s="1" t="s">
        <v>4717</v>
      </c>
      <c r="B4717" s="2" t="str">
        <f>IFERROR(__xludf.DUMMYFUNCTION("GOOGLETRANSLATE(A4717, ""de"", ""en"")"),"eighth")</f>
        <v>eighth</v>
      </c>
    </row>
    <row r="4718">
      <c r="A4718" s="1" t="s">
        <v>4718</v>
      </c>
      <c r="B4718" s="2" t="str">
        <f>IFERROR(__xludf.DUMMYFUNCTION("GOOGLETRANSLATE(A4718, ""de"", ""en"")"),"inner")</f>
        <v>inner</v>
      </c>
    </row>
    <row r="4719">
      <c r="A4719" s="1" t="s">
        <v>4719</v>
      </c>
      <c r="B4719" s="2" t="str">
        <f>IFERROR(__xludf.DUMMYFUNCTION("GOOGLETRANSLATE(A4719, ""de"", ""en"")"),"cannon")</f>
        <v>cannon</v>
      </c>
    </row>
    <row r="4720">
      <c r="A4720" s="1" t="s">
        <v>4720</v>
      </c>
      <c r="B4720" s="2" t="str">
        <f>IFERROR(__xludf.DUMMYFUNCTION("GOOGLETRANSLATE(A4720, ""de"", ""en"")"),"disgusting")</f>
        <v>disgusting</v>
      </c>
    </row>
    <row r="4721">
      <c r="A4721" s="1" t="s">
        <v>4721</v>
      </c>
      <c r="B4721" s="2" t="str">
        <f>IFERROR(__xludf.DUMMYFUNCTION("GOOGLETRANSLATE(A4721, ""de"", ""en"")"),"x")</f>
        <v>x</v>
      </c>
    </row>
    <row r="4722">
      <c r="A4722" s="1" t="s">
        <v>4722</v>
      </c>
      <c r="B4722" s="2" t="str">
        <f>IFERROR(__xludf.DUMMYFUNCTION("GOOGLETRANSLATE(A4722, ""de"", ""en"")"),"poor")</f>
        <v>poor</v>
      </c>
    </row>
    <row r="4723">
      <c r="A4723" s="1" t="s">
        <v>4723</v>
      </c>
      <c r="B4723" s="2" t="str">
        <f>IFERROR(__xludf.DUMMYFUNCTION("GOOGLETRANSLATE(A4723, ""de"", ""en"")"),"avenue")</f>
        <v>avenue</v>
      </c>
    </row>
    <row r="4724">
      <c r="A4724" s="1" t="s">
        <v>4724</v>
      </c>
      <c r="B4724" s="2" t="str">
        <f>IFERROR(__xludf.DUMMYFUNCTION("GOOGLETRANSLATE(A4724, ""de"", ""en"")"),"public")</f>
        <v>public</v>
      </c>
    </row>
    <row r="4725">
      <c r="A4725" s="1" t="s">
        <v>4725</v>
      </c>
      <c r="B4725" s="2" t="str">
        <f>IFERROR(__xludf.DUMMYFUNCTION("GOOGLETRANSLATE(A4725, ""de"", ""en"")"),"useful")</f>
        <v>useful</v>
      </c>
    </row>
    <row r="4726">
      <c r="A4726" s="1" t="s">
        <v>4726</v>
      </c>
      <c r="B4726" s="2" t="str">
        <f>IFERROR(__xludf.DUMMYFUNCTION("GOOGLETRANSLATE(A4726, ""de"", ""en"")"),"marine")</f>
        <v>marine</v>
      </c>
    </row>
    <row r="4727">
      <c r="A4727" s="1" t="s">
        <v>4727</v>
      </c>
      <c r="B4727" s="2" t="str">
        <f>IFERROR(__xludf.DUMMYFUNCTION("GOOGLETRANSLATE(A4727, ""de"", ""en"")"),"brilliant")</f>
        <v>brilliant</v>
      </c>
    </row>
    <row r="4728">
      <c r="A4728" s="1" t="s">
        <v>4728</v>
      </c>
      <c r="B4728" s="2" t="str">
        <f>IFERROR(__xludf.DUMMYFUNCTION("GOOGLETRANSLATE(A4728, ""de"", ""en"")"),"bait")</f>
        <v>bait</v>
      </c>
    </row>
    <row r="4729">
      <c r="A4729" s="1" t="s">
        <v>4729</v>
      </c>
      <c r="B4729" s="2" t="str">
        <f>IFERROR(__xludf.DUMMYFUNCTION("GOOGLETRANSLATE(A4729, ""de"", ""en"")"),"conversations")</f>
        <v>conversations</v>
      </c>
    </row>
    <row r="4730">
      <c r="A4730" s="1" t="s">
        <v>4730</v>
      </c>
      <c r="B4730" s="2" t="str">
        <f>IFERROR(__xludf.DUMMYFUNCTION("GOOGLETRANSLATE(A4730, ""de"", ""en"")"),"approaches")</f>
        <v>approaches</v>
      </c>
    </row>
    <row r="4731">
      <c r="A4731" s="1" t="s">
        <v>4731</v>
      </c>
      <c r="B4731" s="2" t="str">
        <f>IFERROR(__xludf.DUMMYFUNCTION("GOOGLETRANSLATE(A4731, ""de"", ""en"")"),"proceed")</f>
        <v>proceed</v>
      </c>
    </row>
    <row r="4732">
      <c r="A4732" s="1" t="s">
        <v>4732</v>
      </c>
      <c r="B4732" s="2" t="str">
        <f>IFERROR(__xludf.DUMMYFUNCTION("GOOGLETRANSLATE(A4732, ""de"", ""en"")"),"trifle")</f>
        <v>trifle</v>
      </c>
    </row>
    <row r="4733">
      <c r="A4733" s="1" t="s">
        <v>4733</v>
      </c>
      <c r="B4733" s="2" t="str">
        <f>IFERROR(__xludf.DUMMYFUNCTION("GOOGLETRANSLATE(A4733, ""de"", ""en"")"),"pillow")</f>
        <v>pillow</v>
      </c>
    </row>
    <row r="4734">
      <c r="A4734" s="1" t="s">
        <v>4734</v>
      </c>
      <c r="B4734" s="2" t="str">
        <f>IFERROR(__xludf.DUMMYFUNCTION("GOOGLETRANSLATE(A4734, ""de"", ""en"")"),"Manny")</f>
        <v>Manny</v>
      </c>
    </row>
    <row r="4735">
      <c r="A4735" s="1" t="s">
        <v>4735</v>
      </c>
      <c r="B4735" s="2" t="str">
        <f>IFERROR(__xludf.DUMMYFUNCTION("GOOGLETRANSLATE(A4735, ""de"", ""en"")"),"hostage")</f>
        <v>hostage</v>
      </c>
    </row>
    <row r="4736">
      <c r="A4736" s="1" t="s">
        <v>4736</v>
      </c>
      <c r="B4736" s="2" t="str">
        <f>IFERROR(__xludf.DUMMYFUNCTION("GOOGLETRANSLATE(A4736, ""de"", ""en"")"),"just")</f>
        <v>just</v>
      </c>
    </row>
    <row r="4737">
      <c r="A4737" s="1" t="s">
        <v>4737</v>
      </c>
      <c r="B4737" s="2" t="str">
        <f>IFERROR(__xludf.DUMMYFUNCTION("GOOGLETRANSLATE(A4737, ""de"", ""en"")"),"comfort")</f>
        <v>comfort</v>
      </c>
    </row>
    <row r="4738">
      <c r="A4738" s="1" t="s">
        <v>4738</v>
      </c>
      <c r="B4738" s="2" t="str">
        <f>IFERROR(__xludf.DUMMYFUNCTION("GOOGLETRANSLATE(A4738, ""de"", ""en"")"),"hated")</f>
        <v>hated</v>
      </c>
    </row>
    <row r="4739">
      <c r="A4739" s="1" t="s">
        <v>4739</v>
      </c>
      <c r="B4739" s="2" t="str">
        <f>IFERROR(__xludf.DUMMYFUNCTION("GOOGLETRANSLATE(A4739, ""de"", ""en"")"),"a.")</f>
        <v>a.</v>
      </c>
    </row>
    <row r="4740">
      <c r="A4740" s="1" t="s">
        <v>4740</v>
      </c>
      <c r="B4740" s="2" t="str">
        <f>IFERROR(__xludf.DUMMYFUNCTION("GOOGLETRANSLATE(A4740, ""de"", ""en"")"),"taken care of")</f>
        <v>taken care of</v>
      </c>
    </row>
    <row r="4741">
      <c r="A4741" s="1" t="s">
        <v>4741</v>
      </c>
      <c r="B4741" s="2" t="str">
        <f>IFERROR(__xludf.DUMMYFUNCTION("GOOGLETRANSLATE(A4741, ""de"", ""en"")"),"archer")</f>
        <v>archer</v>
      </c>
    </row>
    <row r="4742">
      <c r="A4742" s="1" t="s">
        <v>4742</v>
      </c>
      <c r="B4742" s="2" t="str">
        <f>IFERROR(__xludf.DUMMYFUNCTION("GOOGLETRANSLATE(A4742, ""de"", ""en"")"),"spinner")</f>
        <v>spinner</v>
      </c>
    </row>
    <row r="4743">
      <c r="A4743" s="1" t="s">
        <v>4743</v>
      </c>
      <c r="B4743" s="2" t="str">
        <f>IFERROR(__xludf.DUMMYFUNCTION("GOOGLETRANSLATE(A4743, ""de"", ""en"")"),"forgiveness")</f>
        <v>forgiveness</v>
      </c>
    </row>
    <row r="4744">
      <c r="A4744" s="1" t="s">
        <v>4744</v>
      </c>
      <c r="B4744" s="2" t="str">
        <f>IFERROR(__xludf.DUMMYFUNCTION("GOOGLETRANSLATE(A4744, ""de"", ""en"")"),"cattle")</f>
        <v>cattle</v>
      </c>
    </row>
    <row r="4745">
      <c r="A4745" s="1" t="s">
        <v>4745</v>
      </c>
      <c r="B4745" s="2" t="str">
        <f>IFERROR(__xludf.DUMMYFUNCTION("GOOGLETRANSLATE(A4745, ""de"", ""en"")"),"fast")</f>
        <v>fast</v>
      </c>
    </row>
    <row r="4746">
      <c r="A4746" s="1" t="s">
        <v>4746</v>
      </c>
      <c r="B4746" s="2" t="str">
        <f>IFERROR(__xludf.DUMMYFUNCTION("GOOGLETRANSLATE(A4746, ""de"", ""en"")"),"normal")</f>
        <v>normal</v>
      </c>
    </row>
    <row r="4747">
      <c r="A4747" s="1" t="s">
        <v>4747</v>
      </c>
      <c r="B4747" s="2" t="str">
        <f>IFERROR(__xludf.DUMMYFUNCTION("GOOGLETRANSLATE(A4747, ""de"", ""en"")"),"tied up")</f>
        <v>tied up</v>
      </c>
    </row>
    <row r="4748">
      <c r="A4748" s="1" t="s">
        <v>4748</v>
      </c>
      <c r="B4748" s="2" t="str">
        <f>IFERROR(__xludf.DUMMYFUNCTION("GOOGLETRANSLATE(A4748, ""de"", ""en"")"),"loud")</f>
        <v>loud</v>
      </c>
    </row>
    <row r="4749">
      <c r="A4749" s="1" t="s">
        <v>4749</v>
      </c>
      <c r="B4749" s="2" t="str">
        <f>IFERROR(__xludf.DUMMYFUNCTION("GOOGLETRANSLATE(A4749, ""de"", ""en"")"),"cold")</f>
        <v>cold</v>
      </c>
    </row>
    <row r="4750">
      <c r="A4750" s="1" t="s">
        <v>4750</v>
      </c>
      <c r="B4750" s="2" t="str">
        <f>IFERROR(__xludf.DUMMYFUNCTION("GOOGLETRANSLATE(A4750, ""de"", ""en"")"),"directs")</f>
        <v>directs</v>
      </c>
    </row>
    <row r="4751">
      <c r="A4751" s="1" t="s">
        <v>4751</v>
      </c>
      <c r="B4751" s="2" t="str">
        <f>IFERROR(__xludf.DUMMYFUNCTION("GOOGLETRANSLATE(A4751, ""de"", ""en"")"),"tackle")</f>
        <v>tackle</v>
      </c>
    </row>
    <row r="4752">
      <c r="A4752" s="1" t="s">
        <v>4752</v>
      </c>
      <c r="B4752" s="2" t="str">
        <f>IFERROR(__xludf.DUMMYFUNCTION("GOOGLETRANSLATE(A4752, ""de"", ""en"")"),"disgusting")</f>
        <v>disgusting</v>
      </c>
    </row>
    <row r="4753">
      <c r="A4753" s="1" t="s">
        <v>4753</v>
      </c>
      <c r="B4753" s="2" t="str">
        <f>IFERROR(__xludf.DUMMYFUNCTION("GOOGLETRANSLATE(A4753, ""de"", ""en"")"),"lettuce")</f>
        <v>lettuce</v>
      </c>
    </row>
    <row r="4754">
      <c r="A4754" s="1" t="s">
        <v>4754</v>
      </c>
      <c r="B4754" s="2" t="str">
        <f>IFERROR(__xludf.DUMMYFUNCTION("GOOGLETRANSLATE(A4754, ""de"", ""en"")"),"layer")</f>
        <v>layer</v>
      </c>
    </row>
    <row r="4755">
      <c r="A4755" s="1" t="s">
        <v>4755</v>
      </c>
      <c r="B4755" s="2" t="str">
        <f>IFERROR(__xludf.DUMMYFUNCTION("GOOGLETRANSLATE(A4755, ""de"", ""en"")"),"intelligent")</f>
        <v>intelligent</v>
      </c>
    </row>
    <row r="4756">
      <c r="A4756" s="1" t="s">
        <v>4756</v>
      </c>
      <c r="B4756" s="2" t="str">
        <f>IFERROR(__xludf.DUMMYFUNCTION("GOOGLETRANSLATE(A4756, ""de"", ""en"")"),"meg")</f>
        <v>meg</v>
      </c>
    </row>
    <row r="4757">
      <c r="A4757" s="1" t="s">
        <v>4757</v>
      </c>
      <c r="B4757" s="2" t="str">
        <f>IFERROR(__xludf.DUMMYFUNCTION("GOOGLETRANSLATE(A4757, ""de"", ""en"")"),"relationship")</f>
        <v>relationship</v>
      </c>
    </row>
    <row r="4758">
      <c r="A4758" s="1" t="s">
        <v>4758</v>
      </c>
      <c r="B4758" s="2" t="str">
        <f>IFERROR(__xludf.DUMMYFUNCTION("GOOGLETRANSLATE(A4758, ""de"", ""en"")"),"socks")</f>
        <v>socks</v>
      </c>
    </row>
    <row r="4759">
      <c r="A4759" s="1" t="s">
        <v>4759</v>
      </c>
      <c r="B4759" s="2" t="str">
        <f>IFERROR(__xludf.DUMMYFUNCTION("GOOGLETRANSLATE(A4759, ""de"", ""en"")"),"wallet")</f>
        <v>wallet</v>
      </c>
    </row>
    <row r="4760">
      <c r="A4760" s="1" t="s">
        <v>4760</v>
      </c>
      <c r="B4760" s="2" t="str">
        <f>IFERROR(__xludf.DUMMYFUNCTION("GOOGLETRANSLATE(A4760, ""de"", ""en"")"),"holly")</f>
        <v>holly</v>
      </c>
    </row>
    <row r="4761">
      <c r="A4761" s="1" t="s">
        <v>4761</v>
      </c>
      <c r="B4761" s="2" t="str">
        <f>IFERROR(__xludf.DUMMYFUNCTION("GOOGLETRANSLATE(A4761, ""de"", ""en"")"),"packs")</f>
        <v>packs</v>
      </c>
    </row>
    <row r="4762">
      <c r="A4762" s="1" t="s">
        <v>4762</v>
      </c>
      <c r="B4762" s="2" t="str">
        <f>IFERROR(__xludf.DUMMYFUNCTION("GOOGLETRANSLATE(A4762, ""de"", ""en"")"),"possibly")</f>
        <v>possibly</v>
      </c>
    </row>
    <row r="4763">
      <c r="A4763" s="1" t="s">
        <v>4763</v>
      </c>
      <c r="B4763" s="2" t="str">
        <f>IFERROR(__xludf.DUMMYFUNCTION("GOOGLETRANSLATE(A4763, ""de"", ""en"")"),"nowhere")</f>
        <v>nowhere</v>
      </c>
    </row>
    <row r="4764">
      <c r="A4764" s="1" t="s">
        <v>4764</v>
      </c>
      <c r="B4764" s="2" t="str">
        <f>IFERROR(__xludf.DUMMYFUNCTION("GOOGLETRANSLATE(A4764, ""de"", ""en"")"),"method")</f>
        <v>method</v>
      </c>
    </row>
    <row r="4765">
      <c r="A4765" s="1" t="s">
        <v>4765</v>
      </c>
      <c r="B4765" s="2" t="str">
        <f>IFERROR(__xludf.DUMMYFUNCTION("GOOGLETRANSLATE(A4765, ""de"", ""en"")"),"reach")</f>
        <v>reach</v>
      </c>
    </row>
    <row r="4766">
      <c r="A4766" s="1" t="s">
        <v>4766</v>
      </c>
      <c r="B4766" s="2" t="str">
        <f>IFERROR(__xludf.DUMMYFUNCTION("GOOGLETRANSLATE(A4766, ""de"", ""en"")"),"tense")</f>
        <v>tense</v>
      </c>
    </row>
    <row r="4767">
      <c r="A4767" s="1" t="s">
        <v>4767</v>
      </c>
      <c r="B4767" s="2" t="str">
        <f>IFERROR(__xludf.DUMMYFUNCTION("GOOGLETRANSLATE(A4767, ""de"", ""en"")"),"reason")</f>
        <v>reason</v>
      </c>
    </row>
    <row r="4768">
      <c r="A4768" s="1" t="s">
        <v>4768</v>
      </c>
      <c r="B4768" s="2" t="str">
        <f>IFERROR(__xludf.DUMMYFUNCTION("GOOGLETRANSLATE(A4768, ""de"", ""en"")"),"go back")</f>
        <v>go back</v>
      </c>
    </row>
    <row r="4769">
      <c r="A4769" s="1" t="s">
        <v>4769</v>
      </c>
      <c r="B4769" s="2" t="str">
        <f>IFERROR(__xludf.DUMMYFUNCTION("GOOGLETRANSLATE(A4769, ""de"", ""en"")"),"raining")</f>
        <v>raining</v>
      </c>
    </row>
    <row r="4770">
      <c r="A4770" s="1" t="s">
        <v>4770</v>
      </c>
      <c r="B4770" s="2" t="str">
        <f>IFERROR(__xludf.DUMMYFUNCTION("GOOGLETRANSLATE(A4770, ""de"", ""en"")"),"drama")</f>
        <v>drama</v>
      </c>
    </row>
    <row r="4771">
      <c r="A4771" s="1" t="s">
        <v>4771</v>
      </c>
      <c r="B4771" s="2" t="str">
        <f>IFERROR(__xludf.DUMMYFUNCTION("GOOGLETRANSLATE(A4771, ""de"", ""en"")"),"relaxed")</f>
        <v>relaxed</v>
      </c>
    </row>
    <row r="4772">
      <c r="A4772" s="1" t="s">
        <v>4772</v>
      </c>
      <c r="B4772" s="2" t="str">
        <f>IFERROR(__xludf.DUMMYFUNCTION("GOOGLETRANSLATE(A4772, ""de"", ""en"")"),"words")</f>
        <v>words</v>
      </c>
    </row>
    <row r="4773">
      <c r="A4773" s="1" t="s">
        <v>4773</v>
      </c>
      <c r="B4773" s="2" t="str">
        <f>IFERROR(__xludf.DUMMYFUNCTION("GOOGLETRANSLATE(A4773, ""de"", ""en"")"),"ring")</f>
        <v>ring</v>
      </c>
    </row>
    <row r="4774">
      <c r="A4774" s="1" t="s">
        <v>4774</v>
      </c>
      <c r="B4774" s="2" t="str">
        <f>IFERROR(__xludf.DUMMYFUNCTION("GOOGLETRANSLATE(A4774, ""de"", ""en"")"),"quiet")</f>
        <v>quiet</v>
      </c>
    </row>
    <row r="4775">
      <c r="A4775" s="1" t="s">
        <v>4775</v>
      </c>
      <c r="B4775" s="2" t="str">
        <f>IFERROR(__xludf.DUMMYFUNCTION("GOOGLETRANSLATE(A4775, ""de"", ""en"")"),"jump")</f>
        <v>jump</v>
      </c>
    </row>
    <row r="4776">
      <c r="A4776" s="1" t="s">
        <v>4776</v>
      </c>
      <c r="B4776" s="2" t="str">
        <f>IFERROR(__xludf.DUMMYFUNCTION("GOOGLETRANSLATE(A4776, ""de"", ""en"")"),"respectable")</f>
        <v>respectable</v>
      </c>
    </row>
    <row r="4777">
      <c r="A4777" s="1" t="s">
        <v>4777</v>
      </c>
      <c r="B4777" s="2" t="str">
        <f>IFERROR(__xludf.DUMMYFUNCTION("GOOGLETRANSLATE(A4777, ""de"", ""en"")"),"gangster")</f>
        <v>gangster</v>
      </c>
    </row>
    <row r="4778">
      <c r="A4778" s="1" t="s">
        <v>4778</v>
      </c>
      <c r="B4778" s="2" t="str">
        <f>IFERROR(__xludf.DUMMYFUNCTION("GOOGLETRANSLATE(A4778, ""de"", ""en"")"),"hard")</f>
        <v>hard</v>
      </c>
    </row>
    <row r="4779">
      <c r="A4779" s="1" t="s">
        <v>4779</v>
      </c>
      <c r="B4779" s="2" t="str">
        <f>IFERROR(__xludf.DUMMYFUNCTION("GOOGLETRANSLATE(A4779, ""de"", ""en"")"),"records")</f>
        <v>records</v>
      </c>
    </row>
    <row r="4780">
      <c r="A4780" s="1" t="s">
        <v>4780</v>
      </c>
      <c r="B4780" s="2" t="str">
        <f>IFERROR(__xludf.DUMMYFUNCTION("GOOGLETRANSLATE(A4780, ""de"", ""en"")"),"oven")</f>
        <v>oven</v>
      </c>
    </row>
    <row r="4781">
      <c r="A4781" s="1" t="s">
        <v>4781</v>
      </c>
      <c r="B4781" s="2" t="str">
        <f>IFERROR(__xludf.DUMMYFUNCTION("GOOGLETRANSLATE(A4781, ""de"", ""en"")"),"cowboy")</f>
        <v>cowboy</v>
      </c>
    </row>
    <row r="4782">
      <c r="A4782" s="1" t="s">
        <v>4782</v>
      </c>
      <c r="B4782" s="2" t="str">
        <f>IFERROR(__xludf.DUMMYFUNCTION("GOOGLETRANSLATE(A4782, ""de"", ""en"")"),"finally")</f>
        <v>finally</v>
      </c>
    </row>
    <row r="4783">
      <c r="A4783" s="1" t="s">
        <v>4783</v>
      </c>
      <c r="B4783" s="2" t="str">
        <f>IFERROR(__xludf.DUMMYFUNCTION("GOOGLETRANSLATE(A4783, ""de"", ""en"")"),"tasks")</f>
        <v>tasks</v>
      </c>
    </row>
    <row r="4784">
      <c r="A4784" s="1" t="s">
        <v>4784</v>
      </c>
      <c r="B4784" s="2" t="str">
        <f>IFERROR(__xludf.DUMMYFUNCTION("GOOGLETRANSLATE(A4784, ""de"", ""en"")"),"quiet")</f>
        <v>quiet</v>
      </c>
    </row>
    <row r="4785">
      <c r="A4785" s="1" t="s">
        <v>4785</v>
      </c>
      <c r="B4785" s="2" t="str">
        <f>IFERROR(__xludf.DUMMYFUNCTION("GOOGLETRANSLATE(A4785, ""de"", ""en"")"),"German")</f>
        <v>German</v>
      </c>
    </row>
    <row r="4786">
      <c r="A4786" s="1" t="s">
        <v>4786</v>
      </c>
      <c r="B4786" s="2" t="str">
        <f>IFERROR(__xludf.DUMMYFUNCTION("GOOGLETRANSLATE(A4786, ""de"", ""en"")"),"Neil")</f>
        <v>Neil</v>
      </c>
    </row>
    <row r="4787">
      <c r="A4787" s="1" t="s">
        <v>4787</v>
      </c>
      <c r="B4787" s="2" t="str">
        <f>IFERROR(__xludf.DUMMYFUNCTION("GOOGLETRANSLATE(A4787, ""de"", ""en"")"),"vodka")</f>
        <v>vodka</v>
      </c>
    </row>
    <row r="4788">
      <c r="A4788" s="1" t="s">
        <v>4788</v>
      </c>
      <c r="B4788" s="2" t="str">
        <f>IFERROR(__xludf.DUMMYFUNCTION("GOOGLETRANSLATE(A4788, ""de"", ""en"")"),"know")</f>
        <v>know</v>
      </c>
    </row>
    <row r="4789">
      <c r="A4789" s="1" t="s">
        <v>4789</v>
      </c>
      <c r="B4789" s="2" t="str">
        <f>IFERROR(__xludf.DUMMYFUNCTION("GOOGLETRANSLATE(A4789, ""de"", ""en"")"),"air")</f>
        <v>air</v>
      </c>
    </row>
    <row r="4790">
      <c r="A4790" s="1" t="s">
        <v>4790</v>
      </c>
      <c r="B4790" s="2" t="str">
        <f>IFERROR(__xludf.DUMMYFUNCTION("GOOGLETRANSLATE(A4790, ""de"", ""en"")"),"respect")</f>
        <v>respect</v>
      </c>
    </row>
    <row r="4791">
      <c r="A4791" s="1" t="s">
        <v>4791</v>
      </c>
      <c r="B4791" s="2" t="str">
        <f>IFERROR(__xludf.DUMMYFUNCTION("GOOGLETRANSLATE(A4791, ""de"", ""en"")"),"risky")</f>
        <v>risky</v>
      </c>
    </row>
    <row r="4792">
      <c r="A4792" s="1" t="s">
        <v>4792</v>
      </c>
      <c r="B4792" s="2" t="str">
        <f>IFERROR(__xludf.DUMMYFUNCTION("GOOGLETRANSLATE(A4792, ""de"", ""en"")"),"salary")</f>
        <v>salary</v>
      </c>
    </row>
    <row r="4793">
      <c r="A4793" s="1" t="s">
        <v>4793</v>
      </c>
      <c r="B4793" s="2" t="str">
        <f>IFERROR(__xludf.DUMMYFUNCTION("GOOGLETRANSLATE(A4793, ""de"", ""en"")"),"too much")</f>
        <v>too much</v>
      </c>
    </row>
    <row r="4794">
      <c r="A4794" s="1" t="s">
        <v>4794</v>
      </c>
      <c r="B4794" s="2" t="str">
        <f>IFERROR(__xludf.DUMMYFUNCTION("GOOGLETRANSLATE(A4794, ""de"", ""en"")"),"agree")</f>
        <v>agree</v>
      </c>
    </row>
    <row r="4795">
      <c r="A4795" s="1" t="s">
        <v>4795</v>
      </c>
      <c r="B4795" s="2" t="str">
        <f>IFERROR(__xludf.DUMMYFUNCTION("GOOGLETRANSLATE(A4795, ""de"", ""en"")"),"liquor")</f>
        <v>liquor</v>
      </c>
    </row>
    <row r="4796">
      <c r="A4796" s="1" t="s">
        <v>4796</v>
      </c>
      <c r="B4796" s="2" t="str">
        <f>IFERROR(__xludf.DUMMYFUNCTION("GOOGLETRANSLATE(A4796, ""de"", ""en"")"),"troy")</f>
        <v>troy</v>
      </c>
    </row>
    <row r="4797">
      <c r="A4797" s="1" t="s">
        <v>4797</v>
      </c>
      <c r="B4797" s="2" t="str">
        <f>IFERROR(__xludf.DUMMYFUNCTION("GOOGLETRANSLATE(A4797, ""de"", ""en"")"),"level")</f>
        <v>level</v>
      </c>
    </row>
    <row r="4798">
      <c r="A4798" s="1" t="s">
        <v>4798</v>
      </c>
      <c r="B4798" s="2" t="str">
        <f>IFERROR(__xludf.DUMMYFUNCTION("GOOGLETRANSLATE(A4798, ""de"", ""en"")"),"relieved")</f>
        <v>relieved</v>
      </c>
    </row>
    <row r="4799">
      <c r="A4799" s="1" t="s">
        <v>4799</v>
      </c>
      <c r="B4799" s="2" t="str">
        <f>IFERROR(__xludf.DUMMYFUNCTION("GOOGLETRANSLATE(A4799, ""de"", ""en"")"),"barn")</f>
        <v>barn</v>
      </c>
    </row>
    <row r="4800">
      <c r="A4800" s="1" t="s">
        <v>4800</v>
      </c>
      <c r="B4800" s="2" t="str">
        <f>IFERROR(__xludf.DUMMYFUNCTION("GOOGLETRANSLATE(A4800, ""de"", ""en"")"),"Vanessa")</f>
        <v>Vanessa</v>
      </c>
    </row>
    <row r="4801">
      <c r="A4801" s="1" t="s">
        <v>4801</v>
      </c>
      <c r="B4801" s="2" t="str">
        <f>IFERROR(__xludf.DUMMYFUNCTION("GOOGLETRANSLATE(A4801, ""de"", ""en"")"),"clink")</f>
        <v>clink</v>
      </c>
    </row>
    <row r="4802">
      <c r="A4802" s="1" t="s">
        <v>4802</v>
      </c>
      <c r="B4802" s="2" t="str">
        <f>IFERROR(__xludf.DUMMYFUNCTION("GOOGLETRANSLATE(A4802, ""de"", ""en"")"),"stroll")</f>
        <v>stroll</v>
      </c>
    </row>
    <row r="4803">
      <c r="A4803" s="1" t="s">
        <v>4803</v>
      </c>
      <c r="B4803" s="2" t="str">
        <f>IFERROR(__xludf.DUMMYFUNCTION("GOOGLETRANSLATE(A4803, ""de"", ""en"")"),"Katherine")</f>
        <v>Katherine</v>
      </c>
    </row>
    <row r="4804">
      <c r="A4804" s="1" t="s">
        <v>4804</v>
      </c>
      <c r="B4804" s="2" t="str">
        <f>IFERROR(__xludf.DUMMYFUNCTION("GOOGLETRANSLATE(A4804, ""de"", ""en"")"),"note")</f>
        <v>note</v>
      </c>
    </row>
    <row r="4805">
      <c r="A4805" s="1" t="s">
        <v>4805</v>
      </c>
      <c r="B4805" s="2" t="str">
        <f>IFERROR(__xludf.DUMMYFUNCTION("GOOGLETRANSLATE(A4805, ""de"", ""en"")"),"puke")</f>
        <v>puke</v>
      </c>
    </row>
    <row r="4806">
      <c r="A4806" s="1" t="s">
        <v>4806</v>
      </c>
      <c r="B4806" s="2" t="str">
        <f>IFERROR(__xludf.DUMMYFUNCTION("GOOGLETRANSLATE(A4806, ""de"", ""en"")"),"stupid")</f>
        <v>stupid</v>
      </c>
    </row>
    <row r="4807">
      <c r="A4807" s="1" t="s">
        <v>4807</v>
      </c>
      <c r="B4807" s="2" t="str">
        <f>IFERROR(__xludf.DUMMYFUNCTION("GOOGLETRANSLATE(A4807, ""de"", ""en"")"),"hurrah")</f>
        <v>hurrah</v>
      </c>
    </row>
    <row r="4808">
      <c r="A4808" s="1" t="s">
        <v>4808</v>
      </c>
      <c r="B4808" s="2" t="str">
        <f>IFERROR(__xludf.DUMMYFUNCTION("GOOGLETRANSLATE(A4808, ""de"", ""en"")"),"lana")</f>
        <v>lana</v>
      </c>
    </row>
    <row r="4809">
      <c r="A4809" s="1" t="s">
        <v>4809</v>
      </c>
      <c r="B4809" s="2" t="str">
        <f>IFERROR(__xludf.DUMMYFUNCTION("GOOGLETRANSLATE(A4809, ""de"", ""en"")"),"symptoms")</f>
        <v>symptoms</v>
      </c>
    </row>
    <row r="4810">
      <c r="A4810" s="1" t="s">
        <v>4810</v>
      </c>
      <c r="B4810" s="2" t="str">
        <f>IFERROR(__xludf.DUMMYFUNCTION("GOOGLETRANSLATE(A4810, ""de"", ""en"")"),"ancestors")</f>
        <v>ancestors</v>
      </c>
    </row>
    <row r="4811">
      <c r="A4811" s="1" t="s">
        <v>4811</v>
      </c>
      <c r="B4811" s="2" t="str">
        <f>IFERROR(__xludf.DUMMYFUNCTION("GOOGLETRANSLATE(A4811, ""de"", ""en"")"),"useless")</f>
        <v>useless</v>
      </c>
    </row>
    <row r="4812">
      <c r="A4812" s="1" t="s">
        <v>4812</v>
      </c>
      <c r="B4812" s="2" t="str">
        <f>IFERROR(__xludf.DUMMYFUNCTION("GOOGLETRANSLATE(A4812, ""de"", ""en"")"),"shaw")</f>
        <v>shaw</v>
      </c>
    </row>
    <row r="4813">
      <c r="A4813" s="1" t="s">
        <v>4813</v>
      </c>
      <c r="B4813" s="2" t="str">
        <f>IFERROR(__xludf.DUMMYFUNCTION("GOOGLETRANSLATE(A4813, ""de"", ""en"")"),"phone number")</f>
        <v>phone number</v>
      </c>
    </row>
    <row r="4814">
      <c r="A4814" s="1" t="s">
        <v>4814</v>
      </c>
      <c r="B4814" s="2" t="str">
        <f>IFERROR(__xludf.DUMMYFUNCTION("GOOGLETRANSLATE(A4814, ""de"", ""en"")"),"again")</f>
        <v>again</v>
      </c>
    </row>
    <row r="4815">
      <c r="A4815" s="1" t="s">
        <v>4815</v>
      </c>
      <c r="B4815" s="2" t="str">
        <f>IFERROR(__xludf.DUMMYFUNCTION("GOOGLETRANSLATE(A4815, ""de"", ""en"")"),"grey")</f>
        <v>grey</v>
      </c>
    </row>
    <row r="4816">
      <c r="A4816" s="1" t="s">
        <v>4816</v>
      </c>
      <c r="B4816" s="2" t="str">
        <f>IFERROR(__xludf.DUMMYFUNCTION("GOOGLETRANSLATE(A4816, ""de"", ""en"")"),"media")</f>
        <v>media</v>
      </c>
    </row>
    <row r="4817">
      <c r="A4817" s="1" t="s">
        <v>4817</v>
      </c>
      <c r="B4817" s="2" t="str">
        <f>IFERROR(__xludf.DUMMYFUNCTION("GOOGLETRANSLATE(A4817, ""de"", ""en"")"),"lazy")</f>
        <v>lazy</v>
      </c>
    </row>
    <row r="4818">
      <c r="A4818" s="1" t="s">
        <v>4818</v>
      </c>
      <c r="B4818" s="2" t="str">
        <f>IFERROR(__xludf.DUMMYFUNCTION("GOOGLETRANSLATE(A4818, ""de"", ""en"")"),"serves")</f>
        <v>serves</v>
      </c>
    </row>
    <row r="4819">
      <c r="A4819" s="1" t="s">
        <v>4819</v>
      </c>
      <c r="B4819" s="2" t="str">
        <f>IFERROR(__xludf.DUMMYFUNCTION("GOOGLETRANSLATE(A4819, ""de"", ""en"")"),"Russell")</f>
        <v>Russell</v>
      </c>
    </row>
    <row r="4820">
      <c r="A4820" s="1" t="s">
        <v>4820</v>
      </c>
      <c r="B4820" s="2" t="str">
        <f>IFERROR(__xludf.DUMMYFUNCTION("GOOGLETRANSLATE(A4820, ""de"", ""en"")"),"events")</f>
        <v>events</v>
      </c>
    </row>
    <row r="4821">
      <c r="A4821" s="1" t="s">
        <v>4821</v>
      </c>
      <c r="B4821" s="2" t="str">
        <f>IFERROR(__xludf.DUMMYFUNCTION("GOOGLETRANSLATE(A4821, ""de"", ""en"")"),"choose")</f>
        <v>choose</v>
      </c>
    </row>
    <row r="4822">
      <c r="A4822" s="1" t="s">
        <v>4822</v>
      </c>
      <c r="B4822" s="2" t="str">
        <f>IFERROR(__xludf.DUMMYFUNCTION("GOOGLETRANSLATE(A4822, ""de"", ""en"")"),"beaten up")</f>
        <v>beaten up</v>
      </c>
    </row>
    <row r="4823">
      <c r="A4823" s="1" t="s">
        <v>4823</v>
      </c>
      <c r="B4823" s="2" t="str">
        <f>IFERROR(__xludf.DUMMYFUNCTION("GOOGLETRANSLATE(A4823, ""de"", ""en"")"),"second")</f>
        <v>second</v>
      </c>
    </row>
    <row r="4824">
      <c r="A4824" s="1" t="s">
        <v>4824</v>
      </c>
      <c r="B4824" s="2" t="str">
        <f>IFERROR(__xludf.DUMMYFUNCTION("GOOGLETRANSLATE(A4824, ""de"", ""en"")"),"Sherlock")</f>
        <v>Sherlock</v>
      </c>
    </row>
    <row r="4825">
      <c r="A4825" s="1" t="s">
        <v>4825</v>
      </c>
      <c r="B4825" s="2" t="str">
        <f>IFERROR(__xludf.DUMMYFUNCTION("GOOGLETRANSLATE(A4825, ""de"", ""en"")"),"fabulous")</f>
        <v>fabulous</v>
      </c>
    </row>
    <row r="4826">
      <c r="A4826" s="1" t="s">
        <v>4826</v>
      </c>
      <c r="B4826" s="2" t="str">
        <f>IFERROR(__xludf.DUMMYFUNCTION("GOOGLETRANSLATE(A4826, ""de"", ""en"")"),"blade")</f>
        <v>blade</v>
      </c>
    </row>
    <row r="4827">
      <c r="A4827" s="1" t="s">
        <v>4827</v>
      </c>
      <c r="B4827" s="2" t="str">
        <f>IFERROR(__xludf.DUMMYFUNCTION("GOOGLETRANSLATE(A4827, ""de"", ""en"")"),"perfomance")</f>
        <v>perfomance</v>
      </c>
    </row>
    <row r="4828">
      <c r="A4828" s="1" t="s">
        <v>4828</v>
      </c>
      <c r="B4828" s="2" t="str">
        <f>IFERROR(__xludf.DUMMYFUNCTION("GOOGLETRANSLATE(A4828, ""de"", ""en"")"),"sympathy")</f>
        <v>sympathy</v>
      </c>
    </row>
    <row r="4829">
      <c r="A4829" s="1" t="s">
        <v>4829</v>
      </c>
      <c r="B4829" s="2" t="str">
        <f>IFERROR(__xludf.DUMMYFUNCTION("GOOGLETRANSLATE(A4829, ""de"", ""en"")"),"castle")</f>
        <v>castle</v>
      </c>
    </row>
    <row r="4830">
      <c r="A4830" s="1" t="s">
        <v>4830</v>
      </c>
      <c r="B4830" s="2" t="str">
        <f>IFERROR(__xludf.DUMMYFUNCTION("GOOGLETRANSLATE(A4830, ""de"", ""en"")"),"carry out")</f>
        <v>carry out</v>
      </c>
    </row>
    <row r="4831">
      <c r="A4831" s="1" t="s">
        <v>4831</v>
      </c>
      <c r="B4831" s="2" t="str">
        <f>IFERROR(__xludf.DUMMYFUNCTION("GOOGLETRANSLATE(A4831, ""de"", ""en"")"),"Mitchell")</f>
        <v>Mitchell</v>
      </c>
    </row>
    <row r="4832">
      <c r="A4832" s="1" t="s">
        <v>4832</v>
      </c>
      <c r="B4832" s="2" t="str">
        <f>IFERROR(__xludf.DUMMYFUNCTION("GOOGLETRANSLATE(A4832, ""de"", ""en"")"),"open")</f>
        <v>open</v>
      </c>
    </row>
    <row r="4833">
      <c r="A4833" s="1" t="s">
        <v>4833</v>
      </c>
      <c r="B4833" s="2" t="str">
        <f>IFERROR(__xludf.DUMMYFUNCTION("GOOGLETRANSLATE(A4833, ""de"", ""en"")"),"innocence")</f>
        <v>innocence</v>
      </c>
    </row>
    <row r="4834">
      <c r="A4834" s="1" t="s">
        <v>4834</v>
      </c>
      <c r="B4834" s="2" t="str">
        <f>IFERROR(__xludf.DUMMYFUNCTION("GOOGLETRANSLATE(A4834, ""de"", ""en"")"),"be")</f>
        <v>be</v>
      </c>
    </row>
    <row r="4835">
      <c r="A4835" s="1" t="s">
        <v>4835</v>
      </c>
      <c r="B4835" s="2" t="str">
        <f>IFERROR(__xludf.DUMMYFUNCTION("GOOGLETRANSLATE(A4835, ""de"", ""en"")"),"bump")</f>
        <v>bump</v>
      </c>
    </row>
    <row r="4836">
      <c r="A4836" s="1" t="s">
        <v>4836</v>
      </c>
      <c r="B4836" s="2" t="str">
        <f>IFERROR(__xludf.DUMMYFUNCTION("GOOGLETRANSLATE(A4836, ""de"", ""en"")"),"palmer")</f>
        <v>palmer</v>
      </c>
    </row>
    <row r="4837">
      <c r="A4837" s="1" t="s">
        <v>4837</v>
      </c>
      <c r="B4837" s="2" t="str">
        <f>IFERROR(__xludf.DUMMYFUNCTION("GOOGLETRANSLATE(A4837, ""de"", ""en"")"),"like")</f>
        <v>like</v>
      </c>
    </row>
    <row r="4838">
      <c r="A4838" s="1" t="s">
        <v>4838</v>
      </c>
      <c r="B4838" s="2" t="str">
        <f>IFERROR(__xludf.DUMMYFUNCTION("GOOGLETRANSLATE(A4838, ""de"", ""en"")"),"enough")</f>
        <v>enough</v>
      </c>
    </row>
    <row r="4839">
      <c r="A4839" s="1" t="s">
        <v>4839</v>
      </c>
      <c r="B4839" s="2" t="str">
        <f>IFERROR(__xludf.DUMMYFUNCTION("GOOGLETRANSLATE(A4839, ""de"", ""en"")"),"sofa")</f>
        <v>sofa</v>
      </c>
    </row>
    <row r="4840">
      <c r="A4840" s="1" t="s">
        <v>4840</v>
      </c>
      <c r="B4840" s="2" t="str">
        <f>IFERROR(__xludf.DUMMYFUNCTION("GOOGLETRANSLATE(A4840, ""de"", ""en"")"),"allow")</f>
        <v>allow</v>
      </c>
    </row>
    <row r="4841">
      <c r="A4841" s="1" t="s">
        <v>4841</v>
      </c>
      <c r="B4841" s="2" t="str">
        <f>IFERROR(__xludf.DUMMYFUNCTION("GOOGLETRANSLATE(A4841, ""de"", ""en"")"),"cooked")</f>
        <v>cooked</v>
      </c>
    </row>
    <row r="4842">
      <c r="A4842" s="1" t="s">
        <v>4842</v>
      </c>
      <c r="B4842" s="2" t="str">
        <f>IFERROR(__xludf.DUMMYFUNCTION("GOOGLETRANSLATE(A4842, ""de"", ""en"")"),"beast")</f>
        <v>beast</v>
      </c>
    </row>
    <row r="4843">
      <c r="A4843" s="1" t="s">
        <v>4843</v>
      </c>
      <c r="B4843" s="2" t="str">
        <f>IFERROR(__xludf.DUMMYFUNCTION("GOOGLETRANSLATE(A4843, ""de"", ""en"")"),"lydia")</f>
        <v>lydia</v>
      </c>
    </row>
    <row r="4844">
      <c r="A4844" s="1" t="s">
        <v>4844</v>
      </c>
      <c r="B4844" s="2" t="str">
        <f>IFERROR(__xludf.DUMMYFUNCTION("GOOGLETRANSLATE(A4844, ""de"", ""en"")"),"would need")</f>
        <v>would need</v>
      </c>
    </row>
    <row r="4845">
      <c r="A4845" s="1" t="s">
        <v>4845</v>
      </c>
      <c r="B4845" s="2" t="str">
        <f>IFERROR(__xludf.DUMMYFUNCTION("GOOGLETRANSLATE(A4845, ""de"", ""en"")"),"triggered")</f>
        <v>triggered</v>
      </c>
    </row>
    <row r="4846">
      <c r="A4846" s="1" t="s">
        <v>4846</v>
      </c>
      <c r="B4846" s="2" t="str">
        <f>IFERROR(__xludf.DUMMYFUNCTION("GOOGLETRANSLATE(A4846, ""de"", ""en"")"),"fathers")</f>
        <v>fathers</v>
      </c>
    </row>
    <row r="4847">
      <c r="A4847" s="1" t="s">
        <v>4847</v>
      </c>
      <c r="B4847" s="2" t="str">
        <f>IFERROR(__xludf.DUMMYFUNCTION("GOOGLETRANSLATE(A4847, ""de"", ""en"")"),"fooled")</f>
        <v>fooled</v>
      </c>
    </row>
    <row r="4848">
      <c r="A4848" s="1" t="s">
        <v>4848</v>
      </c>
      <c r="B4848" s="2" t="str">
        <f>IFERROR(__xludf.DUMMYFUNCTION("GOOGLETRANSLATE(A4848, ""de"", ""en"")"),"butter")</f>
        <v>butter</v>
      </c>
    </row>
    <row r="4849">
      <c r="A4849" s="1" t="s">
        <v>4849</v>
      </c>
      <c r="B4849" s="2" t="str">
        <f>IFERROR(__xludf.DUMMYFUNCTION("GOOGLETRANSLATE(A4849, ""de"", ""en"")"),"neighborhood")</f>
        <v>neighborhood</v>
      </c>
    </row>
    <row r="4850">
      <c r="A4850" s="1" t="s">
        <v>4850</v>
      </c>
      <c r="B4850" s="2" t="str">
        <f>IFERROR(__xludf.DUMMYFUNCTION("GOOGLETRANSLATE(A4850, ""de"", ""en"")"),"villa")</f>
        <v>villa</v>
      </c>
    </row>
    <row r="4851">
      <c r="A4851" s="1" t="s">
        <v>4851</v>
      </c>
      <c r="B4851" s="2" t="str">
        <f>IFERROR(__xludf.DUMMYFUNCTION("GOOGLETRANSLATE(A4851, ""de"", ""en"")"),"data")</f>
        <v>data</v>
      </c>
    </row>
    <row r="4852">
      <c r="A4852" s="1" t="s">
        <v>4852</v>
      </c>
      <c r="B4852" s="2" t="str">
        <f>IFERROR(__xludf.DUMMYFUNCTION("GOOGLETRANSLATE(A4852, ""de"", ""en"")"),"golden ones")</f>
        <v>golden ones</v>
      </c>
    </row>
    <row r="4853">
      <c r="A4853" s="1" t="s">
        <v>4853</v>
      </c>
      <c r="B4853" s="2" t="str">
        <f>IFERROR(__xludf.DUMMYFUNCTION("GOOGLETRANSLATE(A4853, ""de"", ""en"")"),"close")</f>
        <v>close</v>
      </c>
    </row>
    <row r="4854">
      <c r="A4854" s="1" t="s">
        <v>4854</v>
      </c>
      <c r="B4854" s="2" t="str">
        <f>IFERROR(__xludf.DUMMYFUNCTION("GOOGLETRANSLATE(A4854, ""de"", ""en"")"),"juice")</f>
        <v>juice</v>
      </c>
    </row>
    <row r="4855">
      <c r="A4855" s="1" t="s">
        <v>4855</v>
      </c>
      <c r="B4855" s="2" t="str">
        <f>IFERROR(__xludf.DUMMYFUNCTION("GOOGLETRANSLATE(A4855, ""de"", ""en"")"),"commit")</f>
        <v>commit</v>
      </c>
    </row>
    <row r="4856">
      <c r="A4856" s="1" t="s">
        <v>4856</v>
      </c>
      <c r="B4856" s="2" t="str">
        <f>IFERROR(__xludf.DUMMYFUNCTION("GOOGLETRANSLATE(A4856, ""de"", ""en"")"),"headquarters")</f>
        <v>headquarters</v>
      </c>
    </row>
    <row r="4857">
      <c r="A4857" s="1" t="s">
        <v>4857</v>
      </c>
      <c r="B4857" s="2" t="str">
        <f>IFERROR(__xludf.DUMMYFUNCTION("GOOGLETRANSLATE(A4857, ""de"", ""en"")"),"sworn")</f>
        <v>sworn</v>
      </c>
    </row>
    <row r="4858">
      <c r="A4858" s="1" t="s">
        <v>4858</v>
      </c>
      <c r="B4858" s="2" t="str">
        <f>IFERROR(__xludf.DUMMYFUNCTION("GOOGLETRANSLATE(A4858, ""de"", ""en"")"),"removed")</f>
        <v>removed</v>
      </c>
    </row>
    <row r="4859">
      <c r="A4859" s="1" t="s">
        <v>4859</v>
      </c>
      <c r="B4859" s="2" t="str">
        <f>IFERROR(__xludf.DUMMYFUNCTION("GOOGLETRANSLATE(A4859, ""de"", ""en"")"),"workshop")</f>
        <v>workshop</v>
      </c>
    </row>
    <row r="4860">
      <c r="A4860" s="1" t="s">
        <v>4860</v>
      </c>
      <c r="B4860" s="2" t="str">
        <f>IFERROR(__xludf.DUMMYFUNCTION("GOOGLETRANSLATE(A4860, ""de"", ""en"")"),"convince")</f>
        <v>convince</v>
      </c>
    </row>
    <row r="4861">
      <c r="A4861" s="1" t="s">
        <v>4861</v>
      </c>
      <c r="B4861" s="2" t="str">
        <f>IFERROR(__xludf.DUMMYFUNCTION("GOOGLETRANSLATE(A4861, ""de"", ""en"")"),"called")</f>
        <v>called</v>
      </c>
    </row>
    <row r="4862">
      <c r="A4862" s="1" t="s">
        <v>4862</v>
      </c>
      <c r="B4862" s="2" t="str">
        <f>IFERROR(__xludf.DUMMYFUNCTION("GOOGLETRANSLATE(A4862, ""de"", ""en"")"),"vegetables")</f>
        <v>vegetables</v>
      </c>
    </row>
    <row r="4863">
      <c r="A4863" s="1" t="s">
        <v>4863</v>
      </c>
      <c r="B4863" s="2" t="str">
        <f>IFERROR(__xludf.DUMMYFUNCTION("GOOGLETRANSLATE(A4863, ""de"", ""en"")"),"bat")</f>
        <v>bat</v>
      </c>
    </row>
    <row r="4864">
      <c r="A4864" s="1" t="s">
        <v>4864</v>
      </c>
      <c r="B4864" s="2" t="str">
        <f>IFERROR(__xludf.DUMMYFUNCTION("GOOGLETRANSLATE(A4864, ""de"", ""en"")"),"eats")</f>
        <v>eats</v>
      </c>
    </row>
    <row r="4865">
      <c r="A4865" s="1" t="s">
        <v>4865</v>
      </c>
      <c r="B4865" s="2" t="str">
        <f>IFERROR(__xludf.DUMMYFUNCTION("GOOGLETRANSLATE(A4865, ""de"", ""en"")"),"admire")</f>
        <v>admire</v>
      </c>
    </row>
    <row r="4866">
      <c r="A4866" s="1" t="s">
        <v>4866</v>
      </c>
      <c r="B4866" s="2" t="str">
        <f>IFERROR(__xludf.DUMMYFUNCTION("GOOGLETRANSLATE(A4866, ""de"", ""en"")"),"divorced")</f>
        <v>divorced</v>
      </c>
    </row>
    <row r="4867">
      <c r="A4867" s="1" t="s">
        <v>4867</v>
      </c>
      <c r="B4867" s="2" t="str">
        <f>IFERROR(__xludf.DUMMYFUNCTION("GOOGLETRANSLATE(A4867, ""de"", ""en"")"),"assistant")</f>
        <v>assistant</v>
      </c>
    </row>
    <row r="4868">
      <c r="A4868" s="1" t="s">
        <v>4868</v>
      </c>
      <c r="B4868" s="2" t="str">
        <f>IFERROR(__xludf.DUMMYFUNCTION("GOOGLETRANSLATE(A4868, ""de"", ""en"")"),"competition")</f>
        <v>competition</v>
      </c>
    </row>
    <row r="4869">
      <c r="A4869" s="1" t="s">
        <v>4869</v>
      </c>
      <c r="B4869" s="2" t="str">
        <f>IFERROR(__xludf.DUMMYFUNCTION("GOOGLETRANSLATE(A4869, ""de"", ""en"")"),"lived")</f>
        <v>lived</v>
      </c>
    </row>
    <row r="4870">
      <c r="A4870" s="1" t="s">
        <v>4870</v>
      </c>
      <c r="B4870" s="2" t="str">
        <f>IFERROR(__xludf.DUMMYFUNCTION("GOOGLETRANSLATE(A4870, ""de"", ""en"")"),"winner")</f>
        <v>winner</v>
      </c>
    </row>
    <row r="4871">
      <c r="A4871" s="1" t="s">
        <v>4871</v>
      </c>
      <c r="B4871" s="2" t="str">
        <f>IFERROR(__xludf.DUMMYFUNCTION("GOOGLETRANSLATE(A4871, ""de"", ""en"")"),"constitution")</f>
        <v>constitution</v>
      </c>
    </row>
    <row r="4872">
      <c r="A4872" s="1" t="s">
        <v>4872</v>
      </c>
      <c r="B4872" s="2" t="str">
        <f>IFERROR(__xludf.DUMMYFUNCTION("GOOGLETRANSLATE(A4872, ""de"", ""en"")"),"kisses")</f>
        <v>kisses</v>
      </c>
    </row>
    <row r="4873">
      <c r="A4873" s="1" t="s">
        <v>4873</v>
      </c>
      <c r="B4873" s="2" t="str">
        <f>IFERROR(__xludf.DUMMYFUNCTION("GOOGLETRANSLATE(A4873, ""de"", ""en"")"),"football")</f>
        <v>football</v>
      </c>
    </row>
    <row r="4874">
      <c r="A4874" s="1" t="s">
        <v>4874</v>
      </c>
      <c r="B4874" s="2" t="str">
        <f>IFERROR(__xludf.DUMMYFUNCTION("GOOGLETRANSLATE(A4874, ""de"", ""en"")"),"cut")</f>
        <v>cut</v>
      </c>
    </row>
    <row r="4875">
      <c r="A4875" s="1" t="s">
        <v>4875</v>
      </c>
      <c r="B4875" s="2" t="str">
        <f>IFERROR(__xludf.DUMMYFUNCTION("GOOGLETRANSLATE(A4875, ""de"", ""en"")"),"master")</f>
        <v>master</v>
      </c>
    </row>
    <row r="4876">
      <c r="A4876" s="1" t="s">
        <v>4876</v>
      </c>
      <c r="B4876" s="2" t="str">
        <f>IFERROR(__xludf.DUMMYFUNCTION("GOOGLETRANSLATE(A4876, ""de"", ""en"")"),"squeak")</f>
        <v>squeak</v>
      </c>
    </row>
    <row r="4877">
      <c r="A4877" s="1" t="s">
        <v>4877</v>
      </c>
      <c r="B4877" s="2" t="str">
        <f>IFERROR(__xludf.DUMMYFUNCTION("GOOGLETRANSLATE(A4877, ""de"", ""en"")"),"feed")</f>
        <v>feed</v>
      </c>
    </row>
    <row r="4878">
      <c r="A4878" s="1" t="s">
        <v>4878</v>
      </c>
      <c r="B4878" s="2" t="str">
        <f>IFERROR(__xludf.DUMMYFUNCTION("GOOGLETRANSLATE(A4878, ""de"", ""en"")"),"belt")</f>
        <v>belt</v>
      </c>
    </row>
    <row r="4879">
      <c r="A4879" s="1" t="s">
        <v>4879</v>
      </c>
      <c r="B4879" s="2" t="str">
        <f>IFERROR(__xludf.DUMMYFUNCTION("GOOGLETRANSLATE(A4879, ""de"", ""en"")"),"innocent")</f>
        <v>innocent</v>
      </c>
    </row>
    <row r="4880">
      <c r="A4880" s="1" t="s">
        <v>4880</v>
      </c>
      <c r="B4880" s="2" t="str">
        <f>IFERROR(__xludf.DUMMYFUNCTION("GOOGLETRANSLATE(A4880, ""de"", ""en"")"),"human")</f>
        <v>human</v>
      </c>
    </row>
    <row r="4881">
      <c r="A4881" s="1" t="s">
        <v>4881</v>
      </c>
      <c r="B4881" s="2" t="str">
        <f>IFERROR(__xludf.DUMMYFUNCTION("GOOGLETRANSLATE(A4881, ""de"", ""en"")"),"peculiar")</f>
        <v>peculiar</v>
      </c>
    </row>
    <row r="4882">
      <c r="A4882" s="1" t="s">
        <v>4882</v>
      </c>
      <c r="B4882" s="2" t="str">
        <f>IFERROR(__xludf.DUMMYFUNCTION("GOOGLETRANSLATE(A4882, ""de"", ""en"")"),"oh dear")</f>
        <v>oh dear</v>
      </c>
    </row>
    <row r="4883">
      <c r="A4883" s="1" t="s">
        <v>4883</v>
      </c>
      <c r="B4883" s="2" t="str">
        <f>IFERROR(__xludf.DUMMYFUNCTION("GOOGLETRANSLATE(A4883, ""de"", ""en"")"),"Hanna")</f>
        <v>Hanna</v>
      </c>
    </row>
    <row r="4884">
      <c r="A4884" s="1" t="s">
        <v>4884</v>
      </c>
      <c r="B4884" s="2" t="str">
        <f>IFERROR(__xludf.DUMMYFUNCTION("GOOGLETRANSLATE(A4884, ""de"", ""en"")"),"cable")</f>
        <v>cable</v>
      </c>
    </row>
    <row r="4885">
      <c r="A4885" s="1" t="s">
        <v>4885</v>
      </c>
      <c r="B4885" s="2" t="str">
        <f>IFERROR(__xludf.DUMMYFUNCTION("GOOGLETRANSLATE(A4885, ""de"", ""en"")"),"Duke")</f>
        <v>Duke</v>
      </c>
    </row>
    <row r="4886">
      <c r="A4886" s="1" t="s">
        <v>4886</v>
      </c>
      <c r="B4886" s="2" t="str">
        <f>IFERROR(__xludf.DUMMYFUNCTION("GOOGLETRANSLATE(A4886, ""de"", ""en"")"),"French")</f>
        <v>French</v>
      </c>
    </row>
    <row r="4887">
      <c r="A4887" s="1" t="s">
        <v>4887</v>
      </c>
      <c r="B4887" s="2" t="str">
        <f>IFERROR(__xludf.DUMMYFUNCTION("GOOGLETRANSLATE(A4887, ""de"", ""en"")"),"tooth")</f>
        <v>tooth</v>
      </c>
    </row>
    <row r="4888">
      <c r="A4888" s="1" t="s">
        <v>4888</v>
      </c>
      <c r="B4888" s="2" t="str">
        <f>IFERROR(__xludf.DUMMYFUNCTION("GOOGLETRANSLATE(A4888, ""de"", ""en"")"),"lands")</f>
        <v>lands</v>
      </c>
    </row>
    <row r="4889">
      <c r="A4889" s="1" t="s">
        <v>4889</v>
      </c>
      <c r="B4889" s="2" t="str">
        <f>IFERROR(__xludf.DUMMYFUNCTION("GOOGLETRANSLATE(A4889, ""de"", ""en"")"),"boxes")</f>
        <v>boxes</v>
      </c>
    </row>
    <row r="4890">
      <c r="A4890" s="1" t="s">
        <v>4890</v>
      </c>
      <c r="B4890" s="2" t="str">
        <f>IFERROR(__xludf.DUMMYFUNCTION("GOOGLETRANSLATE(A4890, ""de"", ""en"")"),"lie")</f>
        <v>lie</v>
      </c>
    </row>
    <row r="4891">
      <c r="A4891" s="1" t="s">
        <v>4891</v>
      </c>
      <c r="B4891" s="2" t="str">
        <f>IFERROR(__xludf.DUMMYFUNCTION("GOOGLETRANSLATE(A4891, ""de"", ""en"")"),"mona")</f>
        <v>mona</v>
      </c>
    </row>
    <row r="4892">
      <c r="A4892" s="1" t="s">
        <v>4892</v>
      </c>
      <c r="B4892" s="2" t="str">
        <f>IFERROR(__xludf.DUMMYFUNCTION("GOOGLETRANSLATE(A4892, ""de"", ""en"")"),"hospital ward")</f>
        <v>hospital ward</v>
      </c>
    </row>
    <row r="4893">
      <c r="A4893" s="1" t="s">
        <v>4893</v>
      </c>
      <c r="B4893" s="2" t="str">
        <f>IFERROR(__xludf.DUMMYFUNCTION("GOOGLETRANSLATE(A4893, ""de"", ""en"")"),"leash")</f>
        <v>leash</v>
      </c>
    </row>
    <row r="4894">
      <c r="A4894" s="1" t="s">
        <v>4894</v>
      </c>
      <c r="B4894" s="2" t="str">
        <f>IFERROR(__xludf.DUMMYFUNCTION("GOOGLETRANSLATE(A4894, ""de"", ""en"")"),"description")</f>
        <v>description</v>
      </c>
    </row>
    <row r="4895">
      <c r="A4895" s="1" t="s">
        <v>4895</v>
      </c>
      <c r="B4895" s="2" t="str">
        <f>IFERROR(__xludf.DUMMYFUNCTION("GOOGLETRANSLATE(A4895, ""de"", ""en"")"),"makes up")</f>
        <v>makes up</v>
      </c>
    </row>
    <row r="4896">
      <c r="A4896" s="1" t="s">
        <v>4896</v>
      </c>
      <c r="B4896" s="2" t="str">
        <f>IFERROR(__xludf.DUMMYFUNCTION("GOOGLETRANSLATE(A4896, ""de"", ""en"")"),"damaged")</f>
        <v>damaged</v>
      </c>
    </row>
    <row r="4897">
      <c r="A4897" s="1" t="s">
        <v>4897</v>
      </c>
      <c r="B4897" s="2" t="str">
        <f>IFERROR(__xludf.DUMMYFUNCTION("GOOGLETRANSLATE(A4897, ""de"", ""en"")"),"property")</f>
        <v>property</v>
      </c>
    </row>
    <row r="4898">
      <c r="A4898" s="1" t="s">
        <v>4898</v>
      </c>
      <c r="B4898" s="2" t="str">
        <f>IFERROR(__xludf.DUMMYFUNCTION("GOOGLETRANSLATE(A4898, ""de"", ""en"")"),"stuck")</f>
        <v>stuck</v>
      </c>
    </row>
    <row r="4899">
      <c r="A4899" s="1" t="s">
        <v>4899</v>
      </c>
      <c r="B4899" s="2" t="str">
        <f>IFERROR(__xludf.DUMMYFUNCTION("GOOGLETRANSLATE(A4899, ""de"", ""en"")"),"train")</f>
        <v>train</v>
      </c>
    </row>
    <row r="4900">
      <c r="A4900" s="1" t="s">
        <v>4900</v>
      </c>
      <c r="B4900" s="2" t="str">
        <f>IFERROR(__xludf.DUMMYFUNCTION("GOOGLETRANSLATE(A4900, ""de"", ""en"")"),"tower")</f>
        <v>tower</v>
      </c>
    </row>
    <row r="4901">
      <c r="A4901" s="1" t="s">
        <v>4901</v>
      </c>
      <c r="B4901" s="2" t="str">
        <f>IFERROR(__xludf.DUMMYFUNCTION("GOOGLETRANSLATE(A4901, ""de"", ""en"")"),"mine")</f>
        <v>mine</v>
      </c>
    </row>
    <row r="4902">
      <c r="A4902" s="1" t="s">
        <v>4902</v>
      </c>
      <c r="B4902" s="2" t="str">
        <f>IFERROR(__xludf.DUMMYFUNCTION("GOOGLETRANSLATE(A4902, ""de"", ""en"")"),"oxygen")</f>
        <v>oxygen</v>
      </c>
    </row>
    <row r="4903">
      <c r="A4903" s="1" t="s">
        <v>4903</v>
      </c>
      <c r="B4903" s="2" t="str">
        <f>IFERROR(__xludf.DUMMYFUNCTION("GOOGLETRANSLATE(A4903, ""de"", ""en"")"),"nope")</f>
        <v>nope</v>
      </c>
    </row>
    <row r="4904">
      <c r="A4904" s="1" t="s">
        <v>4904</v>
      </c>
      <c r="B4904" s="2" t="str">
        <f>IFERROR(__xludf.DUMMYFUNCTION("GOOGLETRANSLATE(A4904, ""de"", ""en"")"),"given")</f>
        <v>given</v>
      </c>
    </row>
    <row r="4905">
      <c r="A4905" s="1" t="s">
        <v>4905</v>
      </c>
      <c r="B4905" s="2" t="str">
        <f>IFERROR(__xludf.DUMMYFUNCTION("GOOGLETRANSLATE(A4905, ""de"", ""en"")"),"ll")</f>
        <v>ll</v>
      </c>
    </row>
    <row r="4906">
      <c r="A4906" s="1" t="s">
        <v>4906</v>
      </c>
      <c r="B4906" s="2" t="str">
        <f>IFERROR(__xludf.DUMMYFUNCTION("GOOGLETRANSLATE(A4906, ""de"", ""en"")"),"failure")</f>
        <v>failure</v>
      </c>
    </row>
    <row r="4907">
      <c r="A4907" s="1" t="s">
        <v>4907</v>
      </c>
      <c r="B4907" s="2" t="str">
        <f>IFERROR(__xludf.DUMMYFUNCTION("GOOGLETRANSLATE(A4907, ""de"", ""en"")"),"because of you")</f>
        <v>because of you</v>
      </c>
    </row>
    <row r="4908">
      <c r="A4908" s="1" t="s">
        <v>4908</v>
      </c>
      <c r="B4908" s="2" t="str">
        <f>IFERROR(__xludf.DUMMYFUNCTION("GOOGLETRANSLATE(A4908, ""de"", ""en"")"),"vic")</f>
        <v>vic</v>
      </c>
    </row>
    <row r="4909">
      <c r="A4909" s="1" t="s">
        <v>4909</v>
      </c>
      <c r="B4909" s="2" t="str">
        <f>IFERROR(__xludf.DUMMYFUNCTION("GOOGLETRANSLATE(A4909, ""de"", ""en"")"),"accused")</f>
        <v>accused</v>
      </c>
    </row>
    <row r="4910">
      <c r="A4910" s="1" t="s">
        <v>4910</v>
      </c>
      <c r="B4910" s="2" t="str">
        <f>IFERROR(__xludf.DUMMYFUNCTION("GOOGLETRANSLATE(A4910, ""de"", ""en"")"),"stops")</f>
        <v>stops</v>
      </c>
    </row>
    <row r="4911">
      <c r="A4911" s="1" t="s">
        <v>4911</v>
      </c>
      <c r="B4911" s="2" t="str">
        <f>IFERROR(__xludf.DUMMYFUNCTION("GOOGLETRANSLATE(A4911, ""de"", ""en"")"),"bathe")</f>
        <v>bathe</v>
      </c>
    </row>
    <row r="4912">
      <c r="A4912" s="1" t="s">
        <v>4912</v>
      </c>
      <c r="B4912" s="2" t="str">
        <f>IFERROR(__xludf.DUMMYFUNCTION("GOOGLETRANSLATE(A4912, ""de"", ""en"")"),"crack")</f>
        <v>crack</v>
      </c>
    </row>
    <row r="4913">
      <c r="A4913" s="1" t="s">
        <v>4913</v>
      </c>
      <c r="B4913" s="2" t="str">
        <f>IFERROR(__xludf.DUMMYFUNCTION("GOOGLETRANSLATE(A4913, ""de"", ""en"")"),"connections")</f>
        <v>connections</v>
      </c>
    </row>
    <row r="4914">
      <c r="A4914" s="1" t="s">
        <v>4914</v>
      </c>
      <c r="B4914" s="2" t="str">
        <f>IFERROR(__xludf.DUMMYFUNCTION("GOOGLETRANSLATE(A4914, ""de"", ""en"")"),"tank")</f>
        <v>tank</v>
      </c>
    </row>
    <row r="4915">
      <c r="A4915" s="1" t="s">
        <v>4915</v>
      </c>
      <c r="B4915" s="2" t="str">
        <f>IFERROR(__xludf.DUMMYFUNCTION("GOOGLETRANSLATE(A4915, ""de"", ""en"")"),"Marcel")</f>
        <v>Marcel</v>
      </c>
    </row>
    <row r="4916">
      <c r="A4916" s="1" t="s">
        <v>4916</v>
      </c>
      <c r="B4916" s="2" t="str">
        <f>IFERROR(__xludf.DUMMYFUNCTION("GOOGLETRANSLATE(A4916, ""de"", ""en"")"),"Bach")</f>
        <v>Bach</v>
      </c>
    </row>
    <row r="4917">
      <c r="A4917" s="1" t="s">
        <v>4917</v>
      </c>
      <c r="B4917" s="2" t="str">
        <f>IFERROR(__xludf.DUMMYFUNCTION("GOOGLETRANSLATE(A4917, ""de"", ""en"")"),"quieter")</f>
        <v>quieter</v>
      </c>
    </row>
    <row r="4918">
      <c r="A4918" s="1" t="s">
        <v>4918</v>
      </c>
      <c r="B4918" s="2" t="str">
        <f>IFERROR(__xludf.DUMMYFUNCTION("GOOGLETRANSLATE(A4918, ""de"", ""en"")"),"babble of voices")</f>
        <v>babble of voices</v>
      </c>
    </row>
    <row r="4919">
      <c r="A4919" s="1" t="s">
        <v>4919</v>
      </c>
      <c r="B4919" s="2" t="str">
        <f>IFERROR(__xludf.DUMMYFUNCTION("GOOGLETRANSLATE(A4919, ""de"", ""en"")"),"destruction")</f>
        <v>destruction</v>
      </c>
    </row>
    <row r="4920">
      <c r="A4920" s="1" t="s">
        <v>4920</v>
      </c>
      <c r="B4920" s="2" t="str">
        <f>IFERROR(__xludf.DUMMYFUNCTION("GOOGLETRANSLATE(A4920, ""de"", ""en"")"),"forehead")</f>
        <v>forehead</v>
      </c>
    </row>
    <row r="4921">
      <c r="A4921" s="1" t="s">
        <v>4921</v>
      </c>
      <c r="B4921" s="2" t="str">
        <f>IFERROR(__xludf.DUMMYFUNCTION("GOOGLETRANSLATE(A4921, ""de"", ""en"")"),"finn")</f>
        <v>finn</v>
      </c>
    </row>
    <row r="4922">
      <c r="A4922" s="1" t="s">
        <v>4922</v>
      </c>
      <c r="B4922" s="2" t="str">
        <f>IFERROR(__xludf.DUMMYFUNCTION("GOOGLETRANSLATE(A4922, ""de"", ""en"")"),"soft")</f>
        <v>soft</v>
      </c>
    </row>
    <row r="4923">
      <c r="A4923" s="1" t="s">
        <v>4923</v>
      </c>
      <c r="B4923" s="2" t="str">
        <f>IFERROR(__xludf.DUMMYFUNCTION("GOOGLETRANSLATE(A4923, ""de"", ""en"")"),"monastery")</f>
        <v>monastery</v>
      </c>
    </row>
    <row r="4924">
      <c r="A4924" s="1" t="s">
        <v>4924</v>
      </c>
      <c r="B4924" s="2" t="str">
        <f>IFERROR(__xludf.DUMMYFUNCTION("GOOGLETRANSLATE(A4924, ""de"", ""en"")"),"charming")</f>
        <v>charming</v>
      </c>
    </row>
    <row r="4925">
      <c r="A4925" s="1" t="s">
        <v>4925</v>
      </c>
      <c r="B4925" s="2" t="str">
        <f>IFERROR(__xludf.DUMMYFUNCTION("GOOGLETRANSLATE(A4925, ""de"", ""en"")"),"build up")</f>
        <v>build up</v>
      </c>
    </row>
    <row r="4926">
      <c r="A4926" s="1" t="s">
        <v>4926</v>
      </c>
      <c r="B4926" s="2" t="str">
        <f>IFERROR(__xludf.DUMMYFUNCTION("GOOGLETRANSLATE(A4926, ""de"", ""en"")"),"thanksgiving")</f>
        <v>thanksgiving</v>
      </c>
    </row>
    <row r="4927">
      <c r="A4927" s="1" t="s">
        <v>4927</v>
      </c>
      <c r="B4927" s="2" t="str">
        <f>IFERROR(__xludf.DUMMYFUNCTION("GOOGLETRANSLATE(A4927, ""de"", ""en"")"),"occasion")</f>
        <v>occasion</v>
      </c>
    </row>
    <row r="4928">
      <c r="A4928" s="1" t="s">
        <v>4928</v>
      </c>
      <c r="B4928" s="2" t="str">
        <f>IFERROR(__xludf.DUMMYFUNCTION("GOOGLETRANSLATE(A4928, ""de"", ""en"")"),"count")</f>
        <v>count</v>
      </c>
    </row>
    <row r="4929">
      <c r="A4929" s="1" t="s">
        <v>4929</v>
      </c>
      <c r="B4929" s="2" t="str">
        <f>IFERROR(__xludf.DUMMYFUNCTION("GOOGLETRANSLATE(A4929, ""de"", ""en"")"),"fall in love")</f>
        <v>fall in love</v>
      </c>
    </row>
    <row r="4930">
      <c r="A4930" s="1" t="s">
        <v>4930</v>
      </c>
      <c r="B4930" s="2" t="str">
        <f>IFERROR(__xludf.DUMMYFUNCTION("GOOGLETRANSLATE(A4930, ""de"", ""en"")"),"atmosphere")</f>
        <v>atmosphere</v>
      </c>
    </row>
    <row r="4931">
      <c r="A4931" s="1" t="s">
        <v>4931</v>
      </c>
      <c r="B4931" s="2" t="str">
        <f>IFERROR(__xludf.DUMMYFUNCTION("GOOGLETRANSLATE(A4931, ""de"", ""en"")"),"ronnie")</f>
        <v>ronnie</v>
      </c>
    </row>
    <row r="4932">
      <c r="A4932" s="1" t="s">
        <v>4932</v>
      </c>
      <c r="B4932" s="2" t="str">
        <f>IFERROR(__xludf.DUMMYFUNCTION("GOOGLETRANSLATE(A4932, ""de"", ""en"")"),"samantha")</f>
        <v>samantha</v>
      </c>
    </row>
    <row r="4933">
      <c r="A4933" s="1" t="s">
        <v>4933</v>
      </c>
      <c r="B4933" s="2" t="str">
        <f>IFERROR(__xludf.DUMMYFUNCTION("GOOGLETRANSLATE(A4933, ""de"", ""en"")"),"liver")</f>
        <v>liver</v>
      </c>
    </row>
    <row r="4934">
      <c r="A4934" s="1" t="s">
        <v>4934</v>
      </c>
      <c r="B4934" s="2" t="str">
        <f>IFERROR(__xludf.DUMMYFUNCTION("GOOGLETRANSLATE(A4934, ""de"", ""en"")"),"that one")</f>
        <v>that one</v>
      </c>
    </row>
    <row r="4935">
      <c r="A4935" s="1" t="s">
        <v>4935</v>
      </c>
      <c r="B4935" s="2" t="str">
        <f>IFERROR(__xludf.DUMMYFUNCTION("GOOGLETRANSLATE(A4935, ""de"", ""en"")"),"encounter")</f>
        <v>encounter</v>
      </c>
    </row>
    <row r="4936">
      <c r="A4936" s="1" t="s">
        <v>4936</v>
      </c>
      <c r="B4936" s="2" t="str">
        <f>IFERROR(__xludf.DUMMYFUNCTION("GOOGLETRANSLATE(A4936, ""de"", ""en"")"),"stupid")</f>
        <v>stupid</v>
      </c>
    </row>
    <row r="4937">
      <c r="A4937" s="1" t="s">
        <v>4937</v>
      </c>
      <c r="B4937" s="2" t="str">
        <f>IFERROR(__xludf.DUMMYFUNCTION("GOOGLETRANSLATE(A4937, ""de"", ""en"")"),"necktie")</f>
        <v>necktie</v>
      </c>
    </row>
    <row r="4938">
      <c r="A4938" s="1" t="s">
        <v>4938</v>
      </c>
      <c r="B4938" s="2" t="str">
        <f>IFERROR(__xludf.DUMMYFUNCTION("GOOGLETRANSLATE(A4938, ""de"", ""en"")"),"Juan")</f>
        <v>Juan</v>
      </c>
    </row>
    <row r="4939">
      <c r="A4939" s="1" t="s">
        <v>4939</v>
      </c>
      <c r="B4939" s="2" t="str">
        <f>IFERROR(__xludf.DUMMYFUNCTION("GOOGLETRANSLATE(A4939, ""de"", ""en"")"),"camouflage")</f>
        <v>camouflage</v>
      </c>
    </row>
    <row r="4940">
      <c r="A4940" s="1" t="s">
        <v>4940</v>
      </c>
      <c r="B4940" s="2" t="str">
        <f>IFERROR(__xludf.DUMMYFUNCTION("GOOGLETRANSLATE(A4940, ""de"", ""en"")"),"Canada")</f>
        <v>Canada</v>
      </c>
    </row>
    <row r="4941">
      <c r="A4941" s="1" t="s">
        <v>4941</v>
      </c>
      <c r="B4941" s="2" t="str">
        <f>IFERROR(__xludf.DUMMYFUNCTION("GOOGLETRANSLATE(A4941, ""de"", ""en"")"),"alpha")</f>
        <v>alpha</v>
      </c>
    </row>
    <row r="4942">
      <c r="A4942" s="1" t="s">
        <v>4942</v>
      </c>
      <c r="B4942" s="2" t="str">
        <f>IFERROR(__xludf.DUMMYFUNCTION("GOOGLETRANSLATE(A4942, ""de"", ""en"")"),"baker")</f>
        <v>baker</v>
      </c>
    </row>
    <row r="4943">
      <c r="A4943" s="1" t="s">
        <v>4943</v>
      </c>
      <c r="B4943" s="2" t="str">
        <f>IFERROR(__xludf.DUMMYFUNCTION("GOOGLETRANSLATE(A4943, ""de"", ""en"")"),"tablets")</f>
        <v>tablets</v>
      </c>
    </row>
    <row r="4944">
      <c r="A4944" s="1" t="s">
        <v>4944</v>
      </c>
      <c r="B4944" s="2" t="str">
        <f>IFERROR(__xludf.DUMMYFUNCTION("GOOGLETRANSLATE(A4944, ""de"", ""en"")"),"fist")</f>
        <v>fist</v>
      </c>
    </row>
    <row r="4945">
      <c r="A4945" s="1" t="s">
        <v>4945</v>
      </c>
      <c r="B4945" s="2" t="str">
        <f>IFERROR(__xludf.DUMMYFUNCTION("GOOGLETRANSLATE(A4945, ""de"", ""en"")"),"appear")</f>
        <v>appear</v>
      </c>
    </row>
    <row r="4946">
      <c r="A4946" s="1" t="s">
        <v>4946</v>
      </c>
      <c r="B4946" s="2" t="str">
        <f>IFERROR(__xludf.DUMMYFUNCTION("GOOGLETRANSLATE(A4946, ""de"", ""en"")"),"monroe")</f>
        <v>monroe</v>
      </c>
    </row>
    <row r="4947">
      <c r="A4947" s="1" t="s">
        <v>4947</v>
      </c>
      <c r="B4947" s="2" t="str">
        <f>IFERROR(__xludf.DUMMYFUNCTION("GOOGLETRANSLATE(A4947, ""de"", ""en"")"),"sheet")</f>
        <v>sheet</v>
      </c>
    </row>
    <row r="4948">
      <c r="A4948" s="1" t="s">
        <v>4948</v>
      </c>
      <c r="B4948" s="2" t="str">
        <f>IFERROR(__xludf.DUMMYFUNCTION("GOOGLETRANSLATE(A4948, ""de"", ""en"")"),"deleted")</f>
        <v>deleted</v>
      </c>
    </row>
    <row r="4949">
      <c r="A4949" s="1" t="s">
        <v>4949</v>
      </c>
      <c r="B4949" s="2" t="str">
        <f>IFERROR(__xludf.DUMMYFUNCTION("GOOGLETRANSLATE(A4949, ""de"", ""en"")"),"jungle")</f>
        <v>jungle</v>
      </c>
    </row>
    <row r="4950">
      <c r="A4950" s="1" t="s">
        <v>4950</v>
      </c>
      <c r="B4950" s="2" t="str">
        <f>IFERROR(__xludf.DUMMYFUNCTION("GOOGLETRANSLATE(A4950, ""de"", ""en"")"),"Alison")</f>
        <v>Alison</v>
      </c>
    </row>
    <row r="4951">
      <c r="A4951" s="1" t="s">
        <v>4951</v>
      </c>
      <c r="B4951" s="2" t="str">
        <f>IFERROR(__xludf.DUMMYFUNCTION("GOOGLETRANSLATE(A4951, ""de"", ""en"")"),"cute")</f>
        <v>cute</v>
      </c>
    </row>
    <row r="4952">
      <c r="A4952" s="1" t="s">
        <v>4952</v>
      </c>
      <c r="B4952" s="2" t="str">
        <f>IFERROR(__xludf.DUMMYFUNCTION("GOOGLETRANSLATE(A4952, ""de"", ""en"")"),"c.")</f>
        <v>c.</v>
      </c>
    </row>
    <row r="4953">
      <c r="A4953" s="1" t="s">
        <v>4953</v>
      </c>
      <c r="B4953" s="2" t="str">
        <f>IFERROR(__xludf.DUMMYFUNCTION("GOOGLETRANSLATE(A4953, ""de"", ""en"")"),"suit")</f>
        <v>suit</v>
      </c>
    </row>
    <row r="4954">
      <c r="A4954" s="1" t="s">
        <v>4954</v>
      </c>
      <c r="B4954" s="2" t="str">
        <f>IFERROR(__xludf.DUMMYFUNCTION("GOOGLETRANSLATE(A4954, ""de"", ""en"")"),"wanted")</f>
        <v>wanted</v>
      </c>
    </row>
    <row r="4955">
      <c r="A4955" s="1" t="s">
        <v>4955</v>
      </c>
      <c r="B4955" s="2" t="str">
        <f>IFERROR(__xludf.DUMMYFUNCTION("GOOGLETRANSLATE(A4955, ""de"", ""en"")"),"jonas")</f>
        <v>jonas</v>
      </c>
    </row>
    <row r="4956">
      <c r="A4956" s="1" t="s">
        <v>4956</v>
      </c>
      <c r="B4956" s="2" t="str">
        <f>IFERROR(__xludf.DUMMYFUNCTION("GOOGLETRANSLATE(A4956, ""de"", ""en"")"),"act")</f>
        <v>act</v>
      </c>
    </row>
    <row r="4957">
      <c r="A4957" s="1" t="s">
        <v>4957</v>
      </c>
      <c r="B4957" s="2" t="str">
        <f>IFERROR(__xludf.DUMMYFUNCTION("GOOGLETRANSLATE(A4957, ""de"", ""en"")"),"shoot-out")</f>
        <v>shoot-out</v>
      </c>
    </row>
    <row r="4958">
      <c r="A4958" s="1" t="s">
        <v>4958</v>
      </c>
      <c r="B4958" s="2" t="str">
        <f>IFERROR(__xludf.DUMMYFUNCTION("GOOGLETRANSLATE(A4958, ""de"", ""en"")"),"lawyer")</f>
        <v>lawyer</v>
      </c>
    </row>
    <row r="4959">
      <c r="A4959" s="1" t="s">
        <v>4959</v>
      </c>
      <c r="B4959" s="2" t="str">
        <f>IFERROR(__xludf.DUMMYFUNCTION("GOOGLETRANSLATE(A4959, ""de"", ""en"")"),"consider")</f>
        <v>consider</v>
      </c>
    </row>
    <row r="4960">
      <c r="A4960" s="1" t="s">
        <v>4960</v>
      </c>
      <c r="B4960" s="2" t="str">
        <f>IFERROR(__xludf.DUMMYFUNCTION("GOOGLETRANSLATE(A4960, ""de"", ""en"")"),"hairstyle")</f>
        <v>hairstyle</v>
      </c>
    </row>
    <row r="4961">
      <c r="A4961" s="1" t="s">
        <v>4961</v>
      </c>
      <c r="B4961" s="2" t="str">
        <f>IFERROR(__xludf.DUMMYFUNCTION("GOOGLETRANSLATE(A4961, ""de"", ""en"")"),"saying")</f>
        <v>saying</v>
      </c>
    </row>
    <row r="4962">
      <c r="A4962" s="1" t="s">
        <v>4962</v>
      </c>
      <c r="B4962" s="2" t="str">
        <f>IFERROR(__xludf.DUMMYFUNCTION("GOOGLETRANSLATE(A4962, ""de"", ""en"")"),"those")</f>
        <v>those</v>
      </c>
    </row>
    <row r="4963">
      <c r="A4963" s="1" t="s">
        <v>4963</v>
      </c>
      <c r="B4963" s="2" t="str">
        <f>IFERROR(__xludf.DUMMYFUNCTION("GOOGLETRANSLATE(A4963, ""de"", ""en"")"),"moral")</f>
        <v>moral</v>
      </c>
    </row>
    <row r="4964">
      <c r="A4964" s="1" t="s">
        <v>4964</v>
      </c>
      <c r="B4964" s="2" t="str">
        <f>IFERROR(__xludf.DUMMYFUNCTION("GOOGLETRANSLATE(A4964, ""de"", ""en"")"),"matters")</f>
        <v>matters</v>
      </c>
    </row>
    <row r="4965">
      <c r="A4965" s="1" t="s">
        <v>4965</v>
      </c>
      <c r="B4965" s="2" t="str">
        <f>IFERROR(__xludf.DUMMYFUNCTION("GOOGLETRANSLATE(A4965, ""de"", ""en"")"),"documents")</f>
        <v>documents</v>
      </c>
    </row>
    <row r="4966">
      <c r="A4966" s="1" t="s">
        <v>4966</v>
      </c>
      <c r="B4966" s="2" t="str">
        <f>IFERROR(__xludf.DUMMYFUNCTION("GOOGLETRANSLATE(A4966, ""de"", ""en"")"),"cheerful")</f>
        <v>cheerful</v>
      </c>
    </row>
    <row r="4967">
      <c r="A4967" s="1" t="s">
        <v>4967</v>
      </c>
      <c r="B4967" s="2" t="str">
        <f>IFERROR(__xludf.DUMMYFUNCTION("GOOGLETRANSLATE(A4967, ""de"", ""en"")"),"species")</f>
        <v>species</v>
      </c>
    </row>
    <row r="4968">
      <c r="A4968" s="1" t="s">
        <v>4968</v>
      </c>
      <c r="B4968" s="2" t="str">
        <f>IFERROR(__xludf.DUMMYFUNCTION("GOOGLETRANSLATE(A4968, ""de"", ""en"")"),"October")</f>
        <v>October</v>
      </c>
    </row>
    <row r="4969">
      <c r="A4969" s="1" t="s">
        <v>4969</v>
      </c>
      <c r="B4969" s="2" t="str">
        <f>IFERROR(__xludf.DUMMYFUNCTION("GOOGLETRANSLATE(A4969, ""de"", ""en"")"),"box")</f>
        <v>box</v>
      </c>
    </row>
    <row r="4970">
      <c r="A4970" s="1" t="s">
        <v>4970</v>
      </c>
      <c r="B4970" s="2" t="str">
        <f>IFERROR(__xludf.DUMMYFUNCTION("GOOGLETRANSLATE(A4970, ""de"", ""en"")"),"victim")</f>
        <v>victim</v>
      </c>
    </row>
    <row r="4971">
      <c r="A4971" s="1" t="s">
        <v>4971</v>
      </c>
      <c r="B4971" s="2" t="str">
        <f>IFERROR(__xludf.DUMMYFUNCTION("GOOGLETRANSLATE(A4971, ""de"", ""en"")"),"grades")</f>
        <v>grades</v>
      </c>
    </row>
    <row r="4972">
      <c r="A4972" s="1" t="s">
        <v>4972</v>
      </c>
      <c r="B4972" s="2" t="str">
        <f>IFERROR(__xludf.DUMMYFUNCTION("GOOGLETRANSLATE(A4972, ""de"", ""en"")"),"ellie")</f>
        <v>ellie</v>
      </c>
    </row>
    <row r="4973">
      <c r="A4973" s="1" t="s">
        <v>4973</v>
      </c>
      <c r="B4973" s="2" t="str">
        <f>IFERROR(__xludf.DUMMYFUNCTION("GOOGLETRANSLATE(A4973, ""de"", ""en"")"),"somewhere")</f>
        <v>somewhere</v>
      </c>
    </row>
    <row r="4974">
      <c r="A4974" s="1" t="s">
        <v>4974</v>
      </c>
      <c r="B4974" s="2" t="str">
        <f>IFERROR(__xludf.DUMMYFUNCTION("GOOGLETRANSLATE(A4974, ""de"", ""en"")"),"nora")</f>
        <v>nora</v>
      </c>
    </row>
    <row r="4975">
      <c r="A4975" s="1" t="s">
        <v>4975</v>
      </c>
      <c r="B4975" s="2" t="str">
        <f>IFERROR(__xludf.DUMMYFUNCTION("GOOGLETRANSLATE(A4975, ""de"", ""en"")"),"spring")</f>
        <v>spring</v>
      </c>
    </row>
    <row r="4976">
      <c r="A4976" s="1" t="s">
        <v>4976</v>
      </c>
      <c r="B4976" s="2" t="str">
        <f>IFERROR(__xludf.DUMMYFUNCTION("GOOGLETRANSLATE(A4976, ""de"", ""en"")"),"toby")</f>
        <v>toby</v>
      </c>
    </row>
    <row r="4977">
      <c r="A4977" s="1" t="s">
        <v>4977</v>
      </c>
      <c r="B4977" s="2" t="str">
        <f>IFERROR(__xludf.DUMMYFUNCTION("GOOGLETRANSLATE(A4977, ""de"", ""en"")"),"Sandy")</f>
        <v>Sandy</v>
      </c>
    </row>
    <row r="4978">
      <c r="A4978" s="1" t="s">
        <v>4978</v>
      </c>
      <c r="B4978" s="2" t="str">
        <f>IFERROR(__xludf.DUMMYFUNCTION("GOOGLETRANSLATE(A4978, ""de"", ""en"")"),"lamp")</f>
        <v>lamp</v>
      </c>
    </row>
    <row r="4979">
      <c r="A4979" s="1" t="s">
        <v>4979</v>
      </c>
      <c r="B4979" s="2" t="str">
        <f>IFERROR(__xludf.DUMMYFUNCTION("GOOGLETRANSLATE(A4979, ""de"", ""en"")"),"craig")</f>
        <v>craig</v>
      </c>
    </row>
    <row r="4980">
      <c r="A4980" s="1" t="s">
        <v>4980</v>
      </c>
      <c r="B4980" s="2" t="str">
        <f>IFERROR(__xludf.DUMMYFUNCTION("GOOGLETRANSLATE(A4980, ""de"", ""en"")"),"hunts")</f>
        <v>hunts</v>
      </c>
    </row>
    <row r="4981">
      <c r="A4981" s="1" t="s">
        <v>4981</v>
      </c>
      <c r="B4981" s="2" t="str">
        <f>IFERROR(__xludf.DUMMYFUNCTION("GOOGLETRANSLATE(A4981, ""de"", ""en"")"),"property")</f>
        <v>property</v>
      </c>
    </row>
    <row r="4982">
      <c r="A4982" s="1" t="s">
        <v>4982</v>
      </c>
      <c r="B4982" s="2" t="str">
        <f>IFERROR(__xludf.DUMMYFUNCTION("GOOGLETRANSLATE(A4982, ""de"", ""en"")"),"theft")</f>
        <v>theft</v>
      </c>
    </row>
    <row r="4983">
      <c r="A4983" s="1" t="s">
        <v>4983</v>
      </c>
      <c r="B4983" s="2" t="str">
        <f>IFERROR(__xludf.DUMMYFUNCTION("GOOGLETRANSLATE(A4983, ""de"", ""en"")"),"donate")</f>
        <v>donate</v>
      </c>
    </row>
    <row r="4984">
      <c r="A4984" s="1" t="s">
        <v>4984</v>
      </c>
      <c r="B4984" s="2" t="str">
        <f>IFERROR(__xludf.DUMMYFUNCTION("GOOGLETRANSLATE(A4984, ""de"", ""en"")"),"operation")</f>
        <v>operation</v>
      </c>
    </row>
    <row r="4985">
      <c r="A4985" s="1" t="s">
        <v>4985</v>
      </c>
      <c r="B4985" s="2" t="str">
        <f>IFERROR(__xludf.DUMMYFUNCTION("GOOGLETRANSLATE(A4985, ""de"", ""en"")"),"common")</f>
        <v>common</v>
      </c>
    </row>
    <row r="4986">
      <c r="A4986" s="1" t="s">
        <v>4986</v>
      </c>
      <c r="B4986" s="2" t="str">
        <f>IFERROR(__xludf.DUMMYFUNCTION("GOOGLETRANSLATE(A4986, ""de"", ""en"")"),"absurd")</f>
        <v>absurd</v>
      </c>
    </row>
    <row r="4987">
      <c r="A4987" s="1" t="s">
        <v>4987</v>
      </c>
      <c r="B4987" s="2" t="str">
        <f>IFERROR(__xludf.DUMMYFUNCTION("GOOGLETRANSLATE(A4987, ""de"", ""en"")"),"contrast")</f>
        <v>contrast</v>
      </c>
    </row>
    <row r="4988">
      <c r="A4988" s="1" t="s">
        <v>4988</v>
      </c>
      <c r="B4988" s="2" t="str">
        <f>IFERROR(__xludf.DUMMYFUNCTION("GOOGLETRANSLATE(A4988, ""de"", ""en"")"),"spring")</f>
        <v>spring</v>
      </c>
    </row>
    <row r="4989">
      <c r="A4989" s="1" t="s">
        <v>4989</v>
      </c>
      <c r="B4989" s="2" t="str">
        <f>IFERROR(__xludf.DUMMYFUNCTION("GOOGLETRANSLATE(A4989, ""de"", ""en"")"),"thin")</f>
        <v>thin</v>
      </c>
    </row>
    <row r="4990">
      <c r="A4990" s="1" t="s">
        <v>4990</v>
      </c>
      <c r="B4990" s="2" t="str">
        <f>IFERROR(__xludf.DUMMYFUNCTION("GOOGLETRANSLATE(A4990, ""de"", ""en"")"),"abroad")</f>
        <v>abroad</v>
      </c>
    </row>
    <row r="4991">
      <c r="A4991" s="1" t="s">
        <v>4991</v>
      </c>
      <c r="B4991" s="2" t="str">
        <f>IFERROR(__xludf.DUMMYFUNCTION("GOOGLETRANSLATE(A4991, ""de"", ""en"")"),"shoulder")</f>
        <v>shoulder</v>
      </c>
    </row>
    <row r="4992">
      <c r="A4992" s="1" t="s">
        <v>4992</v>
      </c>
      <c r="B4992" s="2" t="str">
        <f>IFERROR(__xludf.DUMMYFUNCTION("GOOGLETRANSLATE(A4992, ""de"", ""en"")"),"development")</f>
        <v>development</v>
      </c>
    </row>
    <row r="4993">
      <c r="A4993" s="1" t="s">
        <v>4993</v>
      </c>
      <c r="B4993" s="2" t="str">
        <f>IFERROR(__xludf.DUMMYFUNCTION("GOOGLETRANSLATE(A4993, ""de"", ""en"")"),"pass away")</f>
        <v>pass away</v>
      </c>
    </row>
    <row r="4994">
      <c r="A4994" s="1" t="s">
        <v>4994</v>
      </c>
      <c r="B4994" s="2" t="str">
        <f>IFERROR(__xludf.DUMMYFUNCTION("GOOGLETRANSLATE(A4994, ""de"", ""en"")"),"guess")</f>
        <v>guess</v>
      </c>
    </row>
    <row r="4995">
      <c r="A4995" s="1" t="s">
        <v>4995</v>
      </c>
      <c r="B4995" s="2" t="str">
        <f>IFERROR(__xludf.DUMMYFUNCTION("GOOGLETRANSLATE(A4995, ""de"", ""en"")"),"improve")</f>
        <v>improve</v>
      </c>
    </row>
    <row r="4996">
      <c r="A4996" s="1" t="s">
        <v>4996</v>
      </c>
      <c r="B4996" s="2" t="str">
        <f>IFERROR(__xludf.DUMMYFUNCTION("GOOGLETRANSLATE(A4996, ""de"", ""en"")"),"duke")</f>
        <v>duke</v>
      </c>
    </row>
    <row r="4997">
      <c r="A4997" s="1" t="s">
        <v>4997</v>
      </c>
      <c r="B4997" s="2" t="str">
        <f>IFERROR(__xludf.DUMMYFUNCTION("GOOGLETRANSLATE(A4997, ""de"", ""en"")"),"discussion")</f>
        <v>discussion</v>
      </c>
    </row>
    <row r="4998">
      <c r="A4998" s="1" t="s">
        <v>4998</v>
      </c>
      <c r="B4998" s="2" t="str">
        <f>IFERROR(__xludf.DUMMYFUNCTION("GOOGLETRANSLATE(A4998, ""de"", ""en"")"),"salary")</f>
        <v>salary</v>
      </c>
    </row>
    <row r="4999">
      <c r="A4999" s="1" t="s">
        <v>4999</v>
      </c>
      <c r="B4999" s="2" t="str">
        <f>IFERROR(__xludf.DUMMYFUNCTION("GOOGLETRANSLATE(A4999, ""de"", ""en"")"),"lemon")</f>
        <v>lemon</v>
      </c>
    </row>
    <row r="5000">
      <c r="A5000" s="1" t="s">
        <v>5000</v>
      </c>
      <c r="B5000" s="2" t="str">
        <f>IFERROR(__xludf.DUMMYFUNCTION("GOOGLETRANSLATE(A5000, ""de"", ""en"")"),"freak")</f>
        <v>freak</v>
      </c>
    </row>
    <row r="5001">
      <c r="A5001" s="1" t="s">
        <v>5001</v>
      </c>
      <c r="B5001" s="2" t="str">
        <f>IFERROR(__xludf.DUMMYFUNCTION("GOOGLETRANSLATE(A5001, ""de"", ""en"")"),"bell")</f>
        <v>bell</v>
      </c>
    </row>
    <row r="5002">
      <c r="A5002" s="1" t="s">
        <v>5002</v>
      </c>
      <c r="B5002" s="2" t="str">
        <f>IFERROR(__xludf.DUMMYFUNCTION("GOOGLETRANSLATE(A5002, ""de"", ""en"")"),"research")</f>
        <v>research</v>
      </c>
    </row>
    <row r="5003">
      <c r="A5003" s="1" t="s">
        <v>5003</v>
      </c>
      <c r="B5003" s="2" t="str">
        <f>IFERROR(__xludf.DUMMYFUNCTION("GOOGLETRANSLATE(A5003, ""de"", ""en"")"),"straight ahead")</f>
        <v>straight ahead</v>
      </c>
    </row>
    <row r="5004">
      <c r="A5004" s="1" t="s">
        <v>5004</v>
      </c>
      <c r="B5004" s="2" t="str">
        <f>IFERROR(__xludf.DUMMYFUNCTION("GOOGLETRANSLATE(A5004, ""de"", ""en"")"),"fats")</f>
        <v>fats</v>
      </c>
    </row>
    <row r="5005">
      <c r="A5005" s="1" t="s">
        <v>5005</v>
      </c>
      <c r="B5005" s="2" t="str">
        <f>IFERROR(__xludf.DUMMYFUNCTION("GOOGLETRANSLATE(A5005, ""de"", ""en"")"),"iris")</f>
        <v>iris</v>
      </c>
    </row>
    <row r="5006">
      <c r="A5006" s="1" t="s">
        <v>5006</v>
      </c>
      <c r="B5006" s="2" t="str">
        <f>IFERROR(__xludf.DUMMYFUNCTION("GOOGLETRANSLATE(A5006, ""de"", ""en"")"),"invoices")</f>
        <v>invoices</v>
      </c>
    </row>
    <row r="5007">
      <c r="A5007" s="1" t="s">
        <v>5007</v>
      </c>
      <c r="B5007" s="2" t="str">
        <f>IFERROR(__xludf.DUMMYFUNCTION("GOOGLETRANSLATE(A5007, ""de"", ""en"")"),"checkout")</f>
        <v>checkout</v>
      </c>
    </row>
    <row r="5008">
      <c r="A5008" s="1" t="s">
        <v>5008</v>
      </c>
      <c r="B5008" s="2" t="str">
        <f>IFERROR(__xludf.DUMMYFUNCTION("GOOGLETRANSLATE(A5008, ""de"", ""en"")"),"fatal")</f>
        <v>fatal</v>
      </c>
    </row>
    <row r="5009">
      <c r="A5009" s="1" t="s">
        <v>5009</v>
      </c>
      <c r="B5009" s="2" t="str">
        <f>IFERROR(__xludf.DUMMYFUNCTION("GOOGLETRANSLATE(A5009, ""de"", ""en"")"),"animals")</f>
        <v>animals</v>
      </c>
    </row>
    <row r="5010">
      <c r="A5010" s="1" t="s">
        <v>5010</v>
      </c>
      <c r="B5010" s="2" t="str">
        <f>IFERROR(__xludf.DUMMYFUNCTION("GOOGLETRANSLATE(A5010, ""de"", ""en"")"),"ian")</f>
        <v>ian</v>
      </c>
    </row>
    <row r="5011">
      <c r="A5011" s="1" t="s">
        <v>5011</v>
      </c>
      <c r="B5011" s="2" t="str">
        <f>IFERROR(__xludf.DUMMYFUNCTION("GOOGLETRANSLATE(A5011, ""de"", ""en"")"),"surface")</f>
        <v>surface</v>
      </c>
    </row>
    <row r="5012">
      <c r="A5012" s="1" t="s">
        <v>5012</v>
      </c>
      <c r="B5012" s="2" t="str">
        <f>IFERROR(__xludf.DUMMYFUNCTION("GOOGLETRANSLATE(A5012, ""de"", ""en"")"),"guitar")</f>
        <v>guitar</v>
      </c>
    </row>
    <row r="5013">
      <c r="A5013" s="1" t="s">
        <v>5013</v>
      </c>
      <c r="B5013" s="2" t="str">
        <f>IFERROR(__xludf.DUMMYFUNCTION("GOOGLETRANSLATE(A5013, ""de"", ""en"")"),"serve")</f>
        <v>serve</v>
      </c>
    </row>
    <row r="5014">
      <c r="A5014" s="1" t="s">
        <v>5014</v>
      </c>
      <c r="B5014" s="2" t="str">
        <f>IFERROR(__xludf.DUMMYFUNCTION("GOOGLETRANSLATE(A5014, ""de"", ""en"")"),"jan")</f>
        <v>jan</v>
      </c>
    </row>
    <row r="5015">
      <c r="A5015" s="1" t="s">
        <v>5015</v>
      </c>
      <c r="B5015" s="2" t="str">
        <f>IFERROR(__xludf.DUMMYFUNCTION("GOOGLETRANSLATE(A5015, ""de"", ""en"")"),"obligation")</f>
        <v>obligation</v>
      </c>
    </row>
    <row r="5016">
      <c r="A5016" s="1" t="s">
        <v>5016</v>
      </c>
      <c r="B5016" s="2" t="str">
        <f>IFERROR(__xludf.DUMMYFUNCTION("GOOGLETRANSLATE(A5016, ""de"", ""en"")"),"Marsh")</f>
        <v>Marsh</v>
      </c>
    </row>
    <row r="5017">
      <c r="A5017" s="1" t="s">
        <v>5017</v>
      </c>
      <c r="B5017" s="2" t="str">
        <f>IFERROR(__xludf.DUMMYFUNCTION("GOOGLETRANSLATE(A5017, ""de"", ""en"")"),"politician")</f>
        <v>politician</v>
      </c>
    </row>
    <row r="5018">
      <c r="A5018" s="1" t="s">
        <v>5018</v>
      </c>
      <c r="B5018" s="2" t="str">
        <f>IFERROR(__xludf.DUMMYFUNCTION("GOOGLETRANSLATE(A5018, ""de"", ""en"")"),"bears")</f>
        <v>bears</v>
      </c>
    </row>
    <row r="5019">
      <c r="A5019" s="1" t="s">
        <v>5019</v>
      </c>
      <c r="B5019" s="2" t="str">
        <f>IFERROR(__xludf.DUMMYFUNCTION("GOOGLETRANSLATE(A5019, ""de"", ""en"")"),"united")</f>
        <v>united</v>
      </c>
    </row>
    <row r="5020">
      <c r="A5020" s="1" t="s">
        <v>5020</v>
      </c>
      <c r="B5020" s="2" t="str">
        <f>IFERROR(__xludf.DUMMYFUNCTION("GOOGLETRANSLATE(A5020, ""de"", ""en"")"),"anyone")</f>
        <v>anyone</v>
      </c>
    </row>
    <row r="5021">
      <c r="A5021" s="3" t="s">
        <v>5021</v>
      </c>
      <c r="B5021" s="4" t="str">
        <f>IFERROR(__xludf.DUMMYFUNCTION("GOOGLETRANSLATE(A5021, ""de"", ""en"")"),"subcentral.de")</f>
        <v>subcentral.de</v>
      </c>
    </row>
    <row r="5022">
      <c r="A5022" s="1" t="s">
        <v>5022</v>
      </c>
      <c r="B5022" s="2" t="str">
        <f>IFERROR(__xludf.DUMMYFUNCTION("GOOGLETRANSLATE(A5022, ""de"", ""en"")"),"ward")</f>
        <v>ward</v>
      </c>
    </row>
    <row r="5023">
      <c r="A5023" s="1" t="s">
        <v>5023</v>
      </c>
      <c r="B5023" s="2" t="str">
        <f>IFERROR(__xludf.DUMMYFUNCTION("GOOGLETRANSLATE(A5023, ""de"", ""en"")"),"visits")</f>
        <v>visits</v>
      </c>
    </row>
    <row r="5024">
      <c r="A5024" s="1" t="s">
        <v>5024</v>
      </c>
      <c r="B5024" s="2" t="str">
        <f>IFERROR(__xludf.DUMMYFUNCTION("GOOGLETRANSLATE(A5024, ""de"", ""en"")"),"terrible")</f>
        <v>terrible</v>
      </c>
    </row>
    <row r="5025">
      <c r="A5025" s="1" t="s">
        <v>5025</v>
      </c>
      <c r="B5025" s="2" t="str">
        <f>IFERROR(__xludf.DUMMYFUNCTION("GOOGLETRANSLATE(A5025, ""de"", ""en"")"),"lap")</f>
        <v>lap</v>
      </c>
    </row>
    <row r="5026">
      <c r="A5026" s="1" t="s">
        <v>5026</v>
      </c>
      <c r="B5026" s="2" t="str">
        <f>IFERROR(__xludf.DUMMYFUNCTION("GOOGLETRANSLATE(A5026, ""de"", ""en"")"),"collins")</f>
        <v>collins</v>
      </c>
    </row>
    <row r="5027">
      <c r="A5027" s="1" t="s">
        <v>5027</v>
      </c>
      <c r="B5027" s="2" t="str">
        <f>IFERROR(__xludf.DUMMYFUNCTION("GOOGLETRANSLATE(A5027, ""de"", ""en"")"),"tool")</f>
        <v>tool</v>
      </c>
    </row>
    <row r="5028">
      <c r="A5028" s="1" t="s">
        <v>5028</v>
      </c>
      <c r="B5028" s="2" t="str">
        <f>IFERROR(__xludf.DUMMYFUNCTION("GOOGLETRANSLATE(A5028, ""de"", ""en"")"),"sick")</f>
        <v>sick</v>
      </c>
    </row>
    <row r="5029">
      <c r="A5029" s="1" t="s">
        <v>5029</v>
      </c>
      <c r="B5029" s="2" t="str">
        <f>IFERROR(__xludf.DUMMYFUNCTION("GOOGLETRANSLATE(A5029, ""de"", ""en"")"),"nephew")</f>
        <v>nephew</v>
      </c>
    </row>
    <row r="5030">
      <c r="A5030" s="1" t="s">
        <v>5030</v>
      </c>
      <c r="B5030" s="2" t="str">
        <f>IFERROR(__xludf.DUMMYFUNCTION("GOOGLETRANSLATE(A5030, ""de"", ""en"")"),"sue")</f>
        <v>sue</v>
      </c>
    </row>
    <row r="5031">
      <c r="A5031" s="1" t="s">
        <v>5031</v>
      </c>
      <c r="B5031" s="2" t="str">
        <f>IFERROR(__xludf.DUMMYFUNCTION("GOOGLETRANSLATE(A5031, ""de"", ""en"")"),"lasted")</f>
        <v>lasted</v>
      </c>
    </row>
    <row r="5032">
      <c r="A5032" s="1" t="s">
        <v>5032</v>
      </c>
      <c r="B5032" s="2" t="str">
        <f>IFERROR(__xludf.DUMMYFUNCTION("GOOGLETRANSLATE(A5032, ""de"", ""en"")"),"Brooklyn")</f>
        <v>Brooklyn</v>
      </c>
    </row>
    <row r="5033">
      <c r="A5033" s="1" t="s">
        <v>5033</v>
      </c>
      <c r="B5033" s="2" t="str">
        <f>IFERROR(__xludf.DUMMYFUNCTION("GOOGLETRANSLATE(A5033, ""de"", ""en"")"),"living")</f>
        <v>living</v>
      </c>
    </row>
    <row r="5034">
      <c r="A5034" s="1" t="s">
        <v>5034</v>
      </c>
      <c r="B5034" s="2" t="str">
        <f>IFERROR(__xludf.DUMMYFUNCTION("GOOGLETRANSLATE(A5034, ""de"", ""en"")"),"population")</f>
        <v>population</v>
      </c>
    </row>
    <row r="5035">
      <c r="A5035" s="1" t="s">
        <v>5035</v>
      </c>
      <c r="B5035" s="2" t="str">
        <f>IFERROR(__xludf.DUMMYFUNCTION("GOOGLETRANSLATE(A5035, ""de"", ""en"")"),"brought here")</f>
        <v>brought here</v>
      </c>
    </row>
    <row r="5036">
      <c r="A5036" s="1" t="s">
        <v>5036</v>
      </c>
      <c r="B5036" s="2" t="str">
        <f>IFERROR(__xludf.DUMMYFUNCTION("GOOGLETRANSLATE(A5036, ""de"", ""en"")"),"just")</f>
        <v>just</v>
      </c>
    </row>
    <row r="5037">
      <c r="A5037" s="1" t="s">
        <v>5037</v>
      </c>
      <c r="B5037" s="2" t="str">
        <f>IFERROR(__xludf.DUMMYFUNCTION("GOOGLETRANSLATE(A5037, ""de"", ""en"")"),"pull through")</f>
        <v>pull through</v>
      </c>
    </row>
    <row r="5038">
      <c r="A5038" s="1" t="s">
        <v>5038</v>
      </c>
      <c r="B5038" s="2" t="str">
        <f>IFERROR(__xludf.DUMMYFUNCTION("GOOGLETRANSLATE(A5038, ""de"", ""en"")"),"packed")</f>
        <v>packed</v>
      </c>
    </row>
    <row r="5039">
      <c r="A5039" s="1" t="s">
        <v>5039</v>
      </c>
      <c r="B5039" s="2" t="str">
        <f>IFERROR(__xludf.DUMMYFUNCTION("GOOGLETRANSLATE(A5039, ""de"", ""en"")"),"service")</f>
        <v>service</v>
      </c>
    </row>
    <row r="5040">
      <c r="A5040" s="1" t="s">
        <v>5040</v>
      </c>
      <c r="B5040" s="2" t="str">
        <f>IFERROR(__xludf.DUMMYFUNCTION("GOOGLETRANSLATE(A5040, ""de"", ""en"")"),"terrible")</f>
        <v>terrible</v>
      </c>
    </row>
    <row r="5041">
      <c r="A5041" s="1" t="s">
        <v>5041</v>
      </c>
      <c r="B5041" s="2" t="str">
        <f>IFERROR(__xludf.DUMMYFUNCTION("GOOGLETRANSLATE(A5041, ""de"", ""en"")"),"dearest")</f>
        <v>dearest</v>
      </c>
    </row>
    <row r="5042">
      <c r="A5042" s="1" t="s">
        <v>5042</v>
      </c>
      <c r="B5042" s="2" t="str">
        <f>IFERROR(__xludf.DUMMYFUNCTION("GOOGLETRANSLATE(A5042, ""de"", ""en"")"),"aviator")</f>
        <v>aviator</v>
      </c>
    </row>
    <row r="5043">
      <c r="A5043" s="1" t="s">
        <v>5043</v>
      </c>
      <c r="B5043" s="2" t="str">
        <f>IFERROR(__xludf.DUMMYFUNCTION("GOOGLETRANSLATE(A5043, ""de"", ""en"")"),"regulations")</f>
        <v>regulations</v>
      </c>
    </row>
    <row r="5044">
      <c r="A5044" s="1" t="s">
        <v>5044</v>
      </c>
      <c r="B5044" s="2" t="str">
        <f>IFERROR(__xludf.DUMMYFUNCTION("GOOGLETRANSLATE(A5044, ""de"", ""en"")"),"command")</f>
        <v>command</v>
      </c>
    </row>
    <row r="5045">
      <c r="A5045" s="1" t="s">
        <v>5045</v>
      </c>
      <c r="B5045" s="2" t="str">
        <f>IFERROR(__xludf.DUMMYFUNCTION("GOOGLETRANSLATE(A5045, ""de"", ""en"")"),"guy")</f>
        <v>guy</v>
      </c>
    </row>
    <row r="5046">
      <c r="A5046" s="1" t="s">
        <v>5046</v>
      </c>
      <c r="B5046" s="2" t="str">
        <f>IFERROR(__xludf.DUMMYFUNCTION("GOOGLETRANSLATE(A5046, ""de"", ""en"")"),"detail")</f>
        <v>detail</v>
      </c>
    </row>
    <row r="5047">
      <c r="A5047" s="1" t="s">
        <v>5047</v>
      </c>
      <c r="B5047" s="2" t="str">
        <f>IFERROR(__xludf.DUMMYFUNCTION("GOOGLETRANSLATE(A5047, ""de"", ""en"")"),"selected")</f>
        <v>selected</v>
      </c>
    </row>
    <row r="5048">
      <c r="A5048" s="1" t="s">
        <v>5048</v>
      </c>
      <c r="B5048" s="2" t="str">
        <f>IFERROR(__xludf.DUMMYFUNCTION("GOOGLETRANSLATE(A5048, ""de"", ""en"")"),"down")</f>
        <v>down</v>
      </c>
    </row>
    <row r="5049">
      <c r="A5049" s="1" t="s">
        <v>5049</v>
      </c>
      <c r="B5049" s="2" t="str">
        <f>IFERROR(__xludf.DUMMYFUNCTION("GOOGLETRANSLATE(A5049, ""de"", ""en"")"),"writer")</f>
        <v>writer</v>
      </c>
    </row>
    <row r="5050">
      <c r="A5050" s="1" t="s">
        <v>5050</v>
      </c>
      <c r="B5050" s="2" t="str">
        <f>IFERROR(__xludf.DUMMYFUNCTION("GOOGLETRANSLATE(A5050, ""de"", ""en"")"),"would")</f>
        <v>would</v>
      </c>
    </row>
    <row r="5051">
      <c r="A5051" s="1" t="s">
        <v>5051</v>
      </c>
      <c r="B5051" s="2" t="str">
        <f>IFERROR(__xludf.DUMMYFUNCTION("GOOGLETRANSLATE(A5051, ""de"", ""en"")"),"care")</f>
        <v>care</v>
      </c>
    </row>
    <row r="5052">
      <c r="A5052" s="1" t="s">
        <v>5052</v>
      </c>
      <c r="B5052" s="2" t="str">
        <f>IFERROR(__xludf.DUMMYFUNCTION("GOOGLETRANSLATE(A5052, ""de"", ""en"")"),"on the other hand")</f>
        <v>on the other hand</v>
      </c>
    </row>
    <row r="5053">
      <c r="A5053" s="1" t="s">
        <v>5053</v>
      </c>
      <c r="B5053" s="2" t="str">
        <f>IFERROR(__xludf.DUMMYFUNCTION("GOOGLETRANSLATE(A5053, ""de"", ""en"")"),"bay")</f>
        <v>bay</v>
      </c>
    </row>
    <row r="5054">
      <c r="A5054" s="1" t="s">
        <v>5054</v>
      </c>
      <c r="B5054" s="2" t="str">
        <f>IFERROR(__xludf.DUMMYFUNCTION("GOOGLETRANSLATE(A5054, ""de"", ""en"")"),"gene")</f>
        <v>gene</v>
      </c>
    </row>
    <row r="5055">
      <c r="A5055" s="1" t="s">
        <v>5055</v>
      </c>
      <c r="B5055" s="2" t="str">
        <f>IFERROR(__xludf.DUMMYFUNCTION("GOOGLETRANSLATE(A5055, ""de"", ""en"")"),"shuttle")</f>
        <v>shuttle</v>
      </c>
    </row>
    <row r="5056">
      <c r="A5056" s="1" t="s">
        <v>5056</v>
      </c>
      <c r="B5056" s="2" t="str">
        <f>IFERROR(__xludf.DUMMYFUNCTION("GOOGLETRANSLATE(A5056, ""de"", ""en"")"),"usual")</f>
        <v>usual</v>
      </c>
    </row>
    <row r="5057">
      <c r="A5057" s="1" t="s">
        <v>5057</v>
      </c>
      <c r="B5057" s="2" t="str">
        <f>IFERROR(__xludf.DUMMYFUNCTION("GOOGLETRANSLATE(A5057, ""de"", ""en"")"),"kidnap")</f>
        <v>kidnap</v>
      </c>
    </row>
    <row r="5058">
      <c r="A5058" s="1" t="s">
        <v>5058</v>
      </c>
      <c r="B5058" s="2" t="str">
        <f>IFERROR(__xludf.DUMMYFUNCTION("GOOGLETRANSLATE(A5058, ""de"", ""en"")"),"ike")</f>
        <v>ike</v>
      </c>
    </row>
    <row r="5059">
      <c r="A5059" s="1" t="s">
        <v>5059</v>
      </c>
      <c r="B5059" s="2" t="str">
        <f>IFERROR(__xludf.DUMMYFUNCTION("GOOGLETRANSLATE(A5059, ""de"", ""en"")"),"jury")</f>
        <v>jury</v>
      </c>
    </row>
    <row r="5060">
      <c r="A5060" s="1" t="s">
        <v>5060</v>
      </c>
      <c r="B5060" s="2" t="str">
        <f>IFERROR(__xludf.DUMMYFUNCTION("GOOGLETRANSLATE(A5060, ""de"", ""en"")"),"box")</f>
        <v>box</v>
      </c>
    </row>
    <row r="5061">
      <c r="A5061" s="1" t="s">
        <v>5061</v>
      </c>
      <c r="B5061" s="2" t="str">
        <f>IFERROR(__xludf.DUMMYFUNCTION("GOOGLETRANSLATE(A5061, ""de"", ""en"")"),"imagined")</f>
        <v>imagined</v>
      </c>
    </row>
    <row r="5062">
      <c r="A5062" s="1" t="s">
        <v>5062</v>
      </c>
      <c r="B5062" s="2" t="str">
        <f>IFERROR(__xludf.DUMMYFUNCTION("GOOGLETRANSLATE(A5062, ""de"", ""en"")"),"freddy")</f>
        <v>freddy</v>
      </c>
    </row>
    <row r="5063">
      <c r="A5063" s="1" t="s">
        <v>5063</v>
      </c>
      <c r="B5063" s="2" t="str">
        <f>IFERROR(__xludf.DUMMYFUNCTION("GOOGLETRANSLATE(A5063, ""de"", ""en"")"),"parties")</f>
        <v>parties</v>
      </c>
    </row>
    <row r="5064">
      <c r="A5064" s="1" t="s">
        <v>5064</v>
      </c>
      <c r="B5064" s="2" t="str">
        <f>IFERROR(__xludf.DUMMYFUNCTION("GOOGLETRANSLATE(A5064, ""de"", ""en"")"),"found out")</f>
        <v>found out</v>
      </c>
    </row>
    <row r="5065">
      <c r="A5065" s="1" t="s">
        <v>5065</v>
      </c>
      <c r="B5065" s="2" t="str">
        <f>IFERROR(__xludf.DUMMYFUNCTION("GOOGLETRANSLATE(A5065, ""de"", ""en"")"),"plans")</f>
        <v>plans</v>
      </c>
    </row>
    <row r="5066">
      <c r="A5066" s="1" t="s">
        <v>5066</v>
      </c>
      <c r="B5066" s="2" t="str">
        <f>IFERROR(__xludf.DUMMYFUNCTION("GOOGLETRANSLATE(A5066, ""de"", ""en"")"),"cowardly")</f>
        <v>cowardly</v>
      </c>
    </row>
    <row r="5067">
      <c r="A5067" s="1" t="s">
        <v>5067</v>
      </c>
      <c r="B5067" s="2" t="str">
        <f>IFERROR(__xludf.DUMMYFUNCTION("GOOGLETRANSLATE(A5067, ""de"", ""en"")"),"sung")</f>
        <v>sung</v>
      </c>
    </row>
    <row r="5068">
      <c r="A5068" s="1" t="s">
        <v>5068</v>
      </c>
      <c r="B5068" s="2" t="str">
        <f>IFERROR(__xludf.DUMMYFUNCTION("GOOGLETRANSLATE(A5068, ""de"", ""en"")"),"furniture")</f>
        <v>furniture</v>
      </c>
    </row>
    <row r="5069">
      <c r="A5069" s="1" t="s">
        <v>5069</v>
      </c>
      <c r="B5069" s="2" t="str">
        <f>IFERROR(__xludf.DUMMYFUNCTION("GOOGLETRANSLATE(A5069, ""de"", ""en"")"),"parole")</f>
        <v>parole</v>
      </c>
    </row>
    <row r="5070">
      <c r="A5070" s="1" t="s">
        <v>5070</v>
      </c>
      <c r="B5070" s="2" t="str">
        <f>IFERROR(__xludf.DUMMYFUNCTION("GOOGLETRANSLATE(A5070, ""de"", ""en"")"),"shoot")</f>
        <v>shoot</v>
      </c>
    </row>
    <row r="5071">
      <c r="A5071" s="1" t="s">
        <v>5071</v>
      </c>
      <c r="B5071" s="2" t="str">
        <f>IFERROR(__xludf.DUMMYFUNCTION("GOOGLETRANSLATE(A5071, ""de"", ""en"")"),"surrounded")</f>
        <v>surrounded</v>
      </c>
    </row>
    <row r="5072">
      <c r="A5072" s="1" t="s">
        <v>5072</v>
      </c>
      <c r="B5072" s="2" t="str">
        <f>IFERROR(__xludf.DUMMYFUNCTION("GOOGLETRANSLATE(A5072, ""de"", ""en"")"),"advisor")</f>
        <v>advisor</v>
      </c>
    </row>
    <row r="5073">
      <c r="A5073" s="1" t="s">
        <v>5073</v>
      </c>
      <c r="B5073" s="2" t="str">
        <f>IFERROR(__xludf.DUMMYFUNCTION("GOOGLETRANSLATE(A5073, ""de"", ""en"")"),"e-mail")</f>
        <v>e-mail</v>
      </c>
    </row>
    <row r="5074">
      <c r="A5074" s="1" t="s">
        <v>5074</v>
      </c>
      <c r="B5074" s="2" t="str">
        <f>IFERROR(__xludf.DUMMYFUNCTION("GOOGLETRANSLATE(A5074, ""de"", ""en"")"),"bailey")</f>
        <v>bailey</v>
      </c>
    </row>
    <row r="5075">
      <c r="A5075" s="1" t="s">
        <v>5075</v>
      </c>
      <c r="B5075" s="2" t="str">
        <f>IFERROR(__xludf.DUMMYFUNCTION("GOOGLETRANSLATE(A5075, ""de"", ""en"")"),"zoo")</f>
        <v>zoo</v>
      </c>
    </row>
    <row r="5076">
      <c r="A5076" s="1" t="s">
        <v>5076</v>
      </c>
      <c r="B5076" s="2" t="str">
        <f>IFERROR(__xludf.DUMMYFUNCTION("GOOGLETRANSLATE(A5076, ""de"", ""en"")"),"poem")</f>
        <v>poem</v>
      </c>
    </row>
    <row r="5077">
      <c r="A5077" s="1" t="s">
        <v>5077</v>
      </c>
      <c r="B5077" s="2" t="str">
        <f>IFERROR(__xludf.DUMMYFUNCTION("GOOGLETRANSLATE(A5077, ""de"", ""en"")"),"lorelai")</f>
        <v>lorelai</v>
      </c>
    </row>
    <row r="5078">
      <c r="A5078" s="1" t="s">
        <v>5078</v>
      </c>
      <c r="B5078" s="2" t="str">
        <f>IFERROR(__xludf.DUMMYFUNCTION("GOOGLETRANSLATE(A5078, ""de"", ""en"")"),"barks")</f>
        <v>barks</v>
      </c>
    </row>
    <row r="5079">
      <c r="A5079" s="1" t="s">
        <v>5079</v>
      </c>
      <c r="B5079" s="2" t="str">
        <f>IFERROR(__xludf.DUMMYFUNCTION("GOOGLETRANSLATE(A5079, ""de"", ""en"")"),"suggest")</f>
        <v>suggest</v>
      </c>
    </row>
    <row r="5080">
      <c r="A5080" s="1" t="s">
        <v>5080</v>
      </c>
      <c r="B5080" s="2" t="str">
        <f>IFERROR(__xludf.DUMMYFUNCTION("GOOGLETRANSLATE(A5080, ""de"", ""en"")"),"enjoys")</f>
        <v>enjoys</v>
      </c>
    </row>
    <row r="5081">
      <c r="A5081" s="1" t="s">
        <v>5081</v>
      </c>
      <c r="B5081" s="2" t="str">
        <f>IFERROR(__xludf.DUMMYFUNCTION("GOOGLETRANSLATE(A5081, ""de"", ""en"")"),"baseball")</f>
        <v>baseball</v>
      </c>
    </row>
    <row r="5082">
      <c r="A5082" s="1" t="s">
        <v>5082</v>
      </c>
      <c r="B5082" s="2" t="str">
        <f>IFERROR(__xludf.DUMMYFUNCTION("GOOGLETRANSLATE(A5082, ""de"", ""en"")"),"lure")</f>
        <v>lure</v>
      </c>
    </row>
    <row r="5083">
      <c r="A5083" s="1" t="s">
        <v>5083</v>
      </c>
      <c r="B5083" s="2" t="str">
        <f>IFERROR(__xludf.DUMMYFUNCTION("GOOGLETRANSLATE(A5083, ""de"", ""en"")"),"ooh")</f>
        <v>ooh</v>
      </c>
    </row>
    <row r="5084">
      <c r="A5084" s="1" t="s">
        <v>5084</v>
      </c>
      <c r="B5084" s="2" t="str">
        <f>IFERROR(__xludf.DUMMYFUNCTION("GOOGLETRANSLATE(A5084, ""de"", ""en"")"),"separation")</f>
        <v>separation</v>
      </c>
    </row>
    <row r="5085">
      <c r="A5085" s="1" t="s">
        <v>5085</v>
      </c>
      <c r="B5085" s="2" t="str">
        <f>IFERROR(__xludf.DUMMYFUNCTION("GOOGLETRANSLATE(A5085, ""de"", ""en"")"),"speakers")</f>
        <v>speakers</v>
      </c>
    </row>
    <row r="5086">
      <c r="A5086" s="1" t="s">
        <v>5086</v>
      </c>
      <c r="B5086" s="2" t="str">
        <f>IFERROR(__xludf.DUMMYFUNCTION("GOOGLETRANSLATE(A5086, ""de"", ""en"")"),"ticket")</f>
        <v>ticket</v>
      </c>
    </row>
    <row r="5087">
      <c r="A5087" s="1" t="s">
        <v>5087</v>
      </c>
      <c r="B5087" s="2" t="str">
        <f>IFERROR(__xludf.DUMMYFUNCTION("GOOGLETRANSLATE(A5087, ""de"", ""en"")"),"stunning")</f>
        <v>stunning</v>
      </c>
    </row>
    <row r="5088">
      <c r="A5088" s="1" t="s">
        <v>5088</v>
      </c>
      <c r="B5088" s="2" t="str">
        <f>IFERROR(__xludf.DUMMYFUNCTION("GOOGLETRANSLATE(A5088, ""de"", ""en"")"),"firm")</f>
        <v>firm</v>
      </c>
    </row>
    <row r="5089">
      <c r="A5089" s="1" t="s">
        <v>5089</v>
      </c>
      <c r="B5089" s="2" t="str">
        <f>IFERROR(__xludf.DUMMYFUNCTION("GOOGLETRANSLATE(A5089, ""de"", ""en"")"),"true")</f>
        <v>true</v>
      </c>
    </row>
    <row r="5090">
      <c r="A5090" s="1" t="s">
        <v>5090</v>
      </c>
      <c r="B5090" s="2" t="str">
        <f>IFERROR(__xludf.DUMMYFUNCTION("GOOGLETRANSLATE(A5090, ""de"", ""en"")"),"according to")</f>
        <v>according to</v>
      </c>
    </row>
    <row r="5091">
      <c r="A5091" s="1" t="s">
        <v>5091</v>
      </c>
      <c r="B5091" s="2" t="str">
        <f>IFERROR(__xludf.DUMMYFUNCTION("GOOGLETRANSLATE(A5091, ""de"", ""en"")"),"come")</f>
        <v>come</v>
      </c>
    </row>
    <row r="5092">
      <c r="A5092" s="1" t="s">
        <v>5092</v>
      </c>
      <c r="B5092" s="2" t="str">
        <f>IFERROR(__xludf.DUMMYFUNCTION("GOOGLETRANSLATE(A5092, ""de"", ""en"")"),"lifts")</f>
        <v>lifts</v>
      </c>
    </row>
    <row r="5093">
      <c r="A5093" s="1" t="s">
        <v>5093</v>
      </c>
      <c r="B5093" s="2" t="str">
        <f>IFERROR(__xludf.DUMMYFUNCTION("GOOGLETRANSLATE(A5093, ""de"", ""en"")"),"stop")</f>
        <v>stop</v>
      </c>
    </row>
    <row r="5094">
      <c r="A5094" s="1" t="s">
        <v>5094</v>
      </c>
      <c r="B5094" s="2" t="str">
        <f>IFERROR(__xludf.DUMMYFUNCTION("GOOGLETRANSLATE(A5094, ""de"", ""en"")"),"timing")</f>
        <v>timing</v>
      </c>
    </row>
    <row r="5095">
      <c r="A5095" s="1" t="s">
        <v>5095</v>
      </c>
      <c r="B5095" s="2" t="str">
        <f>IFERROR(__xludf.DUMMYFUNCTION("GOOGLETRANSLATE(A5095, ""de"", ""en"")"),"kid")</f>
        <v>kid</v>
      </c>
    </row>
    <row r="5096">
      <c r="A5096" s="1" t="s">
        <v>5096</v>
      </c>
      <c r="B5096" s="2" t="str">
        <f>IFERROR(__xludf.DUMMYFUNCTION("GOOGLETRANSLATE(A5096, ""de"", ""en"")"),"chug")</f>
        <v>chug</v>
      </c>
    </row>
    <row r="5097">
      <c r="A5097" s="1" t="s">
        <v>5097</v>
      </c>
      <c r="B5097" s="2" t="str">
        <f>IFERROR(__xludf.DUMMYFUNCTION("GOOGLETRANSLATE(A5097, ""de"", ""en"")"),"command")</f>
        <v>command</v>
      </c>
    </row>
    <row r="5098">
      <c r="A5098" s="1" t="s">
        <v>5098</v>
      </c>
      <c r="B5098" s="2" t="str">
        <f>IFERROR(__xludf.DUMMYFUNCTION("GOOGLETRANSLATE(A5098, ""de"", ""en"")"),"floor")</f>
        <v>floor</v>
      </c>
    </row>
    <row r="5099">
      <c r="A5099" s="1" t="s">
        <v>5099</v>
      </c>
      <c r="B5099" s="2" t="str">
        <f>IFERROR(__xludf.DUMMYFUNCTION("GOOGLETRANSLATE(A5099, ""de"", ""en"")"),"in between")</f>
        <v>in between</v>
      </c>
    </row>
    <row r="5100">
      <c r="A5100" s="1" t="s">
        <v>5100</v>
      </c>
      <c r="B5100" s="2" t="str">
        <f>IFERROR(__xludf.DUMMYFUNCTION("GOOGLETRANSLATE(A5100, ""de"", ""en"")"),"jules")</f>
        <v>jules</v>
      </c>
    </row>
    <row r="5101">
      <c r="A5101" s="1" t="s">
        <v>5101</v>
      </c>
      <c r="B5101" s="2" t="str">
        <f>IFERROR(__xludf.DUMMYFUNCTION("GOOGLETRANSLATE(A5101, ""de"", ""en"")"),"is called")</f>
        <v>is called</v>
      </c>
    </row>
    <row r="5102">
      <c r="A5102" s="1" t="s">
        <v>5102</v>
      </c>
      <c r="B5102" s="2" t="str">
        <f>IFERROR(__xludf.DUMMYFUNCTION("GOOGLETRANSLATE(A5102, ""de"", ""en"")"),"object")</f>
        <v>object</v>
      </c>
    </row>
    <row r="5103">
      <c r="A5103" s="1" t="s">
        <v>5103</v>
      </c>
      <c r="B5103" s="2" t="str">
        <f>IFERROR(__xludf.DUMMYFUNCTION("GOOGLETRANSLATE(A5103, ""de"", ""en"")"),"sorry")</f>
        <v>sorry</v>
      </c>
    </row>
    <row r="5104">
      <c r="A5104" s="1" t="s">
        <v>5104</v>
      </c>
      <c r="B5104" s="2" t="str">
        <f>IFERROR(__xludf.DUMMYFUNCTION("GOOGLETRANSLATE(A5104, ""de"", ""en"")"),"where")</f>
        <v>where</v>
      </c>
    </row>
    <row r="5105">
      <c r="A5105" s="1" t="s">
        <v>5105</v>
      </c>
      <c r="B5105" s="2" t="str">
        <f>IFERROR(__xludf.DUMMYFUNCTION("GOOGLETRANSLATE(A5105, ""de"", ""en"")"),"cocaine")</f>
        <v>cocaine</v>
      </c>
    </row>
    <row r="5106">
      <c r="A5106" s="1" t="s">
        <v>5106</v>
      </c>
      <c r="B5106" s="2" t="str">
        <f>IFERROR(__xludf.DUMMYFUNCTION("GOOGLETRANSLATE(A5106, ""de"", ""en"")"),"strategy")</f>
        <v>strategy</v>
      </c>
    </row>
    <row r="5107">
      <c r="A5107" s="1" t="s">
        <v>5107</v>
      </c>
      <c r="B5107" s="2" t="str">
        <f>IFERROR(__xludf.DUMMYFUNCTION("GOOGLETRANSLATE(A5107, ""de"", ""en"")"),"friend")</f>
        <v>friend</v>
      </c>
    </row>
    <row r="5108">
      <c r="A5108" s="1" t="s">
        <v>5108</v>
      </c>
      <c r="B5108" s="2" t="str">
        <f>IFERROR(__xludf.DUMMYFUNCTION("GOOGLETRANSLATE(A5108, ""de"", ""en"")"),"clouds")</f>
        <v>clouds</v>
      </c>
    </row>
    <row r="5109">
      <c r="A5109" s="1" t="s">
        <v>5109</v>
      </c>
      <c r="B5109" s="2" t="str">
        <f>IFERROR(__xludf.DUMMYFUNCTION("GOOGLETRANSLATE(A5109, ""de"", ""en"")"),"countess")</f>
        <v>countess</v>
      </c>
    </row>
    <row r="5110">
      <c r="A5110" s="1" t="s">
        <v>5110</v>
      </c>
      <c r="B5110" s="2" t="str">
        <f>IFERROR(__xludf.DUMMYFUNCTION("GOOGLETRANSLATE(A5110, ""de"", ""en"")"),"bruno")</f>
        <v>bruno</v>
      </c>
    </row>
    <row r="5111">
      <c r="A5111" s="1" t="s">
        <v>5111</v>
      </c>
      <c r="B5111" s="2" t="str">
        <f>IFERROR(__xludf.DUMMYFUNCTION("GOOGLETRANSLATE(A5111, ""de"", ""en"")"),"kicked")</f>
        <v>kicked</v>
      </c>
    </row>
    <row r="5112">
      <c r="A5112" s="1" t="s">
        <v>5112</v>
      </c>
      <c r="B5112" s="2" t="str">
        <f>IFERROR(__xludf.DUMMYFUNCTION("GOOGLETRANSLATE(A5112, ""de"", ""en"")"),"cal")</f>
        <v>cal</v>
      </c>
    </row>
    <row r="5113">
      <c r="A5113" s="1" t="s">
        <v>5113</v>
      </c>
      <c r="B5113" s="2" t="str">
        <f>IFERROR(__xludf.DUMMYFUNCTION("GOOGLETRANSLATE(A5113, ""de"", ""en"")"),"pardon")</f>
        <v>pardon</v>
      </c>
    </row>
    <row r="5114">
      <c r="A5114" s="1" t="s">
        <v>5114</v>
      </c>
      <c r="B5114" s="2" t="str">
        <f>IFERROR(__xludf.DUMMYFUNCTION("GOOGLETRANSLATE(A5114, ""de"", ""en"")"),"comrade")</f>
        <v>comrade</v>
      </c>
    </row>
    <row r="5115">
      <c r="A5115" s="1" t="s">
        <v>5115</v>
      </c>
      <c r="B5115" s="2" t="str">
        <f>IFERROR(__xludf.DUMMYFUNCTION("GOOGLETRANSLATE(A5115, ""de"", ""en"")"),"bad")</f>
        <v>bad</v>
      </c>
    </row>
    <row r="5116">
      <c r="A5116" s="1" t="s">
        <v>5116</v>
      </c>
      <c r="B5116" s="2" t="str">
        <f>IFERROR(__xludf.DUMMYFUNCTION("GOOGLETRANSLATE(A5116, ""de"", ""en"")"),"distribute")</f>
        <v>distribute</v>
      </c>
    </row>
    <row r="5117">
      <c r="A5117" s="1" t="s">
        <v>5117</v>
      </c>
      <c r="B5117" s="2" t="str">
        <f>IFERROR(__xludf.DUMMYFUNCTION("GOOGLETRANSLATE(A5117, ""de"", ""en"")"),"fox")</f>
        <v>fox</v>
      </c>
    </row>
    <row r="5118">
      <c r="A5118" s="1" t="s">
        <v>5118</v>
      </c>
      <c r="B5118" s="2" t="str">
        <f>IFERROR(__xludf.DUMMYFUNCTION("GOOGLETRANSLATE(A5118, ""de"", ""en"")"),"day")</f>
        <v>day</v>
      </c>
    </row>
    <row r="5119">
      <c r="A5119" s="1" t="s">
        <v>5119</v>
      </c>
      <c r="B5119" s="2" t="str">
        <f>IFERROR(__xludf.DUMMYFUNCTION("GOOGLETRANSLATE(A5119, ""de"", ""en"")"),"organized")</f>
        <v>organized</v>
      </c>
    </row>
    <row r="5120">
      <c r="A5120" s="1" t="s">
        <v>5120</v>
      </c>
      <c r="B5120" s="2" t="str">
        <f>IFERROR(__xludf.DUMMYFUNCTION("GOOGLETRANSLATE(A5120, ""de"", ""en"")"),"blah")</f>
        <v>blah</v>
      </c>
    </row>
    <row r="5121">
      <c r="A5121" s="1" t="s">
        <v>5121</v>
      </c>
      <c r="B5121" s="2" t="str">
        <f>IFERROR(__xludf.DUMMYFUNCTION("GOOGLETRANSLATE(A5121, ""de"", ""en"")"),"up")</f>
        <v>up</v>
      </c>
    </row>
    <row r="5122">
      <c r="A5122" s="1" t="s">
        <v>5122</v>
      </c>
      <c r="B5122" s="2" t="str">
        <f>IFERROR(__xludf.DUMMYFUNCTION("GOOGLETRANSLATE(A5122, ""de"", ""en"")"),"world")</f>
        <v>world</v>
      </c>
    </row>
    <row r="5123">
      <c r="A5123" s="1" t="s">
        <v>5123</v>
      </c>
      <c r="B5123" s="2" t="str">
        <f>IFERROR(__xludf.DUMMYFUNCTION("GOOGLETRANSLATE(A5123, ""de"", ""en"")"),"east")</f>
        <v>east</v>
      </c>
    </row>
    <row r="5124">
      <c r="A5124" s="1" t="s">
        <v>5124</v>
      </c>
      <c r="B5124" s="2" t="str">
        <f>IFERROR(__xludf.DUMMYFUNCTION("GOOGLETRANSLATE(A5124, ""de"", ""en"")"),"holes")</f>
        <v>holes</v>
      </c>
    </row>
    <row r="5125">
      <c r="A5125" s="1" t="s">
        <v>5125</v>
      </c>
      <c r="B5125" s="2" t="str">
        <f>IFERROR(__xludf.DUMMYFUNCTION("GOOGLETRANSLATE(A5125, ""de"", ""en"")"),"active")</f>
        <v>active</v>
      </c>
    </row>
    <row r="5126">
      <c r="A5126" s="1" t="s">
        <v>5126</v>
      </c>
      <c r="B5126" s="2" t="str">
        <f>IFERROR(__xludf.DUMMYFUNCTION("GOOGLETRANSLATE(A5126, ""de"", ""en"")"),"hunter")</f>
        <v>hunter</v>
      </c>
    </row>
    <row r="5127">
      <c r="A5127" s="1" t="s">
        <v>5127</v>
      </c>
      <c r="B5127" s="2" t="str">
        <f>IFERROR(__xludf.DUMMYFUNCTION("GOOGLETRANSLATE(A5127, ""de"", ""en"")"),"throw")</f>
        <v>throw</v>
      </c>
    </row>
    <row r="5128">
      <c r="A5128" s="1" t="s">
        <v>5128</v>
      </c>
      <c r="B5128" s="2" t="str">
        <f>IFERROR(__xludf.DUMMYFUNCTION("GOOGLETRANSLATE(A5128, ""de"", ""en"")"),"answered")</f>
        <v>answered</v>
      </c>
    </row>
    <row r="5129">
      <c r="A5129" s="1" t="s">
        <v>5129</v>
      </c>
      <c r="B5129" s="2" t="str">
        <f>IFERROR(__xludf.DUMMYFUNCTION("GOOGLETRANSLATE(A5129, ""de"", ""en"")"),"mostly")</f>
        <v>mostly</v>
      </c>
    </row>
    <row r="5130">
      <c r="A5130" s="1" t="s">
        <v>5130</v>
      </c>
      <c r="B5130" s="2" t="str">
        <f>IFERROR(__xludf.DUMMYFUNCTION("GOOGLETRANSLATE(A5130, ""de"", ""en"")"),"rice")</f>
        <v>rice</v>
      </c>
    </row>
    <row r="5131">
      <c r="A5131" s="1" t="s">
        <v>5131</v>
      </c>
      <c r="B5131" s="2" t="str">
        <f>IFERROR(__xludf.DUMMYFUNCTION("GOOGLETRANSLATE(A5131, ""de"", ""en"")"),"here")</f>
        <v>here</v>
      </c>
    </row>
    <row r="5132">
      <c r="A5132" s="1" t="s">
        <v>5132</v>
      </c>
      <c r="B5132" s="2" t="str">
        <f>IFERROR(__xludf.DUMMYFUNCTION("GOOGLETRANSLATE(A5132, ""de"", ""en"")"),"Scotch")</f>
        <v>Scotch</v>
      </c>
    </row>
    <row r="5133">
      <c r="A5133" s="1" t="s">
        <v>5133</v>
      </c>
      <c r="B5133" s="2" t="str">
        <f>IFERROR(__xludf.DUMMYFUNCTION("GOOGLETRANSLATE(A5133, ""de"", ""en"")"),"run over")</f>
        <v>run over</v>
      </c>
    </row>
    <row r="5134">
      <c r="A5134" s="1" t="s">
        <v>5134</v>
      </c>
      <c r="B5134" s="2" t="str">
        <f>IFERROR(__xludf.DUMMYFUNCTION("GOOGLETRANSLATE(A5134, ""de"", ""en"")"),"logical")</f>
        <v>logical</v>
      </c>
    </row>
    <row r="5135">
      <c r="A5135" s="1" t="s">
        <v>5135</v>
      </c>
      <c r="B5135" s="2" t="str">
        <f>IFERROR(__xludf.DUMMYFUNCTION("GOOGLETRANSLATE(A5135, ""de"", ""en"")"),"heather")</f>
        <v>heather</v>
      </c>
    </row>
    <row r="5136">
      <c r="A5136" s="1" t="s">
        <v>5136</v>
      </c>
      <c r="B5136" s="2" t="str">
        <f>IFERROR(__xludf.DUMMYFUNCTION("GOOGLETRANSLATE(A5136, ""de"", ""en"")"),"French")</f>
        <v>French</v>
      </c>
    </row>
    <row r="5137">
      <c r="A5137" s="1" t="s">
        <v>5137</v>
      </c>
      <c r="B5137" s="2" t="str">
        <f>IFERROR(__xludf.DUMMYFUNCTION("GOOGLETRANSLATE(A5137, ""de"", ""en"")"),"acquaintance")</f>
        <v>acquaintance</v>
      </c>
    </row>
    <row r="5138">
      <c r="A5138" s="1" t="s">
        <v>5138</v>
      </c>
      <c r="B5138" s="2" t="str">
        <f>IFERROR(__xludf.DUMMYFUNCTION("GOOGLETRANSLATE(A5138, ""de"", ""en"")"),"episode")</f>
        <v>episode</v>
      </c>
    </row>
    <row r="5139">
      <c r="A5139" s="1" t="s">
        <v>5139</v>
      </c>
      <c r="B5139" s="2" t="str">
        <f>IFERROR(__xludf.DUMMYFUNCTION("GOOGLETRANSLATE(A5139, ""de"", ""en"")"),"committed")</f>
        <v>committed</v>
      </c>
    </row>
    <row r="5140">
      <c r="A5140" s="1" t="s">
        <v>5140</v>
      </c>
      <c r="B5140" s="2" t="str">
        <f>IFERROR(__xludf.DUMMYFUNCTION("GOOGLETRANSLATE(A5140, ""de"", ""en"")"),"manipulated")</f>
        <v>manipulated</v>
      </c>
    </row>
    <row r="5141">
      <c r="A5141" s="1" t="s">
        <v>5141</v>
      </c>
      <c r="B5141" s="2" t="str">
        <f>IFERROR(__xludf.DUMMYFUNCTION("GOOGLETRANSLATE(A5141, ""de"", ""en"")"),"cells")</f>
        <v>cells</v>
      </c>
    </row>
    <row r="5142">
      <c r="A5142" s="1" t="s">
        <v>5142</v>
      </c>
      <c r="B5142" s="2" t="str">
        <f>IFERROR(__xludf.DUMMYFUNCTION("GOOGLETRANSLATE(A5142, ""de"", ""en"")"),"are")</f>
        <v>are</v>
      </c>
    </row>
    <row r="5143">
      <c r="A5143" s="1" t="s">
        <v>5143</v>
      </c>
      <c r="B5143" s="2" t="str">
        <f>IFERROR(__xludf.DUMMYFUNCTION("GOOGLETRANSLATE(A5143, ""de"", ""en"")"),"blake")</f>
        <v>blake</v>
      </c>
    </row>
    <row r="5144">
      <c r="A5144" s="1" t="s">
        <v>5144</v>
      </c>
      <c r="B5144" s="2" t="str">
        <f>IFERROR(__xludf.DUMMYFUNCTION("GOOGLETRANSLATE(A5144, ""de"", ""en"")"),"services")</f>
        <v>services</v>
      </c>
    </row>
    <row r="5145">
      <c r="A5145" s="1" t="s">
        <v>5145</v>
      </c>
      <c r="B5145" s="2" t="str">
        <f>IFERROR(__xludf.DUMMYFUNCTION("GOOGLETRANSLATE(A5145, ""de"", ""en"")"),"so that")</f>
        <v>so that</v>
      </c>
    </row>
    <row r="5146">
      <c r="A5146" s="1" t="s">
        <v>5146</v>
      </c>
      <c r="B5146" s="2" t="str">
        <f>IFERROR(__xludf.DUMMYFUNCTION("GOOGLETRANSLATE(A5146, ""de"", ""en"")"),"people")</f>
        <v>people</v>
      </c>
    </row>
    <row r="5147">
      <c r="A5147" s="1" t="s">
        <v>5147</v>
      </c>
      <c r="B5147" s="2" t="str">
        <f>IFERROR(__xludf.DUMMYFUNCTION("GOOGLETRANSLATE(A5147, ""de"", ""en"")"),"golf")</f>
        <v>golf</v>
      </c>
    </row>
    <row r="5148">
      <c r="A5148" s="1" t="s">
        <v>5148</v>
      </c>
      <c r="B5148" s="2" t="str">
        <f>IFERROR(__xludf.DUMMYFUNCTION("GOOGLETRANSLATE(A5148, ""de"", ""en"")"),"Janet")</f>
        <v>Janet</v>
      </c>
    </row>
    <row r="5149">
      <c r="A5149" s="1" t="s">
        <v>5149</v>
      </c>
      <c r="B5149" s="2" t="str">
        <f>IFERROR(__xludf.DUMMYFUNCTION("GOOGLETRANSLATE(A5149, ""de"", ""en"")"),"throw")</f>
        <v>throw</v>
      </c>
    </row>
    <row r="5150">
      <c r="A5150" s="1" t="s">
        <v>5150</v>
      </c>
      <c r="B5150" s="2" t="str">
        <f>IFERROR(__xludf.DUMMYFUNCTION("GOOGLETRANSLATE(A5150, ""de"", ""en"")"),"great")</f>
        <v>great</v>
      </c>
    </row>
    <row r="5151">
      <c r="A5151" s="1" t="s">
        <v>5151</v>
      </c>
      <c r="B5151" s="2" t="str">
        <f>IFERROR(__xludf.DUMMYFUNCTION("GOOGLETRANSLATE(A5151, ""de"", ""en"")"),"returned")</f>
        <v>returned</v>
      </c>
    </row>
    <row r="5152">
      <c r="A5152" s="1" t="s">
        <v>5152</v>
      </c>
      <c r="B5152" s="2" t="str">
        <f>IFERROR(__xludf.DUMMYFUNCTION("GOOGLETRANSLATE(A5152, ""de"", ""en"")"),"opened")</f>
        <v>opened</v>
      </c>
    </row>
    <row r="5153">
      <c r="A5153" s="1" t="s">
        <v>5153</v>
      </c>
      <c r="B5153" s="2" t="str">
        <f>IFERROR(__xludf.DUMMYFUNCTION("GOOGLETRANSLATE(A5153, ""de"", ""en"")"),"hums")</f>
        <v>hums</v>
      </c>
    </row>
    <row r="5154">
      <c r="A5154" s="1" t="s">
        <v>5154</v>
      </c>
      <c r="B5154" s="2" t="str">
        <f>IFERROR(__xludf.DUMMYFUNCTION("GOOGLETRANSLATE(A5154, ""de"", ""en"")"),"teach")</f>
        <v>teach</v>
      </c>
    </row>
    <row r="5155">
      <c r="A5155" s="1" t="s">
        <v>5155</v>
      </c>
      <c r="B5155" s="2" t="str">
        <f>IFERROR(__xludf.DUMMYFUNCTION("GOOGLETRANSLATE(A5155, ""de"", ""en"")"),"provide")</f>
        <v>provide</v>
      </c>
    </row>
    <row r="5156">
      <c r="A5156" s="1" t="s">
        <v>5156</v>
      </c>
      <c r="B5156" s="2" t="str">
        <f>IFERROR(__xludf.DUMMYFUNCTION("GOOGLETRANSLATE(A5156, ""de"", ""en"")"),"engaged")</f>
        <v>engaged</v>
      </c>
    </row>
    <row r="5157">
      <c r="A5157" s="1" t="s">
        <v>5157</v>
      </c>
      <c r="B5157" s="2" t="str">
        <f>IFERROR(__xludf.DUMMYFUNCTION("GOOGLETRANSLATE(A5157, ""de"", ""en"")"),"experiences")</f>
        <v>experiences</v>
      </c>
    </row>
    <row r="5158">
      <c r="A5158" s="1" t="s">
        <v>5158</v>
      </c>
      <c r="B5158" s="2" t="str">
        <f>IFERROR(__xludf.DUMMYFUNCTION("GOOGLETRANSLATE(A5158, ""de"", ""en"")"),"shit")</f>
        <v>shit</v>
      </c>
    </row>
    <row r="5159">
      <c r="A5159" s="1" t="s">
        <v>5159</v>
      </c>
      <c r="B5159" s="2" t="str">
        <f>IFERROR(__xludf.DUMMYFUNCTION("GOOGLETRANSLATE(A5159, ""de"", ""en"")"),"personality")</f>
        <v>personality</v>
      </c>
    </row>
    <row r="5160">
      <c r="A5160" s="1" t="s">
        <v>5160</v>
      </c>
      <c r="B5160" s="2" t="str">
        <f>IFERROR(__xludf.DUMMYFUNCTION("GOOGLETRANSLATE(A5160, ""de"", ""en"")"),"gina")</f>
        <v>gina</v>
      </c>
    </row>
    <row r="5161">
      <c r="A5161" s="1" t="s">
        <v>5161</v>
      </c>
      <c r="B5161" s="2" t="str">
        <f>IFERROR(__xludf.DUMMYFUNCTION("GOOGLETRANSLATE(A5161, ""de"", ""en"")"),"cancel")</f>
        <v>cancel</v>
      </c>
    </row>
    <row r="5162">
      <c r="A5162" s="1" t="s">
        <v>5162</v>
      </c>
      <c r="B5162" s="2" t="str">
        <f>IFERROR(__xludf.DUMMYFUNCTION("GOOGLETRANSLATE(A5162, ""de"", ""en"")"),"open")</f>
        <v>open</v>
      </c>
    </row>
    <row r="5163">
      <c r="A5163" s="1" t="s">
        <v>5163</v>
      </c>
      <c r="B5163" s="2" t="str">
        <f>IFERROR(__xludf.DUMMYFUNCTION("GOOGLETRANSLATE(A5163, ""de"", ""en"")"),"wisdom")</f>
        <v>wisdom</v>
      </c>
    </row>
    <row r="5164">
      <c r="A5164" s="1" t="s">
        <v>5164</v>
      </c>
      <c r="B5164" s="2" t="str">
        <f>IFERROR(__xludf.DUMMYFUNCTION("GOOGLETRANSLATE(A5164, ""de"", ""en"")"),"passes away")</f>
        <v>passes away</v>
      </c>
    </row>
    <row r="5165">
      <c r="A5165" s="1" t="s">
        <v>5165</v>
      </c>
      <c r="B5165" s="2" t="str">
        <f>IFERROR(__xludf.DUMMYFUNCTION("GOOGLETRANSLATE(A5165, ""de"", ""en"")"),"calm down")</f>
        <v>calm down</v>
      </c>
    </row>
    <row r="5166">
      <c r="A5166" s="1" t="s">
        <v>5166</v>
      </c>
      <c r="B5166" s="2" t="str">
        <f>IFERROR(__xludf.DUMMYFUNCTION("GOOGLETRANSLATE(A5166, ""de"", ""en"")"),"aim")</f>
        <v>aim</v>
      </c>
    </row>
    <row r="5167">
      <c r="A5167" s="1" t="s">
        <v>5167</v>
      </c>
      <c r="B5167" s="2" t="str">
        <f>IFERROR(__xludf.DUMMYFUNCTION("GOOGLETRANSLATE(A5167, ""de"", ""en"")"),"fans")</f>
        <v>fans</v>
      </c>
    </row>
    <row r="5168">
      <c r="A5168" s="1" t="s">
        <v>5168</v>
      </c>
      <c r="B5168" s="2" t="str">
        <f>IFERROR(__xludf.DUMMYFUNCTION("GOOGLETRANSLATE(A5168, ""de"", ""en"")"),"you knew")</f>
        <v>you knew</v>
      </c>
    </row>
    <row r="5169">
      <c r="A5169" s="1" t="s">
        <v>5169</v>
      </c>
      <c r="B5169" s="2" t="str">
        <f>IFERROR(__xludf.DUMMYFUNCTION("GOOGLETRANSLATE(A5169, ""de"", ""en"")"),"Ashley")</f>
        <v>Ashley</v>
      </c>
    </row>
    <row r="5170">
      <c r="A5170" s="1" t="s">
        <v>5170</v>
      </c>
      <c r="B5170" s="2" t="str">
        <f>IFERROR(__xludf.DUMMYFUNCTION("GOOGLETRANSLATE(A5170, ""de"", ""en"")"),"owes")</f>
        <v>owes</v>
      </c>
    </row>
    <row r="5171">
      <c r="A5171" s="1" t="s">
        <v>5171</v>
      </c>
      <c r="B5171" s="2" t="str">
        <f>IFERROR(__xludf.DUMMYFUNCTION("GOOGLETRANSLATE(A5171, ""de"", ""en"")"),"increase")</f>
        <v>increase</v>
      </c>
    </row>
    <row r="5172">
      <c r="A5172" s="1" t="s">
        <v>5172</v>
      </c>
      <c r="B5172" s="2" t="str">
        <f>IFERROR(__xludf.DUMMYFUNCTION("GOOGLETRANSLATE(A5172, ""de"", ""en"")"),"most beautiful")</f>
        <v>most beautiful</v>
      </c>
    </row>
    <row r="5173">
      <c r="A5173" s="1" t="s">
        <v>5173</v>
      </c>
      <c r="B5173" s="2" t="str">
        <f>IFERROR(__xludf.DUMMYFUNCTION("GOOGLETRANSLATE(A5173, ""de"", ""en"")"),"moments")</f>
        <v>moments</v>
      </c>
    </row>
    <row r="5174">
      <c r="A5174" s="1" t="s">
        <v>5174</v>
      </c>
      <c r="B5174" s="2" t="str">
        <f>IFERROR(__xludf.DUMMYFUNCTION("GOOGLETRANSLATE(A5174, ""de"", ""en"")"),"adrian")</f>
        <v>adrian</v>
      </c>
    </row>
    <row r="5175">
      <c r="A5175" s="1" t="s">
        <v>5175</v>
      </c>
      <c r="B5175" s="2" t="str">
        <f>IFERROR(__xludf.DUMMYFUNCTION("GOOGLETRANSLATE(A5175, ""de"", ""en"")"),"comrades")</f>
        <v>comrades</v>
      </c>
    </row>
    <row r="5176">
      <c r="A5176" s="1" t="s">
        <v>5176</v>
      </c>
      <c r="B5176" s="2" t="str">
        <f>IFERROR(__xludf.DUMMYFUNCTION("GOOGLETRANSLATE(A5176, ""de"", ""en"")"),"broke in")</f>
        <v>broke in</v>
      </c>
    </row>
    <row r="5177">
      <c r="A5177" s="1" t="s">
        <v>5177</v>
      </c>
      <c r="B5177" s="2" t="str">
        <f>IFERROR(__xludf.DUMMYFUNCTION("GOOGLETRANSLATE(A5177, ""de"", ""en"")"),"amused")</f>
        <v>amused</v>
      </c>
    </row>
    <row r="5178">
      <c r="A5178" s="1" t="s">
        <v>5178</v>
      </c>
      <c r="B5178" s="2" t="str">
        <f>IFERROR(__xludf.DUMMYFUNCTION("GOOGLETRANSLATE(A5178, ""de"", ""en"")"),"mentioned")</f>
        <v>mentioned</v>
      </c>
    </row>
    <row r="5179">
      <c r="A5179" s="1" t="s">
        <v>5179</v>
      </c>
      <c r="B5179" s="2" t="str">
        <f>IFERROR(__xludf.DUMMYFUNCTION("GOOGLETRANSLATE(A5179, ""de"", ""en"")"),"Mitch")</f>
        <v>Mitch</v>
      </c>
    </row>
    <row r="5180">
      <c r="A5180" s="1" t="s">
        <v>5180</v>
      </c>
      <c r="B5180" s="2" t="str">
        <f>IFERROR(__xludf.DUMMYFUNCTION("GOOGLETRANSLATE(A5180, ""de"", ""en"")"),"prime minister")</f>
        <v>prime minister</v>
      </c>
    </row>
    <row r="5181">
      <c r="A5181" s="1" t="s">
        <v>5181</v>
      </c>
      <c r="B5181" s="2" t="str">
        <f>IFERROR(__xludf.DUMMYFUNCTION("GOOGLETRANSLATE(A5181, ""de"", ""en"")"),"least")</f>
        <v>least</v>
      </c>
    </row>
    <row r="5182">
      <c r="A5182" s="1" t="s">
        <v>5182</v>
      </c>
      <c r="B5182" s="2" t="str">
        <f>IFERROR(__xludf.DUMMYFUNCTION("GOOGLETRANSLATE(A5182, ""de"", ""en"")"),"stay overnight")</f>
        <v>stay overnight</v>
      </c>
    </row>
    <row r="5183">
      <c r="A5183" s="1" t="s">
        <v>5183</v>
      </c>
      <c r="B5183" s="2" t="str">
        <f>IFERROR(__xludf.DUMMYFUNCTION("GOOGLETRANSLATE(A5183, ""de"", ""en"")"),"infected")</f>
        <v>infected</v>
      </c>
    </row>
    <row r="5184">
      <c r="A5184" s="1" t="s">
        <v>5184</v>
      </c>
      <c r="B5184" s="2" t="str">
        <f>IFERROR(__xludf.DUMMYFUNCTION("GOOGLETRANSLATE(A5184, ""de"", ""en"")"),"goa")</f>
        <v>goa</v>
      </c>
    </row>
    <row r="5185">
      <c r="A5185" s="1" t="s">
        <v>5185</v>
      </c>
      <c r="B5185" s="2" t="str">
        <f>IFERROR(__xludf.DUMMYFUNCTION("GOOGLETRANSLATE(A5185, ""de"", ""en"")"),"dinner")</f>
        <v>dinner</v>
      </c>
    </row>
    <row r="5186">
      <c r="A5186" s="1" t="s">
        <v>5186</v>
      </c>
      <c r="B5186" s="2" t="str">
        <f>IFERROR(__xludf.DUMMYFUNCTION("GOOGLETRANSLATE(A5186, ""de"", ""en"")"),"smell")</f>
        <v>smell</v>
      </c>
    </row>
    <row r="5187">
      <c r="A5187" s="1" t="s">
        <v>5187</v>
      </c>
      <c r="B5187" s="2" t="str">
        <f>IFERROR(__xludf.DUMMYFUNCTION("GOOGLETRANSLATE(A5187, ""de"", ""en"")"),"credit")</f>
        <v>credit</v>
      </c>
    </row>
    <row r="5188">
      <c r="A5188" s="1" t="s">
        <v>5188</v>
      </c>
      <c r="B5188" s="2" t="str">
        <f>IFERROR(__xludf.DUMMYFUNCTION("GOOGLETRANSLATE(A5188, ""de"", ""en"")"),"Allison")</f>
        <v>Allison</v>
      </c>
    </row>
    <row r="5189">
      <c r="A5189" s="1" t="s">
        <v>5189</v>
      </c>
      <c r="B5189" s="2" t="str">
        <f>IFERROR(__xludf.DUMMYFUNCTION("GOOGLETRANSLATE(A5189, ""de"", ""en"")"),"lake")</f>
        <v>lake</v>
      </c>
    </row>
    <row r="5190">
      <c r="A5190" s="1" t="s">
        <v>5190</v>
      </c>
      <c r="B5190" s="2" t="str">
        <f>IFERROR(__xludf.DUMMYFUNCTION("GOOGLETRANSLATE(A5190, ""de"", ""en"")"),"legal")</f>
        <v>legal</v>
      </c>
    </row>
    <row r="5191">
      <c r="A5191" s="1" t="s">
        <v>5191</v>
      </c>
      <c r="B5191" s="2" t="str">
        <f>IFERROR(__xludf.DUMMYFUNCTION("GOOGLETRANSLATE(A5191, ""de"", ""en"")"),"notice")</f>
        <v>notice</v>
      </c>
    </row>
    <row r="5192">
      <c r="A5192" s="1" t="s">
        <v>5192</v>
      </c>
      <c r="B5192" s="2" t="str">
        <f>IFERROR(__xludf.DUMMYFUNCTION("GOOGLETRANSLATE(A5192, ""de"", ""en"")"),"cheer")</f>
        <v>cheer</v>
      </c>
    </row>
    <row r="5193">
      <c r="A5193" s="1" t="s">
        <v>5193</v>
      </c>
      <c r="B5193" s="2" t="str">
        <f>IFERROR(__xludf.DUMMYFUNCTION("GOOGLETRANSLATE(A5193, ""de"", ""en"")"),"sounds")</f>
        <v>sounds</v>
      </c>
    </row>
    <row r="5194">
      <c r="A5194" s="1" t="s">
        <v>5194</v>
      </c>
      <c r="B5194" s="2" t="str">
        <f>IFERROR(__xludf.DUMMYFUNCTION("GOOGLETRANSLATE(A5194, ""de"", ""en"")"),"larger")</f>
        <v>larger</v>
      </c>
    </row>
    <row r="5195">
      <c r="A5195" s="1" t="s">
        <v>5195</v>
      </c>
      <c r="B5195" s="2" t="str">
        <f>IFERROR(__xludf.DUMMYFUNCTION("GOOGLETRANSLATE(A5195, ""de"", ""en"")"),"guarded")</f>
        <v>guarded</v>
      </c>
    </row>
    <row r="5196">
      <c r="A5196" s="1" t="s">
        <v>5196</v>
      </c>
      <c r="B5196" s="2" t="str">
        <f>IFERROR(__xludf.DUMMYFUNCTION("GOOGLETRANSLATE(A5196, ""de"", ""en"")"),"Vietnam")</f>
        <v>Vietnam</v>
      </c>
    </row>
    <row r="5197">
      <c r="A5197" s="1" t="s">
        <v>5197</v>
      </c>
      <c r="B5197" s="2" t="str">
        <f>IFERROR(__xludf.DUMMYFUNCTION("GOOGLETRANSLATE(A5197, ""de"", ""en"")"),"teach")</f>
        <v>teach</v>
      </c>
    </row>
    <row r="5198">
      <c r="A5198" s="1" t="s">
        <v>5198</v>
      </c>
      <c r="B5198" s="2" t="str">
        <f>IFERROR(__xludf.DUMMYFUNCTION("GOOGLETRANSLATE(A5198, ""de"", ""en"")"),"chandler")</f>
        <v>chandler</v>
      </c>
    </row>
    <row r="5199">
      <c r="A5199" s="1" t="s">
        <v>5199</v>
      </c>
      <c r="B5199" s="2" t="str">
        <f>IFERROR(__xludf.DUMMYFUNCTION("GOOGLETRANSLATE(A5199, ""de"", ""en"")"),"present")</f>
        <v>present</v>
      </c>
    </row>
    <row r="5200">
      <c r="A5200" s="1" t="s">
        <v>5200</v>
      </c>
      <c r="B5200" s="2" t="str">
        <f>IFERROR(__xludf.DUMMYFUNCTION("GOOGLETRANSLATE(A5200, ""de"", ""en"")"),"neck")</f>
        <v>neck</v>
      </c>
    </row>
    <row r="5201">
      <c r="A5201" s="1" t="s">
        <v>5201</v>
      </c>
      <c r="B5201" s="2" t="str">
        <f>IFERROR(__xludf.DUMMYFUNCTION("GOOGLETRANSLATE(A5201, ""de"", ""en"")"),"hang up")</f>
        <v>hang up</v>
      </c>
    </row>
    <row r="5202">
      <c r="A5202" s="1" t="s">
        <v>5202</v>
      </c>
      <c r="B5202" s="2" t="str">
        <f>IFERROR(__xludf.DUMMYFUNCTION("GOOGLETRANSLATE(A5202, ""de"", ""en"")"),"past")</f>
        <v>past</v>
      </c>
    </row>
    <row r="5203">
      <c r="A5203" s="1" t="s">
        <v>5203</v>
      </c>
      <c r="B5203" s="2" t="str">
        <f>IFERROR(__xludf.DUMMYFUNCTION("GOOGLETRANSLATE(A5203, ""de"", ""en"")"),"catches")</f>
        <v>catches</v>
      </c>
    </row>
    <row r="5204">
      <c r="A5204" s="1" t="s">
        <v>5204</v>
      </c>
      <c r="B5204" s="2" t="str">
        <f>IFERROR(__xludf.DUMMYFUNCTION("GOOGLETRANSLATE(A5204, ""de"", ""en"")"),"chickens")</f>
        <v>chickens</v>
      </c>
    </row>
    <row r="5205">
      <c r="A5205" s="1" t="s">
        <v>5205</v>
      </c>
      <c r="B5205" s="2" t="str">
        <f>IFERROR(__xludf.DUMMYFUNCTION("GOOGLETRANSLATE(A5205, ""de"", ""en"")"),"hector")</f>
        <v>hector</v>
      </c>
    </row>
    <row r="5206">
      <c r="A5206" s="1" t="s">
        <v>5206</v>
      </c>
      <c r="B5206" s="2" t="str">
        <f>IFERROR(__xludf.DUMMYFUNCTION("GOOGLETRANSLATE(A5206, ""de"", ""en"")"),"teal")</f>
        <v>teal</v>
      </c>
    </row>
    <row r="5207">
      <c r="A5207" s="1" t="s">
        <v>5207</v>
      </c>
      <c r="B5207" s="2" t="str">
        <f>IFERROR(__xludf.DUMMYFUNCTION("GOOGLETRANSLATE(A5207, ""de"", ""en"")"),"blow up")</f>
        <v>blow up</v>
      </c>
    </row>
    <row r="5208">
      <c r="A5208" s="1" t="s">
        <v>5208</v>
      </c>
      <c r="B5208" s="2" t="str">
        <f>IFERROR(__xludf.DUMMYFUNCTION("GOOGLETRANSLATE(A5208, ""de"", ""en"")"),"lock up")</f>
        <v>lock up</v>
      </c>
    </row>
    <row r="5209">
      <c r="A5209" s="1" t="s">
        <v>5209</v>
      </c>
      <c r="B5209" s="2" t="str">
        <f>IFERROR(__xludf.DUMMYFUNCTION("GOOGLETRANSLATE(A5209, ""de"", ""en"")"),"gymnast")</f>
        <v>gymnast</v>
      </c>
    </row>
    <row r="5210">
      <c r="A5210" s="1" t="s">
        <v>5210</v>
      </c>
      <c r="B5210" s="2" t="str">
        <f>IFERROR(__xludf.DUMMYFUNCTION("GOOGLETRANSLATE(A5210, ""de"", ""en"")"),"connection")</f>
        <v>connection</v>
      </c>
    </row>
    <row r="5211">
      <c r="A5211" s="1" t="s">
        <v>5211</v>
      </c>
      <c r="B5211" s="2" t="str">
        <f>IFERROR(__xludf.DUMMYFUNCTION("GOOGLETRANSLATE(A5211, ""de"", ""en"")"),"truer")</f>
        <v>truer</v>
      </c>
    </row>
    <row r="5212">
      <c r="A5212" s="1" t="s">
        <v>5212</v>
      </c>
      <c r="B5212" s="2" t="str">
        <f>IFERROR(__xludf.DUMMYFUNCTION("GOOGLETRANSLATE(A5212, ""de"", ""en"")"),"joan")</f>
        <v>joan</v>
      </c>
    </row>
    <row r="5213">
      <c r="A5213" s="1" t="s">
        <v>5213</v>
      </c>
      <c r="B5213" s="2" t="str">
        <f>IFERROR(__xludf.DUMMYFUNCTION("GOOGLETRANSLATE(A5213, ""de"", ""en"")"),"marco")</f>
        <v>marco</v>
      </c>
    </row>
    <row r="5214">
      <c r="A5214" s="1" t="s">
        <v>5214</v>
      </c>
      <c r="B5214" s="2" t="str">
        <f>IFERROR(__xludf.DUMMYFUNCTION("GOOGLETRANSLATE(A5214, ""de"", ""en"")"),"broad")</f>
        <v>broad</v>
      </c>
    </row>
    <row r="5215">
      <c r="A5215" s="1" t="s">
        <v>5215</v>
      </c>
      <c r="B5215" s="2" t="str">
        <f>IFERROR(__xludf.DUMMYFUNCTION("GOOGLETRANSLATE(A5215, ""de"", ""en"")"),"pipe")</f>
        <v>pipe</v>
      </c>
    </row>
    <row r="5216">
      <c r="A5216" s="1" t="s">
        <v>5216</v>
      </c>
      <c r="B5216" s="2" t="str">
        <f>IFERROR(__xludf.DUMMYFUNCTION("GOOGLETRANSLATE(A5216, ""de"", ""en"")"),"drive")</f>
        <v>drive</v>
      </c>
    </row>
    <row r="5217">
      <c r="A5217" s="1" t="s">
        <v>5217</v>
      </c>
      <c r="B5217" s="2" t="str">
        <f>IFERROR(__xludf.DUMMYFUNCTION("GOOGLETRANSLATE(A5217, ""de"", ""en"")"),"ran")</f>
        <v>ran</v>
      </c>
    </row>
    <row r="5218">
      <c r="A5218" s="1" t="s">
        <v>5218</v>
      </c>
      <c r="B5218" s="2" t="str">
        <f>IFERROR(__xludf.DUMMYFUNCTION("GOOGLETRANSLATE(A5218, ""de"", ""en"")"),"accused")</f>
        <v>accused</v>
      </c>
    </row>
    <row r="5219">
      <c r="A5219" s="1" t="s">
        <v>5219</v>
      </c>
      <c r="B5219" s="2" t="str">
        <f>IFERROR(__xludf.DUMMYFUNCTION("GOOGLETRANSLATE(A5219, ""de"", ""en"")"),"set")</f>
        <v>set</v>
      </c>
    </row>
    <row r="5220">
      <c r="A5220" s="1" t="s">
        <v>5220</v>
      </c>
      <c r="B5220" s="2" t="str">
        <f>IFERROR(__xludf.DUMMYFUNCTION("GOOGLETRANSLATE(A5220, ""de"", ""en"")"),"relocated")</f>
        <v>relocated</v>
      </c>
    </row>
    <row r="5221">
      <c r="A5221" s="1" t="s">
        <v>5221</v>
      </c>
      <c r="B5221" s="2" t="str">
        <f>IFERROR(__xludf.DUMMYFUNCTION("GOOGLETRANSLATE(A5221, ""de"", ""en"")"),"surprises")</f>
        <v>surprises</v>
      </c>
    </row>
    <row r="5222">
      <c r="A5222" s="1" t="s">
        <v>5222</v>
      </c>
      <c r="B5222" s="2" t="str">
        <f>IFERROR(__xludf.DUMMYFUNCTION("GOOGLETRANSLATE(A5222, ""de"", ""en"")"),"Orleans")</f>
        <v>Orleans</v>
      </c>
    </row>
    <row r="5223">
      <c r="A5223" s="1" t="s">
        <v>5223</v>
      </c>
      <c r="B5223" s="2" t="str">
        <f>IFERROR(__xludf.DUMMYFUNCTION("GOOGLETRANSLATE(A5223, ""de"", ""en"")"),"douglas")</f>
        <v>douglas</v>
      </c>
    </row>
    <row r="5224">
      <c r="A5224" s="1" t="s">
        <v>5224</v>
      </c>
      <c r="B5224" s="2" t="str">
        <f>IFERROR(__xludf.DUMMYFUNCTION("GOOGLETRANSLATE(A5224, ""de"", ""en"")"),"dive")</f>
        <v>dive</v>
      </c>
    </row>
    <row r="5225">
      <c r="A5225" s="1" t="s">
        <v>5225</v>
      </c>
      <c r="B5225" s="2" t="str">
        <f>IFERROR(__xludf.DUMMYFUNCTION("GOOGLETRANSLATE(A5225, ""de"", ""en"")"),"thank")</f>
        <v>thank</v>
      </c>
    </row>
    <row r="5226">
      <c r="A5226" s="1" t="s">
        <v>5226</v>
      </c>
      <c r="B5226" s="2" t="str">
        <f>IFERROR(__xludf.DUMMYFUNCTION("GOOGLETRANSLATE(A5226, ""de"", ""en"")"),"needle")</f>
        <v>needle</v>
      </c>
    </row>
    <row r="5227">
      <c r="A5227" s="1" t="s">
        <v>5227</v>
      </c>
      <c r="B5227" s="2" t="str">
        <f>IFERROR(__xludf.DUMMYFUNCTION("GOOGLETRANSLATE(A5227, ""de"", ""en"")"),"psst")</f>
        <v>psst</v>
      </c>
    </row>
    <row r="5228">
      <c r="A5228" s="1" t="s">
        <v>5228</v>
      </c>
      <c r="B5228" s="2" t="str">
        <f>IFERROR(__xludf.DUMMYFUNCTION("GOOGLETRANSLATE(A5228, ""de"", ""en"")"),"laughed")</f>
        <v>laughed</v>
      </c>
    </row>
    <row r="5229">
      <c r="A5229" s="1" t="s">
        <v>5229</v>
      </c>
      <c r="B5229" s="2" t="str">
        <f>IFERROR(__xludf.DUMMYFUNCTION("GOOGLETRANSLATE(A5229, ""de"", ""en"")"),"apple")</f>
        <v>apple</v>
      </c>
    </row>
    <row r="5230">
      <c r="A5230" s="1" t="s">
        <v>5230</v>
      </c>
      <c r="B5230" s="2" t="str">
        <f>IFERROR(__xludf.DUMMYFUNCTION("GOOGLETRANSLATE(A5230, ""de"", ""en"")"),"helpful")</f>
        <v>helpful</v>
      </c>
    </row>
    <row r="5231">
      <c r="A5231" s="1" t="s">
        <v>5231</v>
      </c>
      <c r="B5231" s="2" t="str">
        <f>IFERROR(__xludf.DUMMYFUNCTION("GOOGLETRANSLATE(A5231, ""de"", ""en"")"),"scumbag")</f>
        <v>scumbag</v>
      </c>
    </row>
    <row r="5232">
      <c r="A5232" s="1" t="s">
        <v>5232</v>
      </c>
      <c r="B5232" s="2" t="str">
        <f>IFERROR(__xludf.DUMMYFUNCTION("GOOGLETRANSLATE(A5232, ""de"", ""en"")"),"compassion")</f>
        <v>compassion</v>
      </c>
    </row>
    <row r="5233">
      <c r="A5233" s="1" t="s">
        <v>5233</v>
      </c>
      <c r="B5233" s="2" t="str">
        <f>IFERROR(__xludf.DUMMYFUNCTION("GOOGLETRANSLATE(A5233, ""de"", ""en"")"),"most important")</f>
        <v>most important</v>
      </c>
    </row>
    <row r="5234">
      <c r="A5234" s="1" t="s">
        <v>5234</v>
      </c>
      <c r="B5234" s="2" t="str">
        <f>IFERROR(__xludf.DUMMYFUNCTION("GOOGLETRANSLATE(A5234, ""de"", ""en"")"),"war")</f>
        <v>war</v>
      </c>
    </row>
    <row r="5235">
      <c r="A5235" s="1" t="s">
        <v>5235</v>
      </c>
      <c r="B5235" s="2" t="str">
        <f>IFERROR(__xludf.DUMMYFUNCTION("GOOGLETRANSLATE(A5235, ""de"", ""en"")"),"woe")</f>
        <v>woe</v>
      </c>
    </row>
    <row r="5236">
      <c r="A5236" s="1" t="s">
        <v>5236</v>
      </c>
      <c r="B5236" s="2" t="str">
        <f>IFERROR(__xludf.DUMMYFUNCTION("GOOGLETRANSLATE(A5236, ""de"", ""en"")"),"hope")</f>
        <v>hope</v>
      </c>
    </row>
    <row r="5237">
      <c r="A5237" s="1" t="s">
        <v>5237</v>
      </c>
      <c r="B5237" s="2" t="str">
        <f>IFERROR(__xludf.DUMMYFUNCTION("GOOGLETRANSLATE(A5237, ""de"", ""en"")"),"marriage")</f>
        <v>marriage</v>
      </c>
    </row>
    <row r="5238">
      <c r="A5238" s="1" t="s">
        <v>5238</v>
      </c>
      <c r="B5238" s="2" t="str">
        <f>IFERROR(__xludf.DUMMYFUNCTION("GOOGLETRANSLATE(A5238, ""de"", ""en"")"),"exactly")</f>
        <v>exactly</v>
      </c>
    </row>
    <row r="5239">
      <c r="A5239" s="1" t="s">
        <v>5239</v>
      </c>
      <c r="B5239" s="2" t="str">
        <f>IFERROR(__xludf.DUMMYFUNCTION("GOOGLETRANSLATE(A5239, ""de"", ""en"")"),"resist")</f>
        <v>resist</v>
      </c>
    </row>
    <row r="5240">
      <c r="A5240" s="1" t="s">
        <v>5240</v>
      </c>
      <c r="B5240" s="2" t="str">
        <f>IFERROR(__xludf.DUMMYFUNCTION("GOOGLETRANSLATE(A5240, ""de"", ""en"")"),"maximum")</f>
        <v>maximum</v>
      </c>
    </row>
    <row r="5241">
      <c r="A5241" s="1" t="s">
        <v>5241</v>
      </c>
      <c r="B5241" s="2" t="str">
        <f>IFERROR(__xludf.DUMMYFUNCTION("GOOGLETRANSLATE(A5241, ""de"", ""en"")"),"left behind")</f>
        <v>left behind</v>
      </c>
    </row>
    <row r="5242">
      <c r="A5242" s="1" t="s">
        <v>5242</v>
      </c>
      <c r="B5242" s="2" t="str">
        <f>IFERROR(__xludf.DUMMYFUNCTION("GOOGLETRANSLATE(A5242, ""de"", ""en"")"),"felt")</f>
        <v>felt</v>
      </c>
    </row>
    <row r="5243">
      <c r="A5243" s="1" t="s">
        <v>5243</v>
      </c>
      <c r="B5243" s="2" t="str">
        <f>IFERROR(__xludf.DUMMYFUNCTION("GOOGLETRANSLATE(A5243, ""de"", ""en"")"),"methods")</f>
        <v>methods</v>
      </c>
    </row>
    <row r="5244">
      <c r="A5244" s="1" t="s">
        <v>5244</v>
      </c>
      <c r="B5244" s="2" t="str">
        <f>IFERROR(__xludf.DUMMYFUNCTION("GOOGLETRANSLATE(A5244, ""de"", ""en"")"),"interesting")</f>
        <v>interesting</v>
      </c>
    </row>
    <row r="5245">
      <c r="A5245" s="1" t="s">
        <v>5245</v>
      </c>
      <c r="B5245" s="2" t="str">
        <f>IFERROR(__xludf.DUMMYFUNCTION("GOOGLETRANSLATE(A5245, ""de"", ""en"")"),"sow")</f>
        <v>sow</v>
      </c>
    </row>
    <row r="5246">
      <c r="A5246" s="1" t="s">
        <v>5246</v>
      </c>
      <c r="B5246" s="2" t="str">
        <f>IFERROR(__xludf.DUMMYFUNCTION("GOOGLETRANSLATE(A5246, ""de"", ""en"")"),"emergency room")</f>
        <v>emergency room</v>
      </c>
    </row>
    <row r="5247">
      <c r="A5247" s="1" t="s">
        <v>5247</v>
      </c>
      <c r="B5247" s="2" t="str">
        <f>IFERROR(__xludf.DUMMYFUNCTION("GOOGLETRANSLATE(A5247, ""de"", ""en"")"),"relatives")</f>
        <v>relatives</v>
      </c>
    </row>
    <row r="5248">
      <c r="A5248" s="1" t="s">
        <v>5248</v>
      </c>
      <c r="B5248" s="2" t="str">
        <f>IFERROR(__xludf.DUMMYFUNCTION("GOOGLETRANSLATE(A5248, ""de"", ""en"")"),"jeffrey")</f>
        <v>jeffrey</v>
      </c>
    </row>
    <row r="5249">
      <c r="A5249" s="1" t="s">
        <v>5249</v>
      </c>
      <c r="B5249" s="2" t="str">
        <f>IFERROR(__xludf.DUMMYFUNCTION("GOOGLETRANSLATE(A5249, ""de"", ""en"")"),"tip")</f>
        <v>tip</v>
      </c>
    </row>
    <row r="5250">
      <c r="A5250" s="1" t="s">
        <v>5250</v>
      </c>
      <c r="B5250" s="2" t="str">
        <f>IFERROR(__xludf.DUMMYFUNCTION("GOOGLETRANSLATE(A5250, ""de"", ""en"")"),"determine")</f>
        <v>determine</v>
      </c>
    </row>
    <row r="5251">
      <c r="A5251" s="1" t="s">
        <v>5251</v>
      </c>
      <c r="B5251" s="2" t="str">
        <f>IFERROR(__xludf.DUMMYFUNCTION("GOOGLETRANSLATE(A5251, ""de"", ""en"")"),"smell")</f>
        <v>smell</v>
      </c>
    </row>
    <row r="5252">
      <c r="A5252" s="1" t="s">
        <v>5252</v>
      </c>
      <c r="B5252" s="2" t="str">
        <f>IFERROR(__xludf.DUMMYFUNCTION("GOOGLETRANSLATE(A5252, ""de"", ""en"")"),"beach")</f>
        <v>beach</v>
      </c>
    </row>
    <row r="5253">
      <c r="A5253" s="1" t="s">
        <v>5253</v>
      </c>
      <c r="B5253" s="2" t="str">
        <f>IFERROR(__xludf.DUMMYFUNCTION("GOOGLETRANSLATE(A5253, ""de"", ""en"")"),"variety")</f>
        <v>variety</v>
      </c>
    </row>
    <row r="5254">
      <c r="A5254" s="1" t="s">
        <v>5254</v>
      </c>
      <c r="B5254" s="2" t="str">
        <f>IFERROR(__xludf.DUMMYFUNCTION("GOOGLETRANSLATE(A5254, ""de"", ""en"")"),"potatoes")</f>
        <v>potatoes</v>
      </c>
    </row>
    <row r="5255">
      <c r="A5255" s="1" t="s">
        <v>5255</v>
      </c>
      <c r="B5255" s="2" t="str">
        <f>IFERROR(__xludf.DUMMYFUNCTION("GOOGLETRANSLATE(A5255, ""de"", ""en"")"),"Bo")</f>
        <v>Bo</v>
      </c>
    </row>
    <row r="5256">
      <c r="A5256" s="1" t="s">
        <v>5256</v>
      </c>
      <c r="B5256" s="2" t="str">
        <f>IFERROR(__xludf.DUMMYFUNCTION("GOOGLETRANSLATE(A5256, ""de"", ""en"")"),"elephants")</f>
        <v>elephants</v>
      </c>
    </row>
    <row r="5257">
      <c r="A5257" s="1" t="s">
        <v>5257</v>
      </c>
      <c r="B5257" s="2" t="str">
        <f>IFERROR(__xludf.DUMMYFUNCTION("GOOGLETRANSLATE(A5257, ""de"", ""en"")"),"safe")</f>
        <v>safe</v>
      </c>
    </row>
    <row r="5258">
      <c r="A5258" s="1" t="s">
        <v>5258</v>
      </c>
      <c r="B5258" s="2" t="str">
        <f>IFERROR(__xludf.DUMMYFUNCTION("GOOGLETRANSLATE(A5258, ""de"", ""en"")"),"all")</f>
        <v>all</v>
      </c>
    </row>
    <row r="5259">
      <c r="A5259" s="1" t="s">
        <v>5259</v>
      </c>
      <c r="B5259" s="2" t="str">
        <f>IFERROR(__xludf.DUMMYFUNCTION("GOOGLETRANSLATE(A5259, ""de"", ""en"")"),"quit")</f>
        <v>quit</v>
      </c>
    </row>
    <row r="5260">
      <c r="A5260" s="1" t="s">
        <v>5260</v>
      </c>
      <c r="B5260" s="2" t="str">
        <f>IFERROR(__xludf.DUMMYFUNCTION("GOOGLETRANSLATE(A5260, ""de"", ""en"")"),"agreement")</f>
        <v>agreement</v>
      </c>
    </row>
    <row r="5261">
      <c r="A5261" s="1" t="s">
        <v>5261</v>
      </c>
      <c r="B5261" s="2" t="str">
        <f>IFERROR(__xludf.DUMMYFUNCTION("GOOGLETRANSLATE(A5261, ""de"", ""en"")"),"harmless")</f>
        <v>harmless</v>
      </c>
    </row>
    <row r="5262">
      <c r="A5262" s="1" t="s">
        <v>5262</v>
      </c>
      <c r="B5262" s="2" t="str">
        <f>IFERROR(__xludf.DUMMYFUNCTION("GOOGLETRANSLATE(A5262, ""de"", ""en"")"),"women")</f>
        <v>women</v>
      </c>
    </row>
    <row r="5263">
      <c r="A5263" s="1" t="s">
        <v>5263</v>
      </c>
      <c r="B5263" s="2" t="str">
        <f>IFERROR(__xludf.DUMMYFUNCTION("GOOGLETRANSLATE(A5263, ""de"", ""en"")"),"this")</f>
        <v>this</v>
      </c>
    </row>
    <row r="5264">
      <c r="A5264" s="1" t="s">
        <v>5264</v>
      </c>
      <c r="B5264" s="2" t="str">
        <f>IFERROR(__xludf.DUMMYFUNCTION("GOOGLETRANSLATE(A5264, ""de"", ""en"")"),"thick")</f>
        <v>thick</v>
      </c>
    </row>
    <row r="5265">
      <c r="A5265" s="1" t="s">
        <v>5265</v>
      </c>
      <c r="B5265" s="2" t="str">
        <f>IFERROR(__xludf.DUMMYFUNCTION("GOOGLETRANSLATE(A5265, ""de"", ""en"")"),"comes out")</f>
        <v>comes out</v>
      </c>
    </row>
    <row r="5266">
      <c r="A5266" s="1" t="s">
        <v>5266</v>
      </c>
      <c r="B5266" s="2" t="str">
        <f>IFERROR(__xludf.DUMMYFUNCTION("GOOGLETRANSLATE(A5266, ""de"", ""en"")"),"old")</f>
        <v>old</v>
      </c>
    </row>
    <row r="5267">
      <c r="A5267" s="1" t="s">
        <v>5267</v>
      </c>
      <c r="B5267" s="2" t="str">
        <f>IFERROR(__xludf.DUMMYFUNCTION("GOOGLETRANSLATE(A5267, ""de"", ""en"")"),"employees")</f>
        <v>employees</v>
      </c>
    </row>
    <row r="5268">
      <c r="A5268" s="1" t="s">
        <v>5268</v>
      </c>
      <c r="B5268" s="2" t="str">
        <f>IFERROR(__xludf.DUMMYFUNCTION("GOOGLETRANSLATE(A5268, ""de"", ""en"")"),"date")</f>
        <v>date</v>
      </c>
    </row>
    <row r="5269">
      <c r="A5269" s="1" t="s">
        <v>5269</v>
      </c>
      <c r="B5269" s="2" t="str">
        <f>IFERROR(__xludf.DUMMYFUNCTION("GOOGLETRANSLATE(A5269, ""de"", ""en"")"),"relation")</f>
        <v>relation</v>
      </c>
    </row>
    <row r="5270">
      <c r="A5270" s="1" t="s">
        <v>5270</v>
      </c>
      <c r="B5270" s="2" t="str">
        <f>IFERROR(__xludf.DUMMYFUNCTION("GOOGLETRANSLATE(A5270, ""de"", ""en"")"),"candles")</f>
        <v>candles</v>
      </c>
    </row>
    <row r="5271">
      <c r="A5271" s="1" t="s">
        <v>5271</v>
      </c>
      <c r="B5271" s="2" t="str">
        <f>IFERROR(__xludf.DUMMYFUNCTION("GOOGLETRANSLATE(A5271, ""de"", ""en"")"),"Lawrence")</f>
        <v>Lawrence</v>
      </c>
    </row>
    <row r="5272">
      <c r="A5272" s="1" t="s">
        <v>5272</v>
      </c>
      <c r="B5272" s="2" t="str">
        <f>IFERROR(__xludf.DUMMYFUNCTION("GOOGLETRANSLATE(A5272, ""de"", ""en"")"),"march")</f>
        <v>march</v>
      </c>
    </row>
    <row r="5273">
      <c r="A5273" s="1" t="s">
        <v>5273</v>
      </c>
      <c r="B5273" s="2" t="str">
        <f>IFERROR(__xludf.DUMMYFUNCTION("GOOGLETRANSLATE(A5273, ""de"", ""en"")"),"needed")</f>
        <v>needed</v>
      </c>
    </row>
    <row r="5274">
      <c r="A5274" s="1" t="s">
        <v>5274</v>
      </c>
      <c r="B5274" s="2" t="str">
        <f>IFERROR(__xludf.DUMMYFUNCTION("GOOGLETRANSLATE(A5274, ""de"", ""en"")"),"determination")</f>
        <v>determination</v>
      </c>
    </row>
    <row r="5275">
      <c r="A5275" s="1" t="s">
        <v>5275</v>
      </c>
      <c r="B5275" s="2" t="str">
        <f>IFERROR(__xludf.DUMMYFUNCTION("GOOGLETRANSLATE(A5275, ""de"", ""en"")"),"lay")</f>
        <v>lay</v>
      </c>
    </row>
    <row r="5276">
      <c r="A5276" s="1" t="s">
        <v>5276</v>
      </c>
      <c r="B5276" s="2" t="str">
        <f>IFERROR(__xludf.DUMMYFUNCTION("GOOGLETRANSLATE(A5276, ""de"", ""en"")"),"unknown")</f>
        <v>unknown</v>
      </c>
    </row>
    <row r="5277">
      <c r="A5277" s="1" t="s">
        <v>5277</v>
      </c>
      <c r="B5277" s="2" t="str">
        <f>IFERROR(__xludf.DUMMYFUNCTION("GOOGLETRANSLATE(A5277, ""de"", ""en"")"),"eaten")</f>
        <v>eaten</v>
      </c>
    </row>
    <row r="5278">
      <c r="A5278" s="1" t="s">
        <v>5278</v>
      </c>
      <c r="B5278" s="2" t="str">
        <f>IFERROR(__xludf.DUMMYFUNCTION("GOOGLETRANSLATE(A5278, ""de"", ""en"")"),"board")</f>
        <v>board</v>
      </c>
    </row>
    <row r="5279">
      <c r="A5279" s="1" t="s">
        <v>5279</v>
      </c>
      <c r="B5279" s="2" t="str">
        <f>IFERROR(__xludf.DUMMYFUNCTION("GOOGLETRANSLATE(A5279, ""de"", ""en"")"),"manners")</f>
        <v>manners</v>
      </c>
    </row>
    <row r="5280">
      <c r="A5280" s="1" t="s">
        <v>5280</v>
      </c>
      <c r="B5280" s="2" t="str">
        <f>IFERROR(__xludf.DUMMYFUNCTION("GOOGLETRANSLATE(A5280, ""de"", ""en"")"),"han")</f>
        <v>han</v>
      </c>
    </row>
    <row r="5281">
      <c r="A5281" s="1" t="s">
        <v>5281</v>
      </c>
      <c r="B5281" s="2" t="str">
        <f>IFERROR(__xludf.DUMMYFUNCTION("GOOGLETRANSLATE(A5281, ""de"", ""en"")"),"contains")</f>
        <v>contains</v>
      </c>
    </row>
    <row r="5282">
      <c r="A5282" s="1" t="s">
        <v>5282</v>
      </c>
      <c r="B5282" s="2" t="str">
        <f>IFERROR(__xludf.DUMMYFUNCTION("GOOGLETRANSLATE(A5282, ""de"", ""en"")"),"started")</f>
        <v>started</v>
      </c>
    </row>
    <row r="5283">
      <c r="A5283" s="1" t="s">
        <v>5283</v>
      </c>
      <c r="B5283" s="2" t="str">
        <f>IFERROR(__xludf.DUMMYFUNCTION("GOOGLETRANSLATE(A5283, ""de"", ""en"")"),"care")</f>
        <v>care</v>
      </c>
    </row>
    <row r="5284">
      <c r="A5284" s="1" t="s">
        <v>5284</v>
      </c>
      <c r="B5284" s="2" t="str">
        <f>IFERROR(__xludf.DUMMYFUNCTION("GOOGLETRANSLATE(A5284, ""de"", ""en"")"),"famous")</f>
        <v>famous</v>
      </c>
    </row>
    <row r="5285">
      <c r="A5285" s="1" t="s">
        <v>5285</v>
      </c>
      <c r="B5285" s="2" t="str">
        <f>IFERROR(__xludf.DUMMYFUNCTION("GOOGLETRANSLATE(A5285, ""de"", ""en"")"),"more difficult")</f>
        <v>more difficult</v>
      </c>
    </row>
    <row r="5286">
      <c r="A5286" s="1" t="s">
        <v>5286</v>
      </c>
      <c r="B5286" s="2" t="str">
        <f>IFERROR(__xludf.DUMMYFUNCTION("GOOGLETRANSLATE(A5286, ""de"", ""en"")"),"pilots")</f>
        <v>pilots</v>
      </c>
    </row>
    <row r="5287">
      <c r="A5287" s="1" t="s">
        <v>5287</v>
      </c>
      <c r="B5287" s="2" t="str">
        <f>IFERROR(__xludf.DUMMYFUNCTION("GOOGLETRANSLATE(A5287, ""de"", ""en"")"),"jokes")</f>
        <v>jokes</v>
      </c>
    </row>
    <row r="5288">
      <c r="A5288" s="1" t="s">
        <v>5288</v>
      </c>
      <c r="B5288" s="2" t="str">
        <f>IFERROR(__xludf.DUMMYFUNCTION("GOOGLETRANSLATE(A5288, ""de"", ""en"")"),"begins")</f>
        <v>begins</v>
      </c>
    </row>
    <row r="5289">
      <c r="A5289" s="1" t="s">
        <v>5289</v>
      </c>
      <c r="B5289" s="2" t="str">
        <f>IFERROR(__xludf.DUMMYFUNCTION("GOOGLETRANSLATE(A5289, ""de"", ""en"")"),"running")</f>
        <v>running</v>
      </c>
    </row>
    <row r="5290">
      <c r="A5290" s="1" t="s">
        <v>5290</v>
      </c>
      <c r="B5290" s="2" t="str">
        <f>IFERROR(__xludf.DUMMYFUNCTION("GOOGLETRANSLATE(A5290, ""de"", ""en"")"),"known")</f>
        <v>known</v>
      </c>
    </row>
    <row r="5291">
      <c r="A5291" s="1" t="s">
        <v>5291</v>
      </c>
      <c r="B5291" s="2" t="str">
        <f>IFERROR(__xludf.DUMMYFUNCTION("GOOGLETRANSLATE(A5291, ""de"", ""en"")"),"race")</f>
        <v>race</v>
      </c>
    </row>
    <row r="5292">
      <c r="A5292" s="1" t="s">
        <v>5292</v>
      </c>
      <c r="B5292" s="2" t="str">
        <f>IFERROR(__xludf.DUMMYFUNCTION("GOOGLETRANSLATE(A5292, ""de"", ""en"")"),"recommend")</f>
        <v>recommend</v>
      </c>
    </row>
    <row r="5293">
      <c r="A5293" s="1" t="s">
        <v>5293</v>
      </c>
      <c r="B5293" s="2" t="str">
        <f>IFERROR(__xludf.DUMMYFUNCTION("GOOGLETRANSLATE(A5293, ""de"", ""en"")"),"harder")</f>
        <v>harder</v>
      </c>
    </row>
    <row r="5294">
      <c r="A5294" s="1" t="s">
        <v>5294</v>
      </c>
      <c r="B5294" s="2" t="str">
        <f>IFERROR(__xludf.DUMMYFUNCTION("GOOGLETRANSLATE(A5294, ""de"", ""en"")"),"woken up")</f>
        <v>woken up</v>
      </c>
    </row>
    <row r="5295">
      <c r="A5295" s="1" t="s">
        <v>5295</v>
      </c>
      <c r="B5295" s="2" t="str">
        <f>IFERROR(__xludf.DUMMYFUNCTION("GOOGLETRANSLATE(A5295, ""de"", ""en"")"),"promoted")</f>
        <v>promoted</v>
      </c>
    </row>
    <row r="5296">
      <c r="A5296" s="1" t="s">
        <v>5296</v>
      </c>
      <c r="B5296" s="2" t="str">
        <f>IFERROR(__xludf.DUMMYFUNCTION("GOOGLETRANSLATE(A5296, ""de"", ""en"")"),"equestrian")</f>
        <v>equestrian</v>
      </c>
    </row>
    <row r="5297">
      <c r="A5297" s="1" t="s">
        <v>5297</v>
      </c>
      <c r="B5297" s="2" t="str">
        <f>IFERROR(__xludf.DUMMYFUNCTION("GOOGLETRANSLATE(A5297, ""de"", ""en"")"),"feel")</f>
        <v>feel</v>
      </c>
    </row>
    <row r="5298">
      <c r="A5298" s="1" t="s">
        <v>5298</v>
      </c>
      <c r="B5298" s="2" t="str">
        <f>IFERROR(__xludf.DUMMYFUNCTION("GOOGLETRANSLATE(A5298, ""de"", ""en"")"),"j")</f>
        <v>j</v>
      </c>
    </row>
    <row r="5299">
      <c r="A5299" s="1" t="s">
        <v>5299</v>
      </c>
      <c r="B5299" s="2" t="str">
        <f>IFERROR(__xludf.DUMMYFUNCTION("GOOGLETRANSLATE(A5299, ""de"", ""en"")"),"prepare")</f>
        <v>prepare</v>
      </c>
    </row>
    <row r="5300">
      <c r="A5300" s="1" t="s">
        <v>5300</v>
      </c>
      <c r="B5300" s="2" t="str">
        <f>IFERROR(__xludf.DUMMYFUNCTION("GOOGLETRANSLATE(A5300, ""de"", ""en"")"),"would do")</f>
        <v>would do</v>
      </c>
    </row>
    <row r="5301">
      <c r="A5301" s="1" t="s">
        <v>5301</v>
      </c>
      <c r="B5301" s="2" t="str">
        <f>IFERROR(__xludf.DUMMYFUNCTION("GOOGLETRANSLATE(A5301, ""de"", ""en"")"),"used")</f>
        <v>used</v>
      </c>
    </row>
    <row r="5302">
      <c r="A5302" s="1" t="s">
        <v>5302</v>
      </c>
      <c r="B5302" s="2" t="str">
        <f>IFERROR(__xludf.DUMMYFUNCTION("GOOGLETRANSLATE(A5302, ""de"", ""en"")"),"Halloween")</f>
        <v>Halloween</v>
      </c>
    </row>
    <row r="5303">
      <c r="A5303" s="1" t="s">
        <v>5303</v>
      </c>
      <c r="B5303" s="2" t="str">
        <f>IFERROR(__xludf.DUMMYFUNCTION("GOOGLETRANSLATE(A5303, ""de"", ""en"")"),"cancelled")</f>
        <v>cancelled</v>
      </c>
    </row>
    <row r="5304">
      <c r="A5304" s="1" t="s">
        <v>5304</v>
      </c>
      <c r="B5304" s="2" t="str">
        <f>IFERROR(__xludf.DUMMYFUNCTION("GOOGLETRANSLATE(A5304, ""de"", ""en"")"),"down")</f>
        <v>down</v>
      </c>
    </row>
    <row r="5305">
      <c r="A5305" s="1" t="s">
        <v>5305</v>
      </c>
      <c r="B5305" s="2" t="str">
        <f>IFERROR(__xludf.DUMMYFUNCTION("GOOGLETRANSLATE(A5305, ""de"", ""en"")"),"quasi")</f>
        <v>quasi</v>
      </c>
    </row>
    <row r="5306">
      <c r="A5306" s="1" t="s">
        <v>5306</v>
      </c>
      <c r="B5306" s="2" t="str">
        <f>IFERROR(__xludf.DUMMYFUNCTION("GOOGLETRANSLATE(A5306, ""de"", ""en"")"),"cooks")</f>
        <v>cooks</v>
      </c>
    </row>
    <row r="5307">
      <c r="A5307" s="1" t="s">
        <v>5307</v>
      </c>
      <c r="B5307" s="2" t="str">
        <f>IFERROR(__xludf.DUMMYFUNCTION("GOOGLETRANSLATE(A5307, ""de"", ""en"")"),"came in")</f>
        <v>came in</v>
      </c>
    </row>
    <row r="5308">
      <c r="A5308" s="1" t="s">
        <v>5308</v>
      </c>
      <c r="B5308" s="2" t="str">
        <f>IFERROR(__xludf.DUMMYFUNCTION("GOOGLETRANSLATE(A5308, ""de"", ""en"")"),"honk")</f>
        <v>honk</v>
      </c>
    </row>
    <row r="5309">
      <c r="A5309" s="1" t="s">
        <v>5309</v>
      </c>
      <c r="B5309" s="2" t="str">
        <f>IFERROR(__xludf.DUMMYFUNCTION("GOOGLETRANSLATE(A5309, ""de"", ""en"")"),"down")</f>
        <v>down</v>
      </c>
    </row>
    <row r="5310">
      <c r="A5310" s="1" t="s">
        <v>5310</v>
      </c>
      <c r="B5310" s="2" t="str">
        <f>IFERROR(__xludf.DUMMYFUNCTION("GOOGLETRANSLATE(A5310, ""de"", ""en"")"),"over")</f>
        <v>over</v>
      </c>
    </row>
    <row r="5311">
      <c r="A5311" s="1" t="s">
        <v>5311</v>
      </c>
      <c r="B5311" s="2" t="str">
        <f>IFERROR(__xludf.DUMMYFUNCTION("GOOGLETRANSLATE(A5311, ""de"", ""en"")"),"to express")</f>
        <v>to express</v>
      </c>
    </row>
    <row r="5312">
      <c r="A5312" s="1" t="s">
        <v>5312</v>
      </c>
      <c r="B5312" s="2" t="str">
        <f>IFERROR(__xludf.DUMMYFUNCTION("GOOGLETRANSLATE(A5312, ""de"", ""en"")"),"reese")</f>
        <v>reese</v>
      </c>
    </row>
    <row r="5313">
      <c r="A5313" s="1" t="s">
        <v>5313</v>
      </c>
      <c r="B5313" s="2" t="str">
        <f>IFERROR(__xludf.DUMMYFUNCTION("GOOGLETRANSLATE(A5313, ""de"", ""en"")"),"elliot")</f>
        <v>elliot</v>
      </c>
    </row>
    <row r="5314">
      <c r="A5314" s="1" t="s">
        <v>5314</v>
      </c>
      <c r="B5314" s="2" t="str">
        <f>IFERROR(__xludf.DUMMYFUNCTION("GOOGLETRANSLATE(A5314, ""de"", ""en"")"),"perfect")</f>
        <v>perfect</v>
      </c>
    </row>
    <row r="5315">
      <c r="A5315" s="1" t="s">
        <v>5315</v>
      </c>
      <c r="B5315" s="2" t="str">
        <f>IFERROR(__xludf.DUMMYFUNCTION("GOOGLETRANSLATE(A5315, ""de"", ""en"")"),"followed")</f>
        <v>followed</v>
      </c>
    </row>
    <row r="5316">
      <c r="A5316" s="1" t="s">
        <v>5316</v>
      </c>
      <c r="B5316" s="2" t="str">
        <f>IFERROR(__xludf.DUMMYFUNCTION("GOOGLETRANSLATE(A5316, ""de"", ""en"")"),"rebel")</f>
        <v>rebel</v>
      </c>
    </row>
    <row r="5317">
      <c r="A5317" s="1" t="s">
        <v>5317</v>
      </c>
      <c r="B5317" s="2" t="str">
        <f>IFERROR(__xludf.DUMMYFUNCTION("GOOGLETRANSLATE(A5317, ""de"", ""en"")"),"di")</f>
        <v>di</v>
      </c>
    </row>
    <row r="5318">
      <c r="A5318" s="1" t="s">
        <v>5318</v>
      </c>
      <c r="B5318" s="2" t="str">
        <f>IFERROR(__xludf.DUMMYFUNCTION("GOOGLETRANSLATE(A5318, ""de"", ""en"")"),"primarily")</f>
        <v>primarily</v>
      </c>
    </row>
    <row r="5319">
      <c r="A5319" s="1" t="s">
        <v>5319</v>
      </c>
      <c r="B5319" s="2" t="str">
        <f>IFERROR(__xludf.DUMMYFUNCTION("GOOGLETRANSLATE(A5319, ""de"", ""en"")"),"shed")</f>
        <v>shed</v>
      </c>
    </row>
    <row r="5320">
      <c r="A5320" s="1" t="s">
        <v>5320</v>
      </c>
      <c r="B5320" s="2" t="str">
        <f>IFERROR(__xludf.DUMMYFUNCTION("GOOGLETRANSLATE(A5320, ""de"", ""en"")"),"braver")</f>
        <v>braver</v>
      </c>
    </row>
    <row r="5321">
      <c r="A5321" s="1" t="s">
        <v>5321</v>
      </c>
      <c r="B5321" s="2" t="str">
        <f>IFERROR(__xludf.DUMMYFUNCTION("GOOGLETRANSLATE(A5321, ""de"", ""en"")"),"Neil")</f>
        <v>Neil</v>
      </c>
    </row>
    <row r="5322">
      <c r="A5322" s="1" t="s">
        <v>5322</v>
      </c>
      <c r="B5322" s="2" t="str">
        <f>IFERROR(__xludf.DUMMYFUNCTION("GOOGLETRANSLATE(A5322, ""de"", ""en"")"),"twenty")</f>
        <v>twenty</v>
      </c>
    </row>
    <row r="5323">
      <c r="A5323" s="1" t="s">
        <v>5323</v>
      </c>
      <c r="B5323" s="2" t="str">
        <f>IFERROR(__xludf.DUMMYFUNCTION("GOOGLETRANSLATE(A5323, ""de"", ""en"")"),"reported")</f>
        <v>reported</v>
      </c>
    </row>
    <row r="5324">
      <c r="A5324" s="1" t="s">
        <v>5324</v>
      </c>
      <c r="B5324" s="2" t="str">
        <f>IFERROR(__xludf.DUMMYFUNCTION("GOOGLETRANSLATE(A5324, ""de"", ""en"")"),"furnishings")</f>
        <v>furnishings</v>
      </c>
    </row>
    <row r="5325">
      <c r="A5325" s="1" t="s">
        <v>5325</v>
      </c>
      <c r="B5325" s="2" t="str">
        <f>IFERROR(__xludf.DUMMYFUNCTION("GOOGLETRANSLATE(A5325, ""de"", ""en"")"),"November")</f>
        <v>November</v>
      </c>
    </row>
    <row r="5326">
      <c r="A5326" s="1" t="s">
        <v>5326</v>
      </c>
      <c r="B5326" s="2" t="str">
        <f>IFERROR(__xludf.DUMMYFUNCTION("GOOGLETRANSLATE(A5326, ""de"", ""en"")"),"sensors")</f>
        <v>sensors</v>
      </c>
    </row>
    <row r="5327">
      <c r="A5327" s="1" t="s">
        <v>5327</v>
      </c>
      <c r="B5327" s="2" t="str">
        <f>IFERROR(__xludf.DUMMYFUNCTION("GOOGLETRANSLATE(A5327, ""de"", ""en"")"),"corrected")</f>
        <v>corrected</v>
      </c>
    </row>
    <row r="5328">
      <c r="A5328" s="1" t="s">
        <v>5328</v>
      </c>
      <c r="B5328" s="2" t="str">
        <f>IFERROR(__xludf.DUMMYFUNCTION("GOOGLETRANSLATE(A5328, ""de"", ""en"")"),"Houston")</f>
        <v>Houston</v>
      </c>
    </row>
    <row r="5329">
      <c r="A5329" s="1" t="s">
        <v>5329</v>
      </c>
      <c r="B5329" s="2" t="str">
        <f>IFERROR(__xludf.DUMMYFUNCTION("GOOGLETRANSLATE(A5329, ""de"", ""en"")"),"richie")</f>
        <v>richie</v>
      </c>
    </row>
    <row r="5330">
      <c r="A5330" s="1" t="s">
        <v>5330</v>
      </c>
      <c r="B5330" s="2" t="str">
        <f>IFERROR(__xludf.DUMMYFUNCTION("GOOGLETRANSLATE(A5330, ""de"", ""en"")"),"suspicious")</f>
        <v>suspicious</v>
      </c>
    </row>
    <row r="5331">
      <c r="A5331" s="1" t="s">
        <v>5331</v>
      </c>
      <c r="B5331" s="2" t="str">
        <f>IFERROR(__xludf.DUMMYFUNCTION("GOOGLETRANSLATE(A5331, ""de"", ""en"")"),"put")</f>
        <v>put</v>
      </c>
    </row>
    <row r="5332">
      <c r="A5332" s="1" t="s">
        <v>5332</v>
      </c>
      <c r="B5332" s="2" t="str">
        <f>IFERROR(__xludf.DUMMYFUNCTION("GOOGLETRANSLATE(A5332, ""de"", ""en"")"),"upset")</f>
        <v>upset</v>
      </c>
    </row>
    <row r="5333">
      <c r="A5333" s="1" t="s">
        <v>5333</v>
      </c>
      <c r="B5333" s="2" t="str">
        <f>IFERROR(__xludf.DUMMYFUNCTION("GOOGLETRANSLATE(A5333, ""de"", ""en"")"),"alternative")</f>
        <v>alternative</v>
      </c>
    </row>
    <row r="5334">
      <c r="A5334" s="1" t="s">
        <v>5334</v>
      </c>
      <c r="B5334" s="2" t="str">
        <f>IFERROR(__xludf.DUMMYFUNCTION("GOOGLETRANSLATE(A5334, ""de"", ""en"")"),"expert")</f>
        <v>expert</v>
      </c>
    </row>
    <row r="5335">
      <c r="A5335" s="1" t="s">
        <v>5335</v>
      </c>
      <c r="B5335" s="2" t="str">
        <f>IFERROR(__xludf.DUMMYFUNCTION("GOOGLETRANSLATE(A5335, ""de"", ""en"")"),"distance")</f>
        <v>distance</v>
      </c>
    </row>
    <row r="5336">
      <c r="A5336" s="1" t="s">
        <v>5336</v>
      </c>
      <c r="B5336" s="2" t="str">
        <f>IFERROR(__xludf.DUMMYFUNCTION("GOOGLETRANSLATE(A5336, ""de"", ""en"")"),"principle")</f>
        <v>principle</v>
      </c>
    </row>
    <row r="5337">
      <c r="A5337" s="1" t="s">
        <v>5337</v>
      </c>
      <c r="B5337" s="2" t="str">
        <f>IFERROR(__xludf.DUMMYFUNCTION("GOOGLETRANSLATE(A5337, ""de"", ""en"")"),"fetched")</f>
        <v>fetched</v>
      </c>
    </row>
    <row r="5338">
      <c r="A5338" s="1" t="s">
        <v>5338</v>
      </c>
      <c r="B5338" s="2" t="str">
        <f>IFERROR(__xludf.DUMMYFUNCTION("GOOGLETRANSLATE(A5338, ""de"", ""en"")"),"judge")</f>
        <v>judge</v>
      </c>
    </row>
    <row r="5339">
      <c r="A5339" s="1" t="s">
        <v>5339</v>
      </c>
      <c r="B5339" s="2" t="str">
        <f>IFERROR(__xludf.DUMMYFUNCTION("GOOGLETRANSLATE(A5339, ""de"", ""en"")"),"donald")</f>
        <v>donald</v>
      </c>
    </row>
    <row r="5340">
      <c r="A5340" s="1" t="s">
        <v>5340</v>
      </c>
      <c r="B5340" s="2" t="str">
        <f>IFERROR(__xludf.DUMMYFUNCTION("GOOGLETRANSLATE(A5340, ""de"", ""en"")"),"show")</f>
        <v>show</v>
      </c>
    </row>
    <row r="5341">
      <c r="A5341" s="1" t="s">
        <v>5341</v>
      </c>
      <c r="B5341" s="2" t="str">
        <f>IFERROR(__xludf.DUMMYFUNCTION("GOOGLETRANSLATE(A5341, ""de"", ""en"")"),"ocean")</f>
        <v>ocean</v>
      </c>
    </row>
    <row r="5342">
      <c r="A5342" s="1" t="s">
        <v>5342</v>
      </c>
      <c r="B5342" s="2" t="str">
        <f>IFERROR(__xludf.DUMMYFUNCTION("GOOGLETRANSLATE(A5342, ""de"", ""en"")"),"succeeded")</f>
        <v>succeeded</v>
      </c>
    </row>
    <row r="5343">
      <c r="A5343" s="1" t="s">
        <v>5343</v>
      </c>
      <c r="B5343" s="2" t="str">
        <f>IFERROR(__xludf.DUMMYFUNCTION("GOOGLETRANSLATE(A5343, ""de"", ""en"")"),"natalie")</f>
        <v>natalie</v>
      </c>
    </row>
    <row r="5344">
      <c r="A5344" s="1" t="s">
        <v>5344</v>
      </c>
      <c r="B5344" s="2" t="str">
        <f>IFERROR(__xludf.DUMMYFUNCTION("GOOGLETRANSLATE(A5344, ""de"", ""en"")"),"esther")</f>
        <v>esther</v>
      </c>
    </row>
    <row r="5345">
      <c r="A5345" s="1" t="s">
        <v>5345</v>
      </c>
      <c r="B5345" s="2" t="str">
        <f>IFERROR(__xludf.DUMMYFUNCTION("GOOGLETRANSLATE(A5345, ""de"", ""en"")"),"scum")</f>
        <v>scum</v>
      </c>
    </row>
    <row r="5346">
      <c r="A5346" s="1" t="s">
        <v>5346</v>
      </c>
      <c r="B5346" s="2" t="str">
        <f>IFERROR(__xludf.DUMMYFUNCTION("GOOGLETRANSLATE(A5346, ""de"", ""en"")"),"Steve")</f>
        <v>Steve</v>
      </c>
    </row>
    <row r="5347">
      <c r="A5347" s="1" t="s">
        <v>5347</v>
      </c>
      <c r="B5347" s="2" t="str">
        <f>IFERROR(__xludf.DUMMYFUNCTION("GOOGLETRANSLATE(A5347, ""de"", ""en"")"),"monitored")</f>
        <v>monitored</v>
      </c>
    </row>
    <row r="5348">
      <c r="A5348" s="1" t="s">
        <v>5348</v>
      </c>
      <c r="B5348" s="2" t="str">
        <f>IFERROR(__xludf.DUMMYFUNCTION("GOOGLETRANSLATE(A5348, ""de"", ""en"")"),"difficult")</f>
        <v>difficult</v>
      </c>
    </row>
    <row r="5349">
      <c r="A5349" s="1" t="s">
        <v>5349</v>
      </c>
      <c r="B5349" s="2" t="str">
        <f>IFERROR(__xludf.DUMMYFUNCTION("GOOGLETRANSLATE(A5349, ""de"", ""en"")"),"expressed")</f>
        <v>expressed</v>
      </c>
    </row>
    <row r="5350">
      <c r="A5350" s="1" t="s">
        <v>5350</v>
      </c>
      <c r="B5350" s="2" t="str">
        <f>IFERROR(__xludf.DUMMYFUNCTION("GOOGLETRANSLATE(A5350, ""de"", ""en"")"),"hastings")</f>
        <v>hastings</v>
      </c>
    </row>
    <row r="5351">
      <c r="A5351" s="1" t="s">
        <v>5351</v>
      </c>
      <c r="B5351" s="2" t="str">
        <f>IFERROR(__xludf.DUMMYFUNCTION("GOOGLETRANSLATE(A5351, ""de"", ""en"")"),"emergency call")</f>
        <v>emergency call</v>
      </c>
    </row>
    <row r="5352">
      <c r="A5352" s="1" t="s">
        <v>5352</v>
      </c>
      <c r="B5352" s="2" t="str">
        <f>IFERROR(__xludf.DUMMYFUNCTION("GOOGLETRANSLATE(A5352, ""de"", ""en"")"),"cracked")</f>
        <v>cracked</v>
      </c>
    </row>
    <row r="5353">
      <c r="A5353" s="1" t="s">
        <v>5353</v>
      </c>
      <c r="B5353" s="2" t="str">
        <f>IFERROR(__xludf.DUMMYFUNCTION("GOOGLETRANSLATE(A5353, ""de"", ""en"")"),"brake")</f>
        <v>brake</v>
      </c>
    </row>
    <row r="5354">
      <c r="A5354" s="1" t="s">
        <v>5354</v>
      </c>
      <c r="B5354" s="2" t="str">
        <f>IFERROR(__xludf.DUMMYFUNCTION("GOOGLETRANSLATE(A5354, ""de"", ""en"")"),"frequently")</f>
        <v>frequently</v>
      </c>
    </row>
    <row r="5355">
      <c r="A5355" s="1" t="s">
        <v>5355</v>
      </c>
      <c r="B5355" s="2" t="str">
        <f>IFERROR(__xludf.DUMMYFUNCTION("GOOGLETRANSLATE(A5355, ""de"", ""en"")"),"activate")</f>
        <v>activate</v>
      </c>
    </row>
    <row r="5356">
      <c r="A5356" s="1" t="s">
        <v>5356</v>
      </c>
      <c r="B5356" s="2" t="str">
        <f>IFERROR(__xludf.DUMMYFUNCTION("GOOGLETRANSLATE(A5356, ""de"", ""en"")"),"lloyd")</f>
        <v>lloyd</v>
      </c>
    </row>
    <row r="5357">
      <c r="A5357" s="1" t="s">
        <v>5357</v>
      </c>
      <c r="B5357" s="2" t="str">
        <f>IFERROR(__xludf.DUMMYFUNCTION("GOOGLETRANSLATE(A5357, ""de"", ""en"")"),"stressful")</f>
        <v>stressful</v>
      </c>
    </row>
    <row r="5358">
      <c r="A5358" s="1" t="s">
        <v>5358</v>
      </c>
      <c r="B5358" s="2" t="str">
        <f>IFERROR(__xludf.DUMMYFUNCTION("GOOGLETRANSLATE(A5358, ""de"", ""en"")"),"answers")</f>
        <v>answers</v>
      </c>
    </row>
    <row r="5359">
      <c r="A5359" s="1" t="s">
        <v>5359</v>
      </c>
      <c r="B5359" s="2" t="str">
        <f>IFERROR(__xludf.DUMMYFUNCTION("GOOGLETRANSLATE(A5359, ""de"", ""en"")"),"ais")</f>
        <v>ais</v>
      </c>
    </row>
    <row r="5360">
      <c r="A5360" s="1" t="s">
        <v>5360</v>
      </c>
      <c r="B5360" s="2" t="str">
        <f>IFERROR(__xludf.DUMMYFUNCTION("GOOGLETRANSLATE(A5360, ""de"", ""en"")"),"conspiracy")</f>
        <v>conspiracy</v>
      </c>
    </row>
    <row r="5361">
      <c r="A5361" s="1" t="s">
        <v>5361</v>
      </c>
      <c r="B5361" s="2" t="str">
        <f>IFERROR(__xludf.DUMMYFUNCTION("GOOGLETRANSLATE(A5361, ""de"", ""en"")"),"waiter")</f>
        <v>waiter</v>
      </c>
    </row>
    <row r="5362">
      <c r="A5362" s="1" t="s">
        <v>5362</v>
      </c>
      <c r="B5362" s="2" t="str">
        <f>IFERROR(__xludf.DUMMYFUNCTION("GOOGLETRANSLATE(A5362, ""de"", ""en"")"),"starts")</f>
        <v>starts</v>
      </c>
    </row>
    <row r="5363">
      <c r="A5363" s="1" t="s">
        <v>5363</v>
      </c>
      <c r="B5363" s="2" t="str">
        <f>IFERROR(__xludf.DUMMYFUNCTION("GOOGLETRANSLATE(A5363, ""de"", ""en"")"),"Franklin")</f>
        <v>Franklin</v>
      </c>
    </row>
    <row r="5364">
      <c r="A5364" s="1" t="s">
        <v>5364</v>
      </c>
      <c r="B5364" s="2" t="str">
        <f>IFERROR(__xludf.DUMMYFUNCTION("GOOGLETRANSLATE(A5364, ""de"", ""en"")"),"another time")</f>
        <v>another time</v>
      </c>
    </row>
    <row r="5365">
      <c r="A5365" s="1" t="s">
        <v>5365</v>
      </c>
      <c r="B5365" s="2" t="str">
        <f>IFERROR(__xludf.DUMMYFUNCTION("GOOGLETRANSLATE(A5365, ""de"", ""en"")"),"humphrey")</f>
        <v>humphrey</v>
      </c>
    </row>
    <row r="5366">
      <c r="A5366" s="1" t="s">
        <v>5366</v>
      </c>
      <c r="B5366" s="2" t="str">
        <f>IFERROR(__xludf.DUMMYFUNCTION("GOOGLETRANSLATE(A5366, ""de"", ""en"")"),"Evan")</f>
        <v>Evan</v>
      </c>
    </row>
    <row r="5367">
      <c r="A5367" s="1" t="s">
        <v>5367</v>
      </c>
      <c r="B5367" s="2" t="str">
        <f>IFERROR(__xludf.DUMMYFUNCTION("GOOGLETRANSLATE(A5367, ""de"", ""en"")"),"truck")</f>
        <v>truck</v>
      </c>
    </row>
    <row r="5368">
      <c r="A5368" s="1" t="s">
        <v>5368</v>
      </c>
      <c r="B5368" s="2" t="str">
        <f>IFERROR(__xludf.DUMMYFUNCTION("GOOGLETRANSLATE(A5368, ""de"", ""en"")"),"receives")</f>
        <v>receives</v>
      </c>
    </row>
    <row r="5369">
      <c r="A5369" s="1" t="s">
        <v>5369</v>
      </c>
      <c r="B5369" s="2" t="str">
        <f>IFERROR(__xludf.DUMMYFUNCTION("GOOGLETRANSLATE(A5369, ""de"", ""en"")"),"throws")</f>
        <v>throws</v>
      </c>
    </row>
    <row r="5370">
      <c r="A5370" s="1" t="s">
        <v>5370</v>
      </c>
      <c r="B5370" s="2" t="str">
        <f>IFERROR(__xludf.DUMMYFUNCTION("GOOGLETRANSLATE(A5370, ""de"", ""en"")"),"prince")</f>
        <v>prince</v>
      </c>
    </row>
    <row r="5371">
      <c r="A5371" s="1" t="s">
        <v>5371</v>
      </c>
      <c r="B5371" s="2" t="str">
        <f>IFERROR(__xludf.DUMMYFUNCTION("GOOGLETRANSLATE(A5371, ""de"", ""en"")"),"carson")</f>
        <v>carson</v>
      </c>
    </row>
    <row r="5372">
      <c r="A5372" s="1" t="s">
        <v>5372</v>
      </c>
      <c r="B5372" s="2" t="str">
        <f>IFERROR(__xludf.DUMMYFUNCTION("GOOGLETRANSLATE(A5372, ""de"", ""en"")"),"Perry")</f>
        <v>Perry</v>
      </c>
    </row>
    <row r="5373">
      <c r="A5373" s="1" t="s">
        <v>5373</v>
      </c>
      <c r="B5373" s="2" t="str">
        <f>IFERROR(__xludf.DUMMYFUNCTION("GOOGLETRANSLATE(A5373, ""de"", ""en"")"),"kisses")</f>
        <v>kisses</v>
      </c>
    </row>
    <row r="5374">
      <c r="A5374" s="1" t="s">
        <v>5374</v>
      </c>
      <c r="B5374" s="2" t="str">
        <f>IFERROR(__xludf.DUMMYFUNCTION("GOOGLETRANSLATE(A5374, ""de"", ""en"")"),"prayer")</f>
        <v>prayer</v>
      </c>
    </row>
    <row r="5375">
      <c r="A5375" s="1" t="s">
        <v>5375</v>
      </c>
      <c r="B5375" s="2" t="str">
        <f>IFERROR(__xludf.DUMMYFUNCTION("GOOGLETRANSLATE(A5375, ""de"", ""en"")"),"miranda")</f>
        <v>miranda</v>
      </c>
    </row>
    <row r="5376">
      <c r="A5376" s="1" t="s">
        <v>5376</v>
      </c>
      <c r="B5376" s="2" t="str">
        <f>IFERROR(__xludf.DUMMYFUNCTION("GOOGLETRANSLATE(A5376, ""de"", ""en"")"),"melancholic")</f>
        <v>melancholic</v>
      </c>
    </row>
    <row r="5377">
      <c r="A5377" s="1" t="s">
        <v>5377</v>
      </c>
      <c r="B5377" s="2" t="str">
        <f>IFERROR(__xludf.DUMMYFUNCTION("GOOGLETRANSLATE(A5377, ""de"", ""en"")"),"rooms")</f>
        <v>rooms</v>
      </c>
    </row>
    <row r="5378">
      <c r="A5378" s="1" t="s">
        <v>5378</v>
      </c>
      <c r="B5378" s="2" t="str">
        <f>IFERROR(__xludf.DUMMYFUNCTION("GOOGLETRANSLATE(A5378, ""de"", ""en"")"),"risked")</f>
        <v>risked</v>
      </c>
    </row>
    <row r="5379">
      <c r="A5379" s="1" t="s">
        <v>5379</v>
      </c>
      <c r="B5379" s="2" t="str">
        <f>IFERROR(__xludf.DUMMYFUNCTION("GOOGLETRANSLATE(A5379, ""de"", ""en"")"),"prevented")</f>
        <v>prevented</v>
      </c>
    </row>
    <row r="5380">
      <c r="A5380" s="1" t="s">
        <v>5380</v>
      </c>
      <c r="B5380" s="2" t="str">
        <f>IFERROR(__xludf.DUMMYFUNCTION("GOOGLETRANSLATE(A5380, ""de"", ""en"")"),"excuse")</f>
        <v>excuse</v>
      </c>
    </row>
    <row r="5381">
      <c r="A5381" s="1" t="s">
        <v>5381</v>
      </c>
      <c r="B5381" s="2" t="str">
        <f>IFERROR(__xludf.DUMMYFUNCTION("GOOGLETRANSLATE(A5381, ""de"", ""en"")"),"darling")</f>
        <v>darling</v>
      </c>
    </row>
    <row r="5382">
      <c r="A5382" s="1" t="s">
        <v>5382</v>
      </c>
      <c r="B5382" s="2" t="str">
        <f>IFERROR(__xludf.DUMMYFUNCTION("GOOGLETRANSLATE(A5382, ""de"", ""en"")"),"bag")</f>
        <v>bag</v>
      </c>
    </row>
    <row r="5383">
      <c r="A5383" s="1" t="s">
        <v>5383</v>
      </c>
      <c r="B5383" s="2" t="str">
        <f>IFERROR(__xludf.DUMMYFUNCTION("GOOGLETRANSLATE(A5383, ""de"", ""en"")"),"Manhattan")</f>
        <v>Manhattan</v>
      </c>
    </row>
    <row r="5384">
      <c r="A5384" s="1" t="s">
        <v>5384</v>
      </c>
      <c r="B5384" s="2" t="str">
        <f>IFERROR(__xludf.DUMMYFUNCTION("GOOGLETRANSLATE(A5384, ""de"", ""en"")"),"operated")</f>
        <v>operated</v>
      </c>
    </row>
    <row r="5385">
      <c r="A5385" s="1" t="s">
        <v>5385</v>
      </c>
      <c r="B5385" s="2" t="str">
        <f>IFERROR(__xludf.DUMMYFUNCTION("GOOGLETRANSLATE(A5385, ""de"", ""en"")"),"unbelievable")</f>
        <v>unbelievable</v>
      </c>
    </row>
    <row r="5386">
      <c r="A5386" s="1" t="s">
        <v>5386</v>
      </c>
      <c r="B5386" s="2" t="str">
        <f>IFERROR(__xludf.DUMMYFUNCTION("GOOGLETRANSLATE(A5386, ""de"", ""en"")"),"mistress")</f>
        <v>mistress</v>
      </c>
    </row>
    <row r="5387">
      <c r="A5387" s="1" t="s">
        <v>5387</v>
      </c>
      <c r="B5387" s="2" t="str">
        <f>IFERROR(__xludf.DUMMYFUNCTION("GOOGLETRANSLATE(A5387, ""de"", ""en"")"),"manufactured")</f>
        <v>manufactured</v>
      </c>
    </row>
    <row r="5388">
      <c r="A5388" s="1" t="s">
        <v>5388</v>
      </c>
      <c r="B5388" s="2" t="str">
        <f>IFERROR(__xludf.DUMMYFUNCTION("GOOGLETRANSLATE(A5388, ""de"", ""en"")"),"purple")</f>
        <v>purple</v>
      </c>
    </row>
    <row r="5389">
      <c r="A5389" s="1" t="s">
        <v>5389</v>
      </c>
      <c r="B5389" s="2" t="str">
        <f>IFERROR(__xludf.DUMMYFUNCTION("GOOGLETRANSLATE(A5389, ""de"", ""en"")"),"directed")</f>
        <v>directed</v>
      </c>
    </row>
    <row r="5390">
      <c r="A5390" s="1" t="s">
        <v>5390</v>
      </c>
      <c r="B5390" s="2" t="str">
        <f>IFERROR(__xludf.DUMMYFUNCTION("GOOGLETRANSLATE(A5390, ""de"", ""en"")"),"demand")</f>
        <v>demand</v>
      </c>
    </row>
    <row r="5391">
      <c r="A5391" s="1" t="s">
        <v>5391</v>
      </c>
      <c r="B5391" s="2" t="str">
        <f>IFERROR(__xludf.DUMMYFUNCTION("GOOGLETRANSLATE(A5391, ""de"", ""en"")"),"fishing")</f>
        <v>fishing</v>
      </c>
    </row>
    <row r="5392">
      <c r="A5392" s="1" t="s">
        <v>5392</v>
      </c>
      <c r="B5392" s="2" t="str">
        <f>IFERROR(__xludf.DUMMYFUNCTION("GOOGLETRANSLATE(A5392, ""de"", ""en"")"),"criminal")</f>
        <v>criminal</v>
      </c>
    </row>
    <row r="5393">
      <c r="A5393" s="1" t="s">
        <v>5393</v>
      </c>
      <c r="B5393" s="2" t="str">
        <f>IFERROR(__xludf.DUMMYFUNCTION("GOOGLETRANSLATE(A5393, ""de"", ""en"")"),"that one")</f>
        <v>that one</v>
      </c>
    </row>
    <row r="5394">
      <c r="A5394" s="1" t="s">
        <v>5394</v>
      </c>
      <c r="B5394" s="2" t="str">
        <f>IFERROR(__xludf.DUMMYFUNCTION("GOOGLETRANSLATE(A5394, ""de"", ""en"")"),"provided")</f>
        <v>provided</v>
      </c>
    </row>
    <row r="5395">
      <c r="A5395" s="1" t="s">
        <v>5395</v>
      </c>
      <c r="B5395" s="2" t="str">
        <f>IFERROR(__xludf.DUMMYFUNCTION("GOOGLETRANSLATE(A5395, ""de"", ""en"")"),"December")</f>
        <v>December</v>
      </c>
    </row>
    <row r="5396">
      <c r="A5396" s="1" t="s">
        <v>5396</v>
      </c>
      <c r="B5396" s="2" t="str">
        <f>IFERROR(__xludf.DUMMYFUNCTION("GOOGLETRANSLATE(A5396, ""de"", ""en"")"),"claim")</f>
        <v>claim</v>
      </c>
    </row>
    <row r="5397">
      <c r="A5397" s="1" t="s">
        <v>5397</v>
      </c>
      <c r="B5397" s="2" t="str">
        <f>IFERROR(__xludf.DUMMYFUNCTION("GOOGLETRANSLATE(A5397, ""de"", ""en"")"),"clears his throat")</f>
        <v>clears his throat</v>
      </c>
    </row>
    <row r="5398">
      <c r="A5398" s="1" t="s">
        <v>5398</v>
      </c>
      <c r="B5398" s="2" t="str">
        <f>IFERROR(__xludf.DUMMYFUNCTION("GOOGLETRANSLATE(A5398, ""de"", ""en"")"),"sid")</f>
        <v>sid</v>
      </c>
    </row>
    <row r="5399">
      <c r="A5399" s="1" t="s">
        <v>5399</v>
      </c>
      <c r="B5399" s="2" t="str">
        <f>IFERROR(__xludf.DUMMYFUNCTION("GOOGLETRANSLATE(A5399, ""de"", ""en"")"),"invisible")</f>
        <v>invisible</v>
      </c>
    </row>
    <row r="5400">
      <c r="A5400" s="1" t="s">
        <v>5400</v>
      </c>
      <c r="B5400" s="2" t="str">
        <f>IFERROR(__xludf.DUMMYFUNCTION("GOOGLETRANSLATE(A5400, ""de"", ""en"")"),"keith")</f>
        <v>keith</v>
      </c>
    </row>
    <row r="5401">
      <c r="A5401" s="1" t="s">
        <v>5401</v>
      </c>
      <c r="B5401" s="2" t="str">
        <f>IFERROR(__xludf.DUMMYFUNCTION("GOOGLETRANSLATE(A5401, ""de"", ""en"")"),"Seth")</f>
        <v>Seth</v>
      </c>
    </row>
    <row r="5402">
      <c r="A5402" s="1" t="s">
        <v>5402</v>
      </c>
      <c r="B5402" s="2" t="str">
        <f>IFERROR(__xludf.DUMMYFUNCTION("GOOGLETRANSLATE(A5402, ""de"", ""en"")"),"replaced")</f>
        <v>replaced</v>
      </c>
    </row>
    <row r="5403">
      <c r="A5403" s="1" t="s">
        <v>5403</v>
      </c>
      <c r="B5403" s="2" t="str">
        <f>IFERROR(__xludf.DUMMYFUNCTION("GOOGLETRANSLATE(A5403, ""de"", ""en"")"),"ruby")</f>
        <v>ruby</v>
      </c>
    </row>
    <row r="5404">
      <c r="A5404" s="1" t="s">
        <v>5404</v>
      </c>
      <c r="B5404" s="2" t="str">
        <f>IFERROR(__xludf.DUMMYFUNCTION("GOOGLETRANSLATE(A5404, ""de"", ""en"")"),"hand towel")</f>
        <v>hand towel</v>
      </c>
    </row>
    <row r="5405">
      <c r="A5405" s="1" t="s">
        <v>5405</v>
      </c>
      <c r="B5405" s="2" t="str">
        <f>IFERROR(__xludf.DUMMYFUNCTION("GOOGLETRANSLATE(A5405, ""de"", ""en"")"),"yang")</f>
        <v>yang</v>
      </c>
    </row>
    <row r="5406">
      <c r="A5406" s="1" t="s">
        <v>5406</v>
      </c>
      <c r="B5406" s="2" t="str">
        <f>IFERROR(__xludf.DUMMYFUNCTION("GOOGLETRANSLATE(A5406, ""de"", ""en"")"),"dale")</f>
        <v>dale</v>
      </c>
    </row>
    <row r="5407">
      <c r="A5407" s="1" t="s">
        <v>5407</v>
      </c>
      <c r="B5407" s="2" t="str">
        <f>IFERROR(__xludf.DUMMYFUNCTION("GOOGLETRANSLATE(A5407, ""de"", ""en"")"),"stupid")</f>
        <v>stupid</v>
      </c>
    </row>
    <row r="5408">
      <c r="A5408" s="1" t="s">
        <v>5408</v>
      </c>
      <c r="B5408" s="2" t="str">
        <f>IFERROR(__xludf.DUMMYFUNCTION("GOOGLETRANSLATE(A5408, ""de"", ""en"")"),"dumb")</f>
        <v>dumb</v>
      </c>
    </row>
    <row r="5409">
      <c r="A5409" s="1" t="s">
        <v>5409</v>
      </c>
      <c r="B5409" s="2" t="str">
        <f>IFERROR(__xludf.DUMMYFUNCTION("GOOGLETRANSLATE(A5409, ""de"", ""en"")"),"valuable")</f>
        <v>valuable</v>
      </c>
    </row>
    <row r="5410">
      <c r="A5410" s="1" t="s">
        <v>5410</v>
      </c>
      <c r="B5410" s="2" t="str">
        <f>IFERROR(__xludf.DUMMYFUNCTION("GOOGLETRANSLATE(A5410, ""de"", ""en"")"),"cardinal")</f>
        <v>cardinal</v>
      </c>
    </row>
    <row r="5411">
      <c r="A5411" s="1" t="s">
        <v>5411</v>
      </c>
      <c r="B5411" s="2" t="str">
        <f>IFERROR(__xludf.DUMMYFUNCTION("GOOGLETRANSLATE(A5411, ""de"", ""en"")"),"jefferson")</f>
        <v>jefferson</v>
      </c>
    </row>
    <row r="5412">
      <c r="A5412" s="1" t="s">
        <v>5412</v>
      </c>
      <c r="B5412" s="2" t="str">
        <f>IFERROR(__xludf.DUMMYFUNCTION("GOOGLETRANSLATE(A5412, ""de"", ""en"")"),"communication")</f>
        <v>communication</v>
      </c>
    </row>
    <row r="5413">
      <c r="A5413" s="1" t="s">
        <v>5413</v>
      </c>
      <c r="B5413" s="2" t="str">
        <f>IFERROR(__xludf.DUMMYFUNCTION("GOOGLETRANSLATE(A5413, ""de"", ""en"")"),"operate")</f>
        <v>operate</v>
      </c>
    </row>
    <row r="5414">
      <c r="A5414" s="1" t="s">
        <v>5414</v>
      </c>
      <c r="B5414" s="2" t="str">
        <f>IFERROR(__xludf.DUMMYFUNCTION("GOOGLETRANSLATE(A5414, ""de"", ""en"")"),"problems")</f>
        <v>problems</v>
      </c>
    </row>
    <row r="5415">
      <c r="A5415" s="1" t="s">
        <v>5415</v>
      </c>
      <c r="B5415" s="2" t="str">
        <f>IFERROR(__xludf.DUMMYFUNCTION("GOOGLETRANSLATE(A5415, ""de"", ""en"")"),"aliens")</f>
        <v>aliens</v>
      </c>
    </row>
    <row r="5416">
      <c r="A5416" s="1" t="s">
        <v>5416</v>
      </c>
      <c r="B5416" s="2" t="str">
        <f>IFERROR(__xludf.DUMMYFUNCTION("GOOGLETRANSLATE(A5416, ""de"", ""en"")"),"Cameron")</f>
        <v>Cameron</v>
      </c>
    </row>
    <row r="5417">
      <c r="A5417" s="1" t="s">
        <v>5417</v>
      </c>
      <c r="B5417" s="2" t="str">
        <f>IFERROR(__xludf.DUMMYFUNCTION("GOOGLETRANSLATE(A5417, ""de"", ""en"")"),"erik")</f>
        <v>erik</v>
      </c>
    </row>
    <row r="5418">
      <c r="A5418" s="1" t="s">
        <v>5418</v>
      </c>
      <c r="B5418" s="2" t="str">
        <f>IFERROR(__xludf.DUMMYFUNCTION("GOOGLETRANSLATE(A5418, ""de"", ""en"")"),"recognized")</f>
        <v>recognized</v>
      </c>
    </row>
    <row r="5419">
      <c r="A5419" s="1" t="s">
        <v>5419</v>
      </c>
      <c r="B5419" s="2" t="str">
        <f>IFERROR(__xludf.DUMMYFUNCTION("GOOGLETRANSLATE(A5419, ""de"", ""en"")"),"river")</f>
        <v>river</v>
      </c>
    </row>
    <row r="5420">
      <c r="A5420" s="1" t="s">
        <v>5420</v>
      </c>
      <c r="B5420" s="2" t="str">
        <f>IFERROR(__xludf.DUMMYFUNCTION("GOOGLETRANSLATE(A5420, ""de"", ""en"")"),"get rid of")</f>
        <v>get rid of</v>
      </c>
    </row>
    <row r="5421">
      <c r="A5421" s="1" t="s">
        <v>5421</v>
      </c>
      <c r="B5421" s="2" t="str">
        <f>IFERROR(__xludf.DUMMYFUNCTION("GOOGLETRANSLATE(A5421, ""de"", ""en"")"),"unnecessary")</f>
        <v>unnecessary</v>
      </c>
    </row>
    <row r="5422">
      <c r="A5422" s="1" t="s">
        <v>5422</v>
      </c>
      <c r="B5422" s="2" t="str">
        <f>IFERROR(__xludf.DUMMYFUNCTION("GOOGLETRANSLATE(A5422, ""de"", ""en"")"),"accompany")</f>
        <v>accompany</v>
      </c>
    </row>
    <row r="5423">
      <c r="A5423" s="1" t="s">
        <v>5423</v>
      </c>
      <c r="B5423" s="2" t="str">
        <f>IFERROR(__xludf.DUMMYFUNCTION("GOOGLETRANSLATE(A5423, ""de"", ""en"")"),"analysis")</f>
        <v>analysis</v>
      </c>
    </row>
    <row r="5424">
      <c r="A5424" s="1" t="s">
        <v>5424</v>
      </c>
      <c r="B5424" s="2" t="str">
        <f>IFERROR(__xludf.DUMMYFUNCTION("GOOGLETRANSLATE(A5424, ""de"", ""en"")"),"wedding anniversary")</f>
        <v>wedding anniversary</v>
      </c>
    </row>
    <row r="5425">
      <c r="A5425" s="1" t="s">
        <v>5425</v>
      </c>
      <c r="B5425" s="2" t="str">
        <f>IFERROR(__xludf.DUMMYFUNCTION("GOOGLETRANSLATE(A5425, ""de"", ""en"")"),"melody")</f>
        <v>melody</v>
      </c>
    </row>
    <row r="5426">
      <c r="A5426" s="1" t="s">
        <v>5426</v>
      </c>
      <c r="B5426" s="2" t="str">
        <f>IFERROR(__xludf.DUMMYFUNCTION("GOOGLETRANSLATE(A5426, ""de"", ""en"")"),"defend")</f>
        <v>defend</v>
      </c>
    </row>
    <row r="5427">
      <c r="A5427" s="1" t="s">
        <v>5427</v>
      </c>
      <c r="B5427" s="2" t="str">
        <f>IFERROR(__xludf.DUMMYFUNCTION("GOOGLETRANSLATE(A5427, ""de"", ""en"")"),"pablo")</f>
        <v>pablo</v>
      </c>
    </row>
    <row r="5428">
      <c r="A5428" s="1" t="s">
        <v>5428</v>
      </c>
      <c r="B5428" s="2" t="str">
        <f>IFERROR(__xludf.DUMMYFUNCTION("GOOGLETRANSLATE(A5428, ""de"", ""en"")"),"romantic")</f>
        <v>romantic</v>
      </c>
    </row>
    <row r="5429">
      <c r="A5429" s="1" t="s">
        <v>5429</v>
      </c>
      <c r="B5429" s="2" t="str">
        <f>IFERROR(__xludf.DUMMYFUNCTION("GOOGLETRANSLATE(A5429, ""de"", ""en"")"),"call back")</f>
        <v>call back</v>
      </c>
    </row>
    <row r="5430">
      <c r="A5430" s="1" t="s">
        <v>5430</v>
      </c>
      <c r="B5430" s="2" t="str">
        <f>IFERROR(__xludf.DUMMYFUNCTION("GOOGLETRANSLATE(A5430, ""de"", ""en"")"),"pension")</f>
        <v>pension</v>
      </c>
    </row>
    <row r="5431">
      <c r="A5431" s="1" t="s">
        <v>5431</v>
      </c>
      <c r="B5431" s="2" t="str">
        <f>IFERROR(__xludf.DUMMYFUNCTION("GOOGLETRANSLATE(A5431, ""de"", ""en"")"),"ceremony")</f>
        <v>ceremony</v>
      </c>
    </row>
    <row r="5432">
      <c r="A5432" s="1" t="s">
        <v>5432</v>
      </c>
      <c r="B5432" s="2" t="str">
        <f>IFERROR(__xludf.DUMMYFUNCTION("GOOGLETRANSLATE(A5432, ""de"", ""en"")"),"plate")</f>
        <v>plate</v>
      </c>
    </row>
    <row r="5433">
      <c r="A5433" s="1" t="s">
        <v>5433</v>
      </c>
      <c r="B5433" s="2" t="str">
        <f>IFERROR(__xludf.DUMMYFUNCTION("GOOGLETRANSLATE(A5433, ""de"", ""en"")"),"now")</f>
        <v>now</v>
      </c>
    </row>
    <row r="5434">
      <c r="A5434" s="1" t="s">
        <v>5434</v>
      </c>
      <c r="B5434" s="2" t="str">
        <f>IFERROR(__xludf.DUMMYFUNCTION("GOOGLETRANSLATE(A5434, ""de"", ""en"")"),"substitute")</f>
        <v>substitute</v>
      </c>
    </row>
    <row r="5435">
      <c r="A5435" s="1" t="s">
        <v>5435</v>
      </c>
      <c r="B5435" s="2" t="str">
        <f>IFERROR(__xludf.DUMMYFUNCTION("GOOGLETRANSLATE(A5435, ""de"", ""en"")"),"cap")</f>
        <v>cap</v>
      </c>
    </row>
    <row r="5436">
      <c r="A5436" s="1" t="s">
        <v>5436</v>
      </c>
      <c r="B5436" s="2" t="str">
        <f>IFERROR(__xludf.DUMMYFUNCTION("GOOGLETRANSLATE(A5436, ""de"", ""en"")"),"changes")</f>
        <v>changes</v>
      </c>
    </row>
    <row r="5437">
      <c r="A5437" s="1" t="s">
        <v>5437</v>
      </c>
      <c r="B5437" s="2" t="str">
        <f>IFERROR(__xludf.DUMMYFUNCTION("GOOGLETRANSLATE(A5437, ""de"", ""en"")"),"witness")</f>
        <v>witness</v>
      </c>
    </row>
    <row r="5438">
      <c r="A5438" s="1" t="s">
        <v>5438</v>
      </c>
      <c r="B5438" s="2" t="str">
        <f>IFERROR(__xludf.DUMMYFUNCTION("GOOGLETRANSLATE(A5438, ""de"", ""en"")"),"stirs")</f>
        <v>stirs</v>
      </c>
    </row>
    <row r="5439">
      <c r="A5439" s="1" t="s">
        <v>5439</v>
      </c>
      <c r="B5439" s="2" t="str">
        <f>IFERROR(__xludf.DUMMYFUNCTION("GOOGLETRANSLATE(A5439, ""de"", ""en"")"),"insured")</f>
        <v>insured</v>
      </c>
    </row>
    <row r="5440">
      <c r="A5440" s="1" t="s">
        <v>5440</v>
      </c>
      <c r="B5440" s="2" t="str">
        <f>IFERROR(__xludf.DUMMYFUNCTION("GOOGLETRANSLATE(A5440, ""de"", ""en"")"),"shares")</f>
        <v>shares</v>
      </c>
    </row>
    <row r="5441">
      <c r="A5441" s="1" t="s">
        <v>5441</v>
      </c>
      <c r="B5441" s="2" t="str">
        <f>IFERROR(__xludf.DUMMYFUNCTION("GOOGLETRANSLATE(A5441, ""de"", ""en"")"),"Russian")</f>
        <v>Russian</v>
      </c>
    </row>
    <row r="5442">
      <c r="A5442" s="1" t="s">
        <v>5442</v>
      </c>
      <c r="B5442" s="2" t="str">
        <f>IFERROR(__xludf.DUMMYFUNCTION("GOOGLETRANSLATE(A5442, ""de"", ""en"")"),"wonderful")</f>
        <v>wonderful</v>
      </c>
    </row>
    <row r="5443">
      <c r="A5443" s="1" t="s">
        <v>5443</v>
      </c>
      <c r="B5443" s="2" t="str">
        <f>IFERROR(__xludf.DUMMYFUNCTION("GOOGLETRANSLATE(A5443, ""de"", ""en"")"),"willy")</f>
        <v>willy</v>
      </c>
    </row>
    <row r="5444">
      <c r="A5444" s="1" t="s">
        <v>5444</v>
      </c>
      <c r="B5444" s="2" t="str">
        <f>IFERROR(__xludf.DUMMYFUNCTION("GOOGLETRANSLATE(A5444, ""de"", ""en"")"),"listen again")</f>
        <v>listen again</v>
      </c>
    </row>
    <row r="5445">
      <c r="A5445" s="1" t="s">
        <v>5445</v>
      </c>
      <c r="B5445" s="2" t="str">
        <f>IFERROR(__xludf.DUMMYFUNCTION("GOOGLETRANSLATE(A5445, ""de"", ""en"")"),"passengers")</f>
        <v>passengers</v>
      </c>
    </row>
    <row r="5446">
      <c r="A5446" s="1" t="s">
        <v>5446</v>
      </c>
      <c r="B5446" s="2" t="str">
        <f>IFERROR(__xludf.DUMMYFUNCTION("GOOGLETRANSLATE(A5446, ""de"", ""en"")"),"thieves")</f>
        <v>thieves</v>
      </c>
    </row>
    <row r="5447">
      <c r="A5447" s="1" t="s">
        <v>5447</v>
      </c>
      <c r="B5447" s="2" t="str">
        <f>IFERROR(__xludf.DUMMYFUNCTION("GOOGLETRANSLATE(A5447, ""de"", ""en"")"),"look")</f>
        <v>look</v>
      </c>
    </row>
    <row r="5448">
      <c r="A5448" s="1" t="s">
        <v>5448</v>
      </c>
      <c r="B5448" s="2" t="str">
        <f>IFERROR(__xludf.DUMMYFUNCTION("GOOGLETRANSLATE(A5448, ""de"", ""en"")"),"flows")</f>
        <v>flows</v>
      </c>
    </row>
    <row r="5449">
      <c r="A5449" s="1" t="s">
        <v>5449</v>
      </c>
      <c r="B5449" s="2" t="str">
        <f>IFERROR(__xludf.DUMMYFUNCTION("GOOGLETRANSLATE(A5449, ""de"", ""en"")"),"misery")</f>
        <v>misery</v>
      </c>
    </row>
    <row r="5450">
      <c r="A5450" s="1" t="s">
        <v>5450</v>
      </c>
      <c r="B5450" s="2" t="str">
        <f>IFERROR(__xludf.DUMMYFUNCTION("GOOGLETRANSLATE(A5450, ""de"", ""en"")"),"constantly")</f>
        <v>constantly</v>
      </c>
    </row>
    <row r="5451">
      <c r="A5451" s="1" t="s">
        <v>5451</v>
      </c>
      <c r="B5451" s="2" t="str">
        <f>IFERROR(__xludf.DUMMYFUNCTION("GOOGLETRANSLATE(A5451, ""de"", ""en"")"),"nicky")</f>
        <v>nicky</v>
      </c>
    </row>
    <row r="5452">
      <c r="A5452" s="1" t="s">
        <v>5452</v>
      </c>
      <c r="B5452" s="2" t="str">
        <f>IFERROR(__xludf.DUMMYFUNCTION("GOOGLETRANSLATE(A5452, ""de"", ""en"")"),"monster")</f>
        <v>monster</v>
      </c>
    </row>
    <row r="5453">
      <c r="A5453" s="1" t="s">
        <v>5453</v>
      </c>
      <c r="B5453" s="2" t="str">
        <f>IFERROR(__xludf.DUMMYFUNCTION("GOOGLETRANSLATE(A5453, ""de"", ""en"")"),"fit")</f>
        <v>fit</v>
      </c>
    </row>
    <row r="5454">
      <c r="A5454" s="1" t="s">
        <v>5454</v>
      </c>
      <c r="B5454" s="2" t="str">
        <f>IFERROR(__xludf.DUMMYFUNCTION("GOOGLETRANSLATE(A5454, ""de"", ""en"")"),"waste of time")</f>
        <v>waste of time</v>
      </c>
    </row>
    <row r="5455">
      <c r="A5455" s="1" t="s">
        <v>5455</v>
      </c>
      <c r="B5455" s="2" t="str">
        <f>IFERROR(__xludf.DUMMYFUNCTION("GOOGLETRANSLATE(A5455, ""de"", ""en"")"),"opinion")</f>
        <v>opinion</v>
      </c>
    </row>
    <row r="5456">
      <c r="A5456" s="1" t="s">
        <v>5456</v>
      </c>
      <c r="B5456" s="2" t="str">
        <f>IFERROR(__xludf.DUMMYFUNCTION("GOOGLETRANSLATE(A5456, ""de"", ""en"")"),"dangerous")</f>
        <v>dangerous</v>
      </c>
    </row>
    <row r="5457">
      <c r="A5457" s="1" t="s">
        <v>5457</v>
      </c>
      <c r="B5457" s="2" t="str">
        <f>IFERROR(__xludf.DUMMYFUNCTION("GOOGLETRANSLATE(A5457, ""de"", ""en"")"),"bark")</f>
        <v>bark</v>
      </c>
    </row>
    <row r="5458">
      <c r="A5458" s="1" t="s">
        <v>5458</v>
      </c>
      <c r="B5458" s="2" t="str">
        <f>IFERROR(__xludf.DUMMYFUNCTION("GOOGLETRANSLATE(A5458, ""de"", ""en"")"),"fourth")</f>
        <v>fourth</v>
      </c>
    </row>
    <row r="5459">
      <c r="A5459" s="1" t="s">
        <v>5459</v>
      </c>
      <c r="B5459" s="2" t="str">
        <f>IFERROR(__xludf.DUMMYFUNCTION("GOOGLETRANSLATE(A5459, ""de"", ""en"")"),"spent")</f>
        <v>spent</v>
      </c>
    </row>
    <row r="5460">
      <c r="A5460" s="1" t="s">
        <v>5460</v>
      </c>
      <c r="B5460" s="2" t="str">
        <f>IFERROR(__xludf.DUMMYFUNCTION("GOOGLETRANSLATE(A5460, ""de"", ""en"")"),"centimeter")</f>
        <v>centimeter</v>
      </c>
    </row>
    <row r="5461">
      <c r="A5461" s="1" t="s">
        <v>5461</v>
      </c>
      <c r="B5461" s="2" t="str">
        <f>IFERROR(__xludf.DUMMYFUNCTION("GOOGLETRANSLATE(A5461, ""de"", ""en"")"),"kick")</f>
        <v>kick</v>
      </c>
    </row>
    <row r="5462">
      <c r="A5462" s="1" t="s">
        <v>5462</v>
      </c>
      <c r="B5462" s="2" t="str">
        <f>IFERROR(__xludf.DUMMYFUNCTION("GOOGLETRANSLATE(A5462, ""de"", ""en"")"),"political")</f>
        <v>political</v>
      </c>
    </row>
    <row r="5463">
      <c r="A5463" s="1" t="s">
        <v>5463</v>
      </c>
      <c r="B5463" s="2" t="str">
        <f>IFERROR(__xludf.DUMMYFUNCTION("GOOGLETRANSLATE(A5463, ""de"", ""en"")"),"interests")</f>
        <v>interests</v>
      </c>
    </row>
    <row r="5464">
      <c r="A5464" s="1" t="s">
        <v>5464</v>
      </c>
      <c r="B5464" s="2" t="str">
        <f>IFERROR(__xludf.DUMMYFUNCTION("GOOGLETRANSLATE(A5464, ""de"", ""en"")"),"attachment")</f>
        <v>attachment</v>
      </c>
    </row>
    <row r="5465">
      <c r="A5465" s="1" t="s">
        <v>5465</v>
      </c>
      <c r="B5465" s="2" t="str">
        <f>IFERROR(__xludf.DUMMYFUNCTION("GOOGLETRANSLATE(A5465, ""de"", ""en"")"),"Anderson")</f>
        <v>Anderson</v>
      </c>
    </row>
    <row r="5466">
      <c r="A5466" s="1" t="s">
        <v>5466</v>
      </c>
      <c r="B5466" s="2" t="str">
        <f>IFERROR(__xludf.DUMMYFUNCTION("GOOGLETRANSLATE(A5466, ""de"", ""en"")"),"car accident")</f>
        <v>car accident</v>
      </c>
    </row>
    <row r="5467">
      <c r="A5467" s="1" t="s">
        <v>5467</v>
      </c>
      <c r="B5467" s="2" t="str">
        <f>IFERROR(__xludf.DUMMYFUNCTION("GOOGLETRANSLATE(A5467, ""de"", ""en"")"),"prisoner")</f>
        <v>prisoner</v>
      </c>
    </row>
    <row r="5468">
      <c r="A5468" s="1" t="s">
        <v>5468</v>
      </c>
      <c r="B5468" s="2" t="str">
        <f>IFERROR(__xludf.DUMMYFUNCTION("GOOGLETRANSLATE(A5468, ""de"", ""en"")"),"stood up")</f>
        <v>stood up</v>
      </c>
    </row>
    <row r="5469">
      <c r="A5469" s="1" t="s">
        <v>5469</v>
      </c>
      <c r="B5469" s="2" t="str">
        <f>IFERROR(__xludf.DUMMYFUNCTION("GOOGLETRANSLATE(A5469, ""de"", ""en"")"),"sheep")</f>
        <v>sheep</v>
      </c>
    </row>
    <row r="5470">
      <c r="A5470" s="1" t="s">
        <v>5470</v>
      </c>
      <c r="B5470" s="2" t="str">
        <f>IFERROR(__xludf.DUMMYFUNCTION("GOOGLETRANSLATE(A5470, ""de"", ""en"")"),"absolute")</f>
        <v>absolute</v>
      </c>
    </row>
    <row r="5471">
      <c r="A5471" s="1" t="s">
        <v>5471</v>
      </c>
      <c r="B5471" s="2" t="str">
        <f>IFERROR(__xludf.DUMMYFUNCTION("GOOGLETRANSLATE(A5471, ""de"", ""en"")"),"contacts")</f>
        <v>contacts</v>
      </c>
    </row>
    <row r="5472">
      <c r="A5472" s="1" t="s">
        <v>5472</v>
      </c>
      <c r="B5472" s="2" t="str">
        <f>IFERROR(__xludf.DUMMYFUNCTION("GOOGLETRANSLATE(A5472, ""de"", ""en"")"),"trip")</f>
        <v>trip</v>
      </c>
    </row>
    <row r="5473">
      <c r="A5473" s="1" t="s">
        <v>5473</v>
      </c>
      <c r="B5473" s="2" t="str">
        <f>IFERROR(__xludf.DUMMYFUNCTION("GOOGLETRANSLATE(A5473, ""de"", ""en"")"),"notes")</f>
        <v>notes</v>
      </c>
    </row>
    <row r="5474">
      <c r="A5474" s="1" t="s">
        <v>5474</v>
      </c>
      <c r="B5474" s="2" t="str">
        <f>IFERROR(__xludf.DUMMYFUNCTION("GOOGLETRANSLATE(A5474, ""de"", ""en"")"),"issued")</f>
        <v>issued</v>
      </c>
    </row>
    <row r="5475">
      <c r="A5475" s="1" t="s">
        <v>5475</v>
      </c>
      <c r="B5475" s="2" t="str">
        <f>IFERROR(__xludf.DUMMYFUNCTION("GOOGLETRANSLATE(A5475, ""de"", ""en"")"),"supplied")</f>
        <v>supplied</v>
      </c>
    </row>
    <row r="5476">
      <c r="A5476" s="1" t="s">
        <v>5476</v>
      </c>
      <c r="B5476" s="2" t="str">
        <f>IFERROR(__xludf.DUMMYFUNCTION("GOOGLETRANSLATE(A5476, ""de"", ""en"")"),"grace")</f>
        <v>grace</v>
      </c>
    </row>
    <row r="5477">
      <c r="A5477" s="1" t="s">
        <v>5477</v>
      </c>
      <c r="B5477" s="2" t="str">
        <f>IFERROR(__xludf.DUMMYFUNCTION("GOOGLETRANSLATE(A5477, ""de"", ""en"")"),"pirates")</f>
        <v>pirates</v>
      </c>
    </row>
    <row r="5478">
      <c r="A5478" s="1" t="s">
        <v>5478</v>
      </c>
      <c r="B5478" s="2" t="str">
        <f>IFERROR(__xludf.DUMMYFUNCTION("GOOGLETRANSLATE(A5478, ""de"", ""en"")"),"eli")</f>
        <v>eli</v>
      </c>
    </row>
    <row r="5479">
      <c r="A5479" s="1" t="s">
        <v>5479</v>
      </c>
      <c r="B5479" s="2" t="str">
        <f>IFERROR(__xludf.DUMMYFUNCTION("GOOGLETRANSLATE(A5479, ""de"", ""en"")"),"stuart")</f>
        <v>stuart</v>
      </c>
    </row>
    <row r="5480">
      <c r="A5480" s="1" t="s">
        <v>5480</v>
      </c>
      <c r="B5480" s="2" t="str">
        <f>IFERROR(__xludf.DUMMYFUNCTION("GOOGLETRANSLATE(A5480, ""de"", ""en"")"),"as well as")</f>
        <v>as well as</v>
      </c>
    </row>
    <row r="5481">
      <c r="A5481" s="1" t="s">
        <v>5481</v>
      </c>
      <c r="B5481" s="2" t="str">
        <f>IFERROR(__xludf.DUMMYFUNCTION("GOOGLETRANSLATE(A5481, ""de"", ""en"")"),"muscles")</f>
        <v>muscles</v>
      </c>
    </row>
    <row r="5482">
      <c r="A5482" s="1" t="s">
        <v>5482</v>
      </c>
      <c r="B5482" s="2" t="str">
        <f>IFERROR(__xludf.DUMMYFUNCTION("GOOGLETRANSLATE(A5482, ""de"", ""en"")"),"unlikely")</f>
        <v>unlikely</v>
      </c>
    </row>
    <row r="5483">
      <c r="A5483" s="1" t="s">
        <v>5483</v>
      </c>
      <c r="B5483" s="2" t="str">
        <f>IFERROR(__xludf.DUMMYFUNCTION("GOOGLETRANSLATE(A5483, ""de"", ""en"")"),"steak")</f>
        <v>steak</v>
      </c>
    </row>
    <row r="5484">
      <c r="A5484" s="1" t="s">
        <v>5484</v>
      </c>
      <c r="B5484" s="2" t="str">
        <f>IFERROR(__xludf.DUMMYFUNCTION("GOOGLETRANSLATE(A5484, ""de"", ""en"")"),"Japanese")</f>
        <v>Japanese</v>
      </c>
    </row>
    <row r="5485">
      <c r="A5485" s="1" t="s">
        <v>5485</v>
      </c>
      <c r="B5485" s="2" t="str">
        <f>IFERROR(__xludf.DUMMYFUNCTION("GOOGLETRANSLATE(A5485, ""de"", ""en"")"),"injection")</f>
        <v>injection</v>
      </c>
    </row>
    <row r="5486">
      <c r="A5486" s="1" t="s">
        <v>5486</v>
      </c>
      <c r="B5486" s="2" t="str">
        <f>IFERROR(__xludf.DUMMYFUNCTION("GOOGLETRANSLATE(A5486, ""de"", ""en"")"),"there")</f>
        <v>there</v>
      </c>
    </row>
    <row r="5487">
      <c r="A5487" s="1" t="s">
        <v>5487</v>
      </c>
      <c r="B5487" s="2" t="str">
        <f>IFERROR(__xludf.DUMMYFUNCTION("GOOGLETRANSLATE(A5487, ""de"", ""en"")"),"tie up")</f>
        <v>tie up</v>
      </c>
    </row>
    <row r="5488">
      <c r="A5488" s="1" t="s">
        <v>5488</v>
      </c>
      <c r="B5488" s="2" t="str">
        <f>IFERROR(__xludf.DUMMYFUNCTION("GOOGLETRANSLATE(A5488, ""de"", ""en"")"),"embrace")</f>
        <v>embrace</v>
      </c>
    </row>
    <row r="5489">
      <c r="A5489" s="1" t="s">
        <v>5489</v>
      </c>
      <c r="B5489" s="2" t="str">
        <f>IFERROR(__xludf.DUMMYFUNCTION("GOOGLETRANSLATE(A5489, ""de"", ""en"")"),"looser")</f>
        <v>looser</v>
      </c>
    </row>
    <row r="5490">
      <c r="A5490" s="1" t="s">
        <v>5490</v>
      </c>
      <c r="B5490" s="2" t="str">
        <f>IFERROR(__xludf.DUMMYFUNCTION("GOOGLETRANSLATE(A5490, ""de"", ""en"")"),"accompanied")</f>
        <v>accompanied</v>
      </c>
    </row>
    <row r="5491">
      <c r="A5491" s="1" t="s">
        <v>5491</v>
      </c>
      <c r="B5491" s="2" t="str">
        <f>IFERROR(__xludf.DUMMYFUNCTION("GOOGLETRANSLATE(A5491, ""de"", ""en"")"),"previous")</f>
        <v>previous</v>
      </c>
    </row>
    <row r="5492">
      <c r="A5492" s="1" t="s">
        <v>5492</v>
      </c>
      <c r="B5492" s="2" t="str">
        <f>IFERROR(__xludf.DUMMYFUNCTION("GOOGLETRANSLATE(A5492, ""de"", ""en"")"),"ally")</f>
        <v>ally</v>
      </c>
    </row>
    <row r="5493">
      <c r="A5493" s="1" t="s">
        <v>5493</v>
      </c>
      <c r="B5493" s="2" t="str">
        <f>IFERROR(__xludf.DUMMYFUNCTION("GOOGLETRANSLATE(A5493, ""de"", ""en"")"),"watches")</f>
        <v>watches</v>
      </c>
    </row>
    <row r="5494">
      <c r="A5494" s="1" t="s">
        <v>5494</v>
      </c>
      <c r="B5494" s="2" t="str">
        <f>IFERROR(__xludf.DUMMYFUNCTION("GOOGLETRANSLATE(A5494, ""de"", ""en"")"),"murder")</f>
        <v>murder</v>
      </c>
    </row>
    <row r="5495">
      <c r="A5495" s="1" t="s">
        <v>5495</v>
      </c>
      <c r="B5495" s="2" t="str">
        <f>IFERROR(__xludf.DUMMYFUNCTION("GOOGLETRANSLATE(A5495, ""de"", ""en"")"),"occurred")</f>
        <v>occurred</v>
      </c>
    </row>
    <row r="5496">
      <c r="A5496" s="1" t="s">
        <v>5496</v>
      </c>
      <c r="B5496" s="2" t="str">
        <f>IFERROR(__xludf.DUMMYFUNCTION("GOOGLETRANSLATE(A5496, ""de"", ""en"")"),"fox")</f>
        <v>fox</v>
      </c>
    </row>
    <row r="5497">
      <c r="A5497" s="1" t="s">
        <v>5497</v>
      </c>
      <c r="B5497" s="2" t="str">
        <f>IFERROR(__xludf.DUMMYFUNCTION("GOOGLETRANSLATE(A5497, ""de"", ""en"")"),"cut")</f>
        <v>cut</v>
      </c>
    </row>
    <row r="5498">
      <c r="A5498" s="1" t="s">
        <v>5498</v>
      </c>
      <c r="B5498" s="2" t="str">
        <f>IFERROR(__xludf.DUMMYFUNCTION("GOOGLETRANSLATE(A5498, ""de"", ""en"")"),"widen")</f>
        <v>widen</v>
      </c>
    </row>
    <row r="5499">
      <c r="A5499" s="1" t="s">
        <v>5499</v>
      </c>
      <c r="B5499" s="2" t="str">
        <f>IFERROR(__xludf.DUMMYFUNCTION("GOOGLETRANSLATE(A5499, ""de"", ""en"")"),"times")</f>
        <v>times</v>
      </c>
    </row>
    <row r="5500">
      <c r="A5500" s="1" t="s">
        <v>5500</v>
      </c>
      <c r="B5500" s="2" t="str">
        <f>IFERROR(__xludf.DUMMYFUNCTION("GOOGLETRANSLATE(A5500, ""de"", ""en"")"),"musician")</f>
        <v>musician</v>
      </c>
    </row>
    <row r="5501">
      <c r="A5501" s="1" t="s">
        <v>5501</v>
      </c>
      <c r="B5501" s="2" t="str">
        <f>IFERROR(__xludf.DUMMYFUNCTION("GOOGLETRANSLATE(A5501, ""de"", ""en"")"),"reach")</f>
        <v>reach</v>
      </c>
    </row>
    <row r="5502">
      <c r="A5502" s="1" t="s">
        <v>5502</v>
      </c>
      <c r="B5502" s="2" t="str">
        <f>IFERROR(__xludf.DUMMYFUNCTION("GOOGLETRANSLATE(A5502, ""de"", ""en"")"),"hood")</f>
        <v>hood</v>
      </c>
    </row>
    <row r="5503">
      <c r="A5503" s="1" t="s">
        <v>5503</v>
      </c>
      <c r="B5503" s="2" t="str">
        <f>IFERROR(__xludf.DUMMYFUNCTION("GOOGLETRANSLATE(A5503, ""de"", ""en"")"),"Maya")</f>
        <v>Maya</v>
      </c>
    </row>
    <row r="5504">
      <c r="A5504" s="1" t="s">
        <v>5504</v>
      </c>
      <c r="B5504" s="2" t="str">
        <f>IFERROR(__xludf.DUMMYFUNCTION("GOOGLETRANSLATE(A5504, ""de"", ""en"")"),"cell phones")</f>
        <v>cell phones</v>
      </c>
    </row>
    <row r="5505">
      <c r="A5505" s="1" t="s">
        <v>5505</v>
      </c>
      <c r="B5505" s="2" t="str">
        <f>IFERROR(__xludf.DUMMYFUNCTION("GOOGLETRANSLATE(A5505, ""de"", ""en"")"),"public")</f>
        <v>public</v>
      </c>
    </row>
    <row r="5506">
      <c r="A5506" s="1" t="s">
        <v>5506</v>
      </c>
      <c r="B5506" s="2" t="str">
        <f>IFERROR(__xludf.DUMMYFUNCTION("GOOGLETRANSLATE(A5506, ""de"", ""en"")"),"insult")</f>
        <v>insult</v>
      </c>
    </row>
    <row r="5507">
      <c r="A5507" s="1" t="s">
        <v>5507</v>
      </c>
      <c r="B5507" s="2" t="str">
        <f>IFERROR(__xludf.DUMMYFUNCTION("GOOGLETRANSLATE(A5507, ""de"", ""en"")"),"Russian")</f>
        <v>Russian</v>
      </c>
    </row>
    <row r="5508">
      <c r="A5508" s="1" t="s">
        <v>5508</v>
      </c>
      <c r="B5508" s="2" t="str">
        <f>IFERROR(__xludf.DUMMYFUNCTION("GOOGLETRANSLATE(A5508, ""de"", ""en"")"),"Gabriel")</f>
        <v>Gabriel</v>
      </c>
    </row>
    <row r="5509">
      <c r="A5509" s="1" t="s">
        <v>5509</v>
      </c>
      <c r="B5509" s="2" t="str">
        <f>IFERROR(__xludf.DUMMYFUNCTION("GOOGLETRANSLATE(A5509, ""de"", ""en"")"),"Glenn")</f>
        <v>Glenn</v>
      </c>
    </row>
    <row r="5510">
      <c r="A5510" s="1" t="s">
        <v>5510</v>
      </c>
      <c r="B5510" s="2" t="str">
        <f>IFERROR(__xludf.DUMMYFUNCTION("GOOGLETRANSLATE(A5510, ""de"", ""en"")"),"appeared")</f>
        <v>appeared</v>
      </c>
    </row>
    <row r="5511">
      <c r="A5511" s="1" t="s">
        <v>5511</v>
      </c>
      <c r="B5511" s="2" t="str">
        <f>IFERROR(__xludf.DUMMYFUNCTION("GOOGLETRANSLATE(A5511, ""de"", ""en"")"),"Romeo")</f>
        <v>Romeo</v>
      </c>
    </row>
    <row r="5512">
      <c r="A5512" s="1" t="s">
        <v>5512</v>
      </c>
      <c r="B5512" s="2" t="str">
        <f>IFERROR(__xludf.DUMMYFUNCTION("GOOGLETRANSLATE(A5512, ""de"", ""en"")"),"wish")</f>
        <v>wish</v>
      </c>
    </row>
    <row r="5513">
      <c r="A5513" s="1" t="s">
        <v>5513</v>
      </c>
      <c r="B5513" s="2" t="str">
        <f>IFERROR(__xludf.DUMMYFUNCTION("GOOGLETRANSLATE(A5513, ""de"", ""en"")"),"chess")</f>
        <v>chess</v>
      </c>
    </row>
    <row r="5514">
      <c r="A5514" s="1" t="s">
        <v>5514</v>
      </c>
      <c r="B5514" s="2" t="str">
        <f>IFERROR(__xludf.DUMMYFUNCTION("GOOGLETRANSLATE(A5514, ""de"", ""en"")"),"explode")</f>
        <v>explode</v>
      </c>
    </row>
    <row r="5515">
      <c r="A5515" s="1" t="s">
        <v>5515</v>
      </c>
      <c r="B5515" s="2" t="str">
        <f>IFERROR(__xludf.DUMMYFUNCTION("GOOGLETRANSLATE(A5515, ""de"", ""en"")"),"hangover")</f>
        <v>hangover</v>
      </c>
    </row>
    <row r="5516">
      <c r="A5516" s="1" t="s">
        <v>5516</v>
      </c>
      <c r="B5516" s="2" t="str">
        <f>IFERROR(__xludf.DUMMYFUNCTION("GOOGLETRANSLATE(A5516, ""de"", ""en"")"),"wonder")</f>
        <v>wonder</v>
      </c>
    </row>
    <row r="5517">
      <c r="A5517" s="1" t="s">
        <v>5517</v>
      </c>
      <c r="B5517" s="2" t="str">
        <f>IFERROR(__xludf.DUMMYFUNCTION("GOOGLETRANSLATE(A5517, ""de"", ""en"")"),"French")</f>
        <v>French</v>
      </c>
    </row>
    <row r="5518">
      <c r="A5518" s="1" t="s">
        <v>5518</v>
      </c>
      <c r="B5518" s="2" t="str">
        <f>IFERROR(__xludf.DUMMYFUNCTION("GOOGLETRANSLATE(A5518, ""de"", ""en"")"),"thompson")</f>
        <v>thompson</v>
      </c>
    </row>
    <row r="5519">
      <c r="A5519" s="1" t="s">
        <v>5519</v>
      </c>
      <c r="B5519" s="2" t="str">
        <f>IFERROR(__xludf.DUMMYFUNCTION("GOOGLETRANSLATE(A5519, ""de"", ""en"")"),"got it")</f>
        <v>got it</v>
      </c>
    </row>
    <row r="5520">
      <c r="A5520" s="1" t="s">
        <v>5520</v>
      </c>
      <c r="B5520" s="2" t="str">
        <f>IFERROR(__xludf.DUMMYFUNCTION("GOOGLETRANSLATE(A5520, ""de"", ""en"")"),"influence")</f>
        <v>influence</v>
      </c>
    </row>
    <row r="5521">
      <c r="A5521" s="1" t="s">
        <v>5521</v>
      </c>
      <c r="B5521" s="2" t="str">
        <f>IFERROR(__xludf.DUMMYFUNCTION("GOOGLETRANSLATE(A5521, ""de"", ""en"")"),"howls")</f>
        <v>howls</v>
      </c>
    </row>
    <row r="5522">
      <c r="A5522" s="1" t="s">
        <v>5522</v>
      </c>
      <c r="B5522" s="2" t="str">
        <f>IFERROR(__xludf.DUMMYFUNCTION("GOOGLETRANSLATE(A5522, ""de"", ""en"")"),"go there")</f>
        <v>go there</v>
      </c>
    </row>
    <row r="5523">
      <c r="A5523" s="1" t="s">
        <v>5523</v>
      </c>
      <c r="B5523" s="2" t="str">
        <f>IFERROR(__xludf.DUMMYFUNCTION("GOOGLETRANSLATE(A5523, ""de"", ""en"")"),"condition")</f>
        <v>condition</v>
      </c>
    </row>
    <row r="5524">
      <c r="A5524" s="1" t="s">
        <v>5524</v>
      </c>
      <c r="B5524" s="2" t="str">
        <f>IFERROR(__xludf.DUMMYFUNCTION("GOOGLETRANSLATE(A5524, ""de"", ""en"")"),"feel")</f>
        <v>feel</v>
      </c>
    </row>
    <row r="5525">
      <c r="A5525" s="1" t="s">
        <v>5525</v>
      </c>
      <c r="B5525" s="2" t="str">
        <f>IFERROR(__xludf.DUMMYFUNCTION("GOOGLETRANSLATE(A5525, ""de"", ""en"")"),"top")</f>
        <v>top</v>
      </c>
    </row>
    <row r="5526">
      <c r="A5526" s="1" t="s">
        <v>5526</v>
      </c>
      <c r="B5526" s="2" t="str">
        <f>IFERROR(__xludf.DUMMYFUNCTION("GOOGLETRANSLATE(A5526, ""de"", ""en"")"),"liked")</f>
        <v>liked</v>
      </c>
    </row>
    <row r="5527">
      <c r="A5527" s="1" t="s">
        <v>5527</v>
      </c>
      <c r="B5527" s="2" t="str">
        <f>IFERROR(__xludf.DUMMYFUNCTION("GOOGLETRANSLATE(A5527, ""de"", ""en"")"),"approach")</f>
        <v>approach</v>
      </c>
    </row>
    <row r="5528">
      <c r="A5528" s="1" t="s">
        <v>5528</v>
      </c>
      <c r="B5528" s="2" t="str">
        <f>IFERROR(__xludf.DUMMYFUNCTION("GOOGLETRANSLATE(A5528, ""de"", ""en"")"),"Stella")</f>
        <v>Stella</v>
      </c>
    </row>
    <row r="5529">
      <c r="A5529" s="1" t="s">
        <v>5529</v>
      </c>
      <c r="B5529" s="2" t="str">
        <f>IFERROR(__xludf.DUMMYFUNCTION("GOOGLETRANSLATE(A5529, ""de"", ""en"")"),"annoy")</f>
        <v>annoy</v>
      </c>
    </row>
    <row r="5530">
      <c r="A5530" s="1" t="s">
        <v>5530</v>
      </c>
      <c r="B5530" s="2" t="str">
        <f>IFERROR(__xludf.DUMMYFUNCTION("GOOGLETRANSLATE(A5530, ""de"", ""en"")"),"sounds")</f>
        <v>sounds</v>
      </c>
    </row>
    <row r="5531">
      <c r="A5531" s="1" t="s">
        <v>5531</v>
      </c>
      <c r="B5531" s="2" t="str">
        <f>IFERROR(__xludf.DUMMYFUNCTION("GOOGLETRANSLATE(A5531, ""de"", ""en"")"),"competition")</f>
        <v>competition</v>
      </c>
    </row>
    <row r="5532">
      <c r="A5532" s="1" t="s">
        <v>5532</v>
      </c>
      <c r="B5532" s="2" t="str">
        <f>IFERROR(__xludf.DUMMYFUNCTION("GOOGLETRANSLATE(A5532, ""de"", ""en"")"),"requires")</f>
        <v>requires</v>
      </c>
    </row>
    <row r="5533">
      <c r="A5533" s="1" t="s">
        <v>5533</v>
      </c>
      <c r="B5533" s="2" t="str">
        <f>IFERROR(__xludf.DUMMYFUNCTION("GOOGLETRANSLATE(A5533, ""de"", ""en"")"),"girls")</f>
        <v>girls</v>
      </c>
    </row>
    <row r="5534">
      <c r="A5534" s="1" t="s">
        <v>5534</v>
      </c>
      <c r="B5534" s="2" t="str">
        <f>IFERROR(__xludf.DUMMYFUNCTION("GOOGLETRANSLATE(A5534, ""de"", ""en"")"),"unsure")</f>
        <v>unsure</v>
      </c>
    </row>
    <row r="5535">
      <c r="A5535" s="1" t="s">
        <v>5535</v>
      </c>
      <c r="B5535" s="2" t="str">
        <f>IFERROR(__xludf.DUMMYFUNCTION("GOOGLETRANSLATE(A5535, ""de"", ""en"")"),"fortress")</f>
        <v>fortress</v>
      </c>
    </row>
    <row r="5536">
      <c r="A5536" s="1" t="s">
        <v>5536</v>
      </c>
      <c r="B5536" s="2" t="str">
        <f>IFERROR(__xludf.DUMMYFUNCTION("GOOGLETRANSLATE(A5536, ""de"", ""en"")"),"round")</f>
        <v>round</v>
      </c>
    </row>
    <row r="5537">
      <c r="A5537" s="1" t="s">
        <v>5537</v>
      </c>
      <c r="B5537" s="2" t="str">
        <f>IFERROR(__xludf.DUMMYFUNCTION("GOOGLETRANSLATE(A5537, ""de"", ""en"")"),"detective")</f>
        <v>detective</v>
      </c>
    </row>
    <row r="5538">
      <c r="A5538" s="1" t="s">
        <v>5538</v>
      </c>
      <c r="B5538" s="2" t="str">
        <f>IFERROR(__xludf.DUMMYFUNCTION("GOOGLETRANSLATE(A5538, ""de"", ""en"")"),"pastor")</f>
        <v>pastor</v>
      </c>
    </row>
    <row r="5539">
      <c r="A5539" s="1" t="s">
        <v>5539</v>
      </c>
      <c r="B5539" s="2" t="str">
        <f>IFERROR(__xludf.DUMMYFUNCTION("GOOGLETRANSLATE(A5539, ""de"", ""en"")"),"scratch")</f>
        <v>scratch</v>
      </c>
    </row>
    <row r="5540">
      <c r="A5540" s="1" t="s">
        <v>5540</v>
      </c>
      <c r="B5540" s="2" t="str">
        <f>IFERROR(__xludf.DUMMYFUNCTION("GOOGLETRANSLATE(A5540, ""de"", ""en"")"),"young")</f>
        <v>young</v>
      </c>
    </row>
    <row r="5541">
      <c r="A5541" s="1" t="s">
        <v>5541</v>
      </c>
      <c r="B5541" s="2" t="str">
        <f>IFERROR(__xludf.DUMMYFUNCTION("GOOGLETRANSLATE(A5541, ""de"", ""en"")"),"Melissa")</f>
        <v>Melissa</v>
      </c>
    </row>
    <row r="5542">
      <c r="A5542" s="1" t="s">
        <v>5542</v>
      </c>
      <c r="B5542" s="2" t="str">
        <f>IFERROR(__xludf.DUMMYFUNCTION("GOOGLETRANSLATE(A5542, ""de"", ""en"")"),"creepy")</f>
        <v>creepy</v>
      </c>
    </row>
    <row r="5543">
      <c r="A5543" s="1" t="s">
        <v>5543</v>
      </c>
      <c r="B5543" s="2" t="str">
        <f>IFERROR(__xludf.DUMMYFUNCTION("GOOGLETRANSLATE(A5543, ""de"", ""en"")"),"airplanes")</f>
        <v>airplanes</v>
      </c>
    </row>
    <row r="5544">
      <c r="A5544" s="1" t="s">
        <v>5544</v>
      </c>
      <c r="B5544" s="2" t="str">
        <f>IFERROR(__xludf.DUMMYFUNCTION("GOOGLETRANSLATE(A5544, ""de"", ""en"")"),"carried out")</f>
        <v>carried out</v>
      </c>
    </row>
    <row r="5545">
      <c r="A5545" s="1" t="s">
        <v>5545</v>
      </c>
      <c r="B5545" s="2" t="str">
        <f>IFERROR(__xludf.DUMMYFUNCTION("GOOGLETRANSLATE(A5545, ""de"", ""en"")"),"intelligence")</f>
        <v>intelligence</v>
      </c>
    </row>
    <row r="5546">
      <c r="A5546" s="1" t="s">
        <v>5546</v>
      </c>
      <c r="B5546" s="2" t="str">
        <f>IFERROR(__xludf.DUMMYFUNCTION("GOOGLETRANSLATE(A5546, ""de"", ""en"")"),"rose")</f>
        <v>rose</v>
      </c>
    </row>
    <row r="5547">
      <c r="A5547" s="1" t="s">
        <v>5547</v>
      </c>
      <c r="B5547" s="2" t="str">
        <f>IFERROR(__xludf.DUMMYFUNCTION("GOOGLETRANSLATE(A5547, ""de"", ""en"")"),"agreed")</f>
        <v>agreed</v>
      </c>
    </row>
    <row r="5548">
      <c r="A5548" s="1" t="s">
        <v>5548</v>
      </c>
      <c r="B5548" s="2" t="str">
        <f>IFERROR(__xludf.DUMMYFUNCTION("GOOGLETRANSLATE(A5548, ""de"", ""en"")"),"mom")</f>
        <v>mom</v>
      </c>
    </row>
    <row r="5549">
      <c r="A5549" s="1" t="s">
        <v>5549</v>
      </c>
      <c r="B5549" s="2" t="str">
        <f>IFERROR(__xludf.DUMMYFUNCTION("GOOGLETRANSLATE(A5549, ""de"", ""en"")"),"enjoy")</f>
        <v>enjoy</v>
      </c>
    </row>
    <row r="5550">
      <c r="A5550" s="1" t="s">
        <v>5550</v>
      </c>
      <c r="B5550" s="2" t="str">
        <f>IFERROR(__xludf.DUMMYFUNCTION("GOOGLETRANSLATE(A5550, ""de"", ""en"")"),"protects")</f>
        <v>protects</v>
      </c>
    </row>
    <row r="5551">
      <c r="A5551" s="1" t="s">
        <v>5551</v>
      </c>
      <c r="B5551" s="2" t="str">
        <f>IFERROR(__xludf.DUMMYFUNCTION("GOOGLETRANSLATE(A5551, ""de"", ""en"")"),"retreat")</f>
        <v>retreat</v>
      </c>
    </row>
    <row r="5552">
      <c r="A5552" s="1" t="s">
        <v>5552</v>
      </c>
      <c r="B5552" s="2" t="str">
        <f>IFERROR(__xludf.DUMMYFUNCTION("GOOGLETRANSLATE(A5552, ""de"", ""en"")"),"concentrated")</f>
        <v>concentrated</v>
      </c>
    </row>
    <row r="5553">
      <c r="A5553" s="1" t="s">
        <v>5553</v>
      </c>
      <c r="B5553" s="2" t="str">
        <f>IFERROR(__xludf.DUMMYFUNCTION("GOOGLETRANSLATE(A5553, ""de"", ""en"")"),"shame")</f>
        <v>shame</v>
      </c>
    </row>
    <row r="5554">
      <c r="A5554" s="1" t="s">
        <v>5554</v>
      </c>
      <c r="B5554" s="2" t="str">
        <f>IFERROR(__xludf.DUMMYFUNCTION("GOOGLETRANSLATE(A5554, ""de"", ""en"")"),"reserved")</f>
        <v>reserved</v>
      </c>
    </row>
    <row r="5555">
      <c r="A5555" s="1" t="s">
        <v>5555</v>
      </c>
      <c r="B5555" s="2" t="str">
        <f>IFERROR(__xludf.DUMMYFUNCTION("GOOGLETRANSLATE(A5555, ""de"", ""en"")"),"golden")</f>
        <v>golden</v>
      </c>
    </row>
    <row r="5556">
      <c r="A5556" s="1" t="s">
        <v>5556</v>
      </c>
      <c r="B5556" s="2" t="str">
        <f>IFERROR(__xludf.DUMMYFUNCTION("GOOGLETRANSLATE(A5556, ""de"", ""en"")"),"bude")</f>
        <v>bude</v>
      </c>
    </row>
    <row r="5557">
      <c r="A5557" s="1" t="s">
        <v>5557</v>
      </c>
      <c r="B5557" s="2" t="str">
        <f>IFERROR(__xludf.DUMMYFUNCTION("GOOGLETRANSLATE(A5557, ""de"", ""en"")"),"metal")</f>
        <v>metal</v>
      </c>
    </row>
    <row r="5558">
      <c r="A5558" s="1" t="s">
        <v>5558</v>
      </c>
      <c r="B5558" s="2" t="str">
        <f>IFERROR(__xludf.DUMMYFUNCTION("GOOGLETRANSLATE(A5558, ""de"", ""en"")"),"kane")</f>
        <v>kane</v>
      </c>
    </row>
    <row r="5559">
      <c r="A5559" s="1" t="s">
        <v>5559</v>
      </c>
      <c r="B5559" s="2" t="str">
        <f>IFERROR(__xludf.DUMMYFUNCTION("GOOGLETRANSLATE(A5559, ""de"", ""en"")"),"Jacques")</f>
        <v>Jacques</v>
      </c>
    </row>
    <row r="5560">
      <c r="A5560" s="1" t="s">
        <v>5560</v>
      </c>
      <c r="B5560" s="2" t="str">
        <f>IFERROR(__xludf.DUMMYFUNCTION("GOOGLETRANSLATE(A5560, ""de"", ""en"")"),"sober")</f>
        <v>sober</v>
      </c>
    </row>
    <row r="5561">
      <c r="A5561" s="1" t="s">
        <v>5561</v>
      </c>
      <c r="B5561" s="2" t="str">
        <f>IFERROR(__xludf.DUMMYFUNCTION("GOOGLETRANSLATE(A5561, ""de"", ""en"")"),"intentions")</f>
        <v>intentions</v>
      </c>
    </row>
    <row r="5562">
      <c r="A5562" s="1" t="s">
        <v>5562</v>
      </c>
      <c r="B5562" s="2" t="str">
        <f>IFERROR(__xludf.DUMMYFUNCTION("GOOGLETRANSLATE(A5562, ""de"", ""en"")"),"south")</f>
        <v>south</v>
      </c>
    </row>
    <row r="5563">
      <c r="A5563" s="1" t="s">
        <v>5563</v>
      </c>
      <c r="B5563" s="2" t="str">
        <f>IFERROR(__xludf.DUMMYFUNCTION("GOOGLETRANSLATE(A5563, ""de"", ""en"")"),"gloves")</f>
        <v>gloves</v>
      </c>
    </row>
    <row r="5564">
      <c r="A5564" s="1" t="s">
        <v>5564</v>
      </c>
      <c r="B5564" s="2" t="str">
        <f>IFERROR(__xludf.DUMMYFUNCTION("GOOGLETRANSLATE(A5564, ""de"", ""en"")"),"shot")</f>
        <v>shot</v>
      </c>
    </row>
    <row r="5565">
      <c r="A5565" s="1" t="s">
        <v>5565</v>
      </c>
      <c r="B5565" s="2" t="str">
        <f>IFERROR(__xludf.DUMMYFUNCTION("GOOGLETRANSLATE(A5565, ""de"", ""en"")"),"arranged")</f>
        <v>arranged</v>
      </c>
    </row>
    <row r="5566">
      <c r="A5566" s="1" t="s">
        <v>5566</v>
      </c>
      <c r="B5566" s="2" t="str">
        <f>IFERROR(__xludf.DUMMYFUNCTION("GOOGLETRANSLATE(A5566, ""de"", ""en"")"),"wounded")</f>
        <v>wounded</v>
      </c>
    </row>
    <row r="5567">
      <c r="A5567" s="1" t="s">
        <v>5567</v>
      </c>
      <c r="B5567" s="2" t="str">
        <f>IFERROR(__xludf.DUMMYFUNCTION("GOOGLETRANSLATE(A5567, ""de"", ""en"")"),"Debbie")</f>
        <v>Debbie</v>
      </c>
    </row>
    <row r="5568">
      <c r="A5568" s="1" t="s">
        <v>5568</v>
      </c>
      <c r="B5568" s="2" t="str">
        <f>IFERROR(__xludf.DUMMYFUNCTION("GOOGLETRANSLATE(A5568, ""de"", ""en"")"),"bates")</f>
        <v>bates</v>
      </c>
    </row>
    <row r="5569">
      <c r="A5569" s="1" t="s">
        <v>5569</v>
      </c>
      <c r="B5569" s="2" t="str">
        <f>IFERROR(__xludf.DUMMYFUNCTION("GOOGLETRANSLATE(A5569, ""de"", ""en"")"),"feels")</f>
        <v>feels</v>
      </c>
    </row>
    <row r="5570">
      <c r="A5570" s="1" t="s">
        <v>5570</v>
      </c>
      <c r="B5570" s="2" t="str">
        <f>IFERROR(__xludf.DUMMYFUNCTION("GOOGLETRANSLATE(A5570, ""de"", ""en"")"),"presses")</f>
        <v>presses</v>
      </c>
    </row>
    <row r="5571">
      <c r="A5571" s="1" t="s">
        <v>5571</v>
      </c>
      <c r="B5571" s="2" t="str">
        <f>IFERROR(__xludf.DUMMYFUNCTION("GOOGLETRANSLATE(A5571, ""de"", ""en"")"),"cancel")</f>
        <v>cancel</v>
      </c>
    </row>
    <row r="5572">
      <c r="A5572" s="1" t="s">
        <v>5572</v>
      </c>
      <c r="B5572" s="2" t="str">
        <f>IFERROR(__xludf.DUMMYFUNCTION("GOOGLETRANSLATE(A5572, ""de"", ""en"")"),"keep")</f>
        <v>keep</v>
      </c>
    </row>
    <row r="5573">
      <c r="A5573" s="1" t="s">
        <v>5573</v>
      </c>
      <c r="B5573" s="2" t="str">
        <f>IFERROR(__xludf.DUMMYFUNCTION("GOOGLETRANSLATE(A5573, ""de"", ""en"")"),"some")</f>
        <v>some</v>
      </c>
    </row>
    <row r="5574">
      <c r="A5574" s="1" t="s">
        <v>5574</v>
      </c>
      <c r="B5574" s="2" t="str">
        <f>IFERROR(__xludf.DUMMYFUNCTION("GOOGLETRANSLATE(A5574, ""de"", ""en"")"),"Russian")</f>
        <v>Russian</v>
      </c>
    </row>
    <row r="5575">
      <c r="A5575" s="1" t="s">
        <v>5575</v>
      </c>
      <c r="B5575" s="2" t="str">
        <f>IFERROR(__xludf.DUMMYFUNCTION("GOOGLETRANSLATE(A5575, ""de"", ""en"")"),"impress")</f>
        <v>impress</v>
      </c>
    </row>
    <row r="5576">
      <c r="A5576" s="1" t="s">
        <v>5576</v>
      </c>
      <c r="B5576" s="2" t="str">
        <f>IFERROR(__xludf.DUMMYFUNCTION("GOOGLETRANSLATE(A5576, ""de"", ""en"")"),"gloomy")</f>
        <v>gloomy</v>
      </c>
    </row>
    <row r="5577">
      <c r="A5577" s="1" t="s">
        <v>5577</v>
      </c>
      <c r="B5577" s="2" t="str">
        <f>IFERROR(__xludf.DUMMYFUNCTION("GOOGLETRANSLATE(A5577, ""de"", ""en"")"),"business")</f>
        <v>business</v>
      </c>
    </row>
    <row r="5578">
      <c r="A5578" s="1" t="s">
        <v>5578</v>
      </c>
      <c r="B5578" s="2" t="str">
        <f>IFERROR(__xludf.DUMMYFUNCTION("GOOGLETRANSLATE(A5578, ""de"", ""en"")"),"egotistical")</f>
        <v>egotistical</v>
      </c>
    </row>
    <row r="5579">
      <c r="A5579" s="1" t="s">
        <v>5579</v>
      </c>
      <c r="B5579" s="2" t="str">
        <f>IFERROR(__xludf.DUMMYFUNCTION("GOOGLETRANSLATE(A5579, ""de"", ""en"")"),"Mario")</f>
        <v>Mario</v>
      </c>
    </row>
    <row r="5580">
      <c r="A5580" s="1" t="s">
        <v>5580</v>
      </c>
      <c r="B5580" s="2" t="str">
        <f>IFERROR(__xludf.DUMMYFUNCTION("GOOGLETRANSLATE(A5580, ""de"", ""en"")"),"rocky")</f>
        <v>rocky</v>
      </c>
    </row>
    <row r="5581">
      <c r="A5581" s="1" t="s">
        <v>5581</v>
      </c>
      <c r="B5581" s="2" t="str">
        <f>IFERROR(__xludf.DUMMYFUNCTION("GOOGLETRANSLATE(A5581, ""de"", ""en"")"),"ranch")</f>
        <v>ranch</v>
      </c>
    </row>
    <row r="5582">
      <c r="A5582" s="1" t="s">
        <v>5582</v>
      </c>
      <c r="B5582" s="2" t="str">
        <f>IFERROR(__xludf.DUMMYFUNCTION("GOOGLETRANSLATE(A5582, ""de"", ""en"")"),"pat")</f>
        <v>pat</v>
      </c>
    </row>
    <row r="5583">
      <c r="A5583" s="1" t="s">
        <v>5583</v>
      </c>
      <c r="B5583" s="2" t="str">
        <f>IFERROR(__xludf.DUMMYFUNCTION("GOOGLETRANSLATE(A5583, ""de"", ""en"")"),"rumor")</f>
        <v>rumor</v>
      </c>
    </row>
    <row r="5584">
      <c r="A5584" s="1" t="s">
        <v>5584</v>
      </c>
      <c r="B5584" s="2" t="str">
        <f>IFERROR(__xludf.DUMMYFUNCTION("GOOGLETRANSLATE(A5584, ""de"", ""en"")"),"jen")</f>
        <v>jen</v>
      </c>
    </row>
    <row r="5585">
      <c r="A5585" s="1" t="s">
        <v>5585</v>
      </c>
      <c r="B5585" s="2" t="str">
        <f>IFERROR(__xludf.DUMMYFUNCTION("GOOGLETRANSLATE(A5585, ""de"", ""en"")"),"temperature")</f>
        <v>temperature</v>
      </c>
    </row>
    <row r="5586">
      <c r="A5586" s="1" t="s">
        <v>5586</v>
      </c>
      <c r="B5586" s="2" t="str">
        <f>IFERROR(__xludf.DUMMYFUNCTION("GOOGLETRANSLATE(A5586, ""de"", ""en"")"),"taken away")</f>
        <v>taken away</v>
      </c>
    </row>
    <row r="5587">
      <c r="A5587" s="1" t="s">
        <v>5587</v>
      </c>
      <c r="B5587" s="2" t="str">
        <f>IFERROR(__xludf.DUMMYFUNCTION("GOOGLETRANSLATE(A5587, ""de"", ""en"")"),"tickets")</f>
        <v>tickets</v>
      </c>
    </row>
    <row r="5588">
      <c r="A5588" s="1" t="s">
        <v>5588</v>
      </c>
      <c r="B5588" s="2" t="str">
        <f>IFERROR(__xludf.DUMMYFUNCTION("GOOGLETRANSLATE(A5588, ""de"", ""en"")"),"li")</f>
        <v>li</v>
      </c>
    </row>
    <row r="5589">
      <c r="A5589" s="1" t="s">
        <v>5589</v>
      </c>
      <c r="B5589" s="2" t="str">
        <f>IFERROR(__xludf.DUMMYFUNCTION("GOOGLETRANSLATE(A5589, ""de"", ""en"")"),"distract")</f>
        <v>distract</v>
      </c>
    </row>
    <row r="5590">
      <c r="A5590" s="1" t="s">
        <v>5590</v>
      </c>
      <c r="B5590" s="2" t="str">
        <f>IFERROR(__xludf.DUMMYFUNCTION("GOOGLETRANSLATE(A5590, ""de"", ""en"")"),"injury")</f>
        <v>injury</v>
      </c>
    </row>
    <row r="5591">
      <c r="A5591" s="1" t="s">
        <v>5591</v>
      </c>
      <c r="B5591" s="2" t="str">
        <f>IFERROR(__xludf.DUMMYFUNCTION("GOOGLETRANSLATE(A5591, ""de"", ""en"")"),"present")</f>
        <v>present</v>
      </c>
    </row>
    <row r="5592">
      <c r="A5592" s="1" t="s">
        <v>5592</v>
      </c>
      <c r="B5592" s="2" t="str">
        <f>IFERROR(__xludf.DUMMYFUNCTION("GOOGLETRANSLATE(A5592, ""de"", ""en"")"),"fold over")</f>
        <v>fold over</v>
      </c>
    </row>
    <row r="5593">
      <c r="A5593" s="1" t="s">
        <v>5593</v>
      </c>
      <c r="B5593" s="2" t="str">
        <f>IFERROR(__xludf.DUMMYFUNCTION("GOOGLETRANSLATE(A5593, ""de"", ""en"")"),"simple")</f>
        <v>simple</v>
      </c>
    </row>
    <row r="5594">
      <c r="A5594" s="1" t="s">
        <v>5594</v>
      </c>
      <c r="B5594" s="2" t="str">
        <f>IFERROR(__xludf.DUMMYFUNCTION("GOOGLETRANSLATE(A5594, ""de"", ""en"")"),"obey")</f>
        <v>obey</v>
      </c>
    </row>
    <row r="5595">
      <c r="A5595" s="1" t="s">
        <v>5595</v>
      </c>
      <c r="B5595" s="2" t="str">
        <f>IFERROR(__xludf.DUMMYFUNCTION("GOOGLETRANSLATE(A5595, ""de"", ""en"")"),"painted")</f>
        <v>painted</v>
      </c>
    </row>
    <row r="5596">
      <c r="A5596" s="1" t="s">
        <v>5596</v>
      </c>
      <c r="B5596" s="2" t="str">
        <f>IFERROR(__xludf.DUMMYFUNCTION("GOOGLETRANSLATE(A5596, ""de"", ""en"")"),"Duncan")</f>
        <v>Duncan</v>
      </c>
    </row>
    <row r="5597">
      <c r="A5597" s="1" t="s">
        <v>5597</v>
      </c>
      <c r="B5597" s="2" t="str">
        <f>IFERROR(__xludf.DUMMYFUNCTION("GOOGLETRANSLATE(A5597, ""de"", ""en"")"),"robber")</f>
        <v>robber</v>
      </c>
    </row>
    <row r="5598">
      <c r="A5598" s="1" t="s">
        <v>5598</v>
      </c>
      <c r="B5598" s="2" t="str">
        <f>IFERROR(__xludf.DUMMYFUNCTION("GOOGLETRANSLATE(A5598, ""de"", ""en"")"),"eagle")</f>
        <v>eagle</v>
      </c>
    </row>
    <row r="5599">
      <c r="A5599" s="1" t="s">
        <v>5599</v>
      </c>
      <c r="B5599" s="2" t="str">
        <f>IFERROR(__xludf.DUMMYFUNCTION("GOOGLETRANSLATE(A5599, ""de"", ""en"")"),"sweets")</f>
        <v>sweets</v>
      </c>
    </row>
    <row r="5600">
      <c r="A5600" s="1" t="s">
        <v>5600</v>
      </c>
      <c r="B5600" s="2" t="str">
        <f>IFERROR(__xludf.DUMMYFUNCTION("GOOGLETRANSLATE(A5600, ""de"", ""en"")"),"lung")</f>
        <v>lung</v>
      </c>
    </row>
    <row r="5601">
      <c r="A5601" s="1" t="s">
        <v>5601</v>
      </c>
      <c r="B5601" s="2" t="str">
        <f>IFERROR(__xludf.DUMMYFUNCTION("GOOGLETRANSLATE(A5601, ""de"", ""en"")"),"withdraw")</f>
        <v>withdraw</v>
      </c>
    </row>
    <row r="5602">
      <c r="A5602" s="1" t="s">
        <v>5602</v>
      </c>
      <c r="B5602" s="2" t="str">
        <f>IFERROR(__xludf.DUMMYFUNCTION("GOOGLETRANSLATE(A5602, ""de"", ""en"")"),"wyatt")</f>
        <v>wyatt</v>
      </c>
    </row>
    <row r="5603">
      <c r="A5603" s="1" t="s">
        <v>5603</v>
      </c>
      <c r="B5603" s="2" t="str">
        <f>IFERROR(__xludf.DUMMYFUNCTION("GOOGLETRANSLATE(A5603, ""de"", ""en"")"),"sunset")</f>
        <v>sunset</v>
      </c>
    </row>
    <row r="5604">
      <c r="A5604" s="1" t="s">
        <v>5604</v>
      </c>
      <c r="B5604" s="2" t="str">
        <f>IFERROR(__xludf.DUMMYFUNCTION("GOOGLETRANSLATE(A5604, ""de"", ""en"")"),"opera")</f>
        <v>opera</v>
      </c>
    </row>
    <row r="5605">
      <c r="A5605" s="1" t="s">
        <v>5605</v>
      </c>
      <c r="B5605" s="2" t="str">
        <f>IFERROR(__xludf.DUMMYFUNCTION("GOOGLETRANSLATE(A5605, ""de"", ""en"")"),"agency")</f>
        <v>agency</v>
      </c>
    </row>
    <row r="5606">
      <c r="A5606" s="1" t="s">
        <v>5606</v>
      </c>
      <c r="B5606" s="2" t="str">
        <f>IFERROR(__xludf.DUMMYFUNCTION("GOOGLETRANSLATE(A5606, ""de"", ""en"")"),"cows")</f>
        <v>cows</v>
      </c>
    </row>
    <row r="5607">
      <c r="A5607" s="1" t="s">
        <v>5607</v>
      </c>
      <c r="B5607" s="2" t="str">
        <f>IFERROR(__xludf.DUMMYFUNCTION("GOOGLETRANSLATE(A5607, ""de"", ""en"")"),"clean up")</f>
        <v>clean up</v>
      </c>
    </row>
    <row r="5608">
      <c r="A5608" s="1" t="s">
        <v>5608</v>
      </c>
      <c r="B5608" s="2" t="str">
        <f>IFERROR(__xludf.DUMMYFUNCTION("GOOGLETRANSLATE(A5608, ""de"", ""en"")"),"crash")</f>
        <v>crash</v>
      </c>
    </row>
    <row r="5609">
      <c r="A5609" s="1" t="s">
        <v>5609</v>
      </c>
      <c r="B5609" s="2" t="str">
        <f>IFERROR(__xludf.DUMMYFUNCTION("GOOGLETRANSLATE(A5609, ""de"", ""en"")"),"Sharon")</f>
        <v>Sharon</v>
      </c>
    </row>
    <row r="5610">
      <c r="A5610" s="1" t="s">
        <v>5610</v>
      </c>
      <c r="B5610" s="2" t="str">
        <f>IFERROR(__xludf.DUMMYFUNCTION("GOOGLETRANSLATE(A5610, ""de"", ""en"")"),"refuse")</f>
        <v>refuse</v>
      </c>
    </row>
    <row r="5611">
      <c r="A5611" s="1" t="s">
        <v>5611</v>
      </c>
      <c r="B5611" s="2" t="str">
        <f>IFERROR(__xludf.DUMMYFUNCTION("GOOGLETRANSLATE(A5611, ""de"", ""en"")"),"graham")</f>
        <v>graham</v>
      </c>
    </row>
    <row r="5612">
      <c r="A5612" s="1" t="s">
        <v>5612</v>
      </c>
      <c r="B5612" s="2" t="str">
        <f>IFERROR(__xludf.DUMMYFUNCTION("GOOGLETRANSLATE(A5612, ""de"", ""en"")"),"arrow")</f>
        <v>arrow</v>
      </c>
    </row>
    <row r="5613">
      <c r="A5613" s="1" t="s">
        <v>5613</v>
      </c>
      <c r="B5613" s="2" t="str">
        <f>IFERROR(__xludf.DUMMYFUNCTION("GOOGLETRANSLATE(A5613, ""de"", ""en"")"),"unknown")</f>
        <v>unknown</v>
      </c>
    </row>
    <row r="5614">
      <c r="A5614" s="1" t="s">
        <v>5614</v>
      </c>
      <c r="B5614" s="2" t="str">
        <f>IFERROR(__xludf.DUMMYFUNCTION("GOOGLETRANSLATE(A5614, ""de"", ""en"")"),"express")</f>
        <v>express</v>
      </c>
    </row>
    <row r="5615">
      <c r="A5615" s="1" t="s">
        <v>5615</v>
      </c>
      <c r="B5615" s="2" t="str">
        <f>IFERROR(__xludf.DUMMYFUNCTION("GOOGLETRANSLATE(A5615, ""de"", ""en"")"),"route")</f>
        <v>route</v>
      </c>
    </row>
    <row r="5616">
      <c r="A5616" s="1" t="s">
        <v>5616</v>
      </c>
      <c r="B5616" s="2" t="str">
        <f>IFERROR(__xludf.DUMMYFUNCTION("GOOGLETRANSLATE(A5616, ""de"", ""en"")"),"emotionally")</f>
        <v>emotionally</v>
      </c>
    </row>
    <row r="5617">
      <c r="A5617" s="1" t="s">
        <v>5617</v>
      </c>
      <c r="B5617" s="2" t="str">
        <f>IFERROR(__xludf.DUMMYFUNCTION("GOOGLETRANSLATE(A5617, ""de"", ""en"")"),"harass")</f>
        <v>harass</v>
      </c>
    </row>
    <row r="5618">
      <c r="A5618" s="1" t="s">
        <v>5618</v>
      </c>
      <c r="B5618" s="2" t="str">
        <f>IFERROR(__xludf.DUMMYFUNCTION("GOOGLETRANSLATE(A5618, ""de"", ""en"")"),"cold")</f>
        <v>cold</v>
      </c>
    </row>
    <row r="5619">
      <c r="A5619" s="1" t="s">
        <v>5619</v>
      </c>
      <c r="B5619" s="2" t="str">
        <f>IFERROR(__xludf.DUMMYFUNCTION("GOOGLETRANSLATE(A5619, ""de"", ""en"")"),"sector")</f>
        <v>sector</v>
      </c>
    </row>
    <row r="5620">
      <c r="A5620" s="1" t="s">
        <v>5620</v>
      </c>
      <c r="B5620" s="2" t="str">
        <f>IFERROR(__xludf.DUMMYFUNCTION("GOOGLETRANSLATE(A5620, ""de"", ""en"")"),"blocked")</f>
        <v>blocked</v>
      </c>
    </row>
    <row r="5621">
      <c r="A5621" s="1" t="s">
        <v>5621</v>
      </c>
      <c r="B5621" s="2" t="str">
        <f>IFERROR(__xludf.DUMMYFUNCTION("GOOGLETRANSLATE(A5621, ""de"", ""en"")"),"public")</f>
        <v>public</v>
      </c>
    </row>
    <row r="5622">
      <c r="A5622" s="1" t="s">
        <v>5622</v>
      </c>
      <c r="B5622" s="2" t="str">
        <f>IFERROR(__xludf.DUMMYFUNCTION("GOOGLETRANSLATE(A5622, ""de"", ""en"")"),"Sweden")</f>
        <v>Sweden</v>
      </c>
    </row>
    <row r="5623">
      <c r="A5623" s="1" t="s">
        <v>5623</v>
      </c>
      <c r="B5623" s="2" t="str">
        <f>IFERROR(__xludf.DUMMYFUNCTION("GOOGLETRANSLATE(A5623, ""de"", ""en"")"),"gates")</f>
        <v>gates</v>
      </c>
    </row>
    <row r="5624">
      <c r="A5624" s="1" t="s">
        <v>5624</v>
      </c>
      <c r="B5624" s="2" t="str">
        <f>IFERROR(__xludf.DUMMYFUNCTION("GOOGLETRANSLATE(A5624, ""de"", ""en"")"),"chief")</f>
        <v>chief</v>
      </c>
    </row>
    <row r="5625">
      <c r="A5625" s="1" t="s">
        <v>5625</v>
      </c>
      <c r="B5625" s="2" t="str">
        <f>IFERROR(__xludf.DUMMYFUNCTION("GOOGLETRANSLATE(A5625, ""de"", ""en"")"),"March")</f>
        <v>March</v>
      </c>
    </row>
    <row r="5626">
      <c r="A5626" s="1" t="s">
        <v>5626</v>
      </c>
      <c r="B5626" s="2" t="str">
        <f>IFERROR(__xludf.DUMMYFUNCTION("GOOGLETRANSLATE(A5626, ""de"", ""en"")"),"numbers")</f>
        <v>numbers</v>
      </c>
    </row>
    <row r="5627">
      <c r="A5627" s="1" t="s">
        <v>5627</v>
      </c>
      <c r="B5627" s="2" t="str">
        <f>IFERROR(__xludf.DUMMYFUNCTION("GOOGLETRANSLATE(A5627, ""de"", ""en"")"),"represents")</f>
        <v>represents</v>
      </c>
    </row>
    <row r="5628">
      <c r="A5628" s="1" t="s">
        <v>5628</v>
      </c>
      <c r="B5628" s="2" t="str">
        <f>IFERROR(__xludf.DUMMYFUNCTION("GOOGLETRANSLATE(A5628, ""de"", ""en"")"),"wrong")</f>
        <v>wrong</v>
      </c>
    </row>
    <row r="5629">
      <c r="A5629" s="1" t="s">
        <v>5629</v>
      </c>
      <c r="B5629" s="2" t="str">
        <f>IFERROR(__xludf.DUMMYFUNCTION("GOOGLETRANSLATE(A5629, ""de"", ""en"")"),"guide")</f>
        <v>guide</v>
      </c>
    </row>
    <row r="5630">
      <c r="A5630" s="1" t="s">
        <v>5630</v>
      </c>
      <c r="B5630" s="2" t="str">
        <f>IFERROR(__xludf.DUMMYFUNCTION("GOOGLETRANSLATE(A5630, ""de"", ""en"")"),"frog")</f>
        <v>frog</v>
      </c>
    </row>
    <row r="5631">
      <c r="A5631" s="1" t="s">
        <v>5631</v>
      </c>
      <c r="B5631" s="2" t="str">
        <f>IFERROR(__xludf.DUMMYFUNCTION("GOOGLETRANSLATE(A5631, ""de"", ""en"")"),"temporary")</f>
        <v>temporary</v>
      </c>
    </row>
    <row r="5632">
      <c r="A5632" s="1" t="s">
        <v>5632</v>
      </c>
      <c r="B5632" s="2" t="str">
        <f>IFERROR(__xludf.DUMMYFUNCTION("GOOGLETRANSLATE(A5632, ""de"", ""en"")"),"books")</f>
        <v>books</v>
      </c>
    </row>
    <row r="5633">
      <c r="A5633" s="1" t="s">
        <v>5633</v>
      </c>
      <c r="B5633" s="2" t="str">
        <f>IFERROR(__xludf.DUMMYFUNCTION("GOOGLETRANSLATE(A5633, ""de"", ""en"")"),"mick")</f>
        <v>mick</v>
      </c>
    </row>
    <row r="5634">
      <c r="A5634" s="1" t="s">
        <v>5634</v>
      </c>
      <c r="B5634" s="2" t="str">
        <f>IFERROR(__xludf.DUMMYFUNCTION("GOOGLETRANSLATE(A5634, ""de"", ""en"")"),"lousy")</f>
        <v>lousy</v>
      </c>
    </row>
    <row r="5635">
      <c r="A5635" s="1" t="s">
        <v>5635</v>
      </c>
      <c r="B5635" s="2" t="str">
        <f>IFERROR(__xludf.DUMMYFUNCTION("GOOGLETRANSLATE(A5635, ""de"", ""en"")"),"initially")</f>
        <v>initially</v>
      </c>
    </row>
    <row r="5636">
      <c r="A5636" s="1" t="s">
        <v>5636</v>
      </c>
      <c r="B5636" s="2" t="str">
        <f>IFERROR(__xludf.DUMMYFUNCTION("GOOGLETRANSLATE(A5636, ""de"", ""en"")"),"related")</f>
        <v>related</v>
      </c>
    </row>
    <row r="5637">
      <c r="A5637" s="1" t="s">
        <v>5637</v>
      </c>
      <c r="B5637" s="2" t="str">
        <f>IFERROR(__xludf.DUMMYFUNCTION("GOOGLETRANSLATE(A5637, ""de"", ""en"")"),"endangered")</f>
        <v>endangered</v>
      </c>
    </row>
    <row r="5638">
      <c r="A5638" s="1" t="s">
        <v>5638</v>
      </c>
      <c r="B5638" s="2" t="str">
        <f>IFERROR(__xludf.DUMMYFUNCTION("GOOGLETRANSLATE(A5638, ""de"", ""en"")"),"cola")</f>
        <v>cola</v>
      </c>
    </row>
    <row r="5639">
      <c r="A5639" s="1" t="s">
        <v>5639</v>
      </c>
      <c r="B5639" s="2" t="str">
        <f>IFERROR(__xludf.DUMMYFUNCTION("GOOGLETRANSLATE(A5639, ""de"", ""en"")"),"counterfeiter")</f>
        <v>counterfeiter</v>
      </c>
    </row>
    <row r="5640">
      <c r="A5640" s="1" t="s">
        <v>5640</v>
      </c>
      <c r="B5640" s="2" t="str">
        <f>IFERROR(__xludf.DUMMYFUNCTION("GOOGLETRANSLATE(A5640, ""de"", ""en"")"),"kara")</f>
        <v>kara</v>
      </c>
    </row>
    <row r="5641">
      <c r="A5641" s="1" t="s">
        <v>5641</v>
      </c>
      <c r="B5641" s="2" t="str">
        <f>IFERROR(__xludf.DUMMYFUNCTION("GOOGLETRANSLATE(A5641, ""de"", ""en"")"),"scared")</f>
        <v>scared</v>
      </c>
    </row>
    <row r="5642">
      <c r="A5642" s="1" t="s">
        <v>5642</v>
      </c>
      <c r="B5642" s="2" t="str">
        <f>IFERROR(__xludf.DUMMYFUNCTION("GOOGLETRANSLATE(A5642, ""de"", ""en"")"),"sources")</f>
        <v>sources</v>
      </c>
    </row>
    <row r="5643">
      <c r="A5643" s="1" t="s">
        <v>5643</v>
      </c>
      <c r="B5643" s="2" t="str">
        <f>IFERROR(__xludf.DUMMYFUNCTION("GOOGLETRANSLATE(A5643, ""de"", ""en"")"),"republic")</f>
        <v>republic</v>
      </c>
    </row>
    <row r="5644">
      <c r="A5644" s="1" t="s">
        <v>5644</v>
      </c>
      <c r="B5644" s="2" t="str">
        <f>IFERROR(__xludf.DUMMYFUNCTION("GOOGLETRANSLATE(A5644, ""de"", ""en"")"),"f")</f>
        <v>f</v>
      </c>
    </row>
    <row r="5645">
      <c r="A5645" s="1" t="s">
        <v>5645</v>
      </c>
      <c r="B5645" s="2" t="str">
        <f>IFERROR(__xludf.DUMMYFUNCTION("GOOGLETRANSLATE(A5645, ""de"", ""en"")"),"us")</f>
        <v>us</v>
      </c>
    </row>
    <row r="5646">
      <c r="A5646" s="1" t="s">
        <v>5646</v>
      </c>
      <c r="B5646" s="2" t="str">
        <f>IFERROR(__xludf.DUMMYFUNCTION("GOOGLETRANSLATE(A5646, ""de"", ""en"")"),"silver")</f>
        <v>silver</v>
      </c>
    </row>
    <row r="5647">
      <c r="A5647" s="1" t="s">
        <v>5647</v>
      </c>
      <c r="B5647" s="2" t="str">
        <f>IFERROR(__xludf.DUMMYFUNCTION("GOOGLETRANSLATE(A5647, ""de"", ""en"")"),"ate")</f>
        <v>ate</v>
      </c>
    </row>
    <row r="5648">
      <c r="A5648" s="1" t="s">
        <v>5648</v>
      </c>
      <c r="B5648" s="2" t="str">
        <f>IFERROR(__xludf.DUMMYFUNCTION("GOOGLETRANSLATE(A5648, ""de"", ""en"")"),"envelope")</f>
        <v>envelope</v>
      </c>
    </row>
    <row r="5649">
      <c r="A5649" s="1" t="s">
        <v>5649</v>
      </c>
      <c r="B5649" s="2" t="str">
        <f>IFERROR(__xludf.DUMMYFUNCTION("GOOGLETRANSLATE(A5649, ""de"", ""en"")"),"happy")</f>
        <v>happy</v>
      </c>
    </row>
    <row r="5650">
      <c r="A5650" s="1" t="s">
        <v>5650</v>
      </c>
      <c r="B5650" s="2" t="str">
        <f>IFERROR(__xludf.DUMMYFUNCTION("GOOGLETRANSLATE(A5650, ""de"", ""en"")"),"respects")</f>
        <v>respects</v>
      </c>
    </row>
    <row r="5651">
      <c r="A5651" s="1" t="s">
        <v>5651</v>
      </c>
      <c r="B5651" s="2" t="str">
        <f>IFERROR(__xludf.DUMMYFUNCTION("GOOGLETRANSLATE(A5651, ""de"", ""en"")"),"event")</f>
        <v>event</v>
      </c>
    </row>
    <row r="5652">
      <c r="A5652" s="1" t="s">
        <v>5652</v>
      </c>
      <c r="B5652" s="2" t="str">
        <f>IFERROR(__xludf.DUMMYFUNCTION("GOOGLETRANSLATE(A5652, ""de"", ""en"")"),"shitty ones")</f>
        <v>shitty ones</v>
      </c>
    </row>
    <row r="5653">
      <c r="A5653" s="1" t="s">
        <v>5653</v>
      </c>
      <c r="B5653" s="2" t="str">
        <f>IFERROR(__xludf.DUMMYFUNCTION("GOOGLETRANSLATE(A5653, ""de"", ""en"")"),"buried")</f>
        <v>buried</v>
      </c>
    </row>
    <row r="5654">
      <c r="A5654" s="1" t="s">
        <v>5654</v>
      </c>
      <c r="B5654" s="2" t="str">
        <f>IFERROR(__xludf.DUMMYFUNCTION("GOOGLETRANSLATE(A5654, ""de"", ""en"")"),"bound")</f>
        <v>bound</v>
      </c>
    </row>
    <row r="5655">
      <c r="A5655" s="1" t="s">
        <v>5655</v>
      </c>
      <c r="B5655" s="2" t="str">
        <f>IFERROR(__xludf.DUMMYFUNCTION("GOOGLETRANSLATE(A5655, ""de"", ""en"")"),"Marion")</f>
        <v>Marion</v>
      </c>
    </row>
    <row r="5656">
      <c r="A5656" s="1" t="s">
        <v>5656</v>
      </c>
      <c r="B5656" s="2" t="str">
        <f>IFERROR(__xludf.DUMMYFUNCTION("GOOGLETRANSLATE(A5656, ""de"", ""en"")"),"duck")</f>
        <v>duck</v>
      </c>
    </row>
    <row r="5657">
      <c r="A5657" s="1" t="s">
        <v>5657</v>
      </c>
      <c r="B5657" s="2" t="str">
        <f>IFERROR(__xludf.DUMMYFUNCTION("GOOGLETRANSLATE(A5657, ""de"", ""en"")"),"glasses")</f>
        <v>glasses</v>
      </c>
    </row>
    <row r="5658">
      <c r="A5658" s="1" t="s">
        <v>5658</v>
      </c>
      <c r="B5658" s="2" t="str">
        <f>IFERROR(__xludf.DUMMYFUNCTION("GOOGLETRANSLATE(A5658, ""de"", ""en"")"),"comment")</f>
        <v>comment</v>
      </c>
    </row>
    <row r="5659">
      <c r="A5659" s="1" t="s">
        <v>5659</v>
      </c>
      <c r="B5659" s="2" t="str">
        <f>IFERROR(__xludf.DUMMYFUNCTION("GOOGLETRANSLATE(A5659, ""de"", ""en"")"),"double")</f>
        <v>double</v>
      </c>
    </row>
    <row r="5660">
      <c r="A5660" s="1" t="s">
        <v>5660</v>
      </c>
      <c r="B5660" s="2" t="str">
        <f>IFERROR(__xludf.DUMMYFUNCTION("GOOGLETRANSLATE(A5660, ""de"", ""en"")"),"Boris")</f>
        <v>Boris</v>
      </c>
    </row>
    <row r="5661">
      <c r="A5661" s="1" t="s">
        <v>5661</v>
      </c>
      <c r="B5661" s="2" t="str">
        <f>IFERROR(__xludf.DUMMYFUNCTION("GOOGLETRANSLATE(A5661, ""de"", ""en"")"),"litter")</f>
        <v>litter</v>
      </c>
    </row>
    <row r="5662">
      <c r="A5662" s="1" t="s">
        <v>5662</v>
      </c>
      <c r="B5662" s="2" t="str">
        <f>IFERROR(__xludf.DUMMYFUNCTION("GOOGLETRANSLATE(A5662, ""de"", ""en"")"),"gibbs")</f>
        <v>gibbs</v>
      </c>
    </row>
    <row r="5663">
      <c r="A5663" s="1" t="s">
        <v>5663</v>
      </c>
      <c r="B5663" s="2" t="str">
        <f>IFERROR(__xludf.DUMMYFUNCTION("GOOGLETRANSLATE(A5663, ""de"", ""en"")"),"lola")</f>
        <v>lola</v>
      </c>
    </row>
    <row r="5664">
      <c r="A5664" s="1" t="s">
        <v>5664</v>
      </c>
      <c r="B5664" s="2" t="str">
        <f>IFERROR(__xludf.DUMMYFUNCTION("GOOGLETRANSLATE(A5664, ""de"", ""en"")"),"buck")</f>
        <v>buck</v>
      </c>
    </row>
    <row r="5665">
      <c r="A5665" s="1" t="s">
        <v>5665</v>
      </c>
      <c r="B5665" s="2" t="str">
        <f>IFERROR(__xludf.DUMMYFUNCTION("GOOGLETRANSLATE(A5665, ""de"", ""en"")"),"civilization")</f>
        <v>civilization</v>
      </c>
    </row>
    <row r="5666">
      <c r="A5666" s="1" t="s">
        <v>5666</v>
      </c>
      <c r="B5666" s="2" t="str">
        <f>IFERROR(__xludf.DUMMYFUNCTION("GOOGLETRANSLATE(A5666, ""de"", ""en"")"),"depths")</f>
        <v>depths</v>
      </c>
    </row>
    <row r="5667">
      <c r="A5667" s="1" t="s">
        <v>5667</v>
      </c>
      <c r="B5667" s="2" t="str">
        <f>IFERROR(__xludf.DUMMYFUNCTION("GOOGLETRANSLATE(A5667, ""de"", ""en"")"),"richer")</f>
        <v>richer</v>
      </c>
    </row>
    <row r="5668">
      <c r="A5668" s="1" t="s">
        <v>5668</v>
      </c>
      <c r="B5668" s="2" t="str">
        <f>IFERROR(__xludf.DUMMYFUNCTION("GOOGLETRANSLATE(A5668, ""de"", ""en"")"),"arrest")</f>
        <v>arrest</v>
      </c>
    </row>
    <row r="5669">
      <c r="A5669" s="1" t="s">
        <v>5669</v>
      </c>
      <c r="B5669" s="2" t="str">
        <f>IFERROR(__xludf.DUMMYFUNCTION("GOOGLETRANSLATE(A5669, ""de"", ""en"")"),"report")</f>
        <v>report</v>
      </c>
    </row>
    <row r="5670">
      <c r="A5670" s="1" t="s">
        <v>5670</v>
      </c>
      <c r="B5670" s="2" t="str">
        <f>IFERROR(__xludf.DUMMYFUNCTION("GOOGLETRANSLATE(A5670, ""de"", ""en"")"),"beans")</f>
        <v>beans</v>
      </c>
    </row>
    <row r="5671">
      <c r="A5671" s="1" t="s">
        <v>5671</v>
      </c>
      <c r="B5671" s="2" t="str">
        <f>IFERROR(__xludf.DUMMYFUNCTION("GOOGLETRANSLATE(A5671, ""de"", ""en"")"),"whistle")</f>
        <v>whistle</v>
      </c>
    </row>
    <row r="5672">
      <c r="A5672" s="1" t="s">
        <v>5672</v>
      </c>
      <c r="B5672" s="2" t="str">
        <f>IFERROR(__xludf.DUMMYFUNCTION("GOOGLETRANSLATE(A5672, ""de"", ""en"")"),"hall")</f>
        <v>hall</v>
      </c>
    </row>
    <row r="5673">
      <c r="A5673" s="1" t="s">
        <v>5673</v>
      </c>
      <c r="B5673" s="2" t="str">
        <f>IFERROR(__xludf.DUMMYFUNCTION("GOOGLETRANSLATE(A5673, ""de"", ""en"")"),"leon")</f>
        <v>leon</v>
      </c>
    </row>
    <row r="5674">
      <c r="A5674" s="1" t="s">
        <v>5674</v>
      </c>
      <c r="B5674" s="2" t="str">
        <f>IFERROR(__xludf.DUMMYFUNCTION("GOOGLETRANSLATE(A5674, ""de"", ""en"")"),"rockets")</f>
        <v>rockets</v>
      </c>
    </row>
    <row r="5675">
      <c r="A5675" s="1" t="s">
        <v>5675</v>
      </c>
      <c r="B5675" s="2" t="str">
        <f>IFERROR(__xludf.DUMMYFUNCTION("GOOGLETRANSLATE(A5675, ""de"", ""en"")"),"good")</f>
        <v>good</v>
      </c>
    </row>
    <row r="5676">
      <c r="A5676" s="1" t="s">
        <v>5676</v>
      </c>
      <c r="B5676" s="2" t="str">
        <f>IFERROR(__xludf.DUMMYFUNCTION("GOOGLETRANSLATE(A5676, ""de"", ""en"")"),"relocate")</f>
        <v>relocate</v>
      </c>
    </row>
    <row r="5677">
      <c r="A5677" s="1" t="s">
        <v>5677</v>
      </c>
      <c r="B5677" s="2" t="str">
        <f>IFERROR(__xludf.DUMMYFUNCTION("GOOGLETRANSLATE(A5677, ""de"", ""en"")"),"goat")</f>
        <v>goat</v>
      </c>
    </row>
    <row r="5678">
      <c r="A5678" s="1" t="s">
        <v>5678</v>
      </c>
      <c r="B5678" s="2" t="str">
        <f>IFERROR(__xludf.DUMMYFUNCTION("GOOGLETRANSLATE(A5678, ""de"", ""en"")"),"lion")</f>
        <v>lion</v>
      </c>
    </row>
    <row r="5679">
      <c r="A5679" s="1" t="s">
        <v>5679</v>
      </c>
      <c r="B5679" s="2" t="str">
        <f>IFERROR(__xludf.DUMMYFUNCTION("GOOGLETRANSLATE(A5679, ""de"", ""en"")"),"cat")</f>
        <v>cat</v>
      </c>
    </row>
    <row r="5680">
      <c r="A5680" s="1" t="s">
        <v>5680</v>
      </c>
      <c r="B5680" s="2" t="str">
        <f>IFERROR(__xludf.DUMMYFUNCTION("GOOGLETRANSLATE(A5680, ""de"", ""en"")"),"central")</f>
        <v>central</v>
      </c>
    </row>
    <row r="5681">
      <c r="A5681" s="1" t="s">
        <v>5681</v>
      </c>
      <c r="B5681" s="2" t="str">
        <f>IFERROR(__xludf.DUMMYFUNCTION("GOOGLETRANSLATE(A5681, ""de"", ""en"")"),"kill")</f>
        <v>kill</v>
      </c>
    </row>
    <row r="5682">
      <c r="A5682" s="1" t="s">
        <v>5682</v>
      </c>
      <c r="B5682" s="2" t="str">
        <f>IFERROR(__xludf.DUMMYFUNCTION("GOOGLETRANSLATE(A5682, ""de"", ""en"")"),"pierce")</f>
        <v>pierce</v>
      </c>
    </row>
    <row r="5683">
      <c r="A5683" s="1" t="s">
        <v>5683</v>
      </c>
      <c r="B5683" s="2" t="str">
        <f>IFERROR(__xludf.DUMMYFUNCTION("GOOGLETRANSLATE(A5683, ""de"", ""en"")"),"privacy")</f>
        <v>privacy</v>
      </c>
    </row>
    <row r="5684">
      <c r="A5684" s="1" t="s">
        <v>5684</v>
      </c>
      <c r="B5684" s="2" t="str">
        <f>IFERROR(__xludf.DUMMYFUNCTION("GOOGLETRANSLATE(A5684, ""de"", ""en"")"),"j.")</f>
        <v>j.</v>
      </c>
    </row>
    <row r="5685">
      <c r="A5685" s="1" t="s">
        <v>5685</v>
      </c>
      <c r="B5685" s="2" t="str">
        <f>IFERROR(__xludf.DUMMYFUNCTION("GOOGLETRANSLATE(A5685, ""de"", ""en"")"),"atone")</f>
        <v>atone</v>
      </c>
    </row>
    <row r="5686">
      <c r="A5686" s="1" t="s">
        <v>5686</v>
      </c>
      <c r="B5686" s="2" t="str">
        <f>IFERROR(__xludf.DUMMYFUNCTION("GOOGLETRANSLATE(A5686, ""de"", ""en"")"),"cold")</f>
        <v>cold</v>
      </c>
    </row>
    <row r="5687">
      <c r="A5687" s="1" t="s">
        <v>5687</v>
      </c>
      <c r="B5687" s="2" t="str">
        <f>IFERROR(__xludf.DUMMYFUNCTION("GOOGLETRANSLATE(A5687, ""de"", ""en"")"),"oath")</f>
        <v>oath</v>
      </c>
    </row>
    <row r="5688">
      <c r="A5688" s="1" t="s">
        <v>5688</v>
      </c>
      <c r="B5688" s="2" t="str">
        <f>IFERROR(__xludf.DUMMYFUNCTION("GOOGLETRANSLATE(A5688, ""de"", ""en"")"),"boys")</f>
        <v>boys</v>
      </c>
    </row>
    <row r="5689">
      <c r="A5689" s="1" t="s">
        <v>5689</v>
      </c>
      <c r="B5689" s="2" t="str">
        <f>IFERROR(__xludf.DUMMYFUNCTION("GOOGLETRANSLATE(A5689, ""de"", ""en"")"),"second")</f>
        <v>second</v>
      </c>
    </row>
    <row r="5690">
      <c r="A5690" s="1" t="s">
        <v>5690</v>
      </c>
      <c r="B5690" s="2" t="str">
        <f>IFERROR(__xludf.DUMMYFUNCTION("GOOGLETRANSLATE(A5690, ""de"", ""en"")"),"differentiate")</f>
        <v>differentiate</v>
      </c>
    </row>
    <row r="5691">
      <c r="A5691" s="1" t="s">
        <v>5691</v>
      </c>
      <c r="B5691" s="2" t="str">
        <f>IFERROR(__xludf.DUMMYFUNCTION("GOOGLETRANSLATE(A5691, ""de"", ""en"")"),"calculated")</f>
        <v>calculated</v>
      </c>
    </row>
    <row r="5692">
      <c r="A5692" s="1" t="s">
        <v>5692</v>
      </c>
      <c r="B5692" s="2" t="str">
        <f>IFERROR(__xludf.DUMMYFUNCTION("GOOGLETRANSLATE(A5692, ""de"", ""en"")"),"telegram")</f>
        <v>telegram</v>
      </c>
    </row>
    <row r="5693">
      <c r="A5693" s="1" t="s">
        <v>5693</v>
      </c>
      <c r="B5693" s="2" t="str">
        <f>IFERROR(__xludf.DUMMYFUNCTION("GOOGLETRANSLATE(A5693, ""de"", ""en"")"),"speak")</f>
        <v>speak</v>
      </c>
    </row>
    <row r="5694">
      <c r="A5694" s="1" t="s">
        <v>5694</v>
      </c>
      <c r="B5694" s="2" t="str">
        <f>IFERROR(__xludf.DUMMYFUNCTION("GOOGLETRANSLATE(A5694, ""de"", ""en"")"),"baby-sitter")</f>
        <v>baby-sitter</v>
      </c>
    </row>
    <row r="5695">
      <c r="A5695" s="1" t="s">
        <v>5695</v>
      </c>
      <c r="B5695" s="2" t="str">
        <f>IFERROR(__xludf.DUMMYFUNCTION("GOOGLETRANSLATE(A5695, ""de"", ""en"")"),"path")</f>
        <v>path</v>
      </c>
    </row>
    <row r="5696">
      <c r="A5696" s="1" t="s">
        <v>5696</v>
      </c>
      <c r="B5696" s="2" t="str">
        <f>IFERROR(__xludf.DUMMYFUNCTION("GOOGLETRANSLATE(A5696, ""de"", ""en"")"),"danced")</f>
        <v>danced</v>
      </c>
    </row>
    <row r="5697">
      <c r="A5697" s="1" t="s">
        <v>5697</v>
      </c>
      <c r="B5697" s="2" t="str">
        <f>IFERROR(__xludf.DUMMYFUNCTION("GOOGLETRANSLATE(A5697, ""de"", ""en"")"),"mafia")</f>
        <v>mafia</v>
      </c>
    </row>
    <row r="5698">
      <c r="A5698" s="1" t="s">
        <v>5698</v>
      </c>
      <c r="B5698" s="2" t="str">
        <f>IFERROR(__xludf.DUMMYFUNCTION("GOOGLETRANSLATE(A5698, ""de"", ""en"")"),"defended")</f>
        <v>defended</v>
      </c>
    </row>
    <row r="5699">
      <c r="A5699" s="1" t="s">
        <v>5699</v>
      </c>
      <c r="B5699" s="2" t="str">
        <f>IFERROR(__xludf.DUMMYFUNCTION("GOOGLETRANSLATE(A5699, ""de"", ""en"")"),"switch off")</f>
        <v>switch off</v>
      </c>
    </row>
    <row r="5700">
      <c r="A5700" s="1" t="s">
        <v>5700</v>
      </c>
      <c r="B5700" s="2" t="str">
        <f>IFERROR(__xludf.DUMMYFUNCTION("GOOGLETRANSLATE(A5700, ""de"", ""en"")"),"waves")</f>
        <v>waves</v>
      </c>
    </row>
    <row r="5701">
      <c r="A5701" s="1" t="s">
        <v>5701</v>
      </c>
      <c r="B5701" s="2" t="str">
        <f>IFERROR(__xludf.DUMMYFUNCTION("GOOGLETRANSLATE(A5701, ""de"", ""en"")"),"drunk")</f>
        <v>drunk</v>
      </c>
    </row>
    <row r="5702">
      <c r="A5702" s="1" t="s">
        <v>5702</v>
      </c>
      <c r="B5702" s="2" t="str">
        <f>IFERROR(__xludf.DUMMYFUNCTION("GOOGLETRANSLATE(A5702, ""de"", ""en"")"),"services")</f>
        <v>services</v>
      </c>
    </row>
    <row r="5703">
      <c r="A5703" s="1" t="s">
        <v>5703</v>
      </c>
      <c r="B5703" s="2" t="str">
        <f>IFERROR(__xludf.DUMMYFUNCTION("GOOGLETRANSLATE(A5703, ""de"", ""en"")"),"complete")</f>
        <v>complete</v>
      </c>
    </row>
    <row r="5704">
      <c r="A5704" s="1" t="s">
        <v>5704</v>
      </c>
      <c r="B5704" s="2" t="str">
        <f>IFERROR(__xludf.DUMMYFUNCTION("GOOGLETRANSLATE(A5704, ""de"", ""en"")"),"stopped")</f>
        <v>stopped</v>
      </c>
    </row>
    <row r="5705">
      <c r="A5705" s="1" t="s">
        <v>5705</v>
      </c>
      <c r="B5705" s="2" t="str">
        <f>IFERROR(__xludf.DUMMYFUNCTION("GOOGLETRANSLATE(A5705, ""de"", ""en"")"),"doyle")</f>
        <v>doyle</v>
      </c>
    </row>
    <row r="5706">
      <c r="A5706" s="1" t="s">
        <v>5706</v>
      </c>
      <c r="B5706" s="2" t="str">
        <f>IFERROR(__xludf.DUMMYFUNCTION("GOOGLETRANSLATE(A5706, ""de"", ""en"")"),"assistant")</f>
        <v>assistant</v>
      </c>
    </row>
    <row r="5707">
      <c r="A5707" s="1" t="s">
        <v>5707</v>
      </c>
      <c r="B5707" s="2" t="str">
        <f>IFERROR(__xludf.DUMMYFUNCTION("GOOGLETRANSLATE(A5707, ""de"", ""en"")"),"chains")</f>
        <v>chains</v>
      </c>
    </row>
    <row r="5708">
      <c r="A5708" s="1" t="s">
        <v>5708</v>
      </c>
      <c r="B5708" s="2" t="str">
        <f>IFERROR(__xludf.DUMMYFUNCTION("GOOGLETRANSLATE(A5708, ""de"", ""en"")"),"travels")</f>
        <v>travels</v>
      </c>
    </row>
    <row r="5709">
      <c r="A5709" s="1" t="s">
        <v>5709</v>
      </c>
      <c r="B5709" s="2" t="str">
        <f>IFERROR(__xludf.DUMMYFUNCTION("GOOGLETRANSLATE(A5709, ""de"", ""en"")"),"notice")</f>
        <v>notice</v>
      </c>
    </row>
    <row r="5710">
      <c r="A5710" s="1" t="s">
        <v>5710</v>
      </c>
      <c r="B5710" s="2" t="str">
        <f>IFERROR(__xludf.DUMMYFUNCTION("GOOGLETRANSLATE(A5710, ""de"", ""en"")"),"offered")</f>
        <v>offered</v>
      </c>
    </row>
    <row r="5711">
      <c r="A5711" s="1" t="s">
        <v>5711</v>
      </c>
      <c r="B5711" s="2" t="str">
        <f>IFERROR(__xludf.DUMMYFUNCTION("GOOGLETRANSLATE(A5711, ""de"", ""en"")"),"gwen")</f>
        <v>gwen</v>
      </c>
    </row>
    <row r="5712">
      <c r="A5712" s="1" t="s">
        <v>5712</v>
      </c>
      <c r="B5712" s="2" t="str">
        <f>IFERROR(__xludf.DUMMYFUNCTION("GOOGLETRANSLATE(A5712, ""de"", ""en"")"),"to what extent")</f>
        <v>to what extent</v>
      </c>
    </row>
    <row r="5713">
      <c r="A5713" s="1" t="s">
        <v>5713</v>
      </c>
      <c r="B5713" s="2" t="str">
        <f>IFERROR(__xludf.DUMMYFUNCTION("GOOGLETRANSLATE(A5713, ""de"", ""en"")"),"pill")</f>
        <v>pill</v>
      </c>
    </row>
    <row r="5714">
      <c r="A5714" s="1" t="s">
        <v>5714</v>
      </c>
      <c r="B5714" s="2" t="str">
        <f>IFERROR(__xludf.DUMMYFUNCTION("GOOGLETRANSLATE(A5714, ""de"", ""en"")"),"desire")</f>
        <v>desire</v>
      </c>
    </row>
    <row r="5715">
      <c r="A5715" s="1" t="s">
        <v>5715</v>
      </c>
      <c r="B5715" s="2" t="str">
        <f>IFERROR(__xludf.DUMMYFUNCTION("GOOGLETRANSLATE(A5715, ""de"", ""en"")"),"basket")</f>
        <v>basket</v>
      </c>
    </row>
    <row r="5716">
      <c r="A5716" s="1" t="s">
        <v>5716</v>
      </c>
      <c r="B5716" s="2" t="str">
        <f>IFERROR(__xludf.DUMMYFUNCTION("GOOGLETRANSLATE(A5716, ""de"", ""en"")"),"reigns")</f>
        <v>reigns</v>
      </c>
    </row>
    <row r="5717">
      <c r="A5717" s="1" t="s">
        <v>5717</v>
      </c>
      <c r="B5717" s="2" t="str">
        <f>IFERROR(__xludf.DUMMYFUNCTION("GOOGLETRANSLATE(A5717, ""de"", ""en"")"),"en")</f>
        <v>en</v>
      </c>
    </row>
    <row r="5718">
      <c r="A5718" s="1" t="s">
        <v>5718</v>
      </c>
      <c r="B5718" s="2" t="str">
        <f>IFERROR(__xludf.DUMMYFUNCTION("GOOGLETRANSLATE(A5718, ""de"", ""en"")"),"regret")</f>
        <v>regret</v>
      </c>
    </row>
    <row r="5719">
      <c r="A5719" s="1" t="s">
        <v>5719</v>
      </c>
      <c r="B5719" s="2" t="str">
        <f>IFERROR(__xludf.DUMMYFUNCTION("GOOGLETRANSLATE(A5719, ""de"", ""en"")"),"touched")</f>
        <v>touched</v>
      </c>
    </row>
    <row r="5720">
      <c r="A5720" s="1" t="s">
        <v>5720</v>
      </c>
      <c r="B5720" s="2" t="str">
        <f>IFERROR(__xludf.DUMMYFUNCTION("GOOGLETRANSLATE(A5720, ""de"", ""en"")"),"hotter")</f>
        <v>hotter</v>
      </c>
    </row>
    <row r="5721">
      <c r="A5721" s="1" t="s">
        <v>5721</v>
      </c>
      <c r="B5721" s="2" t="str">
        <f>IFERROR(__xludf.DUMMYFUNCTION("GOOGLETRANSLATE(A5721, ""de"", ""en"")"),"sincerely")</f>
        <v>sincerely</v>
      </c>
    </row>
    <row r="5722">
      <c r="A5722" s="1" t="s">
        <v>5722</v>
      </c>
      <c r="B5722" s="2" t="str">
        <f>IFERROR(__xludf.DUMMYFUNCTION("GOOGLETRANSLATE(A5722, ""de"", ""en"")"),"conrad")</f>
        <v>conrad</v>
      </c>
    </row>
    <row r="5723">
      <c r="A5723" s="1" t="s">
        <v>5723</v>
      </c>
      <c r="B5723" s="2" t="str">
        <f>IFERROR(__xludf.DUMMYFUNCTION("GOOGLETRANSLATE(A5723, ""de"", ""en"")"),"take care of")</f>
        <v>take care of</v>
      </c>
    </row>
    <row r="5724">
      <c r="A5724" s="1" t="s">
        <v>5724</v>
      </c>
      <c r="B5724" s="2" t="str">
        <f>IFERROR(__xludf.DUMMYFUNCTION("GOOGLETRANSLATE(A5724, ""de"", ""en"")"),"lock out")</f>
        <v>lock out</v>
      </c>
    </row>
    <row r="5725">
      <c r="A5725" s="1" t="s">
        <v>5725</v>
      </c>
      <c r="B5725" s="2" t="str">
        <f>IFERROR(__xludf.DUMMYFUNCTION("GOOGLETRANSLATE(A5725, ""de"", ""en"")"),"naive")</f>
        <v>naive</v>
      </c>
    </row>
    <row r="5726">
      <c r="A5726" s="1" t="s">
        <v>5726</v>
      </c>
      <c r="B5726" s="2" t="str">
        <f>IFERROR(__xludf.DUMMYFUNCTION("GOOGLETRANSLATE(A5726, ""de"", ""en"")"),"wall up")</f>
        <v>wall up</v>
      </c>
    </row>
    <row r="5727">
      <c r="A5727" s="1" t="s">
        <v>5727</v>
      </c>
      <c r="B5727" s="2" t="str">
        <f>IFERROR(__xludf.DUMMYFUNCTION("GOOGLETRANSLATE(A5727, ""de"", ""en"")"),"hugo")</f>
        <v>hugo</v>
      </c>
    </row>
    <row r="5728">
      <c r="A5728" s="1" t="s">
        <v>5728</v>
      </c>
      <c r="B5728" s="2" t="str">
        <f>IFERROR(__xludf.DUMMYFUNCTION("GOOGLETRANSLATE(A5728, ""de"", ""en"")"),"prove")</f>
        <v>prove</v>
      </c>
    </row>
    <row r="5729">
      <c r="A5729" s="1" t="s">
        <v>5729</v>
      </c>
      <c r="B5729" s="2" t="str">
        <f>IFERROR(__xludf.DUMMYFUNCTION("GOOGLETRANSLATE(A5729, ""de"", ""en"")"),"leave behind")</f>
        <v>leave behind</v>
      </c>
    </row>
    <row r="5730">
      <c r="A5730" s="1" t="s">
        <v>5730</v>
      </c>
      <c r="B5730" s="2" t="str">
        <f>IFERROR(__xludf.DUMMYFUNCTION("GOOGLETRANSLATE(A5730, ""de"", ""en"")"),"samurai")</f>
        <v>samurai</v>
      </c>
    </row>
    <row r="5731">
      <c r="A5731" s="1" t="s">
        <v>5731</v>
      </c>
      <c r="B5731" s="2" t="str">
        <f>IFERROR(__xludf.DUMMYFUNCTION("GOOGLETRANSLATE(A5731, ""de"", ""en"")"),"hopes")</f>
        <v>hopes</v>
      </c>
    </row>
    <row r="5732">
      <c r="A5732" s="1" t="s">
        <v>5732</v>
      </c>
      <c r="B5732" s="2" t="str">
        <f>IFERROR(__xludf.DUMMYFUNCTION("GOOGLETRANSLATE(A5732, ""de"", ""en"")"),"notice")</f>
        <v>notice</v>
      </c>
    </row>
    <row r="5733">
      <c r="A5733" s="1" t="s">
        <v>5733</v>
      </c>
      <c r="B5733" s="2" t="str">
        <f>IFERROR(__xludf.DUMMYFUNCTION("GOOGLETRANSLATE(A5733, ""de"", ""en"")"),"finch")</f>
        <v>finch</v>
      </c>
    </row>
    <row r="5734">
      <c r="A5734" s="1" t="s">
        <v>5734</v>
      </c>
      <c r="B5734" s="2" t="str">
        <f>IFERROR(__xludf.DUMMYFUNCTION("GOOGLETRANSLATE(A5734, ""de"", ""en"")"),"clients")</f>
        <v>clients</v>
      </c>
    </row>
    <row r="5735">
      <c r="A5735" s="1" t="s">
        <v>5735</v>
      </c>
      <c r="B5735" s="2" t="str">
        <f>IFERROR(__xludf.DUMMYFUNCTION("GOOGLETRANSLATE(A5735, ""de"", ""en"")"),"quarters")</f>
        <v>quarters</v>
      </c>
    </row>
    <row r="5736">
      <c r="A5736" s="1" t="s">
        <v>5736</v>
      </c>
      <c r="B5736" s="2" t="str">
        <f>IFERROR(__xludf.DUMMYFUNCTION("GOOGLETRANSLATE(A5736, ""de"", ""en"")"),"philippe")</f>
        <v>philippe</v>
      </c>
    </row>
    <row r="5737">
      <c r="A5737" s="1" t="s">
        <v>5737</v>
      </c>
      <c r="B5737" s="2" t="str">
        <f>IFERROR(__xludf.DUMMYFUNCTION("GOOGLETRANSLATE(A5737, ""de"", ""en"")"),"envious")</f>
        <v>envious</v>
      </c>
    </row>
    <row r="5738">
      <c r="A5738" s="1" t="s">
        <v>5738</v>
      </c>
      <c r="B5738" s="2" t="str">
        <f>IFERROR(__xludf.DUMMYFUNCTION("GOOGLETRANSLATE(A5738, ""de"", ""en"")"),"Alicia")</f>
        <v>Alicia</v>
      </c>
    </row>
    <row r="5739">
      <c r="A5739" s="1" t="s">
        <v>5739</v>
      </c>
      <c r="B5739" s="2" t="str">
        <f>IFERROR(__xludf.DUMMYFUNCTION("GOOGLETRANSLATE(A5739, ""de"", ""en"")"),"chips")</f>
        <v>chips</v>
      </c>
    </row>
    <row r="5740">
      <c r="A5740" s="1" t="s">
        <v>5740</v>
      </c>
      <c r="B5740" s="2" t="str">
        <f>IFERROR(__xludf.DUMMYFUNCTION("GOOGLETRANSLATE(A5740, ""de"", ""en"")"),"approved")</f>
        <v>approved</v>
      </c>
    </row>
    <row r="5741">
      <c r="A5741" s="1" t="s">
        <v>5741</v>
      </c>
      <c r="B5741" s="2" t="str">
        <f>IFERROR(__xludf.DUMMYFUNCTION("GOOGLETRANSLATE(A5741, ""de"", ""en"")"),"female")</f>
        <v>female</v>
      </c>
    </row>
    <row r="5742">
      <c r="A5742" s="1" t="s">
        <v>5742</v>
      </c>
      <c r="B5742" s="2" t="str">
        <f>IFERROR(__xludf.DUMMYFUNCTION("GOOGLETRANSLATE(A5742, ""de"", ""en"")"),"smarter")</f>
        <v>smarter</v>
      </c>
    </row>
    <row r="5743">
      <c r="A5743" s="1" t="s">
        <v>5743</v>
      </c>
      <c r="B5743" s="2" t="str">
        <f>IFERROR(__xludf.DUMMYFUNCTION("GOOGLETRANSLATE(A5743, ""de"", ""en"")"),"accusations")</f>
        <v>accusations</v>
      </c>
    </row>
    <row r="5744">
      <c r="A5744" s="1" t="s">
        <v>5744</v>
      </c>
      <c r="B5744" s="2" t="str">
        <f>IFERROR(__xludf.DUMMYFUNCTION("GOOGLETRANSLATE(A5744, ""de"", ""en"")"),"endure")</f>
        <v>endure</v>
      </c>
    </row>
    <row r="5745">
      <c r="A5745" s="1" t="s">
        <v>5745</v>
      </c>
      <c r="B5745" s="2" t="str">
        <f>IFERROR(__xludf.DUMMYFUNCTION("GOOGLETRANSLATE(A5745, ""de"", ""en"")"),"fall asleep")</f>
        <v>fall asleep</v>
      </c>
    </row>
    <row r="5746">
      <c r="A5746" s="1" t="s">
        <v>5746</v>
      </c>
      <c r="B5746" s="2" t="str">
        <f>IFERROR(__xludf.DUMMYFUNCTION("GOOGLETRANSLATE(A5746, ""de"", ""en"")"),"transport")</f>
        <v>transport</v>
      </c>
    </row>
    <row r="5747">
      <c r="A5747" s="1" t="s">
        <v>5747</v>
      </c>
      <c r="B5747" s="2" t="str">
        <f>IFERROR(__xludf.DUMMYFUNCTION("GOOGLETRANSLATE(A5747, ""de"", ""en"")"),"laptop")</f>
        <v>laptop</v>
      </c>
    </row>
    <row r="5748">
      <c r="A5748" s="1" t="s">
        <v>5748</v>
      </c>
      <c r="B5748" s="2" t="str">
        <f>IFERROR(__xludf.DUMMYFUNCTION("GOOGLETRANSLATE(A5748, ""de"", ""en"")"),"arrange")</f>
        <v>arrange</v>
      </c>
    </row>
    <row r="5749">
      <c r="A5749" s="1" t="s">
        <v>5749</v>
      </c>
      <c r="B5749" s="2" t="str">
        <f>IFERROR(__xludf.DUMMYFUNCTION("GOOGLETRANSLATE(A5749, ""de"", ""en"")"),"cities")</f>
        <v>cities</v>
      </c>
    </row>
    <row r="5750">
      <c r="A5750" s="1" t="s">
        <v>5750</v>
      </c>
      <c r="B5750" s="2" t="str">
        <f>IFERROR(__xludf.DUMMYFUNCTION("GOOGLETRANSLATE(A5750, ""de"", ""en"")"),"to introduce")</f>
        <v>to introduce</v>
      </c>
    </row>
    <row r="5751">
      <c r="A5751" s="1" t="s">
        <v>5751</v>
      </c>
      <c r="B5751" s="2" t="str">
        <f>IFERROR(__xludf.DUMMYFUNCTION("GOOGLETRANSLATE(A5751, ""de"", ""en"")"),"underm")</f>
        <v>underm</v>
      </c>
    </row>
    <row r="5752">
      <c r="A5752" s="1" t="s">
        <v>5752</v>
      </c>
      <c r="B5752" s="2" t="str">
        <f>IFERROR(__xludf.DUMMYFUNCTION("GOOGLETRANSLATE(A5752, ""de"", ""en"")"),"flash")</f>
        <v>flash</v>
      </c>
    </row>
    <row r="5753">
      <c r="A5753" s="1" t="s">
        <v>5753</v>
      </c>
      <c r="B5753" s="2" t="str">
        <f>IFERROR(__xludf.DUMMYFUNCTION("GOOGLETRANSLATE(A5753, ""de"", ""en"")"),"subway")</f>
        <v>subway</v>
      </c>
    </row>
    <row r="5754">
      <c r="A5754" s="1" t="s">
        <v>5754</v>
      </c>
      <c r="B5754" s="2" t="str">
        <f>IFERROR(__xludf.DUMMYFUNCTION("GOOGLETRANSLATE(A5754, ""de"", ""en"")"),"status")</f>
        <v>status</v>
      </c>
    </row>
    <row r="5755">
      <c r="A5755" s="1" t="s">
        <v>5755</v>
      </c>
      <c r="B5755" s="2" t="str">
        <f>IFERROR(__xludf.DUMMYFUNCTION("GOOGLETRANSLATE(A5755, ""de"", ""en"")"),"bond")</f>
        <v>bond</v>
      </c>
    </row>
    <row r="5756">
      <c r="A5756" s="1" t="s">
        <v>5756</v>
      </c>
      <c r="B5756" s="2" t="str">
        <f>IFERROR(__xludf.DUMMYFUNCTION("GOOGLETRANSLATE(A5756, ""de"", ""en"")"),"Stephanie")</f>
        <v>Stephanie</v>
      </c>
    </row>
    <row r="5757">
      <c r="A5757" s="1" t="s">
        <v>5757</v>
      </c>
      <c r="B5757" s="2" t="str">
        <f>IFERROR(__xludf.DUMMYFUNCTION("GOOGLETRANSLATE(A5757, ""de"", ""en"")"),"undoubtedly")</f>
        <v>undoubtedly</v>
      </c>
    </row>
    <row r="5758">
      <c r="A5758" s="1" t="s">
        <v>5758</v>
      </c>
      <c r="B5758" s="2" t="str">
        <f>IFERROR(__xludf.DUMMYFUNCTION("GOOGLETRANSLATE(A5758, ""de"", ""en"")"),"backward")</f>
        <v>backward</v>
      </c>
    </row>
    <row r="5759">
      <c r="A5759" s="1" t="s">
        <v>5759</v>
      </c>
      <c r="B5759" s="2" t="str">
        <f>IFERROR(__xludf.DUMMYFUNCTION("GOOGLETRANSLATE(A5759, ""de"", ""en"")"),"chffff00")</f>
        <v>chffff00</v>
      </c>
    </row>
    <row r="5760">
      <c r="A5760" s="1" t="s">
        <v>5760</v>
      </c>
      <c r="B5760" s="2" t="str">
        <f>IFERROR(__xludf.DUMMYFUNCTION("GOOGLETRANSLATE(A5760, ""de"", ""en"")"),"scandal")</f>
        <v>scandal</v>
      </c>
    </row>
    <row r="5761">
      <c r="A5761" s="1" t="s">
        <v>5761</v>
      </c>
      <c r="B5761" s="2" t="str">
        <f>IFERROR(__xludf.DUMMYFUNCTION("GOOGLETRANSLATE(A5761, ""de"", ""en"")"),"attached")</f>
        <v>attached</v>
      </c>
    </row>
    <row r="5762">
      <c r="A5762" s="1" t="s">
        <v>5762</v>
      </c>
      <c r="B5762" s="2" t="str">
        <f>IFERROR(__xludf.DUMMYFUNCTION("GOOGLETRANSLATE(A5762, ""de"", ""en"")"),"press")</f>
        <v>press</v>
      </c>
    </row>
    <row r="5763">
      <c r="A5763" s="1" t="s">
        <v>5763</v>
      </c>
      <c r="B5763" s="2" t="str">
        <f>IFERROR(__xludf.DUMMYFUNCTION("GOOGLETRANSLATE(A5763, ""de"", ""en"")"),"sorry")</f>
        <v>sorry</v>
      </c>
    </row>
    <row r="5764">
      <c r="A5764" s="1" t="s">
        <v>5764</v>
      </c>
      <c r="B5764" s="2" t="str">
        <f>IFERROR(__xludf.DUMMYFUNCTION("GOOGLETRANSLATE(A5764, ""de"", ""en"")"),"paperwork")</f>
        <v>paperwork</v>
      </c>
    </row>
    <row r="5765">
      <c r="A5765" s="1" t="s">
        <v>5765</v>
      </c>
      <c r="B5765" s="2" t="str">
        <f>IFERROR(__xludf.DUMMYFUNCTION("GOOGLETRANSLATE(A5765, ""de"", ""en"")"),"stepped")</f>
        <v>stepped</v>
      </c>
    </row>
    <row r="5766">
      <c r="A5766" s="1" t="s">
        <v>5766</v>
      </c>
      <c r="B5766" s="2" t="str">
        <f>IFERROR(__xludf.DUMMYFUNCTION("GOOGLETRANSLATE(A5766, ""de"", ""en"")"),"community")</f>
        <v>community</v>
      </c>
    </row>
    <row r="5767">
      <c r="A5767" s="1" t="s">
        <v>5767</v>
      </c>
      <c r="B5767" s="2" t="str">
        <f>IFERROR(__xludf.DUMMYFUNCTION("GOOGLETRANSLATE(A5767, ""de"", ""en"")"),"instinct")</f>
        <v>instinct</v>
      </c>
    </row>
    <row r="5768">
      <c r="A5768" s="1" t="s">
        <v>5768</v>
      </c>
      <c r="B5768" s="2" t="str">
        <f>IFERROR(__xludf.DUMMYFUNCTION("GOOGLETRANSLATE(A5768, ""de"", ""en"")"),"honeymoon")</f>
        <v>honeymoon</v>
      </c>
    </row>
    <row r="5769">
      <c r="A5769" s="1" t="s">
        <v>5769</v>
      </c>
      <c r="B5769" s="2" t="str">
        <f>IFERROR(__xludf.DUMMYFUNCTION("GOOGLETRANSLATE(A5769, ""de"", ""en"")"),"scar")</f>
        <v>scar</v>
      </c>
    </row>
    <row r="5770">
      <c r="A5770" s="1" t="s">
        <v>5770</v>
      </c>
      <c r="B5770" s="2" t="str">
        <f>IFERROR(__xludf.DUMMYFUNCTION("GOOGLETRANSLATE(A5770, ""de"", ""en"")"),"combination")</f>
        <v>combination</v>
      </c>
    </row>
    <row r="5771">
      <c r="A5771" s="1" t="s">
        <v>5771</v>
      </c>
      <c r="B5771" s="2" t="str">
        <f>IFERROR(__xludf.DUMMYFUNCTION("GOOGLETRANSLATE(A5771, ""de"", ""en"")"),"superiors")</f>
        <v>superiors</v>
      </c>
    </row>
    <row r="5772">
      <c r="A5772" s="1" t="s">
        <v>5772</v>
      </c>
      <c r="B5772" s="2" t="str">
        <f>IFERROR(__xludf.DUMMYFUNCTION("GOOGLETRANSLATE(A5772, ""de"", ""en"")"),"try")</f>
        <v>try</v>
      </c>
    </row>
    <row r="5773">
      <c r="A5773" s="1" t="s">
        <v>5773</v>
      </c>
      <c r="B5773" s="2" t="str">
        <f>IFERROR(__xludf.DUMMYFUNCTION("GOOGLETRANSLATE(A5773, ""de"", ""en"")"),"such")</f>
        <v>such</v>
      </c>
    </row>
    <row r="5774">
      <c r="A5774" s="1" t="s">
        <v>5774</v>
      </c>
      <c r="B5774" s="2" t="str">
        <f>IFERROR(__xludf.DUMMYFUNCTION("GOOGLETRANSLATE(A5774, ""de"", ""en"")"),"sexual")</f>
        <v>sexual</v>
      </c>
    </row>
    <row r="5775">
      <c r="A5775" s="1" t="s">
        <v>5775</v>
      </c>
      <c r="B5775" s="2" t="str">
        <f>IFERROR(__xludf.DUMMYFUNCTION("GOOGLETRANSLATE(A5775, ""de"", ""en"")"),"beloved")</f>
        <v>beloved</v>
      </c>
    </row>
    <row r="5776">
      <c r="A5776" s="1" t="s">
        <v>5776</v>
      </c>
      <c r="B5776" s="2" t="str">
        <f>IFERROR(__xludf.DUMMYFUNCTION("GOOGLETRANSLATE(A5776, ""de"", ""en"")"),"julien")</f>
        <v>julien</v>
      </c>
    </row>
    <row r="5777">
      <c r="A5777" s="1" t="s">
        <v>5777</v>
      </c>
      <c r="B5777" s="2" t="str">
        <f>IFERROR(__xludf.DUMMYFUNCTION("GOOGLETRANSLATE(A5777, ""de"", ""en"")"),"Lauren")</f>
        <v>Lauren</v>
      </c>
    </row>
    <row r="5778">
      <c r="A5778" s="1" t="s">
        <v>5778</v>
      </c>
      <c r="B5778" s="2" t="str">
        <f>IFERROR(__xludf.DUMMYFUNCTION("GOOGLETRANSLATE(A5778, ""de"", ""en"")"),"ignored")</f>
        <v>ignored</v>
      </c>
    </row>
    <row r="5779">
      <c r="A5779" s="1" t="s">
        <v>5779</v>
      </c>
      <c r="B5779" s="2" t="str">
        <f>IFERROR(__xludf.DUMMYFUNCTION("GOOGLETRANSLATE(A5779, ""de"", ""en"")"),"leslie")</f>
        <v>leslie</v>
      </c>
    </row>
    <row r="5780">
      <c r="A5780" s="1" t="s">
        <v>5780</v>
      </c>
      <c r="B5780" s="2" t="str">
        <f>IFERROR(__xludf.DUMMYFUNCTION("GOOGLETRANSLATE(A5780, ""de"", ""en"")"),"pulled")</f>
        <v>pulled</v>
      </c>
    </row>
    <row r="5781">
      <c r="A5781" s="1" t="s">
        <v>5781</v>
      </c>
      <c r="B5781" s="2" t="str">
        <f>IFERROR(__xludf.DUMMYFUNCTION("GOOGLETRANSLATE(A5781, ""de"", ""en"")"),"dentist")</f>
        <v>dentist</v>
      </c>
    </row>
    <row r="5782">
      <c r="A5782" s="1" t="s">
        <v>5782</v>
      </c>
      <c r="B5782" s="2" t="str">
        <f>IFERROR(__xludf.DUMMYFUNCTION("GOOGLETRANSLATE(A5782, ""de"", ""en"")"),"suffered")</f>
        <v>suffered</v>
      </c>
    </row>
    <row r="5783">
      <c r="A5783" s="1" t="s">
        <v>5783</v>
      </c>
      <c r="B5783" s="2" t="str">
        <f>IFERROR(__xludf.DUMMYFUNCTION("GOOGLETRANSLATE(A5783, ""de"", ""en"")"),"access")</f>
        <v>access</v>
      </c>
    </row>
    <row r="5784">
      <c r="A5784" s="1" t="s">
        <v>5784</v>
      </c>
      <c r="B5784" s="2" t="str">
        <f>IFERROR(__xludf.DUMMYFUNCTION("GOOGLETRANSLATE(A5784, ""de"", ""en"")"),"rape")</f>
        <v>rape</v>
      </c>
    </row>
    <row r="5785">
      <c r="A5785" s="1" t="s">
        <v>5785</v>
      </c>
      <c r="B5785" s="2" t="str">
        <f>IFERROR(__xludf.DUMMYFUNCTION("GOOGLETRANSLATE(A5785, ""de"", ""en"")"),"rotate")</f>
        <v>rotate</v>
      </c>
    </row>
    <row r="5786">
      <c r="A5786" s="1" t="s">
        <v>5786</v>
      </c>
      <c r="B5786" s="2" t="str">
        <f>IFERROR(__xludf.DUMMYFUNCTION("GOOGLETRANSLATE(A5786, ""de"", ""en"")"),"endure")</f>
        <v>endure</v>
      </c>
    </row>
    <row r="5787">
      <c r="A5787" s="1" t="s">
        <v>5787</v>
      </c>
      <c r="B5787" s="2" t="str">
        <f>IFERROR(__xludf.DUMMYFUNCTION("GOOGLETRANSLATE(A5787, ""de"", ""en"")"),"change")</f>
        <v>change</v>
      </c>
    </row>
    <row r="5788">
      <c r="A5788" s="1" t="s">
        <v>5788</v>
      </c>
      <c r="B5788" s="2" t="str">
        <f>IFERROR(__xludf.DUMMYFUNCTION("GOOGLETRANSLATE(A5788, ""de"", ""en"")"),"prank")</f>
        <v>prank</v>
      </c>
    </row>
    <row r="5789">
      <c r="A5789" s="1" t="s">
        <v>5789</v>
      </c>
      <c r="B5789" s="2" t="str">
        <f>IFERROR(__xludf.DUMMYFUNCTION("GOOGLETRANSLATE(A5789, ""de"", ""en"")"),"giggles")</f>
        <v>giggles</v>
      </c>
    </row>
    <row r="5790">
      <c r="A5790" s="1" t="s">
        <v>5790</v>
      </c>
      <c r="B5790" s="2" t="str">
        <f>IFERROR(__xludf.DUMMYFUNCTION("GOOGLETRANSLATE(A5790, ""de"", ""en"")"),"Starfleet")</f>
        <v>Starfleet</v>
      </c>
    </row>
    <row r="5791">
      <c r="A5791" s="1" t="s">
        <v>5791</v>
      </c>
      <c r="B5791" s="2" t="str">
        <f>IFERROR(__xludf.DUMMYFUNCTION("GOOGLETRANSLATE(A5791, ""de"", ""en"")"),"creatures")</f>
        <v>creatures</v>
      </c>
    </row>
    <row r="5792">
      <c r="A5792" s="1" t="s">
        <v>5792</v>
      </c>
      <c r="B5792" s="2" t="str">
        <f>IFERROR(__xludf.DUMMYFUNCTION("GOOGLETRANSLATE(A5792, ""de"", ""en"")"),"ripe")</f>
        <v>ripe</v>
      </c>
    </row>
    <row r="5793">
      <c r="A5793" s="1" t="s">
        <v>5793</v>
      </c>
      <c r="B5793" s="2" t="str">
        <f>IFERROR(__xludf.DUMMYFUNCTION("GOOGLETRANSLATE(A5793, ""de"", ""en"")"),"the day after tomorrow")</f>
        <v>the day after tomorrow</v>
      </c>
    </row>
    <row r="5794">
      <c r="A5794" s="1" t="s">
        <v>5794</v>
      </c>
      <c r="B5794" s="2" t="str">
        <f>IFERROR(__xludf.DUMMYFUNCTION("GOOGLETRANSLATE(A5794, ""de"", ""en"")"),"thicker")</f>
        <v>thicker</v>
      </c>
    </row>
    <row r="5795">
      <c r="A5795" s="1" t="s">
        <v>5795</v>
      </c>
      <c r="B5795" s="2" t="str">
        <f>IFERROR(__xludf.DUMMYFUNCTION("GOOGLETRANSLATE(A5795, ""de"", ""en"")"),"got")</f>
        <v>got</v>
      </c>
    </row>
    <row r="5796">
      <c r="A5796" s="1" t="s">
        <v>5796</v>
      </c>
      <c r="B5796" s="2" t="str">
        <f>IFERROR(__xludf.DUMMYFUNCTION("GOOGLETRANSLATE(A5796, ""de"", ""en"")"),"nest")</f>
        <v>nest</v>
      </c>
    </row>
    <row r="5797">
      <c r="A5797" s="1" t="s">
        <v>5797</v>
      </c>
      <c r="B5797" s="2" t="str">
        <f>IFERROR(__xludf.DUMMYFUNCTION("GOOGLETRANSLATE(A5797, ""de"", ""en"")"),"but")</f>
        <v>but</v>
      </c>
    </row>
    <row r="5798">
      <c r="A5798" s="1" t="s">
        <v>5798</v>
      </c>
      <c r="B5798" s="2" t="str">
        <f>IFERROR(__xludf.DUMMYFUNCTION("GOOGLETRANSLATE(A5798, ""de"", ""en"")"),"arranged")</f>
        <v>arranged</v>
      </c>
    </row>
    <row r="5799">
      <c r="A5799" s="1" t="s">
        <v>5799</v>
      </c>
      <c r="B5799" s="2" t="str">
        <f>IFERROR(__xludf.DUMMYFUNCTION("GOOGLETRANSLATE(A5799, ""de"", ""en"")"),"sue")</f>
        <v>sue</v>
      </c>
    </row>
    <row r="5800">
      <c r="A5800" s="1" t="s">
        <v>5800</v>
      </c>
      <c r="B5800" s="2" t="str">
        <f>IFERROR(__xludf.DUMMYFUNCTION("GOOGLETRANSLATE(A5800, ""de"", ""en"")"),"helmet")</f>
        <v>helmet</v>
      </c>
    </row>
    <row r="5801">
      <c r="A5801" s="1" t="s">
        <v>5801</v>
      </c>
      <c r="B5801" s="2" t="str">
        <f>IFERROR(__xludf.DUMMYFUNCTION("GOOGLETRANSLATE(A5801, ""de"", ""en"")"),"bingo")</f>
        <v>bingo</v>
      </c>
    </row>
    <row r="5802">
      <c r="A5802" s="1" t="s">
        <v>5802</v>
      </c>
      <c r="B5802" s="2" t="str">
        <f>IFERROR(__xludf.DUMMYFUNCTION("GOOGLETRANSLATE(A5802, ""de"", ""en"")"),"compare")</f>
        <v>compare</v>
      </c>
    </row>
    <row r="5803">
      <c r="A5803" s="1" t="s">
        <v>5803</v>
      </c>
      <c r="B5803" s="2" t="str">
        <f>IFERROR(__xludf.DUMMYFUNCTION("GOOGLETRANSLATE(A5803, ""de"", ""en"")"),"Switzerland")</f>
        <v>Switzerland</v>
      </c>
    </row>
    <row r="5804">
      <c r="A5804" s="1" t="s">
        <v>5804</v>
      </c>
      <c r="B5804" s="2" t="str">
        <f>IFERROR(__xludf.DUMMYFUNCTION("GOOGLETRANSLATE(A5804, ""de"", ""en"")"),"notice")</f>
        <v>notice</v>
      </c>
    </row>
    <row r="5805">
      <c r="A5805" s="1" t="s">
        <v>5805</v>
      </c>
      <c r="B5805" s="2" t="str">
        <f>IFERROR(__xludf.DUMMYFUNCTION("GOOGLETRANSLATE(A5805, ""de"", ""en"")"),"autumn")</f>
        <v>autumn</v>
      </c>
    </row>
    <row r="5806">
      <c r="A5806" s="1" t="s">
        <v>5806</v>
      </c>
      <c r="B5806" s="2" t="str">
        <f>IFERROR(__xludf.DUMMYFUNCTION("GOOGLETRANSLATE(A5806, ""de"", ""en"")"),"meredith")</f>
        <v>meredith</v>
      </c>
    </row>
    <row r="5807">
      <c r="A5807" s="1" t="s">
        <v>5807</v>
      </c>
      <c r="B5807" s="2" t="str">
        <f>IFERROR(__xludf.DUMMYFUNCTION("GOOGLETRANSLATE(A5807, ""de"", ""en"")"),"retrieve")</f>
        <v>retrieve</v>
      </c>
    </row>
    <row r="5808">
      <c r="A5808" s="1" t="s">
        <v>5808</v>
      </c>
      <c r="B5808" s="2" t="str">
        <f>IFERROR(__xludf.DUMMYFUNCTION("GOOGLETRANSLATE(A5808, ""de"", ""en"")"),"Nazis")</f>
        <v>Nazis</v>
      </c>
    </row>
    <row r="5809">
      <c r="A5809" s="1" t="s">
        <v>5809</v>
      </c>
      <c r="B5809" s="2" t="str">
        <f>IFERROR(__xludf.DUMMYFUNCTION("GOOGLETRANSLATE(A5809, ""de"", ""en"")"),"tribe")</f>
        <v>tribe</v>
      </c>
    </row>
    <row r="5810">
      <c r="A5810" s="1" t="s">
        <v>5810</v>
      </c>
      <c r="B5810" s="2" t="str">
        <f>IFERROR(__xludf.DUMMYFUNCTION("GOOGLETRANSLATE(A5810, ""de"", ""en"")"),"selection")</f>
        <v>selection</v>
      </c>
    </row>
    <row r="5811">
      <c r="A5811" s="1" t="s">
        <v>5811</v>
      </c>
      <c r="B5811" s="2" t="str">
        <f>IFERROR(__xludf.DUMMYFUNCTION("GOOGLETRANSLATE(A5811, ""de"", ""en"")"),"braves")</f>
        <v>braves</v>
      </c>
    </row>
    <row r="5812">
      <c r="A5812" s="1" t="s">
        <v>5812</v>
      </c>
      <c r="B5812" s="2" t="str">
        <f>IFERROR(__xludf.DUMMYFUNCTION("GOOGLETRANSLATE(A5812, ""de"", ""en"")"),"play it safe")</f>
        <v>play it safe</v>
      </c>
    </row>
    <row r="5813">
      <c r="A5813" s="1" t="s">
        <v>5813</v>
      </c>
      <c r="B5813" s="2" t="str">
        <f>IFERROR(__xludf.DUMMYFUNCTION("GOOGLETRANSLATE(A5813, ""de"", ""en"")"),"compete")</f>
        <v>compete</v>
      </c>
    </row>
    <row r="5814">
      <c r="A5814" s="1" t="s">
        <v>5814</v>
      </c>
      <c r="B5814" s="2" t="str">
        <f>IFERROR(__xludf.DUMMYFUNCTION("GOOGLETRANSLATE(A5814, ""de"", ""en"")"),"lester")</f>
        <v>lester</v>
      </c>
    </row>
    <row r="5815">
      <c r="A5815" s="1" t="s">
        <v>5815</v>
      </c>
      <c r="B5815" s="2" t="str">
        <f>IFERROR(__xludf.DUMMYFUNCTION("GOOGLETRANSLATE(A5815, ""de"", ""en"")"),"board")</f>
        <v>board</v>
      </c>
    </row>
    <row r="5816">
      <c r="A5816" s="1" t="s">
        <v>5816</v>
      </c>
      <c r="B5816" s="2" t="str">
        <f>IFERROR(__xludf.DUMMYFUNCTION("GOOGLETRANSLATE(A5816, ""de"", ""en"")"),"sdi")</f>
        <v>sdi</v>
      </c>
    </row>
    <row r="5817">
      <c r="A5817" s="1" t="s">
        <v>5817</v>
      </c>
      <c r="B5817" s="2" t="str">
        <f>IFERROR(__xludf.DUMMYFUNCTION("GOOGLETRANSLATE(A5817, ""de"", ""en"")"),"robbie")</f>
        <v>robbie</v>
      </c>
    </row>
    <row r="5818">
      <c r="A5818" s="1" t="s">
        <v>5818</v>
      </c>
      <c r="B5818" s="2" t="str">
        <f>IFERROR(__xludf.DUMMYFUNCTION("GOOGLETRANSLATE(A5818, ""de"", ""en"")"),"organize")</f>
        <v>organize</v>
      </c>
    </row>
    <row r="5819">
      <c r="A5819" s="1" t="s">
        <v>5819</v>
      </c>
      <c r="B5819" s="2" t="str">
        <f>IFERROR(__xludf.DUMMYFUNCTION("GOOGLETRANSLATE(A5819, ""de"", ""en"")"),"tank")</f>
        <v>tank</v>
      </c>
    </row>
    <row r="5820">
      <c r="A5820" s="1" t="s">
        <v>5820</v>
      </c>
      <c r="B5820" s="2" t="str">
        <f>IFERROR(__xludf.DUMMYFUNCTION("GOOGLETRANSLATE(A5820, ""de"", ""en"")"),"let")</f>
        <v>let</v>
      </c>
    </row>
    <row r="5821">
      <c r="A5821" s="1" t="s">
        <v>5821</v>
      </c>
      <c r="B5821" s="2" t="str">
        <f>IFERROR(__xludf.DUMMYFUNCTION("GOOGLETRANSLATE(A5821, ""de"", ""en"")"),"meeting")</f>
        <v>meeting</v>
      </c>
    </row>
    <row r="5822">
      <c r="A5822" s="1" t="s">
        <v>5822</v>
      </c>
      <c r="B5822" s="2" t="str">
        <f>IFERROR(__xludf.DUMMYFUNCTION("GOOGLETRANSLATE(A5822, ""de"", ""en"")"),"studies")</f>
        <v>studies</v>
      </c>
    </row>
    <row r="5823">
      <c r="A5823" s="1" t="s">
        <v>5823</v>
      </c>
      <c r="B5823" s="2" t="str">
        <f>IFERROR(__xludf.DUMMYFUNCTION("GOOGLETRANSLATE(A5823, ""de"", ""en"")"),"gossip")</f>
        <v>gossip</v>
      </c>
    </row>
    <row r="5824">
      <c r="A5824" s="1" t="s">
        <v>5824</v>
      </c>
      <c r="B5824" s="2" t="str">
        <f>IFERROR(__xludf.DUMMYFUNCTION("GOOGLETRANSLATE(A5824, ""de"", ""en"")"),"credit card")</f>
        <v>credit card</v>
      </c>
    </row>
    <row r="5825">
      <c r="A5825" s="1" t="s">
        <v>5825</v>
      </c>
      <c r="B5825" s="2" t="str">
        <f>IFERROR(__xludf.DUMMYFUNCTION("GOOGLETRANSLATE(A5825, ""de"", ""en"")"),"faggot")</f>
        <v>faggot</v>
      </c>
    </row>
    <row r="5826">
      <c r="A5826" s="1" t="s">
        <v>5826</v>
      </c>
      <c r="B5826" s="2" t="str">
        <f>IFERROR(__xludf.DUMMYFUNCTION("GOOGLETRANSLATE(A5826, ""de"", ""en"")"),"profile")</f>
        <v>profile</v>
      </c>
    </row>
    <row r="5827">
      <c r="A5827" s="1" t="s">
        <v>5827</v>
      </c>
      <c r="B5827" s="2" t="str">
        <f>IFERROR(__xludf.DUMMYFUNCTION("GOOGLETRANSLATE(A5827, ""de"", ""en"")"),"thunder")</f>
        <v>thunder</v>
      </c>
    </row>
    <row r="5828">
      <c r="A5828" s="1" t="s">
        <v>5828</v>
      </c>
      <c r="B5828" s="2" t="str">
        <f>IFERROR(__xludf.DUMMYFUNCTION("GOOGLETRANSLATE(A5828, ""de"", ""en"")"),"Drake")</f>
        <v>Drake</v>
      </c>
    </row>
    <row r="5829">
      <c r="A5829" s="1" t="s">
        <v>5829</v>
      </c>
      <c r="B5829" s="2" t="str">
        <f>IFERROR(__xludf.DUMMYFUNCTION("GOOGLETRANSLATE(A5829, ""de"", ""en"")"),"scare")</f>
        <v>scare</v>
      </c>
    </row>
    <row r="5830">
      <c r="A5830" s="1" t="s">
        <v>5830</v>
      </c>
      <c r="B5830" s="2" t="str">
        <f>IFERROR(__xludf.DUMMYFUNCTION("GOOGLETRANSLATE(A5830, ""de"", ""en"")"),"stall")</f>
        <v>stall</v>
      </c>
    </row>
    <row r="5831">
      <c r="A5831" s="1" t="s">
        <v>5831</v>
      </c>
      <c r="B5831" s="2" t="str">
        <f>IFERROR(__xludf.DUMMYFUNCTION("GOOGLETRANSLATE(A5831, ""de"", ""en"")"),"sat")</f>
        <v>sat</v>
      </c>
    </row>
    <row r="5832">
      <c r="A5832" s="1" t="s">
        <v>5832</v>
      </c>
      <c r="B5832" s="2" t="str">
        <f>IFERROR(__xludf.DUMMYFUNCTION("GOOGLETRANSLATE(A5832, ""de"", ""en"")"),"quit")</f>
        <v>quit</v>
      </c>
    </row>
    <row r="5833">
      <c r="A5833" s="1" t="s">
        <v>5833</v>
      </c>
      <c r="B5833" s="2" t="str">
        <f>IFERROR(__xludf.DUMMYFUNCTION("GOOGLETRANSLATE(A5833, ""de"", ""en"")"),"hotels")</f>
        <v>hotels</v>
      </c>
    </row>
    <row r="5834">
      <c r="A5834" s="1" t="s">
        <v>5834</v>
      </c>
      <c r="B5834" s="2" t="str">
        <f>IFERROR(__xludf.DUMMYFUNCTION("GOOGLETRANSLATE(A5834, ""de"", ""en"")"),"respect")</f>
        <v>respect</v>
      </c>
    </row>
    <row r="5835">
      <c r="A5835" s="1" t="s">
        <v>5835</v>
      </c>
      <c r="B5835" s="2" t="str">
        <f>IFERROR(__xludf.DUMMYFUNCTION("GOOGLETRANSLATE(A5835, ""de"", ""en"")"),"candidates")</f>
        <v>candidates</v>
      </c>
    </row>
    <row r="5836">
      <c r="A5836" s="1" t="s">
        <v>5836</v>
      </c>
      <c r="B5836" s="2" t="str">
        <f>IFERROR(__xludf.DUMMYFUNCTION("GOOGLETRANSLATE(A5836, ""de"", ""en"")"),"schools")</f>
        <v>schools</v>
      </c>
    </row>
    <row r="5837">
      <c r="A5837" s="1" t="s">
        <v>5837</v>
      </c>
      <c r="B5837" s="2" t="str">
        <f>IFERROR(__xludf.DUMMYFUNCTION("GOOGLETRANSLATE(A5837, ""de"", ""en"")"),"crane")</f>
        <v>crane</v>
      </c>
    </row>
    <row r="5838">
      <c r="A5838" s="1" t="s">
        <v>5838</v>
      </c>
      <c r="B5838" s="2" t="str">
        <f>IFERROR(__xludf.DUMMYFUNCTION("GOOGLETRANSLATE(A5838, ""de"", ""en"")"),"businessman")</f>
        <v>businessman</v>
      </c>
    </row>
    <row r="5839">
      <c r="A5839" s="1" t="s">
        <v>5839</v>
      </c>
      <c r="B5839" s="2" t="str">
        <f>IFERROR(__xludf.DUMMYFUNCTION("GOOGLETRANSLATE(A5839, ""de"", ""en"")"),"Arnold")</f>
        <v>Arnold</v>
      </c>
    </row>
    <row r="5840">
      <c r="A5840" s="1" t="s">
        <v>5840</v>
      </c>
      <c r="B5840" s="2" t="str">
        <f>IFERROR(__xludf.DUMMYFUNCTION("GOOGLETRANSLATE(A5840, ""de"", ""en"")"),"rings")</f>
        <v>rings</v>
      </c>
    </row>
    <row r="5841">
      <c r="A5841" s="1" t="s">
        <v>5841</v>
      </c>
      <c r="B5841" s="2" t="str">
        <f>IFERROR(__xludf.DUMMYFUNCTION("GOOGLETRANSLATE(A5841, ""de"", ""en"")"),"laughs")</f>
        <v>laughs</v>
      </c>
    </row>
    <row r="5842">
      <c r="A5842" s="1" t="s">
        <v>5842</v>
      </c>
      <c r="B5842" s="2" t="str">
        <f>IFERROR(__xludf.DUMMYFUNCTION("GOOGLETRANSLATE(A5842, ""de"", ""en"")"),"champion")</f>
        <v>champion</v>
      </c>
    </row>
    <row r="5843">
      <c r="A5843" s="1" t="s">
        <v>5843</v>
      </c>
      <c r="B5843" s="2" t="str">
        <f>IFERROR(__xludf.DUMMYFUNCTION("GOOGLETRANSLATE(A5843, ""de"", ""en"")"),"incomprehensible")</f>
        <v>incomprehensible</v>
      </c>
    </row>
    <row r="5844">
      <c r="A5844" s="1" t="s">
        <v>5844</v>
      </c>
      <c r="B5844" s="2" t="str">
        <f>IFERROR(__xludf.DUMMYFUNCTION("GOOGLETRANSLATE(A5844, ""de"", ""en"")"),"murder")</f>
        <v>murder</v>
      </c>
    </row>
    <row r="5845">
      <c r="A5845" s="1" t="s">
        <v>5845</v>
      </c>
      <c r="B5845" s="2" t="str">
        <f>IFERROR(__xludf.DUMMYFUNCTION("GOOGLETRANSLATE(A5845, ""de"", ""en"")"),"considered")</f>
        <v>considered</v>
      </c>
    </row>
    <row r="5846">
      <c r="A5846" s="1" t="s">
        <v>5846</v>
      </c>
      <c r="B5846" s="2" t="str">
        <f>IFERROR(__xludf.DUMMYFUNCTION("GOOGLETRANSLATE(A5846, ""de"", ""en"")"),"harms")</f>
        <v>harms</v>
      </c>
    </row>
    <row r="5847">
      <c r="A5847" s="1" t="s">
        <v>5847</v>
      </c>
      <c r="B5847" s="2" t="str">
        <f>IFERROR(__xludf.DUMMYFUNCTION("GOOGLETRANSLATE(A5847, ""de"", ""en"")"),"firmer")</f>
        <v>firmer</v>
      </c>
    </row>
    <row r="5848">
      <c r="A5848" s="1" t="s">
        <v>5848</v>
      </c>
      <c r="B5848" s="2" t="str">
        <f>IFERROR(__xludf.DUMMYFUNCTION("GOOGLETRANSLATE(A5848, ""de"", ""en"")"),"aah")</f>
        <v>aah</v>
      </c>
    </row>
    <row r="5849">
      <c r="A5849" s="1" t="s">
        <v>5849</v>
      </c>
      <c r="B5849" s="2" t="str">
        <f>IFERROR(__xludf.DUMMYFUNCTION("GOOGLETRANSLATE(A5849, ""de"", ""en"")"),"stir")</f>
        <v>stir</v>
      </c>
    </row>
    <row r="5850">
      <c r="A5850" s="1" t="s">
        <v>5850</v>
      </c>
      <c r="B5850" s="2" t="str">
        <f>IFERROR(__xludf.DUMMYFUNCTION("GOOGLETRANSLATE(A5850, ""de"", ""en"")"),"regulated")</f>
        <v>regulated</v>
      </c>
    </row>
    <row r="5851">
      <c r="A5851" s="1" t="s">
        <v>5851</v>
      </c>
      <c r="B5851" s="2" t="str">
        <f>IFERROR(__xludf.DUMMYFUNCTION("GOOGLETRANSLATE(A5851, ""de"", ""en"")"),"interrupted")</f>
        <v>interrupted</v>
      </c>
    </row>
    <row r="5852">
      <c r="A5852" s="1" t="s">
        <v>5852</v>
      </c>
      <c r="B5852" s="2" t="str">
        <f>IFERROR(__xludf.DUMMYFUNCTION("GOOGLETRANSLATE(A5852, ""de"", ""en"")"),"face")</f>
        <v>face</v>
      </c>
    </row>
    <row r="5853">
      <c r="A5853" s="1" t="s">
        <v>5853</v>
      </c>
      <c r="B5853" s="2" t="str">
        <f>IFERROR(__xludf.DUMMYFUNCTION("GOOGLETRANSLATE(A5853, ""de"", ""en"")"),"criminals")</f>
        <v>criminals</v>
      </c>
    </row>
    <row r="5854">
      <c r="A5854" s="1" t="s">
        <v>5854</v>
      </c>
      <c r="B5854" s="2" t="str">
        <f>IFERROR(__xludf.DUMMYFUNCTION("GOOGLETRANSLATE(A5854, ""de"", ""en"")"),"when")</f>
        <v>when</v>
      </c>
    </row>
    <row r="5855">
      <c r="A5855" s="1" t="s">
        <v>5855</v>
      </c>
      <c r="B5855" s="2" t="str">
        <f>IFERROR(__xludf.DUMMYFUNCTION("GOOGLETRANSLATE(A5855, ""de"", ""en"")"),"Helena")</f>
        <v>Helena</v>
      </c>
    </row>
    <row r="5856">
      <c r="A5856" s="1" t="s">
        <v>5856</v>
      </c>
      <c r="B5856" s="2" t="str">
        <f>IFERROR(__xludf.DUMMYFUNCTION("GOOGLETRANSLATE(A5856, ""de"", ""en"")"),"details")</f>
        <v>details</v>
      </c>
    </row>
    <row r="5857">
      <c r="A5857" s="1" t="s">
        <v>5857</v>
      </c>
      <c r="B5857" s="2" t="str">
        <f>IFERROR(__xludf.DUMMYFUNCTION("GOOGLETRANSLATE(A5857, ""de"", ""en"")"),"lie to")</f>
        <v>lie to</v>
      </c>
    </row>
    <row r="5858">
      <c r="A5858" s="1" t="s">
        <v>5858</v>
      </c>
      <c r="B5858" s="2" t="str">
        <f>IFERROR(__xludf.DUMMYFUNCTION("GOOGLETRANSLATE(A5858, ""de"", ""en"")"),"protect")</f>
        <v>protect</v>
      </c>
    </row>
    <row r="5859">
      <c r="A5859" s="1" t="s">
        <v>5859</v>
      </c>
      <c r="B5859" s="2" t="str">
        <f>IFERROR(__xludf.DUMMYFUNCTION("GOOGLETRANSLATE(A5859, ""de"", ""en"")"),"take place")</f>
        <v>take place</v>
      </c>
    </row>
    <row r="5860">
      <c r="A5860" s="1" t="s">
        <v>5860</v>
      </c>
      <c r="B5860" s="2" t="str">
        <f>IFERROR(__xludf.DUMMYFUNCTION("GOOGLETRANSLATE(A5860, ""de"", ""en"")"),"dads")</f>
        <v>dads</v>
      </c>
    </row>
    <row r="5861">
      <c r="A5861" s="1" t="s">
        <v>5861</v>
      </c>
      <c r="B5861" s="2" t="str">
        <f>IFERROR(__xludf.DUMMYFUNCTION("GOOGLETRANSLATE(A5861, ""de"", ""en"")"),"progress")</f>
        <v>progress</v>
      </c>
    </row>
    <row r="5862">
      <c r="A5862" s="1" t="s">
        <v>5862</v>
      </c>
      <c r="B5862" s="2" t="str">
        <f>IFERROR(__xludf.DUMMYFUNCTION("GOOGLETRANSLATE(A5862, ""de"", ""en"")"),"succeeds")</f>
        <v>succeeds</v>
      </c>
    </row>
    <row r="5863">
      <c r="A5863" s="1" t="s">
        <v>5863</v>
      </c>
      <c r="B5863" s="2" t="str">
        <f>IFERROR(__xludf.DUMMYFUNCTION("GOOGLETRANSLATE(A5863, ""de"", ""en"")"),"quitting time")</f>
        <v>quitting time</v>
      </c>
    </row>
    <row r="5864">
      <c r="A5864" s="1" t="s">
        <v>5864</v>
      </c>
      <c r="B5864" s="2" t="str">
        <f>IFERROR(__xludf.DUMMYFUNCTION("GOOGLETRANSLATE(A5864, ""de"", ""en"")"),"fixed")</f>
        <v>fixed</v>
      </c>
    </row>
    <row r="5865">
      <c r="A5865" s="1" t="s">
        <v>5865</v>
      </c>
      <c r="B5865" s="2" t="str">
        <f>IFERROR(__xludf.DUMMYFUNCTION("GOOGLETRANSLATE(A5865, ""de"", ""en"")"),"citizens")</f>
        <v>citizens</v>
      </c>
    </row>
    <row r="5866">
      <c r="A5866" s="1" t="s">
        <v>5866</v>
      </c>
      <c r="B5866" s="2" t="str">
        <f>IFERROR(__xludf.DUMMYFUNCTION("GOOGLETRANSLATE(A5866, ""de"", ""en"")"),"exciting")</f>
        <v>exciting</v>
      </c>
    </row>
    <row r="5867">
      <c r="A5867" s="1" t="s">
        <v>5867</v>
      </c>
      <c r="B5867" s="2" t="str">
        <f>IFERROR(__xludf.DUMMYFUNCTION("GOOGLETRANSLATE(A5867, ""de"", ""en"")"),"deputy")</f>
        <v>deputy</v>
      </c>
    </row>
    <row r="5868">
      <c r="A5868" s="1" t="s">
        <v>5868</v>
      </c>
      <c r="B5868" s="2" t="str">
        <f>IFERROR(__xludf.DUMMYFUNCTION("GOOGLETRANSLATE(A5868, ""de"", ""en"")"),"take")</f>
        <v>take</v>
      </c>
    </row>
    <row r="5869">
      <c r="A5869" s="1" t="s">
        <v>5869</v>
      </c>
      <c r="B5869" s="2" t="str">
        <f>IFERROR(__xludf.DUMMYFUNCTION("GOOGLETRANSLATE(A5869, ""de"", ""en"")"),"switch")</f>
        <v>switch</v>
      </c>
    </row>
    <row r="5870">
      <c r="A5870" s="1" t="s">
        <v>5870</v>
      </c>
      <c r="B5870" s="2" t="str">
        <f>IFERROR(__xludf.DUMMYFUNCTION("GOOGLETRANSLATE(A5870, ""de"", ""en"")"),"password")</f>
        <v>password</v>
      </c>
    </row>
    <row r="5871">
      <c r="A5871" s="1" t="s">
        <v>5871</v>
      </c>
      <c r="B5871" s="2" t="str">
        <f>IFERROR(__xludf.DUMMYFUNCTION("GOOGLETRANSLATE(A5871, ""de"", ""en"")"),"sausages")</f>
        <v>sausages</v>
      </c>
    </row>
    <row r="5872">
      <c r="A5872" s="1" t="s">
        <v>5872</v>
      </c>
      <c r="B5872" s="2" t="str">
        <f>IFERROR(__xludf.DUMMYFUNCTION("GOOGLETRANSLATE(A5872, ""de"", ""en"")"),"in the meantime")</f>
        <v>in the meantime</v>
      </c>
    </row>
    <row r="5873">
      <c r="A5873" s="1" t="s">
        <v>5873</v>
      </c>
      <c r="B5873" s="2" t="str">
        <f>IFERROR(__xludf.DUMMYFUNCTION("GOOGLETRANSLATE(A5873, ""de"", ""en"")"),"to give up")</f>
        <v>to give up</v>
      </c>
    </row>
    <row r="5874">
      <c r="A5874" s="1" t="s">
        <v>5874</v>
      </c>
      <c r="B5874" s="2" t="str">
        <f>IFERROR(__xludf.DUMMYFUNCTION("GOOGLETRANSLATE(A5874, ""de"", ""en"")"),"lead")</f>
        <v>lead</v>
      </c>
    </row>
    <row r="5875">
      <c r="A5875" s="1" t="s">
        <v>5875</v>
      </c>
      <c r="B5875" s="2" t="str">
        <f>IFERROR(__xludf.DUMMYFUNCTION("GOOGLETRANSLATE(A5875, ""de"", ""en"")"),"Harper")</f>
        <v>Harper</v>
      </c>
    </row>
    <row r="5876">
      <c r="A5876" s="1" t="s">
        <v>5876</v>
      </c>
      <c r="B5876" s="2" t="str">
        <f>IFERROR(__xludf.DUMMYFUNCTION("GOOGLETRANSLATE(A5876, ""de"", ""en"")"),"civilians")</f>
        <v>civilians</v>
      </c>
    </row>
    <row r="5877">
      <c r="A5877" s="1" t="s">
        <v>5877</v>
      </c>
      <c r="B5877" s="2" t="str">
        <f>IFERROR(__xludf.DUMMYFUNCTION("GOOGLETRANSLATE(A5877, ""de"", ""en"")"),"eternal")</f>
        <v>eternal</v>
      </c>
    </row>
    <row r="5878">
      <c r="A5878" s="1" t="s">
        <v>5878</v>
      </c>
      <c r="B5878" s="2" t="str">
        <f>IFERROR(__xludf.DUMMYFUNCTION("GOOGLETRANSLATE(A5878, ""de"", ""en"")"),"emotions")</f>
        <v>emotions</v>
      </c>
    </row>
    <row r="5879">
      <c r="A5879" s="1" t="s">
        <v>5879</v>
      </c>
      <c r="B5879" s="2" t="str">
        <f>IFERROR(__xludf.DUMMYFUNCTION("GOOGLETRANSLATE(A5879, ""de"", ""en"")"),"judge")</f>
        <v>judge</v>
      </c>
    </row>
    <row r="5880">
      <c r="A5880" s="1" t="s">
        <v>5880</v>
      </c>
      <c r="B5880" s="2" t="str">
        <f>IFERROR(__xludf.DUMMYFUNCTION("GOOGLETRANSLATE(A5880, ""de"", ""en"")"),"buyer")</f>
        <v>buyer</v>
      </c>
    </row>
    <row r="5881">
      <c r="A5881" s="1" t="s">
        <v>5881</v>
      </c>
      <c r="B5881" s="2" t="str">
        <f>IFERROR(__xludf.DUMMYFUNCTION("GOOGLETRANSLATE(A5881, ""de"", ""en"")"),"stars")</f>
        <v>stars</v>
      </c>
    </row>
    <row r="5882">
      <c r="A5882" s="1" t="s">
        <v>5882</v>
      </c>
      <c r="B5882" s="2" t="str">
        <f>IFERROR(__xludf.DUMMYFUNCTION("GOOGLETRANSLATE(A5882, ""de"", ""en"")"),"adults")</f>
        <v>adults</v>
      </c>
    </row>
    <row r="5883">
      <c r="A5883" s="1" t="s">
        <v>5883</v>
      </c>
      <c r="B5883" s="2" t="str">
        <f>IFERROR(__xludf.DUMMYFUNCTION("GOOGLETRANSLATE(A5883, ""de"", ""en"")"),"division")</f>
        <v>division</v>
      </c>
    </row>
    <row r="5884">
      <c r="A5884" s="1" t="s">
        <v>5884</v>
      </c>
      <c r="B5884" s="2" t="str">
        <f>IFERROR(__xludf.DUMMYFUNCTION("GOOGLETRANSLATE(A5884, ""de"", ""en"")"),"to record")</f>
        <v>to record</v>
      </c>
    </row>
    <row r="5885">
      <c r="A5885" s="1" t="s">
        <v>5885</v>
      </c>
      <c r="B5885" s="2" t="str">
        <f>IFERROR(__xludf.DUMMYFUNCTION("GOOGLETRANSLATE(A5885, ""de"", ""en"")"),"booth")</f>
        <v>booth</v>
      </c>
    </row>
    <row r="5886">
      <c r="A5886" s="1" t="s">
        <v>5886</v>
      </c>
      <c r="B5886" s="2" t="str">
        <f>IFERROR(__xludf.DUMMYFUNCTION("GOOGLETRANSLATE(A5886, ""de"", ""en"")"),"shipyard")</f>
        <v>shipyard</v>
      </c>
    </row>
    <row r="5887">
      <c r="A5887" s="1" t="s">
        <v>5887</v>
      </c>
      <c r="B5887" s="2" t="str">
        <f>IFERROR(__xludf.DUMMYFUNCTION("GOOGLETRANSLATE(A5887, ""de"", ""en"")"),"older")</f>
        <v>older</v>
      </c>
    </row>
    <row r="5888">
      <c r="A5888" s="1" t="s">
        <v>5888</v>
      </c>
      <c r="B5888" s="2" t="str">
        <f>IFERROR(__xludf.DUMMYFUNCTION("GOOGLETRANSLATE(A5888, ""de"", ""en"")"),"banks")</f>
        <v>banks</v>
      </c>
    </row>
    <row r="5889">
      <c r="A5889" s="1" t="s">
        <v>5889</v>
      </c>
      <c r="B5889" s="2" t="str">
        <f>IFERROR(__xludf.DUMMYFUNCTION("GOOGLETRANSLATE(A5889, ""de"", ""en"")"),"kitten")</f>
        <v>kitten</v>
      </c>
    </row>
    <row r="5890">
      <c r="A5890" s="1" t="s">
        <v>5890</v>
      </c>
      <c r="B5890" s="2" t="str">
        <f>IFERROR(__xludf.DUMMYFUNCTION("GOOGLETRANSLATE(A5890, ""de"", ""en"")"),"option")</f>
        <v>option</v>
      </c>
    </row>
    <row r="5891">
      <c r="A5891" s="1" t="s">
        <v>5891</v>
      </c>
      <c r="B5891" s="2" t="str">
        <f>IFERROR(__xludf.DUMMYFUNCTION("GOOGLETRANSLATE(A5891, ""de"", ""en"")"),"get married")</f>
        <v>get married</v>
      </c>
    </row>
    <row r="5892">
      <c r="A5892" s="1" t="s">
        <v>5892</v>
      </c>
      <c r="B5892" s="2" t="str">
        <f>IFERROR(__xludf.DUMMYFUNCTION("GOOGLETRANSLATE(A5892, ""de"", ""en"")"),"saved")</f>
        <v>saved</v>
      </c>
    </row>
    <row r="5893">
      <c r="A5893" s="1" t="s">
        <v>5893</v>
      </c>
      <c r="B5893" s="2" t="str">
        <f>IFERROR(__xludf.DUMMYFUNCTION("GOOGLETRANSLATE(A5893, ""de"", ""en"")"),"set up")</f>
        <v>set up</v>
      </c>
    </row>
    <row r="5894">
      <c r="A5894" s="1" t="s">
        <v>5894</v>
      </c>
      <c r="B5894" s="2" t="str">
        <f>IFERROR(__xludf.DUMMYFUNCTION("GOOGLETRANSLATE(A5894, ""de"", ""en"")"),"cough")</f>
        <v>cough</v>
      </c>
    </row>
    <row r="5895">
      <c r="A5895" s="1" t="s">
        <v>5895</v>
      </c>
      <c r="B5895" s="2" t="str">
        <f>IFERROR(__xludf.DUMMYFUNCTION("GOOGLETRANSLATE(A5895, ""de"", ""en"")"),"drawer")</f>
        <v>drawer</v>
      </c>
    </row>
    <row r="5896">
      <c r="A5896" s="1" t="s">
        <v>5896</v>
      </c>
      <c r="B5896" s="2" t="str">
        <f>IFERROR(__xludf.DUMMYFUNCTION("GOOGLETRANSLATE(A5896, ""de"", ""en"")"),"fell")</f>
        <v>fell</v>
      </c>
    </row>
    <row r="5897">
      <c r="A5897" s="1" t="s">
        <v>5897</v>
      </c>
      <c r="B5897" s="2" t="str">
        <f>IFERROR(__xludf.DUMMYFUNCTION("GOOGLETRANSLATE(A5897, ""de"", ""en"")"),"Seattle")</f>
        <v>Seattle</v>
      </c>
    </row>
    <row r="5898">
      <c r="A5898" s="1" t="s">
        <v>5898</v>
      </c>
      <c r="B5898" s="2" t="str">
        <f>IFERROR(__xludf.DUMMYFUNCTION("GOOGLETRANSLATE(A5898, ""de"", ""en"")"),"arrives")</f>
        <v>arrives</v>
      </c>
    </row>
    <row r="5899">
      <c r="A5899" s="1" t="s">
        <v>5899</v>
      </c>
      <c r="B5899" s="2" t="str">
        <f>IFERROR(__xludf.DUMMYFUNCTION("GOOGLETRANSLATE(A5899, ""de"", ""en"")"),"questioned")</f>
        <v>questioned</v>
      </c>
    </row>
    <row r="5900">
      <c r="A5900" s="1" t="s">
        <v>5900</v>
      </c>
      <c r="B5900" s="2" t="str">
        <f>IFERROR(__xludf.DUMMYFUNCTION("GOOGLETRANSLATE(A5900, ""de"", ""en"")"),"letters")</f>
        <v>letters</v>
      </c>
    </row>
    <row r="5901">
      <c r="A5901" s="1" t="s">
        <v>5901</v>
      </c>
      <c r="B5901" s="2" t="str">
        <f>IFERROR(__xludf.DUMMYFUNCTION("GOOGLETRANSLATE(A5901, ""de"", ""en"")"),"played")</f>
        <v>played</v>
      </c>
    </row>
    <row r="5902">
      <c r="A5902" s="1" t="s">
        <v>5902</v>
      </c>
      <c r="B5902" s="2" t="str">
        <f>IFERROR(__xludf.DUMMYFUNCTION("GOOGLETRANSLATE(A5902, ""de"", ""en"")"),"increased")</f>
        <v>increased</v>
      </c>
    </row>
    <row r="5903">
      <c r="A5903" s="1" t="s">
        <v>5903</v>
      </c>
      <c r="B5903" s="2" t="str">
        <f>IFERROR(__xludf.DUMMYFUNCTION("GOOGLETRANSLATE(A5903, ""de"", ""en"")"),"gone")</f>
        <v>gone</v>
      </c>
    </row>
    <row r="5904">
      <c r="A5904" s="1" t="s">
        <v>5904</v>
      </c>
      <c r="B5904" s="2" t="str">
        <f>IFERROR(__xludf.DUMMYFUNCTION("GOOGLETRANSLATE(A5904, ""de"", ""en"")"),"washed")</f>
        <v>washed</v>
      </c>
    </row>
    <row r="5905">
      <c r="A5905" s="1" t="s">
        <v>5905</v>
      </c>
      <c r="B5905" s="2" t="str">
        <f>IFERROR(__xludf.DUMMYFUNCTION("GOOGLETRANSLATE(A5905, ""de"", ""en"")"),"to accept")</f>
        <v>to accept</v>
      </c>
    </row>
    <row r="5906">
      <c r="A5906" s="1" t="s">
        <v>5906</v>
      </c>
      <c r="B5906" s="2" t="str">
        <f>IFERROR(__xludf.DUMMYFUNCTION("GOOGLETRANSLATE(A5906, ""de"", ""en"")"),"rob")</f>
        <v>rob</v>
      </c>
    </row>
    <row r="5907">
      <c r="A5907" s="1" t="s">
        <v>5907</v>
      </c>
      <c r="B5907" s="2" t="str">
        <f>IFERROR(__xludf.DUMMYFUNCTION("GOOGLETRANSLATE(A5907, ""de"", ""en"")"),"number")</f>
        <v>number</v>
      </c>
    </row>
    <row r="5908">
      <c r="A5908" s="1" t="s">
        <v>5908</v>
      </c>
      <c r="B5908" s="2" t="str">
        <f>IFERROR(__xludf.DUMMYFUNCTION("GOOGLETRANSLATE(A5908, ""de"", ""en"")"),"zombies")</f>
        <v>zombies</v>
      </c>
    </row>
    <row r="5909">
      <c r="A5909" s="1" t="s">
        <v>5909</v>
      </c>
      <c r="B5909" s="2" t="str">
        <f>IFERROR(__xludf.DUMMYFUNCTION("GOOGLETRANSLATE(A5909, ""de"", ""en"")"),"have")</f>
        <v>have</v>
      </c>
    </row>
    <row r="5910">
      <c r="A5910" s="1" t="s">
        <v>5910</v>
      </c>
      <c r="B5910" s="2" t="str">
        <f>IFERROR(__xludf.DUMMYFUNCTION("GOOGLETRANSLATE(A5910, ""de"", ""en"")"),"trailer")</f>
        <v>trailer</v>
      </c>
    </row>
    <row r="5911">
      <c r="A5911" s="1" t="s">
        <v>5911</v>
      </c>
      <c r="B5911" s="2" t="str">
        <f>IFERROR(__xludf.DUMMYFUNCTION("GOOGLETRANSLATE(A5911, ""de"", ""en"")"),"certain")</f>
        <v>certain</v>
      </c>
    </row>
    <row r="5912">
      <c r="A5912" s="1" t="s">
        <v>5912</v>
      </c>
      <c r="B5912" s="2" t="str">
        <f>IFERROR(__xludf.DUMMYFUNCTION("GOOGLETRANSLATE(A5912, ""de"", ""en"")"),"happen")</f>
        <v>happen</v>
      </c>
    </row>
    <row r="5913">
      <c r="A5913" s="1" t="s">
        <v>5913</v>
      </c>
      <c r="B5913" s="2" t="str">
        <f>IFERROR(__xludf.DUMMYFUNCTION("GOOGLETRANSLATE(A5913, ""de"", ""en"")"),"arrest")</f>
        <v>arrest</v>
      </c>
    </row>
    <row r="5914">
      <c r="A5914" s="1" t="s">
        <v>5914</v>
      </c>
      <c r="B5914" s="2" t="str">
        <f>IFERROR(__xludf.DUMMYFUNCTION("GOOGLETRANSLATE(A5914, ""de"", ""en"")"),"willow")</f>
        <v>willow</v>
      </c>
    </row>
    <row r="5915">
      <c r="A5915" s="1" t="s">
        <v>5915</v>
      </c>
      <c r="B5915" s="2" t="str">
        <f>IFERROR(__xludf.DUMMYFUNCTION("GOOGLETRANSLATE(A5915, ""de"", ""en"")"),"medical")</f>
        <v>medical</v>
      </c>
    </row>
    <row r="5916">
      <c r="A5916" s="1" t="s">
        <v>5916</v>
      </c>
      <c r="B5916" s="2" t="str">
        <f>IFERROR(__xludf.DUMMYFUNCTION("GOOGLETRANSLATE(A5916, ""de"", ""en"")"),"core")</f>
        <v>core</v>
      </c>
    </row>
    <row r="5917">
      <c r="A5917" s="1" t="s">
        <v>5917</v>
      </c>
      <c r="B5917" s="2" t="str">
        <f>IFERROR(__xludf.DUMMYFUNCTION("GOOGLETRANSLATE(A5917, ""de"", ""en"")"),"open")</f>
        <v>open</v>
      </c>
    </row>
    <row r="5918">
      <c r="A5918" s="1" t="s">
        <v>5918</v>
      </c>
      <c r="B5918" s="2" t="str">
        <f>IFERROR(__xludf.DUMMYFUNCTION("GOOGLETRANSLATE(A5918, ""de"", ""en"")"),"celebrated")</f>
        <v>celebrated</v>
      </c>
    </row>
    <row r="5919">
      <c r="A5919" s="1" t="s">
        <v>5919</v>
      </c>
      <c r="B5919" s="2" t="str">
        <f>IFERROR(__xludf.DUMMYFUNCTION("GOOGLETRANSLATE(A5919, ""de"", ""en"")"),"connect")</f>
        <v>connect</v>
      </c>
    </row>
    <row r="5920">
      <c r="A5920" s="1" t="s">
        <v>5920</v>
      </c>
      <c r="B5920" s="2" t="str">
        <f>IFERROR(__xludf.DUMMYFUNCTION("GOOGLETRANSLATE(A5920, ""de"", ""en"")"),"rico")</f>
        <v>rico</v>
      </c>
    </row>
    <row r="5921">
      <c r="A5921" s="1" t="s">
        <v>5921</v>
      </c>
      <c r="B5921" s="2" t="str">
        <f>IFERROR(__xludf.DUMMYFUNCTION("GOOGLETRANSLATE(A5921, ""de"", ""en"")"),"clarke")</f>
        <v>clarke</v>
      </c>
    </row>
    <row r="5922">
      <c r="A5922" s="1" t="s">
        <v>5922</v>
      </c>
      <c r="B5922" s="2" t="str">
        <f>IFERROR(__xludf.DUMMYFUNCTION("GOOGLETRANSLATE(A5922, ""de"", ""en"")"),"invention")</f>
        <v>invention</v>
      </c>
    </row>
    <row r="5923">
      <c r="A5923" s="1" t="s">
        <v>5923</v>
      </c>
      <c r="B5923" s="2" t="str">
        <f>IFERROR(__xludf.DUMMYFUNCTION("GOOGLETRANSLATE(A5923, ""de"", ""en"")"),"better")</f>
        <v>better</v>
      </c>
    </row>
    <row r="5924">
      <c r="A5924" s="1" t="s">
        <v>5924</v>
      </c>
      <c r="B5924" s="2" t="str">
        <f>IFERROR(__xludf.DUMMYFUNCTION("GOOGLETRANSLATE(A5924, ""de"", ""en"")"),"autopsy")</f>
        <v>autopsy</v>
      </c>
    </row>
    <row r="5925">
      <c r="A5925" s="1" t="s">
        <v>5925</v>
      </c>
      <c r="B5925" s="2" t="str">
        <f>IFERROR(__xludf.DUMMYFUNCTION("GOOGLETRANSLATE(A5925, ""de"", ""en"")"),"backpack")</f>
        <v>backpack</v>
      </c>
    </row>
    <row r="5926">
      <c r="A5926" s="1" t="s">
        <v>5926</v>
      </c>
      <c r="B5926" s="2" t="str">
        <f>IFERROR(__xludf.DUMMYFUNCTION("GOOGLETRANSLATE(A5926, ""de"", ""en"")"),"forces")</f>
        <v>forces</v>
      </c>
    </row>
    <row r="5927">
      <c r="A5927" s="1" t="s">
        <v>5927</v>
      </c>
      <c r="B5927" s="2" t="str">
        <f>IFERROR(__xludf.DUMMYFUNCTION("GOOGLETRANSLATE(A5927, ""de"", ""en"")"),"gracious")</f>
        <v>gracious</v>
      </c>
    </row>
    <row r="5928">
      <c r="A5928" s="1" t="s">
        <v>5928</v>
      </c>
      <c r="B5928" s="2" t="str">
        <f>IFERROR(__xludf.DUMMYFUNCTION("GOOGLETRANSLATE(A5928, ""de"", ""en"")"),"loneliness")</f>
        <v>loneliness</v>
      </c>
    </row>
    <row r="5929">
      <c r="A5929" s="1" t="s">
        <v>5929</v>
      </c>
      <c r="B5929" s="2" t="str">
        <f>IFERROR(__xludf.DUMMYFUNCTION("GOOGLETRANSLATE(A5929, ""de"", ""en"")"),"jumped")</f>
        <v>jumped</v>
      </c>
    </row>
    <row r="5930">
      <c r="A5930" s="1" t="s">
        <v>5930</v>
      </c>
      <c r="B5930" s="2" t="str">
        <f>IFERROR(__xludf.DUMMYFUNCTION("GOOGLETRANSLATE(A5930, ""de"", ""en"")"),"t-shirt")</f>
        <v>t-shirt</v>
      </c>
    </row>
    <row r="5931">
      <c r="A5931" s="1" t="s">
        <v>5931</v>
      </c>
      <c r="B5931" s="2" t="str">
        <f>IFERROR(__xludf.DUMMYFUNCTION("GOOGLETRANSLATE(A5931, ""de"", ""en"")"),"sacrificed")</f>
        <v>sacrificed</v>
      </c>
    </row>
    <row r="5932">
      <c r="A5932" s="1" t="s">
        <v>5932</v>
      </c>
      <c r="B5932" s="2" t="str">
        <f>IFERROR(__xludf.DUMMYFUNCTION("GOOGLETRANSLATE(A5932, ""de"", ""en"")"),"Lena")</f>
        <v>Lena</v>
      </c>
    </row>
    <row r="5933">
      <c r="A5933" s="1" t="s">
        <v>5933</v>
      </c>
      <c r="B5933" s="2" t="str">
        <f>IFERROR(__xludf.DUMMYFUNCTION("GOOGLETRANSLATE(A5933, ""de"", ""en"")"),"aside")</f>
        <v>aside</v>
      </c>
    </row>
    <row r="5934">
      <c r="A5934" s="1" t="s">
        <v>5934</v>
      </c>
      <c r="B5934" s="2" t="str">
        <f>IFERROR(__xludf.DUMMYFUNCTION("GOOGLETRANSLATE(A5934, ""de"", ""en"")"),"vice versa")</f>
        <v>vice versa</v>
      </c>
    </row>
    <row r="5935">
      <c r="A5935" s="1" t="s">
        <v>5935</v>
      </c>
      <c r="B5935" s="2" t="str">
        <f>IFERROR(__xludf.DUMMYFUNCTION("GOOGLETRANSLATE(A5935, ""de"", ""en"")"),"jury")</f>
        <v>jury</v>
      </c>
    </row>
    <row r="5936">
      <c r="A5936" s="1" t="s">
        <v>5936</v>
      </c>
      <c r="B5936" s="2" t="str">
        <f>IFERROR(__xludf.DUMMYFUNCTION("GOOGLETRANSLATE(A5936, ""de"", ""en"")"),"outside")</f>
        <v>outside</v>
      </c>
    </row>
    <row r="5937">
      <c r="A5937" s="1" t="s">
        <v>5937</v>
      </c>
      <c r="B5937" s="2" t="str">
        <f>IFERROR(__xludf.DUMMYFUNCTION("GOOGLETRANSLATE(A5937, ""de"", ""en"")"),"pronounced")</f>
        <v>pronounced</v>
      </c>
    </row>
    <row r="5938">
      <c r="A5938" s="1" t="s">
        <v>5938</v>
      </c>
      <c r="B5938" s="2" t="str">
        <f>IFERROR(__xludf.DUMMYFUNCTION("GOOGLETRANSLATE(A5938, ""de"", ""en"")"),"eliminate")</f>
        <v>eliminate</v>
      </c>
    </row>
    <row r="5939">
      <c r="A5939" s="1" t="s">
        <v>5939</v>
      </c>
      <c r="B5939" s="2" t="str">
        <f>IFERROR(__xludf.DUMMYFUNCTION("GOOGLETRANSLATE(A5939, ""de"", ""en"")"),"castle")</f>
        <v>castle</v>
      </c>
    </row>
    <row r="5940">
      <c r="A5940" s="1" t="s">
        <v>5940</v>
      </c>
      <c r="B5940" s="2" t="str">
        <f>IFERROR(__xludf.DUMMYFUNCTION("GOOGLETRANSLATE(A5940, ""de"", ""en"")"),"carry out")</f>
        <v>carry out</v>
      </c>
    </row>
    <row r="5941">
      <c r="A5941" s="1" t="s">
        <v>5941</v>
      </c>
      <c r="B5941" s="2" t="str">
        <f>IFERROR(__xludf.DUMMYFUNCTION("GOOGLETRANSLATE(A5941, ""de"", ""en"")"),"blocked")</f>
        <v>blocked</v>
      </c>
    </row>
    <row r="5942">
      <c r="A5942" s="1" t="s">
        <v>5942</v>
      </c>
      <c r="B5942" s="2" t="str">
        <f>IFERROR(__xludf.DUMMYFUNCTION("GOOGLETRANSLATE(A5942, ""de"", ""en"")"),"carla")</f>
        <v>carla</v>
      </c>
    </row>
    <row r="5943">
      <c r="A5943" s="1" t="s">
        <v>5943</v>
      </c>
      <c r="B5943" s="2" t="str">
        <f>IFERROR(__xludf.DUMMYFUNCTION("GOOGLETRANSLATE(A5943, ""de"", ""en"")"),"crazy")</f>
        <v>crazy</v>
      </c>
    </row>
    <row r="5944">
      <c r="A5944" s="1" t="s">
        <v>5944</v>
      </c>
      <c r="B5944" s="2" t="str">
        <f>IFERROR(__xludf.DUMMYFUNCTION("GOOGLETRANSLATE(A5944, ""de"", ""en"")"),"turned")</f>
        <v>turned</v>
      </c>
    </row>
    <row r="5945">
      <c r="A5945" s="1" t="s">
        <v>5945</v>
      </c>
      <c r="B5945" s="2" t="str">
        <f>IFERROR(__xludf.DUMMYFUNCTION("GOOGLETRANSLATE(A5945, ""de"", ""en"")"),"spare")</f>
        <v>spare</v>
      </c>
    </row>
    <row r="5946">
      <c r="A5946" s="1" t="s">
        <v>5946</v>
      </c>
      <c r="B5946" s="2" t="str">
        <f>IFERROR(__xludf.DUMMYFUNCTION("GOOGLETRANSLATE(A5946, ""de"", ""en"")"),"force")</f>
        <v>force</v>
      </c>
    </row>
    <row r="5947">
      <c r="A5947" s="1" t="s">
        <v>5947</v>
      </c>
      <c r="B5947" s="2" t="str">
        <f>IFERROR(__xludf.DUMMYFUNCTION("GOOGLETRANSLATE(A5947, ""de"", ""en"")"),"cheeky")</f>
        <v>cheeky</v>
      </c>
    </row>
    <row r="5948">
      <c r="A5948" s="1" t="s">
        <v>5948</v>
      </c>
      <c r="B5948" s="2" t="str">
        <f>IFERROR(__xludf.DUMMYFUNCTION("GOOGLETRANSLATE(A5948, ""de"", ""en"")"),"move in")</f>
        <v>move in</v>
      </c>
    </row>
    <row r="5949">
      <c r="A5949" s="1" t="s">
        <v>5949</v>
      </c>
      <c r="B5949" s="2" t="str">
        <f>IFERROR(__xludf.DUMMYFUNCTION("GOOGLETRANSLATE(A5949, ""de"", ""en"")"),"Kira")</f>
        <v>Kira</v>
      </c>
    </row>
    <row r="5950">
      <c r="A5950" s="1" t="s">
        <v>5950</v>
      </c>
      <c r="B5950" s="2" t="str">
        <f>IFERROR(__xludf.DUMMYFUNCTION("GOOGLETRANSLATE(A5950, ""de"", ""en"")"),"hot")</f>
        <v>hot</v>
      </c>
    </row>
    <row r="5951">
      <c r="A5951" s="1" t="s">
        <v>5951</v>
      </c>
      <c r="B5951" s="2" t="str">
        <f>IFERROR(__xludf.DUMMYFUNCTION("GOOGLETRANSLATE(A5951, ""de"", ""en"")"),"permit")</f>
        <v>permit</v>
      </c>
    </row>
    <row r="5952">
      <c r="A5952" s="1" t="s">
        <v>5952</v>
      </c>
      <c r="B5952" s="2" t="str">
        <f>IFERROR(__xludf.DUMMYFUNCTION("GOOGLETRANSLATE(A5952, ""de"", ""en"")"),"gas station")</f>
        <v>gas station</v>
      </c>
    </row>
    <row r="5953">
      <c r="A5953" s="1" t="s">
        <v>5953</v>
      </c>
      <c r="B5953" s="2" t="str">
        <f>IFERROR(__xludf.DUMMYFUNCTION("GOOGLETRANSLATE(A5953, ""de"", ""en"")"),"hidden")</f>
        <v>hidden</v>
      </c>
    </row>
    <row r="5954">
      <c r="A5954" s="1" t="s">
        <v>5954</v>
      </c>
      <c r="B5954" s="2" t="str">
        <f>IFERROR(__xludf.DUMMYFUNCTION("GOOGLETRANSLATE(A5954, ""de"", ""en"")"),"more interesting")</f>
        <v>more interesting</v>
      </c>
    </row>
    <row r="5955">
      <c r="A5955" s="1" t="s">
        <v>5955</v>
      </c>
      <c r="B5955" s="2" t="str">
        <f>IFERROR(__xludf.DUMMYFUNCTION("GOOGLETRANSLATE(A5955, ""de"", ""en"")"),"tailor")</f>
        <v>tailor</v>
      </c>
    </row>
    <row r="5956">
      <c r="A5956" s="1" t="s">
        <v>5956</v>
      </c>
      <c r="B5956" s="2" t="str">
        <f>IFERROR(__xludf.DUMMYFUNCTION("GOOGLETRANSLATE(A5956, ""de"", ""en"")"),"yellow")</f>
        <v>yellow</v>
      </c>
    </row>
    <row r="5957">
      <c r="A5957" s="1" t="s">
        <v>5957</v>
      </c>
      <c r="B5957" s="2" t="str">
        <f>IFERROR(__xludf.DUMMYFUNCTION("GOOGLETRANSLATE(A5957, ""de"", ""en"")"),"et")</f>
        <v>et</v>
      </c>
    </row>
    <row r="5958">
      <c r="A5958" s="1" t="s">
        <v>5958</v>
      </c>
      <c r="B5958" s="2" t="str">
        <f>IFERROR(__xludf.DUMMYFUNCTION("GOOGLETRANSLATE(A5958, ""de"", ""en"")"),"endanger")</f>
        <v>endanger</v>
      </c>
    </row>
    <row r="5959">
      <c r="A5959" s="1" t="s">
        <v>5959</v>
      </c>
      <c r="B5959" s="2" t="str">
        <f>IFERROR(__xludf.DUMMYFUNCTION("GOOGLETRANSLATE(A5959, ""de"", ""en"")"),"handbag")</f>
        <v>handbag</v>
      </c>
    </row>
    <row r="5960">
      <c r="A5960" s="1" t="s">
        <v>5960</v>
      </c>
      <c r="B5960" s="2" t="str">
        <f>IFERROR(__xludf.DUMMYFUNCTION("GOOGLETRANSLATE(A5960, ""de"", ""en"")"),"judge")</f>
        <v>judge</v>
      </c>
    </row>
    <row r="5961">
      <c r="A5961" s="1" t="s">
        <v>5961</v>
      </c>
      <c r="B5961" s="2" t="str">
        <f>IFERROR(__xludf.DUMMYFUNCTION("GOOGLETRANSLATE(A5961, ""de"", ""en"")"),"increased")</f>
        <v>increased</v>
      </c>
    </row>
    <row r="5962">
      <c r="A5962" s="1" t="s">
        <v>5962</v>
      </c>
      <c r="B5962" s="2" t="str">
        <f>IFERROR(__xludf.DUMMYFUNCTION("GOOGLETRANSLATE(A5962, ""de"", ""en"")"),"prices")</f>
        <v>prices</v>
      </c>
    </row>
    <row r="5963">
      <c r="A5963" s="1" t="s">
        <v>5963</v>
      </c>
      <c r="B5963" s="2" t="str">
        <f>IFERROR(__xludf.DUMMYFUNCTION("GOOGLETRANSLATE(A5963, ""de"", ""en"")"),"boom")</f>
        <v>boom</v>
      </c>
    </row>
    <row r="5964">
      <c r="A5964" s="1" t="s">
        <v>5964</v>
      </c>
      <c r="B5964" s="2" t="str">
        <f>IFERROR(__xludf.DUMMYFUNCTION("GOOGLETRANSLATE(A5964, ""de"", ""en"")"),"unknown")</f>
        <v>unknown</v>
      </c>
    </row>
    <row r="5965">
      <c r="A5965" s="1" t="s">
        <v>5965</v>
      </c>
      <c r="B5965" s="2" t="str">
        <f>IFERROR(__xludf.DUMMYFUNCTION("GOOGLETRANSLATE(A5965, ""de"", ""en"")"),"apply")</f>
        <v>apply</v>
      </c>
    </row>
    <row r="5966">
      <c r="A5966" s="1" t="s">
        <v>5966</v>
      </c>
      <c r="B5966" s="2" t="str">
        <f>IFERROR(__xludf.DUMMYFUNCTION("GOOGLETRANSLATE(A5966, ""de"", ""en"")"),"life")</f>
        <v>life</v>
      </c>
    </row>
    <row r="5967">
      <c r="A5967" s="1" t="s">
        <v>5967</v>
      </c>
      <c r="B5967" s="2" t="str">
        <f>IFERROR(__xludf.DUMMYFUNCTION("GOOGLETRANSLATE(A5967, ""de"", ""en"")"),"butler")</f>
        <v>butler</v>
      </c>
    </row>
    <row r="5968">
      <c r="A5968" s="1" t="s">
        <v>5968</v>
      </c>
      <c r="B5968" s="2" t="str">
        <f>IFERROR(__xludf.DUMMYFUNCTION("GOOGLETRANSLATE(A5968, ""de"", ""en"")"),"possible")</f>
        <v>possible</v>
      </c>
    </row>
    <row r="5969">
      <c r="A5969" s="1" t="s">
        <v>5969</v>
      </c>
      <c r="B5969" s="2" t="str">
        <f>IFERROR(__xludf.DUMMYFUNCTION("GOOGLETRANSLATE(A5969, ""de"", ""en"")"),"coin")</f>
        <v>coin</v>
      </c>
    </row>
    <row r="5970">
      <c r="A5970" s="1" t="s">
        <v>5970</v>
      </c>
      <c r="B5970" s="2" t="str">
        <f>IFERROR(__xludf.DUMMYFUNCTION("GOOGLETRANSLATE(A5970, ""de"", ""en"")"),"sing")</f>
        <v>sing</v>
      </c>
    </row>
    <row r="5971">
      <c r="A5971" s="1" t="s">
        <v>5971</v>
      </c>
      <c r="B5971" s="2" t="str">
        <f>IFERROR(__xludf.DUMMYFUNCTION("GOOGLETRANSLATE(A5971, ""de"", ""en"")"),"season")</f>
        <v>season</v>
      </c>
    </row>
    <row r="5972">
      <c r="A5972" s="1" t="s">
        <v>5972</v>
      </c>
      <c r="B5972" s="2" t="str">
        <f>IFERROR(__xludf.DUMMYFUNCTION("GOOGLETRANSLATE(A5972, ""de"", ""en"")"),"Andrea")</f>
        <v>Andrea</v>
      </c>
    </row>
    <row r="5973">
      <c r="A5973" s="1" t="s">
        <v>5973</v>
      </c>
      <c r="B5973" s="2" t="str">
        <f>IFERROR(__xludf.DUMMYFUNCTION("GOOGLETRANSLATE(A5973, ""de"", ""en"")"),"partner")</f>
        <v>partner</v>
      </c>
    </row>
    <row r="5974">
      <c r="A5974" s="1" t="s">
        <v>5974</v>
      </c>
      <c r="B5974" s="2" t="str">
        <f>IFERROR(__xludf.DUMMYFUNCTION("GOOGLETRANSLATE(A5974, ""de"", ""en"")"),"attitude")</f>
        <v>attitude</v>
      </c>
    </row>
    <row r="5975">
      <c r="A5975" s="1" t="s">
        <v>5975</v>
      </c>
      <c r="B5975" s="2" t="str">
        <f>IFERROR(__xludf.DUMMYFUNCTION("GOOGLETRANSLATE(A5975, ""de"", ""en"")"),"complete idiot")</f>
        <v>complete idiot</v>
      </c>
    </row>
    <row r="5976">
      <c r="A5976" s="1" t="s">
        <v>5976</v>
      </c>
      <c r="B5976" s="2" t="str">
        <f>IFERROR(__xludf.DUMMYFUNCTION("GOOGLETRANSLATE(A5976, ""de"", ""en"")"),"summarizes")</f>
        <v>summarizes</v>
      </c>
    </row>
    <row r="5977">
      <c r="A5977" s="1" t="s">
        <v>5977</v>
      </c>
      <c r="B5977" s="2" t="str">
        <f>IFERROR(__xludf.DUMMYFUNCTION("GOOGLETRANSLATE(A5977, ""de"", ""en"")"),"Winston")</f>
        <v>Winston</v>
      </c>
    </row>
    <row r="5978">
      <c r="A5978" s="1" t="s">
        <v>5978</v>
      </c>
      <c r="B5978" s="2" t="str">
        <f>IFERROR(__xludf.DUMMYFUNCTION("GOOGLETRANSLATE(A5978, ""de"", ""en"")"),"minus")</f>
        <v>minus</v>
      </c>
    </row>
    <row r="5979">
      <c r="A5979" s="1" t="s">
        <v>5979</v>
      </c>
      <c r="B5979" s="2" t="str">
        <f>IFERROR(__xludf.DUMMYFUNCTION("GOOGLETRANSLATE(A5979, ""de"", ""en"")"),"obligations")</f>
        <v>obligations</v>
      </c>
    </row>
    <row r="5980">
      <c r="A5980" s="1" t="s">
        <v>5980</v>
      </c>
      <c r="B5980" s="2" t="str">
        <f>IFERROR(__xludf.DUMMYFUNCTION("GOOGLETRANSLATE(A5980, ""de"", ""en"")"),"save")</f>
        <v>save</v>
      </c>
    </row>
    <row r="5981">
      <c r="A5981" s="1" t="s">
        <v>5981</v>
      </c>
      <c r="B5981" s="2" t="str">
        <f>IFERROR(__xludf.DUMMYFUNCTION("GOOGLETRANSLATE(A5981, ""de"", ""en"")"),"the same")</f>
        <v>the same</v>
      </c>
    </row>
    <row r="5982">
      <c r="A5982" s="1" t="s">
        <v>5982</v>
      </c>
      <c r="B5982" s="2" t="str">
        <f>IFERROR(__xludf.DUMMYFUNCTION("GOOGLETRANSLATE(A5982, ""de"", ""en"")"),"retirement")</f>
        <v>retirement</v>
      </c>
    </row>
    <row r="5983">
      <c r="A5983" s="1" t="s">
        <v>5983</v>
      </c>
      <c r="B5983" s="2" t="str">
        <f>IFERROR(__xludf.DUMMYFUNCTION("GOOGLETRANSLATE(A5983, ""de"", ""en"")"),"hide")</f>
        <v>hide</v>
      </c>
    </row>
    <row r="5984">
      <c r="A5984" s="1" t="s">
        <v>5984</v>
      </c>
      <c r="B5984" s="2" t="str">
        <f>IFERROR(__xludf.DUMMYFUNCTION("GOOGLETRANSLATE(A5984, ""de"", ""en"")"),"Kai")</f>
        <v>Kai</v>
      </c>
    </row>
    <row r="5985">
      <c r="A5985" s="1" t="s">
        <v>5985</v>
      </c>
      <c r="B5985" s="2" t="str">
        <f>IFERROR(__xludf.DUMMYFUNCTION("GOOGLETRANSLATE(A5985, ""de"", ""en"")"),"guard")</f>
        <v>guard</v>
      </c>
    </row>
    <row r="5986">
      <c r="A5986" s="1" t="s">
        <v>5986</v>
      </c>
      <c r="B5986" s="2" t="str">
        <f>IFERROR(__xludf.DUMMYFUNCTION("GOOGLETRANSLATE(A5986, ""de"", ""en"")"),"oz")</f>
        <v>oz</v>
      </c>
    </row>
    <row r="5987">
      <c r="A5987" s="1" t="s">
        <v>5987</v>
      </c>
      <c r="B5987" s="2" t="str">
        <f>IFERROR(__xludf.DUMMYFUNCTION("GOOGLETRANSLATE(A5987, ""de"", ""en"")"),"vera")</f>
        <v>vera</v>
      </c>
    </row>
    <row r="5988">
      <c r="A5988" s="1" t="s">
        <v>5988</v>
      </c>
      <c r="B5988" s="2" t="str">
        <f>IFERROR(__xludf.DUMMYFUNCTION("GOOGLETRANSLATE(A5988, ""de"", ""en"")"),"hearing")</f>
        <v>hearing</v>
      </c>
    </row>
    <row r="5989">
      <c r="A5989" s="1" t="s">
        <v>5989</v>
      </c>
      <c r="B5989" s="2" t="str">
        <f>IFERROR(__xludf.DUMMYFUNCTION("GOOGLETRANSLATE(A5989, ""de"", ""en"")"),"songs")</f>
        <v>songs</v>
      </c>
    </row>
    <row r="5990">
      <c r="A5990" s="1" t="s">
        <v>5990</v>
      </c>
      <c r="B5990" s="2" t="str">
        <f>IFERROR(__xludf.DUMMYFUNCTION("GOOGLETRANSLATE(A5990, ""de"", ""en"")"),"Miguel")</f>
        <v>Miguel</v>
      </c>
    </row>
    <row r="5991">
      <c r="A5991" s="1" t="s">
        <v>5991</v>
      </c>
      <c r="B5991" s="2" t="str">
        <f>IFERROR(__xludf.DUMMYFUNCTION("GOOGLETRANSLATE(A5991, ""de"", ""en"")"),"dirty")</f>
        <v>dirty</v>
      </c>
    </row>
    <row r="5992">
      <c r="A5992" s="1" t="s">
        <v>5992</v>
      </c>
      <c r="B5992" s="2" t="str">
        <f>IFERROR(__xludf.DUMMYFUNCTION("GOOGLETRANSLATE(A5992, ""de"", ""en"")"),"spread")</f>
        <v>spread</v>
      </c>
    </row>
    <row r="5993">
      <c r="A5993" s="1" t="s">
        <v>5993</v>
      </c>
      <c r="B5993" s="2" t="str">
        <f>IFERROR(__xludf.DUMMYFUNCTION("GOOGLETRANSLATE(A5993, ""de"", ""en"")"),"white")</f>
        <v>white</v>
      </c>
    </row>
    <row r="5994">
      <c r="A5994" s="1" t="s">
        <v>5994</v>
      </c>
      <c r="B5994" s="2" t="str">
        <f>IFERROR(__xludf.DUMMYFUNCTION("GOOGLETRANSLATE(A5994, ""de"", ""en"")"),"sh")</f>
        <v>sh</v>
      </c>
    </row>
    <row r="5995">
      <c r="A5995" s="1" t="s">
        <v>5995</v>
      </c>
      <c r="B5995" s="2" t="str">
        <f>IFERROR(__xludf.DUMMYFUNCTION("GOOGLETRANSLATE(A5995, ""de"", ""en"")"),"carmen")</f>
        <v>carmen</v>
      </c>
    </row>
    <row r="5996">
      <c r="A5996" s="1" t="s">
        <v>5996</v>
      </c>
      <c r="B5996" s="2" t="str">
        <f>IFERROR(__xludf.DUMMYFUNCTION("GOOGLETRANSLATE(A5996, ""de"", ""en"")"),"first")</f>
        <v>first</v>
      </c>
    </row>
    <row r="5997">
      <c r="A5997" s="1" t="s">
        <v>5997</v>
      </c>
      <c r="B5997" s="2" t="str">
        <f>IFERROR(__xludf.DUMMYFUNCTION("GOOGLETRANSLATE(A5997, ""de"", ""en"")"),"give")</f>
        <v>give</v>
      </c>
    </row>
    <row r="5998">
      <c r="A5998" s="1" t="s">
        <v>5998</v>
      </c>
      <c r="B5998" s="2" t="str">
        <f>IFERROR(__xludf.DUMMYFUNCTION("GOOGLETRANSLATE(A5998, ""de"", ""en"")"),"wolves")</f>
        <v>wolves</v>
      </c>
    </row>
    <row r="5999">
      <c r="A5999" s="1" t="s">
        <v>5999</v>
      </c>
      <c r="B5999" s="2" t="str">
        <f>IFERROR(__xludf.DUMMYFUNCTION("GOOGLETRANSLATE(A5999, ""de"", ""en"")"),"recover")</f>
        <v>recover</v>
      </c>
    </row>
    <row r="6000">
      <c r="A6000" s="1" t="s">
        <v>6000</v>
      </c>
      <c r="B6000" s="2" t="str">
        <f>IFERROR(__xludf.DUMMYFUNCTION("GOOGLETRANSLATE(A6000, ""de"", ""en"")"),"consider")</f>
        <v>consider</v>
      </c>
    </row>
    <row r="6001">
      <c r="A6001" s="1" t="s">
        <v>6001</v>
      </c>
      <c r="B6001" s="2" t="str">
        <f>IFERROR(__xludf.DUMMYFUNCTION("GOOGLETRANSLATE(A6001, ""de"", ""en"")"),"bleeds")</f>
        <v>bleeds</v>
      </c>
    </row>
    <row r="6002">
      <c r="A6002" s="1" t="s">
        <v>6002</v>
      </c>
      <c r="B6002" s="2" t="str">
        <f>IFERROR(__xludf.DUMMYFUNCTION("GOOGLETRANSLATE(A6002, ""de"", ""en"")"),"freddie")</f>
        <v>freddie</v>
      </c>
    </row>
    <row r="6003">
      <c r="A6003" s="1" t="s">
        <v>6003</v>
      </c>
      <c r="B6003" s="2" t="str">
        <f>IFERROR(__xludf.DUMMYFUNCTION("GOOGLETRANSLATE(A6003, ""de"", ""en"")"),"complain")</f>
        <v>complain</v>
      </c>
    </row>
    <row r="6004">
      <c r="A6004" s="1" t="s">
        <v>6004</v>
      </c>
      <c r="B6004" s="2" t="str">
        <f>IFERROR(__xludf.DUMMYFUNCTION("GOOGLETRANSLATE(A6004, ""de"", ""en"")"),"throw")</f>
        <v>throw</v>
      </c>
    </row>
    <row r="6005">
      <c r="A6005" s="1" t="s">
        <v>6005</v>
      </c>
      <c r="B6005" s="2" t="str">
        <f>IFERROR(__xludf.DUMMYFUNCTION("GOOGLETRANSLATE(A6005, ""de"", ""en"")"),"rogue")</f>
        <v>rogue</v>
      </c>
    </row>
    <row r="6006">
      <c r="A6006" s="1" t="s">
        <v>6006</v>
      </c>
      <c r="B6006" s="2" t="str">
        <f>IFERROR(__xludf.DUMMYFUNCTION("GOOGLETRANSLATE(A6006, ""de"", ""en"")"),"cause")</f>
        <v>cause</v>
      </c>
    </row>
    <row r="6007">
      <c r="A6007" s="1" t="s">
        <v>6007</v>
      </c>
      <c r="B6007" s="2" t="str">
        <f>IFERROR(__xludf.DUMMYFUNCTION("GOOGLETRANSLATE(A6007, ""de"", ""en"")"),"Elvis")</f>
        <v>Elvis</v>
      </c>
    </row>
    <row r="6008">
      <c r="A6008" s="1" t="s">
        <v>6008</v>
      </c>
      <c r="B6008" s="2" t="str">
        <f>IFERROR(__xludf.DUMMYFUNCTION("GOOGLETRANSLATE(A6008, ""de"", ""en"")"),"product")</f>
        <v>product</v>
      </c>
    </row>
    <row r="6009">
      <c r="A6009" s="1" t="s">
        <v>6009</v>
      </c>
      <c r="B6009" s="2" t="str">
        <f>IFERROR(__xludf.DUMMYFUNCTION("GOOGLETRANSLATE(A6009, ""de"", ""en"")"),"Cathy")</f>
        <v>Cathy</v>
      </c>
    </row>
    <row r="6010">
      <c r="A6010" s="1" t="s">
        <v>6010</v>
      </c>
      <c r="B6010" s="2" t="str">
        <f>IFERROR(__xludf.DUMMYFUNCTION("GOOGLETRANSLATE(A6010, ""de"", ""en"")"),"board")</f>
        <v>board</v>
      </c>
    </row>
    <row r="6011">
      <c r="A6011" s="1" t="s">
        <v>6011</v>
      </c>
      <c r="B6011" s="2" t="str">
        <f>IFERROR(__xludf.DUMMYFUNCTION("GOOGLETRANSLATE(A6011, ""de"", ""en"")"),"poop")</f>
        <v>poop</v>
      </c>
    </row>
    <row r="6012">
      <c r="A6012" s="1" t="s">
        <v>6012</v>
      </c>
      <c r="B6012" s="2" t="str">
        <f>IFERROR(__xludf.DUMMYFUNCTION("GOOGLETRANSLATE(A6012, ""de"", ""en"")"),"gathered")</f>
        <v>gathered</v>
      </c>
    </row>
    <row r="6013">
      <c r="A6013" s="1" t="s">
        <v>6013</v>
      </c>
      <c r="B6013" s="2" t="str">
        <f>IFERROR(__xludf.DUMMYFUNCTION("GOOGLETRANSLATE(A6013, ""de"", ""en"")"),"sandra")</f>
        <v>sandra</v>
      </c>
    </row>
    <row r="6014">
      <c r="A6014" s="1" t="s">
        <v>6014</v>
      </c>
      <c r="B6014" s="2" t="str">
        <f>IFERROR(__xludf.DUMMYFUNCTION("GOOGLETRANSLATE(A6014, ""de"", ""en"")"),"regularly")</f>
        <v>regularly</v>
      </c>
    </row>
    <row r="6015">
      <c r="A6015" s="1" t="s">
        <v>6015</v>
      </c>
      <c r="B6015" s="2" t="str">
        <f>IFERROR(__xludf.DUMMYFUNCTION("GOOGLETRANSLATE(A6015, ""de"", ""en"")"),"shouting")</f>
        <v>shouting</v>
      </c>
    </row>
    <row r="6016">
      <c r="A6016" s="1" t="s">
        <v>6016</v>
      </c>
      <c r="B6016" s="2" t="str">
        <f>IFERROR(__xludf.DUMMYFUNCTION("GOOGLETRANSLATE(A6016, ""de"", ""en"")"),"oar")</f>
        <v>oar</v>
      </c>
    </row>
    <row r="6017">
      <c r="A6017" s="1" t="s">
        <v>6017</v>
      </c>
      <c r="B6017" s="2" t="str">
        <f>IFERROR(__xludf.DUMMYFUNCTION("GOOGLETRANSLATE(A6017, ""de"", ""en"")"),"Allah")</f>
        <v>Allah</v>
      </c>
    </row>
    <row r="6018">
      <c r="A6018" s="1" t="s">
        <v>6018</v>
      </c>
      <c r="B6018" s="2" t="str">
        <f>IFERROR(__xludf.DUMMYFUNCTION("GOOGLETRANSLATE(A6018, ""de"", ""en"")"),"full")</f>
        <v>full</v>
      </c>
    </row>
    <row r="6019">
      <c r="A6019" s="1" t="s">
        <v>6019</v>
      </c>
      <c r="B6019" s="2" t="str">
        <f>IFERROR(__xludf.DUMMYFUNCTION("GOOGLETRANSLATE(A6019, ""de"", ""en"")"),"activities")</f>
        <v>activities</v>
      </c>
    </row>
    <row r="6020">
      <c r="A6020" s="1" t="s">
        <v>6020</v>
      </c>
      <c r="B6020" s="2" t="str">
        <f>IFERROR(__xludf.DUMMYFUNCTION("GOOGLETRANSLATE(A6020, ""de"", ""en"")"),"lived")</f>
        <v>lived</v>
      </c>
    </row>
    <row r="6021">
      <c r="A6021" s="1" t="s">
        <v>6021</v>
      </c>
      <c r="B6021" s="2" t="str">
        <f>IFERROR(__xludf.DUMMYFUNCTION("GOOGLETRANSLATE(A6021, ""de"", ""en"")"),"rabbit")</f>
        <v>rabbit</v>
      </c>
    </row>
    <row r="6022">
      <c r="A6022" s="1" t="s">
        <v>6022</v>
      </c>
      <c r="B6022" s="2" t="str">
        <f>IFERROR(__xludf.DUMMYFUNCTION("GOOGLETRANSLATE(A6022, ""de"", ""en"")"),"systems")</f>
        <v>systems</v>
      </c>
    </row>
    <row r="6023">
      <c r="A6023" s="1" t="s">
        <v>6023</v>
      </c>
      <c r="B6023" s="2" t="str">
        <f>IFERROR(__xludf.DUMMYFUNCTION("GOOGLETRANSLATE(A6023, ""de"", ""en"")"),"orange")</f>
        <v>orange</v>
      </c>
    </row>
    <row r="6024">
      <c r="A6024" s="1" t="s">
        <v>6024</v>
      </c>
      <c r="B6024" s="2" t="str">
        <f>IFERROR(__xludf.DUMMYFUNCTION("GOOGLETRANSLATE(A6024, ""de"", ""en"")"),"plates")</f>
        <v>plates</v>
      </c>
    </row>
    <row r="6025">
      <c r="A6025" s="1" t="s">
        <v>6025</v>
      </c>
      <c r="B6025" s="2" t="str">
        <f>IFERROR(__xludf.DUMMYFUNCTION("GOOGLETRANSLATE(A6025, ""de"", ""en"")"),"rex")</f>
        <v>rex</v>
      </c>
    </row>
    <row r="6026">
      <c r="A6026" s="1" t="s">
        <v>6026</v>
      </c>
      <c r="B6026" s="2" t="str">
        <f>IFERROR(__xludf.DUMMYFUNCTION("GOOGLETRANSLATE(A6026, ""de"", ""en"")"),"y")</f>
        <v>y</v>
      </c>
    </row>
    <row r="6027">
      <c r="A6027" s="1" t="s">
        <v>6027</v>
      </c>
      <c r="B6027" s="2" t="str">
        <f>IFERROR(__xludf.DUMMYFUNCTION("GOOGLETRANSLATE(A6027, ""de"", ""en"")"),"borrowed")</f>
        <v>borrowed</v>
      </c>
    </row>
    <row r="6028">
      <c r="A6028" s="1" t="s">
        <v>6028</v>
      </c>
      <c r="B6028" s="2" t="str">
        <f>IFERROR(__xludf.DUMMYFUNCTION("GOOGLETRANSLATE(A6028, ""de"", ""en"")"),"follow")</f>
        <v>follow</v>
      </c>
    </row>
    <row r="6029">
      <c r="A6029" s="1" t="s">
        <v>6029</v>
      </c>
      <c r="B6029" s="2" t="str">
        <f>IFERROR(__xludf.DUMMYFUNCTION("GOOGLETRANSLATE(A6029, ""de"", ""en"")"),"harassed")</f>
        <v>harassed</v>
      </c>
    </row>
    <row r="6030">
      <c r="A6030" s="1" t="s">
        <v>6030</v>
      </c>
      <c r="B6030" s="2" t="str">
        <f>IFERROR(__xludf.DUMMYFUNCTION("GOOGLETRANSLATE(A6030, ""de"", ""en"")"),"Hong Kong")</f>
        <v>Hong Kong</v>
      </c>
    </row>
    <row r="6031">
      <c r="A6031" s="1" t="s">
        <v>6031</v>
      </c>
      <c r="B6031" s="2" t="str">
        <f>IFERROR(__xludf.DUMMYFUNCTION("GOOGLETRANSLATE(A6031, ""de"", ""en"")"),"zombie")</f>
        <v>zombie</v>
      </c>
    </row>
    <row r="6032">
      <c r="A6032" s="1" t="s">
        <v>6032</v>
      </c>
      <c r="B6032" s="2" t="str">
        <f>IFERROR(__xludf.DUMMYFUNCTION("GOOGLETRANSLATE(A6032, ""de"", ""en"")"),"proceeds")</f>
        <v>proceeds</v>
      </c>
    </row>
    <row r="6033">
      <c r="A6033" s="1" t="s">
        <v>6033</v>
      </c>
      <c r="B6033" s="2" t="str">
        <f>IFERROR(__xludf.DUMMYFUNCTION("GOOGLETRANSLATE(A6033, ""de"", ""en"")"),"hot")</f>
        <v>hot</v>
      </c>
    </row>
    <row r="6034">
      <c r="A6034" s="1" t="s">
        <v>6034</v>
      </c>
      <c r="B6034" s="2" t="str">
        <f>IFERROR(__xludf.DUMMYFUNCTION("GOOGLETRANSLATE(A6034, ""de"", ""en"")"),"check")</f>
        <v>check</v>
      </c>
    </row>
    <row r="6035">
      <c r="A6035" s="1" t="s">
        <v>6035</v>
      </c>
      <c r="B6035" s="2" t="str">
        <f>IFERROR(__xludf.DUMMYFUNCTION("GOOGLETRANSLATE(A6035, ""de"", ""en"")"),"published")</f>
        <v>published</v>
      </c>
    </row>
    <row r="6036">
      <c r="A6036" s="1" t="s">
        <v>6036</v>
      </c>
      <c r="B6036" s="2" t="str">
        <f>IFERROR(__xludf.DUMMYFUNCTION("GOOGLETRANSLATE(A6036, ""de"", ""en"")"),"shoot")</f>
        <v>shoot</v>
      </c>
    </row>
    <row r="6037">
      <c r="A6037" s="1" t="s">
        <v>6037</v>
      </c>
      <c r="B6037" s="2" t="str">
        <f>IFERROR(__xludf.DUMMYFUNCTION("GOOGLETRANSLATE(A6037, ""de"", ""en"")"),"have a good meal")</f>
        <v>have a good meal</v>
      </c>
    </row>
    <row r="6038">
      <c r="A6038" s="1" t="s">
        <v>6038</v>
      </c>
      <c r="B6038" s="2" t="str">
        <f>IFERROR(__xludf.DUMMYFUNCTION("GOOGLETRANSLATE(A6038, ""de"", ""en"")"),"official")</f>
        <v>official</v>
      </c>
    </row>
    <row r="6039">
      <c r="A6039" s="1" t="s">
        <v>6039</v>
      </c>
      <c r="B6039" s="2" t="str">
        <f>IFERROR(__xludf.DUMMYFUNCTION("GOOGLETRANSLATE(A6039, ""de"", ""en"")"),"yorker")</f>
        <v>yorker</v>
      </c>
    </row>
    <row r="6040">
      <c r="A6040" s="1" t="s">
        <v>6040</v>
      </c>
      <c r="B6040" s="2" t="str">
        <f>IFERROR(__xludf.DUMMYFUNCTION("GOOGLETRANSLATE(A6040, ""de"", ""en"")"),"angie")</f>
        <v>angie</v>
      </c>
    </row>
    <row r="6041">
      <c r="A6041" s="1" t="s">
        <v>6041</v>
      </c>
      <c r="B6041" s="2" t="str">
        <f>IFERROR(__xludf.DUMMYFUNCTION("GOOGLETRANSLATE(A6041, ""de"", ""en"")"),"break open")</f>
        <v>break open</v>
      </c>
    </row>
    <row r="6042">
      <c r="A6042" s="1" t="s">
        <v>6042</v>
      </c>
      <c r="B6042" s="2" t="str">
        <f>IFERROR(__xludf.DUMMYFUNCTION("GOOGLETRANSLATE(A6042, ""de"", ""en"")"),"leave")</f>
        <v>leave</v>
      </c>
    </row>
    <row r="6043">
      <c r="A6043" s="1" t="s">
        <v>6043</v>
      </c>
      <c r="B6043" s="2" t="str">
        <f>IFERROR(__xludf.DUMMYFUNCTION("GOOGLETRANSLATE(A6043, ""de"", ""en"")"),"get")</f>
        <v>get</v>
      </c>
    </row>
    <row r="6044">
      <c r="A6044" s="1" t="s">
        <v>6044</v>
      </c>
      <c r="B6044" s="2" t="str">
        <f>IFERROR(__xludf.DUMMYFUNCTION("GOOGLETRANSLATE(A6044, ""de"", ""en"")"),"knowledge")</f>
        <v>knowledge</v>
      </c>
    </row>
    <row r="6045">
      <c r="A6045" s="1" t="s">
        <v>6045</v>
      </c>
      <c r="B6045" s="2" t="str">
        <f>IFERROR(__xludf.DUMMYFUNCTION("GOOGLETRANSLATE(A6045, ""de"", ""en"")"),"crappy")</f>
        <v>crappy</v>
      </c>
    </row>
    <row r="6046">
      <c r="A6046" s="1" t="s">
        <v>6046</v>
      </c>
      <c r="B6046" s="2" t="str">
        <f>IFERROR(__xludf.DUMMYFUNCTION("GOOGLETRANSLATE(A6046, ""de"", ""en"")"),"trevor")</f>
        <v>trevor</v>
      </c>
    </row>
    <row r="6047">
      <c r="A6047" s="1" t="s">
        <v>6047</v>
      </c>
      <c r="B6047" s="2" t="str">
        <f>IFERROR(__xludf.DUMMYFUNCTION("GOOGLETRANSLATE(A6047, ""de"", ""en"")"),"connects")</f>
        <v>connects</v>
      </c>
    </row>
    <row r="6048">
      <c r="A6048" s="1" t="s">
        <v>6048</v>
      </c>
      <c r="B6048" s="2" t="str">
        <f>IFERROR(__xludf.DUMMYFUNCTION("GOOGLETRANSLATE(A6048, ""de"", ""en"")"),"paramedic")</f>
        <v>paramedic</v>
      </c>
    </row>
    <row r="6049">
      <c r="A6049" s="1" t="s">
        <v>6049</v>
      </c>
      <c r="B6049" s="2" t="str">
        <f>IFERROR(__xludf.DUMMYFUNCTION("GOOGLETRANSLATE(A6049, ""de"", ""en"")"),"surprising")</f>
        <v>surprising</v>
      </c>
    </row>
    <row r="6050">
      <c r="A6050" s="1" t="s">
        <v>6050</v>
      </c>
      <c r="B6050" s="2" t="str">
        <f>IFERROR(__xludf.DUMMYFUNCTION("GOOGLETRANSLATE(A6050, ""de"", ""en"")"),"replied")</f>
        <v>replied</v>
      </c>
    </row>
    <row r="6051">
      <c r="A6051" s="1" t="s">
        <v>6051</v>
      </c>
      <c r="B6051" s="2" t="str">
        <f>IFERROR(__xludf.DUMMYFUNCTION("GOOGLETRANSLATE(A6051, ""de"", ""en"")"),"threatens")</f>
        <v>threatens</v>
      </c>
    </row>
    <row r="6052">
      <c r="A6052" s="1" t="s">
        <v>6052</v>
      </c>
      <c r="B6052" s="2" t="str">
        <f>IFERROR(__xludf.DUMMYFUNCTION("GOOGLETRANSLATE(A6052, ""de"", ""en"")"),"Italian")</f>
        <v>Italian</v>
      </c>
    </row>
    <row r="6053">
      <c r="A6053" s="1" t="s">
        <v>6053</v>
      </c>
      <c r="B6053" s="2" t="str">
        <f>IFERROR(__xludf.DUMMYFUNCTION("GOOGLETRANSLATE(A6053, ""de"", ""en"")"),"interrogation")</f>
        <v>interrogation</v>
      </c>
    </row>
    <row r="6054">
      <c r="A6054" s="1" t="s">
        <v>6054</v>
      </c>
      <c r="B6054" s="2" t="str">
        <f>IFERROR(__xludf.DUMMYFUNCTION("GOOGLETRANSLATE(A6054, ""de"", ""en"")"),"bigger")</f>
        <v>bigger</v>
      </c>
    </row>
    <row r="6055">
      <c r="A6055" s="1" t="s">
        <v>6055</v>
      </c>
      <c r="B6055" s="2" t="str">
        <f>IFERROR(__xludf.DUMMYFUNCTION("GOOGLETRANSLATE(A6055, ""de"", ""en"")"),"complain")</f>
        <v>complain</v>
      </c>
    </row>
    <row r="6056">
      <c r="A6056" s="1" t="s">
        <v>6056</v>
      </c>
      <c r="B6056" s="2" t="str">
        <f>IFERROR(__xludf.DUMMYFUNCTION("GOOGLETRANSLATE(A6056, ""de"", ""en"")"),"poet")</f>
        <v>poet</v>
      </c>
    </row>
    <row r="6057">
      <c r="A6057" s="1" t="s">
        <v>6057</v>
      </c>
      <c r="B6057" s="2" t="str">
        <f>IFERROR(__xludf.DUMMYFUNCTION("GOOGLETRANSLATE(A6057, ""de"", ""en"")"),"more magnificent")</f>
        <v>more magnificent</v>
      </c>
    </row>
    <row r="6058">
      <c r="A6058" s="1" t="s">
        <v>6058</v>
      </c>
      <c r="B6058" s="2" t="str">
        <f>IFERROR(__xludf.DUMMYFUNCTION("GOOGLETRANSLATE(A6058, ""de"", ""en"")"),"free")</f>
        <v>free</v>
      </c>
    </row>
    <row r="6059">
      <c r="A6059" s="1" t="s">
        <v>6059</v>
      </c>
      <c r="B6059" s="2" t="str">
        <f>IFERROR(__xludf.DUMMYFUNCTION("GOOGLETRANSLATE(A6059, ""de"", ""en"")"),"fears")</f>
        <v>fears</v>
      </c>
    </row>
    <row r="6060">
      <c r="A6060" s="1" t="s">
        <v>6060</v>
      </c>
      <c r="B6060" s="2" t="str">
        <f>IFERROR(__xludf.DUMMYFUNCTION("GOOGLETRANSLATE(A6060, ""de"", ""en"")"),"to pick up")</f>
        <v>to pick up</v>
      </c>
    </row>
    <row r="6061">
      <c r="A6061" s="1" t="s">
        <v>6061</v>
      </c>
      <c r="B6061" s="2" t="str">
        <f>IFERROR(__xludf.DUMMYFUNCTION("GOOGLETRANSLATE(A6061, ""de"", ""en"")"),"feelings")</f>
        <v>feelings</v>
      </c>
    </row>
    <row r="6062">
      <c r="A6062" s="1" t="s">
        <v>6062</v>
      </c>
      <c r="B6062" s="2" t="str">
        <f>IFERROR(__xludf.DUMMYFUNCTION("GOOGLETRANSLATE(A6062, ""de"", ""en"")"),"occupy")</f>
        <v>occupy</v>
      </c>
    </row>
    <row r="6063">
      <c r="A6063" s="1" t="s">
        <v>6063</v>
      </c>
      <c r="B6063" s="2" t="str">
        <f>IFERROR(__xludf.DUMMYFUNCTION("GOOGLETRANSLATE(A6063, ""de"", ""en"")"),"incredible")</f>
        <v>incredible</v>
      </c>
    </row>
    <row r="6064">
      <c r="A6064" s="1" t="s">
        <v>6064</v>
      </c>
      <c r="B6064" s="2" t="str">
        <f>IFERROR(__xludf.DUMMYFUNCTION("GOOGLETRANSLATE(A6064, ""de"", ""en"")"),"same")</f>
        <v>same</v>
      </c>
    </row>
    <row r="6065">
      <c r="A6065" s="1" t="s">
        <v>6065</v>
      </c>
      <c r="B6065" s="2" t="str">
        <f>IFERROR(__xludf.DUMMYFUNCTION("GOOGLETRANSLATE(A6065, ""de"", ""en"")"),"barnes")</f>
        <v>barnes</v>
      </c>
    </row>
    <row r="6066">
      <c r="A6066" s="1" t="s">
        <v>6066</v>
      </c>
      <c r="B6066" s="2" t="str">
        <f>IFERROR(__xludf.DUMMYFUNCTION("GOOGLETRANSLATE(A6066, ""de"", ""en"")"),"feels")</f>
        <v>feels</v>
      </c>
    </row>
    <row r="6067">
      <c r="A6067" s="1" t="s">
        <v>6067</v>
      </c>
      <c r="B6067" s="2" t="str">
        <f>IFERROR(__xludf.DUMMYFUNCTION("GOOGLETRANSLATE(A6067, ""de"", ""en"")"),"radio")</f>
        <v>radio</v>
      </c>
    </row>
    <row r="6068">
      <c r="A6068" s="1" t="s">
        <v>6068</v>
      </c>
      <c r="B6068" s="2" t="str">
        <f>IFERROR(__xludf.DUMMYFUNCTION("GOOGLETRANSLATE(A6068, ""de"", ""en"")"),"delivered")</f>
        <v>delivered</v>
      </c>
    </row>
    <row r="6069">
      <c r="A6069" s="1" t="s">
        <v>6069</v>
      </c>
      <c r="B6069" s="2" t="str">
        <f>IFERROR(__xludf.DUMMYFUNCTION("GOOGLETRANSLATE(A6069, ""de"", ""en"")"),"laurel")</f>
        <v>laurel</v>
      </c>
    </row>
    <row r="6070">
      <c r="A6070" s="1" t="s">
        <v>6070</v>
      </c>
      <c r="B6070" s="2" t="str">
        <f>IFERROR(__xludf.DUMMYFUNCTION("GOOGLETRANSLATE(A6070, ""de"", ""en"")"),"appropriate")</f>
        <v>appropriate</v>
      </c>
    </row>
    <row r="6071">
      <c r="A6071" s="1" t="s">
        <v>6071</v>
      </c>
      <c r="B6071" s="2" t="str">
        <f>IFERROR(__xludf.DUMMYFUNCTION("GOOGLETRANSLATE(A6071, ""de"", ""en"")"),"anyway")</f>
        <v>anyway</v>
      </c>
    </row>
    <row r="6072">
      <c r="A6072" s="1" t="s">
        <v>6072</v>
      </c>
      <c r="B6072" s="2" t="str">
        <f>IFERROR(__xludf.DUMMYFUNCTION("GOOGLETRANSLATE(A6072, ""de"", ""en"")"),"Chinese")</f>
        <v>Chinese</v>
      </c>
    </row>
    <row r="6073">
      <c r="A6073" s="1" t="s">
        <v>6073</v>
      </c>
      <c r="B6073" s="2" t="str">
        <f>IFERROR(__xludf.DUMMYFUNCTION("GOOGLETRANSLATE(A6073, ""de"", ""en"")"),"order")</f>
        <v>order</v>
      </c>
    </row>
    <row r="6074">
      <c r="A6074" s="1" t="s">
        <v>6074</v>
      </c>
      <c r="B6074" s="2" t="str">
        <f>IFERROR(__xludf.DUMMYFUNCTION("GOOGLETRANSLATE(A6074, ""de"", ""en"")"),"hired")</f>
        <v>hired</v>
      </c>
    </row>
    <row r="6075">
      <c r="A6075" s="1" t="s">
        <v>6075</v>
      </c>
      <c r="B6075" s="2" t="str">
        <f>IFERROR(__xludf.DUMMYFUNCTION("GOOGLETRANSLATE(A6075, ""de"", ""en"")"),"chooses")</f>
        <v>chooses</v>
      </c>
    </row>
    <row r="6076">
      <c r="A6076" s="1" t="s">
        <v>6076</v>
      </c>
      <c r="B6076" s="2" t="str">
        <f>IFERROR(__xludf.DUMMYFUNCTION("GOOGLETRANSLATE(A6076, ""de"", ""en"")"),"funny")</f>
        <v>funny</v>
      </c>
    </row>
    <row r="6077">
      <c r="A6077" s="1" t="s">
        <v>6077</v>
      </c>
      <c r="B6077" s="2" t="str">
        <f>IFERROR(__xludf.DUMMYFUNCTION("GOOGLETRANSLATE(A6077, ""de"", ""en"")"),"depend")</f>
        <v>depend</v>
      </c>
    </row>
    <row r="6078">
      <c r="A6078" s="1" t="s">
        <v>6078</v>
      </c>
      <c r="B6078" s="2" t="str">
        <f>IFERROR(__xludf.DUMMYFUNCTION("GOOGLETRANSLATE(A6078, ""de"", ""en"")"),"fourth")</f>
        <v>fourth</v>
      </c>
    </row>
    <row r="6079">
      <c r="A6079" s="1" t="s">
        <v>6079</v>
      </c>
      <c r="B6079" s="2" t="str">
        <f>IFERROR(__xludf.DUMMYFUNCTION("GOOGLETRANSLATE(A6079, ""de"", ""en"")"),"tanner")</f>
        <v>tanner</v>
      </c>
    </row>
    <row r="6080">
      <c r="A6080" s="1" t="s">
        <v>6080</v>
      </c>
      <c r="B6080" s="2" t="str">
        <f>IFERROR(__xludf.DUMMYFUNCTION("GOOGLETRANSLATE(A6080, ""de"", ""en"")"),"punches")</f>
        <v>punches</v>
      </c>
    </row>
    <row r="6081">
      <c r="A6081" s="1" t="s">
        <v>6081</v>
      </c>
      <c r="B6081" s="2" t="str">
        <f>IFERROR(__xludf.DUMMYFUNCTION("GOOGLETRANSLATE(A6081, ""de"", ""en"")"),"hesitate")</f>
        <v>hesitate</v>
      </c>
    </row>
    <row r="6082">
      <c r="A6082" s="1" t="s">
        <v>6082</v>
      </c>
      <c r="B6082" s="2" t="str">
        <f>IFERROR(__xludf.DUMMYFUNCTION("GOOGLETRANSLATE(A6082, ""de"", ""en"")"),"designate")</f>
        <v>designate</v>
      </c>
    </row>
    <row r="6083">
      <c r="A6083" s="1" t="s">
        <v>6083</v>
      </c>
      <c r="B6083" s="2" t="str">
        <f>IFERROR(__xludf.DUMMYFUNCTION("GOOGLETRANSLATE(A6083, ""de"", ""en"")"),"strange")</f>
        <v>strange</v>
      </c>
    </row>
    <row r="6084">
      <c r="A6084" s="1" t="s">
        <v>6084</v>
      </c>
      <c r="B6084" s="2" t="str">
        <f>IFERROR(__xludf.DUMMYFUNCTION("GOOGLETRANSLATE(A6084, ""de"", ""en"")"),"professionally")</f>
        <v>professionally</v>
      </c>
    </row>
    <row r="6085">
      <c r="A6085" s="1" t="s">
        <v>6085</v>
      </c>
      <c r="B6085" s="2" t="str">
        <f>IFERROR(__xludf.DUMMYFUNCTION("GOOGLETRANSLATE(A6085, ""de"", ""en"")"),"U.N")</f>
        <v>U.N</v>
      </c>
    </row>
    <row r="6086">
      <c r="A6086" s="1" t="s">
        <v>6086</v>
      </c>
      <c r="B6086" s="2" t="str">
        <f>IFERROR(__xludf.DUMMYFUNCTION("GOOGLETRANSLATE(A6086, ""de"", ""en"")"),"covered")</f>
        <v>covered</v>
      </c>
    </row>
    <row r="6087">
      <c r="A6087" s="1" t="s">
        <v>6087</v>
      </c>
      <c r="B6087" s="2" t="str">
        <f>IFERROR(__xludf.DUMMYFUNCTION("GOOGLETRANSLATE(A6087, ""de"", ""en"")"),"to start")</f>
        <v>to start</v>
      </c>
    </row>
    <row r="6088">
      <c r="A6088" s="1" t="s">
        <v>6088</v>
      </c>
      <c r="B6088" s="2" t="str">
        <f>IFERROR(__xludf.DUMMYFUNCTION("GOOGLETRANSLATE(A6088, ""de"", ""en"")"),"smoked")</f>
        <v>smoked</v>
      </c>
    </row>
    <row r="6089">
      <c r="A6089" s="1" t="s">
        <v>6089</v>
      </c>
      <c r="B6089" s="2" t="str">
        <f>IFERROR(__xludf.DUMMYFUNCTION("GOOGLETRANSLATE(A6089, ""de"", ""en"")"),"killed")</f>
        <v>killed</v>
      </c>
    </row>
    <row r="6090">
      <c r="A6090" s="1" t="s">
        <v>6090</v>
      </c>
      <c r="B6090" s="2" t="str">
        <f>IFERROR(__xludf.DUMMYFUNCTION("GOOGLETRANSLATE(A6090, ""de"", ""en"")"),"embarked")</f>
        <v>embarked</v>
      </c>
    </row>
    <row r="6091">
      <c r="A6091" s="1" t="s">
        <v>6091</v>
      </c>
      <c r="B6091" s="2" t="str">
        <f>IFERROR(__xludf.DUMMYFUNCTION("GOOGLETRANSLATE(A6091, ""de"", ""en"")"),"understandable")</f>
        <v>understandable</v>
      </c>
    </row>
    <row r="6092">
      <c r="A6092" s="1" t="s">
        <v>6092</v>
      </c>
      <c r="B6092" s="2" t="str">
        <f>IFERROR(__xludf.DUMMYFUNCTION("GOOGLETRANSLATE(A6092, ""de"", ""en"")"),"pop")</f>
        <v>pop</v>
      </c>
    </row>
    <row r="6093">
      <c r="A6093" s="1" t="s">
        <v>6093</v>
      </c>
      <c r="B6093" s="2" t="str">
        <f>IFERROR(__xludf.DUMMYFUNCTION("GOOGLETRANSLATE(A6093, ""de"", ""en"")"),"noticed")</f>
        <v>noticed</v>
      </c>
    </row>
    <row r="6094">
      <c r="A6094" s="1" t="s">
        <v>6094</v>
      </c>
      <c r="B6094" s="2" t="str">
        <f>IFERROR(__xludf.DUMMYFUNCTION("GOOGLETRANSLATE(A6094, ""de"", ""en"")"),"infection")</f>
        <v>infection</v>
      </c>
    </row>
    <row r="6095">
      <c r="A6095" s="1" t="s">
        <v>6095</v>
      </c>
      <c r="B6095" s="2" t="str">
        <f>IFERROR(__xludf.DUMMYFUNCTION("GOOGLETRANSLATE(A6095, ""de"", ""en"")"),"kitty")</f>
        <v>kitty</v>
      </c>
    </row>
    <row r="6096">
      <c r="A6096" s="1" t="s">
        <v>6096</v>
      </c>
      <c r="B6096" s="2" t="str">
        <f>IFERROR(__xludf.DUMMYFUNCTION("GOOGLETRANSLATE(A6096, ""de"", ""en"")"),"corresponds")</f>
        <v>corresponds</v>
      </c>
    </row>
    <row r="6097">
      <c r="A6097" s="1" t="s">
        <v>6097</v>
      </c>
      <c r="B6097" s="2" t="str">
        <f>IFERROR(__xludf.DUMMYFUNCTION("GOOGLETRANSLATE(A6097, ""de"", ""en"")"),"angle")</f>
        <v>angle</v>
      </c>
    </row>
    <row r="6098">
      <c r="A6098" s="1" t="s">
        <v>6098</v>
      </c>
      <c r="B6098" s="2" t="str">
        <f>IFERROR(__xludf.DUMMYFUNCTION("GOOGLETRANSLATE(A6098, ""de"", ""en"")"),"experts")</f>
        <v>experts</v>
      </c>
    </row>
    <row r="6099">
      <c r="A6099" s="1" t="s">
        <v>6099</v>
      </c>
      <c r="B6099" s="2" t="str">
        <f>IFERROR(__xludf.DUMMYFUNCTION("GOOGLETRANSLATE(A6099, ""de"", ""en"")"),"beds")</f>
        <v>beds</v>
      </c>
    </row>
    <row r="6100">
      <c r="A6100" s="1" t="s">
        <v>6100</v>
      </c>
      <c r="B6100" s="2" t="str">
        <f>IFERROR(__xludf.DUMMYFUNCTION("GOOGLETRANSLATE(A6100, ""de"", ""en"")"),"boxing")</f>
        <v>boxing</v>
      </c>
    </row>
    <row r="6101">
      <c r="A6101" s="1" t="s">
        <v>6101</v>
      </c>
      <c r="B6101" s="2" t="str">
        <f>IFERROR(__xludf.DUMMYFUNCTION("GOOGLETRANSLATE(A6101, ""de"", ""en"")"),"cake")</f>
        <v>cake</v>
      </c>
    </row>
    <row r="6102">
      <c r="A6102" s="1" t="s">
        <v>6102</v>
      </c>
      <c r="B6102" s="2" t="str">
        <f>IFERROR(__xludf.DUMMYFUNCTION("GOOGLETRANSLATE(A6102, ""de"", ""en"")"),"exchange")</f>
        <v>exchange</v>
      </c>
    </row>
    <row r="6103">
      <c r="A6103" s="1" t="s">
        <v>6103</v>
      </c>
      <c r="B6103" s="2" t="str">
        <f>IFERROR(__xludf.DUMMYFUNCTION("GOOGLETRANSLATE(A6103, ""de"", ""en"")"),"excite")</f>
        <v>excite</v>
      </c>
    </row>
    <row r="6104">
      <c r="A6104" s="1" t="s">
        <v>6104</v>
      </c>
      <c r="B6104" s="2" t="str">
        <f>IFERROR(__xludf.DUMMYFUNCTION("GOOGLETRANSLATE(A6104, ""de"", ""en"")"),"assume")</f>
        <v>assume</v>
      </c>
    </row>
    <row r="6105">
      <c r="A6105" s="1" t="s">
        <v>6105</v>
      </c>
      <c r="B6105" s="2" t="str">
        <f>IFERROR(__xludf.DUMMYFUNCTION("GOOGLETRANSLATE(A6105, ""de"", ""en"")"),"intelligence")</f>
        <v>intelligence</v>
      </c>
    </row>
    <row r="6106">
      <c r="A6106" s="1" t="s">
        <v>6106</v>
      </c>
      <c r="B6106" s="2" t="str">
        <f>IFERROR(__xludf.DUMMYFUNCTION("GOOGLETRANSLATE(A6106, ""de"", ""en"")"),"snakes")</f>
        <v>snakes</v>
      </c>
    </row>
    <row r="6107">
      <c r="A6107" s="1" t="s">
        <v>6107</v>
      </c>
      <c r="B6107" s="2" t="str">
        <f>IFERROR(__xludf.DUMMYFUNCTION("GOOGLETRANSLATE(A6107, ""de"", ""en"")"),"recovered")</f>
        <v>recovered</v>
      </c>
    </row>
    <row r="6108">
      <c r="A6108" s="1" t="s">
        <v>6108</v>
      </c>
      <c r="B6108" s="2" t="str">
        <f>IFERROR(__xludf.DUMMYFUNCTION("GOOGLETRANSLATE(A6108, ""de"", ""en"")"),"Zach")</f>
        <v>Zach</v>
      </c>
    </row>
    <row r="6109">
      <c r="A6109" s="1" t="s">
        <v>6109</v>
      </c>
      <c r="B6109" s="2" t="str">
        <f>IFERROR(__xludf.DUMMYFUNCTION("GOOGLETRANSLATE(A6109, ""de"", ""en"")"),"convincing")</f>
        <v>convincing</v>
      </c>
    </row>
    <row r="6110">
      <c r="A6110" s="1" t="s">
        <v>6110</v>
      </c>
      <c r="B6110" s="2" t="str">
        <f>IFERROR(__xludf.DUMMYFUNCTION("GOOGLETRANSLATE(A6110, ""de"", ""en"")"),"prue")</f>
        <v>prue</v>
      </c>
    </row>
    <row r="6111">
      <c r="A6111" s="1" t="s">
        <v>6111</v>
      </c>
      <c r="B6111" s="2" t="str">
        <f>IFERROR(__xludf.DUMMYFUNCTION("GOOGLETRANSLATE(A6111, ""de"", ""en"")"),"neck")</f>
        <v>neck</v>
      </c>
    </row>
    <row r="6112">
      <c r="A6112" s="1" t="s">
        <v>6112</v>
      </c>
      <c r="B6112" s="2" t="str">
        <f>IFERROR(__xludf.DUMMYFUNCTION("GOOGLETRANSLATE(A6112, ""de"", ""en"")"),"growth")</f>
        <v>growth</v>
      </c>
    </row>
    <row r="6113">
      <c r="A6113" s="1" t="s">
        <v>6113</v>
      </c>
      <c r="B6113" s="2" t="str">
        <f>IFERROR(__xludf.DUMMYFUNCTION("GOOGLETRANSLATE(A6113, ""de"", ""en"")"),"authority")</f>
        <v>authority</v>
      </c>
    </row>
    <row r="6114">
      <c r="A6114" s="1" t="s">
        <v>6114</v>
      </c>
      <c r="B6114" s="2" t="str">
        <f>IFERROR(__xludf.DUMMYFUNCTION("GOOGLETRANSLATE(A6114, ""de"", ""en"")"),"ham")</f>
        <v>ham</v>
      </c>
    </row>
    <row r="6115">
      <c r="A6115" s="1" t="s">
        <v>6115</v>
      </c>
      <c r="B6115" s="2" t="str">
        <f>IFERROR(__xludf.DUMMYFUNCTION("GOOGLETRANSLATE(A6115, ""de"", ""en"")"),"Vienna")</f>
        <v>Vienna</v>
      </c>
    </row>
    <row r="6116">
      <c r="A6116" s="1" t="s">
        <v>6116</v>
      </c>
      <c r="B6116" s="2" t="str">
        <f>IFERROR(__xludf.DUMMYFUNCTION("GOOGLETRANSLATE(A6116, ""de"", ""en"")"),"long")</f>
        <v>long</v>
      </c>
    </row>
    <row r="6117">
      <c r="A6117" s="1" t="s">
        <v>6117</v>
      </c>
      <c r="B6117" s="2" t="str">
        <f>IFERROR(__xludf.DUMMYFUNCTION("GOOGLETRANSLATE(A6117, ""de"", ""en"")"),"sookie")</f>
        <v>sookie</v>
      </c>
    </row>
    <row r="6118">
      <c r="A6118" s="1" t="s">
        <v>6118</v>
      </c>
      <c r="B6118" s="2" t="str">
        <f>IFERROR(__xludf.DUMMYFUNCTION("GOOGLETRANSLATE(A6118, ""de"", ""en"")"),"zoey")</f>
        <v>zoey</v>
      </c>
    </row>
    <row r="6119">
      <c r="A6119" s="1" t="s">
        <v>6119</v>
      </c>
      <c r="B6119" s="2" t="str">
        <f>IFERROR(__xludf.DUMMYFUNCTION("GOOGLETRANSLATE(A6119, ""de"", ""en"")"),"grease")</f>
        <v>grease</v>
      </c>
    </row>
    <row r="6120">
      <c r="A6120" s="1" t="s">
        <v>6120</v>
      </c>
      <c r="B6120" s="2" t="str">
        <f>IFERROR(__xludf.DUMMYFUNCTION("GOOGLETRANSLATE(A6120, ""de"", ""en"")"),"hai")</f>
        <v>hai</v>
      </c>
    </row>
    <row r="6121">
      <c r="A6121" s="1" t="s">
        <v>6121</v>
      </c>
      <c r="B6121" s="2" t="str">
        <f>IFERROR(__xludf.DUMMYFUNCTION("GOOGLETRANSLATE(A6121, ""de"", ""en"")"),"bind")</f>
        <v>bind</v>
      </c>
    </row>
    <row r="6122">
      <c r="A6122" s="1" t="s">
        <v>6122</v>
      </c>
      <c r="B6122" s="2" t="str">
        <f>IFERROR(__xludf.DUMMYFUNCTION("GOOGLETRANSLATE(A6122, ""de"", ""en"")"),"blackmail")</f>
        <v>blackmail</v>
      </c>
    </row>
    <row r="6123">
      <c r="A6123" s="1" t="s">
        <v>6123</v>
      </c>
      <c r="B6123" s="2" t="str">
        <f>IFERROR(__xludf.DUMMYFUNCTION("GOOGLETRANSLATE(A6123, ""de"", ""en"")"),"currently")</f>
        <v>currently</v>
      </c>
    </row>
    <row r="6124">
      <c r="A6124" s="1" t="s">
        <v>6124</v>
      </c>
      <c r="B6124" s="2" t="str">
        <f>IFERROR(__xludf.DUMMYFUNCTION("GOOGLETRANSLATE(A6124, ""de"", ""en"")"),"deceived")</f>
        <v>deceived</v>
      </c>
    </row>
    <row r="6125">
      <c r="A6125" s="1" t="s">
        <v>6125</v>
      </c>
      <c r="B6125" s="2" t="str">
        <f>IFERROR(__xludf.DUMMYFUNCTION("GOOGLETRANSLATE(A6125, ""de"", ""en"")"),"buddy")</f>
        <v>buddy</v>
      </c>
    </row>
    <row r="6126">
      <c r="A6126" s="1" t="s">
        <v>6126</v>
      </c>
      <c r="B6126" s="2" t="str">
        <f>IFERROR(__xludf.DUMMYFUNCTION("GOOGLETRANSLATE(A6126, ""de"", ""en"")"),"none")</f>
        <v>none</v>
      </c>
    </row>
    <row r="6127">
      <c r="A6127" s="1" t="s">
        <v>6127</v>
      </c>
      <c r="B6127" s="2" t="str">
        <f>IFERROR(__xludf.DUMMYFUNCTION("GOOGLETRANSLATE(A6127, ""de"", ""en"")"),"collection")</f>
        <v>collection</v>
      </c>
    </row>
    <row r="6128">
      <c r="A6128" s="1" t="s">
        <v>6128</v>
      </c>
      <c r="B6128" s="2" t="str">
        <f>IFERROR(__xludf.DUMMYFUNCTION("GOOGLETRANSLATE(A6128, ""de"", ""en"")"),"calls")</f>
        <v>calls</v>
      </c>
    </row>
    <row r="6129">
      <c r="A6129" s="1" t="s">
        <v>6129</v>
      </c>
      <c r="B6129" s="2" t="str">
        <f>IFERROR(__xludf.DUMMYFUNCTION("GOOGLETRANSLATE(A6129, ""de"", ""en"")"),"dived")</f>
        <v>dived</v>
      </c>
    </row>
    <row r="6130">
      <c r="A6130" s="1" t="s">
        <v>6130</v>
      </c>
      <c r="B6130" s="2" t="str">
        <f>IFERROR(__xludf.DUMMYFUNCTION("GOOGLETRANSLATE(A6130, ""de"", ""en"")"),"points")</f>
        <v>points</v>
      </c>
    </row>
    <row r="6131">
      <c r="A6131" s="1" t="s">
        <v>6131</v>
      </c>
      <c r="B6131" s="2" t="str">
        <f>IFERROR(__xludf.DUMMYFUNCTION("GOOGLETRANSLATE(A6131, ""de"", ""en"")"),"seize")</f>
        <v>seize</v>
      </c>
    </row>
    <row r="6132">
      <c r="A6132" s="1" t="s">
        <v>6132</v>
      </c>
      <c r="B6132" s="2" t="str">
        <f>IFERROR(__xludf.DUMMYFUNCTION("GOOGLETRANSLATE(A6132, ""de"", ""en"")"),"happy")</f>
        <v>happy</v>
      </c>
    </row>
    <row r="6133">
      <c r="A6133" s="1" t="s">
        <v>6133</v>
      </c>
      <c r="B6133" s="2" t="str">
        <f>IFERROR(__xludf.DUMMYFUNCTION("GOOGLETRANSLATE(A6133, ""de"", ""en"")"),"hang")</f>
        <v>hang</v>
      </c>
    </row>
    <row r="6134">
      <c r="A6134" s="1" t="s">
        <v>6134</v>
      </c>
      <c r="B6134" s="2" t="str">
        <f>IFERROR(__xludf.DUMMYFUNCTION("GOOGLETRANSLATE(A6134, ""de"", ""en"")"),"residents")</f>
        <v>residents</v>
      </c>
    </row>
    <row r="6135">
      <c r="A6135" s="1" t="s">
        <v>6135</v>
      </c>
      <c r="B6135" s="2" t="str">
        <f>IFERROR(__xludf.DUMMYFUNCTION("GOOGLETRANSLATE(A6135, ""de"", ""en"")"),"decided")</f>
        <v>decided</v>
      </c>
    </row>
    <row r="6136">
      <c r="A6136" s="1" t="s">
        <v>6136</v>
      </c>
      <c r="B6136" s="2" t="str">
        <f>IFERROR(__xludf.DUMMYFUNCTION("GOOGLETRANSLATE(A6136, ""de"", ""en"")"),"supermarket")</f>
        <v>supermarket</v>
      </c>
    </row>
    <row r="6137">
      <c r="A6137" s="1" t="s">
        <v>6137</v>
      </c>
      <c r="B6137" s="2" t="str">
        <f>IFERROR(__xludf.DUMMYFUNCTION("GOOGLETRANSLATE(A6137, ""de"", ""en"")"),"officers")</f>
        <v>officers</v>
      </c>
    </row>
    <row r="6138">
      <c r="A6138" s="1" t="s">
        <v>6138</v>
      </c>
      <c r="B6138" s="2" t="str">
        <f>IFERROR(__xludf.DUMMYFUNCTION("GOOGLETRANSLATE(A6138, ""de"", ""en"")"),"related")</f>
        <v>related</v>
      </c>
    </row>
    <row r="6139">
      <c r="A6139" s="1" t="s">
        <v>6139</v>
      </c>
      <c r="B6139" s="2" t="str">
        <f>IFERROR(__xludf.DUMMYFUNCTION("GOOGLETRANSLATE(A6139, ""de"", ""en"")"),"idiot")</f>
        <v>idiot</v>
      </c>
    </row>
    <row r="6140">
      <c r="A6140" s="1" t="s">
        <v>6140</v>
      </c>
      <c r="B6140" s="2" t="str">
        <f>IFERROR(__xludf.DUMMYFUNCTION("GOOGLETRANSLATE(A6140, ""de"", ""en"")"),"antoine")</f>
        <v>antoine</v>
      </c>
    </row>
    <row r="6141">
      <c r="A6141" s="1" t="s">
        <v>6141</v>
      </c>
      <c r="B6141" s="2" t="str">
        <f>IFERROR(__xludf.DUMMYFUNCTION("GOOGLETRANSLATE(A6141, ""de"", ""en"")"),"Iraq")</f>
        <v>Iraq</v>
      </c>
    </row>
    <row r="6142">
      <c r="A6142" s="1" t="s">
        <v>6142</v>
      </c>
      <c r="B6142" s="2" t="str">
        <f>IFERROR(__xludf.DUMMYFUNCTION("GOOGLETRANSLATE(A6142, ""de"", ""en"")"),"answer")</f>
        <v>answer</v>
      </c>
    </row>
    <row r="6143">
      <c r="A6143" s="1" t="s">
        <v>6143</v>
      </c>
      <c r="B6143" s="2" t="str">
        <f>IFERROR(__xludf.DUMMYFUNCTION("GOOGLETRANSLATE(A6143, ""de"", ""en"")"),"Naomi")</f>
        <v>Naomi</v>
      </c>
    </row>
    <row r="6144">
      <c r="A6144" s="1" t="s">
        <v>6144</v>
      </c>
      <c r="B6144" s="2" t="str">
        <f>IFERROR(__xludf.DUMMYFUNCTION("GOOGLETRANSLATE(A6144, ""de"", ""en"")"),"quit")</f>
        <v>quit</v>
      </c>
    </row>
    <row r="6145">
      <c r="A6145" s="1" t="s">
        <v>6145</v>
      </c>
      <c r="B6145" s="2" t="str">
        <f>IFERROR(__xludf.DUMMYFUNCTION("GOOGLETRANSLATE(A6145, ""de"", ""en"")"),"money")</f>
        <v>money</v>
      </c>
    </row>
    <row r="6146">
      <c r="A6146" s="1" t="s">
        <v>6146</v>
      </c>
      <c r="B6146" s="2" t="str">
        <f>IFERROR(__xludf.DUMMYFUNCTION("GOOGLETRANSLATE(A6146, ""de"", ""en"")"),"dealer")</f>
        <v>dealer</v>
      </c>
    </row>
    <row r="6147">
      <c r="A6147" s="1" t="s">
        <v>6147</v>
      </c>
      <c r="B6147" s="2" t="str">
        <f>IFERROR(__xludf.DUMMYFUNCTION("GOOGLETRANSLATE(A6147, ""de"", ""en"")"),"kings")</f>
        <v>kings</v>
      </c>
    </row>
    <row r="6148">
      <c r="A6148" s="1" t="s">
        <v>6148</v>
      </c>
      <c r="B6148" s="2" t="str">
        <f>IFERROR(__xludf.DUMMYFUNCTION("GOOGLETRANSLATE(A6148, ""de"", ""en"")"),"army")</f>
        <v>army</v>
      </c>
    </row>
    <row r="6149">
      <c r="A6149" s="1" t="s">
        <v>6149</v>
      </c>
      <c r="B6149" s="2" t="str">
        <f>IFERROR(__xludf.DUMMYFUNCTION("GOOGLETRANSLATE(A6149, ""de"", ""en"")"),"January")</f>
        <v>January</v>
      </c>
    </row>
    <row r="6150">
      <c r="A6150" s="1" t="s">
        <v>6150</v>
      </c>
      <c r="B6150" s="2" t="str">
        <f>IFERROR(__xludf.DUMMYFUNCTION("GOOGLETRANSLATE(A6150, ""de"", ""en"")"),"Agnes")</f>
        <v>Agnes</v>
      </c>
    </row>
    <row r="6151">
      <c r="A6151" s="1" t="s">
        <v>6151</v>
      </c>
      <c r="B6151" s="2" t="str">
        <f>IFERROR(__xludf.DUMMYFUNCTION("GOOGLETRANSLATE(A6151, ""de"", ""en"")"),"priority")</f>
        <v>priority</v>
      </c>
    </row>
    <row r="6152">
      <c r="A6152" s="1" t="s">
        <v>6152</v>
      </c>
      <c r="B6152" s="2" t="str">
        <f>IFERROR(__xludf.DUMMYFUNCTION("GOOGLETRANSLATE(A6152, ""de"", ""en"")"),"transportation")</f>
        <v>transportation</v>
      </c>
    </row>
    <row r="6153">
      <c r="A6153" s="1" t="s">
        <v>6153</v>
      </c>
      <c r="B6153" s="2" t="str">
        <f>IFERROR(__xludf.DUMMYFUNCTION("GOOGLETRANSLATE(A6153, ""de"", ""en"")"),"sick")</f>
        <v>sick</v>
      </c>
    </row>
    <row r="6154">
      <c r="A6154" s="1" t="s">
        <v>6154</v>
      </c>
      <c r="B6154" s="2" t="str">
        <f>IFERROR(__xludf.DUMMYFUNCTION("GOOGLETRANSLATE(A6154, ""de"", ""en"")"),"jealousy")</f>
        <v>jealousy</v>
      </c>
    </row>
    <row r="6155">
      <c r="A6155" s="1" t="s">
        <v>6155</v>
      </c>
      <c r="B6155" s="2" t="str">
        <f>IFERROR(__xludf.DUMMYFUNCTION("GOOGLETRANSLATE(A6155, ""de"", ""en"")"),"way")</f>
        <v>way</v>
      </c>
    </row>
    <row r="6156">
      <c r="A6156" s="1" t="s">
        <v>6156</v>
      </c>
      <c r="B6156" s="2" t="str">
        <f>IFERROR(__xludf.DUMMYFUNCTION("GOOGLETRANSLATE(A6156, ""de"", ""en"")"),"today")</f>
        <v>today</v>
      </c>
    </row>
    <row r="6157">
      <c r="A6157" s="1" t="s">
        <v>6157</v>
      </c>
      <c r="B6157" s="2" t="str">
        <f>IFERROR(__xludf.DUMMYFUNCTION("GOOGLETRANSLATE(A6157, ""de"", ""en"")"),"jumped")</f>
        <v>jumped</v>
      </c>
    </row>
    <row r="6158">
      <c r="A6158" s="1" t="s">
        <v>6158</v>
      </c>
      <c r="B6158" s="2" t="str">
        <f>IFERROR(__xludf.DUMMYFUNCTION("GOOGLETRANSLATE(A6158, ""de"", ""en"")"),"brevity")</f>
        <v>brevity</v>
      </c>
    </row>
    <row r="6159">
      <c r="A6159" s="1" t="s">
        <v>6159</v>
      </c>
      <c r="B6159" s="2" t="str">
        <f>IFERROR(__xludf.DUMMYFUNCTION("GOOGLETRANSLATE(A6159, ""de"", ""en"")"),"Poland")</f>
        <v>Poland</v>
      </c>
    </row>
    <row r="6160">
      <c r="A6160" s="1" t="s">
        <v>6160</v>
      </c>
      <c r="B6160" s="2" t="str">
        <f>IFERROR(__xludf.DUMMYFUNCTION("GOOGLETRANSLATE(A6160, ""de"", ""en"")"),"pathetic")</f>
        <v>pathetic</v>
      </c>
    </row>
    <row r="6161">
      <c r="A6161" s="1" t="s">
        <v>6161</v>
      </c>
      <c r="B6161" s="2" t="str">
        <f>IFERROR(__xludf.DUMMYFUNCTION("GOOGLETRANSLATE(A6161, ""de"", ""en"")"),"recorded")</f>
        <v>recorded</v>
      </c>
    </row>
    <row r="6162">
      <c r="A6162" s="1" t="s">
        <v>6162</v>
      </c>
      <c r="B6162" s="2" t="str">
        <f>IFERROR(__xludf.DUMMYFUNCTION("GOOGLETRANSLATE(A6162, ""de"", ""en"")"),"special")</f>
        <v>special</v>
      </c>
    </row>
    <row r="6163">
      <c r="A6163" s="1" t="s">
        <v>6163</v>
      </c>
      <c r="B6163" s="2" t="str">
        <f>IFERROR(__xludf.DUMMYFUNCTION("GOOGLETRANSLATE(A6163, ""de"", ""en"")"),"good")</f>
        <v>good</v>
      </c>
    </row>
    <row r="6164">
      <c r="A6164" s="1" t="s">
        <v>6164</v>
      </c>
      <c r="B6164" s="2" t="str">
        <f>IFERROR(__xludf.DUMMYFUNCTION("GOOGLETRANSLATE(A6164, ""de"", ""en"")"),"devices")</f>
        <v>devices</v>
      </c>
    </row>
    <row r="6165">
      <c r="A6165" s="1" t="s">
        <v>6165</v>
      </c>
      <c r="B6165" s="2" t="str">
        <f>IFERROR(__xludf.DUMMYFUNCTION("GOOGLETRANSLATE(A6165, ""de"", ""en"")"),"dance")</f>
        <v>dance</v>
      </c>
    </row>
    <row r="6166">
      <c r="A6166" s="1" t="s">
        <v>6166</v>
      </c>
      <c r="B6166" s="2" t="str">
        <f>IFERROR(__xludf.DUMMYFUNCTION("GOOGLETRANSLATE(A6166, ""de"", ""en"")"),"royal")</f>
        <v>royal</v>
      </c>
    </row>
    <row r="6167">
      <c r="A6167" s="1" t="s">
        <v>6167</v>
      </c>
      <c r="B6167" s="2" t="str">
        <f>IFERROR(__xludf.DUMMYFUNCTION("GOOGLETRANSLATE(A6167, ""de"", ""en"")"),"go through")</f>
        <v>go through</v>
      </c>
    </row>
    <row r="6168">
      <c r="A6168" s="1" t="s">
        <v>6168</v>
      </c>
      <c r="B6168" s="2" t="str">
        <f>IFERROR(__xludf.DUMMYFUNCTION("GOOGLETRANSLATE(A6168, ""de"", ""en"")"),"Dallas")</f>
        <v>Dallas</v>
      </c>
    </row>
    <row r="6169">
      <c r="A6169" s="1" t="s">
        <v>6169</v>
      </c>
      <c r="B6169" s="2" t="str">
        <f>IFERROR(__xludf.DUMMYFUNCTION("GOOGLETRANSLATE(A6169, ""de"", ""en"")"),"wasted")</f>
        <v>wasted</v>
      </c>
    </row>
    <row r="6170">
      <c r="A6170" s="1" t="s">
        <v>6170</v>
      </c>
      <c r="B6170" s="2" t="str">
        <f>IFERROR(__xludf.DUMMYFUNCTION("GOOGLETRANSLATE(A6170, ""de"", ""en"")"),"kennedy")</f>
        <v>kennedy</v>
      </c>
    </row>
    <row r="6171">
      <c r="A6171" s="1" t="s">
        <v>6171</v>
      </c>
      <c r="B6171" s="2" t="str">
        <f>IFERROR(__xludf.DUMMYFUNCTION("GOOGLETRANSLATE(A6171, ""de"", ""en"")"),"uld")</f>
        <v>uld</v>
      </c>
    </row>
    <row r="6172">
      <c r="A6172" s="1" t="s">
        <v>6172</v>
      </c>
      <c r="B6172" s="2" t="str">
        <f>IFERROR(__xludf.DUMMYFUNCTION("GOOGLETRANSLATE(A6172, ""de"", ""en"")"),"alec")</f>
        <v>alec</v>
      </c>
    </row>
    <row r="6173">
      <c r="A6173" s="1" t="s">
        <v>6173</v>
      </c>
      <c r="B6173" s="2" t="str">
        <f>IFERROR(__xludf.DUMMYFUNCTION("GOOGLETRANSLATE(A6173, ""de"", ""en"")"),"accept")</f>
        <v>accept</v>
      </c>
    </row>
    <row r="6174">
      <c r="A6174" s="1" t="s">
        <v>6174</v>
      </c>
      <c r="B6174" s="2" t="str">
        <f>IFERROR(__xludf.DUMMYFUNCTION("GOOGLETRANSLATE(A6174, ""de"", ""en"")"),"off")</f>
        <v>off</v>
      </c>
    </row>
    <row r="6175">
      <c r="A6175" s="1" t="s">
        <v>6175</v>
      </c>
      <c r="B6175" s="2" t="str">
        <f>IFERROR(__xludf.DUMMYFUNCTION("GOOGLETRANSLATE(A6175, ""de"", ""en"")"),"riverbank")</f>
        <v>riverbank</v>
      </c>
    </row>
    <row r="6176">
      <c r="A6176" s="1" t="s">
        <v>6176</v>
      </c>
      <c r="B6176" s="2" t="str">
        <f>IFERROR(__xludf.DUMMYFUNCTION("GOOGLETRANSLATE(A6176, ""de"", ""en"")"),"risks")</f>
        <v>risks</v>
      </c>
    </row>
    <row r="6177">
      <c r="A6177" s="1" t="s">
        <v>6177</v>
      </c>
      <c r="B6177" s="2" t="str">
        <f>IFERROR(__xludf.DUMMYFUNCTION("GOOGLETRANSLATE(A6177, ""de"", ""en"")"),"shouted")</f>
        <v>shouted</v>
      </c>
    </row>
    <row r="6178">
      <c r="A6178" s="1" t="s">
        <v>6178</v>
      </c>
      <c r="B6178" s="2" t="str">
        <f>IFERROR(__xludf.DUMMYFUNCTION("GOOGLETRANSLATE(A6178, ""de"", ""en"")"),"influenced")</f>
        <v>influenced</v>
      </c>
    </row>
    <row r="6179">
      <c r="A6179" s="1" t="s">
        <v>6179</v>
      </c>
      <c r="B6179" s="2" t="str">
        <f>IFERROR(__xludf.DUMMYFUNCTION("GOOGLETRANSLATE(A6179, ""de"", ""en"")"),"hal")</f>
        <v>hal</v>
      </c>
    </row>
    <row r="6180">
      <c r="A6180" s="1" t="s">
        <v>6180</v>
      </c>
      <c r="B6180" s="2" t="str">
        <f>IFERROR(__xludf.DUMMYFUNCTION("GOOGLETRANSLATE(A6180, ""de"", ""en"")"),"you look")</f>
        <v>you look</v>
      </c>
    </row>
    <row r="6181">
      <c r="A6181" s="1" t="s">
        <v>6181</v>
      </c>
      <c r="B6181" s="2" t="str">
        <f>IFERROR(__xludf.DUMMYFUNCTION("GOOGLETRANSLATE(A6181, ""de"", ""en"")"),"trained")</f>
        <v>trained</v>
      </c>
    </row>
    <row r="6182">
      <c r="A6182" s="1" t="s">
        <v>6182</v>
      </c>
      <c r="B6182" s="2" t="str">
        <f>IFERROR(__xludf.DUMMYFUNCTION("GOOGLETRANSLATE(A6182, ""de"", ""en"")"),"district")</f>
        <v>district</v>
      </c>
    </row>
    <row r="6183">
      <c r="A6183" s="1" t="s">
        <v>6183</v>
      </c>
      <c r="B6183" s="2" t="str">
        <f>IFERROR(__xludf.DUMMYFUNCTION("GOOGLETRANSLATE(A6183, ""de"", ""en"")"),"jeez")</f>
        <v>jeez</v>
      </c>
    </row>
    <row r="6184">
      <c r="A6184" s="1" t="s">
        <v>6184</v>
      </c>
      <c r="B6184" s="2" t="str">
        <f>IFERROR(__xludf.DUMMYFUNCTION("GOOGLETRANSLATE(A6184, ""de"", ""en"")"),"commissioned")</f>
        <v>commissioned</v>
      </c>
    </row>
    <row r="6185">
      <c r="A6185" s="1" t="s">
        <v>6185</v>
      </c>
      <c r="B6185" s="2" t="str">
        <f>IFERROR(__xludf.DUMMYFUNCTION("GOOGLETRANSLATE(A6185, ""de"", ""en"")"),"protected")</f>
        <v>protected</v>
      </c>
    </row>
    <row r="6186">
      <c r="A6186" s="1" t="s">
        <v>6186</v>
      </c>
      <c r="B6186" s="2" t="str">
        <f>IFERROR(__xludf.DUMMYFUNCTION("GOOGLETRANSLATE(A6186, ""de"", ""en"")"),"cut off")</f>
        <v>cut off</v>
      </c>
    </row>
    <row r="6187">
      <c r="A6187" s="1" t="s">
        <v>6187</v>
      </c>
      <c r="B6187" s="2" t="str">
        <f>IFERROR(__xludf.DUMMYFUNCTION("GOOGLETRANSLATE(A6187, ""de"", ""en"")"),"quality")</f>
        <v>quality</v>
      </c>
    </row>
    <row r="6188">
      <c r="A6188" s="1" t="s">
        <v>6188</v>
      </c>
      <c r="B6188" s="2" t="str">
        <f>IFERROR(__xludf.DUMMYFUNCTION("GOOGLETRANSLATE(A6188, ""de"", ""en"")"),"hangman")</f>
        <v>hangman</v>
      </c>
    </row>
    <row r="6189">
      <c r="A6189" s="1" t="s">
        <v>6189</v>
      </c>
      <c r="B6189" s="2" t="str">
        <f>IFERROR(__xludf.DUMMYFUNCTION("GOOGLETRANSLATE(A6189, ""de"", ""en"")"),"pulled out")</f>
        <v>pulled out</v>
      </c>
    </row>
    <row r="6190">
      <c r="A6190" s="1" t="s">
        <v>6190</v>
      </c>
      <c r="B6190" s="2" t="str">
        <f>IFERROR(__xludf.DUMMYFUNCTION("GOOGLETRANSLATE(A6190, ""de"", ""en"")"),"assure")</f>
        <v>assure</v>
      </c>
    </row>
    <row r="6191">
      <c r="A6191" s="1" t="s">
        <v>6191</v>
      </c>
      <c r="B6191" s="2" t="str">
        <f>IFERROR(__xludf.DUMMYFUNCTION("GOOGLETRANSLATE(A6191, ""de"", ""en"")"),"you win")</f>
        <v>you win</v>
      </c>
    </row>
    <row r="6192">
      <c r="A6192" s="1" t="s">
        <v>6192</v>
      </c>
      <c r="B6192" s="2" t="str">
        <f>IFERROR(__xludf.DUMMYFUNCTION("GOOGLETRANSLATE(A6192, ""de"", ""en"")"),"navy")</f>
        <v>navy</v>
      </c>
    </row>
    <row r="6193">
      <c r="A6193" s="1" t="s">
        <v>6193</v>
      </c>
      <c r="B6193" s="2" t="str">
        <f>IFERROR(__xludf.DUMMYFUNCTION("GOOGLETRANSLATE(A6193, ""de"", ""en"")"),"Schmidt")</f>
        <v>Schmidt</v>
      </c>
    </row>
    <row r="6194">
      <c r="A6194" s="1" t="s">
        <v>6194</v>
      </c>
      <c r="B6194" s="2" t="str">
        <f>IFERROR(__xludf.DUMMYFUNCTION("GOOGLETRANSLATE(A6194, ""de"", ""en"")"),"decided")</f>
        <v>decided</v>
      </c>
    </row>
    <row r="6195">
      <c r="A6195" s="1" t="s">
        <v>6195</v>
      </c>
      <c r="B6195" s="2" t="str">
        <f>IFERROR(__xludf.DUMMYFUNCTION("GOOGLETRANSLATE(A6195, ""de"", ""en"")"),"batman")</f>
        <v>batman</v>
      </c>
    </row>
    <row r="6196">
      <c r="A6196" s="1" t="s">
        <v>6196</v>
      </c>
      <c r="B6196" s="2" t="str">
        <f>IFERROR(__xludf.DUMMYFUNCTION("GOOGLETRANSLATE(A6196, ""de"", ""en"")"),"sun")</f>
        <v>sun</v>
      </c>
    </row>
    <row r="6197">
      <c r="A6197" s="1" t="s">
        <v>6197</v>
      </c>
      <c r="B6197" s="2" t="str">
        <f>IFERROR(__xludf.DUMMYFUNCTION("GOOGLETRANSLATE(A6197, ""de"", ""en"")"),"get it")</f>
        <v>get it</v>
      </c>
    </row>
    <row r="6198">
      <c r="A6198" s="1" t="s">
        <v>6198</v>
      </c>
      <c r="B6198" s="2" t="str">
        <f>IFERROR(__xludf.DUMMYFUNCTION("GOOGLETRANSLATE(A6198, ""de"", ""en"")"),"disc")</f>
        <v>disc</v>
      </c>
    </row>
    <row r="6199">
      <c r="A6199" s="1" t="s">
        <v>6199</v>
      </c>
      <c r="B6199" s="2" t="str">
        <f>IFERROR(__xludf.DUMMYFUNCTION("GOOGLETRANSLATE(A6199, ""de"", ""en"")"),"veronica")</f>
        <v>veronica</v>
      </c>
    </row>
    <row r="6200">
      <c r="A6200" s="1" t="s">
        <v>6200</v>
      </c>
      <c r="B6200" s="2" t="str">
        <f>IFERROR(__xludf.DUMMYFUNCTION("GOOGLETRANSLATE(A6200, ""de"", ""en"")"),"rosie")</f>
        <v>rosie</v>
      </c>
    </row>
    <row r="6201">
      <c r="A6201" s="1" t="s">
        <v>6201</v>
      </c>
      <c r="B6201" s="2" t="str">
        <f>IFERROR(__xludf.DUMMYFUNCTION("GOOGLETRANSLATE(A6201, ""de"", ""en"")"),"pedro")</f>
        <v>pedro</v>
      </c>
    </row>
    <row r="6202">
      <c r="A6202" s="1" t="s">
        <v>6202</v>
      </c>
      <c r="B6202" s="2" t="str">
        <f>IFERROR(__xludf.DUMMYFUNCTION("GOOGLETRANSLATE(A6202, ""de"", ""en"")"),"conference")</f>
        <v>conference</v>
      </c>
    </row>
    <row r="6203">
      <c r="A6203" s="1" t="s">
        <v>6203</v>
      </c>
      <c r="B6203" s="2" t="str">
        <f>IFERROR(__xludf.DUMMYFUNCTION("GOOGLETRANSLATE(A6203, ""de"", ""en"")"),"countries")</f>
        <v>countries</v>
      </c>
    </row>
    <row r="6204">
      <c r="A6204" s="1" t="s">
        <v>6204</v>
      </c>
      <c r="B6204" s="2" t="str">
        <f>IFERROR(__xludf.DUMMYFUNCTION("GOOGLETRANSLATE(A6204, ""de"", ""en"")"),"stains")</f>
        <v>stains</v>
      </c>
    </row>
    <row r="6205">
      <c r="A6205" s="1" t="s">
        <v>6205</v>
      </c>
      <c r="B6205" s="2" t="str">
        <f>IFERROR(__xludf.DUMMYFUNCTION("GOOGLETRANSLATE(A6205, ""de"", ""en"")"),"for")</f>
        <v>for</v>
      </c>
    </row>
    <row r="6206">
      <c r="A6206" s="1" t="s">
        <v>6206</v>
      </c>
      <c r="B6206" s="2" t="str">
        <f>IFERROR(__xludf.DUMMYFUNCTION("GOOGLETRANSLATE(A6206, ""de"", ""en"")"),"neal")</f>
        <v>neal</v>
      </c>
    </row>
    <row r="6207">
      <c r="A6207" s="1" t="s">
        <v>6207</v>
      </c>
      <c r="B6207" s="2" t="str">
        <f>IFERROR(__xludf.DUMMYFUNCTION("GOOGLETRANSLATE(A6207, ""de"", ""en"")"),"sunrise")</f>
        <v>sunrise</v>
      </c>
    </row>
    <row r="6208">
      <c r="A6208" s="1" t="s">
        <v>6208</v>
      </c>
      <c r="B6208" s="2" t="str">
        <f>IFERROR(__xludf.DUMMYFUNCTION("GOOGLETRANSLATE(A6208, ""de"", ""en"")"),"reed")</f>
        <v>reed</v>
      </c>
    </row>
    <row r="6209">
      <c r="A6209" s="1" t="s">
        <v>6209</v>
      </c>
      <c r="B6209" s="2" t="str">
        <f>IFERROR(__xludf.DUMMYFUNCTION("GOOGLETRANSLATE(A6209, ""de"", ""en"")"),"brown")</f>
        <v>brown</v>
      </c>
    </row>
    <row r="6210">
      <c r="A6210" s="1" t="s">
        <v>6210</v>
      </c>
      <c r="B6210" s="2" t="str">
        <f>IFERROR(__xludf.DUMMYFUNCTION("GOOGLETRANSLATE(A6210, ""de"", ""en"")"),"diagnosis")</f>
        <v>diagnosis</v>
      </c>
    </row>
    <row r="6211">
      <c r="A6211" s="1" t="s">
        <v>6211</v>
      </c>
      <c r="B6211" s="2" t="str">
        <f>IFERROR(__xludf.DUMMYFUNCTION("GOOGLETRANSLATE(A6211, ""de"", ""en"")"),"paranoid")</f>
        <v>paranoid</v>
      </c>
    </row>
    <row r="6212">
      <c r="A6212" s="1" t="s">
        <v>6212</v>
      </c>
      <c r="B6212" s="2" t="str">
        <f>IFERROR(__xludf.DUMMYFUNCTION("GOOGLETRANSLATE(A6212, ""de"", ""en"")"),"space")</f>
        <v>space</v>
      </c>
    </row>
    <row r="6213">
      <c r="A6213" s="1" t="s">
        <v>6213</v>
      </c>
      <c r="B6213" s="2" t="str">
        <f>IFERROR(__xludf.DUMMYFUNCTION("GOOGLETRANSLATE(A6213, ""de"", ""en"")"),"Adams")</f>
        <v>Adams</v>
      </c>
    </row>
    <row r="6214">
      <c r="A6214" s="1" t="s">
        <v>6214</v>
      </c>
      <c r="B6214" s="2" t="str">
        <f>IFERROR(__xludf.DUMMYFUNCTION("GOOGLETRANSLATE(A6214, ""de"", ""en"")"),"example")</f>
        <v>example</v>
      </c>
    </row>
    <row r="6215">
      <c r="A6215" s="1" t="s">
        <v>6215</v>
      </c>
      <c r="B6215" s="2" t="str">
        <f>IFERROR(__xludf.DUMMYFUNCTION("GOOGLETRANSLATE(A6215, ""de"", ""en"")"),"hall")</f>
        <v>hall</v>
      </c>
    </row>
    <row r="6216">
      <c r="A6216" s="1" t="s">
        <v>6216</v>
      </c>
      <c r="B6216" s="2" t="str">
        <f>IFERROR(__xludf.DUMMYFUNCTION("GOOGLETRANSLATE(A6216, ""de"", ""en"")"),"hike")</f>
        <v>hike</v>
      </c>
    </row>
    <row r="6217">
      <c r="A6217" s="1" t="s">
        <v>6217</v>
      </c>
      <c r="B6217" s="2" t="str">
        <f>IFERROR(__xludf.DUMMYFUNCTION("GOOGLETRANSLATE(A6217, ""de"", ""en"")"),"fisher")</f>
        <v>fisher</v>
      </c>
    </row>
    <row r="6218">
      <c r="A6218" s="1" t="s">
        <v>6218</v>
      </c>
      <c r="B6218" s="2" t="str">
        <f>IFERROR(__xludf.DUMMYFUNCTION("GOOGLETRANSLATE(A6218, ""de"", ""en"")"),"frost")</f>
        <v>frost</v>
      </c>
    </row>
    <row r="6219">
      <c r="A6219" s="1" t="s">
        <v>6219</v>
      </c>
      <c r="B6219" s="2" t="str">
        <f>IFERROR(__xludf.DUMMYFUNCTION("GOOGLETRANSLATE(A6219, ""de"", ""en"")"),"traded")</f>
        <v>traded</v>
      </c>
    </row>
    <row r="6220">
      <c r="A6220" s="1" t="s">
        <v>6220</v>
      </c>
      <c r="B6220" s="2" t="str">
        <f>IFERROR(__xludf.DUMMYFUNCTION("GOOGLETRANSLATE(A6220, ""de"", ""en"")"),"Hawaii")</f>
        <v>Hawaii</v>
      </c>
    </row>
    <row r="6221">
      <c r="A6221" s="1" t="s">
        <v>6221</v>
      </c>
      <c r="B6221" s="2" t="str">
        <f>IFERROR(__xludf.DUMMYFUNCTION("GOOGLETRANSLATE(A6221, ""de"", ""en"")"),"cabin")</f>
        <v>cabin</v>
      </c>
    </row>
    <row r="6222">
      <c r="A6222" s="1" t="s">
        <v>6222</v>
      </c>
      <c r="B6222" s="2" t="str">
        <f>IFERROR(__xludf.DUMMYFUNCTION("GOOGLETRANSLATE(A6222, ""de"", ""en"")"),"boss")</f>
        <v>boss</v>
      </c>
    </row>
    <row r="6223">
      <c r="A6223" s="1" t="s">
        <v>6223</v>
      </c>
      <c r="B6223" s="2" t="str">
        <f>IFERROR(__xludf.DUMMYFUNCTION("GOOGLETRANSLATE(A6223, ""de"", ""en"")"),"porter")</f>
        <v>porter</v>
      </c>
    </row>
    <row r="6224">
      <c r="A6224" s="1" t="s">
        <v>6224</v>
      </c>
      <c r="B6224" s="2" t="str">
        <f>IFERROR(__xludf.DUMMYFUNCTION("GOOGLETRANSLATE(A6224, ""de"", ""en"")"),"Roman")</f>
        <v>Roman</v>
      </c>
    </row>
    <row r="6225">
      <c r="A6225" s="1" t="s">
        <v>6225</v>
      </c>
      <c r="B6225" s="2" t="str">
        <f>IFERROR(__xludf.DUMMYFUNCTION("GOOGLETRANSLATE(A6225, ""de"", ""en"")"),"crying")</f>
        <v>crying</v>
      </c>
    </row>
    <row r="6226">
      <c r="A6226" s="1" t="s">
        <v>6226</v>
      </c>
      <c r="B6226" s="2" t="str">
        <f>IFERROR(__xludf.DUMMYFUNCTION("GOOGLETRANSLATE(A6226, ""de"", ""en"")"),"trees")</f>
        <v>trees</v>
      </c>
    </row>
    <row r="6227">
      <c r="A6227" s="1" t="s">
        <v>6227</v>
      </c>
      <c r="B6227" s="2" t="str">
        <f>IFERROR(__xludf.DUMMYFUNCTION("GOOGLETRANSLATE(A6227, ""de"", ""en"")"),"simpson")</f>
        <v>simpson</v>
      </c>
    </row>
    <row r="6228">
      <c r="A6228" s="1" t="s">
        <v>6228</v>
      </c>
      <c r="B6228" s="2" t="str">
        <f>IFERROR(__xludf.DUMMYFUNCTION("GOOGLETRANSLATE(A6228, ""de"", ""en"")"),"database")</f>
        <v>database</v>
      </c>
    </row>
    <row r="6229">
      <c r="A6229" s="1" t="s">
        <v>6229</v>
      </c>
      <c r="B6229" s="2" t="str">
        <f>IFERROR(__xludf.DUMMYFUNCTION("GOOGLETRANSLATE(A6229, ""de"", ""en"")"),"were looking for")</f>
        <v>were looking for</v>
      </c>
    </row>
    <row r="6230">
      <c r="A6230" s="1" t="s">
        <v>6230</v>
      </c>
      <c r="B6230" s="2" t="str">
        <f>IFERROR(__xludf.DUMMYFUNCTION("GOOGLETRANSLATE(A6230, ""de"", ""en"")"),"blessed")</f>
        <v>blessed</v>
      </c>
    </row>
    <row r="6231">
      <c r="A6231" s="1" t="s">
        <v>6231</v>
      </c>
      <c r="B6231" s="2" t="str">
        <f>IFERROR(__xludf.DUMMYFUNCTION("GOOGLETRANSLATE(A6231, ""de"", ""en"")"),"participate")</f>
        <v>participate</v>
      </c>
    </row>
    <row r="6232">
      <c r="A6232" s="1" t="s">
        <v>6232</v>
      </c>
      <c r="B6232" s="2" t="str">
        <f>IFERROR(__xludf.DUMMYFUNCTION("GOOGLETRANSLATE(A6232, ""de"", ""en"")"),"kills")</f>
        <v>kills</v>
      </c>
    </row>
    <row r="6233">
      <c r="A6233" s="1" t="s">
        <v>6233</v>
      </c>
      <c r="B6233" s="2" t="str">
        <f>IFERROR(__xludf.DUMMYFUNCTION("GOOGLETRANSLATE(A6233, ""de"", ""en"")"),"Claude")</f>
        <v>Claude</v>
      </c>
    </row>
    <row r="6234">
      <c r="A6234" s="1" t="s">
        <v>6234</v>
      </c>
      <c r="B6234" s="2" t="str">
        <f>IFERROR(__xludf.DUMMYFUNCTION("GOOGLETRANSLATE(A6234, ""de"", ""en"")"),"blonde")</f>
        <v>blonde</v>
      </c>
    </row>
    <row r="6235">
      <c r="A6235" s="1" t="s">
        <v>6235</v>
      </c>
      <c r="B6235" s="2" t="str">
        <f>IFERROR(__xludf.DUMMYFUNCTION("GOOGLETRANSLATE(A6235, ""de"", ""en"")"),"bunker")</f>
        <v>bunker</v>
      </c>
    </row>
    <row r="6236">
      <c r="A6236" s="1" t="s">
        <v>6236</v>
      </c>
      <c r="B6236" s="2" t="str">
        <f>IFERROR(__xludf.DUMMYFUNCTION("GOOGLETRANSLATE(A6236, ""de"", ""en"")"),"lousy")</f>
        <v>lousy</v>
      </c>
    </row>
    <row r="6237">
      <c r="A6237" s="1" t="s">
        <v>6237</v>
      </c>
      <c r="B6237" s="2" t="str">
        <f>IFERROR(__xludf.DUMMYFUNCTION("GOOGLETRANSLATE(A6237, ""de"", ""en"")"),"spoon")</f>
        <v>spoon</v>
      </c>
    </row>
    <row r="6238">
      <c r="A6238" s="1" t="s">
        <v>6238</v>
      </c>
      <c r="B6238" s="2" t="str">
        <f>IFERROR(__xludf.DUMMYFUNCTION("GOOGLETRANSLATE(A6238, ""de"", ""en"")"),"divided")</f>
        <v>divided</v>
      </c>
    </row>
    <row r="6239">
      <c r="A6239" s="1" t="s">
        <v>6239</v>
      </c>
      <c r="B6239" s="2" t="str">
        <f>IFERROR(__xludf.DUMMYFUNCTION("GOOGLETRANSLATE(A6239, ""de"", ""en"")"),"clear up")</f>
        <v>clear up</v>
      </c>
    </row>
    <row r="6240">
      <c r="A6240" s="1" t="s">
        <v>6240</v>
      </c>
      <c r="B6240" s="2" t="str">
        <f>IFERROR(__xludf.DUMMYFUNCTION("GOOGLETRANSLATE(A6240, ""de"", ""en"")"),"bree")</f>
        <v>bree</v>
      </c>
    </row>
    <row r="6241">
      <c r="A6241" s="1" t="s">
        <v>6241</v>
      </c>
      <c r="B6241" s="2" t="str">
        <f>IFERROR(__xludf.DUMMYFUNCTION("GOOGLETRANSLATE(A6241, ""de"", ""en"")"),"dependent")</f>
        <v>dependent</v>
      </c>
    </row>
    <row r="6242">
      <c r="A6242" s="1" t="s">
        <v>6242</v>
      </c>
      <c r="B6242" s="2" t="str">
        <f>IFERROR(__xludf.DUMMYFUNCTION("GOOGLETRANSLATE(A6242, ""de"", ""en"")"),"survivors")</f>
        <v>survivors</v>
      </c>
    </row>
    <row r="6243">
      <c r="A6243" s="1" t="s">
        <v>6243</v>
      </c>
      <c r="B6243" s="2" t="str">
        <f>IFERROR(__xludf.DUMMYFUNCTION("GOOGLETRANSLATE(A6243, ""de"", ""en"")"),"worf")</f>
        <v>worf</v>
      </c>
    </row>
    <row r="6244">
      <c r="A6244" s="1" t="s">
        <v>6244</v>
      </c>
      <c r="B6244" s="2" t="str">
        <f>IFERROR(__xludf.DUMMYFUNCTION("GOOGLETRANSLATE(A6244, ""de"", ""en"")"),"suitable")</f>
        <v>suitable</v>
      </c>
    </row>
    <row r="6245">
      <c r="A6245" s="1" t="s">
        <v>6245</v>
      </c>
      <c r="B6245" s="2" t="str">
        <f>IFERROR(__xludf.DUMMYFUNCTION("GOOGLETRANSLATE(A6245, ""de"", ""en"")"),"prevent")</f>
        <v>prevent</v>
      </c>
    </row>
    <row r="6246">
      <c r="A6246" s="1" t="s">
        <v>6246</v>
      </c>
      <c r="B6246" s="2" t="str">
        <f>IFERROR(__xludf.DUMMYFUNCTION("GOOGLETRANSLATE(A6246, ""de"", ""en"")"),"elevator")</f>
        <v>elevator</v>
      </c>
    </row>
    <row r="6247">
      <c r="A6247" s="1" t="s">
        <v>6247</v>
      </c>
      <c r="B6247" s="2" t="str">
        <f>IFERROR(__xludf.DUMMYFUNCTION("GOOGLETRANSLATE(A6247, ""de"", ""en"")"),"goes out")</f>
        <v>goes out</v>
      </c>
    </row>
    <row r="6248">
      <c r="A6248" s="1" t="s">
        <v>6248</v>
      </c>
      <c r="B6248" s="2" t="str">
        <f>IFERROR(__xludf.DUMMYFUNCTION("GOOGLETRANSLATE(A6248, ""de"", ""en"")"),"my lady")</f>
        <v>my lady</v>
      </c>
    </row>
    <row r="6249">
      <c r="A6249" s="1" t="s">
        <v>6249</v>
      </c>
      <c r="B6249" s="2" t="str">
        <f>IFERROR(__xludf.DUMMYFUNCTION("GOOGLETRANSLATE(A6249, ""de"", ""en"")"),"flag")</f>
        <v>flag</v>
      </c>
    </row>
    <row r="6250">
      <c r="A6250" s="1" t="s">
        <v>6250</v>
      </c>
      <c r="B6250" s="2" t="str">
        <f>IFERROR(__xludf.DUMMYFUNCTION("GOOGLETRANSLATE(A6250, ""de"", ""en"")"),"complete")</f>
        <v>complete</v>
      </c>
    </row>
    <row r="6251">
      <c r="A6251" s="1" t="s">
        <v>6251</v>
      </c>
      <c r="B6251" s="2" t="str">
        <f>IFERROR(__xludf.DUMMYFUNCTION("GOOGLETRANSLATE(A6251, ""de"", ""en"")"),"hung")</f>
        <v>hung</v>
      </c>
    </row>
    <row r="6252">
      <c r="A6252" s="1" t="s">
        <v>6252</v>
      </c>
      <c r="B6252" s="2" t="str">
        <f>IFERROR(__xludf.DUMMYFUNCTION("GOOGLETRANSLATE(A6252, ""de"", ""en"")"),"Italian")</f>
        <v>Italian</v>
      </c>
    </row>
    <row r="6253">
      <c r="A6253" s="1" t="s">
        <v>6253</v>
      </c>
      <c r="B6253" s="2" t="str">
        <f>IFERROR(__xludf.DUMMYFUNCTION("GOOGLETRANSLATE(A6253, ""de"", ""en"")"),"discipline")</f>
        <v>discipline</v>
      </c>
    </row>
    <row r="6254">
      <c r="A6254" s="1" t="s">
        <v>6254</v>
      </c>
      <c r="B6254" s="2" t="str">
        <f>IFERROR(__xludf.DUMMYFUNCTION("GOOGLETRANSLATE(A6254, ""de"", ""en"")"),"educated")</f>
        <v>educated</v>
      </c>
    </row>
    <row r="6255">
      <c r="A6255" s="1" t="s">
        <v>6255</v>
      </c>
      <c r="B6255" s="2" t="str">
        <f>IFERROR(__xludf.DUMMYFUNCTION("GOOGLETRANSLATE(A6255, ""de"", ""en"")"),"Harvard")</f>
        <v>Harvard</v>
      </c>
    </row>
    <row r="6256">
      <c r="A6256" s="1" t="s">
        <v>6256</v>
      </c>
      <c r="B6256" s="2" t="str">
        <f>IFERROR(__xludf.DUMMYFUNCTION("GOOGLETRANSLATE(A6256, ""de"", ""en"")"),"congress")</f>
        <v>congress</v>
      </c>
    </row>
    <row r="6257">
      <c r="A6257" s="1" t="s">
        <v>6257</v>
      </c>
      <c r="B6257" s="2" t="str">
        <f>IFERROR(__xludf.DUMMYFUNCTION("GOOGLETRANSLATE(A6257, ""de"", ""en"")"),"withdrawn")</f>
        <v>withdrawn</v>
      </c>
    </row>
    <row r="6258">
      <c r="A6258" s="1" t="s">
        <v>6258</v>
      </c>
      <c r="B6258" s="2" t="str">
        <f>IFERROR(__xludf.DUMMYFUNCTION("GOOGLETRANSLATE(A6258, ""de"", ""en"")"),"shorter")</f>
        <v>shorter</v>
      </c>
    </row>
    <row r="6259">
      <c r="A6259" s="1" t="s">
        <v>6259</v>
      </c>
      <c r="B6259" s="2" t="str">
        <f>IFERROR(__xludf.DUMMYFUNCTION("GOOGLETRANSLATE(A6259, ""de"", ""en"")"),"screen")</f>
        <v>screen</v>
      </c>
    </row>
    <row r="6260">
      <c r="A6260" s="1" t="s">
        <v>6260</v>
      </c>
      <c r="B6260" s="2" t="str">
        <f>IFERROR(__xludf.DUMMYFUNCTION("GOOGLETRANSLATE(A6260, ""de"", ""en"")"),"merlin")</f>
        <v>merlin</v>
      </c>
    </row>
    <row r="6261">
      <c r="A6261" s="1" t="s">
        <v>6261</v>
      </c>
      <c r="B6261" s="2" t="str">
        <f>IFERROR(__xludf.DUMMYFUNCTION("GOOGLETRANSLATE(A6261, ""de"", ""en"")"),"charm")</f>
        <v>charm</v>
      </c>
    </row>
    <row r="6262">
      <c r="A6262" s="1" t="s">
        <v>6262</v>
      </c>
      <c r="B6262" s="2" t="str">
        <f>IFERROR(__xludf.DUMMYFUNCTION("GOOGLETRANSLATE(A6262, ""de"", ""en"")"),"read aloud")</f>
        <v>read aloud</v>
      </c>
    </row>
    <row r="6263">
      <c r="A6263" s="1" t="s">
        <v>6263</v>
      </c>
      <c r="B6263" s="2" t="str">
        <f>IFERROR(__xludf.DUMMYFUNCTION("GOOGLETRANSLATE(A6263, ""de"", ""en"")"),"more dangerous")</f>
        <v>more dangerous</v>
      </c>
    </row>
    <row r="6264">
      <c r="A6264" s="1" t="s">
        <v>6264</v>
      </c>
      <c r="B6264" s="2" t="str">
        <f>IFERROR(__xludf.DUMMYFUNCTION("GOOGLETRANSLATE(A6264, ""de"", ""en"")"),"ride along")</f>
        <v>ride along</v>
      </c>
    </row>
    <row r="6265">
      <c r="A6265" s="1" t="s">
        <v>6265</v>
      </c>
      <c r="B6265" s="2" t="str">
        <f>IFERROR(__xludf.DUMMYFUNCTION("GOOGLETRANSLATE(A6265, ""de"", ""en"")"),"maurice")</f>
        <v>maurice</v>
      </c>
    </row>
    <row r="6266">
      <c r="A6266" s="1" t="s">
        <v>6266</v>
      </c>
      <c r="B6266" s="2" t="str">
        <f>IFERROR(__xludf.DUMMYFUNCTION("GOOGLETRANSLATE(A6266, ""de"", ""en"")"),"show")</f>
        <v>show</v>
      </c>
    </row>
    <row r="6267">
      <c r="A6267" s="1" t="s">
        <v>6267</v>
      </c>
      <c r="B6267" s="2" t="str">
        <f>IFERROR(__xludf.DUMMYFUNCTION("GOOGLETRANSLATE(A6267, ""de"", ""en"")"),"d.")</f>
        <v>d.</v>
      </c>
    </row>
    <row r="6268">
      <c r="A6268" s="1" t="s">
        <v>6268</v>
      </c>
      <c r="B6268" s="2" t="str">
        <f>IFERROR(__xludf.DUMMYFUNCTION("GOOGLETRANSLATE(A6268, ""de"", ""en"")"),"push")</f>
        <v>push</v>
      </c>
    </row>
    <row r="6269">
      <c r="A6269" s="1" t="s">
        <v>6269</v>
      </c>
      <c r="B6269" s="2" t="str">
        <f>IFERROR(__xludf.DUMMYFUNCTION("GOOGLETRANSLATE(A6269, ""de"", ""en"")"),"sensitive")</f>
        <v>sensitive</v>
      </c>
    </row>
    <row r="6270">
      <c r="A6270" s="1" t="s">
        <v>6270</v>
      </c>
      <c r="B6270" s="2" t="str">
        <f>IFERROR(__xludf.DUMMYFUNCTION("GOOGLETRANSLATE(A6270, ""de"", ""en"")"),"park")</f>
        <v>park</v>
      </c>
    </row>
    <row r="6271">
      <c r="A6271" s="1" t="s">
        <v>6271</v>
      </c>
      <c r="B6271" s="2" t="str">
        <f>IFERROR(__xludf.DUMMYFUNCTION("GOOGLETRANSLATE(A6271, ""de"", ""en"")"),"cook")</f>
        <v>cook</v>
      </c>
    </row>
    <row r="6272">
      <c r="A6272" s="1" t="s">
        <v>6272</v>
      </c>
      <c r="B6272" s="2" t="str">
        <f>IFERROR(__xludf.DUMMYFUNCTION("GOOGLETRANSLATE(A6272, ""de"", ""en"")"),"deleted")</f>
        <v>deleted</v>
      </c>
    </row>
    <row r="6273">
      <c r="A6273" s="1" t="s">
        <v>6273</v>
      </c>
      <c r="B6273" s="2" t="str">
        <f>IFERROR(__xludf.DUMMYFUNCTION("GOOGLETRANSLATE(A6273, ""de"", ""en"")"),"famous")</f>
        <v>famous</v>
      </c>
    </row>
    <row r="6274">
      <c r="A6274" s="1" t="s">
        <v>6274</v>
      </c>
      <c r="B6274" s="2" t="str">
        <f>IFERROR(__xludf.DUMMYFUNCTION("GOOGLETRANSLATE(A6274, ""de"", ""en"")"),"some")</f>
        <v>some</v>
      </c>
    </row>
    <row r="6275">
      <c r="A6275" s="1" t="s">
        <v>6275</v>
      </c>
      <c r="B6275" s="2" t="str">
        <f>IFERROR(__xludf.DUMMYFUNCTION("GOOGLETRANSLATE(A6275, ""de"", ""en"")"),"knock")</f>
        <v>knock</v>
      </c>
    </row>
    <row r="6276">
      <c r="A6276" s="1" t="s">
        <v>6276</v>
      </c>
      <c r="B6276" s="2" t="str">
        <f>IFERROR(__xludf.DUMMYFUNCTION("GOOGLETRANSLATE(A6276, ""de"", ""en"")"),"Zoro")</f>
        <v>Zoro</v>
      </c>
    </row>
    <row r="6277">
      <c r="A6277" s="1" t="s">
        <v>6277</v>
      </c>
      <c r="B6277" s="2" t="str">
        <f>IFERROR(__xludf.DUMMYFUNCTION("GOOGLETRANSLATE(A6277, ""de"", ""en"")"),"plenty")</f>
        <v>plenty</v>
      </c>
    </row>
    <row r="6278">
      <c r="A6278" s="1" t="s">
        <v>6278</v>
      </c>
      <c r="B6278" s="2" t="str">
        <f>IFERROR(__xludf.DUMMYFUNCTION("GOOGLETRANSLATE(A6278, ""de"", ""en"")"),"liar")</f>
        <v>liar</v>
      </c>
    </row>
    <row r="6279">
      <c r="A6279" s="1" t="s">
        <v>6279</v>
      </c>
      <c r="B6279" s="2" t="str">
        <f>IFERROR(__xludf.DUMMYFUNCTION("GOOGLETRANSLATE(A6279, ""de"", ""en"")"),"fashion")</f>
        <v>fashion</v>
      </c>
    </row>
    <row r="6280">
      <c r="A6280" s="1" t="s">
        <v>6280</v>
      </c>
      <c r="B6280" s="2" t="str">
        <f>IFERROR(__xludf.DUMMYFUNCTION("GOOGLETRANSLATE(A6280, ""de"", ""en"")"),"songs")</f>
        <v>songs</v>
      </c>
    </row>
    <row r="6281">
      <c r="A6281" s="1" t="s">
        <v>6281</v>
      </c>
      <c r="B6281" s="2" t="str">
        <f>IFERROR(__xludf.DUMMYFUNCTION("GOOGLETRANSLATE(A6281, ""de"", ""en"")"),"break")</f>
        <v>break</v>
      </c>
    </row>
    <row r="6282">
      <c r="A6282" s="1" t="s">
        <v>6282</v>
      </c>
      <c r="B6282" s="2" t="str">
        <f>IFERROR(__xludf.DUMMYFUNCTION("GOOGLETRANSLATE(A6282, ""de"", ""en"")"),"robbed")</f>
        <v>robbed</v>
      </c>
    </row>
    <row r="6283">
      <c r="A6283" s="1" t="s">
        <v>6283</v>
      </c>
      <c r="B6283" s="2" t="str">
        <f>IFERROR(__xludf.DUMMYFUNCTION("GOOGLETRANSLATE(A6283, ""de"", ""en"")"),"faucet")</f>
        <v>faucet</v>
      </c>
    </row>
    <row r="6284">
      <c r="A6284" s="1" t="s">
        <v>6284</v>
      </c>
      <c r="B6284" s="2" t="str">
        <f>IFERROR(__xludf.DUMMYFUNCTION("GOOGLETRANSLATE(A6284, ""de"", ""en"")"),"knew")</f>
        <v>knew</v>
      </c>
    </row>
    <row r="6285">
      <c r="A6285" s="1" t="s">
        <v>6285</v>
      </c>
      <c r="B6285" s="2" t="str">
        <f>IFERROR(__xludf.DUMMYFUNCTION("GOOGLETRANSLATE(A6285, ""de"", ""en"")"),"crash")</f>
        <v>crash</v>
      </c>
    </row>
    <row r="6286">
      <c r="A6286" s="1" t="s">
        <v>6286</v>
      </c>
      <c r="B6286" s="2" t="str">
        <f>IFERROR(__xludf.DUMMYFUNCTION("GOOGLETRANSLATE(A6286, ""de"", ""en"")"),"felt")</f>
        <v>felt</v>
      </c>
    </row>
    <row r="6287">
      <c r="A6287" s="1" t="s">
        <v>6287</v>
      </c>
      <c r="B6287" s="2" t="str">
        <f>IFERROR(__xludf.DUMMYFUNCTION("GOOGLETRANSLATE(A6287, ""de"", ""en"")"),"meeting")</f>
        <v>meeting</v>
      </c>
    </row>
    <row r="6288">
      <c r="A6288" s="1" t="s">
        <v>6288</v>
      </c>
      <c r="B6288" s="2" t="str">
        <f>IFERROR(__xludf.DUMMYFUNCTION("GOOGLETRANSLATE(A6288, ""de"", ""en"")"),"torture")</f>
        <v>torture</v>
      </c>
    </row>
    <row r="6289">
      <c r="A6289" s="1" t="s">
        <v>6289</v>
      </c>
      <c r="B6289" s="2" t="str">
        <f>IFERROR(__xludf.DUMMYFUNCTION("GOOGLETRANSLATE(A6289, ""de"", ""en"")"),"bacon")</f>
        <v>bacon</v>
      </c>
    </row>
    <row r="6290">
      <c r="A6290" s="1" t="s">
        <v>6290</v>
      </c>
      <c r="B6290" s="2" t="str">
        <f>IFERROR(__xludf.DUMMYFUNCTION("GOOGLETRANSLATE(A6290, ""de"", ""en"")"),"threatening")</f>
        <v>threatening</v>
      </c>
    </row>
    <row r="6291">
      <c r="A6291" s="1" t="s">
        <v>6291</v>
      </c>
      <c r="B6291" s="2" t="str">
        <f>IFERROR(__xludf.DUMMYFUNCTION("GOOGLETRANSLATE(A6291, ""de"", ""en"")"),"beeps")</f>
        <v>beeps</v>
      </c>
    </row>
    <row r="6292">
      <c r="A6292" s="1" t="s">
        <v>6292</v>
      </c>
      <c r="B6292" s="2" t="str">
        <f>IFERROR(__xludf.DUMMYFUNCTION("GOOGLETRANSLATE(A6292, ""de"", ""en"")"),"spread")</f>
        <v>spread</v>
      </c>
    </row>
    <row r="6293">
      <c r="A6293" s="1" t="s">
        <v>6293</v>
      </c>
      <c r="B6293" s="2" t="str">
        <f>IFERROR(__xludf.DUMMYFUNCTION("GOOGLETRANSLATE(A6293, ""de"", ""en"")"),"nolan")</f>
        <v>nolan</v>
      </c>
    </row>
    <row r="6294">
      <c r="A6294" s="1" t="s">
        <v>6294</v>
      </c>
      <c r="B6294" s="2" t="str">
        <f>IFERROR(__xludf.DUMMYFUNCTION("GOOGLETRANSLATE(A6294, ""de"", ""en"")"),"goals")</f>
        <v>goals</v>
      </c>
    </row>
    <row r="6295">
      <c r="A6295" s="1" t="s">
        <v>6295</v>
      </c>
      <c r="B6295" s="2" t="str">
        <f>IFERROR(__xludf.DUMMYFUNCTION("GOOGLETRANSLATE(A6295, ""de"", ""en"")"),"t.")</f>
        <v>t.</v>
      </c>
    </row>
    <row r="6296">
      <c r="A6296" s="1" t="s">
        <v>6296</v>
      </c>
      <c r="B6296" s="2" t="str">
        <f>IFERROR(__xludf.DUMMYFUNCTION("GOOGLETRANSLATE(A6296, ""de"", ""en"")"),"supplies")</f>
        <v>supplies</v>
      </c>
    </row>
    <row r="6297">
      <c r="A6297" s="1" t="s">
        <v>6297</v>
      </c>
      <c r="B6297" s="2" t="str">
        <f>IFERROR(__xludf.DUMMYFUNCTION("GOOGLETRANSLATE(A6297, ""de"", ""en"")"),"room")</f>
        <v>room</v>
      </c>
    </row>
    <row r="6298">
      <c r="A6298" s="1" t="s">
        <v>6298</v>
      </c>
      <c r="B6298" s="2" t="str">
        <f>IFERROR(__xludf.DUMMYFUNCTION("GOOGLETRANSLATE(A6298, ""de"", ""en"")"),"business")</f>
        <v>business</v>
      </c>
    </row>
    <row r="6299">
      <c r="A6299" s="1" t="s">
        <v>6299</v>
      </c>
      <c r="B6299" s="2" t="str">
        <f>IFERROR(__xludf.DUMMYFUNCTION("GOOGLETRANSLATE(A6299, ""de"", ""en"")"),"foreign")</f>
        <v>foreign</v>
      </c>
    </row>
    <row r="6300">
      <c r="A6300" s="1" t="s">
        <v>6300</v>
      </c>
      <c r="B6300" s="2" t="str">
        <f>IFERROR(__xludf.DUMMYFUNCTION("GOOGLETRANSLATE(A6300, ""de"", ""en"")"),"several times")</f>
        <v>several times</v>
      </c>
    </row>
    <row r="6301">
      <c r="A6301" s="1" t="s">
        <v>6301</v>
      </c>
      <c r="B6301" s="2" t="str">
        <f>IFERROR(__xludf.DUMMYFUNCTION("GOOGLETRANSLATE(A6301, ""de"", ""en"")"),"generations")</f>
        <v>generations</v>
      </c>
    </row>
    <row r="6302">
      <c r="A6302" s="1" t="s">
        <v>6302</v>
      </c>
      <c r="B6302" s="2" t="str">
        <f>IFERROR(__xludf.DUMMYFUNCTION("GOOGLETRANSLATE(A6302, ""de"", ""en"")"),"cool ones")</f>
        <v>cool ones</v>
      </c>
    </row>
    <row r="6303">
      <c r="A6303" s="1" t="s">
        <v>6303</v>
      </c>
      <c r="B6303" s="2" t="str">
        <f>IFERROR(__xludf.DUMMYFUNCTION("GOOGLETRANSLATE(A6303, ""de"", ""en"")"),"buy")</f>
        <v>buy</v>
      </c>
    </row>
    <row r="6304">
      <c r="A6304" s="1" t="s">
        <v>6304</v>
      </c>
      <c r="B6304" s="2" t="str">
        <f>IFERROR(__xludf.DUMMYFUNCTION("GOOGLETRANSLATE(A6304, ""de"", ""en"")"),"cancel")</f>
        <v>cancel</v>
      </c>
    </row>
    <row r="6305">
      <c r="A6305" s="1" t="s">
        <v>6305</v>
      </c>
      <c r="B6305" s="2" t="str">
        <f>IFERROR(__xludf.DUMMYFUNCTION("GOOGLETRANSLATE(A6305, ""de"", ""en"")"),"soap")</f>
        <v>soap</v>
      </c>
    </row>
    <row r="6306">
      <c r="A6306" s="1" t="s">
        <v>6306</v>
      </c>
      <c r="B6306" s="2" t="str">
        <f>IFERROR(__xludf.DUMMYFUNCTION("GOOGLETRANSLATE(A6306, ""de"", ""en"")"),"herd")</f>
        <v>herd</v>
      </c>
    </row>
    <row r="6307">
      <c r="A6307" s="1" t="s">
        <v>6307</v>
      </c>
      <c r="B6307" s="2" t="str">
        <f>IFERROR(__xludf.DUMMYFUNCTION("GOOGLETRANSLATE(A6307, ""de"", ""en"")"),"dwarf")</f>
        <v>dwarf</v>
      </c>
    </row>
    <row r="6308">
      <c r="A6308" s="1" t="s">
        <v>6308</v>
      </c>
      <c r="B6308" s="2" t="str">
        <f>IFERROR(__xludf.DUMMYFUNCTION("GOOGLETRANSLATE(A6308, ""de"", ""en"")"),"Brandon")</f>
        <v>Brandon</v>
      </c>
    </row>
    <row r="6309">
      <c r="A6309" s="1" t="s">
        <v>6309</v>
      </c>
      <c r="B6309" s="2" t="str">
        <f>IFERROR(__xludf.DUMMYFUNCTION("GOOGLETRANSLATE(A6309, ""de"", ""en"")"),"e.g.")</f>
        <v>e.g.</v>
      </c>
    </row>
    <row r="6310">
      <c r="A6310" s="1" t="s">
        <v>6310</v>
      </c>
      <c r="B6310" s="2" t="str">
        <f>IFERROR(__xludf.DUMMYFUNCTION("GOOGLETRANSLATE(A6310, ""de"", ""en"")"),"nephew")</f>
        <v>nephew</v>
      </c>
    </row>
    <row r="6311">
      <c r="A6311" s="1" t="s">
        <v>6311</v>
      </c>
      <c r="B6311" s="2" t="str">
        <f>IFERROR(__xludf.DUMMYFUNCTION("GOOGLETRANSLATE(A6311, ""de"", ""en"")"),"held")</f>
        <v>held</v>
      </c>
    </row>
    <row r="6312">
      <c r="A6312" s="1" t="s">
        <v>6312</v>
      </c>
      <c r="B6312" s="2" t="str">
        <f>IFERROR(__xludf.DUMMYFUNCTION("GOOGLETRANSLATE(A6312, ""de"", ""en"")"),"diversion")</f>
        <v>diversion</v>
      </c>
    </row>
    <row r="6313">
      <c r="A6313" s="1" t="s">
        <v>6313</v>
      </c>
      <c r="B6313" s="2" t="str">
        <f>IFERROR(__xludf.DUMMYFUNCTION("GOOGLETRANSLATE(A6313, ""de"", ""en"")"),"total")</f>
        <v>total</v>
      </c>
    </row>
    <row r="6314">
      <c r="A6314" s="1" t="s">
        <v>6314</v>
      </c>
      <c r="B6314" s="2" t="str">
        <f>IFERROR(__xludf.DUMMYFUNCTION("GOOGLETRANSLATE(A6314, ""de"", ""en"")"),"ruler")</f>
        <v>ruler</v>
      </c>
    </row>
    <row r="6315">
      <c r="A6315" s="1" t="s">
        <v>6315</v>
      </c>
      <c r="B6315" s="2" t="str">
        <f>IFERROR(__xludf.DUMMYFUNCTION("GOOGLETRANSLATE(A6315, ""de"", ""en"")"),"survive")</f>
        <v>survive</v>
      </c>
    </row>
    <row r="6316">
      <c r="A6316" s="1" t="s">
        <v>6316</v>
      </c>
      <c r="B6316" s="2" t="str">
        <f>IFERROR(__xludf.DUMMYFUNCTION("GOOGLETRANSLATE(A6316, ""de"", ""en"")"),"explosive")</f>
        <v>explosive</v>
      </c>
    </row>
    <row r="6317">
      <c r="A6317" s="1" t="s">
        <v>6317</v>
      </c>
      <c r="B6317" s="2" t="str">
        <f>IFERROR(__xludf.DUMMYFUNCTION("GOOGLETRANSLATE(A6317, ""de"", ""en"")"),"Mikey")</f>
        <v>Mikey</v>
      </c>
    </row>
    <row r="6318">
      <c r="A6318" s="1" t="s">
        <v>6318</v>
      </c>
      <c r="B6318" s="2" t="str">
        <f>IFERROR(__xludf.DUMMYFUNCTION("GOOGLETRANSLATE(A6318, ""de"", ""en"")"),"earthquake")</f>
        <v>earthquake</v>
      </c>
    </row>
    <row r="6319">
      <c r="A6319" s="1" t="s">
        <v>6319</v>
      </c>
      <c r="B6319" s="2" t="str">
        <f>IFERROR(__xludf.DUMMYFUNCTION("GOOGLETRANSLATE(A6319, ""de"", ""en"")"),"level")</f>
        <v>level</v>
      </c>
    </row>
    <row r="6320">
      <c r="A6320" s="1" t="s">
        <v>6320</v>
      </c>
      <c r="B6320" s="2" t="str">
        <f>IFERROR(__xludf.DUMMYFUNCTION("GOOGLETRANSLATE(A6320, ""de"", ""en"")"),"Australia")</f>
        <v>Australia</v>
      </c>
    </row>
    <row r="6321">
      <c r="A6321" s="1" t="s">
        <v>6321</v>
      </c>
      <c r="B6321" s="2" t="str">
        <f>IFERROR(__xludf.DUMMYFUNCTION("GOOGLETRANSLATE(A6321, ""de"", ""en"")"),"figures")</f>
        <v>figures</v>
      </c>
    </row>
    <row r="6322">
      <c r="A6322" s="1" t="s">
        <v>6322</v>
      </c>
      <c r="B6322" s="2" t="str">
        <f>IFERROR(__xludf.DUMMYFUNCTION("GOOGLETRANSLATE(A6322, ""de"", ""en"")"),"older")</f>
        <v>older</v>
      </c>
    </row>
    <row r="6323">
      <c r="A6323" s="1" t="s">
        <v>6323</v>
      </c>
      <c r="B6323" s="2" t="str">
        <f>IFERROR(__xludf.DUMMYFUNCTION("GOOGLETRANSLATE(A6323, ""de"", ""en"")"),"lynn")</f>
        <v>lynn</v>
      </c>
    </row>
    <row r="6324">
      <c r="A6324" s="1" t="s">
        <v>6324</v>
      </c>
      <c r="B6324" s="2" t="str">
        <f>IFERROR(__xludf.DUMMYFUNCTION("GOOGLETRANSLATE(A6324, ""de"", ""en"")"),"po")</f>
        <v>po</v>
      </c>
    </row>
    <row r="6325">
      <c r="A6325" s="1" t="s">
        <v>6325</v>
      </c>
      <c r="B6325" s="2" t="str">
        <f>IFERROR(__xludf.DUMMYFUNCTION("GOOGLETRANSLATE(A6325, ""de"", ""en"")"),"theo")</f>
        <v>theo</v>
      </c>
    </row>
    <row r="6326">
      <c r="A6326" s="1" t="s">
        <v>6326</v>
      </c>
      <c r="B6326" s="2" t="str">
        <f>IFERROR(__xludf.DUMMYFUNCTION("GOOGLETRANSLATE(A6326, ""de"", ""en"")"),"crazy")</f>
        <v>crazy</v>
      </c>
    </row>
    <row r="6327">
      <c r="A6327" s="1" t="s">
        <v>6327</v>
      </c>
      <c r="B6327" s="2" t="str">
        <f>IFERROR(__xludf.DUMMYFUNCTION("GOOGLETRANSLATE(A6327, ""de"", ""en"")"),"balance")</f>
        <v>balance</v>
      </c>
    </row>
    <row r="6328">
      <c r="A6328" s="1" t="s">
        <v>6328</v>
      </c>
      <c r="B6328" s="2" t="str">
        <f>IFERROR(__xludf.DUMMYFUNCTION("GOOGLETRANSLATE(A6328, ""de"", ""en"")"),"switch")</f>
        <v>switch</v>
      </c>
    </row>
    <row r="6329">
      <c r="A6329" s="1" t="s">
        <v>6329</v>
      </c>
      <c r="B6329" s="2" t="str">
        <f>IFERROR(__xludf.DUMMYFUNCTION("GOOGLETRANSLATE(A6329, ""de"", ""en"")"),"buddies")</f>
        <v>buddies</v>
      </c>
    </row>
    <row r="6330">
      <c r="A6330" s="1" t="s">
        <v>6330</v>
      </c>
      <c r="B6330" s="2" t="str">
        <f>IFERROR(__xludf.DUMMYFUNCTION("GOOGLETRANSLATE(A6330, ""de"", ""en"")"),"affection")</f>
        <v>affection</v>
      </c>
    </row>
    <row r="6331">
      <c r="A6331" s="1" t="s">
        <v>6331</v>
      </c>
      <c r="B6331" s="2" t="str">
        <f>IFERROR(__xludf.DUMMYFUNCTION("GOOGLETRANSLATE(A6331, ""de"", ""en"")"),"wheelchair")</f>
        <v>wheelchair</v>
      </c>
    </row>
    <row r="6332">
      <c r="A6332" s="1" t="s">
        <v>6332</v>
      </c>
      <c r="B6332" s="2" t="str">
        <f>IFERROR(__xludf.DUMMYFUNCTION("GOOGLETRANSLATE(A6332, ""de"", ""en"")"),"bees")</f>
        <v>bees</v>
      </c>
    </row>
    <row r="6333">
      <c r="A6333" s="1" t="s">
        <v>6333</v>
      </c>
      <c r="B6333" s="2" t="str">
        <f>IFERROR(__xludf.DUMMYFUNCTION("GOOGLETRANSLATE(A6333, ""de"", ""en"")"),"mix")</f>
        <v>mix</v>
      </c>
    </row>
    <row r="6334">
      <c r="A6334" s="1" t="s">
        <v>6334</v>
      </c>
      <c r="B6334" s="2" t="str">
        <f>IFERROR(__xludf.DUMMYFUNCTION("GOOGLETRANSLATE(A6334, ""de"", ""en"")"),"capital city")</f>
        <v>capital city</v>
      </c>
    </row>
    <row r="6335">
      <c r="A6335" s="1" t="s">
        <v>6335</v>
      </c>
      <c r="B6335" s="2" t="str">
        <f>IFERROR(__xludf.DUMMYFUNCTION("GOOGLETRANSLATE(A6335, ""de"", ""en"")"),"coke")</f>
        <v>coke</v>
      </c>
    </row>
    <row r="6336">
      <c r="A6336" s="1" t="s">
        <v>6336</v>
      </c>
      <c r="B6336" s="2" t="str">
        <f>IFERROR(__xludf.DUMMYFUNCTION("GOOGLETRANSLATE(A6336, ""de"", ""en"")"),"beep")</f>
        <v>beep</v>
      </c>
    </row>
    <row r="6337">
      <c r="A6337" s="1" t="s">
        <v>6337</v>
      </c>
      <c r="B6337" s="2" t="str">
        <f>IFERROR(__xludf.DUMMYFUNCTION("GOOGLETRANSLATE(A6337, ""de"", ""en"")"),"long")</f>
        <v>long</v>
      </c>
    </row>
    <row r="6338">
      <c r="A6338" s="1" t="s">
        <v>6338</v>
      </c>
      <c r="B6338" s="2" t="str">
        <f>IFERROR(__xludf.DUMMYFUNCTION("GOOGLETRANSLATE(A6338, ""de"", ""en"")"),"look around")</f>
        <v>look around</v>
      </c>
    </row>
    <row r="6339">
      <c r="A6339" s="1" t="s">
        <v>6339</v>
      </c>
      <c r="B6339" s="2" t="str">
        <f>IFERROR(__xludf.DUMMYFUNCTION("GOOGLETRANSLATE(A6339, ""de"", ""en"")"),"located")</f>
        <v>located</v>
      </c>
    </row>
    <row r="6340">
      <c r="A6340" s="1" t="s">
        <v>6340</v>
      </c>
      <c r="B6340" s="2" t="str">
        <f>IFERROR(__xludf.DUMMYFUNCTION("GOOGLETRANSLATE(A6340, ""de"", ""en"")"),"em")</f>
        <v>em</v>
      </c>
    </row>
    <row r="6341">
      <c r="A6341" s="1" t="s">
        <v>6341</v>
      </c>
      <c r="B6341" s="2" t="str">
        <f>IFERROR(__xludf.DUMMYFUNCTION("GOOGLETRANSLATE(A6341, ""de"", ""en"")"),"bandits")</f>
        <v>bandits</v>
      </c>
    </row>
    <row r="6342">
      <c r="A6342" s="1" t="s">
        <v>6342</v>
      </c>
      <c r="B6342" s="2" t="str">
        <f>IFERROR(__xludf.DUMMYFUNCTION("GOOGLETRANSLATE(A6342, ""de"", ""en"")"),"hated")</f>
        <v>hated</v>
      </c>
    </row>
    <row r="6343">
      <c r="A6343" s="1" t="s">
        <v>6343</v>
      </c>
      <c r="B6343" s="2" t="str">
        <f>IFERROR(__xludf.DUMMYFUNCTION("GOOGLETRANSLATE(A6343, ""de"", ""en"")"),"tested")</f>
        <v>tested</v>
      </c>
    </row>
    <row r="6344">
      <c r="A6344" s="1" t="s">
        <v>6344</v>
      </c>
      <c r="B6344" s="2" t="str">
        <f>IFERROR(__xludf.DUMMYFUNCTION("GOOGLETRANSLATE(A6344, ""de"", ""en"")"),"camille")</f>
        <v>camille</v>
      </c>
    </row>
    <row r="6345">
      <c r="A6345" s="1" t="s">
        <v>6345</v>
      </c>
      <c r="B6345" s="2" t="str">
        <f>IFERROR(__xludf.DUMMYFUNCTION("GOOGLETRANSLATE(A6345, ""de"", ""en"")"),"brody")</f>
        <v>brody</v>
      </c>
    </row>
    <row r="6346">
      <c r="A6346" s="1" t="s">
        <v>6346</v>
      </c>
      <c r="B6346" s="2" t="str">
        <f>IFERROR(__xludf.DUMMYFUNCTION("GOOGLETRANSLATE(A6346, ""de"", ""en"")"),"dose")</f>
        <v>dose</v>
      </c>
    </row>
    <row r="6347">
      <c r="A6347" s="1" t="s">
        <v>6347</v>
      </c>
      <c r="B6347" s="2" t="str">
        <f>IFERROR(__xludf.DUMMYFUNCTION("GOOGLETRANSLATE(A6347, ""de"", ""en"")"),"believed")</f>
        <v>believed</v>
      </c>
    </row>
    <row r="6348">
      <c r="A6348" s="1" t="s">
        <v>6348</v>
      </c>
      <c r="B6348" s="2" t="str">
        <f>IFERROR(__xludf.DUMMYFUNCTION("GOOGLETRANSLATE(A6348, ""de"", ""en"")"),"thus")</f>
        <v>thus</v>
      </c>
    </row>
    <row r="6349">
      <c r="A6349" s="1" t="s">
        <v>6349</v>
      </c>
      <c r="B6349" s="2" t="str">
        <f>IFERROR(__xludf.DUMMYFUNCTION("GOOGLETRANSLATE(A6349, ""de"", ""en"")"),"feed")</f>
        <v>feed</v>
      </c>
    </row>
    <row r="6350">
      <c r="A6350" s="1" t="s">
        <v>6350</v>
      </c>
      <c r="B6350" s="2" t="str">
        <f>IFERROR(__xludf.DUMMYFUNCTION("GOOGLETRANSLATE(A6350, ""de"", ""en"")"),"chop")</f>
        <v>chop</v>
      </c>
    </row>
    <row r="6351">
      <c r="A6351" s="1" t="s">
        <v>6351</v>
      </c>
      <c r="B6351" s="2" t="str">
        <f>IFERROR(__xludf.DUMMYFUNCTION("GOOGLETRANSLATE(A6351, ""de"", ""en"")"),"chamber")</f>
        <v>chamber</v>
      </c>
    </row>
    <row r="6352">
      <c r="A6352" s="1" t="s">
        <v>6352</v>
      </c>
      <c r="B6352" s="2" t="str">
        <f>IFERROR(__xludf.DUMMYFUNCTION("GOOGLETRANSLATE(A6352, ""de"", ""en"")"),"lenny")</f>
        <v>lenny</v>
      </c>
    </row>
    <row r="6353">
      <c r="A6353" s="1" t="s">
        <v>6353</v>
      </c>
      <c r="B6353" s="2" t="str">
        <f>IFERROR(__xludf.DUMMYFUNCTION("GOOGLETRANSLATE(A6353, ""de"", ""en"")"),"roll")</f>
        <v>roll</v>
      </c>
    </row>
    <row r="6354">
      <c r="A6354" s="1" t="s">
        <v>6354</v>
      </c>
      <c r="B6354" s="2" t="str">
        <f>IFERROR(__xludf.DUMMYFUNCTION("GOOGLETRANSLATE(A6354, ""de"", ""en"")"),"enchanting")</f>
        <v>enchanting</v>
      </c>
    </row>
    <row r="6355">
      <c r="A6355" s="1" t="s">
        <v>6355</v>
      </c>
      <c r="B6355" s="2" t="str">
        <f>IFERROR(__xludf.DUMMYFUNCTION("GOOGLETRANSLATE(A6355, ""de"", ""en"")"),"repeated")</f>
        <v>repeated</v>
      </c>
    </row>
    <row r="6356">
      <c r="A6356" s="1" t="s">
        <v>6356</v>
      </c>
      <c r="B6356" s="2" t="str">
        <f>IFERROR(__xludf.DUMMYFUNCTION("GOOGLETRANSLATE(A6356, ""de"", ""en"")"),"to each other")</f>
        <v>to each other</v>
      </c>
    </row>
    <row r="6357">
      <c r="A6357" s="1" t="s">
        <v>6357</v>
      </c>
      <c r="B6357" s="2" t="str">
        <f>IFERROR(__xludf.DUMMYFUNCTION("GOOGLETRANSLATE(A6357, ""de"", ""en"")"),"tattoo")</f>
        <v>tattoo</v>
      </c>
    </row>
    <row r="6358">
      <c r="A6358" s="1" t="s">
        <v>6358</v>
      </c>
      <c r="B6358" s="2" t="str">
        <f>IFERROR(__xludf.DUMMYFUNCTION("GOOGLETRANSLATE(A6358, ""de"", ""en"")"),"Melanie")</f>
        <v>Melanie</v>
      </c>
    </row>
    <row r="6359">
      <c r="A6359" s="1" t="s">
        <v>6359</v>
      </c>
      <c r="B6359" s="2" t="str">
        <f>IFERROR(__xludf.DUMMYFUNCTION("GOOGLETRANSLATE(A6359, ""de"", ""en"")"),"including")</f>
        <v>including</v>
      </c>
    </row>
    <row r="6360">
      <c r="A6360" s="1" t="s">
        <v>6360</v>
      </c>
      <c r="B6360" s="2" t="str">
        <f>IFERROR(__xludf.DUMMYFUNCTION("GOOGLETRANSLATE(A6360, ""de"", ""en"")"),"randall")</f>
        <v>randall</v>
      </c>
    </row>
    <row r="6361">
      <c r="A6361" s="1" t="s">
        <v>6361</v>
      </c>
      <c r="B6361" s="2" t="str">
        <f>IFERROR(__xludf.DUMMYFUNCTION("GOOGLETRANSLATE(A6361, ""de"", ""en"")"),"darkness")</f>
        <v>darkness</v>
      </c>
    </row>
    <row r="6362">
      <c r="A6362" s="1" t="s">
        <v>6362</v>
      </c>
      <c r="B6362" s="2" t="str">
        <f>IFERROR(__xludf.DUMMYFUNCTION("GOOGLETRANSLATE(A6362, ""de"", ""en"")"),"Wallace")</f>
        <v>Wallace</v>
      </c>
    </row>
    <row r="6363">
      <c r="A6363" s="1" t="s">
        <v>6363</v>
      </c>
      <c r="B6363" s="2" t="str">
        <f>IFERROR(__xludf.DUMMYFUNCTION("GOOGLETRANSLATE(A6363, ""de"", ""en"")"),"consider")</f>
        <v>consider</v>
      </c>
    </row>
    <row r="6364">
      <c r="A6364" s="1" t="s">
        <v>6364</v>
      </c>
      <c r="B6364" s="2" t="str">
        <f>IFERROR(__xludf.DUMMYFUNCTION("GOOGLETRANSLATE(A6364, ""de"", ""en"")"),"hurts")</f>
        <v>hurts</v>
      </c>
    </row>
    <row r="6365">
      <c r="A6365" s="1" t="s">
        <v>6365</v>
      </c>
      <c r="B6365" s="2" t="str">
        <f>IFERROR(__xludf.DUMMYFUNCTION("GOOGLETRANSLATE(A6365, ""de"", ""en"")"),"taught")</f>
        <v>taught</v>
      </c>
    </row>
    <row r="6366">
      <c r="A6366" s="1" t="s">
        <v>6366</v>
      </c>
      <c r="B6366" s="2" t="str">
        <f>IFERROR(__xludf.DUMMYFUNCTION("GOOGLETRANSLATE(A6366, ""de"", ""en"")"),"changed")</f>
        <v>changed</v>
      </c>
    </row>
    <row r="6367">
      <c r="A6367" s="1" t="s">
        <v>6367</v>
      </c>
      <c r="B6367" s="2" t="str">
        <f>IFERROR(__xludf.DUMMYFUNCTION("GOOGLETRANSLATE(A6367, ""de"", ""en"")"),"human")</f>
        <v>human</v>
      </c>
    </row>
    <row r="6368">
      <c r="A6368" s="1" t="s">
        <v>6368</v>
      </c>
      <c r="B6368" s="2" t="str">
        <f>IFERROR(__xludf.DUMMYFUNCTION("GOOGLETRANSLATE(A6368, ""de"", ""en"")"),"talked")</f>
        <v>talked</v>
      </c>
    </row>
    <row r="6369">
      <c r="A6369" s="1" t="s">
        <v>6369</v>
      </c>
      <c r="B6369" s="2" t="str">
        <f>IFERROR(__xludf.DUMMYFUNCTION("GOOGLETRANSLATE(A6369, ""de"", ""en"")"),"early")</f>
        <v>early</v>
      </c>
    </row>
    <row r="6370">
      <c r="A6370" s="1" t="s">
        <v>6370</v>
      </c>
      <c r="B6370" s="2" t="str">
        <f>IFERROR(__xludf.DUMMYFUNCTION("GOOGLETRANSLATE(A6370, ""de"", ""en"")"),"voyager")</f>
        <v>voyager</v>
      </c>
    </row>
    <row r="6371">
      <c r="A6371" s="1" t="s">
        <v>6371</v>
      </c>
      <c r="B6371" s="2" t="str">
        <f>IFERROR(__xludf.DUMMYFUNCTION("GOOGLETRANSLATE(A6371, ""de"", ""en"")"),"Caleb")</f>
        <v>Caleb</v>
      </c>
    </row>
    <row r="6372">
      <c r="A6372" s="1" t="s">
        <v>6372</v>
      </c>
      <c r="B6372" s="2" t="str">
        <f>IFERROR(__xludf.DUMMYFUNCTION("GOOGLETRANSLATE(A6372, ""de"", ""en"")"),"discovered")</f>
        <v>discovered</v>
      </c>
    </row>
    <row r="6373">
      <c r="A6373" s="1" t="s">
        <v>6373</v>
      </c>
      <c r="B6373" s="2" t="str">
        <f>IFERROR(__xludf.DUMMYFUNCTION("GOOGLETRANSLATE(A6373, ""de"", ""en"")"),"worked")</f>
        <v>worked</v>
      </c>
    </row>
    <row r="6374">
      <c r="A6374" s="1" t="s">
        <v>6374</v>
      </c>
      <c r="B6374" s="2" t="str">
        <f>IFERROR(__xludf.DUMMYFUNCTION("GOOGLETRANSLATE(A6374, ""de"", ""en"")"),"promise")</f>
        <v>promise</v>
      </c>
    </row>
    <row r="6375">
      <c r="A6375" s="1" t="s">
        <v>6375</v>
      </c>
      <c r="B6375" s="2" t="str">
        <f>IFERROR(__xludf.DUMMYFUNCTION("GOOGLETRANSLATE(A6375, ""de"", ""en"")"),"seem")</f>
        <v>seem</v>
      </c>
    </row>
    <row r="6376">
      <c r="A6376" s="1" t="s">
        <v>6376</v>
      </c>
      <c r="B6376" s="2" t="str">
        <f>IFERROR(__xludf.DUMMYFUNCTION("GOOGLETRANSLATE(A6376, ""de"", ""en"")"),"transporter")</f>
        <v>transporter</v>
      </c>
    </row>
    <row r="6377">
      <c r="A6377" s="1" t="s">
        <v>6377</v>
      </c>
      <c r="B6377" s="2" t="str">
        <f>IFERROR(__xludf.DUMMYFUNCTION("GOOGLETRANSLATE(A6377, ""de"", ""en"")"),"n.")</f>
        <v>n.</v>
      </c>
    </row>
    <row r="6378">
      <c r="A6378" s="1" t="s">
        <v>6378</v>
      </c>
      <c r="B6378" s="2" t="str">
        <f>IFERROR(__xludf.DUMMYFUNCTION("GOOGLETRANSLATE(A6378, ""de"", ""en"")"),"modern")</f>
        <v>modern</v>
      </c>
    </row>
    <row r="6379">
      <c r="A6379" s="1" t="s">
        <v>6379</v>
      </c>
      <c r="B6379" s="2" t="str">
        <f>IFERROR(__xludf.DUMMYFUNCTION("GOOGLETRANSLATE(A6379, ""de"", ""en"")"),"Elijah")</f>
        <v>Elijah</v>
      </c>
    </row>
    <row r="6380">
      <c r="A6380" s="1" t="s">
        <v>6380</v>
      </c>
      <c r="B6380" s="2" t="str">
        <f>IFERROR(__xludf.DUMMYFUNCTION("GOOGLETRANSLATE(A6380, ""de"", ""en"")"),"wilder")</f>
        <v>wilder</v>
      </c>
    </row>
    <row r="6381">
      <c r="A6381" s="1" t="s">
        <v>6381</v>
      </c>
      <c r="B6381" s="2" t="str">
        <f>IFERROR(__xludf.DUMMYFUNCTION("GOOGLETRANSLATE(A6381, ""de"", ""en"")"),"distracted")</f>
        <v>distracted</v>
      </c>
    </row>
    <row r="6382">
      <c r="A6382" s="1" t="s">
        <v>6382</v>
      </c>
      <c r="B6382" s="2" t="str">
        <f>IFERROR(__xludf.DUMMYFUNCTION("GOOGLETRANSLATE(A6382, ""de"", ""en"")"),"deduction")</f>
        <v>deduction</v>
      </c>
    </row>
    <row r="6383">
      <c r="A6383" s="1" t="s">
        <v>6383</v>
      </c>
      <c r="B6383" s="2" t="str">
        <f>IFERROR(__xludf.DUMMYFUNCTION("GOOGLETRANSLATE(A6383, ""de"", ""en"")"),"north")</f>
        <v>north</v>
      </c>
    </row>
    <row r="6384">
      <c r="A6384" s="1" t="s">
        <v>6384</v>
      </c>
      <c r="B6384" s="2" t="str">
        <f>IFERROR(__xludf.DUMMYFUNCTION("GOOGLETRANSLATE(A6384, ""de"", ""en"")"),"mug")</f>
        <v>mug</v>
      </c>
    </row>
    <row r="6385">
      <c r="A6385" s="1" t="s">
        <v>6385</v>
      </c>
      <c r="B6385" s="2" t="str">
        <f>IFERROR(__xludf.DUMMYFUNCTION("GOOGLETRANSLATE(A6385, ""de"", ""en"")"),"ensure")</f>
        <v>ensure</v>
      </c>
    </row>
    <row r="6386">
      <c r="A6386" s="1" t="s">
        <v>6386</v>
      </c>
      <c r="B6386" s="2" t="str">
        <f>IFERROR(__xludf.DUMMYFUNCTION("GOOGLETRANSLATE(A6386, ""de"", ""en"")"),"e.")</f>
        <v>e.</v>
      </c>
    </row>
    <row r="6387">
      <c r="A6387" s="1" t="s">
        <v>6387</v>
      </c>
      <c r="B6387" s="2" t="str">
        <f>IFERROR(__xludf.DUMMYFUNCTION("GOOGLETRANSLATE(A6387, ""de"", ""en"")"),"instruction")</f>
        <v>instruction</v>
      </c>
    </row>
    <row r="6388">
      <c r="A6388" s="1" t="s">
        <v>6388</v>
      </c>
      <c r="B6388" s="2" t="str">
        <f>IFERROR(__xludf.DUMMYFUNCTION("GOOGLETRANSLATE(A6388, ""de"", ""en"")"),"climb")</f>
        <v>climb</v>
      </c>
    </row>
    <row r="6389">
      <c r="A6389" s="1" t="s">
        <v>6389</v>
      </c>
      <c r="B6389" s="2" t="str">
        <f>IFERROR(__xludf.DUMMYFUNCTION("GOOGLETRANSLATE(A6389, ""de"", ""en"")"),"fingering")</f>
        <v>fingering</v>
      </c>
    </row>
    <row r="6390">
      <c r="A6390" s="1" t="s">
        <v>6390</v>
      </c>
      <c r="B6390" s="2" t="str">
        <f>IFERROR(__xludf.DUMMYFUNCTION("GOOGLETRANSLATE(A6390, ""de"", ""en"")"),"gesture")</f>
        <v>gesture</v>
      </c>
    </row>
    <row r="6391">
      <c r="A6391" s="1" t="s">
        <v>6391</v>
      </c>
      <c r="B6391" s="2" t="str">
        <f>IFERROR(__xludf.DUMMYFUNCTION("GOOGLETRANSLATE(A6391, ""de"", ""en"")"),"feel")</f>
        <v>feel</v>
      </c>
    </row>
    <row r="6392">
      <c r="A6392" s="1" t="s">
        <v>6392</v>
      </c>
      <c r="B6392" s="2" t="str">
        <f>IFERROR(__xludf.DUMMYFUNCTION("GOOGLETRANSLATE(A6392, ""de"", ""en"")"),"private life")</f>
        <v>private life</v>
      </c>
    </row>
    <row r="6393">
      <c r="A6393" s="1" t="s">
        <v>6393</v>
      </c>
      <c r="B6393" s="2" t="str">
        <f>IFERROR(__xludf.DUMMYFUNCTION("GOOGLETRANSLATE(A6393, ""de"", ""en"")"),"cooperation")</f>
        <v>cooperation</v>
      </c>
    </row>
    <row r="6394">
      <c r="A6394" s="1" t="s">
        <v>6394</v>
      </c>
      <c r="B6394" s="2" t="str">
        <f>IFERROR(__xludf.DUMMYFUNCTION("GOOGLETRANSLATE(A6394, ""de"", ""en"")"),"up")</f>
        <v>up</v>
      </c>
    </row>
    <row r="6395">
      <c r="A6395" s="1" t="s">
        <v>6395</v>
      </c>
      <c r="B6395" s="2" t="str">
        <f>IFERROR(__xludf.DUMMYFUNCTION("GOOGLETRANSLATE(A6395, ""de"", ""en"")"),"si")</f>
        <v>si</v>
      </c>
    </row>
    <row r="6396">
      <c r="A6396" s="1" t="s">
        <v>6396</v>
      </c>
      <c r="B6396" s="2" t="str">
        <f>IFERROR(__xludf.DUMMYFUNCTION("GOOGLETRANSLATE(A6396, ""de"", ""en"")"),"Tokyo")</f>
        <v>Tokyo</v>
      </c>
    </row>
    <row r="6397">
      <c r="A6397" s="1" t="s">
        <v>6397</v>
      </c>
      <c r="B6397" s="2" t="str">
        <f>IFERROR(__xludf.DUMMYFUNCTION("GOOGLETRANSLATE(A6397, ""de"", ""en"")"),"security service")</f>
        <v>security service</v>
      </c>
    </row>
    <row r="6398">
      <c r="A6398" s="1" t="s">
        <v>6398</v>
      </c>
      <c r="B6398" s="2" t="str">
        <f>IFERROR(__xludf.DUMMYFUNCTION("GOOGLETRANSLATE(A6398, ""de"", ""en"")"),"chewing gum")</f>
        <v>chewing gum</v>
      </c>
    </row>
    <row r="6399">
      <c r="A6399" s="1" t="s">
        <v>6399</v>
      </c>
      <c r="B6399" s="2" t="str">
        <f>IFERROR(__xludf.DUMMYFUNCTION("GOOGLETRANSLATE(A6399, ""de"", ""en"")"),"world war")</f>
        <v>world war</v>
      </c>
    </row>
    <row r="6400">
      <c r="A6400" s="1" t="s">
        <v>6400</v>
      </c>
      <c r="B6400" s="2" t="str">
        <f>IFERROR(__xludf.DUMMYFUNCTION("GOOGLETRANSLATE(A6400, ""de"", ""en"")"),"whores")</f>
        <v>whores</v>
      </c>
    </row>
    <row r="6401">
      <c r="A6401" s="1" t="s">
        <v>6401</v>
      </c>
      <c r="B6401" s="2" t="str">
        <f>IFERROR(__xludf.DUMMYFUNCTION("GOOGLETRANSLATE(A6401, ""de"", ""en"")"),"foster")</f>
        <v>foster</v>
      </c>
    </row>
    <row r="6402">
      <c r="A6402" s="1" t="s">
        <v>6402</v>
      </c>
      <c r="B6402" s="2" t="str">
        <f>IFERROR(__xludf.DUMMYFUNCTION("GOOGLETRANSLATE(A6402, ""de"", ""en"")"),"common")</f>
        <v>common</v>
      </c>
    </row>
    <row r="6403">
      <c r="A6403" s="1" t="s">
        <v>6403</v>
      </c>
      <c r="B6403" s="2" t="str">
        <f>IFERROR(__xludf.DUMMYFUNCTION("GOOGLETRANSLATE(A6403, ""de"", ""en"")"),"guarantee")</f>
        <v>guarantee</v>
      </c>
    </row>
    <row r="6404">
      <c r="A6404" s="1" t="s">
        <v>6404</v>
      </c>
      <c r="B6404" s="2" t="str">
        <f>IFERROR(__xludf.DUMMYFUNCTION("GOOGLETRANSLATE(A6404, ""de"", ""en"")"),"Wells")</f>
        <v>Wells</v>
      </c>
    </row>
    <row r="6405">
      <c r="A6405" s="1" t="s">
        <v>6405</v>
      </c>
      <c r="B6405" s="2" t="str">
        <f>IFERROR(__xludf.DUMMYFUNCTION("GOOGLETRANSLATE(A6405, ""de"", ""en"")"),"ln")</f>
        <v>ln</v>
      </c>
    </row>
    <row r="6406">
      <c r="A6406" s="1" t="s">
        <v>6406</v>
      </c>
      <c r="B6406" s="2" t="str">
        <f>IFERROR(__xludf.DUMMYFUNCTION("GOOGLETRANSLATE(A6406, ""de"", ""en"")"),"antonio")</f>
        <v>antonio</v>
      </c>
    </row>
    <row r="6407">
      <c r="A6407" s="1" t="s">
        <v>6407</v>
      </c>
      <c r="B6407" s="2" t="str">
        <f>IFERROR(__xludf.DUMMYFUNCTION("GOOGLETRANSLATE(A6407, ""de"", ""en"")"),"communicate")</f>
        <v>communicate</v>
      </c>
    </row>
    <row r="6408">
      <c r="A6408" s="1" t="s">
        <v>6408</v>
      </c>
      <c r="B6408" s="2" t="str">
        <f>IFERROR(__xludf.DUMMYFUNCTION("GOOGLETRANSLATE(A6408, ""de"", ""en"")"),"cm")</f>
        <v>cm</v>
      </c>
    </row>
    <row r="6409">
      <c r="A6409" s="1" t="s">
        <v>6409</v>
      </c>
      <c r="B6409" s="2" t="str">
        <f>IFERROR(__xludf.DUMMYFUNCTION("GOOGLETRANSLATE(A6409, ""de"", ""en"")"),"marc")</f>
        <v>marc</v>
      </c>
    </row>
    <row r="6410">
      <c r="A6410" s="1" t="s">
        <v>6410</v>
      </c>
      <c r="B6410" s="2" t="str">
        <f>IFERROR(__xludf.DUMMYFUNCTION("GOOGLETRANSLATE(A6410, ""de"", ""en"")"),"stayed")</f>
        <v>stayed</v>
      </c>
    </row>
    <row r="6411">
      <c r="A6411" s="1" t="s">
        <v>6411</v>
      </c>
      <c r="B6411" s="2" t="str">
        <f>IFERROR(__xludf.DUMMYFUNCTION("GOOGLETRANSLATE(A6411, ""de"", ""en"")"),"technically")</f>
        <v>technically</v>
      </c>
    </row>
    <row r="6412">
      <c r="A6412" s="1" t="s">
        <v>6412</v>
      </c>
      <c r="B6412" s="2" t="str">
        <f>IFERROR(__xludf.DUMMYFUNCTION("GOOGLETRANSLATE(A6412, ""de"", ""en"")"),"have breakfast")</f>
        <v>have breakfast</v>
      </c>
    </row>
    <row r="6413">
      <c r="A6413" s="1" t="s">
        <v>6413</v>
      </c>
      <c r="B6413" s="2" t="str">
        <f>IFERROR(__xludf.DUMMYFUNCTION("GOOGLETRANSLATE(A6413, ""de"", ""en"")"),"ve")</f>
        <v>ve</v>
      </c>
    </row>
    <row r="6414">
      <c r="A6414" s="1" t="s">
        <v>6414</v>
      </c>
      <c r="B6414" s="2" t="str">
        <f>IFERROR(__xludf.DUMMYFUNCTION("GOOGLETRANSLATE(A6414, ""de"", ""en"")"),"khan")</f>
        <v>khan</v>
      </c>
    </row>
    <row r="6415">
      <c r="A6415" s="1" t="s">
        <v>6415</v>
      </c>
      <c r="B6415" s="2" t="str">
        <f>IFERROR(__xludf.DUMMYFUNCTION("GOOGLETRANSLATE(A6415, ""de"", ""en"")"),"cheaper")</f>
        <v>cheaper</v>
      </c>
    </row>
    <row r="6416">
      <c r="A6416" s="1" t="s">
        <v>6416</v>
      </c>
      <c r="B6416" s="2" t="str">
        <f>IFERROR(__xludf.DUMMYFUNCTION("GOOGLETRANSLATE(A6416, ""de"", ""en"")"),"Elaine")</f>
        <v>Elaine</v>
      </c>
    </row>
    <row r="6417">
      <c r="A6417" s="1" t="s">
        <v>6417</v>
      </c>
      <c r="B6417" s="2" t="str">
        <f>IFERROR(__xludf.DUMMYFUNCTION("GOOGLETRANSLATE(A6417, ""de"", ""en"")"),"location")</f>
        <v>location</v>
      </c>
    </row>
    <row r="6418">
      <c r="A6418" s="1" t="s">
        <v>6418</v>
      </c>
      <c r="B6418" s="2" t="str">
        <f>IFERROR(__xludf.DUMMYFUNCTION("GOOGLETRANSLATE(A6418, ""de"", ""en"")"),"dares")</f>
        <v>dares</v>
      </c>
    </row>
    <row r="6419">
      <c r="A6419" s="1" t="s">
        <v>6419</v>
      </c>
      <c r="B6419" s="2" t="str">
        <f>IFERROR(__xludf.DUMMYFUNCTION("GOOGLETRANSLATE(A6419, ""de"", ""en"")"),"deny")</f>
        <v>deny</v>
      </c>
    </row>
    <row r="6420">
      <c r="A6420" s="1" t="s">
        <v>6420</v>
      </c>
      <c r="B6420" s="2" t="str">
        <f>IFERROR(__xludf.DUMMYFUNCTION("GOOGLETRANSLATE(A6420, ""de"", ""en"")"),"bites")</f>
        <v>bites</v>
      </c>
    </row>
    <row r="6421">
      <c r="A6421" s="1" t="s">
        <v>6421</v>
      </c>
      <c r="B6421" s="2" t="str">
        <f>IFERROR(__xludf.DUMMYFUNCTION("GOOGLETRANSLATE(A6421, ""de"", ""en"")"),"landing")</f>
        <v>landing</v>
      </c>
    </row>
    <row r="6422">
      <c r="A6422" s="1" t="s">
        <v>6422</v>
      </c>
      <c r="B6422" s="2" t="str">
        <f>IFERROR(__xludf.DUMMYFUNCTION("GOOGLETRANSLATE(A6422, ""de"", ""en"")"),"serious")</f>
        <v>serious</v>
      </c>
    </row>
    <row r="6423">
      <c r="A6423" s="1" t="s">
        <v>6423</v>
      </c>
      <c r="B6423" s="2" t="str">
        <f>IFERROR(__xludf.DUMMYFUNCTION("GOOGLETRANSLATE(A6423, ""de"", ""en"")"),"shocked")</f>
        <v>shocked</v>
      </c>
    </row>
    <row r="6424">
      <c r="A6424" s="1" t="s">
        <v>6424</v>
      </c>
      <c r="B6424" s="2" t="str">
        <f>IFERROR(__xludf.DUMMYFUNCTION("GOOGLETRANSLATE(A6424, ""de"", ""en"")"),"eat")</f>
        <v>eat</v>
      </c>
    </row>
    <row r="6425">
      <c r="A6425" s="1" t="s">
        <v>6425</v>
      </c>
      <c r="B6425" s="2" t="str">
        <f>IFERROR(__xludf.DUMMYFUNCTION("GOOGLETRANSLATE(A6425, ""de"", ""en"")"),"accompaniment")</f>
        <v>accompaniment</v>
      </c>
    </row>
    <row r="6426">
      <c r="A6426" s="1" t="s">
        <v>6426</v>
      </c>
      <c r="B6426" s="2" t="str">
        <f>IFERROR(__xludf.DUMMYFUNCTION("GOOGLETRANSLATE(A6426, ""de"", ""en"")"),"alliance")</f>
        <v>alliance</v>
      </c>
    </row>
    <row r="6427">
      <c r="A6427" s="1" t="s">
        <v>6427</v>
      </c>
      <c r="B6427" s="2" t="str">
        <f>IFERROR(__xludf.DUMMYFUNCTION("GOOGLETRANSLATE(A6427, ""de"", ""en"")"),"suspected")</f>
        <v>suspected</v>
      </c>
    </row>
    <row r="6428">
      <c r="A6428" s="1" t="s">
        <v>6428</v>
      </c>
      <c r="B6428" s="2" t="str">
        <f>IFERROR(__xludf.DUMMYFUNCTION("GOOGLETRANSLATE(A6428, ""de"", ""en"")"),"echo")</f>
        <v>echo</v>
      </c>
    </row>
    <row r="6429">
      <c r="A6429" s="1" t="s">
        <v>6429</v>
      </c>
      <c r="B6429" s="2" t="str">
        <f>IFERROR(__xludf.DUMMYFUNCTION("GOOGLETRANSLATE(A6429, ""de"", ""en"")"),"produce")</f>
        <v>produce</v>
      </c>
    </row>
    <row r="6430">
      <c r="A6430" s="1" t="s">
        <v>6430</v>
      </c>
      <c r="B6430" s="2" t="str">
        <f>IFERROR(__xludf.DUMMYFUNCTION("GOOGLETRANSLATE(A6430, ""de"", ""en"")"),"lars")</f>
        <v>lars</v>
      </c>
    </row>
    <row r="6431">
      <c r="A6431" s="1" t="s">
        <v>6431</v>
      </c>
      <c r="B6431" s="2" t="str">
        <f>IFERROR(__xludf.DUMMYFUNCTION("GOOGLETRANSLATE(A6431, ""de"", ""en"")"),"local")</f>
        <v>local</v>
      </c>
    </row>
    <row r="6432">
      <c r="A6432" s="1" t="s">
        <v>6432</v>
      </c>
      <c r="B6432" s="2" t="str">
        <f>IFERROR(__xludf.DUMMYFUNCTION("GOOGLETRANSLATE(A6432, ""de"", ""en"")"),"slave")</f>
        <v>slave</v>
      </c>
    </row>
    <row r="6433">
      <c r="A6433" s="1" t="s">
        <v>6433</v>
      </c>
      <c r="B6433" s="2" t="str">
        <f>IFERROR(__xludf.DUMMYFUNCTION("GOOGLETRANSLATE(A6433, ""de"", ""en"")"),"honey")</f>
        <v>honey</v>
      </c>
    </row>
    <row r="6434">
      <c r="A6434" s="1" t="s">
        <v>6434</v>
      </c>
      <c r="B6434" s="2" t="str">
        <f>IFERROR(__xludf.DUMMYFUNCTION("GOOGLETRANSLATE(A6434, ""de"", ""en"")"),"videos")</f>
        <v>videos</v>
      </c>
    </row>
    <row r="6435">
      <c r="A6435" s="1" t="s">
        <v>6435</v>
      </c>
      <c r="B6435" s="2" t="str">
        <f>IFERROR(__xludf.DUMMYFUNCTION("GOOGLETRANSLATE(A6435, ""de"", ""en"")"),"wrong")</f>
        <v>wrong</v>
      </c>
    </row>
    <row r="6436">
      <c r="A6436" s="1" t="s">
        <v>6436</v>
      </c>
      <c r="B6436" s="2" t="str">
        <f>IFERROR(__xludf.DUMMYFUNCTION("GOOGLETRANSLATE(A6436, ""de"", ""en"")"),"goddess")</f>
        <v>goddess</v>
      </c>
    </row>
    <row r="6437">
      <c r="A6437" s="1" t="s">
        <v>6437</v>
      </c>
      <c r="B6437" s="2" t="str">
        <f>IFERROR(__xludf.DUMMYFUNCTION("GOOGLETRANSLATE(A6437, ""de"", ""en"")"),"sailing")</f>
        <v>sailing</v>
      </c>
    </row>
    <row r="6438">
      <c r="A6438" s="1" t="s">
        <v>6438</v>
      </c>
      <c r="B6438" s="2" t="str">
        <f>IFERROR(__xludf.DUMMYFUNCTION("GOOGLETRANSLATE(A6438, ""de"", ""en"")"),"preserved")</f>
        <v>preserved</v>
      </c>
    </row>
    <row r="6439">
      <c r="A6439" s="1" t="s">
        <v>6439</v>
      </c>
      <c r="B6439" s="2" t="str">
        <f>IFERROR(__xludf.DUMMYFUNCTION("GOOGLETRANSLATE(A6439, ""de"", ""en"")"),"cass")</f>
        <v>cass</v>
      </c>
    </row>
    <row r="6440">
      <c r="A6440" s="1" t="s">
        <v>6440</v>
      </c>
      <c r="B6440" s="2" t="str">
        <f>IFERROR(__xludf.DUMMYFUNCTION("GOOGLETRANSLATE(A6440, ""de"", ""en"")"),"left behind")</f>
        <v>left behind</v>
      </c>
    </row>
    <row r="6441">
      <c r="A6441" s="1" t="s">
        <v>6441</v>
      </c>
      <c r="B6441" s="2" t="str">
        <f>IFERROR(__xludf.DUMMYFUNCTION("GOOGLETRANSLATE(A6441, ""de"", ""en"")"),"whole")</f>
        <v>whole</v>
      </c>
    </row>
    <row r="6442">
      <c r="A6442" s="1" t="s">
        <v>6442</v>
      </c>
      <c r="B6442" s="2" t="str">
        <f>IFERROR(__xludf.DUMMYFUNCTION("GOOGLETRANSLATE(A6442, ""de"", ""en"")"),"cody")</f>
        <v>cody</v>
      </c>
    </row>
    <row r="6443">
      <c r="A6443" s="1" t="s">
        <v>6443</v>
      </c>
      <c r="B6443" s="2" t="str">
        <f>IFERROR(__xludf.DUMMYFUNCTION("GOOGLETRANSLATE(A6443, ""de"", ""en"")"),"Doris")</f>
        <v>Doris</v>
      </c>
    </row>
    <row r="6444">
      <c r="A6444" s="1" t="s">
        <v>6444</v>
      </c>
      <c r="B6444" s="2" t="str">
        <f>IFERROR(__xludf.DUMMYFUNCTION("GOOGLETRANSLATE(A6444, ""de"", ""en"")"),"condemn")</f>
        <v>condemn</v>
      </c>
    </row>
    <row r="6445">
      <c r="A6445" s="1" t="s">
        <v>6445</v>
      </c>
      <c r="B6445" s="2" t="str">
        <f>IFERROR(__xludf.DUMMYFUNCTION("GOOGLETRANSLATE(A6445, ""de"", ""en"")"),"highest")</f>
        <v>highest</v>
      </c>
    </row>
    <row r="6446">
      <c r="A6446" s="1" t="s">
        <v>6446</v>
      </c>
      <c r="B6446" s="2" t="str">
        <f>IFERROR(__xludf.DUMMYFUNCTION("GOOGLETRANSLATE(A6446, ""de"", ""en"")"),"February")</f>
        <v>February</v>
      </c>
    </row>
    <row r="6447">
      <c r="A6447" s="1" t="s">
        <v>6447</v>
      </c>
      <c r="B6447" s="2" t="str">
        <f>IFERROR(__xludf.DUMMYFUNCTION("GOOGLETRANSLATE(A6447, ""de"", ""en"")"),"private")</f>
        <v>private</v>
      </c>
    </row>
    <row r="6448">
      <c r="A6448" s="1" t="s">
        <v>6448</v>
      </c>
      <c r="B6448" s="2" t="str">
        <f>IFERROR(__xludf.DUMMYFUNCTION("GOOGLETRANSLATE(A6448, ""de"", ""en"")"),"Burke")</f>
        <v>Burke</v>
      </c>
    </row>
    <row r="6449">
      <c r="A6449" s="1" t="s">
        <v>6449</v>
      </c>
      <c r="B6449" s="2" t="str">
        <f>IFERROR(__xludf.DUMMYFUNCTION("GOOGLETRANSLATE(A6449, ""de"", ""en"")"),"v")</f>
        <v>v</v>
      </c>
    </row>
    <row r="6450">
      <c r="A6450" s="1" t="s">
        <v>6450</v>
      </c>
      <c r="B6450" s="2" t="str">
        <f>IFERROR(__xludf.DUMMYFUNCTION("GOOGLETRANSLATE(A6450, ""de"", ""en"")"),"encounter")</f>
        <v>encounter</v>
      </c>
    </row>
    <row r="6451">
      <c r="A6451" s="1" t="s">
        <v>6451</v>
      </c>
      <c r="B6451" s="2" t="str">
        <f>IFERROR(__xludf.DUMMYFUNCTION("GOOGLETRANSLATE(A6451, ""de"", ""en"")"),"rise")</f>
        <v>rise</v>
      </c>
    </row>
    <row r="6452">
      <c r="A6452" s="1" t="s">
        <v>6452</v>
      </c>
      <c r="B6452" s="2" t="str">
        <f>IFERROR(__xludf.DUMMYFUNCTION("GOOGLETRANSLATE(A6452, ""de"", ""en"")"),"fire department")</f>
        <v>fire department</v>
      </c>
    </row>
    <row r="6453">
      <c r="A6453" s="1" t="s">
        <v>6453</v>
      </c>
      <c r="B6453" s="2" t="str">
        <f>IFERROR(__xludf.DUMMYFUNCTION("GOOGLETRANSLATE(A6453, ""de"", ""en"")"),"Apollo")</f>
        <v>Apollo</v>
      </c>
    </row>
    <row r="6454">
      <c r="A6454" s="1" t="s">
        <v>6454</v>
      </c>
      <c r="B6454" s="2" t="str">
        <f>IFERROR(__xludf.DUMMYFUNCTION("GOOGLETRANSLATE(A6454, ""de"", ""en"")"),"begin")</f>
        <v>begin</v>
      </c>
    </row>
    <row r="6455">
      <c r="A6455" s="1" t="s">
        <v>6455</v>
      </c>
      <c r="B6455" s="2" t="str">
        <f>IFERROR(__xludf.DUMMYFUNCTION("GOOGLETRANSLATE(A6455, ""de"", ""en"")"),"similar")</f>
        <v>similar</v>
      </c>
    </row>
    <row r="6456">
      <c r="A6456" s="1" t="s">
        <v>6456</v>
      </c>
      <c r="B6456" s="2" t="str">
        <f>IFERROR(__xludf.DUMMYFUNCTION("GOOGLETRANSLATE(A6456, ""de"", ""en"")"),"Stevens")</f>
        <v>Stevens</v>
      </c>
    </row>
    <row r="6457">
      <c r="A6457" s="1" t="s">
        <v>6457</v>
      </c>
      <c r="B6457" s="2" t="str">
        <f>IFERROR(__xludf.DUMMYFUNCTION("GOOGLETRANSLATE(A6457, ""de"", ""en"")"),"horror")</f>
        <v>horror</v>
      </c>
    </row>
    <row r="6458">
      <c r="A6458" s="1" t="s">
        <v>6458</v>
      </c>
      <c r="B6458" s="2" t="str">
        <f>IFERROR(__xludf.DUMMYFUNCTION("GOOGLETRANSLATE(A6458, ""de"", ""en"")"),"guard")</f>
        <v>guard</v>
      </c>
    </row>
    <row r="6459">
      <c r="A6459" s="1" t="s">
        <v>6459</v>
      </c>
      <c r="B6459" s="2" t="str">
        <f>IFERROR(__xludf.DUMMYFUNCTION("GOOGLETRANSLATE(A6459, ""de"", ""en"")"),"won")</f>
        <v>won</v>
      </c>
    </row>
    <row r="6460">
      <c r="A6460" s="1" t="s">
        <v>6460</v>
      </c>
      <c r="B6460" s="2" t="str">
        <f>IFERROR(__xludf.DUMMYFUNCTION("GOOGLETRANSLATE(A6460, ""de"", ""en"")"),"representative")</f>
        <v>representative</v>
      </c>
    </row>
    <row r="6461">
      <c r="A6461" s="1" t="s">
        <v>6461</v>
      </c>
      <c r="B6461" s="2" t="str">
        <f>IFERROR(__xludf.DUMMYFUNCTION("GOOGLETRANSLATE(A6461, ""de"", ""en"")"),"stronger")</f>
        <v>stronger</v>
      </c>
    </row>
    <row r="6462">
      <c r="A6462" s="1" t="s">
        <v>6462</v>
      </c>
      <c r="B6462" s="2" t="str">
        <f>IFERROR(__xludf.DUMMYFUNCTION("GOOGLETRANSLATE(A6462, ""de"", ""en"")"),"loving")</f>
        <v>loving</v>
      </c>
    </row>
    <row r="6463">
      <c r="A6463" s="1" t="s">
        <v>6463</v>
      </c>
      <c r="B6463" s="2" t="str">
        <f>IFERROR(__xludf.DUMMYFUNCTION("GOOGLETRANSLATE(A6463, ""de"", ""en"")"),"margin")</f>
        <v>margin</v>
      </c>
    </row>
    <row r="6464">
      <c r="A6464" s="1" t="s">
        <v>6464</v>
      </c>
      <c r="B6464" s="2" t="str">
        <f>IFERROR(__xludf.DUMMYFUNCTION("GOOGLETRANSLATE(A6464, ""de"", ""en"")"),"lap")</f>
        <v>lap</v>
      </c>
    </row>
    <row r="6465">
      <c r="A6465" s="1" t="s">
        <v>6465</v>
      </c>
      <c r="B6465" s="2" t="str">
        <f>IFERROR(__xludf.DUMMYFUNCTION("GOOGLETRANSLATE(A6465, ""de"", ""en"")"),"served")</f>
        <v>served</v>
      </c>
    </row>
    <row r="6466">
      <c r="A6466" s="1" t="s">
        <v>6466</v>
      </c>
      <c r="B6466" s="2" t="str">
        <f>IFERROR(__xludf.DUMMYFUNCTION("GOOGLETRANSLATE(A6466, ""de"", ""en"")"),"holy")</f>
        <v>holy</v>
      </c>
    </row>
    <row r="6467">
      <c r="A6467" s="1" t="s">
        <v>6467</v>
      </c>
      <c r="B6467" s="2" t="str">
        <f>IFERROR(__xludf.DUMMYFUNCTION("GOOGLETRANSLATE(A6467, ""de"", ""en"")"),"a little")</f>
        <v>a little</v>
      </c>
    </row>
    <row r="6468">
      <c r="A6468" s="1" t="s">
        <v>6468</v>
      </c>
      <c r="B6468" s="2" t="str">
        <f>IFERROR(__xludf.DUMMYFUNCTION("GOOGLETRANSLATE(A6468, ""de"", ""en"")"),"security")</f>
        <v>security</v>
      </c>
    </row>
    <row r="6469">
      <c r="A6469" s="1" t="s">
        <v>6469</v>
      </c>
      <c r="B6469" s="2" t="str">
        <f>IFERROR(__xludf.DUMMYFUNCTION("GOOGLETRANSLATE(A6469, ""de"", ""en"")"),"accurate")</f>
        <v>accurate</v>
      </c>
    </row>
    <row r="6470">
      <c r="A6470" s="1" t="s">
        <v>6470</v>
      </c>
      <c r="B6470" s="2" t="str">
        <f>IFERROR(__xludf.DUMMYFUNCTION("GOOGLETRANSLATE(A6470, ""de"", ""en"")"),"Wally")</f>
        <v>Wally</v>
      </c>
    </row>
    <row r="6471">
      <c r="A6471" s="1" t="s">
        <v>6471</v>
      </c>
      <c r="B6471" s="2" t="str">
        <f>IFERROR(__xludf.DUMMYFUNCTION("GOOGLETRANSLATE(A6471, ""de"", ""en"")"),"tremendous")</f>
        <v>tremendous</v>
      </c>
    </row>
    <row r="6472">
      <c r="A6472" s="1" t="s">
        <v>6472</v>
      </c>
      <c r="B6472" s="2" t="str">
        <f>IFERROR(__xludf.DUMMYFUNCTION("GOOGLETRANSLATE(A6472, ""de"", ""en"")"),"node")</f>
        <v>node</v>
      </c>
    </row>
    <row r="6473">
      <c r="A6473" s="1" t="s">
        <v>6473</v>
      </c>
      <c r="B6473" s="2" t="str">
        <f>IFERROR(__xludf.DUMMYFUNCTION("GOOGLETRANSLATE(A6473, ""de"", ""en"")"),"understood")</f>
        <v>understood</v>
      </c>
    </row>
    <row r="6474">
      <c r="A6474" s="1" t="s">
        <v>6474</v>
      </c>
      <c r="B6474" s="2" t="str">
        <f>IFERROR(__xludf.DUMMYFUNCTION("GOOGLETRANSLATE(A6474, ""de"", ""en"")"),"clarify")</f>
        <v>clarify</v>
      </c>
    </row>
    <row r="6475">
      <c r="A6475" s="1" t="s">
        <v>6475</v>
      </c>
      <c r="B6475" s="2" t="str">
        <f>IFERROR(__xludf.DUMMYFUNCTION("GOOGLETRANSLATE(A6475, ""de"", ""en"")"),"chwhite")</f>
        <v>chwhite</v>
      </c>
    </row>
    <row r="6476">
      <c r="A6476" s="1" t="s">
        <v>6476</v>
      </c>
      <c r="B6476" s="2" t="str">
        <f>IFERROR(__xludf.DUMMYFUNCTION("GOOGLETRANSLATE(A6476, ""de"", ""en"")"),"execution")</f>
        <v>execution</v>
      </c>
    </row>
    <row r="6477">
      <c r="A6477" s="1" t="s">
        <v>6477</v>
      </c>
      <c r="B6477" s="2" t="str">
        <f>IFERROR(__xludf.DUMMYFUNCTION("GOOGLETRANSLATE(A6477, ""de"", ""en"")"),"overcome")</f>
        <v>overcome</v>
      </c>
    </row>
    <row r="6478">
      <c r="A6478" s="1" t="s">
        <v>6478</v>
      </c>
      <c r="B6478" s="2" t="str">
        <f>IFERROR(__xludf.DUMMYFUNCTION("GOOGLETRANSLATE(A6478, ""de"", ""en"")"),"take off")</f>
        <v>take off</v>
      </c>
    </row>
    <row r="6479">
      <c r="A6479" s="1" t="s">
        <v>6479</v>
      </c>
      <c r="B6479" s="2" t="str">
        <f>IFERROR(__xludf.DUMMYFUNCTION("GOOGLETRANSLATE(A6479, ""de"", ""en"")"),"occurs")</f>
        <v>occurs</v>
      </c>
    </row>
    <row r="6480">
      <c r="A6480" s="1" t="s">
        <v>6480</v>
      </c>
      <c r="B6480" s="2" t="str">
        <f>IFERROR(__xludf.DUMMYFUNCTION("GOOGLETRANSLATE(A6480, ""de"", ""en"")"),"wonders")</f>
        <v>wonders</v>
      </c>
    </row>
    <row r="6481">
      <c r="A6481" s="1" t="s">
        <v>6481</v>
      </c>
      <c r="B6481" s="2" t="str">
        <f>IFERROR(__xludf.DUMMYFUNCTION("GOOGLETRANSLATE(A6481, ""de"", ""en"")"),"true")</f>
        <v>true</v>
      </c>
    </row>
    <row r="6482">
      <c r="A6482" s="1" t="s">
        <v>6482</v>
      </c>
      <c r="B6482" s="2" t="str">
        <f>IFERROR(__xludf.DUMMYFUNCTION("GOOGLETRANSLATE(A6482, ""de"", ""en"")"),"threaten")</f>
        <v>threaten</v>
      </c>
    </row>
    <row r="6483">
      <c r="A6483" s="1" t="s">
        <v>6483</v>
      </c>
      <c r="B6483" s="2" t="str">
        <f>IFERROR(__xludf.DUMMYFUNCTION("GOOGLETRANSLATE(A6483, ""de"", ""en"")"),"madison")</f>
        <v>madison</v>
      </c>
    </row>
    <row r="6484">
      <c r="A6484" s="1" t="s">
        <v>6484</v>
      </c>
      <c r="B6484" s="2" t="str">
        <f>IFERROR(__xludf.DUMMYFUNCTION("GOOGLETRANSLATE(A6484, ""de"", ""en"")"),"escape")</f>
        <v>escape</v>
      </c>
    </row>
    <row r="6485">
      <c r="A6485" s="1" t="s">
        <v>6485</v>
      </c>
      <c r="B6485" s="2" t="str">
        <f>IFERROR(__xludf.DUMMYFUNCTION("GOOGLETRANSLATE(A6485, ""de"", ""en"")"),"for hours")</f>
        <v>for hours</v>
      </c>
    </row>
    <row r="6486">
      <c r="A6486" s="1" t="s">
        <v>6486</v>
      </c>
      <c r="B6486" s="2" t="str">
        <f>IFERROR(__xludf.DUMMYFUNCTION("GOOGLETRANSLATE(A6486, ""de"", ""en"")"),"building superintendent")</f>
        <v>building superintendent</v>
      </c>
    </row>
    <row r="6487">
      <c r="A6487" s="1" t="s">
        <v>6487</v>
      </c>
      <c r="B6487" s="2" t="str">
        <f>IFERROR(__xludf.DUMMYFUNCTION("GOOGLETRANSLATE(A6487, ""de"", ""en"")"),"helicopter")</f>
        <v>helicopter</v>
      </c>
    </row>
    <row r="6488">
      <c r="A6488" s="1" t="s">
        <v>6488</v>
      </c>
      <c r="B6488" s="2" t="str">
        <f>IFERROR(__xludf.DUMMYFUNCTION("GOOGLETRANSLATE(A6488, ""de"", ""en"")"),"Beverly")</f>
        <v>Beverly</v>
      </c>
    </row>
    <row r="6489">
      <c r="A6489" s="1" t="s">
        <v>6489</v>
      </c>
      <c r="B6489" s="2" t="str">
        <f>IFERROR(__xludf.DUMMYFUNCTION("GOOGLETRANSLATE(A6489, ""de"", ""en"")"),"dolls")</f>
        <v>dolls</v>
      </c>
    </row>
    <row r="6490">
      <c r="A6490" s="1" t="s">
        <v>6490</v>
      </c>
      <c r="B6490" s="2" t="str">
        <f>IFERROR(__xludf.DUMMYFUNCTION("GOOGLETRANSLATE(A6490, ""de"", ""en"")"),"looked like")</f>
        <v>looked like</v>
      </c>
    </row>
    <row r="6491">
      <c r="A6491" s="1" t="s">
        <v>6491</v>
      </c>
      <c r="B6491" s="2" t="str">
        <f>IFERROR(__xludf.DUMMYFUNCTION("GOOGLETRANSLATE(A6491, ""de"", ""en"")"),"night")</f>
        <v>night</v>
      </c>
    </row>
    <row r="6492">
      <c r="A6492" s="1" t="s">
        <v>6492</v>
      </c>
      <c r="B6492" s="2" t="str">
        <f>IFERROR(__xludf.DUMMYFUNCTION("GOOGLETRANSLATE(A6492, ""de"", ""en"")"),"observe")</f>
        <v>observe</v>
      </c>
    </row>
    <row r="6493">
      <c r="A6493" s="1" t="s">
        <v>6493</v>
      </c>
      <c r="B6493" s="2" t="str">
        <f>IFERROR(__xludf.DUMMYFUNCTION("GOOGLETRANSLATE(A6493, ""de"", ""en"")"),"check")</f>
        <v>check</v>
      </c>
    </row>
    <row r="6494">
      <c r="A6494" s="1" t="s">
        <v>6494</v>
      </c>
      <c r="B6494" s="2" t="str">
        <f>IFERROR(__xludf.DUMMYFUNCTION("GOOGLETRANSLATE(A6494, ""de"", ""en"")"),"jewels")</f>
        <v>jewels</v>
      </c>
    </row>
    <row r="6495">
      <c r="A6495" s="1" t="s">
        <v>6495</v>
      </c>
      <c r="B6495" s="2" t="str">
        <f>IFERROR(__xludf.DUMMYFUNCTION("GOOGLETRANSLATE(A6495, ""de"", ""en"")"),"bow")</f>
        <v>bow</v>
      </c>
    </row>
    <row r="6496">
      <c r="A6496" s="1" t="s">
        <v>6496</v>
      </c>
      <c r="B6496" s="2" t="str">
        <f>IFERROR(__xludf.DUMMYFUNCTION("GOOGLETRANSLATE(A6496, ""de"", ""en"")"),"scent")</f>
        <v>scent</v>
      </c>
    </row>
    <row r="6497">
      <c r="A6497" s="1" t="s">
        <v>6497</v>
      </c>
      <c r="B6497" s="2" t="str">
        <f>IFERROR(__xludf.DUMMYFUNCTION("GOOGLETRANSLATE(A6497, ""de"", ""en"")"),"arrived")</f>
        <v>arrived</v>
      </c>
    </row>
    <row r="6498">
      <c r="A6498" s="1" t="s">
        <v>6498</v>
      </c>
      <c r="B6498" s="2" t="str">
        <f>IFERROR(__xludf.DUMMYFUNCTION("GOOGLETRANSLATE(A6498, ""de"", ""en"")"),"respected")</f>
        <v>respected</v>
      </c>
    </row>
    <row r="6499">
      <c r="A6499" s="1" t="s">
        <v>6499</v>
      </c>
      <c r="B6499" s="2" t="str">
        <f>IFERROR(__xludf.DUMMYFUNCTION("GOOGLETRANSLATE(A6499, ""de"", ""en"")"),"non")</f>
        <v>non</v>
      </c>
    </row>
    <row r="6500">
      <c r="A6500" s="1" t="s">
        <v>6500</v>
      </c>
      <c r="B6500" s="2" t="str">
        <f>IFERROR(__xludf.DUMMYFUNCTION("GOOGLETRANSLATE(A6500, ""de"", ""en"")"),"seem")</f>
        <v>seem</v>
      </c>
    </row>
    <row r="6501">
      <c r="A6501" s="1" t="s">
        <v>6501</v>
      </c>
      <c r="B6501" s="2" t="str">
        <f>IFERROR(__xludf.DUMMYFUNCTION("GOOGLETRANSLATE(A6501, ""de"", ""en"")"),"guns")</f>
        <v>guns</v>
      </c>
    </row>
    <row r="6502">
      <c r="A6502" s="1" t="s">
        <v>6502</v>
      </c>
      <c r="B6502" s="2" t="str">
        <f>IFERROR(__xludf.DUMMYFUNCTION("GOOGLETRANSLATE(A6502, ""de"", ""en"")"),"waitress")</f>
        <v>waitress</v>
      </c>
    </row>
    <row r="6503">
      <c r="A6503" s="1" t="s">
        <v>6503</v>
      </c>
      <c r="B6503" s="2" t="str">
        <f>IFERROR(__xludf.DUMMYFUNCTION("GOOGLETRANSLATE(A6503, ""de"", ""en"")"),"confidential")</f>
        <v>confidential</v>
      </c>
    </row>
    <row r="6504">
      <c r="A6504" s="1" t="s">
        <v>6504</v>
      </c>
      <c r="B6504" s="2" t="str">
        <f>IFERROR(__xludf.DUMMYFUNCTION("GOOGLETRANSLATE(A6504, ""de"", ""en"")"),"in total")</f>
        <v>in total</v>
      </c>
    </row>
    <row r="6505">
      <c r="A6505" s="1" t="s">
        <v>6505</v>
      </c>
      <c r="B6505" s="2" t="str">
        <f>IFERROR(__xludf.DUMMYFUNCTION("GOOGLETRANSLATE(A6505, ""de"", ""en"")"),"groan")</f>
        <v>groan</v>
      </c>
    </row>
    <row r="6506">
      <c r="A6506" s="1" t="s">
        <v>6506</v>
      </c>
      <c r="B6506" s="2" t="str">
        <f>IFERROR(__xludf.DUMMYFUNCTION("GOOGLETRANSLATE(A6506, ""de"", ""en"")"),"investigations")</f>
        <v>investigations</v>
      </c>
    </row>
    <row r="6507">
      <c r="A6507" s="1" t="s">
        <v>6507</v>
      </c>
      <c r="B6507" s="2" t="str">
        <f>IFERROR(__xludf.DUMMYFUNCTION("GOOGLETRANSLATE(A6507, ""de"", ""en"")"),"fly")</f>
        <v>fly</v>
      </c>
    </row>
    <row r="6508">
      <c r="A6508" s="1" t="s">
        <v>6508</v>
      </c>
      <c r="B6508" s="2" t="str">
        <f>IFERROR(__xludf.DUMMYFUNCTION("GOOGLETRANSLATE(A6508, ""de"", ""en"")"),"flat")</f>
        <v>flat</v>
      </c>
    </row>
    <row r="6509">
      <c r="A6509" s="1" t="s">
        <v>6509</v>
      </c>
      <c r="B6509" s="2" t="str">
        <f>IFERROR(__xludf.DUMMYFUNCTION("GOOGLETRANSLATE(A6509, ""de"", ""en"")"),"upright")</f>
        <v>upright</v>
      </c>
    </row>
    <row r="6510">
      <c r="A6510" s="1" t="s">
        <v>6510</v>
      </c>
      <c r="B6510" s="2" t="str">
        <f>IFERROR(__xludf.DUMMYFUNCTION("GOOGLETRANSLATE(A6510, ""de"", ""en"")"),"checked")</f>
        <v>checked</v>
      </c>
    </row>
    <row r="6511">
      <c r="A6511" s="1" t="s">
        <v>6511</v>
      </c>
      <c r="B6511" s="2" t="str">
        <f>IFERROR(__xludf.DUMMYFUNCTION("GOOGLETRANSLATE(A6511, ""de"", ""en"")"),"hammond")</f>
        <v>hammond</v>
      </c>
    </row>
    <row r="6512">
      <c r="A6512" s="1" t="s">
        <v>6512</v>
      </c>
      <c r="B6512" s="2" t="str">
        <f>IFERROR(__xludf.DUMMYFUNCTION("GOOGLETRANSLATE(A6512, ""de"", ""en"")"),"served")</f>
        <v>served</v>
      </c>
    </row>
    <row r="6513">
      <c r="A6513" s="1" t="s">
        <v>6513</v>
      </c>
      <c r="B6513" s="2" t="str">
        <f>IFERROR(__xludf.DUMMYFUNCTION("GOOGLETRANSLATE(A6513, ""de"", ""en"")"),"shortage")</f>
        <v>shortage</v>
      </c>
    </row>
    <row r="6514">
      <c r="A6514" s="1" t="s">
        <v>6514</v>
      </c>
      <c r="B6514" s="2" t="str">
        <f>IFERROR(__xludf.DUMMYFUNCTION("GOOGLETRANSLATE(A6514, ""de"", ""en"")"),"higher")</f>
        <v>higher</v>
      </c>
    </row>
    <row r="6515">
      <c r="A6515" s="1" t="s">
        <v>6515</v>
      </c>
      <c r="B6515" s="2" t="str">
        <f>IFERROR(__xludf.DUMMYFUNCTION("GOOGLETRANSLATE(A6515, ""de"", ""en"")"),"kneel")</f>
        <v>kneel</v>
      </c>
    </row>
    <row r="6516">
      <c r="A6516" s="1" t="s">
        <v>6516</v>
      </c>
      <c r="B6516" s="2" t="str">
        <f>IFERROR(__xludf.DUMMYFUNCTION("GOOGLETRANSLATE(A6516, ""de"", ""en"")"),"hobby")</f>
        <v>hobby</v>
      </c>
    </row>
    <row r="6517">
      <c r="A6517" s="1" t="s">
        <v>6517</v>
      </c>
      <c r="B6517" s="2" t="str">
        <f>IFERROR(__xludf.DUMMYFUNCTION("GOOGLETRANSLATE(A6517, ""de"", ""en"")"),"ling")</f>
        <v>ling</v>
      </c>
    </row>
    <row r="6518">
      <c r="A6518" s="1" t="s">
        <v>6518</v>
      </c>
      <c r="B6518" s="2" t="str">
        <f>IFERROR(__xludf.DUMMYFUNCTION("GOOGLETRANSLATE(A6518, ""de"", ""en"")"),"ivan")</f>
        <v>ivan</v>
      </c>
    </row>
    <row r="6519">
      <c r="A6519" s="1" t="s">
        <v>6519</v>
      </c>
      <c r="B6519" s="2" t="str">
        <f>IFERROR(__xludf.DUMMYFUNCTION("GOOGLETRANSLATE(A6519, ""de"", ""en"")"),"dessert")</f>
        <v>dessert</v>
      </c>
    </row>
    <row r="6520">
      <c r="A6520" s="1" t="s">
        <v>6520</v>
      </c>
      <c r="B6520" s="2" t="str">
        <f>IFERROR(__xludf.DUMMYFUNCTION("GOOGLETRANSLATE(A6520, ""de"", ""en"")"),"colleague")</f>
        <v>colleague</v>
      </c>
    </row>
    <row r="6521">
      <c r="A6521" s="1" t="s">
        <v>6521</v>
      </c>
      <c r="B6521" s="2" t="str">
        <f>IFERROR(__xludf.DUMMYFUNCTION("GOOGLETRANSLATE(A6521, ""de"", ""en"")"),"edwards")</f>
        <v>edwards</v>
      </c>
    </row>
    <row r="6522">
      <c r="A6522" s="1" t="s">
        <v>6522</v>
      </c>
      <c r="B6522" s="2" t="str">
        <f>IFERROR(__xludf.DUMMYFUNCTION("GOOGLETRANSLATE(A6522, ""de"", ""en"")"),"nightmare")</f>
        <v>nightmare</v>
      </c>
    </row>
    <row r="6523">
      <c r="A6523" s="1" t="s">
        <v>6523</v>
      </c>
      <c r="B6523" s="2" t="str">
        <f>IFERROR(__xludf.DUMMYFUNCTION("GOOGLETRANSLATE(A6523, ""de"", ""en"")"),"regina")</f>
        <v>regina</v>
      </c>
    </row>
    <row r="6524">
      <c r="A6524" s="1" t="s">
        <v>6524</v>
      </c>
      <c r="B6524" s="2" t="str">
        <f>IFERROR(__xludf.DUMMYFUNCTION("GOOGLETRANSLATE(A6524, ""de"", ""en"")"),"looked")</f>
        <v>looked</v>
      </c>
    </row>
    <row r="6525">
      <c r="A6525" s="1" t="s">
        <v>6525</v>
      </c>
      <c r="B6525" s="2" t="str">
        <f>IFERROR(__xludf.DUMMYFUNCTION("GOOGLETRANSLATE(A6525, ""de"", ""en"")"),"wealth")</f>
        <v>wealth</v>
      </c>
    </row>
    <row r="6526">
      <c r="A6526" s="1" t="s">
        <v>6526</v>
      </c>
      <c r="B6526" s="2" t="str">
        <f>IFERROR(__xludf.DUMMYFUNCTION("GOOGLETRANSLATE(A6526, ""de"", ""en"")"),"exceedingly")</f>
        <v>exceedingly</v>
      </c>
    </row>
    <row r="6527">
      <c r="A6527" s="1" t="s">
        <v>6527</v>
      </c>
      <c r="B6527" s="2" t="str">
        <f>IFERROR(__xludf.DUMMYFUNCTION("GOOGLETRANSLATE(A6527, ""de"", ""en"")"),"iron")</f>
        <v>iron</v>
      </c>
    </row>
    <row r="6528">
      <c r="A6528" s="1" t="s">
        <v>6528</v>
      </c>
      <c r="B6528" s="2" t="str">
        <f>IFERROR(__xludf.DUMMYFUNCTION("GOOGLETRANSLATE(A6528, ""de"", ""en"")"),"beam")</f>
        <v>beam</v>
      </c>
    </row>
    <row r="6529">
      <c r="A6529" s="1" t="s">
        <v>6529</v>
      </c>
      <c r="B6529" s="2" t="str">
        <f>IFERROR(__xludf.DUMMYFUNCTION("GOOGLETRANSLATE(A6529, ""de"", ""en"")"),"arrest warrant")</f>
        <v>arrest warrant</v>
      </c>
    </row>
    <row r="6530">
      <c r="A6530" s="1" t="s">
        <v>6530</v>
      </c>
      <c r="B6530" s="2" t="str">
        <f>IFERROR(__xludf.DUMMYFUNCTION("GOOGLETRANSLATE(A6530, ""de"", ""en"")"),"injured")</f>
        <v>injured</v>
      </c>
    </row>
    <row r="6531">
      <c r="A6531" s="1" t="s">
        <v>6531</v>
      </c>
      <c r="B6531" s="2" t="str">
        <f>IFERROR(__xludf.DUMMYFUNCTION("GOOGLETRANSLATE(A6531, ""de"", ""en"")"),"literally")</f>
        <v>literally</v>
      </c>
    </row>
    <row r="6532">
      <c r="A6532" s="1" t="s">
        <v>6532</v>
      </c>
      <c r="B6532" s="2" t="str">
        <f>IFERROR(__xludf.DUMMYFUNCTION("GOOGLETRANSLATE(A6532, ""de"", ""en"")"),"biggest")</f>
        <v>biggest</v>
      </c>
    </row>
    <row r="6533">
      <c r="A6533" s="1" t="s">
        <v>6533</v>
      </c>
      <c r="B6533" s="2" t="str">
        <f>IFERROR(__xludf.DUMMYFUNCTION("GOOGLETRANSLATE(A6533, ""de"", ""en"")"),"sylvia")</f>
        <v>sylvia</v>
      </c>
    </row>
    <row r="6534">
      <c r="A6534" s="1" t="s">
        <v>6534</v>
      </c>
      <c r="B6534" s="2" t="str">
        <f>IFERROR(__xludf.DUMMYFUNCTION("GOOGLETRANSLATE(A6534, ""de"", ""en"")"),"fly")</f>
        <v>fly</v>
      </c>
    </row>
    <row r="6535">
      <c r="A6535" s="1" t="s">
        <v>6535</v>
      </c>
      <c r="B6535" s="2" t="str">
        <f>IFERROR(__xludf.DUMMYFUNCTION("GOOGLETRANSLATE(A6535, ""de"", ""en"")"),"dirty")</f>
        <v>dirty</v>
      </c>
    </row>
    <row r="6536">
      <c r="A6536" s="1" t="s">
        <v>6536</v>
      </c>
      <c r="B6536" s="2" t="str">
        <f>IFERROR(__xludf.DUMMYFUNCTION("GOOGLETRANSLATE(A6536, ""de"", ""en"")"),"invent")</f>
        <v>invent</v>
      </c>
    </row>
    <row r="6537">
      <c r="A6537" s="1" t="s">
        <v>6537</v>
      </c>
      <c r="B6537" s="2" t="str">
        <f>IFERROR(__xludf.DUMMYFUNCTION("GOOGLETRANSLATE(A6537, ""de"", ""en"")"),"harvest")</f>
        <v>harvest</v>
      </c>
    </row>
    <row r="6538">
      <c r="A6538" s="1" t="s">
        <v>6538</v>
      </c>
      <c r="B6538" s="2" t="str">
        <f>IFERROR(__xludf.DUMMYFUNCTION("GOOGLETRANSLATE(A6538, ""de"", ""en"")"),"chimney")</f>
        <v>chimney</v>
      </c>
    </row>
    <row r="6539">
      <c r="A6539" s="1" t="s">
        <v>6539</v>
      </c>
      <c r="B6539" s="2" t="str">
        <f>IFERROR(__xludf.DUMMYFUNCTION("GOOGLETRANSLATE(A6539, ""de"", ""en"")"),"scotty")</f>
        <v>scotty</v>
      </c>
    </row>
    <row r="6540">
      <c r="A6540" s="1" t="s">
        <v>6540</v>
      </c>
      <c r="B6540" s="2" t="str">
        <f>IFERROR(__xludf.DUMMYFUNCTION("GOOGLETRANSLATE(A6540, ""de"", ""en"")"),"vest")</f>
        <v>vest</v>
      </c>
    </row>
    <row r="6541">
      <c r="A6541" s="1" t="s">
        <v>6541</v>
      </c>
      <c r="B6541" s="2" t="str">
        <f>IFERROR(__xludf.DUMMYFUNCTION("GOOGLETRANSLATE(A6541, ""de"", ""en"")"),"saw")</f>
        <v>saw</v>
      </c>
    </row>
    <row r="6542">
      <c r="A6542" s="1" t="s">
        <v>6542</v>
      </c>
      <c r="B6542" s="2" t="str">
        <f>IFERROR(__xludf.DUMMYFUNCTION("GOOGLETRANSLATE(A6542, ""de"", ""en"")"),"mark")</f>
        <v>mark</v>
      </c>
    </row>
    <row r="6543">
      <c r="A6543" s="1" t="s">
        <v>6543</v>
      </c>
      <c r="B6543" s="2" t="str">
        <f>IFERROR(__xludf.DUMMYFUNCTION("GOOGLETRANSLATE(A6543, ""de"", ""en"")"),"grayson")</f>
        <v>grayson</v>
      </c>
    </row>
    <row r="6544">
      <c r="A6544" s="1" t="s">
        <v>6544</v>
      </c>
      <c r="B6544" s="2" t="str">
        <f>IFERROR(__xludf.DUMMYFUNCTION("GOOGLETRANSLATE(A6544, ""de"", ""en"")"),"crown")</f>
        <v>crown</v>
      </c>
    </row>
    <row r="6545">
      <c r="A6545" s="1" t="s">
        <v>6545</v>
      </c>
      <c r="B6545" s="2" t="str">
        <f>IFERROR(__xludf.DUMMYFUNCTION("GOOGLETRANSLATE(A6545, ""de"", ""en"")"),"dare")</f>
        <v>dare</v>
      </c>
    </row>
    <row r="6546">
      <c r="A6546" s="1" t="s">
        <v>6546</v>
      </c>
      <c r="B6546" s="2" t="str">
        <f>IFERROR(__xludf.DUMMYFUNCTION("GOOGLETRANSLATE(A6546, ""de"", ""en"")"),"e.g")</f>
        <v>e.g</v>
      </c>
    </row>
    <row r="6547">
      <c r="A6547" s="1" t="s">
        <v>6547</v>
      </c>
      <c r="B6547" s="2" t="str">
        <f>IFERROR(__xludf.DUMMYFUNCTION("GOOGLETRANSLATE(A6547, ""de"", ""en"")"),"win")</f>
        <v>win</v>
      </c>
    </row>
    <row r="6548">
      <c r="A6548" s="1" t="s">
        <v>6548</v>
      </c>
      <c r="B6548" s="2" t="str">
        <f>IFERROR(__xludf.DUMMYFUNCTION("GOOGLETRANSLATE(A6548, ""de"", ""en"")"),"engaged")</f>
        <v>engaged</v>
      </c>
    </row>
    <row r="6549">
      <c r="A6549" s="1" t="s">
        <v>6549</v>
      </c>
      <c r="B6549" s="2" t="str">
        <f>IFERROR(__xludf.DUMMYFUNCTION("GOOGLETRANSLATE(A6549, ""de"", ""en"")"),"Edgar")</f>
        <v>Edgar</v>
      </c>
    </row>
    <row r="6550">
      <c r="A6550" s="1" t="s">
        <v>6550</v>
      </c>
      <c r="B6550" s="2" t="str">
        <f>IFERROR(__xludf.DUMMYFUNCTION("GOOGLETRANSLATE(A6550, ""de"", ""en"")"),"Afghanistan")</f>
        <v>Afghanistan</v>
      </c>
    </row>
    <row r="6551">
      <c r="A6551" s="1" t="s">
        <v>6551</v>
      </c>
      <c r="B6551" s="2" t="str">
        <f>IFERROR(__xludf.DUMMYFUNCTION("GOOGLETRANSLATE(A6551, ""de"", ""en"")"),"worthy")</f>
        <v>worthy</v>
      </c>
    </row>
    <row r="6552">
      <c r="A6552" s="1" t="s">
        <v>6552</v>
      </c>
      <c r="B6552" s="2" t="str">
        <f>IFERROR(__xludf.DUMMYFUNCTION("GOOGLETRANSLATE(A6552, ""de"", ""en"")"),"wakes up")</f>
        <v>wakes up</v>
      </c>
    </row>
    <row r="6553">
      <c r="A6553" s="1" t="s">
        <v>6553</v>
      </c>
      <c r="B6553" s="2" t="str">
        <f>IFERROR(__xludf.DUMMYFUNCTION("GOOGLETRANSLATE(A6553, ""de"", ""en"")"),"congratulate")</f>
        <v>congratulate</v>
      </c>
    </row>
    <row r="6554">
      <c r="A6554" s="1" t="s">
        <v>6554</v>
      </c>
      <c r="B6554" s="2" t="str">
        <f>IFERROR(__xludf.DUMMYFUNCTION("GOOGLETRANSLATE(A6554, ""de"", ""en"")"),"brother-in-law")</f>
        <v>brother-in-law</v>
      </c>
    </row>
    <row r="6555">
      <c r="A6555" s="1" t="s">
        <v>6555</v>
      </c>
      <c r="B6555" s="2" t="str">
        <f>IFERROR(__xludf.DUMMYFUNCTION("GOOGLETRANSLATE(A6555, ""de"", ""en"")"),"violet")</f>
        <v>violet</v>
      </c>
    </row>
    <row r="6556">
      <c r="A6556" s="1" t="s">
        <v>6556</v>
      </c>
      <c r="B6556" s="2" t="str">
        <f>IFERROR(__xludf.DUMMYFUNCTION("GOOGLETRANSLATE(A6556, ""de"", ""en"")"),"info")</f>
        <v>info</v>
      </c>
    </row>
    <row r="6557">
      <c r="A6557" s="1" t="s">
        <v>6557</v>
      </c>
      <c r="B6557" s="2" t="str">
        <f>IFERROR(__xludf.DUMMYFUNCTION("GOOGLETRANSLATE(A6557, ""de"", ""en"")"),"federation")</f>
        <v>federation</v>
      </c>
    </row>
    <row r="6558">
      <c r="A6558" s="1" t="s">
        <v>6558</v>
      </c>
      <c r="B6558" s="2" t="str">
        <f>IFERROR(__xludf.DUMMYFUNCTION("GOOGLETRANSLATE(A6558, ""de"", ""en"")"),"can")</f>
        <v>can</v>
      </c>
    </row>
    <row r="6559">
      <c r="A6559" s="1" t="s">
        <v>6559</v>
      </c>
      <c r="B6559" s="2" t="str">
        <f>IFERROR(__xludf.DUMMYFUNCTION("GOOGLETRANSLATE(A6559, ""de"", ""en"")"),"warmth")</f>
        <v>warmth</v>
      </c>
    </row>
    <row r="6560">
      <c r="A6560" s="1" t="s">
        <v>6560</v>
      </c>
      <c r="B6560" s="2" t="str">
        <f>IFERROR(__xludf.DUMMYFUNCTION("GOOGLETRANSLATE(A6560, ""de"", ""en"")"),"appeared")</f>
        <v>appeared</v>
      </c>
    </row>
    <row r="6561">
      <c r="A6561" s="1" t="s">
        <v>6561</v>
      </c>
      <c r="B6561" s="2" t="str">
        <f>IFERROR(__xludf.DUMMYFUNCTION("GOOGLETRANSLATE(A6561, ""de"", ""en"")"),"magazine")</f>
        <v>magazine</v>
      </c>
    </row>
    <row r="6562">
      <c r="A6562" s="1" t="s">
        <v>6562</v>
      </c>
      <c r="B6562" s="2" t="str">
        <f>IFERROR(__xludf.DUMMYFUNCTION("GOOGLETRANSLATE(A6562, ""de"", ""en"")"),"clamp")</f>
        <v>clamp</v>
      </c>
    </row>
    <row r="6563">
      <c r="A6563" s="1" t="s">
        <v>6563</v>
      </c>
      <c r="B6563" s="2" t="str">
        <f>IFERROR(__xludf.DUMMYFUNCTION("GOOGLETRANSLATE(A6563, ""de"", ""en"")"),"gives")</f>
        <v>gives</v>
      </c>
    </row>
    <row r="6564">
      <c r="A6564" s="1" t="s">
        <v>6564</v>
      </c>
      <c r="B6564" s="2" t="str">
        <f>IFERROR(__xludf.DUMMYFUNCTION("GOOGLETRANSLATE(A6564, ""de"", ""en"")"),"min")</f>
        <v>min</v>
      </c>
    </row>
    <row r="6565">
      <c r="A6565" s="1" t="s">
        <v>6565</v>
      </c>
      <c r="B6565" s="2" t="str">
        <f>IFERROR(__xludf.DUMMYFUNCTION("GOOGLETRANSLATE(A6565, ""de"", ""en"")"),"it was")</f>
        <v>it was</v>
      </c>
    </row>
    <row r="6566">
      <c r="A6566" s="1" t="s">
        <v>6566</v>
      </c>
      <c r="B6566" s="2" t="str">
        <f>IFERROR(__xludf.DUMMYFUNCTION("GOOGLETRANSLATE(A6566, ""de"", ""en"")"),"violated")</f>
        <v>violated</v>
      </c>
    </row>
    <row r="6567">
      <c r="A6567" s="1" t="s">
        <v>6567</v>
      </c>
      <c r="B6567" s="2" t="str">
        <f>IFERROR(__xludf.DUMMYFUNCTION("GOOGLETRANSLATE(A6567, ""de"", ""en"")"),"Nicholas")</f>
        <v>Nicholas</v>
      </c>
    </row>
    <row r="6568">
      <c r="A6568" s="1" t="s">
        <v>6568</v>
      </c>
      <c r="B6568" s="2" t="str">
        <f>IFERROR(__xludf.DUMMYFUNCTION("GOOGLETRANSLATE(A6568, ""de"", ""en"")"),"Georgia")</f>
        <v>Georgia</v>
      </c>
    </row>
    <row r="6569">
      <c r="A6569" s="1" t="s">
        <v>6569</v>
      </c>
      <c r="B6569" s="2" t="str">
        <f>IFERROR(__xludf.DUMMYFUNCTION("GOOGLETRANSLATE(A6569, ""de"", ""en"")"),"strong")</f>
        <v>strong</v>
      </c>
    </row>
    <row r="6570">
      <c r="A6570" s="1" t="s">
        <v>6570</v>
      </c>
      <c r="B6570" s="2" t="str">
        <f>IFERROR(__xludf.DUMMYFUNCTION("GOOGLETRANSLATE(A6570, ""de"", ""en"")"),"heart")</f>
        <v>heart</v>
      </c>
    </row>
    <row r="6571">
      <c r="A6571" s="1" t="s">
        <v>6571</v>
      </c>
      <c r="B6571" s="2" t="str">
        <f>IFERROR(__xludf.DUMMYFUNCTION("GOOGLETRANSLATE(A6571, ""de"", ""en"")"),"mel")</f>
        <v>mel</v>
      </c>
    </row>
    <row r="6572">
      <c r="A6572" s="1" t="s">
        <v>6572</v>
      </c>
      <c r="B6572" s="2" t="str">
        <f>IFERROR(__xludf.DUMMYFUNCTION("GOOGLETRANSLATE(A6572, ""de"", ""en"")"),"neighbor")</f>
        <v>neighbor</v>
      </c>
    </row>
    <row r="6573">
      <c r="A6573" s="1" t="s">
        <v>6573</v>
      </c>
      <c r="B6573" s="2" t="str">
        <f>IFERROR(__xludf.DUMMYFUNCTION("GOOGLETRANSLATE(A6573, ""de"", ""en"")"),"yuck")</f>
        <v>yuck</v>
      </c>
    </row>
    <row r="6574">
      <c r="A6574" s="1" t="s">
        <v>6574</v>
      </c>
      <c r="B6574" s="2" t="str">
        <f>IFERROR(__xludf.DUMMYFUNCTION("GOOGLETRANSLATE(A6574, ""de"", ""en"")"),"formula")</f>
        <v>formula</v>
      </c>
    </row>
    <row r="6575">
      <c r="A6575" s="1" t="s">
        <v>6575</v>
      </c>
      <c r="B6575" s="2" t="str">
        <f>IFERROR(__xludf.DUMMYFUNCTION("GOOGLETRANSLATE(A6575, ""de"", ""en"")"),"bro")</f>
        <v>bro</v>
      </c>
    </row>
    <row r="6576">
      <c r="A6576" s="1" t="s">
        <v>6576</v>
      </c>
      <c r="B6576" s="2" t="str">
        <f>IFERROR(__xludf.DUMMYFUNCTION("GOOGLETRANSLATE(A6576, ""de"", ""en"")"),"out")</f>
        <v>out</v>
      </c>
    </row>
    <row r="6577">
      <c r="A6577" s="1" t="s">
        <v>6577</v>
      </c>
      <c r="B6577" s="2" t="str">
        <f>IFERROR(__xludf.DUMMYFUNCTION("GOOGLETRANSLATE(A6577, ""de"", ""en"")"),"caravan")</f>
        <v>caravan</v>
      </c>
    </row>
    <row r="6578">
      <c r="A6578" s="1" t="s">
        <v>6578</v>
      </c>
      <c r="B6578" s="2" t="str">
        <f>IFERROR(__xludf.DUMMYFUNCTION("GOOGLETRANSLATE(A6578, ""de"", ""en"")"),"throw away")</f>
        <v>throw away</v>
      </c>
    </row>
    <row r="6579">
      <c r="A6579" s="1" t="s">
        <v>6579</v>
      </c>
      <c r="B6579" s="2" t="str">
        <f>IFERROR(__xludf.DUMMYFUNCTION("GOOGLETRANSLATE(A6579, ""de"", ""en"")"),"spider")</f>
        <v>spider</v>
      </c>
    </row>
    <row r="6580">
      <c r="A6580" s="1" t="s">
        <v>6580</v>
      </c>
      <c r="B6580" s="2" t="str">
        <f>IFERROR(__xludf.DUMMYFUNCTION("GOOGLETRANSLATE(A6580, ""de"", ""en"")"),"tumor")</f>
        <v>tumor</v>
      </c>
    </row>
    <row r="6581">
      <c r="A6581" s="1" t="s">
        <v>6581</v>
      </c>
      <c r="B6581" s="2" t="str">
        <f>IFERROR(__xludf.DUMMYFUNCTION("GOOGLETRANSLATE(A6581, ""de"", ""en"")"),"pay")</f>
        <v>pay</v>
      </c>
    </row>
    <row r="6582">
      <c r="A6582" s="1" t="s">
        <v>6582</v>
      </c>
      <c r="B6582" s="2" t="str">
        <f>IFERROR(__xludf.DUMMYFUNCTION("GOOGLETRANSLATE(A6582, ""de"", ""en"")"),"parcel")</f>
        <v>parcel</v>
      </c>
    </row>
    <row r="6583">
      <c r="A6583" s="1" t="s">
        <v>6583</v>
      </c>
      <c r="B6583" s="2" t="str">
        <f>IFERROR(__xludf.DUMMYFUNCTION("GOOGLETRANSLATE(A6583, ""de"", ""en"")"),"rough")</f>
        <v>rough</v>
      </c>
    </row>
    <row r="6584">
      <c r="A6584" s="1" t="s">
        <v>6584</v>
      </c>
      <c r="B6584" s="2" t="str">
        <f>IFERROR(__xludf.DUMMYFUNCTION("GOOGLETRANSLATE(A6584, ""de"", ""en"")"),"nail")</f>
        <v>nail</v>
      </c>
    </row>
    <row r="6585">
      <c r="A6585" s="1" t="s">
        <v>6585</v>
      </c>
      <c r="B6585" s="2" t="str">
        <f>IFERROR(__xludf.DUMMYFUNCTION("GOOGLETRANSLATE(A6585, ""de"", ""en"")"),"donovan")</f>
        <v>donovan</v>
      </c>
    </row>
    <row r="6586">
      <c r="A6586" s="1" t="s">
        <v>6586</v>
      </c>
      <c r="B6586" s="2" t="str">
        <f>IFERROR(__xludf.DUMMYFUNCTION("GOOGLETRANSLATE(A6586, ""de"", ""en"")"),"stare")</f>
        <v>stare</v>
      </c>
    </row>
    <row r="6587">
      <c r="A6587" s="1" t="s">
        <v>6587</v>
      </c>
      <c r="B6587" s="2" t="str">
        <f>IFERROR(__xludf.DUMMYFUNCTION("GOOGLETRANSLATE(A6587, ""de"", ""en"")"),"drive out")</f>
        <v>drive out</v>
      </c>
    </row>
    <row r="6588">
      <c r="A6588" s="1" t="s">
        <v>6588</v>
      </c>
      <c r="B6588" s="2" t="str">
        <f>IFERROR(__xludf.DUMMYFUNCTION("GOOGLETRANSLATE(A6588, ""de"", ""en"")"),"works")</f>
        <v>works</v>
      </c>
    </row>
    <row r="6589">
      <c r="A6589" s="1" t="s">
        <v>6589</v>
      </c>
      <c r="B6589" s="2" t="str">
        <f>IFERROR(__xludf.DUMMYFUNCTION("GOOGLETRANSLATE(A6589, ""de"", ""en"")"),"trust")</f>
        <v>trust</v>
      </c>
    </row>
    <row r="6590">
      <c r="A6590" s="1" t="s">
        <v>6590</v>
      </c>
      <c r="B6590" s="2" t="str">
        <f>IFERROR(__xludf.DUMMYFUNCTION("GOOGLETRANSLATE(A6590, ""de"", ""en"")"),"married")</f>
        <v>married</v>
      </c>
    </row>
    <row r="6591">
      <c r="A6591" s="1" t="s">
        <v>6591</v>
      </c>
      <c r="B6591" s="2" t="str">
        <f>IFERROR(__xludf.DUMMYFUNCTION("GOOGLETRANSLATE(A6591, ""de"", ""en"")"),"take")</f>
        <v>take</v>
      </c>
    </row>
    <row r="6592">
      <c r="A6592" s="1" t="s">
        <v>6592</v>
      </c>
      <c r="B6592" s="2" t="str">
        <f>IFERROR(__xludf.DUMMYFUNCTION("GOOGLETRANSLATE(A6592, ""de"", ""en"")"),"latest")</f>
        <v>latest</v>
      </c>
    </row>
    <row r="6593">
      <c r="A6593" s="1" t="s">
        <v>6593</v>
      </c>
      <c r="B6593" s="2" t="str">
        <f>IFERROR(__xludf.DUMMYFUNCTION("GOOGLETRANSLATE(A6593, ""de"", ""en"")"),"emails")</f>
        <v>emails</v>
      </c>
    </row>
    <row r="6594">
      <c r="A6594" s="1" t="s">
        <v>6594</v>
      </c>
      <c r="B6594" s="2" t="str">
        <f>IFERROR(__xludf.DUMMYFUNCTION("GOOGLETRANSLATE(A6594, ""de"", ""en"")"),"grid")</f>
        <v>grid</v>
      </c>
    </row>
    <row r="6595">
      <c r="A6595" s="1" t="s">
        <v>6595</v>
      </c>
      <c r="B6595" s="2" t="str">
        <f>IFERROR(__xludf.DUMMYFUNCTION("GOOGLETRANSLATE(A6595, ""de"", ""en"")"),"blocks")</f>
        <v>blocks</v>
      </c>
    </row>
    <row r="6596">
      <c r="A6596" s="1" t="s">
        <v>6596</v>
      </c>
      <c r="B6596" s="2" t="str">
        <f>IFERROR(__xludf.DUMMYFUNCTION("GOOGLETRANSLATE(A6596, ""de"", ""en"")"),"conquer")</f>
        <v>conquer</v>
      </c>
    </row>
    <row r="6597">
      <c r="A6597" s="1" t="s">
        <v>6597</v>
      </c>
      <c r="B6597" s="2" t="str">
        <f>IFERROR(__xludf.DUMMYFUNCTION("GOOGLETRANSLATE(A6597, ""de"", ""en"")"),"gin")</f>
        <v>gin</v>
      </c>
    </row>
    <row r="6598">
      <c r="A6598" s="1" t="s">
        <v>6598</v>
      </c>
      <c r="B6598" s="2" t="str">
        <f>IFERROR(__xludf.DUMMYFUNCTION("GOOGLETRANSLATE(A6598, ""de"", ""en"")"),"spin")</f>
        <v>spin</v>
      </c>
    </row>
    <row r="6599">
      <c r="A6599" s="1" t="s">
        <v>6599</v>
      </c>
      <c r="B6599" s="2" t="str">
        <f>IFERROR(__xludf.DUMMYFUNCTION("GOOGLETRANSLATE(A6599, ""de"", ""en"")"),"shape")</f>
        <v>shape</v>
      </c>
    </row>
    <row r="6600">
      <c r="A6600" s="1" t="s">
        <v>6600</v>
      </c>
      <c r="B6600" s="2" t="str">
        <f>IFERROR(__xludf.DUMMYFUNCTION("GOOGLETRANSLATE(A6600, ""de"", ""en"")"),"liter")</f>
        <v>liter</v>
      </c>
    </row>
    <row r="6601">
      <c r="A6601" s="1" t="s">
        <v>6601</v>
      </c>
      <c r="B6601" s="2" t="str">
        <f>IFERROR(__xludf.DUMMYFUNCTION("GOOGLETRANSLATE(A6601, ""de"", ""en"")"),"patty")</f>
        <v>patty</v>
      </c>
    </row>
    <row r="6602">
      <c r="A6602" s="1" t="s">
        <v>6602</v>
      </c>
      <c r="B6602" s="2" t="str">
        <f>IFERROR(__xludf.DUMMYFUNCTION("GOOGLETRANSLATE(A6602, ""de"", ""en"")"),"drew")</f>
        <v>drew</v>
      </c>
    </row>
    <row r="6603">
      <c r="A6603" s="1" t="s">
        <v>6603</v>
      </c>
      <c r="B6603" s="2" t="str">
        <f>IFERROR(__xludf.DUMMYFUNCTION("GOOGLETRANSLATE(A6603, ""de"", ""en"")"),"illusion")</f>
        <v>illusion</v>
      </c>
    </row>
    <row r="6604">
      <c r="A6604" s="1" t="s">
        <v>6604</v>
      </c>
      <c r="B6604" s="2" t="str">
        <f>IFERROR(__xludf.DUMMYFUNCTION("GOOGLETRANSLATE(A6604, ""de"", ""en"")"),"chat")</f>
        <v>chat</v>
      </c>
    </row>
    <row r="6605">
      <c r="A6605" s="1" t="s">
        <v>6605</v>
      </c>
      <c r="B6605" s="2" t="str">
        <f>IFERROR(__xludf.DUMMYFUNCTION("GOOGLETRANSLATE(A6605, ""de"", ""en"")"),"cuts")</f>
        <v>cuts</v>
      </c>
    </row>
    <row r="6606">
      <c r="A6606" s="1" t="s">
        <v>6606</v>
      </c>
      <c r="B6606" s="2" t="str">
        <f>IFERROR(__xludf.DUMMYFUNCTION("GOOGLETRANSLATE(A6606, ""de"", ""en"")"),"wave")</f>
        <v>wave</v>
      </c>
    </row>
    <row r="6607">
      <c r="A6607" s="1" t="s">
        <v>6607</v>
      </c>
      <c r="B6607" s="2" t="str">
        <f>IFERROR(__xludf.DUMMYFUNCTION("GOOGLETRANSLATE(A6607, ""de"", ""en"")"),"Samuel")</f>
        <v>Samuel</v>
      </c>
    </row>
    <row r="6608">
      <c r="A6608" s="1" t="s">
        <v>6608</v>
      </c>
      <c r="B6608" s="2" t="str">
        <f>IFERROR(__xludf.DUMMYFUNCTION("GOOGLETRANSLATE(A6608, ""de"", ""en"")"),"liable")</f>
        <v>liable</v>
      </c>
    </row>
    <row r="6609">
      <c r="A6609" s="1" t="s">
        <v>6609</v>
      </c>
      <c r="B6609" s="2" t="str">
        <f>IFERROR(__xludf.DUMMYFUNCTION("GOOGLETRANSLATE(A6609, ""de"", ""en"")"),"strange")</f>
        <v>strange</v>
      </c>
    </row>
    <row r="6610">
      <c r="A6610" s="1" t="s">
        <v>6610</v>
      </c>
      <c r="B6610" s="2" t="str">
        <f>IFERROR(__xludf.DUMMYFUNCTION("GOOGLETRANSLATE(A6610, ""de"", ""en"")"),"tension")</f>
        <v>tension</v>
      </c>
    </row>
    <row r="6611">
      <c r="A6611" s="1" t="s">
        <v>6611</v>
      </c>
      <c r="B6611" s="2" t="str">
        <f>IFERROR(__xludf.DUMMYFUNCTION("GOOGLETRANSLATE(A6611, ""de"", ""en"")"),"bangs")</f>
        <v>bangs</v>
      </c>
    </row>
    <row r="6612">
      <c r="A6612" s="1" t="s">
        <v>6612</v>
      </c>
      <c r="B6612" s="2" t="str">
        <f>IFERROR(__xludf.DUMMYFUNCTION("GOOGLETRANSLATE(A6612, ""de"", ""en"")"),"to return")</f>
        <v>to return</v>
      </c>
    </row>
    <row r="6613">
      <c r="A6613" s="1" t="s">
        <v>6613</v>
      </c>
      <c r="B6613" s="2" t="str">
        <f>IFERROR(__xludf.DUMMYFUNCTION("GOOGLETRANSLATE(A6613, ""de"", ""en"")"),"determination")</f>
        <v>determination</v>
      </c>
    </row>
    <row r="6614">
      <c r="A6614" s="1" t="s">
        <v>6614</v>
      </c>
      <c r="B6614" s="2" t="str">
        <f>IFERROR(__xludf.DUMMYFUNCTION("GOOGLETRANSLATE(A6614, ""de"", ""en"")"),"safe")</f>
        <v>safe</v>
      </c>
    </row>
    <row r="6615">
      <c r="A6615" s="1" t="s">
        <v>6615</v>
      </c>
      <c r="B6615" s="2" t="str">
        <f>IFERROR(__xludf.DUMMYFUNCTION("GOOGLETRANSLATE(A6615, ""de"", ""en"")"),"amber")</f>
        <v>amber</v>
      </c>
    </row>
    <row r="6616">
      <c r="A6616" s="1" t="s">
        <v>6616</v>
      </c>
      <c r="B6616" s="2" t="str">
        <f>IFERROR(__xludf.DUMMYFUNCTION("GOOGLETRANSLATE(A6616, ""de"", ""en"")"),"cursed")</f>
        <v>cursed</v>
      </c>
    </row>
    <row r="6617">
      <c r="A6617" s="1" t="s">
        <v>6617</v>
      </c>
      <c r="B6617" s="2" t="str">
        <f>IFERROR(__xludf.DUMMYFUNCTION("GOOGLETRANSLATE(A6617, ""de"", ""en"")"),"fisherman")</f>
        <v>fisherman</v>
      </c>
    </row>
    <row r="6618">
      <c r="A6618" s="1" t="s">
        <v>6618</v>
      </c>
      <c r="B6618" s="2" t="str">
        <f>IFERROR(__xludf.DUMMYFUNCTION("GOOGLETRANSLATE(A6618, ""de"", ""en"")"),"losses")</f>
        <v>losses</v>
      </c>
    </row>
    <row r="6619">
      <c r="A6619" s="1" t="s">
        <v>6619</v>
      </c>
      <c r="B6619" s="2" t="str">
        <f>IFERROR(__xludf.DUMMYFUNCTION("GOOGLETRANSLATE(A6619, ""de"", ""en"")"),"teach")</f>
        <v>teach</v>
      </c>
    </row>
    <row r="6620">
      <c r="A6620" s="1" t="s">
        <v>6620</v>
      </c>
      <c r="B6620" s="2" t="str">
        <f>IFERROR(__xludf.DUMMYFUNCTION("GOOGLETRANSLATE(A6620, ""de"", ""en"")"),"jenna")</f>
        <v>jenna</v>
      </c>
    </row>
    <row r="6621">
      <c r="A6621" s="1" t="s">
        <v>6621</v>
      </c>
      <c r="B6621" s="2" t="str">
        <f>IFERROR(__xludf.DUMMYFUNCTION("GOOGLETRANSLATE(A6621, ""de"", ""en"")"),"revolver")</f>
        <v>revolver</v>
      </c>
    </row>
    <row r="6622">
      <c r="A6622" s="1" t="s">
        <v>6622</v>
      </c>
      <c r="B6622" s="2" t="str">
        <f>IFERROR(__xludf.DUMMYFUNCTION("GOOGLETRANSLATE(A6622, ""de"", ""en"")"),"scrap")</f>
        <v>scrap</v>
      </c>
    </row>
    <row r="6623">
      <c r="A6623" s="1" t="s">
        <v>6623</v>
      </c>
      <c r="B6623" s="2" t="str">
        <f>IFERROR(__xludf.DUMMYFUNCTION("GOOGLETRANSLATE(A6623, ""de"", ""en"")"),"spends")</f>
        <v>spends</v>
      </c>
    </row>
    <row r="6624">
      <c r="A6624" s="1" t="s">
        <v>6624</v>
      </c>
      <c r="B6624" s="2" t="str">
        <f>IFERROR(__xludf.DUMMYFUNCTION("GOOGLETRANSLATE(A6624, ""de"", ""en"")"),"state")</f>
        <v>state</v>
      </c>
    </row>
    <row r="6625">
      <c r="A6625" s="1" t="s">
        <v>6625</v>
      </c>
      <c r="B6625" s="2" t="str">
        <f>IFERROR(__xludf.DUMMYFUNCTION("GOOGLETRANSLATE(A6625, ""de"", ""en"")"),"choose")</f>
        <v>choose</v>
      </c>
    </row>
    <row r="6626">
      <c r="A6626" s="1" t="s">
        <v>6626</v>
      </c>
      <c r="B6626" s="2" t="str">
        <f>IFERROR(__xludf.DUMMYFUNCTION("GOOGLETRANSLATE(A6626, ""de"", ""en"")"),"films")</f>
        <v>films</v>
      </c>
    </row>
    <row r="6627">
      <c r="A6627" s="1" t="s">
        <v>6627</v>
      </c>
      <c r="B6627" s="2" t="str">
        <f>IFERROR(__xludf.DUMMYFUNCTION("GOOGLETRANSLATE(A6627, ""de"", ""en"")"),"curtain")</f>
        <v>curtain</v>
      </c>
    </row>
    <row r="6628">
      <c r="A6628" s="1" t="s">
        <v>6628</v>
      </c>
      <c r="B6628" s="2" t="str">
        <f>IFERROR(__xludf.DUMMYFUNCTION("GOOGLETRANSLATE(A6628, ""de"", ""en"")"),"play along")</f>
        <v>play along</v>
      </c>
    </row>
    <row r="6629">
      <c r="A6629" s="1" t="s">
        <v>6629</v>
      </c>
      <c r="B6629" s="2" t="str">
        <f>IFERROR(__xludf.DUMMYFUNCTION("GOOGLETRANSLATE(A6629, ""de"", ""en"")"),"excited")</f>
        <v>excited</v>
      </c>
    </row>
    <row r="6630">
      <c r="A6630" s="1" t="s">
        <v>6630</v>
      </c>
      <c r="B6630" s="2" t="str">
        <f>IFERROR(__xludf.DUMMYFUNCTION("GOOGLETRANSLATE(A6630, ""de"", ""en"")"),"worked")</f>
        <v>worked</v>
      </c>
    </row>
    <row r="6631">
      <c r="A6631" s="1" t="s">
        <v>6631</v>
      </c>
      <c r="B6631" s="2" t="str">
        <f>IFERROR(__xludf.DUMMYFUNCTION("GOOGLETRANSLATE(A6631, ""de"", ""en"")"),"dissolved")</f>
        <v>dissolved</v>
      </c>
    </row>
    <row r="6632">
      <c r="A6632" s="1" t="s">
        <v>6632</v>
      </c>
      <c r="B6632" s="2" t="str">
        <f>IFERROR(__xludf.DUMMYFUNCTION("GOOGLETRANSLATE(A6632, ""de"", ""en"")"),"leave")</f>
        <v>leave</v>
      </c>
    </row>
    <row r="6633">
      <c r="A6633" s="1" t="s">
        <v>6633</v>
      </c>
      <c r="B6633" s="2" t="str">
        <f>IFERROR(__xludf.DUMMYFUNCTION("GOOGLETRANSLATE(A6633, ""de"", ""en"")"),"wear")</f>
        <v>wear</v>
      </c>
    </row>
    <row r="6634">
      <c r="A6634" s="1" t="s">
        <v>6634</v>
      </c>
      <c r="B6634" s="2" t="str">
        <f>IFERROR(__xludf.DUMMYFUNCTION("GOOGLETRANSLATE(A6634, ""de"", ""en"")"),"agree")</f>
        <v>agree</v>
      </c>
    </row>
    <row r="6635">
      <c r="A6635" s="1" t="s">
        <v>6635</v>
      </c>
      <c r="B6635" s="2" t="str">
        <f>IFERROR(__xludf.DUMMYFUNCTION("GOOGLETRANSLATE(A6635, ""de"", ""en"")"),"taught")</f>
        <v>taught</v>
      </c>
    </row>
    <row r="6636">
      <c r="A6636" s="1" t="s">
        <v>6636</v>
      </c>
      <c r="B6636" s="2" t="str">
        <f>IFERROR(__xludf.DUMMYFUNCTION("GOOGLETRANSLATE(A6636, ""de"", ""en"")"),"unusual")</f>
        <v>unusual</v>
      </c>
    </row>
    <row r="6637">
      <c r="A6637" s="1" t="s">
        <v>6637</v>
      </c>
      <c r="B6637" s="2" t="str">
        <f>IFERROR(__xludf.DUMMYFUNCTION("GOOGLETRANSLATE(A6637, ""de"", ""en"")"),"eve")</f>
        <v>eve</v>
      </c>
    </row>
    <row r="6638">
      <c r="A6638" s="1" t="s">
        <v>6638</v>
      </c>
      <c r="B6638" s="2" t="str">
        <f>IFERROR(__xludf.DUMMYFUNCTION("GOOGLETRANSLATE(A6638, ""de"", ""en"")"),"warehouse")</f>
        <v>warehouse</v>
      </c>
    </row>
    <row r="6639">
      <c r="A6639" s="1" t="s">
        <v>6639</v>
      </c>
      <c r="B6639" s="2" t="str">
        <f>IFERROR(__xludf.DUMMYFUNCTION("GOOGLETRANSLATE(A6639, ""de"", ""en"")"),"robbery")</f>
        <v>robbery</v>
      </c>
    </row>
    <row r="6640">
      <c r="A6640" s="1" t="s">
        <v>6640</v>
      </c>
      <c r="B6640" s="2" t="str">
        <f>IFERROR(__xludf.DUMMYFUNCTION("GOOGLETRANSLATE(A6640, ""de"", ""en"")"),"visions")</f>
        <v>visions</v>
      </c>
    </row>
    <row r="6641">
      <c r="A6641" s="1" t="s">
        <v>6641</v>
      </c>
      <c r="B6641" s="2" t="str">
        <f>IFERROR(__xludf.DUMMYFUNCTION("GOOGLETRANSLATE(A6641, ""de"", ""en"")"),"companies")</f>
        <v>companies</v>
      </c>
    </row>
    <row r="6642">
      <c r="A6642" s="1" t="s">
        <v>6642</v>
      </c>
      <c r="B6642" s="2" t="str">
        <f>IFERROR(__xludf.DUMMYFUNCTION("GOOGLETRANSLATE(A6642, ""de"", ""en"")"),"liv")</f>
        <v>liv</v>
      </c>
    </row>
    <row r="6643">
      <c r="A6643" s="1" t="s">
        <v>6643</v>
      </c>
      <c r="B6643" s="2" t="str">
        <f>IFERROR(__xludf.DUMMYFUNCTION("GOOGLETRANSLATE(A6643, ""de"", ""en"")"),"negotiations")</f>
        <v>negotiations</v>
      </c>
    </row>
    <row r="6644">
      <c r="A6644" s="1" t="s">
        <v>6644</v>
      </c>
      <c r="B6644" s="2" t="str">
        <f>IFERROR(__xludf.DUMMYFUNCTION("GOOGLETRANSLATE(A6644, ""de"", ""en"")"),"fucks")</f>
        <v>fucks</v>
      </c>
    </row>
    <row r="6645">
      <c r="A6645" s="1" t="s">
        <v>6645</v>
      </c>
      <c r="B6645" s="2" t="str">
        <f>IFERROR(__xludf.DUMMYFUNCTION("GOOGLETRANSLATE(A6645, ""de"", ""en"")"),"spoiled")</f>
        <v>spoiled</v>
      </c>
    </row>
    <row r="6646">
      <c r="A6646" s="1" t="s">
        <v>6646</v>
      </c>
      <c r="B6646" s="2" t="str">
        <f>IFERROR(__xludf.DUMMYFUNCTION("GOOGLETRANSLATE(A6646, ""de"", ""en"")"),"production")</f>
        <v>production</v>
      </c>
    </row>
    <row r="6647">
      <c r="A6647" s="1" t="s">
        <v>6647</v>
      </c>
      <c r="B6647" s="2" t="str">
        <f>IFERROR(__xludf.DUMMYFUNCTION("GOOGLETRANSLATE(A6647, ""de"", ""en"")"),"for each other")</f>
        <v>for each other</v>
      </c>
    </row>
    <row r="6648">
      <c r="A6648" s="1" t="s">
        <v>6648</v>
      </c>
      <c r="B6648" s="2" t="str">
        <f>IFERROR(__xludf.DUMMYFUNCTION("GOOGLETRANSLATE(A6648, ""de"", ""en"")"),"diseases")</f>
        <v>diseases</v>
      </c>
    </row>
    <row r="6649">
      <c r="A6649" s="1" t="s">
        <v>6649</v>
      </c>
      <c r="B6649" s="2" t="str">
        <f>IFERROR(__xludf.DUMMYFUNCTION("GOOGLETRANSLATE(A6649, ""de"", ""en"")"),"Reggie")</f>
        <v>Reggie</v>
      </c>
    </row>
    <row r="6650">
      <c r="A6650" s="1" t="s">
        <v>6650</v>
      </c>
      <c r="B6650" s="2" t="str">
        <f>IFERROR(__xludf.DUMMYFUNCTION("GOOGLETRANSLATE(A6650, ""de"", ""en"")"),"Jeanne")</f>
        <v>Jeanne</v>
      </c>
    </row>
    <row r="6651">
      <c r="A6651" s="1" t="s">
        <v>6651</v>
      </c>
      <c r="B6651" s="2" t="str">
        <f>IFERROR(__xludf.DUMMYFUNCTION("GOOGLETRANSLATE(A6651, ""de"", ""en"")"),"oblique")</f>
        <v>oblique</v>
      </c>
    </row>
    <row r="6652">
      <c r="A6652" s="1" t="s">
        <v>6652</v>
      </c>
      <c r="B6652" s="2" t="str">
        <f>IFERROR(__xludf.DUMMYFUNCTION("GOOGLETRANSLATE(A6652, ""de"", ""en"")"),"Belle")</f>
        <v>Belle</v>
      </c>
    </row>
    <row r="6653">
      <c r="A6653" s="1" t="s">
        <v>6653</v>
      </c>
      <c r="B6653" s="2" t="str">
        <f>IFERROR(__xludf.DUMMYFUNCTION("GOOGLETRANSLATE(A6653, ""de"", ""en"")"),"bleed")</f>
        <v>bleed</v>
      </c>
    </row>
    <row r="6654">
      <c r="A6654" s="1" t="s">
        <v>6654</v>
      </c>
      <c r="B6654" s="2" t="str">
        <f>IFERROR(__xludf.DUMMYFUNCTION("GOOGLETRANSLATE(A6654, ""de"", ""en"")"),"meant")</f>
        <v>meant</v>
      </c>
    </row>
    <row r="6655">
      <c r="A6655" s="1" t="s">
        <v>6655</v>
      </c>
      <c r="B6655" s="2" t="str">
        <f>IFERROR(__xludf.DUMMYFUNCTION("GOOGLETRANSLATE(A6655, ""de"", ""en"")"),"officials")</f>
        <v>officials</v>
      </c>
    </row>
    <row r="6656">
      <c r="A6656" s="1" t="s">
        <v>6656</v>
      </c>
      <c r="B6656" s="2" t="str">
        <f>IFERROR(__xludf.DUMMYFUNCTION("GOOGLETRANSLATE(A6656, ""de"", ""en"")"),"h.")</f>
        <v>h.</v>
      </c>
    </row>
    <row r="6657">
      <c r="A6657" s="1" t="s">
        <v>6657</v>
      </c>
      <c r="B6657" s="2" t="str">
        <f>IFERROR(__xludf.DUMMYFUNCTION("GOOGLETRANSLATE(A6657, ""de"", ""en"")"),"discuss")</f>
        <v>discuss</v>
      </c>
    </row>
    <row r="6658">
      <c r="A6658" s="1" t="s">
        <v>6658</v>
      </c>
      <c r="B6658" s="2" t="str">
        <f>IFERROR(__xludf.DUMMYFUNCTION("GOOGLETRANSLATE(A6658, ""de"", ""en"")"),"Claudia")</f>
        <v>Claudia</v>
      </c>
    </row>
    <row r="6659">
      <c r="A6659" s="1" t="s">
        <v>6659</v>
      </c>
      <c r="B6659" s="2" t="str">
        <f>IFERROR(__xludf.DUMMYFUNCTION("GOOGLETRANSLATE(A6659, ""de"", ""en"")"),"interfere")</f>
        <v>interfere</v>
      </c>
    </row>
    <row r="6660">
      <c r="A6660" s="1" t="s">
        <v>6660</v>
      </c>
      <c r="B6660" s="2" t="str">
        <f>IFERROR(__xludf.DUMMYFUNCTION("GOOGLETRANSLATE(A6660, ""de"", ""en"")"),"asses")</f>
        <v>asses</v>
      </c>
    </row>
    <row r="6661">
      <c r="A6661" s="1" t="s">
        <v>6661</v>
      </c>
      <c r="B6661" s="2" t="str">
        <f>IFERROR(__xludf.DUMMYFUNCTION("GOOGLETRANSLATE(A6661, ""de"", ""en"")"),"feed")</f>
        <v>feed</v>
      </c>
    </row>
    <row r="6662">
      <c r="A6662" s="1" t="s">
        <v>6662</v>
      </c>
      <c r="B6662" s="2" t="str">
        <f>IFERROR(__xludf.DUMMYFUNCTION("GOOGLETRANSLATE(A6662, ""de"", ""en"")"),"crush")</f>
        <v>crush</v>
      </c>
    </row>
    <row r="6663">
      <c r="A6663" s="1" t="s">
        <v>6663</v>
      </c>
      <c r="B6663" s="2" t="str">
        <f>IFERROR(__xludf.DUMMYFUNCTION("GOOGLETRANSLATE(A6663, ""de"", ""en"")"),"pussy")</f>
        <v>pussy</v>
      </c>
    </row>
    <row r="6664">
      <c r="A6664" s="1" t="s">
        <v>6664</v>
      </c>
      <c r="B6664" s="2" t="str">
        <f>IFERROR(__xludf.DUMMYFUNCTION("GOOGLETRANSLATE(A6664, ""de"", ""en"")"),"accuse")</f>
        <v>accuse</v>
      </c>
    </row>
    <row r="6665">
      <c r="A6665" s="1" t="s">
        <v>6665</v>
      </c>
      <c r="B6665" s="2" t="str">
        <f>IFERROR(__xludf.DUMMYFUNCTION("GOOGLETRANSLATE(A6665, ""de"", ""en"")"),"shares")</f>
        <v>shares</v>
      </c>
    </row>
    <row r="6666">
      <c r="A6666" s="1" t="s">
        <v>6666</v>
      </c>
      <c r="B6666" s="2" t="str">
        <f>IFERROR(__xludf.DUMMYFUNCTION("GOOGLETRANSLATE(A6666, ""de"", ""en"")"),"Harrison")</f>
        <v>Harrison</v>
      </c>
    </row>
    <row r="6667">
      <c r="A6667" s="1" t="s">
        <v>6667</v>
      </c>
      <c r="B6667" s="2" t="str">
        <f>IFERROR(__xludf.DUMMYFUNCTION("GOOGLETRANSLATE(A6667, ""de"", ""en"")"),"shit")</f>
        <v>shit</v>
      </c>
    </row>
    <row r="6668">
      <c r="A6668" s="1" t="s">
        <v>6668</v>
      </c>
      <c r="B6668" s="2" t="str">
        <f>IFERROR(__xludf.DUMMYFUNCTION("GOOGLETRANSLATE(A6668, ""de"", ""en"")"),"sexually")</f>
        <v>sexually</v>
      </c>
    </row>
    <row r="6669">
      <c r="A6669" s="1" t="s">
        <v>6669</v>
      </c>
      <c r="B6669" s="2" t="str">
        <f>IFERROR(__xludf.DUMMYFUNCTION("GOOGLETRANSLATE(A6669, ""de"", ""en"")"),"child's play")</f>
        <v>child's play</v>
      </c>
    </row>
    <row r="6670">
      <c r="A6670" s="1" t="s">
        <v>6670</v>
      </c>
      <c r="B6670" s="2" t="str">
        <f>IFERROR(__xludf.DUMMYFUNCTION("GOOGLETRANSLATE(A6670, ""de"", ""en"")"),"torres")</f>
        <v>torres</v>
      </c>
    </row>
    <row r="6671">
      <c r="A6671" s="1" t="s">
        <v>6671</v>
      </c>
      <c r="B6671" s="2" t="str">
        <f>IFERROR(__xludf.DUMMYFUNCTION("GOOGLETRANSLATE(A6671, ""de"", ""en"")"),"magical")</f>
        <v>magical</v>
      </c>
    </row>
    <row r="6672">
      <c r="A6672" s="1" t="s">
        <v>6672</v>
      </c>
      <c r="B6672" s="2" t="str">
        <f>IFERROR(__xludf.DUMMYFUNCTION("GOOGLETRANSLATE(A6672, ""de"", ""en"")"),"stupidity")</f>
        <v>stupidity</v>
      </c>
    </row>
    <row r="6673">
      <c r="A6673" s="1" t="s">
        <v>6673</v>
      </c>
      <c r="B6673" s="2" t="str">
        <f>IFERROR(__xludf.DUMMYFUNCTION("GOOGLETRANSLATE(A6673, ""de"", ""en"")"),"paid")</f>
        <v>paid</v>
      </c>
    </row>
    <row r="6674">
      <c r="A6674" s="1" t="s">
        <v>6674</v>
      </c>
      <c r="B6674" s="2" t="str">
        <f>IFERROR(__xludf.DUMMYFUNCTION("GOOGLETRANSLATE(A6674, ""de"", ""en"")"),"movements")</f>
        <v>movements</v>
      </c>
    </row>
    <row r="6675">
      <c r="A6675" s="1" t="s">
        <v>6675</v>
      </c>
      <c r="B6675" s="2" t="str">
        <f>IFERROR(__xludf.DUMMYFUNCTION("GOOGLETRANSLATE(A6675, ""de"", ""en"")"),"cart")</f>
        <v>cart</v>
      </c>
    </row>
    <row r="6676">
      <c r="A6676" s="1" t="s">
        <v>6676</v>
      </c>
      <c r="B6676" s="2" t="str">
        <f>IFERROR(__xludf.DUMMYFUNCTION("GOOGLETRANSLATE(A6676, ""de"", ""en"")"),"deduct")</f>
        <v>deduct</v>
      </c>
    </row>
    <row r="6677">
      <c r="A6677" s="1" t="s">
        <v>6677</v>
      </c>
      <c r="B6677" s="2" t="str">
        <f>IFERROR(__xludf.DUMMYFUNCTION("GOOGLETRANSLATE(A6677, ""de"", ""en"")"),"requirement")</f>
        <v>requirement</v>
      </c>
    </row>
    <row r="6678">
      <c r="A6678" s="1" t="s">
        <v>6678</v>
      </c>
      <c r="B6678" s="2" t="str">
        <f>IFERROR(__xludf.DUMMYFUNCTION("GOOGLETRANSLATE(A6678, ""de"", ""en"")"),"usual")</f>
        <v>usual</v>
      </c>
    </row>
    <row r="6679">
      <c r="A6679" s="1" t="s">
        <v>6679</v>
      </c>
      <c r="B6679" s="2" t="str">
        <f>IFERROR(__xludf.DUMMYFUNCTION("GOOGLETRANSLATE(A6679, ""de"", ""en"")"),"turned over")</f>
        <v>turned over</v>
      </c>
    </row>
    <row r="6680">
      <c r="A6680" s="1" t="s">
        <v>6680</v>
      </c>
      <c r="B6680" s="2" t="str">
        <f>IFERROR(__xludf.DUMMYFUNCTION("GOOGLETRANSLATE(A6680, ""de"", ""en"")"),"contents")</f>
        <v>contents</v>
      </c>
    </row>
    <row r="6681">
      <c r="A6681" s="1" t="s">
        <v>6681</v>
      </c>
      <c r="B6681" s="2" t="str">
        <f>IFERROR(__xludf.DUMMYFUNCTION("GOOGLETRANSLATE(A6681, ""de"", ""en"")"),"gratitude")</f>
        <v>gratitude</v>
      </c>
    </row>
    <row r="6682">
      <c r="A6682" s="1" t="s">
        <v>6682</v>
      </c>
      <c r="B6682" s="2" t="str">
        <f>IFERROR(__xludf.DUMMYFUNCTION("GOOGLETRANSLATE(A6682, ""de"", ""en"")"),"bang")</f>
        <v>bang</v>
      </c>
    </row>
    <row r="6683">
      <c r="A6683" s="1" t="s">
        <v>6683</v>
      </c>
      <c r="B6683" s="2" t="str">
        <f>IFERROR(__xludf.DUMMYFUNCTION("GOOGLETRANSLATE(A6683, ""de"", ""en"")"),"comes here")</f>
        <v>comes here</v>
      </c>
    </row>
    <row r="6684">
      <c r="A6684" s="1" t="s">
        <v>6684</v>
      </c>
      <c r="B6684" s="2" t="str">
        <f>IFERROR(__xludf.DUMMYFUNCTION("GOOGLETRANSLATE(A6684, ""de"", ""en"")"),"honored")</f>
        <v>honored</v>
      </c>
    </row>
    <row r="6685">
      <c r="A6685" s="1" t="s">
        <v>6685</v>
      </c>
      <c r="B6685" s="2" t="str">
        <f>IFERROR(__xludf.DUMMYFUNCTION("GOOGLETRANSLATE(A6685, ""de"", ""en"")"),"dreamed")</f>
        <v>dreamed</v>
      </c>
    </row>
    <row r="6686">
      <c r="A6686" s="1" t="s">
        <v>6686</v>
      </c>
      <c r="B6686" s="2" t="str">
        <f>IFERROR(__xludf.DUMMYFUNCTION("GOOGLETRANSLATE(A6686, ""de"", ""en"")"),"make up")</f>
        <v>make up</v>
      </c>
    </row>
    <row r="6687">
      <c r="A6687" s="1" t="s">
        <v>6687</v>
      </c>
      <c r="B6687" s="2" t="str">
        <f>IFERROR(__xludf.DUMMYFUNCTION("GOOGLETRANSLATE(A6687, ""de"", ""en"")"),"interrogated")</f>
        <v>interrogated</v>
      </c>
    </row>
    <row r="6688">
      <c r="A6688" s="1" t="s">
        <v>6688</v>
      </c>
      <c r="B6688" s="2" t="str">
        <f>IFERROR(__xludf.DUMMYFUNCTION("GOOGLETRANSLATE(A6688, ""de"", ""en"")"),"fair")</f>
        <v>fair</v>
      </c>
    </row>
    <row r="6689">
      <c r="A6689" s="1" t="s">
        <v>6689</v>
      </c>
      <c r="B6689" s="2" t="str">
        <f>IFERROR(__xludf.DUMMYFUNCTION("GOOGLETRANSLATE(A6689, ""de"", ""en"")"),"estate")</f>
        <v>estate</v>
      </c>
    </row>
    <row r="6690">
      <c r="A6690" s="1" t="s">
        <v>6690</v>
      </c>
      <c r="B6690" s="2" t="str">
        <f>IFERROR(__xludf.DUMMYFUNCTION("GOOGLETRANSLATE(A6690, ""de"", ""en"")"),"German")</f>
        <v>German</v>
      </c>
    </row>
    <row r="6691">
      <c r="A6691" s="1" t="s">
        <v>6691</v>
      </c>
      <c r="B6691" s="2" t="str">
        <f>IFERROR(__xludf.DUMMYFUNCTION("GOOGLETRANSLATE(A6691, ""de"", ""en"")"),"clean")</f>
        <v>clean</v>
      </c>
    </row>
    <row r="6692">
      <c r="A6692" s="1" t="s">
        <v>6692</v>
      </c>
      <c r="B6692" s="2" t="str">
        <f>IFERROR(__xludf.DUMMYFUNCTION("GOOGLETRANSLATE(A6692, ""de"", ""en"")"),"prayers")</f>
        <v>prayers</v>
      </c>
    </row>
    <row r="6693">
      <c r="A6693" s="1" t="s">
        <v>6693</v>
      </c>
      <c r="B6693" s="2" t="str">
        <f>IFERROR(__xludf.DUMMYFUNCTION("GOOGLETRANSLATE(A6693, ""de"", ""en"")"),"fries")</f>
        <v>fries</v>
      </c>
    </row>
    <row r="6694">
      <c r="A6694" s="1" t="s">
        <v>6694</v>
      </c>
      <c r="B6694" s="2" t="str">
        <f>IFERROR(__xludf.DUMMYFUNCTION("GOOGLETRANSLATE(A6694, ""de"", ""en"")"),"Tony")</f>
        <v>Tony</v>
      </c>
    </row>
    <row r="6695">
      <c r="A6695" s="1" t="s">
        <v>6695</v>
      </c>
      <c r="B6695" s="2" t="str">
        <f>IFERROR(__xludf.DUMMYFUNCTION("GOOGLETRANSLATE(A6695, ""de"", ""en"")"),"land")</f>
        <v>land</v>
      </c>
    </row>
    <row r="6696">
      <c r="A6696" s="1" t="s">
        <v>6696</v>
      </c>
      <c r="B6696" s="2" t="str">
        <f>IFERROR(__xludf.DUMMYFUNCTION("GOOGLETRANSLATE(A6696, ""de"", ""en"")"),"rests")</f>
        <v>rests</v>
      </c>
    </row>
    <row r="6697">
      <c r="A6697" s="1" t="s">
        <v>6697</v>
      </c>
      <c r="B6697" s="2" t="str">
        <f>IFERROR(__xludf.DUMMYFUNCTION("GOOGLETRANSLATE(A6697, ""de"", ""en"")"),"recognition")</f>
        <v>recognition</v>
      </c>
    </row>
    <row r="6698">
      <c r="A6698" s="1" t="s">
        <v>6698</v>
      </c>
      <c r="B6698" s="2" t="str">
        <f>IFERROR(__xludf.DUMMYFUNCTION("GOOGLETRANSLATE(A6698, ""de"", ""en"")"),"wonderful")</f>
        <v>wonderful</v>
      </c>
    </row>
    <row r="6699">
      <c r="A6699" s="1" t="s">
        <v>6699</v>
      </c>
      <c r="B6699" s="2" t="str">
        <f>IFERROR(__xludf.DUMMYFUNCTION("GOOGLETRANSLATE(A6699, ""de"", ""en"")"),"galaxy")</f>
        <v>galaxy</v>
      </c>
    </row>
    <row r="6700">
      <c r="A6700" s="1" t="s">
        <v>6700</v>
      </c>
      <c r="B6700" s="2" t="str">
        <f>IFERROR(__xludf.DUMMYFUNCTION("GOOGLETRANSLATE(A6700, ""de"", ""en"")"),"supposition")</f>
        <v>supposition</v>
      </c>
    </row>
    <row r="6701">
      <c r="A6701" s="1" t="s">
        <v>6701</v>
      </c>
      <c r="B6701" s="2" t="str">
        <f>IFERROR(__xludf.DUMMYFUNCTION("GOOGLETRANSLATE(A6701, ""de"", ""en"")"),"including")</f>
        <v>including</v>
      </c>
    </row>
    <row r="6702">
      <c r="A6702" s="1" t="s">
        <v>6702</v>
      </c>
      <c r="B6702" s="2" t="str">
        <f>IFERROR(__xludf.DUMMYFUNCTION("GOOGLETRANSLATE(A6702, ""de"", ""en"")"),"surveillance")</f>
        <v>surveillance</v>
      </c>
    </row>
    <row r="6703">
      <c r="A6703" s="1" t="s">
        <v>6703</v>
      </c>
      <c r="B6703" s="2" t="str">
        <f>IFERROR(__xludf.DUMMYFUNCTION("GOOGLETRANSLATE(A6703, ""de"", ""en"")"),"independent")</f>
        <v>independent</v>
      </c>
    </row>
    <row r="6704">
      <c r="A6704" s="1" t="s">
        <v>6704</v>
      </c>
      <c r="B6704" s="2" t="str">
        <f>IFERROR(__xludf.DUMMYFUNCTION("GOOGLETRANSLATE(A6704, ""de"", ""en"")"),"brien")</f>
        <v>brien</v>
      </c>
    </row>
    <row r="6705">
      <c r="A6705" s="1" t="s">
        <v>6705</v>
      </c>
      <c r="B6705" s="2" t="str">
        <f>IFERROR(__xludf.DUMMYFUNCTION("GOOGLETRANSLATE(A6705, ""de"", ""en"")"),"keep away")</f>
        <v>keep away</v>
      </c>
    </row>
    <row r="6706">
      <c r="A6706" s="1" t="s">
        <v>6706</v>
      </c>
      <c r="B6706" s="2" t="str">
        <f>IFERROR(__xludf.DUMMYFUNCTION("GOOGLETRANSLATE(A6706, ""de"", ""en"")"),"statue")</f>
        <v>statue</v>
      </c>
    </row>
    <row r="6707">
      <c r="A6707" s="1" t="s">
        <v>6707</v>
      </c>
      <c r="B6707" s="2" t="str">
        <f>IFERROR(__xludf.DUMMYFUNCTION("GOOGLETRANSLATE(A6707, ""de"", ""en"")"),"confirmation")</f>
        <v>confirmation</v>
      </c>
    </row>
    <row r="6708">
      <c r="A6708" s="1" t="s">
        <v>6708</v>
      </c>
      <c r="B6708" s="2" t="str">
        <f>IFERROR(__xludf.DUMMYFUNCTION("GOOGLETRANSLATE(A6708, ""de"", ""en"")"),"dawn")</f>
        <v>dawn</v>
      </c>
    </row>
    <row r="6709">
      <c r="A6709" s="1" t="s">
        <v>6709</v>
      </c>
      <c r="B6709" s="2" t="str">
        <f>IFERROR(__xludf.DUMMYFUNCTION("GOOGLETRANSLATE(A6709, ""de"", ""en"")"),"final")</f>
        <v>final</v>
      </c>
    </row>
    <row r="6710">
      <c r="A6710" s="1" t="s">
        <v>6710</v>
      </c>
      <c r="B6710" s="2" t="str">
        <f>IFERROR(__xludf.DUMMYFUNCTION("GOOGLETRANSLATE(A6710, ""de"", ""en"")"),"despair")</f>
        <v>despair</v>
      </c>
    </row>
    <row r="6711">
      <c r="A6711" s="1" t="s">
        <v>6711</v>
      </c>
      <c r="B6711" s="2" t="str">
        <f>IFERROR(__xludf.DUMMYFUNCTION("GOOGLETRANSLATE(A6711, ""de"", ""en"")"),"granted")</f>
        <v>granted</v>
      </c>
    </row>
    <row r="6712">
      <c r="A6712" s="1" t="s">
        <v>6712</v>
      </c>
      <c r="B6712" s="2" t="str">
        <f>IFERROR(__xludf.DUMMYFUNCTION("GOOGLETRANSLATE(A6712, ""de"", ""en"")"),"depressed")</f>
        <v>depressed</v>
      </c>
    </row>
    <row r="6713">
      <c r="A6713" s="1" t="s">
        <v>6713</v>
      </c>
      <c r="B6713" s="2" t="str">
        <f>IFERROR(__xludf.DUMMYFUNCTION("GOOGLETRANSLATE(A6713, ""de"", ""en"")"),"grant")</f>
        <v>grant</v>
      </c>
    </row>
    <row r="6714">
      <c r="A6714" s="1" t="s">
        <v>6714</v>
      </c>
      <c r="B6714" s="2" t="str">
        <f>IFERROR(__xludf.DUMMYFUNCTION("GOOGLETRANSLATE(A6714, ""de"", ""en"")"),"colin")</f>
        <v>colin</v>
      </c>
    </row>
    <row r="6715">
      <c r="A6715" s="1" t="s">
        <v>6715</v>
      </c>
      <c r="B6715" s="2" t="str">
        <f>IFERROR(__xludf.DUMMYFUNCTION("GOOGLETRANSLATE(A6715, ""de"", ""en"")"),"frame")</f>
        <v>frame</v>
      </c>
    </row>
    <row r="6716">
      <c r="A6716" s="1" t="s">
        <v>6716</v>
      </c>
      <c r="B6716" s="2" t="str">
        <f>IFERROR(__xludf.DUMMYFUNCTION("GOOGLETRANSLATE(A6716, ""de"", ""en"")"),"crazy")</f>
        <v>crazy</v>
      </c>
    </row>
    <row r="6717">
      <c r="A6717" s="1" t="s">
        <v>6717</v>
      </c>
      <c r="B6717" s="2" t="str">
        <f>IFERROR(__xludf.DUMMYFUNCTION("GOOGLETRANSLATE(A6717, ""de"", ""en"")"),"granted")</f>
        <v>granted</v>
      </c>
    </row>
    <row r="6718">
      <c r="A6718" s="1" t="s">
        <v>6718</v>
      </c>
      <c r="B6718" s="2" t="str">
        <f>IFERROR(__xludf.DUMMYFUNCTION("GOOGLETRANSLATE(A6718, ""de"", ""en"")"),"cunt")</f>
        <v>cunt</v>
      </c>
    </row>
    <row r="6719">
      <c r="A6719" s="1" t="s">
        <v>6719</v>
      </c>
      <c r="B6719" s="2" t="str">
        <f>IFERROR(__xludf.DUMMYFUNCTION("GOOGLETRANSLATE(A6719, ""de"", ""en"")"),"was missing")</f>
        <v>was missing</v>
      </c>
    </row>
    <row r="6720">
      <c r="A6720" s="1" t="s">
        <v>6720</v>
      </c>
      <c r="B6720" s="2" t="str">
        <f>IFERROR(__xludf.DUMMYFUNCTION("GOOGLETRANSLATE(A6720, ""de"", ""en"")"),"lost")</f>
        <v>lost</v>
      </c>
    </row>
    <row r="6721">
      <c r="A6721" s="1" t="s">
        <v>6721</v>
      </c>
      <c r="B6721" s="2" t="str">
        <f>IFERROR(__xludf.DUMMYFUNCTION("GOOGLETRANSLATE(A6721, ""de"", ""en"")"),"cannons")</f>
        <v>cannons</v>
      </c>
    </row>
    <row r="6722">
      <c r="A6722" s="1" t="s">
        <v>6722</v>
      </c>
      <c r="B6722" s="2" t="str">
        <f>IFERROR(__xludf.DUMMYFUNCTION("GOOGLETRANSLATE(A6722, ""de"", ""en"")"),"Kansas")</f>
        <v>Kansas</v>
      </c>
    </row>
    <row r="6723">
      <c r="A6723" s="1" t="s">
        <v>6723</v>
      </c>
      <c r="B6723" s="2" t="str">
        <f>IFERROR(__xludf.DUMMYFUNCTION("GOOGLETRANSLATE(A6723, ""de"", ""en"")"),"club")</f>
        <v>club</v>
      </c>
    </row>
    <row r="6724">
      <c r="A6724" s="1" t="s">
        <v>6724</v>
      </c>
      <c r="B6724" s="2" t="str">
        <f>IFERROR(__xludf.DUMMYFUNCTION("GOOGLETRANSLATE(A6724, ""de"", ""en"")"),"British")</f>
        <v>British</v>
      </c>
    </row>
    <row r="6725">
      <c r="A6725" s="1" t="s">
        <v>6725</v>
      </c>
      <c r="B6725" s="2" t="str">
        <f>IFERROR(__xludf.DUMMYFUNCTION("GOOGLETRANSLATE(A6725, ""de"", ""en"")"),"to build")</f>
        <v>to build</v>
      </c>
    </row>
    <row r="6726">
      <c r="A6726" s="1" t="s">
        <v>6726</v>
      </c>
      <c r="B6726" s="2" t="str">
        <f>IFERROR(__xludf.DUMMYFUNCTION("GOOGLETRANSLATE(A6726, ""de"", ""en"")"),"cheer")</f>
        <v>cheer</v>
      </c>
    </row>
    <row r="6727">
      <c r="A6727" s="1" t="s">
        <v>6727</v>
      </c>
      <c r="B6727" s="2" t="str">
        <f>IFERROR(__xludf.DUMMYFUNCTION("GOOGLETRANSLATE(A6727, ""de"", ""en"")"),"wiped out")</f>
        <v>wiped out</v>
      </c>
    </row>
    <row r="6728">
      <c r="A6728" s="1" t="s">
        <v>6728</v>
      </c>
      <c r="B6728" s="2" t="str">
        <f>IFERROR(__xludf.DUMMYFUNCTION("GOOGLETRANSLATE(A6728, ""de"", ""en"")"),"marianne")</f>
        <v>marianne</v>
      </c>
    </row>
    <row r="6729">
      <c r="A6729" s="1" t="s">
        <v>6729</v>
      </c>
      <c r="B6729" s="2" t="str">
        <f>IFERROR(__xludf.DUMMYFUNCTION("GOOGLETRANSLATE(A6729, ""de"", ""en"")"),"stu")</f>
        <v>stu</v>
      </c>
    </row>
    <row r="6730">
      <c r="A6730" s="1" t="s">
        <v>6730</v>
      </c>
      <c r="B6730" s="2" t="str">
        <f>IFERROR(__xludf.DUMMYFUNCTION("GOOGLETRANSLATE(A6730, ""de"", ""en"")"),"serve")</f>
        <v>serve</v>
      </c>
    </row>
    <row r="6731">
      <c r="A6731" s="1" t="s">
        <v>6731</v>
      </c>
      <c r="B6731" s="2" t="str">
        <f>IFERROR(__xludf.DUMMYFUNCTION("GOOGLETRANSLATE(A6731, ""de"", ""en"")"),"worldwide")</f>
        <v>worldwide</v>
      </c>
    </row>
    <row r="6732">
      <c r="A6732" s="1" t="s">
        <v>6732</v>
      </c>
      <c r="B6732" s="2" t="str">
        <f>IFERROR(__xludf.DUMMYFUNCTION("GOOGLETRANSLATE(A6732, ""de"", ""en"")"),"photograph")</f>
        <v>photograph</v>
      </c>
    </row>
    <row r="6733">
      <c r="A6733" s="1" t="s">
        <v>6733</v>
      </c>
      <c r="B6733" s="2" t="str">
        <f>IFERROR(__xludf.DUMMYFUNCTION("GOOGLETRANSLATE(A6733, ""de"", ""en"")"),"defeat")</f>
        <v>defeat</v>
      </c>
    </row>
    <row r="6734">
      <c r="A6734" s="1" t="s">
        <v>6734</v>
      </c>
      <c r="B6734" s="2" t="str">
        <f>IFERROR(__xludf.DUMMYFUNCTION("GOOGLETRANSLATE(A6734, ""de"", ""en"")"),"toes")</f>
        <v>toes</v>
      </c>
    </row>
    <row r="6735">
      <c r="A6735" s="1" t="s">
        <v>6735</v>
      </c>
      <c r="B6735" s="2" t="str">
        <f>IFERROR(__xludf.DUMMYFUNCTION("GOOGLETRANSLATE(A6735, ""de"", ""en"")"),"weaken")</f>
        <v>weaken</v>
      </c>
    </row>
    <row r="6736">
      <c r="A6736" s="1" t="s">
        <v>6736</v>
      </c>
      <c r="B6736" s="2" t="str">
        <f>IFERROR(__xludf.DUMMYFUNCTION("GOOGLETRANSLATE(A6736, ""de"", ""en"")"),"stars")</f>
        <v>stars</v>
      </c>
    </row>
    <row r="6737">
      <c r="A6737" s="1" t="s">
        <v>6737</v>
      </c>
      <c r="B6737" s="2" t="str">
        <f>IFERROR(__xludf.DUMMYFUNCTION("GOOGLETRANSLATE(A6737, ""de"", ""en"")"),"sheila")</f>
        <v>sheila</v>
      </c>
    </row>
    <row r="6738">
      <c r="A6738" s="1" t="s">
        <v>6738</v>
      </c>
      <c r="B6738" s="2" t="str">
        <f>IFERROR(__xludf.DUMMYFUNCTION("GOOGLETRANSLATE(A6738, ""de"", ""en"")"),"make an effort")</f>
        <v>make an effort</v>
      </c>
    </row>
    <row r="6739">
      <c r="A6739" s="1" t="s">
        <v>6739</v>
      </c>
      <c r="B6739" s="2" t="str">
        <f>IFERROR(__xludf.DUMMYFUNCTION("GOOGLETRANSLATE(A6739, ""de"", ""en"")"),"logic")</f>
        <v>logic</v>
      </c>
    </row>
    <row r="6740">
      <c r="A6740" s="1" t="s">
        <v>6740</v>
      </c>
      <c r="B6740" s="2" t="str">
        <f>IFERROR(__xludf.DUMMYFUNCTION("GOOGLETRANSLATE(A6740, ""de"", ""en"")"),"breastfeeding")</f>
        <v>breastfeeding</v>
      </c>
    </row>
    <row r="6741">
      <c r="A6741" s="1" t="s">
        <v>6741</v>
      </c>
      <c r="B6741" s="2" t="str">
        <f>IFERROR(__xludf.DUMMYFUNCTION("GOOGLETRANSLATE(A6741, ""de"", ""en"")"),"bellows")</f>
        <v>bellows</v>
      </c>
    </row>
    <row r="6742">
      <c r="A6742" s="1" t="s">
        <v>6742</v>
      </c>
      <c r="B6742" s="2" t="str">
        <f>IFERROR(__xludf.DUMMYFUNCTION("GOOGLETRANSLATE(A6742, ""de"", ""en"")"),"cause of death")</f>
        <v>cause of death</v>
      </c>
    </row>
    <row r="6743">
      <c r="A6743" s="1" t="s">
        <v>6743</v>
      </c>
      <c r="B6743" s="2" t="str">
        <f>IFERROR(__xludf.DUMMYFUNCTION("GOOGLETRANSLATE(A6743, ""de"", ""en"")"),"procure")</f>
        <v>procure</v>
      </c>
    </row>
    <row r="6744">
      <c r="A6744" s="1" t="s">
        <v>6744</v>
      </c>
      <c r="B6744" s="2" t="str">
        <f>IFERROR(__xludf.DUMMYFUNCTION("GOOGLETRANSLATE(A6744, ""de"", ""en"")"),"deducted")</f>
        <v>deducted</v>
      </c>
    </row>
    <row r="6745">
      <c r="A6745" s="1" t="s">
        <v>6745</v>
      </c>
      <c r="B6745" s="2" t="str">
        <f>IFERROR(__xludf.DUMMYFUNCTION("GOOGLETRANSLATE(A6745, ""de"", ""en"")"),"classic")</f>
        <v>classic</v>
      </c>
    </row>
    <row r="6746">
      <c r="A6746" s="1" t="s">
        <v>6746</v>
      </c>
      <c r="B6746" s="2" t="str">
        <f>IFERROR(__xludf.DUMMYFUNCTION("GOOGLETRANSLATE(A6746, ""de"", ""en"")"),"unusual")</f>
        <v>unusual</v>
      </c>
    </row>
    <row r="6747">
      <c r="A6747" s="1" t="s">
        <v>6747</v>
      </c>
      <c r="B6747" s="2" t="str">
        <f>IFERROR(__xludf.DUMMYFUNCTION("GOOGLETRANSLATE(A6747, ""de"", ""en"")"),"groups")</f>
        <v>groups</v>
      </c>
    </row>
    <row r="6748">
      <c r="A6748" s="1" t="s">
        <v>6748</v>
      </c>
      <c r="B6748" s="2" t="str">
        <f>IFERROR(__xludf.DUMMYFUNCTION("GOOGLETRANSLATE(A6748, ""de"", ""en"")"),"black")</f>
        <v>black</v>
      </c>
    </row>
    <row r="6749">
      <c r="A6749" s="1" t="s">
        <v>6749</v>
      </c>
      <c r="B6749" s="2" t="str">
        <f>IFERROR(__xludf.DUMMYFUNCTION("GOOGLETRANSLATE(A6749, ""de"", ""en"")"),"persevere")</f>
        <v>persevere</v>
      </c>
    </row>
    <row r="6750">
      <c r="A6750" s="1" t="s">
        <v>6750</v>
      </c>
      <c r="B6750" s="2" t="str">
        <f>IFERROR(__xludf.DUMMYFUNCTION("GOOGLETRANSLATE(A6750, ""de"", ""en"")"),"lm")</f>
        <v>lm</v>
      </c>
    </row>
    <row r="6751">
      <c r="A6751" s="1" t="s">
        <v>6751</v>
      </c>
      <c r="B6751" s="2" t="str">
        <f>IFERROR(__xludf.DUMMYFUNCTION("GOOGLETRANSLATE(A6751, ""de"", ""en"")"),"continues")</f>
        <v>continues</v>
      </c>
    </row>
    <row r="6752">
      <c r="A6752" s="1" t="s">
        <v>6752</v>
      </c>
      <c r="B6752" s="2" t="str">
        <f>IFERROR(__xludf.DUMMYFUNCTION("GOOGLETRANSLATE(A6752, ""de"", ""en"")"),"cooperate")</f>
        <v>cooperate</v>
      </c>
    </row>
    <row r="6753">
      <c r="A6753" s="1" t="s">
        <v>6753</v>
      </c>
      <c r="B6753" s="2" t="str">
        <f>IFERROR(__xludf.DUMMYFUNCTION("GOOGLETRANSLATE(A6753, ""de"", ""en"")"),"powerful")</f>
        <v>powerful</v>
      </c>
    </row>
    <row r="6754">
      <c r="A6754" s="1" t="s">
        <v>6754</v>
      </c>
      <c r="B6754" s="2" t="str">
        <f>IFERROR(__xludf.DUMMYFUNCTION("GOOGLETRANSLATE(A6754, ""de"", ""en"")"),"gripping")</f>
        <v>gripping</v>
      </c>
    </row>
    <row r="6755">
      <c r="A6755" s="1" t="s">
        <v>6755</v>
      </c>
      <c r="B6755" s="2" t="str">
        <f>IFERROR(__xludf.DUMMYFUNCTION("GOOGLETRANSLATE(A6755, ""de"", ""en"")"),"several")</f>
        <v>several</v>
      </c>
    </row>
    <row r="6756">
      <c r="A6756" s="1" t="s">
        <v>6756</v>
      </c>
      <c r="B6756" s="2" t="str">
        <f>IFERROR(__xludf.DUMMYFUNCTION("GOOGLETRANSLATE(A6756, ""de"", ""en"")"),"disappear")</f>
        <v>disappear</v>
      </c>
    </row>
    <row r="6757">
      <c r="A6757" s="1" t="s">
        <v>6757</v>
      </c>
      <c r="B6757" s="2" t="str">
        <f>IFERROR(__xludf.DUMMYFUNCTION("GOOGLETRANSLATE(A6757, ""de"", ""en"")"),"demands")</f>
        <v>demands</v>
      </c>
    </row>
    <row r="6758">
      <c r="A6758" s="1" t="s">
        <v>6758</v>
      </c>
      <c r="B6758" s="2" t="str">
        <f>IFERROR(__xludf.DUMMYFUNCTION("GOOGLETRANSLATE(A6758, ""de"", ""en"")"),"seizure")</f>
        <v>seizure</v>
      </c>
    </row>
    <row r="6759">
      <c r="A6759" s="1" t="s">
        <v>6759</v>
      </c>
      <c r="B6759" s="2" t="str">
        <f>IFERROR(__xludf.DUMMYFUNCTION("GOOGLETRANSLATE(A6759, ""de"", ""en"")"),"clear")</f>
        <v>clear</v>
      </c>
    </row>
    <row r="6760">
      <c r="A6760" s="1" t="s">
        <v>6760</v>
      </c>
      <c r="B6760" s="2" t="str">
        <f>IFERROR(__xludf.DUMMYFUNCTION("GOOGLETRANSLATE(A6760, ""de"", ""en"")"),"teresa")</f>
        <v>teresa</v>
      </c>
    </row>
    <row r="6761">
      <c r="A6761" s="1" t="s">
        <v>6761</v>
      </c>
      <c r="B6761" s="2" t="str">
        <f>IFERROR(__xludf.DUMMYFUNCTION("GOOGLETRANSLATE(A6761, ""de"", ""en"")"),"beautiful")</f>
        <v>beautiful</v>
      </c>
    </row>
    <row r="6762">
      <c r="A6762" s="1" t="s">
        <v>6762</v>
      </c>
      <c r="B6762" s="2" t="str">
        <f>IFERROR(__xludf.DUMMYFUNCTION("GOOGLETRANSLATE(A6762, ""de"", ""en"")"),"exist")</f>
        <v>exist</v>
      </c>
    </row>
    <row r="6763">
      <c r="A6763" s="1" t="s">
        <v>6763</v>
      </c>
      <c r="B6763" s="2" t="str">
        <f>IFERROR(__xludf.DUMMYFUNCTION("GOOGLETRANSLATE(A6763, ""de"", ""en"")"),"sold")</f>
        <v>sold</v>
      </c>
    </row>
    <row r="6764">
      <c r="A6764" s="1" t="s">
        <v>6764</v>
      </c>
      <c r="B6764" s="2" t="str">
        <f>IFERROR(__xludf.DUMMYFUNCTION("GOOGLETRANSLATE(A6764, ""de"", ""en"")"),"each other")</f>
        <v>each other</v>
      </c>
    </row>
    <row r="6765">
      <c r="A6765" s="1" t="s">
        <v>6765</v>
      </c>
      <c r="B6765" s="2" t="str">
        <f>IFERROR(__xludf.DUMMYFUNCTION("GOOGLETRANSLATE(A6765, ""de"", ""en"")"),"garcia")</f>
        <v>garcia</v>
      </c>
    </row>
    <row r="6766">
      <c r="A6766" s="1" t="s">
        <v>6766</v>
      </c>
      <c r="B6766" s="2" t="str">
        <f>IFERROR(__xludf.DUMMYFUNCTION("GOOGLETRANSLATE(A6766, ""de"", ""en"")"),"ugly")</f>
        <v>ugly</v>
      </c>
    </row>
    <row r="6767">
      <c r="A6767" s="1" t="s">
        <v>6767</v>
      </c>
      <c r="B6767" s="2" t="str">
        <f>IFERROR(__xludf.DUMMYFUNCTION("GOOGLETRANSLATE(A6767, ""de"", ""en"")"),"big")</f>
        <v>big</v>
      </c>
    </row>
    <row r="6768">
      <c r="A6768" s="1" t="s">
        <v>6768</v>
      </c>
      <c r="B6768" s="2" t="str">
        <f>IFERROR(__xludf.DUMMYFUNCTION("GOOGLETRANSLATE(A6768, ""de"", ""en"")"),"noticed")</f>
        <v>noticed</v>
      </c>
    </row>
    <row r="6769">
      <c r="A6769" s="1" t="s">
        <v>6769</v>
      </c>
      <c r="B6769" s="2" t="str">
        <f>IFERROR(__xludf.DUMMYFUNCTION("GOOGLETRANSLATE(A6769, ""de"", ""en"")"),"gate")</f>
        <v>gate</v>
      </c>
    </row>
    <row r="6770">
      <c r="A6770" s="1" t="s">
        <v>6770</v>
      </c>
      <c r="B6770" s="2" t="str">
        <f>IFERROR(__xludf.DUMMYFUNCTION("GOOGLETRANSLATE(A6770, ""de"", ""en"")"),"Saul")</f>
        <v>Saul</v>
      </c>
    </row>
    <row r="6771">
      <c r="A6771" s="1" t="s">
        <v>6771</v>
      </c>
      <c r="B6771" s="2" t="str">
        <f>IFERROR(__xludf.DUMMYFUNCTION("GOOGLETRANSLATE(A6771, ""de"", ""en"")"),"engineer")</f>
        <v>engineer</v>
      </c>
    </row>
    <row r="6772">
      <c r="A6772" s="1" t="s">
        <v>6772</v>
      </c>
      <c r="B6772" s="2" t="str">
        <f>IFERROR(__xludf.DUMMYFUNCTION("GOOGLETRANSLATE(A6772, ""de"", ""en"")"),"campbell")</f>
        <v>campbell</v>
      </c>
    </row>
    <row r="6773">
      <c r="A6773" s="1" t="s">
        <v>6773</v>
      </c>
      <c r="B6773" s="2" t="str">
        <f>IFERROR(__xludf.DUMMYFUNCTION("GOOGLETRANSLATE(A6773, ""de"", ""en"")"),"souvenir")</f>
        <v>souvenir</v>
      </c>
    </row>
    <row r="6774">
      <c r="A6774" s="1" t="s">
        <v>6774</v>
      </c>
      <c r="B6774" s="2" t="str">
        <f>IFERROR(__xludf.DUMMYFUNCTION("GOOGLETRANSLATE(A6774, ""de"", ""en"")"),"enter")</f>
        <v>enter</v>
      </c>
    </row>
    <row r="6775">
      <c r="A6775" s="1" t="s">
        <v>6775</v>
      </c>
      <c r="B6775" s="2" t="str">
        <f>IFERROR(__xludf.DUMMYFUNCTION("GOOGLETRANSLATE(A6775, ""de"", ""en"")"),"fought")</f>
        <v>fought</v>
      </c>
    </row>
    <row r="6776">
      <c r="A6776" s="1" t="s">
        <v>6776</v>
      </c>
      <c r="B6776" s="2" t="str">
        <f>IFERROR(__xludf.DUMMYFUNCTION("GOOGLETRANSLATE(A6776, ""de"", ""en"")"),"approval")</f>
        <v>approval</v>
      </c>
    </row>
    <row r="6777">
      <c r="A6777" s="1" t="s">
        <v>6777</v>
      </c>
      <c r="B6777" s="2" t="str">
        <f>IFERROR(__xludf.DUMMYFUNCTION("GOOGLETRANSLATE(A6777, ""de"", ""en"")"),"says")</f>
        <v>says</v>
      </c>
    </row>
    <row r="6778">
      <c r="A6778" s="1" t="s">
        <v>6778</v>
      </c>
      <c r="B6778" s="2" t="str">
        <f>IFERROR(__xludf.DUMMYFUNCTION("GOOGLETRANSLATE(A6778, ""de"", ""en"")"),"redder")</f>
        <v>redder</v>
      </c>
    </row>
    <row r="6779">
      <c r="A6779" s="1" t="s">
        <v>6779</v>
      </c>
      <c r="B6779" s="2" t="str">
        <f>IFERROR(__xludf.DUMMYFUNCTION("GOOGLETRANSLATE(A6779, ""de"", ""en"")"),"flame")</f>
        <v>flame</v>
      </c>
    </row>
    <row r="6780">
      <c r="A6780" s="1" t="s">
        <v>6780</v>
      </c>
      <c r="B6780" s="2" t="str">
        <f>IFERROR(__xludf.DUMMYFUNCTION("GOOGLETRANSLATE(A6780, ""de"", ""en"")"),"to stop")</f>
        <v>to stop</v>
      </c>
    </row>
    <row r="6781">
      <c r="A6781" s="1" t="s">
        <v>6781</v>
      </c>
      <c r="B6781" s="2" t="str">
        <f>IFERROR(__xludf.DUMMYFUNCTION("GOOGLETRANSLATE(A6781, ""de"", ""en"")"),"document")</f>
        <v>document</v>
      </c>
    </row>
    <row r="6782">
      <c r="A6782" s="1" t="s">
        <v>6782</v>
      </c>
      <c r="B6782" s="2" t="str">
        <f>IFERROR(__xludf.DUMMYFUNCTION("GOOGLETRANSLATE(A6782, ""de"", ""en"")"),"bishop")</f>
        <v>bishop</v>
      </c>
    </row>
    <row r="6783">
      <c r="A6783" s="1" t="s">
        <v>6783</v>
      </c>
      <c r="B6783" s="2" t="str">
        <f>IFERROR(__xludf.DUMMYFUNCTION("GOOGLETRANSLATE(A6783, ""de"", ""en"")"),"shoes")</f>
        <v>shoes</v>
      </c>
    </row>
    <row r="6784">
      <c r="A6784" s="1" t="s">
        <v>6784</v>
      </c>
      <c r="B6784" s="2" t="str">
        <f>IFERROR(__xludf.DUMMYFUNCTION("GOOGLETRANSLATE(A6784, ""de"", ""en"")"),"timmy")</f>
        <v>timmy</v>
      </c>
    </row>
    <row r="6785">
      <c r="A6785" s="1" t="s">
        <v>6785</v>
      </c>
      <c r="B6785" s="2" t="str">
        <f>IFERROR(__xludf.DUMMYFUNCTION("GOOGLETRANSLATE(A6785, ""de"", ""en"")"),"Simone")</f>
        <v>Simone</v>
      </c>
    </row>
    <row r="6786">
      <c r="A6786" s="1" t="s">
        <v>6786</v>
      </c>
      <c r="B6786" s="2" t="str">
        <f>IFERROR(__xludf.DUMMYFUNCTION("GOOGLETRANSLATE(A6786, ""de"", ""en"")"),"feathers")</f>
        <v>feathers</v>
      </c>
    </row>
    <row r="6787">
      <c r="A6787" s="1" t="s">
        <v>6787</v>
      </c>
      <c r="B6787" s="2" t="str">
        <f>IFERROR(__xludf.DUMMYFUNCTION("GOOGLETRANSLATE(A6787, ""de"", ""en"")"),"Pops")</f>
        <v>Pops</v>
      </c>
    </row>
    <row r="6788">
      <c r="A6788" s="1" t="s">
        <v>6788</v>
      </c>
      <c r="B6788" s="2" t="str">
        <f>IFERROR(__xludf.DUMMYFUNCTION("GOOGLETRANSLATE(A6788, ""de"", ""en"")"),"by rote")</f>
        <v>by rote</v>
      </c>
    </row>
    <row r="6789">
      <c r="A6789" s="1" t="s">
        <v>6789</v>
      </c>
      <c r="B6789" s="2" t="str">
        <f>IFERROR(__xludf.DUMMYFUNCTION("GOOGLETRANSLATE(A6789, ""de"", ""en"")"),"bundy")</f>
        <v>bundy</v>
      </c>
    </row>
    <row r="6790">
      <c r="A6790" s="1" t="s">
        <v>6790</v>
      </c>
      <c r="B6790" s="2" t="str">
        <f>IFERROR(__xludf.DUMMYFUNCTION("GOOGLETRANSLATE(A6790, ""de"", ""en"")"),"special")</f>
        <v>special</v>
      </c>
    </row>
    <row r="6791">
      <c r="A6791" s="1" t="s">
        <v>6791</v>
      </c>
      <c r="B6791" s="2" t="str">
        <f>IFERROR(__xludf.DUMMYFUNCTION("GOOGLETRANSLATE(A6791, ""de"", ""en"")"),"experiments")</f>
        <v>experiments</v>
      </c>
    </row>
    <row r="6792">
      <c r="A6792" s="1" t="s">
        <v>6792</v>
      </c>
      <c r="B6792" s="2" t="str">
        <f>IFERROR(__xludf.DUMMYFUNCTION("GOOGLETRANSLATE(A6792, ""de"", ""en"")"),"scenes")</f>
        <v>scenes</v>
      </c>
    </row>
    <row r="6793">
      <c r="A6793" s="1" t="s">
        <v>6793</v>
      </c>
      <c r="B6793" s="2" t="str">
        <f>IFERROR(__xludf.DUMMYFUNCTION("GOOGLETRANSLATE(A6793, ""de"", ""en"")"),"counted")</f>
        <v>counted</v>
      </c>
    </row>
    <row r="6794">
      <c r="A6794" s="1" t="s">
        <v>6794</v>
      </c>
      <c r="B6794" s="2" t="str">
        <f>IFERROR(__xludf.DUMMYFUNCTION("GOOGLETRANSLATE(A6794, ""de"", ""en"")"),"pancake")</f>
        <v>pancake</v>
      </c>
    </row>
    <row r="6795">
      <c r="A6795" s="1" t="s">
        <v>6795</v>
      </c>
      <c r="B6795" s="2" t="str">
        <f>IFERROR(__xludf.DUMMYFUNCTION("GOOGLETRANSLATE(A6795, ""de"", ""en"")"),"hare")</f>
        <v>hare</v>
      </c>
    </row>
    <row r="6796">
      <c r="A6796" s="1" t="s">
        <v>6796</v>
      </c>
      <c r="B6796" s="2" t="str">
        <f>IFERROR(__xludf.DUMMYFUNCTION("GOOGLETRANSLATE(A6796, ""de"", ""en"")"),"highway")</f>
        <v>highway</v>
      </c>
    </row>
    <row r="6797">
      <c r="A6797" s="1" t="s">
        <v>6797</v>
      </c>
      <c r="B6797" s="2" t="str">
        <f>IFERROR(__xludf.DUMMYFUNCTION("GOOGLETRANSLATE(A6797, ""de"", ""en"")"),"stay")</f>
        <v>stay</v>
      </c>
    </row>
    <row r="6798">
      <c r="A6798" s="1" t="s">
        <v>6798</v>
      </c>
      <c r="B6798" s="2" t="str">
        <f>IFERROR(__xludf.DUMMYFUNCTION("GOOGLETRANSLATE(A6798, ""de"", ""en"")"),"bennett")</f>
        <v>bennett</v>
      </c>
    </row>
    <row r="6799">
      <c r="A6799" s="1" t="s">
        <v>6799</v>
      </c>
      <c r="B6799" s="2" t="str">
        <f>IFERROR(__xludf.DUMMYFUNCTION("GOOGLETRANSLATE(A6799, ""de"", ""en"")"),"Devon")</f>
        <v>Devon</v>
      </c>
    </row>
    <row r="6800">
      <c r="A6800" s="1" t="s">
        <v>6800</v>
      </c>
      <c r="B6800" s="2" t="str">
        <f>IFERROR(__xludf.DUMMYFUNCTION("GOOGLETRANSLATE(A6800, ""de"", ""en"")"),"Polly")</f>
        <v>Polly</v>
      </c>
    </row>
    <row r="6801">
      <c r="A6801" s="1" t="s">
        <v>6801</v>
      </c>
      <c r="B6801" s="2" t="str">
        <f>IFERROR(__xludf.DUMMYFUNCTION("GOOGLETRANSLATE(A6801, ""de"", ""en"")"),"hide")</f>
        <v>hide</v>
      </c>
    </row>
    <row r="6802">
      <c r="A6802" s="1" t="s">
        <v>6802</v>
      </c>
      <c r="B6802" s="2" t="str">
        <f>IFERROR(__xludf.DUMMYFUNCTION("GOOGLETRANSLATE(A6802, ""de"", ""en"")"),"hum")</f>
        <v>hum</v>
      </c>
    </row>
    <row r="6803">
      <c r="A6803" s="1" t="s">
        <v>6803</v>
      </c>
      <c r="B6803" s="2" t="str">
        <f>IFERROR(__xludf.DUMMYFUNCTION("GOOGLETRANSLATE(A6803, ""de"", ""en"")"),"bleeding")</f>
        <v>bleeding</v>
      </c>
    </row>
    <row r="6804">
      <c r="A6804" s="1" t="s">
        <v>6804</v>
      </c>
      <c r="B6804" s="2" t="str">
        <f>IFERROR(__xludf.DUMMYFUNCTION("GOOGLETRANSLATE(A6804, ""de"", ""en"")"),"more")</f>
        <v>more</v>
      </c>
    </row>
    <row r="6805">
      <c r="A6805" s="1" t="s">
        <v>6805</v>
      </c>
      <c r="B6805" s="2" t="str">
        <f>IFERROR(__xludf.DUMMYFUNCTION("GOOGLETRANSLATE(A6805, ""de"", ""en"")"),"Heidi")</f>
        <v>Heidi</v>
      </c>
    </row>
    <row r="6806">
      <c r="A6806" s="1" t="s">
        <v>6806</v>
      </c>
      <c r="B6806" s="2" t="str">
        <f>IFERROR(__xludf.DUMMYFUNCTION("GOOGLETRANSLATE(A6806, ""de"", ""en"")"),"helpless")</f>
        <v>helpless</v>
      </c>
    </row>
    <row r="6807">
      <c r="A6807" s="1" t="s">
        <v>6807</v>
      </c>
      <c r="B6807" s="2" t="str">
        <f>IFERROR(__xludf.DUMMYFUNCTION("GOOGLETRANSLATE(A6807, ""de"", ""en"")"),"public prosecutor")</f>
        <v>public prosecutor</v>
      </c>
    </row>
    <row r="6808">
      <c r="A6808" s="1" t="s">
        <v>6808</v>
      </c>
      <c r="B6808" s="2" t="str">
        <f>IFERROR(__xludf.DUMMYFUNCTION("GOOGLETRANSLATE(A6808, ""de"", ""en"")"),"honesty")</f>
        <v>honesty</v>
      </c>
    </row>
    <row r="6809">
      <c r="A6809" s="1" t="s">
        <v>6809</v>
      </c>
      <c r="B6809" s="2" t="str">
        <f>IFERROR(__xludf.DUMMYFUNCTION("GOOGLETRANSLATE(A6809, ""de"", ""en"")"),"measure")</f>
        <v>measure</v>
      </c>
    </row>
    <row r="6810">
      <c r="A6810" s="1" t="s">
        <v>6810</v>
      </c>
      <c r="B6810" s="2" t="str">
        <f>IFERROR(__xludf.DUMMYFUNCTION("GOOGLETRANSLATE(A6810, ""de"", ""en"")"),"powerful")</f>
        <v>powerful</v>
      </c>
    </row>
    <row r="6811">
      <c r="A6811" s="1" t="s">
        <v>6811</v>
      </c>
      <c r="B6811" s="2" t="str">
        <f>IFERROR(__xludf.DUMMYFUNCTION("GOOGLETRANSLATE(A6811, ""de"", ""en"")"),"stubborn")</f>
        <v>stubborn</v>
      </c>
    </row>
    <row r="6812">
      <c r="A6812" s="1" t="s">
        <v>6812</v>
      </c>
      <c r="B6812" s="2" t="str">
        <f>IFERROR(__xludf.DUMMYFUNCTION("GOOGLETRANSLATE(A6812, ""de"", ""en"")"),"rings")</f>
        <v>rings</v>
      </c>
    </row>
    <row r="6813">
      <c r="A6813" s="1" t="s">
        <v>6813</v>
      </c>
      <c r="B6813" s="2" t="str">
        <f>IFERROR(__xludf.DUMMYFUNCTION("GOOGLETRANSLATE(A6813, ""de"", ""en"")"),"live on")</f>
        <v>live on</v>
      </c>
    </row>
    <row r="6814">
      <c r="A6814" s="1" t="s">
        <v>6814</v>
      </c>
      <c r="B6814" s="2" t="str">
        <f>IFERROR(__xludf.DUMMYFUNCTION("GOOGLETRANSLATE(A6814, ""de"", ""en"")"),"track down")</f>
        <v>track down</v>
      </c>
    </row>
    <row r="6815">
      <c r="A6815" s="1" t="s">
        <v>6815</v>
      </c>
      <c r="B6815" s="2" t="str">
        <f>IFERROR(__xludf.DUMMYFUNCTION("GOOGLETRANSLATE(A6815, ""de"", ""en"")"),"biscuit")</f>
        <v>biscuit</v>
      </c>
    </row>
    <row r="6816">
      <c r="A6816" s="1" t="s">
        <v>6816</v>
      </c>
      <c r="B6816" s="2" t="str">
        <f>IFERROR(__xludf.DUMMYFUNCTION("GOOGLETRANSLATE(A6816, ""de"", ""en"")"),"undone")</f>
        <v>undone</v>
      </c>
    </row>
    <row r="6817">
      <c r="A6817" s="1" t="s">
        <v>6817</v>
      </c>
      <c r="B6817" s="2" t="str">
        <f>IFERROR(__xludf.DUMMYFUNCTION("GOOGLETRANSLATE(A6817, ""de"", ""en"")"),"fifth")</f>
        <v>fifth</v>
      </c>
    </row>
    <row r="6818">
      <c r="A6818" s="1" t="s">
        <v>6818</v>
      </c>
      <c r="B6818" s="2" t="str">
        <f>IFERROR(__xludf.DUMMYFUNCTION("GOOGLETRANSLATE(A6818, ""de"", ""en"")"),"netflix")</f>
        <v>netflix</v>
      </c>
    </row>
    <row r="6819">
      <c r="A6819" s="1" t="s">
        <v>6819</v>
      </c>
      <c r="B6819" s="2" t="str">
        <f>IFERROR(__xludf.DUMMYFUNCTION("GOOGLETRANSLATE(A6819, ""de"", ""en"")"),"rent")</f>
        <v>rent</v>
      </c>
    </row>
    <row r="6820">
      <c r="A6820" s="1" t="s">
        <v>6820</v>
      </c>
      <c r="B6820" s="2" t="str">
        <f>IFERROR(__xludf.DUMMYFUNCTION("GOOGLETRANSLATE(A6820, ""de"", ""en"")"),"special")</f>
        <v>special</v>
      </c>
    </row>
    <row r="6821">
      <c r="A6821" s="1" t="s">
        <v>6821</v>
      </c>
      <c r="B6821" s="2" t="str">
        <f>IFERROR(__xludf.DUMMYFUNCTION("GOOGLETRANSLATE(A6821, ""de"", ""en"")"),"curiosity")</f>
        <v>curiosity</v>
      </c>
    </row>
    <row r="6822">
      <c r="A6822" s="1" t="s">
        <v>6822</v>
      </c>
      <c r="B6822" s="2" t="str">
        <f>IFERROR(__xludf.DUMMYFUNCTION("GOOGLETRANSLATE(A6822, ""de"", ""en"")"),"nails")</f>
        <v>nails</v>
      </c>
    </row>
    <row r="6823">
      <c r="A6823" s="1" t="s">
        <v>6823</v>
      </c>
      <c r="B6823" s="2" t="str">
        <f>IFERROR(__xludf.DUMMYFUNCTION("GOOGLETRANSLATE(A6823, ""de"", ""en"")"),"failed")</f>
        <v>failed</v>
      </c>
    </row>
    <row r="6824">
      <c r="A6824" s="1" t="s">
        <v>6824</v>
      </c>
      <c r="B6824" s="2" t="str">
        <f>IFERROR(__xludf.DUMMYFUNCTION("GOOGLETRANSLATE(A6824, ""de"", ""en"")"),"glen")</f>
        <v>glen</v>
      </c>
    </row>
    <row r="6825">
      <c r="A6825" s="1" t="s">
        <v>6825</v>
      </c>
      <c r="B6825" s="2" t="str">
        <f>IFERROR(__xludf.DUMMYFUNCTION("GOOGLETRANSLATE(A6825, ""de"", ""en"")"),"yes")</f>
        <v>yes</v>
      </c>
    </row>
    <row r="6826">
      <c r="A6826" s="1" t="s">
        <v>6826</v>
      </c>
      <c r="B6826" s="2" t="str">
        <f>IFERROR(__xludf.DUMMYFUNCTION("GOOGLETRANSLATE(A6826, ""de"", ""en"")"),"deceased")</f>
        <v>deceased</v>
      </c>
    </row>
    <row r="6827">
      <c r="A6827" s="1" t="s">
        <v>6827</v>
      </c>
      <c r="B6827" s="2" t="str">
        <f>IFERROR(__xludf.DUMMYFUNCTION("GOOGLETRANSLATE(A6827, ""de"", ""en"")"),"disguised")</f>
        <v>disguised</v>
      </c>
    </row>
    <row r="6828">
      <c r="A6828" s="1" t="s">
        <v>6828</v>
      </c>
      <c r="B6828" s="2" t="str">
        <f>IFERROR(__xludf.DUMMYFUNCTION("GOOGLETRANSLATE(A6828, ""de"", ""en"")"),"discovery")</f>
        <v>discovery</v>
      </c>
    </row>
    <row r="6829">
      <c r="A6829" s="1" t="s">
        <v>6829</v>
      </c>
      <c r="B6829" s="2" t="str">
        <f>IFERROR(__xludf.DUMMYFUNCTION("GOOGLETRANSLATE(A6829, ""de"", ""en"")"),"smoke")</f>
        <v>smoke</v>
      </c>
    </row>
    <row r="6830">
      <c r="A6830" s="1" t="s">
        <v>6830</v>
      </c>
      <c r="B6830" s="2" t="str">
        <f>IFERROR(__xludf.DUMMYFUNCTION("GOOGLETRANSLATE(A6830, ""de"", ""en"")"),"beg")</f>
        <v>beg</v>
      </c>
    </row>
    <row r="6831">
      <c r="A6831" s="1" t="s">
        <v>6831</v>
      </c>
      <c r="B6831" s="2" t="str">
        <f>IFERROR(__xludf.DUMMYFUNCTION("GOOGLETRANSLATE(A6831, ""de"", ""en"")"),"blond")</f>
        <v>blond</v>
      </c>
    </row>
    <row r="6832">
      <c r="A6832" s="1" t="s">
        <v>6832</v>
      </c>
      <c r="B6832" s="2" t="str">
        <f>IFERROR(__xludf.DUMMYFUNCTION("GOOGLETRANSLATE(A6832, ""de"", ""en"")"),"cam")</f>
        <v>cam</v>
      </c>
    </row>
    <row r="6833">
      <c r="A6833" s="1" t="s">
        <v>6833</v>
      </c>
      <c r="B6833" s="2" t="str">
        <f>IFERROR(__xludf.DUMMYFUNCTION("GOOGLETRANSLATE(A6833, ""de"", ""en"")"),"gilbert")</f>
        <v>gilbert</v>
      </c>
    </row>
    <row r="6834">
      <c r="A6834" s="1" t="s">
        <v>6834</v>
      </c>
      <c r="B6834" s="2" t="str">
        <f>IFERROR(__xludf.DUMMYFUNCTION("GOOGLETRANSLATE(A6834, ""de"", ""en"")"),"burt")</f>
        <v>burt</v>
      </c>
    </row>
    <row r="6835">
      <c r="A6835" s="1" t="s">
        <v>6835</v>
      </c>
      <c r="B6835" s="2" t="str">
        <f>IFERROR(__xludf.DUMMYFUNCTION("GOOGLETRANSLATE(A6835, ""de"", ""en"")"),"gone away")</f>
        <v>gone away</v>
      </c>
    </row>
    <row r="6836">
      <c r="A6836" s="1" t="s">
        <v>6836</v>
      </c>
      <c r="B6836" s="2" t="str">
        <f>IFERROR(__xludf.DUMMYFUNCTION("GOOGLETRANSLATE(A6836, ""de"", ""en"")"),"use")</f>
        <v>use</v>
      </c>
    </row>
    <row r="6837">
      <c r="A6837" s="1" t="s">
        <v>6837</v>
      </c>
      <c r="B6837" s="2" t="str">
        <f>IFERROR(__xludf.DUMMYFUNCTION("GOOGLETRANSLATE(A6837, ""de"", ""en"")"),"kinder")</f>
        <v>kinder</v>
      </c>
    </row>
    <row r="6838">
      <c r="A6838" s="1" t="s">
        <v>6838</v>
      </c>
      <c r="B6838" s="2" t="str">
        <f>IFERROR(__xludf.DUMMYFUNCTION("GOOGLETRANSLATE(A6838, ""de"", ""en"")"),"canceled")</f>
        <v>canceled</v>
      </c>
    </row>
    <row r="6839">
      <c r="A6839" s="1" t="s">
        <v>6839</v>
      </c>
      <c r="B6839" s="2" t="str">
        <f>IFERROR(__xludf.DUMMYFUNCTION("GOOGLETRANSLATE(A6839, ""de"", ""en"")"),"origin")</f>
        <v>origin</v>
      </c>
    </row>
    <row r="6840">
      <c r="A6840" s="1" t="s">
        <v>6840</v>
      </c>
      <c r="B6840" s="2" t="str">
        <f>IFERROR(__xludf.DUMMYFUNCTION("GOOGLETRANSLATE(A6840, ""de"", ""en"")"),"assumption")</f>
        <v>assumption</v>
      </c>
    </row>
    <row r="6841">
      <c r="A6841" s="1" t="s">
        <v>6841</v>
      </c>
      <c r="B6841" s="2" t="str">
        <f>IFERROR(__xludf.DUMMYFUNCTION("GOOGLETRANSLATE(A6841, ""de"", ""en"")"),"throw")</f>
        <v>throw</v>
      </c>
    </row>
    <row r="6842">
      <c r="A6842" s="1" t="s">
        <v>6842</v>
      </c>
      <c r="B6842" s="2" t="str">
        <f>IFERROR(__xludf.DUMMYFUNCTION("GOOGLETRANSLATE(A6842, ""de"", ""en"")"),"stink")</f>
        <v>stink</v>
      </c>
    </row>
    <row r="6843">
      <c r="A6843" s="1" t="s">
        <v>6843</v>
      </c>
      <c r="B6843" s="2" t="str">
        <f>IFERROR(__xludf.DUMMYFUNCTION("GOOGLETRANSLATE(A6843, ""de"", ""en"")"),"back door")</f>
        <v>back door</v>
      </c>
    </row>
    <row r="6844">
      <c r="A6844" s="1" t="s">
        <v>6844</v>
      </c>
      <c r="B6844" s="2" t="str">
        <f>IFERROR(__xludf.DUMMYFUNCTION("GOOGLETRANSLATE(A6844, ""de"", ""en"")"),"turkey")</f>
        <v>turkey</v>
      </c>
    </row>
    <row r="6845">
      <c r="A6845" s="1" t="s">
        <v>6845</v>
      </c>
      <c r="B6845" s="2" t="str">
        <f>IFERROR(__xludf.DUMMYFUNCTION("GOOGLETRANSLATE(A6845, ""de"", ""en"")"),"filled")</f>
        <v>filled</v>
      </c>
    </row>
    <row r="6846">
      <c r="A6846" s="1" t="s">
        <v>6846</v>
      </c>
      <c r="B6846" s="2" t="str">
        <f>IFERROR(__xludf.DUMMYFUNCTION("GOOGLETRANSLATE(A6846, ""de"", ""en"")"),"have ready")</f>
        <v>have ready</v>
      </c>
    </row>
    <row r="6847">
      <c r="A6847" s="1" t="s">
        <v>6847</v>
      </c>
      <c r="B6847" s="2" t="str">
        <f>IFERROR(__xludf.DUMMYFUNCTION("GOOGLETRANSLATE(A6847, ""de"", ""en"")"),"intends")</f>
        <v>intends</v>
      </c>
    </row>
    <row r="6848">
      <c r="A6848" s="1" t="s">
        <v>6848</v>
      </c>
      <c r="B6848" s="2" t="str">
        <f>IFERROR(__xludf.DUMMYFUNCTION("GOOGLETRANSLATE(A6848, ""de"", ""en"")"),"eleanor")</f>
        <v>eleanor</v>
      </c>
    </row>
    <row r="6849">
      <c r="A6849" s="1" t="s">
        <v>6849</v>
      </c>
      <c r="B6849" s="2" t="str">
        <f>IFERROR(__xludf.DUMMYFUNCTION("GOOGLETRANSLATE(A6849, ""de"", ""en"")"),"tourists")</f>
        <v>tourists</v>
      </c>
    </row>
    <row r="6850">
      <c r="A6850" s="1" t="s">
        <v>6850</v>
      </c>
      <c r="B6850" s="2" t="str">
        <f>IFERROR(__xludf.DUMMYFUNCTION("GOOGLETRANSLATE(A6850, ""de"", ""en"")"),"demand")</f>
        <v>demand</v>
      </c>
    </row>
    <row r="6851">
      <c r="A6851" s="1" t="s">
        <v>6851</v>
      </c>
      <c r="B6851" s="2" t="str">
        <f>IFERROR(__xludf.DUMMYFUNCTION("GOOGLETRANSLATE(A6851, ""de"", ""en"")"),"during the day")</f>
        <v>during the day</v>
      </c>
    </row>
    <row r="6852">
      <c r="A6852" s="1" t="s">
        <v>6852</v>
      </c>
      <c r="B6852" s="2" t="str">
        <f>IFERROR(__xludf.DUMMYFUNCTION("GOOGLETRANSLATE(A6852, ""de"", ""en"")"),"moist")</f>
        <v>moist</v>
      </c>
    </row>
    <row r="6853">
      <c r="A6853" s="1" t="s">
        <v>6853</v>
      </c>
      <c r="B6853" s="2" t="str">
        <f>IFERROR(__xludf.DUMMYFUNCTION("GOOGLETRANSLATE(A6853, ""de"", ""en"")"),"jeans")</f>
        <v>jeans</v>
      </c>
    </row>
    <row r="6854">
      <c r="A6854" s="1" t="s">
        <v>6854</v>
      </c>
      <c r="B6854" s="2" t="str">
        <f>IFERROR(__xludf.DUMMYFUNCTION("GOOGLETRANSLATE(A6854, ""de"", ""en"")"),"survey")</f>
        <v>survey</v>
      </c>
    </row>
    <row r="6855">
      <c r="A6855" s="1" t="s">
        <v>6855</v>
      </c>
      <c r="B6855" s="2" t="str">
        <f>IFERROR(__xludf.DUMMYFUNCTION("GOOGLETRANSLATE(A6855, ""de"", ""en"")"),"expired")</f>
        <v>expired</v>
      </c>
    </row>
    <row r="6856">
      <c r="A6856" s="1" t="s">
        <v>6856</v>
      </c>
      <c r="B6856" s="2" t="str">
        <f>IFERROR(__xludf.DUMMYFUNCTION("GOOGLETRANSLATE(A6856, ""de"", ""en"")"),"picard")</f>
        <v>picard</v>
      </c>
    </row>
    <row r="6857">
      <c r="A6857" s="1" t="s">
        <v>6857</v>
      </c>
      <c r="B6857" s="2" t="str">
        <f>IFERROR(__xludf.DUMMYFUNCTION("GOOGLETRANSLATE(A6857, ""de"", ""en"")"),"fu")</f>
        <v>fu</v>
      </c>
    </row>
    <row r="6858">
      <c r="A6858" s="1" t="s">
        <v>6858</v>
      </c>
      <c r="B6858" s="2" t="str">
        <f>IFERROR(__xludf.DUMMYFUNCTION("GOOGLETRANSLATE(A6858, ""de"", ""en"")"),"more wonderful")</f>
        <v>more wonderful</v>
      </c>
    </row>
    <row r="6859">
      <c r="A6859" s="1" t="s">
        <v>6859</v>
      </c>
      <c r="B6859" s="2" t="str">
        <f>IFERROR(__xludf.DUMMYFUNCTION("GOOGLETRANSLATE(A6859, ""de"", ""en"")"),"stupid")</f>
        <v>stupid</v>
      </c>
    </row>
    <row r="6860">
      <c r="A6860" s="1" t="s">
        <v>6860</v>
      </c>
      <c r="B6860" s="2" t="str">
        <f>IFERROR(__xludf.DUMMYFUNCTION("GOOGLETRANSLATE(A6860, ""de"", ""en"")"),"hats")</f>
        <v>hats</v>
      </c>
    </row>
    <row r="6861">
      <c r="A6861" s="1" t="s">
        <v>6861</v>
      </c>
      <c r="B6861" s="2" t="str">
        <f>IFERROR(__xludf.DUMMYFUNCTION("GOOGLETRANSLATE(A6861, ""de"", ""en"")"),"Israel")</f>
        <v>Israel</v>
      </c>
    </row>
    <row r="6862">
      <c r="A6862" s="1" t="s">
        <v>6862</v>
      </c>
      <c r="B6862" s="2" t="str">
        <f>IFERROR(__xludf.DUMMYFUNCTION("GOOGLETRANSLATE(A6862, ""de"", ""en"")"),"look")</f>
        <v>look</v>
      </c>
    </row>
    <row r="6863">
      <c r="A6863" s="1" t="s">
        <v>6863</v>
      </c>
      <c r="B6863" s="2" t="str">
        <f>IFERROR(__xludf.DUMMYFUNCTION("GOOGLETRANSLATE(A6863, ""de"", ""en"")"),"shrieks")</f>
        <v>shrieks</v>
      </c>
    </row>
    <row r="6864">
      <c r="A6864" s="1" t="s">
        <v>6864</v>
      </c>
      <c r="B6864" s="2" t="str">
        <f>IFERROR(__xludf.DUMMYFUNCTION("GOOGLETRANSLATE(A6864, ""de"", ""en"")"),"bay")</f>
        <v>bay</v>
      </c>
    </row>
    <row r="6865">
      <c r="A6865" s="1" t="s">
        <v>6865</v>
      </c>
      <c r="B6865" s="2" t="str">
        <f>IFERROR(__xludf.DUMMYFUNCTION("GOOGLETRANSLATE(A6865, ""de"", ""en"")"),"manipulate")</f>
        <v>manipulate</v>
      </c>
    </row>
    <row r="6866">
      <c r="A6866" s="1" t="s">
        <v>6866</v>
      </c>
      <c r="B6866" s="2" t="str">
        <f>IFERROR(__xludf.DUMMYFUNCTION("GOOGLETRANSLATE(A6866, ""de"", ""en"")"),"study")</f>
        <v>study</v>
      </c>
    </row>
    <row r="6867">
      <c r="A6867" s="1" t="s">
        <v>6867</v>
      </c>
      <c r="B6867" s="2" t="str">
        <f>IFERROR(__xludf.DUMMYFUNCTION("GOOGLETRANSLATE(A6867, ""de"", ""en"")"),"Heinrich")</f>
        <v>Heinrich</v>
      </c>
    </row>
    <row r="6868">
      <c r="A6868" s="1" t="s">
        <v>6868</v>
      </c>
      <c r="B6868" s="2" t="str">
        <f>IFERROR(__xludf.DUMMYFUNCTION("GOOGLETRANSLATE(A6868, ""de"", ""en"")"),"growl")</f>
        <v>growl</v>
      </c>
    </row>
    <row r="6869">
      <c r="A6869" s="1" t="s">
        <v>6869</v>
      </c>
      <c r="B6869" s="2" t="str">
        <f>IFERROR(__xludf.DUMMYFUNCTION("GOOGLETRANSLATE(A6869, ""de"", ""en"")"),"bush")</f>
        <v>bush</v>
      </c>
    </row>
    <row r="6870">
      <c r="A6870" s="1" t="s">
        <v>6870</v>
      </c>
      <c r="B6870" s="2" t="str">
        <f>IFERROR(__xludf.DUMMYFUNCTION("GOOGLETRANSLATE(A6870, ""de"", ""en"")"),"absence")</f>
        <v>absence</v>
      </c>
    </row>
    <row r="6871">
      <c r="A6871" s="1" t="s">
        <v>6871</v>
      </c>
      <c r="B6871" s="2" t="str">
        <f>IFERROR(__xludf.DUMMYFUNCTION("GOOGLETRANSLATE(A6871, ""de"", ""en"")"),"rides")</f>
        <v>rides</v>
      </c>
    </row>
    <row r="6872">
      <c r="A6872" s="1" t="s">
        <v>6872</v>
      </c>
      <c r="B6872" s="2" t="str">
        <f>IFERROR(__xludf.DUMMYFUNCTION("GOOGLETRANSLATE(A6872, ""de"", ""en"")"),"more complicated")</f>
        <v>more complicated</v>
      </c>
    </row>
    <row r="6873">
      <c r="A6873" s="1" t="s">
        <v>6873</v>
      </c>
      <c r="B6873" s="2" t="str">
        <f>IFERROR(__xludf.DUMMYFUNCTION("GOOGLETRANSLATE(A6873, ""de"", ""en"")"),"dares")</f>
        <v>dares</v>
      </c>
    </row>
    <row r="6874">
      <c r="A6874" s="1" t="s">
        <v>6874</v>
      </c>
      <c r="B6874" s="2" t="str">
        <f>IFERROR(__xludf.DUMMYFUNCTION("GOOGLETRANSLATE(A6874, ""de"", ""en"")"),"an order")</f>
        <v>an order</v>
      </c>
    </row>
    <row r="6875">
      <c r="A6875" s="1" t="s">
        <v>6875</v>
      </c>
      <c r="B6875" s="2" t="str">
        <f>IFERROR(__xludf.DUMMYFUNCTION("GOOGLETRANSLATE(A6875, ""de"", ""en"")"),"facts")</f>
        <v>facts</v>
      </c>
    </row>
    <row r="6876">
      <c r="A6876" s="1" t="s">
        <v>6876</v>
      </c>
      <c r="B6876" s="2" t="str">
        <f>IFERROR(__xludf.DUMMYFUNCTION("GOOGLETRANSLATE(A6876, ""de"", ""en"")"),"holiness")</f>
        <v>holiness</v>
      </c>
    </row>
    <row r="6877">
      <c r="A6877" s="1" t="s">
        <v>6877</v>
      </c>
      <c r="B6877" s="2" t="str">
        <f>IFERROR(__xludf.DUMMYFUNCTION("GOOGLETRANSLATE(A6877, ""de"", ""en"")"),"back")</f>
        <v>back</v>
      </c>
    </row>
    <row r="6878">
      <c r="A6878" s="1" t="s">
        <v>6878</v>
      </c>
      <c r="B6878" s="2" t="str">
        <f>IFERROR(__xludf.DUMMYFUNCTION("GOOGLETRANSLATE(A6878, ""de"", ""en"")"),"century")</f>
        <v>century</v>
      </c>
    </row>
    <row r="6879">
      <c r="A6879" s="1" t="s">
        <v>6879</v>
      </c>
      <c r="B6879" s="2" t="str">
        <f>IFERROR(__xludf.DUMMYFUNCTION("GOOGLETRANSLATE(A6879, ""de"", ""en"")"),"compared")</f>
        <v>compared</v>
      </c>
    </row>
    <row r="6880">
      <c r="A6880" s="1" t="s">
        <v>6880</v>
      </c>
      <c r="B6880" s="2" t="str">
        <f>IFERROR(__xludf.DUMMYFUNCTION("GOOGLETRANSLATE(A6880, ""de"", ""en"")"),"longing")</f>
        <v>longing</v>
      </c>
    </row>
    <row r="6881">
      <c r="A6881" s="1" t="s">
        <v>6881</v>
      </c>
      <c r="B6881" s="2" t="str">
        <f>IFERROR(__xludf.DUMMYFUNCTION("GOOGLETRANSLATE(A6881, ""de"", ""en"")"),"persuaded")</f>
        <v>persuaded</v>
      </c>
    </row>
    <row r="6882">
      <c r="A6882" s="1" t="s">
        <v>6882</v>
      </c>
      <c r="B6882" s="2" t="str">
        <f>IFERROR(__xludf.DUMMYFUNCTION("GOOGLETRANSLATE(A6882, ""de"", ""en"")"),"democracy")</f>
        <v>democracy</v>
      </c>
    </row>
    <row r="6883">
      <c r="A6883" s="1" t="s">
        <v>6883</v>
      </c>
      <c r="B6883" s="2" t="str">
        <f>IFERROR(__xludf.DUMMYFUNCTION("GOOGLETRANSLATE(A6883, ""de"", ""en"")"),"ranger")</f>
        <v>ranger</v>
      </c>
    </row>
    <row r="6884">
      <c r="A6884" s="1" t="s">
        <v>6884</v>
      </c>
      <c r="B6884" s="2" t="str">
        <f>IFERROR(__xludf.DUMMYFUNCTION("GOOGLETRANSLATE(A6884, ""de"", ""en"")"),"recommend")</f>
        <v>recommend</v>
      </c>
    </row>
    <row r="6885">
      <c r="A6885" s="1" t="s">
        <v>6885</v>
      </c>
      <c r="B6885" s="2" t="str">
        <f>IFERROR(__xludf.DUMMYFUNCTION("GOOGLETRANSLATE(A6885, ""de"", ""en"")"),"switched")</f>
        <v>switched</v>
      </c>
    </row>
    <row r="6886">
      <c r="A6886" s="1" t="s">
        <v>6886</v>
      </c>
      <c r="B6886" s="2" t="str">
        <f>IFERROR(__xludf.DUMMYFUNCTION("GOOGLETRANSLATE(A6886, ""de"", ""en"")"),"fucked")</f>
        <v>fucked</v>
      </c>
    </row>
    <row r="6887">
      <c r="A6887" s="1" t="s">
        <v>6887</v>
      </c>
      <c r="B6887" s="2" t="str">
        <f>IFERROR(__xludf.DUMMYFUNCTION("GOOGLETRANSLATE(A6887, ""de"", ""en"")"),"young")</f>
        <v>young</v>
      </c>
    </row>
    <row r="6888">
      <c r="A6888" s="1" t="s">
        <v>6888</v>
      </c>
      <c r="B6888" s="2" t="str">
        <f>IFERROR(__xludf.DUMMYFUNCTION("GOOGLETRANSLATE(A6888, ""de"", ""en"")"),"ra")</f>
        <v>ra</v>
      </c>
    </row>
    <row r="6889">
      <c r="A6889" s="1" t="s">
        <v>6889</v>
      </c>
      <c r="B6889" s="2" t="str">
        <f>IFERROR(__xludf.DUMMYFUNCTION("GOOGLETRANSLATE(A6889, ""de"", ""en"")"),"silver")</f>
        <v>silver</v>
      </c>
    </row>
    <row r="6890">
      <c r="A6890" s="1" t="s">
        <v>6890</v>
      </c>
      <c r="B6890" s="2" t="str">
        <f>IFERROR(__xludf.DUMMYFUNCTION("GOOGLETRANSLATE(A6890, ""de"", ""en"")"),"forces")</f>
        <v>forces</v>
      </c>
    </row>
    <row r="6891">
      <c r="A6891" s="1" t="s">
        <v>6891</v>
      </c>
      <c r="B6891" s="2" t="str">
        <f>IFERROR(__xludf.DUMMYFUNCTION("GOOGLETRANSLATE(A6891, ""de"", ""en"")"),"to get out")</f>
        <v>to get out</v>
      </c>
    </row>
    <row r="6892">
      <c r="A6892" s="1" t="s">
        <v>6892</v>
      </c>
      <c r="B6892" s="2" t="str">
        <f>IFERROR(__xludf.DUMMYFUNCTION("GOOGLETRANSLATE(A6892, ""de"", ""en"")"),"damage")</f>
        <v>damage</v>
      </c>
    </row>
    <row r="6893">
      <c r="A6893" s="1" t="s">
        <v>6893</v>
      </c>
      <c r="B6893" s="2" t="str">
        <f>IFERROR(__xludf.DUMMYFUNCTION("GOOGLETRANSLATE(A6893, ""de"", ""en"")"),"aggressive")</f>
        <v>aggressive</v>
      </c>
    </row>
    <row r="6894">
      <c r="A6894" s="1" t="s">
        <v>6894</v>
      </c>
      <c r="B6894" s="2" t="str">
        <f>IFERROR(__xludf.DUMMYFUNCTION("GOOGLETRANSLATE(A6894, ""de"", ""en"")"),"lend")</f>
        <v>lend</v>
      </c>
    </row>
    <row r="6895">
      <c r="A6895" s="1" t="s">
        <v>6895</v>
      </c>
      <c r="B6895" s="2" t="str">
        <f>IFERROR(__xludf.DUMMYFUNCTION("GOOGLETRANSLATE(A6895, ""de"", ""en"")"),"bella")</f>
        <v>bella</v>
      </c>
    </row>
    <row r="6896">
      <c r="A6896" s="1" t="s">
        <v>6896</v>
      </c>
      <c r="B6896" s="2" t="str">
        <f>IFERROR(__xludf.DUMMYFUNCTION("GOOGLETRANSLATE(A6896, ""de"", ""en"")"),"swallow")</f>
        <v>swallow</v>
      </c>
    </row>
    <row r="6897">
      <c r="A6897" s="1" t="s">
        <v>6897</v>
      </c>
      <c r="B6897" s="2" t="str">
        <f>IFERROR(__xludf.DUMMYFUNCTION("GOOGLETRANSLATE(A6897, ""de"", ""en"")"),"significant")</f>
        <v>significant</v>
      </c>
    </row>
    <row r="6898">
      <c r="A6898" s="1" t="s">
        <v>6898</v>
      </c>
      <c r="B6898" s="2" t="str">
        <f>IFERROR(__xludf.DUMMYFUNCTION("GOOGLETRANSLATE(A6898, ""de"", ""en"")"),"approx.")</f>
        <v>approx.</v>
      </c>
    </row>
    <row r="6899">
      <c r="A6899" s="1" t="s">
        <v>6899</v>
      </c>
      <c r="B6899" s="2" t="str">
        <f>IFERROR(__xludf.DUMMYFUNCTION("GOOGLETRANSLATE(A6899, ""de"", ""en"")"),"Satan")</f>
        <v>Satan</v>
      </c>
    </row>
    <row r="6900">
      <c r="A6900" s="1" t="s">
        <v>6900</v>
      </c>
      <c r="B6900" s="2" t="str">
        <f>IFERROR(__xludf.DUMMYFUNCTION("GOOGLETRANSLATE(A6900, ""de"", ""en"")"),"inherit")</f>
        <v>inherit</v>
      </c>
    </row>
    <row r="6901">
      <c r="A6901" s="1" t="s">
        <v>6901</v>
      </c>
      <c r="B6901" s="2" t="str">
        <f>IFERROR(__xludf.DUMMYFUNCTION("GOOGLETRANSLATE(A6901, ""de"", ""en"")"),"police")</f>
        <v>police</v>
      </c>
    </row>
    <row r="6902">
      <c r="A6902" s="1" t="s">
        <v>6902</v>
      </c>
      <c r="B6902" s="2" t="str">
        <f>IFERROR(__xludf.DUMMYFUNCTION("GOOGLETRANSLATE(A6902, ""de"", ""en"")"),"horn")</f>
        <v>horn</v>
      </c>
    </row>
    <row r="6903">
      <c r="A6903" s="1" t="s">
        <v>6903</v>
      </c>
      <c r="B6903" s="2" t="str">
        <f>IFERROR(__xludf.DUMMYFUNCTION("GOOGLETRANSLATE(A6903, ""de"", ""en"")"),"living")</f>
        <v>living</v>
      </c>
    </row>
    <row r="6904">
      <c r="A6904" s="1" t="s">
        <v>6904</v>
      </c>
      <c r="B6904" s="2" t="str">
        <f>IFERROR(__xludf.DUMMYFUNCTION("GOOGLETRANSLATE(A6904, ""de"", ""en"")"),"dirty")</f>
        <v>dirty</v>
      </c>
    </row>
    <row r="6905">
      <c r="A6905" s="1" t="s">
        <v>6905</v>
      </c>
      <c r="B6905" s="2" t="str">
        <f>IFERROR(__xludf.DUMMYFUNCTION("GOOGLETRANSLATE(A6905, ""de"", ""en"")"),"ice cold")</f>
        <v>ice cold</v>
      </c>
    </row>
    <row r="6906">
      <c r="A6906" s="1" t="s">
        <v>6906</v>
      </c>
      <c r="B6906" s="2" t="str">
        <f>IFERROR(__xludf.DUMMYFUNCTION("GOOGLETRANSLATE(A6906, ""de"", ""en"")"),"siren")</f>
        <v>siren</v>
      </c>
    </row>
    <row r="6907">
      <c r="A6907" s="1" t="s">
        <v>6907</v>
      </c>
      <c r="B6907" s="2" t="str">
        <f>IFERROR(__xludf.DUMMYFUNCTION("GOOGLETRANSLATE(A6907, ""de"", ""en"")"),"birthday")</f>
        <v>birthday</v>
      </c>
    </row>
    <row r="6908">
      <c r="A6908" s="1" t="s">
        <v>6908</v>
      </c>
      <c r="B6908" s="2" t="str">
        <f>IFERROR(__xludf.DUMMYFUNCTION("GOOGLETRANSLATE(A6908, ""de"", ""en"")"),"ritual")</f>
        <v>ritual</v>
      </c>
    </row>
    <row r="6909">
      <c r="A6909" s="1" t="s">
        <v>6909</v>
      </c>
      <c r="B6909" s="2" t="str">
        <f>IFERROR(__xludf.DUMMYFUNCTION("GOOGLETRANSLATE(A6909, ""de"", ""en"")"),"ira")</f>
        <v>ira</v>
      </c>
    </row>
    <row r="6910">
      <c r="A6910" s="1" t="s">
        <v>6910</v>
      </c>
      <c r="B6910" s="2" t="str">
        <f>IFERROR(__xludf.DUMMYFUNCTION("GOOGLETRANSLATE(A6910, ""de"", ""en"")"),"plant")</f>
        <v>plant</v>
      </c>
    </row>
    <row r="6911">
      <c r="A6911" s="1" t="s">
        <v>6911</v>
      </c>
      <c r="B6911" s="2" t="str">
        <f>IFERROR(__xludf.DUMMYFUNCTION("GOOGLETRANSLATE(A6911, ""de"", ""en"")"),"falls")</f>
        <v>falls</v>
      </c>
    </row>
    <row r="6912">
      <c r="A6912" s="1" t="s">
        <v>6912</v>
      </c>
      <c r="B6912" s="2" t="str">
        <f>IFERROR(__xludf.DUMMYFUNCTION("GOOGLETRANSLATE(A6912, ""de"", ""en"")"),"Reynolds")</f>
        <v>Reynolds</v>
      </c>
    </row>
    <row r="6913">
      <c r="A6913" s="1" t="s">
        <v>6913</v>
      </c>
      <c r="B6913" s="2" t="str">
        <f>IFERROR(__xludf.DUMMYFUNCTION("GOOGLETRANSLATE(A6913, ""de"", ""en"")"),"invested")</f>
        <v>invested</v>
      </c>
    </row>
    <row r="6914">
      <c r="A6914" s="1" t="s">
        <v>6914</v>
      </c>
      <c r="B6914" s="2" t="str">
        <f>IFERROR(__xludf.DUMMYFUNCTION("GOOGLETRANSLATE(A6914, ""de"", ""en"")"),"Bernie")</f>
        <v>Bernie</v>
      </c>
    </row>
    <row r="6915">
      <c r="A6915" s="1" t="s">
        <v>6915</v>
      </c>
      <c r="B6915" s="2" t="str">
        <f>IFERROR(__xludf.DUMMYFUNCTION("GOOGLETRANSLATE(A6915, ""de"", ""en"")"),"marilyn")</f>
        <v>marilyn</v>
      </c>
    </row>
    <row r="6916">
      <c r="A6916" s="1" t="s">
        <v>6916</v>
      </c>
      <c r="B6916" s="2" t="str">
        <f>IFERROR(__xludf.DUMMYFUNCTION("GOOGLETRANSLATE(A6916, ""de"", ""en"")"),"shapes")</f>
        <v>shapes</v>
      </c>
    </row>
    <row r="6917">
      <c r="A6917" s="1" t="s">
        <v>6917</v>
      </c>
      <c r="B6917" s="2" t="str">
        <f>IFERROR(__xludf.DUMMYFUNCTION("GOOGLETRANSLATE(A6917, ""de"", ""en"")"),"friend")</f>
        <v>friend</v>
      </c>
    </row>
    <row r="6918">
      <c r="A6918" s="1" t="s">
        <v>6918</v>
      </c>
      <c r="B6918" s="2" t="str">
        <f>IFERROR(__xludf.DUMMYFUNCTION("GOOGLETRANSLATE(A6918, ""de"", ""en"")"),"political")</f>
        <v>political</v>
      </c>
    </row>
    <row r="6919">
      <c r="A6919" s="1" t="s">
        <v>6919</v>
      </c>
      <c r="B6919" s="2" t="str">
        <f>IFERROR(__xludf.DUMMYFUNCTION("GOOGLETRANSLATE(A6919, ""de"", ""en"")"),"released")</f>
        <v>released</v>
      </c>
    </row>
    <row r="6920">
      <c r="A6920" s="1" t="s">
        <v>6920</v>
      </c>
      <c r="B6920" s="2" t="str">
        <f>IFERROR(__xludf.DUMMYFUNCTION("GOOGLETRANSLATE(A6920, ""de"", ""en"")"),"lionel")</f>
        <v>lionel</v>
      </c>
    </row>
    <row r="6921">
      <c r="A6921" s="1" t="s">
        <v>6921</v>
      </c>
      <c r="B6921" s="2" t="str">
        <f>IFERROR(__xludf.DUMMYFUNCTION("GOOGLETRANSLATE(A6921, ""de"", ""en"")"),"thrown out")</f>
        <v>thrown out</v>
      </c>
    </row>
    <row r="6922">
      <c r="A6922" s="1" t="s">
        <v>6922</v>
      </c>
      <c r="B6922" s="2" t="str">
        <f>IFERROR(__xludf.DUMMYFUNCTION("GOOGLETRANSLATE(A6922, ""de"", ""en"")"),"beat up")</f>
        <v>beat up</v>
      </c>
    </row>
    <row r="6923">
      <c r="A6923" s="1" t="s">
        <v>6923</v>
      </c>
      <c r="B6923" s="2" t="str">
        <f>IFERROR(__xludf.DUMMYFUNCTION("GOOGLETRANSLATE(A6923, ""de"", ""en"")"),"modest")</f>
        <v>modest</v>
      </c>
    </row>
    <row r="6924">
      <c r="A6924" s="1" t="s">
        <v>6924</v>
      </c>
      <c r="B6924" s="2" t="str">
        <f>IFERROR(__xludf.DUMMYFUNCTION("GOOGLETRANSLATE(A6924, ""de"", ""en"")"),"wardrobe")</f>
        <v>wardrobe</v>
      </c>
    </row>
    <row r="6925">
      <c r="A6925" s="1" t="s">
        <v>6925</v>
      </c>
      <c r="B6925" s="2" t="str">
        <f>IFERROR(__xludf.DUMMYFUNCTION("GOOGLETRANSLATE(A6925, ""de"", ""en"")"),"strip")</f>
        <v>strip</v>
      </c>
    </row>
    <row r="6926">
      <c r="A6926" s="1" t="s">
        <v>6926</v>
      </c>
      <c r="B6926" s="2" t="str">
        <f>IFERROR(__xludf.DUMMYFUNCTION("GOOGLETRANSLATE(A6926, ""de"", ""en"")"),"came out")</f>
        <v>came out</v>
      </c>
    </row>
    <row r="6927">
      <c r="A6927" s="1" t="s">
        <v>6927</v>
      </c>
      <c r="B6927" s="2" t="str">
        <f>IFERROR(__xludf.DUMMYFUNCTION("GOOGLETRANSLATE(A6927, ""de"", ""en"")"),"jodi")</f>
        <v>jodi</v>
      </c>
    </row>
    <row r="6928">
      <c r="A6928" s="1" t="s">
        <v>6928</v>
      </c>
      <c r="B6928" s="2" t="str">
        <f>IFERROR(__xludf.DUMMYFUNCTION("GOOGLETRANSLATE(A6928, ""de"", ""en"")"),"from each other")</f>
        <v>from each other</v>
      </c>
    </row>
    <row r="6929">
      <c r="A6929" s="1" t="s">
        <v>6929</v>
      </c>
      <c r="B6929" s="2" t="str">
        <f>IFERROR(__xludf.DUMMYFUNCTION("GOOGLETRANSLATE(A6929, ""de"", ""en"")"),"host")</f>
        <v>host</v>
      </c>
    </row>
    <row r="6930">
      <c r="A6930" s="1" t="s">
        <v>6930</v>
      </c>
      <c r="B6930" s="2" t="str">
        <f>IFERROR(__xludf.DUMMYFUNCTION("GOOGLETRANSLATE(A6930, ""de"", ""en"")"),"crate")</f>
        <v>crate</v>
      </c>
    </row>
    <row r="6931">
      <c r="A6931" s="1" t="s">
        <v>6931</v>
      </c>
      <c r="B6931" s="2" t="str">
        <f>IFERROR(__xludf.DUMMYFUNCTION("GOOGLETRANSLATE(A6931, ""de"", ""en"")"),"draw")</f>
        <v>draw</v>
      </c>
    </row>
    <row r="6932">
      <c r="A6932" s="1" t="s">
        <v>6932</v>
      </c>
      <c r="B6932" s="2" t="str">
        <f>IFERROR(__xludf.DUMMYFUNCTION("GOOGLETRANSLATE(A6932, ""de"", ""en"")"),"bake")</f>
        <v>bake</v>
      </c>
    </row>
    <row r="6933">
      <c r="A6933" s="1" t="s">
        <v>6933</v>
      </c>
      <c r="B6933" s="2" t="str">
        <f>IFERROR(__xludf.DUMMYFUNCTION("GOOGLETRANSLATE(A6933, ""de"", ""en"")"),"fail")</f>
        <v>fail</v>
      </c>
    </row>
    <row r="6934">
      <c r="A6934" s="1" t="s">
        <v>6934</v>
      </c>
      <c r="B6934" s="2" t="str">
        <f>IFERROR(__xludf.DUMMYFUNCTION("GOOGLETRANSLATE(A6934, ""de"", ""en"")"),"francs")</f>
        <v>francs</v>
      </c>
    </row>
    <row r="6935">
      <c r="A6935" s="1" t="s">
        <v>6935</v>
      </c>
      <c r="B6935" s="2" t="str">
        <f>IFERROR(__xludf.DUMMYFUNCTION("GOOGLETRANSLATE(A6935, ""de"", ""en"")"),"jon")</f>
        <v>jon</v>
      </c>
    </row>
    <row r="6936">
      <c r="A6936" s="1" t="s">
        <v>6936</v>
      </c>
      <c r="B6936" s="2" t="str">
        <f>IFERROR(__xludf.DUMMYFUNCTION("GOOGLETRANSLATE(A6936, ""de"", ""en"")"),"salon")</f>
        <v>salon</v>
      </c>
    </row>
    <row r="6937">
      <c r="A6937" s="1" t="s">
        <v>6937</v>
      </c>
      <c r="B6937" s="2" t="str">
        <f>IFERROR(__xludf.DUMMYFUNCTION("GOOGLETRANSLATE(A6937, ""de"", ""en"")"),"drug")</f>
        <v>drug</v>
      </c>
    </row>
    <row r="6938">
      <c r="A6938" s="1" t="s">
        <v>6938</v>
      </c>
      <c r="B6938" s="2" t="str">
        <f>IFERROR(__xludf.DUMMYFUNCTION("GOOGLETRANSLATE(A6938, ""de"", ""en"")"),"soon")</f>
        <v>soon</v>
      </c>
    </row>
    <row r="6939">
      <c r="A6939" s="1" t="s">
        <v>6939</v>
      </c>
      <c r="B6939" s="2" t="str">
        <f>IFERROR(__xludf.DUMMYFUNCTION("GOOGLETRANSLATE(A6939, ""de"", ""en"")"),"offered")</f>
        <v>offered</v>
      </c>
    </row>
    <row r="6940">
      <c r="A6940" s="1" t="s">
        <v>6940</v>
      </c>
      <c r="B6940" s="2" t="str">
        <f>IFERROR(__xludf.DUMMYFUNCTION("GOOGLETRANSLATE(A6940, ""de"", ""en"")"),"spike")</f>
        <v>spike</v>
      </c>
    </row>
    <row r="6941">
      <c r="A6941" s="1" t="s">
        <v>6941</v>
      </c>
      <c r="B6941" s="2" t="str">
        <f>IFERROR(__xludf.DUMMYFUNCTION("GOOGLETRANSLATE(A6941, ""de"", ""en"")"),"trigger")</f>
        <v>trigger</v>
      </c>
    </row>
    <row r="6942">
      <c r="A6942" s="1" t="s">
        <v>6942</v>
      </c>
      <c r="B6942" s="2" t="str">
        <f>IFERROR(__xludf.DUMMYFUNCTION("GOOGLETRANSLATE(A6942, ""de"", ""en"")"),"horses")</f>
        <v>horses</v>
      </c>
    </row>
    <row r="6943">
      <c r="A6943" s="1" t="s">
        <v>6943</v>
      </c>
      <c r="B6943" s="2" t="str">
        <f>IFERROR(__xludf.DUMMYFUNCTION("GOOGLETRANSLATE(A6943, ""de"", ""en"")"),"groceries")</f>
        <v>groceries</v>
      </c>
    </row>
    <row r="6944">
      <c r="A6944" s="1" t="s">
        <v>6944</v>
      </c>
      <c r="B6944" s="2" t="str">
        <f>IFERROR(__xludf.DUMMYFUNCTION("GOOGLETRANSLATE(A6944, ""de"", ""en"")"),"quieter")</f>
        <v>quieter</v>
      </c>
    </row>
    <row r="6945">
      <c r="A6945" s="1" t="s">
        <v>6945</v>
      </c>
      <c r="B6945" s="2" t="str">
        <f>IFERROR(__xludf.DUMMYFUNCTION("GOOGLETRANSLATE(A6945, ""de"", ""en"")"),"search warrant")</f>
        <v>search warrant</v>
      </c>
    </row>
    <row r="6946">
      <c r="A6946" s="1" t="s">
        <v>6946</v>
      </c>
      <c r="B6946" s="2" t="str">
        <f>IFERROR(__xludf.DUMMYFUNCTION("GOOGLETRANSLATE(A6946, ""de"", ""en"")"),"gradually")</f>
        <v>gradually</v>
      </c>
    </row>
    <row r="6947">
      <c r="A6947" s="1" t="s">
        <v>6947</v>
      </c>
      <c r="B6947" s="2" t="str">
        <f>IFERROR(__xludf.DUMMYFUNCTION("GOOGLETRANSLATE(A6947, ""de"", ""en"")"),"dazed")</f>
        <v>dazed</v>
      </c>
    </row>
    <row r="6948">
      <c r="A6948" s="1" t="s">
        <v>6948</v>
      </c>
      <c r="B6948" s="2" t="str">
        <f>IFERROR(__xludf.DUMMYFUNCTION("GOOGLETRANSLATE(A6948, ""de"", ""en"")"),"Adieu")</f>
        <v>Adieu</v>
      </c>
    </row>
    <row r="6949">
      <c r="A6949" s="1" t="s">
        <v>6949</v>
      </c>
      <c r="B6949" s="2" t="str">
        <f>IFERROR(__xludf.DUMMYFUNCTION("GOOGLETRANSLATE(A6949, ""de"", ""en"")"),"asked")</f>
        <v>asked</v>
      </c>
    </row>
    <row r="6950">
      <c r="A6950" s="1" t="s">
        <v>6950</v>
      </c>
      <c r="B6950" s="2" t="str">
        <f>IFERROR(__xludf.DUMMYFUNCTION("GOOGLETRANSLATE(A6950, ""de"", ""en"")"),"lecture")</f>
        <v>lecture</v>
      </c>
    </row>
    <row r="6951">
      <c r="A6951" s="1" t="s">
        <v>6951</v>
      </c>
      <c r="B6951" s="2" t="str">
        <f>IFERROR(__xludf.DUMMYFUNCTION("GOOGLETRANSLATE(A6951, ""de"", ""en"")"),"America")</f>
        <v>America</v>
      </c>
    </row>
    <row r="6952">
      <c r="A6952" s="1" t="s">
        <v>6952</v>
      </c>
      <c r="B6952" s="2" t="str">
        <f>IFERROR(__xludf.DUMMYFUNCTION("GOOGLETRANSLATE(A6952, ""de"", ""en"")"),"sherry")</f>
        <v>sherry</v>
      </c>
    </row>
    <row r="6953">
      <c r="A6953" s="1" t="s">
        <v>6953</v>
      </c>
      <c r="B6953" s="2" t="str">
        <f>IFERROR(__xludf.DUMMYFUNCTION("GOOGLETRANSLATE(A6953, ""de"", ""en"")"),"oh")</f>
        <v>oh</v>
      </c>
    </row>
    <row r="6954">
      <c r="A6954" s="1" t="s">
        <v>6954</v>
      </c>
      <c r="B6954" s="2" t="str">
        <f>IFERROR(__xludf.DUMMYFUNCTION("GOOGLETRANSLATE(A6954, ""de"", ""en"")"),"oui")</f>
        <v>oui</v>
      </c>
    </row>
    <row r="6955">
      <c r="A6955" s="1" t="s">
        <v>6955</v>
      </c>
      <c r="B6955" s="2" t="str">
        <f>IFERROR(__xludf.DUMMYFUNCTION("GOOGLETRANSLATE(A6955, ""de"", ""en"")"),"blackmail")</f>
        <v>blackmail</v>
      </c>
    </row>
    <row r="6956">
      <c r="A6956" s="1" t="s">
        <v>6956</v>
      </c>
      <c r="B6956" s="2" t="str">
        <f>IFERROR(__xludf.DUMMYFUNCTION("GOOGLETRANSLATE(A6956, ""de"", ""en"")"),"hussy")</f>
        <v>hussy</v>
      </c>
    </row>
    <row r="6957">
      <c r="A6957" s="1" t="s">
        <v>6957</v>
      </c>
      <c r="B6957" s="2" t="str">
        <f>IFERROR(__xludf.DUMMYFUNCTION("GOOGLETRANSLATE(A6957, ""de"", ""en"")"),"teeth")</f>
        <v>teeth</v>
      </c>
    </row>
    <row r="6958">
      <c r="A6958" s="1" t="s">
        <v>6958</v>
      </c>
      <c r="B6958" s="2" t="str">
        <f>IFERROR(__xludf.DUMMYFUNCTION("GOOGLETRANSLATE(A6958, ""de"", ""en"")"),"submarine")</f>
        <v>submarine</v>
      </c>
    </row>
    <row r="6959">
      <c r="A6959" s="1" t="s">
        <v>6959</v>
      </c>
      <c r="B6959" s="2" t="str">
        <f>IFERROR(__xludf.DUMMYFUNCTION("GOOGLETRANSLATE(A6959, ""de"", ""en"")"),"Daniels")</f>
        <v>Daniels</v>
      </c>
    </row>
    <row r="6960">
      <c r="A6960" s="1" t="s">
        <v>6960</v>
      </c>
      <c r="B6960" s="2" t="str">
        <f>IFERROR(__xludf.DUMMYFUNCTION("GOOGLETRANSLATE(A6960, ""de"", ""en"")"),"ended")</f>
        <v>ended</v>
      </c>
    </row>
    <row r="6961">
      <c r="A6961" s="1" t="s">
        <v>6961</v>
      </c>
      <c r="B6961" s="2" t="str">
        <f>IFERROR(__xludf.DUMMYFUNCTION("GOOGLETRANSLATE(A6961, ""de"", ""en"")"),"fearful")</f>
        <v>fearful</v>
      </c>
    </row>
    <row r="6962">
      <c r="A6962" s="1" t="s">
        <v>6962</v>
      </c>
      <c r="B6962" s="2" t="str">
        <f>IFERROR(__xludf.DUMMYFUNCTION("GOOGLETRANSLATE(A6962, ""de"", ""en"")"),"she")</f>
        <v>she</v>
      </c>
    </row>
    <row r="6963">
      <c r="A6963" s="1" t="s">
        <v>6963</v>
      </c>
      <c r="B6963" s="2" t="str">
        <f>IFERROR(__xludf.DUMMYFUNCTION("GOOGLETRANSLATE(A6963, ""de"", ""en"")"),"as")</f>
        <v>as</v>
      </c>
    </row>
    <row r="6964">
      <c r="A6964" s="1" t="s">
        <v>6964</v>
      </c>
      <c r="B6964" s="2" t="str">
        <f>IFERROR(__xludf.DUMMYFUNCTION("GOOGLETRANSLATE(A6964, ""de"", ""en"")"),"breakthrough")</f>
        <v>breakthrough</v>
      </c>
    </row>
    <row r="6965">
      <c r="A6965" s="1" t="s">
        <v>6965</v>
      </c>
      <c r="B6965" s="2" t="str">
        <f>IFERROR(__xludf.DUMMYFUNCTION("GOOGLETRANSLATE(A6965, ""de"", ""en"")"),"dorothy")</f>
        <v>dorothy</v>
      </c>
    </row>
    <row r="6966">
      <c r="A6966" s="1" t="s">
        <v>6966</v>
      </c>
      <c r="B6966" s="2" t="str">
        <f>IFERROR(__xludf.DUMMYFUNCTION("GOOGLETRANSLATE(A6966, ""de"", ""en"")"),"have it back")</f>
        <v>have it back</v>
      </c>
    </row>
    <row r="6967">
      <c r="A6967" s="1" t="s">
        <v>6967</v>
      </c>
      <c r="B6967" s="2" t="str">
        <f>IFERROR(__xludf.DUMMYFUNCTION("GOOGLETRANSLATE(A6967, ""de"", ""en"")"),"more terrible")</f>
        <v>more terrible</v>
      </c>
    </row>
    <row r="6968">
      <c r="A6968" s="1" t="s">
        <v>6968</v>
      </c>
      <c r="B6968" s="2" t="str">
        <f>IFERROR(__xludf.DUMMYFUNCTION("GOOGLETRANSLATE(A6968, ""de"", ""en"")"),"model")</f>
        <v>model</v>
      </c>
    </row>
    <row r="6969">
      <c r="A6969" s="1" t="s">
        <v>6969</v>
      </c>
      <c r="B6969" s="2" t="str">
        <f>IFERROR(__xludf.DUMMYFUNCTION("GOOGLETRANSLATE(A6969, ""de"", ""en"")"),"own")</f>
        <v>own</v>
      </c>
    </row>
    <row r="6970">
      <c r="A6970" s="1" t="s">
        <v>6970</v>
      </c>
      <c r="B6970" s="2" t="str">
        <f>IFERROR(__xludf.DUMMYFUNCTION("GOOGLETRANSLATE(A6970, ""de"", ""en"")"),"worry")</f>
        <v>worry</v>
      </c>
    </row>
    <row r="6971">
      <c r="A6971" s="1" t="s">
        <v>6971</v>
      </c>
      <c r="B6971" s="2" t="str">
        <f>IFERROR(__xludf.DUMMYFUNCTION("GOOGLETRANSLATE(A6971, ""de"", ""en"")"),"sophia")</f>
        <v>sophia</v>
      </c>
    </row>
    <row r="6972">
      <c r="A6972" s="1" t="s">
        <v>6972</v>
      </c>
      <c r="B6972" s="2" t="str">
        <f>IFERROR(__xludf.DUMMYFUNCTION("GOOGLETRANSLATE(A6972, ""de"", ""en"")"),"sullivan")</f>
        <v>sullivan</v>
      </c>
    </row>
    <row r="6973">
      <c r="A6973" s="1" t="s">
        <v>6973</v>
      </c>
      <c r="B6973" s="2" t="str">
        <f>IFERROR(__xludf.DUMMYFUNCTION("GOOGLETRANSLATE(A6973, ""de"", ""en"")"),"choir")</f>
        <v>choir</v>
      </c>
    </row>
    <row r="6974">
      <c r="A6974" s="1" t="s">
        <v>6974</v>
      </c>
      <c r="B6974" s="2" t="str">
        <f>IFERROR(__xludf.DUMMYFUNCTION("GOOGLETRANSLATE(A6974, ""de"", ""en"")"),"strike")</f>
        <v>strike</v>
      </c>
    </row>
    <row r="6975">
      <c r="A6975" s="1" t="s">
        <v>6975</v>
      </c>
      <c r="B6975" s="2" t="str">
        <f>IFERROR(__xludf.DUMMYFUNCTION("GOOGLETRANSLATE(A6975, ""de"", ""en"")"),"scissors")</f>
        <v>scissors</v>
      </c>
    </row>
    <row r="6976">
      <c r="A6976" s="1" t="s">
        <v>6976</v>
      </c>
      <c r="B6976" s="2" t="str">
        <f>IFERROR(__xludf.DUMMYFUNCTION("GOOGLETRANSLATE(A6976, ""de"", ""en"")"),"campaign")</f>
        <v>campaign</v>
      </c>
    </row>
    <row r="6977">
      <c r="A6977" s="1" t="s">
        <v>6977</v>
      </c>
      <c r="B6977" s="2" t="str">
        <f>IFERROR(__xludf.DUMMYFUNCTION("GOOGLETRANSLATE(A6977, ""de"", ""en"")"),"jax")</f>
        <v>jax</v>
      </c>
    </row>
    <row r="6978">
      <c r="A6978" s="1" t="s">
        <v>6978</v>
      </c>
      <c r="B6978" s="2" t="str">
        <f>IFERROR(__xludf.DUMMYFUNCTION("GOOGLETRANSLATE(A6978, ""de"", ""en"")"),"crazy")</f>
        <v>crazy</v>
      </c>
    </row>
    <row r="6979">
      <c r="A6979" s="1" t="s">
        <v>6979</v>
      </c>
      <c r="B6979" s="2" t="str">
        <f>IFERROR(__xludf.DUMMYFUNCTION("GOOGLETRANSLATE(A6979, ""de"", ""en"")"),"started")</f>
        <v>started</v>
      </c>
    </row>
    <row r="6980">
      <c r="A6980" s="1" t="s">
        <v>6980</v>
      </c>
      <c r="B6980" s="2" t="str">
        <f>IFERROR(__xludf.DUMMYFUNCTION("GOOGLETRANSLATE(A6980, ""de"", ""en"")"),"clean")</f>
        <v>clean</v>
      </c>
    </row>
    <row r="6981">
      <c r="A6981" s="1" t="s">
        <v>6981</v>
      </c>
      <c r="B6981" s="2" t="str">
        <f>IFERROR(__xludf.DUMMYFUNCTION("GOOGLETRANSLATE(A6981, ""de"", ""en"")"),"stops")</f>
        <v>stops</v>
      </c>
    </row>
    <row r="6982">
      <c r="A6982" s="1" t="s">
        <v>6982</v>
      </c>
      <c r="B6982" s="2" t="str">
        <f>IFERROR(__xludf.DUMMYFUNCTION("GOOGLETRANSLATE(A6982, ""de"", ""en"")"),"lucky")</f>
        <v>lucky</v>
      </c>
    </row>
    <row r="6983">
      <c r="A6983" s="1" t="s">
        <v>6983</v>
      </c>
      <c r="B6983" s="2" t="str">
        <f>IFERROR(__xludf.DUMMYFUNCTION("GOOGLETRANSLATE(A6983, ""de"", ""en"")"),"torment")</f>
        <v>torment</v>
      </c>
    </row>
    <row r="6984">
      <c r="A6984" s="1" t="s">
        <v>6984</v>
      </c>
      <c r="B6984" s="2" t="str">
        <f>IFERROR(__xludf.DUMMYFUNCTION("GOOGLETRANSLATE(A6984, ""de"", ""en"")"),"vocation")</f>
        <v>vocation</v>
      </c>
    </row>
    <row r="6985">
      <c r="A6985" s="1" t="s">
        <v>6985</v>
      </c>
      <c r="B6985" s="2" t="str">
        <f>IFERROR(__xludf.DUMMYFUNCTION("GOOGLETRANSLATE(A6985, ""de"", ""en"")"),"Luis")</f>
        <v>Luis</v>
      </c>
    </row>
    <row r="6986">
      <c r="A6986" s="1" t="s">
        <v>6986</v>
      </c>
      <c r="B6986" s="2" t="str">
        <f>IFERROR(__xludf.DUMMYFUNCTION("GOOGLETRANSLATE(A6986, ""de"", ""en"")"),"ankle")</f>
        <v>ankle</v>
      </c>
    </row>
    <row r="6987">
      <c r="A6987" s="1" t="s">
        <v>6987</v>
      </c>
      <c r="B6987" s="2" t="str">
        <f>IFERROR(__xludf.DUMMYFUNCTION("GOOGLETRANSLATE(A6987, ""de"", ""en"")"),"schedule")</f>
        <v>schedule</v>
      </c>
    </row>
    <row r="6988">
      <c r="A6988" s="1" t="s">
        <v>6988</v>
      </c>
      <c r="B6988" s="2" t="str">
        <f>IFERROR(__xludf.DUMMYFUNCTION("GOOGLETRANSLATE(A6988, ""de"", ""en"")"),"broken")</f>
        <v>broken</v>
      </c>
    </row>
    <row r="6989">
      <c r="A6989" s="1" t="s">
        <v>6989</v>
      </c>
      <c r="B6989" s="2" t="str">
        <f>IFERROR(__xludf.DUMMYFUNCTION("GOOGLETRANSLATE(A6989, ""de"", ""en"")"),"more cursed")</f>
        <v>more cursed</v>
      </c>
    </row>
    <row r="6990">
      <c r="A6990" s="1" t="s">
        <v>6990</v>
      </c>
      <c r="B6990" s="2" t="str">
        <f>IFERROR(__xludf.DUMMYFUNCTION("GOOGLETRANSLATE(A6990, ""de"", ""en"")"),"sissy")</f>
        <v>sissy</v>
      </c>
    </row>
    <row r="6991">
      <c r="A6991" s="1" t="s">
        <v>6991</v>
      </c>
      <c r="B6991" s="2" t="str">
        <f>IFERROR(__xludf.DUMMYFUNCTION("GOOGLETRANSLATE(A6991, ""de"", ""en"")"),"any")</f>
        <v>any</v>
      </c>
    </row>
    <row r="6992">
      <c r="A6992" s="1" t="s">
        <v>6992</v>
      </c>
      <c r="B6992" s="2" t="str">
        <f>IFERROR(__xludf.DUMMYFUNCTION("GOOGLETRANSLATE(A6992, ""de"", ""en"")"),"temptation")</f>
        <v>temptation</v>
      </c>
    </row>
    <row r="6993">
      <c r="A6993" s="1" t="s">
        <v>6993</v>
      </c>
      <c r="B6993" s="2" t="str">
        <f>IFERROR(__xludf.DUMMYFUNCTION("GOOGLETRANSLATE(A6993, ""de"", ""en"")"),"Shelby")</f>
        <v>Shelby</v>
      </c>
    </row>
    <row r="6994">
      <c r="A6994" s="1" t="s">
        <v>6994</v>
      </c>
      <c r="B6994" s="2" t="str">
        <f>IFERROR(__xludf.DUMMYFUNCTION("GOOGLETRANSLATE(A6994, ""de"", ""en"")"),"contribution")</f>
        <v>contribution</v>
      </c>
    </row>
    <row r="6995">
      <c r="A6995" s="1" t="s">
        <v>6995</v>
      </c>
      <c r="B6995" s="2" t="str">
        <f>IFERROR(__xludf.DUMMYFUNCTION("GOOGLETRANSLATE(A6995, ""de"", ""en"")"),"picnic")</f>
        <v>picnic</v>
      </c>
    </row>
    <row r="6996">
      <c r="A6996" s="1" t="s">
        <v>6996</v>
      </c>
      <c r="B6996" s="2" t="str">
        <f>IFERROR(__xludf.DUMMYFUNCTION("GOOGLETRANSLATE(A6996, ""de"", ""en"")"),"argument")</f>
        <v>argument</v>
      </c>
    </row>
    <row r="6997">
      <c r="A6997" s="1" t="s">
        <v>6997</v>
      </c>
      <c r="B6997" s="2" t="str">
        <f>IFERROR(__xludf.DUMMYFUNCTION("GOOGLETRANSLATE(A6997, ""de"", ""en"")"),"cleaner")</f>
        <v>cleaner</v>
      </c>
    </row>
    <row r="6998">
      <c r="A6998" s="1" t="s">
        <v>6998</v>
      </c>
      <c r="B6998" s="2" t="str">
        <f>IFERROR(__xludf.DUMMYFUNCTION("GOOGLETRANSLATE(A6998, ""de"", ""en"")"),"whisper")</f>
        <v>whisper</v>
      </c>
    </row>
    <row r="6999">
      <c r="A6999" s="1" t="s">
        <v>6999</v>
      </c>
      <c r="B6999" s="2" t="str">
        <f>IFERROR(__xludf.DUMMYFUNCTION("GOOGLETRANSLATE(A6999, ""de"", ""en"")"),"stupidities")</f>
        <v>stupidities</v>
      </c>
    </row>
    <row r="7000">
      <c r="A7000" s="1" t="s">
        <v>7000</v>
      </c>
      <c r="B7000" s="2" t="str">
        <f>IFERROR(__xludf.DUMMYFUNCTION("GOOGLETRANSLATE(A7000, ""de"", ""en"")"),"mile")</f>
        <v>mile</v>
      </c>
    </row>
    <row r="7001">
      <c r="A7001" s="1" t="s">
        <v>7001</v>
      </c>
      <c r="B7001" s="2" t="str">
        <f>IFERROR(__xludf.DUMMYFUNCTION("GOOGLETRANSLATE(A7001, ""de"", ""en"")"),"hamburger")</f>
        <v>hamburger</v>
      </c>
    </row>
    <row r="7002">
      <c r="A7002" s="1" t="s">
        <v>7002</v>
      </c>
      <c r="B7002" s="2" t="str">
        <f>IFERROR(__xludf.DUMMYFUNCTION("GOOGLETRANSLATE(A7002, ""de"", ""en"")"),"contacted")</f>
        <v>contacted</v>
      </c>
    </row>
    <row r="7003">
      <c r="A7003" s="1" t="s">
        <v>7003</v>
      </c>
      <c r="B7003" s="2" t="str">
        <f>IFERROR(__xludf.DUMMYFUNCTION("GOOGLETRANSLATE(A7003, ""de"", ""en"")"),"spies")</f>
        <v>spies</v>
      </c>
    </row>
    <row r="7004">
      <c r="A7004" s="1" t="s">
        <v>7004</v>
      </c>
      <c r="B7004" s="2" t="str">
        <f>IFERROR(__xludf.DUMMYFUNCTION("GOOGLETRANSLATE(A7004, ""de"", ""en"")"),"ensign")</f>
        <v>ensign</v>
      </c>
    </row>
    <row r="7005">
      <c r="A7005" s="1" t="s">
        <v>7005</v>
      </c>
      <c r="B7005" s="2" t="str">
        <f>IFERROR(__xludf.DUMMYFUNCTION("GOOGLETRANSLATE(A7005, ""de"", ""en"")"),"remembered")</f>
        <v>remembered</v>
      </c>
    </row>
    <row r="7006">
      <c r="A7006" s="1" t="s">
        <v>7006</v>
      </c>
      <c r="B7006" s="2" t="str">
        <f>IFERROR(__xludf.DUMMYFUNCTION("GOOGLETRANSLATE(A7006, ""de"", ""en"")"),"doorbell")</f>
        <v>doorbell</v>
      </c>
    </row>
    <row r="7007">
      <c r="A7007" s="1" t="s">
        <v>7007</v>
      </c>
      <c r="B7007" s="2" t="str">
        <f>IFERROR(__xludf.DUMMYFUNCTION("GOOGLETRANSLATE(A7007, ""de"", ""en"")"),"henri")</f>
        <v>henri</v>
      </c>
    </row>
    <row r="7008">
      <c r="A7008" s="1" t="s">
        <v>7008</v>
      </c>
      <c r="B7008" s="2" t="str">
        <f>IFERROR(__xludf.DUMMYFUNCTION("GOOGLETRANSLATE(A7008, ""de"", ""en"")"),"dynamite")</f>
        <v>dynamite</v>
      </c>
    </row>
    <row r="7009">
      <c r="A7009" s="1" t="s">
        <v>7009</v>
      </c>
      <c r="B7009" s="2" t="str">
        <f>IFERROR(__xludf.DUMMYFUNCTION("GOOGLETRANSLATE(A7009, ""de"", ""en"")"),"organs")</f>
        <v>organs</v>
      </c>
    </row>
    <row r="7010">
      <c r="A7010" s="1" t="s">
        <v>7010</v>
      </c>
      <c r="B7010" s="2" t="str">
        <f>IFERROR(__xludf.DUMMYFUNCTION("GOOGLETRANSLATE(A7010, ""de"", ""en"")"),"fur")</f>
        <v>fur</v>
      </c>
    </row>
    <row r="7011">
      <c r="A7011" s="1" t="s">
        <v>7011</v>
      </c>
      <c r="B7011" s="2" t="str">
        <f>IFERROR(__xludf.DUMMYFUNCTION("GOOGLETRANSLATE(A7011, ""de"", ""en"")"),"sunshine")</f>
        <v>sunshine</v>
      </c>
    </row>
    <row r="7012">
      <c r="A7012" s="1" t="s">
        <v>7012</v>
      </c>
      <c r="B7012" s="2" t="str">
        <f>IFERROR(__xludf.DUMMYFUNCTION("GOOGLETRANSLATE(A7012, ""de"", ""en"")"),"archie")</f>
        <v>archie</v>
      </c>
    </row>
    <row r="7013">
      <c r="A7013" s="1" t="s">
        <v>7013</v>
      </c>
      <c r="B7013" s="2" t="str">
        <f>IFERROR(__xludf.DUMMYFUNCTION("GOOGLETRANSLATE(A7013, ""de"", ""en"")"),"pool")</f>
        <v>pool</v>
      </c>
    </row>
    <row r="7014">
      <c r="A7014" s="1" t="s">
        <v>7014</v>
      </c>
      <c r="B7014" s="2" t="str">
        <f>IFERROR(__xludf.DUMMYFUNCTION("GOOGLETRANSLATE(A7014, ""de"", ""en"")"),"Elizabeth")</f>
        <v>Elizabeth</v>
      </c>
    </row>
    <row r="7015">
      <c r="A7015" s="1" t="s">
        <v>7015</v>
      </c>
      <c r="B7015" s="2" t="str">
        <f>IFERROR(__xludf.DUMMYFUNCTION("GOOGLETRANSLATE(A7015, ""de"", ""en"")"),"hung up")</f>
        <v>hung up</v>
      </c>
    </row>
    <row r="7016">
      <c r="A7016" s="1" t="s">
        <v>7016</v>
      </c>
      <c r="B7016" s="2" t="str">
        <f>IFERROR(__xludf.DUMMYFUNCTION("GOOGLETRANSLATE(A7016, ""de"", ""en"")"),"groom")</f>
        <v>groom</v>
      </c>
    </row>
    <row r="7017">
      <c r="A7017" s="1" t="s">
        <v>7017</v>
      </c>
      <c r="B7017" s="2" t="str">
        <f>IFERROR(__xludf.DUMMYFUNCTION("GOOGLETRANSLATE(A7017, ""de"", ""en"")"),"Chinese")</f>
        <v>Chinese</v>
      </c>
    </row>
    <row r="7018">
      <c r="A7018" s="1" t="s">
        <v>7018</v>
      </c>
      <c r="B7018" s="2" t="str">
        <f>IFERROR(__xludf.DUMMYFUNCTION("GOOGLETRANSLATE(A7018, ""de"", ""en"")"),"month")</f>
        <v>month</v>
      </c>
    </row>
    <row r="7019">
      <c r="A7019" s="1" t="s">
        <v>7019</v>
      </c>
      <c r="B7019" s="2" t="str">
        <f>IFERROR(__xludf.DUMMYFUNCTION("GOOGLETRANSLATE(A7019, ""de"", ""en"")"),"Shakespeare")</f>
        <v>Shakespeare</v>
      </c>
    </row>
    <row r="7020">
      <c r="A7020" s="1" t="s">
        <v>7020</v>
      </c>
      <c r="B7020" s="2" t="str">
        <f>IFERROR(__xludf.DUMMYFUNCTION("GOOGLETRANSLATE(A7020, ""de"", ""en"")"),"reveals")</f>
        <v>reveals</v>
      </c>
    </row>
    <row r="7021">
      <c r="A7021" s="1" t="s">
        <v>7021</v>
      </c>
      <c r="B7021" s="2" t="str">
        <f>IFERROR(__xludf.DUMMYFUNCTION("GOOGLETRANSLATE(A7021, ""de"", ""en"")"),"underneath")</f>
        <v>underneath</v>
      </c>
    </row>
    <row r="7022">
      <c r="A7022" s="1" t="s">
        <v>7022</v>
      </c>
      <c r="B7022" s="2" t="str">
        <f>IFERROR(__xludf.DUMMYFUNCTION("GOOGLETRANSLATE(A7022, ""de"", ""en"")"),"Scotland")</f>
        <v>Scotland</v>
      </c>
    </row>
    <row r="7023">
      <c r="A7023" s="1" t="s">
        <v>7023</v>
      </c>
      <c r="B7023" s="2" t="str">
        <f>IFERROR(__xludf.DUMMYFUNCTION("GOOGLETRANSLATE(A7023, ""de"", ""en"")"),"threat")</f>
        <v>threat</v>
      </c>
    </row>
    <row r="7024">
      <c r="A7024" s="1" t="s">
        <v>7024</v>
      </c>
      <c r="B7024" s="2" t="str">
        <f>IFERROR(__xludf.DUMMYFUNCTION("GOOGLETRANSLATE(A7024, ""de"", ""en"")"),"wha")</f>
        <v>wha</v>
      </c>
    </row>
    <row r="7025">
      <c r="A7025" s="1" t="s">
        <v>7025</v>
      </c>
      <c r="B7025" s="2" t="str">
        <f>IFERROR(__xludf.DUMMYFUNCTION("GOOGLETRANSLATE(A7025, ""de"", ""en"")"),"turn")</f>
        <v>turn</v>
      </c>
    </row>
    <row r="7026">
      <c r="A7026" s="1" t="s">
        <v>7026</v>
      </c>
      <c r="B7026" s="2" t="str">
        <f>IFERROR(__xludf.DUMMYFUNCTION("GOOGLETRANSLATE(A7026, ""de"", ""en"")"),"tortured")</f>
        <v>tortured</v>
      </c>
    </row>
    <row r="7027">
      <c r="A7027" s="1" t="s">
        <v>7027</v>
      </c>
      <c r="B7027" s="2" t="str">
        <f>IFERROR(__xludf.DUMMYFUNCTION("GOOGLETRANSLATE(A7027, ""de"", ""en"")"),"adult")</f>
        <v>adult</v>
      </c>
    </row>
    <row r="7028">
      <c r="A7028" s="1" t="s">
        <v>7028</v>
      </c>
      <c r="B7028" s="2" t="str">
        <f>IFERROR(__xludf.DUMMYFUNCTION("GOOGLETRANSLATE(A7028, ""de"", ""en"")"),"unique")</f>
        <v>unique</v>
      </c>
    </row>
    <row r="7029">
      <c r="A7029" s="1" t="s">
        <v>7029</v>
      </c>
      <c r="B7029" s="2" t="str">
        <f>IFERROR(__xludf.DUMMYFUNCTION("GOOGLETRANSLATE(A7029, ""de"", ""en"")"),"British")</f>
        <v>British</v>
      </c>
    </row>
    <row r="7030">
      <c r="A7030" s="1" t="s">
        <v>7030</v>
      </c>
      <c r="B7030" s="2" t="str">
        <f>IFERROR(__xludf.DUMMYFUNCTION("GOOGLETRANSLATE(A7030, ""de"", ""en"")"),"professionals")</f>
        <v>professionals</v>
      </c>
    </row>
    <row r="7031">
      <c r="A7031" s="1" t="s">
        <v>7031</v>
      </c>
      <c r="B7031" s="2" t="str">
        <f>IFERROR(__xludf.DUMMYFUNCTION("GOOGLETRANSLATE(A7031, ""de"", ""en"")"),"Mon")</f>
        <v>Mon</v>
      </c>
    </row>
    <row r="7032">
      <c r="A7032" s="1" t="s">
        <v>7032</v>
      </c>
      <c r="B7032" s="2" t="str">
        <f>IFERROR(__xludf.DUMMYFUNCTION("GOOGLETRANSLATE(A7032, ""de"", ""en"")"),"exaggerate")</f>
        <v>exaggerate</v>
      </c>
    </row>
    <row r="7033">
      <c r="A7033" s="1" t="s">
        <v>7033</v>
      </c>
      <c r="B7033" s="2" t="str">
        <f>IFERROR(__xludf.DUMMYFUNCTION("GOOGLETRANSLATE(A7033, ""de"", ""en"")"),"resources")</f>
        <v>resources</v>
      </c>
    </row>
    <row r="7034">
      <c r="A7034" s="1" t="s">
        <v>7034</v>
      </c>
      <c r="B7034" s="2" t="str">
        <f>IFERROR(__xludf.DUMMYFUNCTION("GOOGLETRANSLATE(A7034, ""de"", ""en"")"),"bishop")</f>
        <v>bishop</v>
      </c>
    </row>
    <row r="7035">
      <c r="A7035" s="1" t="s">
        <v>7035</v>
      </c>
      <c r="B7035" s="2" t="str">
        <f>IFERROR(__xludf.DUMMYFUNCTION("GOOGLETRANSLATE(A7035, ""de"", ""en"")"),"national")</f>
        <v>national</v>
      </c>
    </row>
    <row r="7036">
      <c r="A7036" s="1" t="s">
        <v>7036</v>
      </c>
      <c r="B7036" s="2" t="str">
        <f>IFERROR(__xludf.DUMMYFUNCTION("GOOGLETRANSLATE(A7036, ""de"", ""en"")"),"stand")</f>
        <v>stand</v>
      </c>
    </row>
    <row r="7037">
      <c r="A7037" s="1" t="s">
        <v>7037</v>
      </c>
      <c r="B7037" s="2" t="str">
        <f>IFERROR(__xludf.DUMMYFUNCTION("GOOGLETRANSLATE(A7037, ""de"", ""en"")"),"siblings")</f>
        <v>siblings</v>
      </c>
    </row>
    <row r="7038">
      <c r="A7038" s="1" t="s">
        <v>7038</v>
      </c>
      <c r="B7038" s="2" t="str">
        <f>IFERROR(__xludf.DUMMYFUNCTION("GOOGLETRANSLATE(A7038, ""de"", ""en"")"),"mountain")</f>
        <v>mountain</v>
      </c>
    </row>
    <row r="7039">
      <c r="A7039" s="1" t="s">
        <v>7039</v>
      </c>
      <c r="B7039" s="2" t="str">
        <f>IFERROR(__xludf.DUMMYFUNCTION("GOOGLETRANSLATE(A7039, ""de"", ""en"")"),"resign")</f>
        <v>resign</v>
      </c>
    </row>
    <row r="7040">
      <c r="A7040" s="1" t="s">
        <v>7040</v>
      </c>
      <c r="B7040" s="2" t="str">
        <f>IFERROR(__xludf.DUMMYFUNCTION("GOOGLETRANSLATE(A7040, ""de"", ""en"")"),"avery")</f>
        <v>avery</v>
      </c>
    </row>
    <row r="7041">
      <c r="A7041" s="1" t="s">
        <v>7041</v>
      </c>
      <c r="B7041" s="2" t="str">
        <f>IFERROR(__xludf.DUMMYFUNCTION("GOOGLETRANSLATE(A7041, ""de"", ""en"")"),"roberts")</f>
        <v>roberts</v>
      </c>
    </row>
    <row r="7042">
      <c r="A7042" s="1" t="s">
        <v>7042</v>
      </c>
      <c r="B7042" s="2" t="str">
        <f>IFERROR(__xludf.DUMMYFUNCTION("GOOGLETRANSLATE(A7042, ""de"", ""en"")"),"ax")</f>
        <v>ax</v>
      </c>
    </row>
    <row r="7043">
      <c r="A7043" s="1" t="s">
        <v>7043</v>
      </c>
      <c r="B7043" s="2" t="str">
        <f>IFERROR(__xludf.DUMMYFUNCTION("GOOGLETRANSLATE(A7043, ""de"", ""en"")"),"hugh")</f>
        <v>hugh</v>
      </c>
    </row>
    <row r="7044">
      <c r="A7044" s="1" t="s">
        <v>7044</v>
      </c>
      <c r="B7044" s="2" t="str">
        <f>IFERROR(__xludf.DUMMYFUNCTION("GOOGLETRANSLATE(A7044, ""de"", ""en"")"),"dealer")</f>
        <v>dealer</v>
      </c>
    </row>
    <row r="7045">
      <c r="A7045" s="1" t="s">
        <v>7045</v>
      </c>
      <c r="B7045" s="2" t="str">
        <f>IFERROR(__xludf.DUMMYFUNCTION("GOOGLETRANSLATE(A7045, ""de"", ""en"")"),"Egypt")</f>
        <v>Egypt</v>
      </c>
    </row>
    <row r="7046">
      <c r="A7046" s="1" t="s">
        <v>7046</v>
      </c>
      <c r="B7046" s="2" t="str">
        <f>IFERROR(__xludf.DUMMYFUNCTION("GOOGLETRANSLATE(A7046, ""de"", ""en"")"),"rethink")</f>
        <v>rethink</v>
      </c>
    </row>
    <row r="7047">
      <c r="A7047" s="1" t="s">
        <v>7047</v>
      </c>
      <c r="B7047" s="2" t="str">
        <f>IFERROR(__xludf.DUMMYFUNCTION("GOOGLETRANSLATE(A7047, ""de"", ""en"")"),"Ludwig")</f>
        <v>Ludwig</v>
      </c>
    </row>
    <row r="7048">
      <c r="A7048" s="1" t="s">
        <v>7048</v>
      </c>
      <c r="B7048" s="2" t="str">
        <f>IFERROR(__xludf.DUMMYFUNCTION("GOOGLETRANSLATE(A7048, ""de"", ""en"")"),"fiona")</f>
        <v>fiona</v>
      </c>
    </row>
    <row r="7049">
      <c r="A7049" s="1" t="s">
        <v>7049</v>
      </c>
      <c r="B7049" s="2" t="str">
        <f>IFERROR(__xludf.DUMMYFUNCTION("GOOGLETRANSLATE(A7049, ""de"", ""en"")"),"warmth")</f>
        <v>warmth</v>
      </c>
    </row>
    <row r="7050">
      <c r="A7050" s="1" t="s">
        <v>7050</v>
      </c>
      <c r="B7050" s="2" t="str">
        <f>IFERROR(__xludf.DUMMYFUNCTION("GOOGLETRANSLATE(A7050, ""de"", ""en"")"),"Joel")</f>
        <v>Joel</v>
      </c>
    </row>
    <row r="7051">
      <c r="A7051" s="1" t="s">
        <v>7051</v>
      </c>
      <c r="B7051" s="2" t="str">
        <f>IFERROR(__xludf.DUMMYFUNCTION("GOOGLETRANSLATE(A7051, ""de"", ""en"")"),"concentrate")</f>
        <v>concentrate</v>
      </c>
    </row>
    <row r="7052">
      <c r="A7052" s="1" t="s">
        <v>7052</v>
      </c>
      <c r="B7052" s="2" t="str">
        <f>IFERROR(__xludf.DUMMYFUNCTION("GOOGLETRANSLATE(A7052, ""de"", ""en"")"),"del")</f>
        <v>del</v>
      </c>
    </row>
    <row r="7053">
      <c r="A7053" s="1" t="s">
        <v>7053</v>
      </c>
      <c r="B7053" s="2" t="str">
        <f>IFERROR(__xludf.DUMMYFUNCTION("GOOGLETRANSLATE(A7053, ""de"", ""en"")"),"steam")</f>
        <v>steam</v>
      </c>
    </row>
    <row r="7054">
      <c r="A7054" s="1" t="s">
        <v>7054</v>
      </c>
      <c r="B7054" s="2" t="str">
        <f>IFERROR(__xludf.DUMMYFUNCTION("GOOGLETRANSLATE(A7054, ""de"", ""en"")"),"abused")</f>
        <v>abused</v>
      </c>
    </row>
    <row r="7055">
      <c r="A7055" s="1" t="s">
        <v>7055</v>
      </c>
      <c r="B7055" s="2" t="str">
        <f>IFERROR(__xludf.DUMMYFUNCTION("GOOGLETRANSLATE(A7055, ""de"", ""en"")"),"loyal")</f>
        <v>loyal</v>
      </c>
    </row>
    <row r="7056">
      <c r="A7056" s="1" t="s">
        <v>7056</v>
      </c>
      <c r="B7056" s="2" t="str">
        <f>IFERROR(__xludf.DUMMYFUNCTION("GOOGLETRANSLATE(A7056, ""de"", ""en"")"),"root")</f>
        <v>root</v>
      </c>
    </row>
    <row r="7057">
      <c r="A7057" s="1" t="s">
        <v>7057</v>
      </c>
      <c r="B7057" s="2" t="str">
        <f>IFERROR(__xludf.DUMMYFUNCTION("GOOGLETRANSLATE(A7057, ""de"", ""en"")"),"hanging")</f>
        <v>hanging</v>
      </c>
    </row>
    <row r="7058">
      <c r="A7058" s="1" t="s">
        <v>7058</v>
      </c>
      <c r="B7058" s="2" t="str">
        <f>IFERROR(__xludf.DUMMYFUNCTION("GOOGLETRANSLATE(A7058, ""de"", ""en"")"),"worm")</f>
        <v>worm</v>
      </c>
    </row>
    <row r="7059">
      <c r="A7059" s="1" t="s">
        <v>7059</v>
      </c>
      <c r="B7059" s="2" t="str">
        <f>IFERROR(__xludf.DUMMYFUNCTION("GOOGLETRANSLATE(A7059, ""de"", ""en"")"),"Kathy")</f>
        <v>Kathy</v>
      </c>
    </row>
    <row r="7060">
      <c r="A7060" s="1" t="s">
        <v>7060</v>
      </c>
      <c r="B7060" s="2" t="str">
        <f>IFERROR(__xludf.DUMMYFUNCTION("GOOGLETRANSLATE(A7060, ""de"", ""en"")"),"candle")</f>
        <v>candle</v>
      </c>
    </row>
    <row r="7061">
      <c r="A7061" s="1" t="s">
        <v>7061</v>
      </c>
      <c r="B7061" s="2" t="str">
        <f>IFERROR(__xludf.DUMMYFUNCTION("GOOGLETRANSLATE(A7061, ""de"", ""en"")"),"regret")</f>
        <v>regret</v>
      </c>
    </row>
    <row r="7062">
      <c r="A7062" s="1" t="s">
        <v>7062</v>
      </c>
      <c r="B7062" s="2" t="str">
        <f>IFERROR(__xludf.DUMMYFUNCTION("GOOGLETRANSLATE(A7062, ""de"", ""en"")"),"get started")</f>
        <v>get started</v>
      </c>
    </row>
    <row r="7063">
      <c r="A7063" s="1" t="s">
        <v>7063</v>
      </c>
      <c r="B7063" s="2" t="str">
        <f>IFERROR(__xludf.DUMMYFUNCTION("GOOGLETRANSLATE(A7063, ""de"", ""en"")"),"OK.")</f>
        <v>OK.</v>
      </c>
    </row>
    <row r="7064">
      <c r="A7064" s="1" t="s">
        <v>7064</v>
      </c>
      <c r="B7064" s="2" t="str">
        <f>IFERROR(__xludf.DUMMYFUNCTION("GOOGLETRANSLATE(A7064, ""de"", ""en"")"),"caught")</f>
        <v>caught</v>
      </c>
    </row>
    <row r="7065">
      <c r="A7065" s="1" t="s">
        <v>7065</v>
      </c>
      <c r="B7065" s="2" t="str">
        <f>IFERROR(__xludf.DUMMYFUNCTION("GOOGLETRANSLATE(A7065, ""de"", ""en"")"),"crew")</f>
        <v>crew</v>
      </c>
    </row>
    <row r="7066">
      <c r="A7066" s="1" t="s">
        <v>7066</v>
      </c>
      <c r="B7066" s="2" t="str">
        <f>IFERROR(__xludf.DUMMYFUNCTION("GOOGLETRANSLATE(A7066, ""de"", ""en"")"),"dog")</f>
        <v>dog</v>
      </c>
    </row>
    <row r="7067">
      <c r="A7067" s="1" t="s">
        <v>7067</v>
      </c>
      <c r="B7067" s="2" t="str">
        <f>IFERROR(__xludf.DUMMYFUNCTION("GOOGLETRANSLATE(A7067, ""de"", ""en"")"),"smarter")</f>
        <v>smarter</v>
      </c>
    </row>
    <row r="7068">
      <c r="A7068" s="1" t="s">
        <v>7068</v>
      </c>
      <c r="B7068" s="2" t="str">
        <f>IFERROR(__xludf.DUMMYFUNCTION("GOOGLETRANSLATE(A7068, ""de"", ""en"")"),"happened")</f>
        <v>happened</v>
      </c>
    </row>
    <row r="7069">
      <c r="A7069" s="1" t="s">
        <v>7069</v>
      </c>
      <c r="B7069" s="2" t="str">
        <f>IFERROR(__xludf.DUMMYFUNCTION("GOOGLETRANSLATE(A7069, ""de"", ""en"")"),"fear")</f>
        <v>fear</v>
      </c>
    </row>
    <row r="7070">
      <c r="A7070" s="1" t="s">
        <v>7070</v>
      </c>
      <c r="B7070" s="2" t="str">
        <f>IFERROR(__xludf.DUMMYFUNCTION("GOOGLETRANSLATE(A7070, ""de"", ""en"")"),"following")</f>
        <v>following</v>
      </c>
    </row>
    <row r="7071">
      <c r="A7071" s="1" t="s">
        <v>7071</v>
      </c>
      <c r="B7071" s="2" t="str">
        <f>IFERROR(__xludf.DUMMYFUNCTION("GOOGLETRANSLATE(A7071, ""de"", ""en"")"),"painful")</f>
        <v>painful</v>
      </c>
    </row>
    <row r="7072">
      <c r="A7072" s="1" t="s">
        <v>7072</v>
      </c>
      <c r="B7072" s="2" t="str">
        <f>IFERROR(__xludf.DUMMYFUNCTION("GOOGLETRANSLATE(A7072, ""de"", ""en"")"),"jody")</f>
        <v>jody</v>
      </c>
    </row>
    <row r="7073">
      <c r="A7073" s="1" t="s">
        <v>7073</v>
      </c>
      <c r="B7073" s="2" t="str">
        <f>IFERROR(__xludf.DUMMYFUNCTION("GOOGLETRANSLATE(A7073, ""de"", ""en"")"),"described")</f>
        <v>described</v>
      </c>
    </row>
    <row r="7074">
      <c r="A7074" s="1" t="s">
        <v>7074</v>
      </c>
      <c r="B7074" s="2" t="str">
        <f>IFERROR(__xludf.DUMMYFUNCTION("GOOGLETRANSLATE(A7074, ""de"", ""en"")"),"tremble")</f>
        <v>tremble</v>
      </c>
    </row>
    <row r="7075">
      <c r="A7075" s="1" t="s">
        <v>7075</v>
      </c>
      <c r="B7075" s="2" t="str">
        <f>IFERROR(__xludf.DUMMYFUNCTION("GOOGLETRANSLATE(A7075, ""de"", ""en"")"),"position")</f>
        <v>position</v>
      </c>
    </row>
    <row r="7076">
      <c r="A7076" s="1" t="s">
        <v>7076</v>
      </c>
      <c r="B7076" s="2" t="str">
        <f>IFERROR(__xludf.DUMMYFUNCTION("GOOGLETRANSLATE(A7076, ""de"", ""en"")"),"visor")</f>
        <v>visor</v>
      </c>
    </row>
    <row r="7077">
      <c r="A7077" s="1" t="s">
        <v>7077</v>
      </c>
      <c r="B7077" s="2" t="str">
        <f>IFERROR(__xludf.DUMMYFUNCTION("GOOGLETRANSLATE(A7077, ""de"", ""en"")"),"rank")</f>
        <v>rank</v>
      </c>
    </row>
    <row r="7078">
      <c r="A7078" s="1" t="s">
        <v>7078</v>
      </c>
      <c r="B7078" s="2" t="str">
        <f>IFERROR(__xludf.DUMMYFUNCTION("GOOGLETRANSLATE(A7078, ""de"", ""en"")"),"Phoenix")</f>
        <v>Phoenix</v>
      </c>
    </row>
    <row r="7079">
      <c r="A7079" s="1" t="s">
        <v>7079</v>
      </c>
      <c r="B7079" s="2" t="str">
        <f>IFERROR(__xludf.DUMMYFUNCTION("GOOGLETRANSLATE(A7079, ""de"", ""en"")"),"Wesley")</f>
        <v>Wesley</v>
      </c>
    </row>
    <row r="7080">
      <c r="A7080" s="1" t="s">
        <v>7080</v>
      </c>
      <c r="B7080" s="2" t="str">
        <f>IFERROR(__xludf.DUMMYFUNCTION("GOOGLETRANSLATE(A7080, ""de"", ""en"")"),"finds out")</f>
        <v>finds out</v>
      </c>
    </row>
    <row r="7081">
      <c r="A7081" s="1" t="s">
        <v>7081</v>
      </c>
      <c r="B7081" s="2" t="str">
        <f>IFERROR(__xludf.DUMMYFUNCTION("GOOGLETRANSLATE(A7081, ""de"", ""en"")"),"looked")</f>
        <v>looked</v>
      </c>
    </row>
    <row r="7082">
      <c r="A7082" s="1" t="s">
        <v>7082</v>
      </c>
      <c r="B7082" s="2" t="str">
        <f>IFERROR(__xludf.DUMMYFUNCTION("GOOGLETRANSLATE(A7082, ""de"", ""en"")"),"theoretically")</f>
        <v>theoretically</v>
      </c>
    </row>
    <row r="7083">
      <c r="A7083" s="1" t="s">
        <v>7083</v>
      </c>
      <c r="B7083" s="2" t="str">
        <f>IFERROR(__xludf.DUMMYFUNCTION("GOOGLETRANSLATE(A7083, ""de"", ""en"")"),"if")</f>
        <v>if</v>
      </c>
    </row>
    <row r="7084">
      <c r="A7084" s="1" t="s">
        <v>7084</v>
      </c>
      <c r="B7084" s="2" t="str">
        <f>IFERROR(__xludf.DUMMYFUNCTION("GOOGLETRANSLATE(A7084, ""de"", ""en"")"),"chan")</f>
        <v>chan</v>
      </c>
    </row>
    <row r="7085">
      <c r="A7085" s="1" t="s">
        <v>7085</v>
      </c>
      <c r="B7085" s="2" t="str">
        <f>IFERROR(__xludf.DUMMYFUNCTION("GOOGLETRANSLATE(A7085, ""de"", ""en"")"),"bag")</f>
        <v>bag</v>
      </c>
    </row>
    <row r="7086">
      <c r="A7086" s="1" t="s">
        <v>7086</v>
      </c>
      <c r="B7086" s="2" t="str">
        <f>IFERROR(__xludf.DUMMYFUNCTION("GOOGLETRANSLATE(A7086, ""de"", ""en"")"),"urge")</f>
        <v>urge</v>
      </c>
    </row>
    <row r="7087">
      <c r="A7087" s="1" t="s">
        <v>7087</v>
      </c>
      <c r="B7087" s="2" t="str">
        <f>IFERROR(__xludf.DUMMYFUNCTION("GOOGLETRANSLATE(A7087, ""de"", ""en"")"),"bad")</f>
        <v>bad</v>
      </c>
    </row>
    <row r="7088">
      <c r="A7088" s="1" t="s">
        <v>7088</v>
      </c>
      <c r="B7088" s="2" t="str">
        <f>IFERROR(__xludf.DUMMYFUNCTION("GOOGLETRANSLATE(A7088, ""de"", ""en"")"),"client")</f>
        <v>client</v>
      </c>
    </row>
    <row r="7089">
      <c r="A7089" s="1" t="s">
        <v>7089</v>
      </c>
      <c r="B7089" s="2" t="str">
        <f>IFERROR(__xludf.DUMMYFUNCTION("GOOGLETRANSLATE(A7089, ""de"", ""en"")"),"hang")</f>
        <v>hang</v>
      </c>
    </row>
    <row r="7090">
      <c r="A7090" s="1" t="s">
        <v>7090</v>
      </c>
      <c r="B7090" s="2" t="str">
        <f>IFERROR(__xludf.DUMMYFUNCTION("GOOGLETRANSLATE(A7090, ""de"", ""en"")"),"veranda")</f>
        <v>veranda</v>
      </c>
    </row>
    <row r="7091">
      <c r="A7091" s="1" t="s">
        <v>7091</v>
      </c>
      <c r="B7091" s="2" t="str">
        <f>IFERROR(__xludf.DUMMYFUNCTION("GOOGLETRANSLATE(A7091, ""de"", ""en"")"),"Pam")</f>
        <v>Pam</v>
      </c>
    </row>
    <row r="7092">
      <c r="A7092" s="1" t="s">
        <v>7092</v>
      </c>
      <c r="B7092" s="2" t="str">
        <f>IFERROR(__xludf.DUMMYFUNCTION("GOOGLETRANSLATE(A7092, ""de"", ""en"")"),"youngest")</f>
        <v>youngest</v>
      </c>
    </row>
    <row r="7093">
      <c r="A7093" s="1" t="s">
        <v>7093</v>
      </c>
      <c r="B7093" s="2" t="str">
        <f>IFERROR(__xludf.DUMMYFUNCTION("GOOGLETRANSLATE(A7093, ""de"", ""en"")"),"radiation")</f>
        <v>radiation</v>
      </c>
    </row>
    <row r="7094">
      <c r="A7094" s="1" t="s">
        <v>7094</v>
      </c>
      <c r="B7094" s="2" t="str">
        <f>IFERROR(__xludf.DUMMYFUNCTION("GOOGLETRANSLATE(A7094, ""de"", ""en"")"),"cheats")</f>
        <v>cheats</v>
      </c>
    </row>
    <row r="7095">
      <c r="A7095" s="1" t="s">
        <v>7095</v>
      </c>
      <c r="B7095" s="2" t="str">
        <f>IFERROR(__xludf.DUMMYFUNCTION("GOOGLETRANSLATE(A7095, ""de"", ""en"")"),"infinite")</f>
        <v>infinite</v>
      </c>
    </row>
    <row r="7096">
      <c r="A7096" s="1" t="s">
        <v>7096</v>
      </c>
      <c r="B7096" s="2" t="str">
        <f>IFERROR(__xludf.DUMMYFUNCTION("GOOGLETRANSLATE(A7096, ""de"", ""en"")"),"poems")</f>
        <v>poems</v>
      </c>
    </row>
    <row r="7097">
      <c r="A7097" s="1" t="s">
        <v>7097</v>
      </c>
      <c r="B7097" s="2" t="str">
        <f>IFERROR(__xludf.DUMMYFUNCTION("GOOGLETRANSLATE(A7097, ""de"", ""en"")"),"sven")</f>
        <v>sven</v>
      </c>
    </row>
    <row r="7098">
      <c r="A7098" s="1" t="s">
        <v>7098</v>
      </c>
      <c r="B7098" s="2" t="str">
        <f>IFERROR(__xludf.DUMMYFUNCTION("GOOGLETRANSLATE(A7098, ""de"", ""en"")"),"irene")</f>
        <v>irene</v>
      </c>
    </row>
    <row r="7099">
      <c r="A7099" s="1" t="s">
        <v>7099</v>
      </c>
      <c r="B7099" s="2" t="str">
        <f>IFERROR(__xludf.DUMMYFUNCTION("GOOGLETRANSLATE(A7099, ""de"", ""en"")"),"traveled")</f>
        <v>traveled</v>
      </c>
    </row>
    <row r="7100">
      <c r="A7100" s="1" t="s">
        <v>7100</v>
      </c>
      <c r="B7100" s="2" t="str">
        <f>IFERROR(__xludf.DUMMYFUNCTION("GOOGLETRANSLATE(A7100, ""de"", ""en"")"),"shit")</f>
        <v>shit</v>
      </c>
    </row>
    <row r="7101">
      <c r="A7101" s="1" t="s">
        <v>7101</v>
      </c>
      <c r="B7101" s="2" t="str">
        <f>IFERROR(__xludf.DUMMYFUNCTION("GOOGLETRANSLATE(A7101, ""de"", ""en"")"),"behave")</f>
        <v>behave</v>
      </c>
    </row>
    <row r="7102">
      <c r="A7102" s="1" t="s">
        <v>7102</v>
      </c>
      <c r="B7102" s="2" t="str">
        <f>IFERROR(__xludf.DUMMYFUNCTION("GOOGLETRANSLATE(A7102, ""de"", ""en"")"),"pregnancy")</f>
        <v>pregnancy</v>
      </c>
    </row>
    <row r="7103">
      <c r="A7103" s="1" t="s">
        <v>7103</v>
      </c>
      <c r="B7103" s="2" t="str">
        <f>IFERROR(__xludf.DUMMYFUNCTION("GOOGLETRANSLATE(A7103, ""de"", ""en"")"),"subcentral")</f>
        <v>subcentral</v>
      </c>
    </row>
    <row r="7104">
      <c r="A7104" s="1" t="s">
        <v>7104</v>
      </c>
      <c r="B7104" s="2" t="str">
        <f>IFERROR(__xludf.DUMMYFUNCTION("GOOGLETRANSLATE(A7104, ""de"", ""en"")"),"copies")</f>
        <v>copies</v>
      </c>
    </row>
    <row r="7105">
      <c r="A7105" s="1" t="s">
        <v>7105</v>
      </c>
      <c r="B7105" s="2" t="str">
        <f>IFERROR(__xludf.DUMMYFUNCTION("GOOGLETRANSLATE(A7105, ""de"", ""en"")"),"in question")</f>
        <v>in question</v>
      </c>
    </row>
    <row r="7106">
      <c r="A7106" s="1" t="s">
        <v>7106</v>
      </c>
      <c r="B7106" s="2" t="str">
        <f>IFERROR(__xludf.DUMMYFUNCTION("GOOGLETRANSLATE(A7106, ""de"", ""en"")"),"doubt")</f>
        <v>doubt</v>
      </c>
    </row>
    <row r="7107">
      <c r="A7107" s="1" t="s">
        <v>7107</v>
      </c>
      <c r="B7107" s="2" t="str">
        <f>IFERROR(__xludf.DUMMYFUNCTION("GOOGLETRANSLATE(A7107, ""de"", ""en"")"),"nun")</f>
        <v>nun</v>
      </c>
    </row>
    <row r="7108">
      <c r="A7108" s="1" t="s">
        <v>7108</v>
      </c>
      <c r="B7108" s="2" t="str">
        <f>IFERROR(__xludf.DUMMYFUNCTION("GOOGLETRANSLATE(A7108, ""de"", ""en"")"),"must")</f>
        <v>must</v>
      </c>
    </row>
    <row r="7109">
      <c r="A7109" s="1" t="s">
        <v>7109</v>
      </c>
      <c r="B7109" s="2" t="str">
        <f>IFERROR(__xludf.DUMMYFUNCTION("GOOGLETRANSLATE(A7109, ""de"", ""en"")"),"juliette")</f>
        <v>juliette</v>
      </c>
    </row>
    <row r="7110">
      <c r="A7110" s="1" t="s">
        <v>7110</v>
      </c>
      <c r="B7110" s="2" t="str">
        <f>IFERROR(__xludf.DUMMYFUNCTION("GOOGLETRANSLATE(A7110, ""de"", ""en"")"),"directed")</f>
        <v>directed</v>
      </c>
    </row>
    <row r="7111">
      <c r="A7111" s="1" t="s">
        <v>7111</v>
      </c>
      <c r="B7111" s="2" t="str">
        <f>IFERROR(__xludf.DUMMYFUNCTION("GOOGLETRANSLATE(A7111, ""de"", ""en"")"),"lick")</f>
        <v>lick</v>
      </c>
    </row>
    <row r="7112">
      <c r="A7112" s="1" t="s">
        <v>7112</v>
      </c>
      <c r="B7112" s="2" t="str">
        <f>IFERROR(__xludf.DUMMYFUNCTION("GOOGLETRANSLATE(A7112, ""de"", ""en"")"),"fireworks")</f>
        <v>fireworks</v>
      </c>
    </row>
    <row r="7113">
      <c r="A7113" s="1" t="s">
        <v>7113</v>
      </c>
      <c r="B7113" s="2" t="str">
        <f>IFERROR(__xludf.DUMMYFUNCTION("GOOGLETRANSLATE(A7113, ""de"", ""en"")"),"latest")</f>
        <v>latest</v>
      </c>
    </row>
    <row r="7114">
      <c r="A7114" s="1" t="s">
        <v>7114</v>
      </c>
      <c r="B7114" s="2" t="str">
        <f>IFERROR(__xludf.DUMMYFUNCTION("GOOGLETRANSLATE(A7114, ""de"", ""en"")"),"spirit")</f>
        <v>spirit</v>
      </c>
    </row>
    <row r="7115">
      <c r="A7115" s="1" t="s">
        <v>7115</v>
      </c>
      <c r="B7115" s="2" t="str">
        <f>IFERROR(__xludf.DUMMYFUNCTION("GOOGLETRANSLATE(A7115, ""de"", ""en"")"),"injured")</f>
        <v>injured</v>
      </c>
    </row>
    <row r="7116">
      <c r="A7116" s="1" t="s">
        <v>7116</v>
      </c>
      <c r="B7116" s="2" t="str">
        <f>IFERROR(__xludf.DUMMYFUNCTION("GOOGLETRANSLATE(A7116, ""de"", ""en"")"),"variety")</f>
        <v>variety</v>
      </c>
    </row>
    <row r="7117">
      <c r="A7117" s="1" t="s">
        <v>7117</v>
      </c>
      <c r="B7117" s="2" t="str">
        <f>IFERROR(__xludf.DUMMYFUNCTION("GOOGLETRANSLATE(A7117, ""de"", ""en"")"),"executed")</f>
        <v>executed</v>
      </c>
    </row>
    <row r="7118">
      <c r="A7118" s="1" t="s">
        <v>7118</v>
      </c>
      <c r="B7118" s="2" t="str">
        <f>IFERROR(__xludf.DUMMYFUNCTION("GOOGLETRANSLATE(A7118, ""de"", ""en"")"),"small change")</f>
        <v>small change</v>
      </c>
    </row>
    <row r="7119">
      <c r="A7119" s="1" t="s">
        <v>7119</v>
      </c>
      <c r="B7119" s="2" t="str">
        <f>IFERROR(__xludf.DUMMYFUNCTION("GOOGLETRANSLATE(A7119, ""de"", ""en"")"),"evans")</f>
        <v>evans</v>
      </c>
    </row>
    <row r="7120">
      <c r="A7120" s="1" t="s">
        <v>7120</v>
      </c>
      <c r="B7120" s="2" t="str">
        <f>IFERROR(__xludf.DUMMYFUNCTION("GOOGLETRANSLATE(A7120, ""de"", ""en"")"),"occasionally")</f>
        <v>occasionally</v>
      </c>
    </row>
    <row r="7121">
      <c r="A7121" s="1" t="s">
        <v>7121</v>
      </c>
      <c r="B7121" s="2" t="str">
        <f>IFERROR(__xludf.DUMMYFUNCTION("GOOGLETRANSLATE(A7121, ""de"", ""en"")"),"Denise")</f>
        <v>Denise</v>
      </c>
    </row>
    <row r="7122">
      <c r="A7122" s="1" t="s">
        <v>7122</v>
      </c>
      <c r="B7122" s="2" t="str">
        <f>IFERROR(__xludf.DUMMYFUNCTION("GOOGLETRANSLATE(A7122, ""de"", ""en"")"),"fry")</f>
        <v>fry</v>
      </c>
    </row>
    <row r="7123">
      <c r="A7123" s="1" t="s">
        <v>7123</v>
      </c>
      <c r="B7123" s="2" t="str">
        <f>IFERROR(__xludf.DUMMYFUNCTION("GOOGLETRANSLATE(A7123, ""de"", ""en"")"),"created")</f>
        <v>created</v>
      </c>
    </row>
    <row r="7124">
      <c r="A7124" s="1" t="s">
        <v>7124</v>
      </c>
      <c r="B7124" s="2" t="str">
        <f>IFERROR(__xludf.DUMMYFUNCTION("GOOGLETRANSLATE(A7124, ""de"", ""en"")"),"Artie")</f>
        <v>Artie</v>
      </c>
    </row>
    <row r="7125">
      <c r="A7125" s="1" t="s">
        <v>7125</v>
      </c>
      <c r="B7125" s="2" t="str">
        <f>IFERROR(__xludf.DUMMYFUNCTION("GOOGLETRANSLATE(A7125, ""de"", ""en"")"),"corporal")</f>
        <v>corporal</v>
      </c>
    </row>
    <row r="7126">
      <c r="A7126" s="1" t="s">
        <v>7126</v>
      </c>
      <c r="B7126" s="2" t="str">
        <f>IFERROR(__xludf.DUMMYFUNCTION("GOOGLETRANSLATE(A7126, ""de"", ""en"")"),"arises")</f>
        <v>arises</v>
      </c>
    </row>
    <row r="7127">
      <c r="A7127" s="1" t="s">
        <v>7127</v>
      </c>
      <c r="B7127" s="2" t="str">
        <f>IFERROR(__xludf.DUMMYFUNCTION("GOOGLETRANSLATE(A7127, ""de"", ""en"")"),"rogers")</f>
        <v>rogers</v>
      </c>
    </row>
    <row r="7128">
      <c r="A7128" s="1" t="s">
        <v>7128</v>
      </c>
      <c r="B7128" s="2" t="str">
        <f>IFERROR(__xludf.DUMMYFUNCTION("GOOGLETRANSLATE(A7128, ""de"", ""en"")"),"heartbeat")</f>
        <v>heartbeat</v>
      </c>
    </row>
    <row r="7129">
      <c r="A7129" s="1" t="s">
        <v>7129</v>
      </c>
      <c r="B7129" s="2" t="str">
        <f>IFERROR(__xludf.DUMMYFUNCTION("GOOGLETRANSLATE(A7129, ""de"", ""en"")"),"fortunately")</f>
        <v>fortunately</v>
      </c>
    </row>
    <row r="7130">
      <c r="A7130" s="1" t="s">
        <v>7130</v>
      </c>
      <c r="B7130" s="2" t="str">
        <f>IFERROR(__xludf.DUMMYFUNCTION("GOOGLETRANSLATE(A7130, ""de"", ""en"")"),"cure")</f>
        <v>cure</v>
      </c>
    </row>
    <row r="7131">
      <c r="A7131" s="1" t="s">
        <v>7131</v>
      </c>
      <c r="B7131" s="2" t="str">
        <f>IFERROR(__xludf.DUMMYFUNCTION("GOOGLETRANSLATE(A7131, ""de"", ""en"")"),"Caesar")</f>
        <v>Caesar</v>
      </c>
    </row>
    <row r="7132">
      <c r="A7132" s="1" t="s">
        <v>7132</v>
      </c>
      <c r="B7132" s="2" t="str">
        <f>IFERROR(__xludf.DUMMYFUNCTION("GOOGLETRANSLATE(A7132, ""de"", ""en"")"),"accused")</f>
        <v>accused</v>
      </c>
    </row>
    <row r="7133">
      <c r="A7133" s="1" t="s">
        <v>7133</v>
      </c>
      <c r="B7133" s="2" t="str">
        <f>IFERROR(__xludf.DUMMYFUNCTION("GOOGLETRANSLATE(A7133, ""de"", ""en"")"),"profit")</f>
        <v>profit</v>
      </c>
    </row>
    <row r="7134">
      <c r="A7134" s="1" t="s">
        <v>7134</v>
      </c>
      <c r="B7134" s="2" t="str">
        <f>IFERROR(__xludf.DUMMYFUNCTION("GOOGLETRANSLATE(A7134, ""de"", ""en"")"),"roar")</f>
        <v>roar</v>
      </c>
    </row>
    <row r="7135">
      <c r="A7135" s="1" t="s">
        <v>7135</v>
      </c>
      <c r="B7135" s="2" t="str">
        <f>IFERROR(__xludf.DUMMYFUNCTION("GOOGLETRANSLATE(A7135, ""de"", ""en"")"),"different")</f>
        <v>different</v>
      </c>
    </row>
    <row r="7136">
      <c r="A7136" s="1" t="s">
        <v>7136</v>
      </c>
      <c r="B7136" s="2" t="str">
        <f>IFERROR(__xludf.DUMMYFUNCTION("GOOGLETRANSLATE(A7136, ""de"", ""en"")"),"coins")</f>
        <v>coins</v>
      </c>
    </row>
    <row r="7137">
      <c r="A7137" s="1" t="s">
        <v>7137</v>
      </c>
      <c r="B7137" s="2" t="str">
        <f>IFERROR(__xludf.DUMMYFUNCTION("GOOGLETRANSLATE(A7137, ""de"", ""en"")"),"leaves behind")</f>
        <v>leaves behind</v>
      </c>
    </row>
    <row r="7138">
      <c r="A7138" s="1" t="s">
        <v>7138</v>
      </c>
      <c r="B7138" s="2" t="str">
        <f>IFERROR(__xludf.DUMMYFUNCTION("GOOGLETRANSLATE(A7138, ""de"", ""en"")"),"royal")</f>
        <v>royal</v>
      </c>
    </row>
    <row r="7139">
      <c r="A7139" s="1" t="s">
        <v>7139</v>
      </c>
      <c r="B7139" s="2" t="str">
        <f>IFERROR(__xludf.DUMMYFUNCTION("GOOGLETRANSLATE(A7139, ""de"", ""en"")"),"city ​​councilor")</f>
        <v>city ​​councilor</v>
      </c>
    </row>
    <row r="7140">
      <c r="A7140" s="1" t="s">
        <v>7140</v>
      </c>
      <c r="B7140" s="2" t="str">
        <f>IFERROR(__xludf.DUMMYFUNCTION("GOOGLETRANSLATE(A7140, ""de"", ""en"")"),"press conference")</f>
        <v>press conference</v>
      </c>
    </row>
    <row r="7141">
      <c r="A7141" s="1" t="s">
        <v>7141</v>
      </c>
      <c r="B7141" s="2" t="str">
        <f>IFERROR(__xludf.DUMMYFUNCTION("GOOGLETRANSLATE(A7141, ""de"", ""en"")"),"not")</f>
        <v>not</v>
      </c>
    </row>
    <row r="7142">
      <c r="A7142" s="1" t="s">
        <v>7142</v>
      </c>
      <c r="B7142" s="2" t="str">
        <f>IFERROR(__xludf.DUMMYFUNCTION("GOOGLETRANSLATE(A7142, ""de"", ""en"")"),"looked")</f>
        <v>looked</v>
      </c>
    </row>
    <row r="7143">
      <c r="A7143" s="1" t="s">
        <v>7143</v>
      </c>
      <c r="B7143" s="2" t="str">
        <f>IFERROR(__xludf.DUMMYFUNCTION("GOOGLETRANSLATE(A7143, ""de"", ""en"")"),"admitted")</f>
        <v>admitted</v>
      </c>
    </row>
    <row r="7144">
      <c r="A7144" s="1" t="s">
        <v>7144</v>
      </c>
      <c r="B7144" s="2" t="str">
        <f>IFERROR(__xludf.DUMMYFUNCTION("GOOGLETRANSLATE(A7144, ""de"", ""en"")"),"end")</f>
        <v>end</v>
      </c>
    </row>
    <row r="7145">
      <c r="A7145" s="1" t="s">
        <v>7145</v>
      </c>
      <c r="B7145" s="2" t="str">
        <f>IFERROR(__xludf.DUMMYFUNCTION("GOOGLETRANSLATE(A7145, ""de"", ""en"")"),"funny")</f>
        <v>funny</v>
      </c>
    </row>
    <row r="7146">
      <c r="A7146" s="1" t="s">
        <v>7146</v>
      </c>
      <c r="B7146" s="2" t="str">
        <f>IFERROR(__xludf.DUMMYFUNCTION("GOOGLETRANSLATE(A7146, ""de"", ""en"")"),"director")</f>
        <v>director</v>
      </c>
    </row>
    <row r="7147">
      <c r="A7147" s="1" t="s">
        <v>7147</v>
      </c>
      <c r="B7147" s="2" t="str">
        <f>IFERROR(__xludf.DUMMYFUNCTION("GOOGLETRANSLATE(A7147, ""de"", ""en"")"),"notice")</f>
        <v>notice</v>
      </c>
    </row>
    <row r="7148">
      <c r="A7148" s="1" t="s">
        <v>7148</v>
      </c>
      <c r="B7148" s="2" t="str">
        <f>IFERROR(__xludf.DUMMYFUNCTION("GOOGLETRANSLATE(A7148, ""de"", ""en"")"),"boats")</f>
        <v>boats</v>
      </c>
    </row>
    <row r="7149">
      <c r="A7149" s="1" t="s">
        <v>7149</v>
      </c>
      <c r="B7149" s="2" t="str">
        <f>IFERROR(__xludf.DUMMYFUNCTION("GOOGLETRANSLATE(A7149, ""de"", ""en"")"),"burns")</f>
        <v>burns</v>
      </c>
    </row>
    <row r="7150">
      <c r="A7150" s="1" t="s">
        <v>7150</v>
      </c>
      <c r="B7150" s="2" t="str">
        <f>IFERROR(__xludf.DUMMYFUNCTION("GOOGLETRANSLATE(A7150, ""de"", ""en"")"),"allergic")</f>
        <v>allergic</v>
      </c>
    </row>
    <row r="7151">
      <c r="A7151" s="1" t="s">
        <v>7151</v>
      </c>
      <c r="B7151" s="2" t="str">
        <f>IFERROR(__xludf.DUMMYFUNCTION("GOOGLETRANSLATE(A7151, ""de"", ""en"")"),"Swiss")</f>
        <v>Swiss</v>
      </c>
    </row>
    <row r="7152">
      <c r="A7152" s="1" t="s">
        <v>7152</v>
      </c>
      <c r="B7152" s="2" t="str">
        <f>IFERROR(__xludf.DUMMYFUNCTION("GOOGLETRANSLATE(A7152, ""de"", ""en"")"),"suspect")</f>
        <v>suspect</v>
      </c>
    </row>
    <row r="7153">
      <c r="A7153" s="1" t="s">
        <v>7153</v>
      </c>
      <c r="B7153" s="2" t="str">
        <f>IFERROR(__xludf.DUMMYFUNCTION("GOOGLETRANSLATE(A7153, ""de"", ""en"")"),"alley")</f>
        <v>alley</v>
      </c>
    </row>
    <row r="7154">
      <c r="A7154" s="1" t="s">
        <v>7154</v>
      </c>
      <c r="B7154" s="2" t="str">
        <f>IFERROR(__xludf.DUMMYFUNCTION("GOOGLETRANSLATE(A7154, ""de"", ""en"")"),"chick")</f>
        <v>chick</v>
      </c>
    </row>
    <row r="7155">
      <c r="A7155" s="1" t="s">
        <v>7155</v>
      </c>
      <c r="B7155" s="2" t="str">
        <f>IFERROR(__xludf.DUMMYFUNCTION("GOOGLETRANSLATE(A7155, ""de"", ""en"")"),"feared")</f>
        <v>feared</v>
      </c>
    </row>
    <row r="7156">
      <c r="A7156" s="1" t="s">
        <v>7156</v>
      </c>
      <c r="B7156" s="2" t="str">
        <f>IFERROR(__xludf.DUMMYFUNCTION("GOOGLETRANSLATE(A7156, ""de"", ""en"")"),"ride")</f>
        <v>ride</v>
      </c>
    </row>
    <row r="7157">
      <c r="A7157" s="1" t="s">
        <v>7157</v>
      </c>
      <c r="B7157" s="2" t="str">
        <f>IFERROR(__xludf.DUMMYFUNCTION("GOOGLETRANSLATE(A7157, ""de"", ""en"")"),"aliens")</f>
        <v>aliens</v>
      </c>
    </row>
    <row r="7158">
      <c r="A7158" s="1" t="s">
        <v>7158</v>
      </c>
      <c r="B7158" s="2" t="str">
        <f>IFERROR(__xludf.DUMMYFUNCTION("GOOGLETRANSLATE(A7158, ""de"", ""en"")"),"former")</f>
        <v>former</v>
      </c>
    </row>
    <row r="7159">
      <c r="A7159" s="1" t="s">
        <v>7159</v>
      </c>
      <c r="B7159" s="2" t="str">
        <f>IFERROR(__xludf.DUMMYFUNCTION("GOOGLETRANSLATE(A7159, ""de"", ""en"")"),"radar")</f>
        <v>radar</v>
      </c>
    </row>
    <row r="7160">
      <c r="A7160" s="1" t="s">
        <v>7160</v>
      </c>
      <c r="B7160" s="2" t="str">
        <f>IFERROR(__xludf.DUMMYFUNCTION("GOOGLETRANSLATE(A7160, ""de"", ""en"")"),"permitted")</f>
        <v>permitted</v>
      </c>
    </row>
    <row r="7161">
      <c r="A7161" s="1" t="s">
        <v>7161</v>
      </c>
      <c r="B7161" s="2" t="str">
        <f>IFERROR(__xludf.DUMMYFUNCTION("GOOGLETRANSLATE(A7161, ""de"", ""en"")"),"fight")</f>
        <v>fight</v>
      </c>
    </row>
    <row r="7162">
      <c r="A7162" s="1" t="s">
        <v>7162</v>
      </c>
      <c r="B7162" s="2" t="str">
        <f>IFERROR(__xludf.DUMMYFUNCTION("GOOGLETRANSLATE(A7162, ""de"", ""en"")"),"looked at")</f>
        <v>looked at</v>
      </c>
    </row>
    <row r="7163">
      <c r="A7163" s="1" t="s">
        <v>7163</v>
      </c>
      <c r="B7163" s="2" t="str">
        <f>IFERROR(__xludf.DUMMYFUNCTION("GOOGLETRANSLATE(A7163, ""de"", ""en"")"),"served")</f>
        <v>served</v>
      </c>
    </row>
    <row r="7164">
      <c r="A7164" s="1" t="s">
        <v>7164</v>
      </c>
      <c r="B7164" s="2" t="str">
        <f>IFERROR(__xludf.DUMMYFUNCTION("GOOGLETRANSLATE(A7164, ""de"", ""en"")"),"pension")</f>
        <v>pension</v>
      </c>
    </row>
    <row r="7165">
      <c r="A7165" s="1" t="s">
        <v>7165</v>
      </c>
      <c r="B7165" s="2" t="str">
        <f>IFERROR(__xludf.DUMMYFUNCTION("GOOGLETRANSLATE(A7165, ""de"", ""en"")"),"stroked")</f>
        <v>stroked</v>
      </c>
    </row>
    <row r="7166">
      <c r="A7166" s="1" t="s">
        <v>7166</v>
      </c>
      <c r="B7166" s="2" t="str">
        <f>IFERROR(__xludf.DUMMYFUNCTION("GOOGLETRANSLATE(A7166, ""de"", ""en"")"),"lipstick")</f>
        <v>lipstick</v>
      </c>
    </row>
    <row r="7167">
      <c r="A7167" s="1" t="s">
        <v>7167</v>
      </c>
      <c r="B7167" s="2" t="str">
        <f>IFERROR(__xludf.DUMMYFUNCTION("GOOGLETRANSLATE(A7167, ""de"", ""en"")"),"rod")</f>
        <v>rod</v>
      </c>
    </row>
    <row r="7168">
      <c r="A7168" s="1" t="s">
        <v>7168</v>
      </c>
      <c r="B7168" s="2" t="str">
        <f>IFERROR(__xludf.DUMMYFUNCTION("GOOGLETRANSLATE(A7168, ""de"", ""en"")"),"aliens")</f>
        <v>aliens</v>
      </c>
    </row>
    <row r="7169">
      <c r="A7169" s="1" t="s">
        <v>7169</v>
      </c>
      <c r="B7169" s="2" t="str">
        <f>IFERROR(__xludf.DUMMYFUNCTION("GOOGLETRANSLATE(A7169, ""de"", ""en"")"),"appointments")</f>
        <v>appointments</v>
      </c>
    </row>
    <row r="7170">
      <c r="A7170" s="1" t="s">
        <v>7170</v>
      </c>
      <c r="B7170" s="2" t="str">
        <f>IFERROR(__xludf.DUMMYFUNCTION("GOOGLETRANSLATE(A7170, ""de"", ""en"")"),"painter")</f>
        <v>painter</v>
      </c>
    </row>
    <row r="7171">
      <c r="A7171" s="1" t="s">
        <v>7171</v>
      </c>
      <c r="B7171" s="2" t="str">
        <f>IFERROR(__xludf.DUMMYFUNCTION("GOOGLETRANSLATE(A7171, ""de"", ""en"")"),"refused")</f>
        <v>refused</v>
      </c>
    </row>
    <row r="7172">
      <c r="A7172" s="1" t="s">
        <v>7172</v>
      </c>
      <c r="B7172" s="2" t="str">
        <f>IFERROR(__xludf.DUMMYFUNCTION("GOOGLETRANSLATE(A7172, ""de"", ""en"")"),"boxer")</f>
        <v>boxer</v>
      </c>
    </row>
    <row r="7173">
      <c r="A7173" s="1" t="s">
        <v>7173</v>
      </c>
      <c r="B7173" s="2" t="str">
        <f>IFERROR(__xludf.DUMMYFUNCTION("GOOGLETRANSLATE(A7173, ""de"", ""en"")"),"advantages")</f>
        <v>advantages</v>
      </c>
    </row>
    <row r="7174">
      <c r="A7174" s="1" t="s">
        <v>7174</v>
      </c>
      <c r="B7174" s="2" t="str">
        <f>IFERROR(__xludf.DUMMYFUNCTION("GOOGLETRANSLATE(A7174, ""de"", ""en"")"),"exhibition")</f>
        <v>exhibition</v>
      </c>
    </row>
    <row r="7175">
      <c r="A7175" s="1" t="s">
        <v>7175</v>
      </c>
      <c r="B7175" s="2" t="str">
        <f>IFERROR(__xludf.DUMMYFUNCTION("GOOGLETRANSLATE(A7175, ""de"", ""en"")"),"tragic")</f>
        <v>tragic</v>
      </c>
    </row>
    <row r="7176">
      <c r="A7176" s="1" t="s">
        <v>7176</v>
      </c>
      <c r="B7176" s="2" t="str">
        <f>IFERROR(__xludf.DUMMYFUNCTION("GOOGLETRANSLATE(A7176, ""de"", ""en"")"),"quickly")</f>
        <v>quickly</v>
      </c>
    </row>
    <row r="7177">
      <c r="A7177" s="1" t="s">
        <v>7177</v>
      </c>
      <c r="B7177" s="2" t="str">
        <f>IFERROR(__xludf.DUMMYFUNCTION("GOOGLETRANSLATE(A7177, ""de"", ""en"")"),"top")</f>
        <v>top</v>
      </c>
    </row>
    <row r="7178">
      <c r="A7178" s="1" t="s">
        <v>7178</v>
      </c>
      <c r="B7178" s="2" t="str">
        <f>IFERROR(__xludf.DUMMYFUNCTION("GOOGLETRANSLATE(A7178, ""de"", ""en"")"),"policewoman")</f>
        <v>policewoman</v>
      </c>
    </row>
    <row r="7179">
      <c r="A7179" s="1" t="s">
        <v>7179</v>
      </c>
      <c r="B7179" s="2" t="str">
        <f>IFERROR(__xludf.DUMMYFUNCTION("GOOGLETRANSLATE(A7179, ""de"", ""en"")"),"diapers")</f>
        <v>diapers</v>
      </c>
    </row>
    <row r="7180">
      <c r="A7180" s="1" t="s">
        <v>7180</v>
      </c>
      <c r="B7180" s="2" t="str">
        <f>IFERROR(__xludf.DUMMYFUNCTION("GOOGLETRANSLATE(A7180, ""de"", ""en"")"),"Detroit")</f>
        <v>Detroit</v>
      </c>
    </row>
    <row r="7181">
      <c r="A7181" s="1" t="s">
        <v>7181</v>
      </c>
      <c r="B7181" s="2" t="str">
        <f>IFERROR(__xludf.DUMMYFUNCTION("GOOGLETRANSLATE(A7181, ""de"", ""en"")"),"Arizona")</f>
        <v>Arizona</v>
      </c>
    </row>
    <row r="7182">
      <c r="A7182" s="1" t="s">
        <v>7182</v>
      </c>
      <c r="B7182" s="2" t="str">
        <f>IFERROR(__xludf.DUMMYFUNCTION("GOOGLETRANSLATE(A7182, ""de"", ""en"")"),"universe")</f>
        <v>universe</v>
      </c>
    </row>
    <row r="7183">
      <c r="A7183" s="1" t="s">
        <v>7183</v>
      </c>
      <c r="B7183" s="2" t="str">
        <f>IFERROR(__xludf.DUMMYFUNCTION("GOOGLETRANSLATE(A7183, ""de"", ""en"")"),"lift")</f>
        <v>lift</v>
      </c>
    </row>
    <row r="7184">
      <c r="A7184" s="1" t="s">
        <v>7184</v>
      </c>
      <c r="B7184" s="2" t="str">
        <f>IFERROR(__xludf.DUMMYFUNCTION("GOOGLETRANSLATE(A7184, ""de"", ""en"")"),"scars")</f>
        <v>scars</v>
      </c>
    </row>
    <row r="7185">
      <c r="A7185" s="1" t="s">
        <v>7185</v>
      </c>
      <c r="B7185" s="2" t="str">
        <f>IFERROR(__xludf.DUMMYFUNCTION("GOOGLETRANSLATE(A7185, ""de"", ""en"")"),"diligent")</f>
        <v>diligent</v>
      </c>
    </row>
    <row r="7186">
      <c r="A7186" s="1" t="s">
        <v>7186</v>
      </c>
      <c r="B7186" s="2" t="str">
        <f>IFERROR(__xludf.DUMMYFUNCTION("GOOGLETRANSLATE(A7186, ""de"", ""en"")"),"leisure time")</f>
        <v>leisure time</v>
      </c>
    </row>
    <row r="7187">
      <c r="A7187" s="1" t="s">
        <v>7187</v>
      </c>
      <c r="B7187" s="2" t="str">
        <f>IFERROR(__xludf.DUMMYFUNCTION("GOOGLETRANSLATE(A7187, ""de"", ""en"")"),"elegant")</f>
        <v>elegant</v>
      </c>
    </row>
    <row r="7188">
      <c r="A7188" s="1" t="s">
        <v>7188</v>
      </c>
      <c r="B7188" s="2" t="str">
        <f>IFERROR(__xludf.DUMMYFUNCTION("GOOGLETRANSLATE(A7188, ""de"", ""en"")"),"dagger")</f>
        <v>dagger</v>
      </c>
    </row>
    <row r="7189">
      <c r="A7189" s="1" t="s">
        <v>7189</v>
      </c>
      <c r="B7189" s="2" t="str">
        <f>IFERROR(__xludf.DUMMYFUNCTION("GOOGLETRANSLATE(A7189, ""de"", ""en"")"),"sloan")</f>
        <v>sloan</v>
      </c>
    </row>
    <row r="7190">
      <c r="A7190" s="1" t="s">
        <v>7190</v>
      </c>
      <c r="B7190" s="2" t="str">
        <f>IFERROR(__xludf.DUMMYFUNCTION("GOOGLETRANSLATE(A7190, ""de"", ""en"")"),"penetration")</f>
        <v>penetration</v>
      </c>
    </row>
    <row r="7191">
      <c r="A7191" s="1" t="s">
        <v>7191</v>
      </c>
      <c r="B7191" s="2" t="str">
        <f>IFERROR(__xludf.DUMMYFUNCTION("GOOGLETRANSLATE(A7191, ""de"", ""en"")"),"time out")</f>
        <v>time out</v>
      </c>
    </row>
    <row r="7192">
      <c r="A7192" s="1" t="s">
        <v>7192</v>
      </c>
      <c r="B7192" s="2" t="str">
        <f>IFERROR(__xludf.DUMMYFUNCTION("GOOGLETRANSLATE(A7192, ""de"", ""en"")"),"international")</f>
        <v>international</v>
      </c>
    </row>
    <row r="7193">
      <c r="A7193" s="1" t="s">
        <v>7193</v>
      </c>
      <c r="B7193" s="2" t="str">
        <f>IFERROR(__xludf.DUMMYFUNCTION("GOOGLETRANSLATE(A7193, ""de"", ""en"")"),"fell")</f>
        <v>fell</v>
      </c>
    </row>
    <row r="7194">
      <c r="A7194" s="1" t="s">
        <v>7194</v>
      </c>
      <c r="B7194" s="2" t="str">
        <f>IFERROR(__xludf.DUMMYFUNCTION("GOOGLETRANSLATE(A7194, ""de"", ""en"")"),"thrown away")</f>
        <v>thrown away</v>
      </c>
    </row>
    <row r="7195">
      <c r="A7195" s="1" t="s">
        <v>7195</v>
      </c>
      <c r="B7195" s="2" t="str">
        <f>IFERROR(__xludf.DUMMYFUNCTION("GOOGLETRANSLATE(A7195, ""de"", ""en"")"),"waste")</f>
        <v>waste</v>
      </c>
    </row>
    <row r="7196">
      <c r="A7196" s="1" t="s">
        <v>7196</v>
      </c>
      <c r="B7196" s="2" t="str">
        <f>IFERROR(__xludf.DUMMYFUNCTION("GOOGLETRANSLATE(A7196, ""de"", ""en"")"),"leaves")</f>
        <v>leaves</v>
      </c>
    </row>
    <row r="7197">
      <c r="A7197" s="1" t="s">
        <v>7197</v>
      </c>
      <c r="B7197" s="2" t="str">
        <f>IFERROR(__xludf.DUMMYFUNCTION("GOOGLETRANSLATE(A7197, ""de"", ""en"")"),"pale")</f>
        <v>pale</v>
      </c>
    </row>
    <row r="7198">
      <c r="A7198" s="1" t="s">
        <v>7198</v>
      </c>
      <c r="B7198" s="2" t="str">
        <f>IFERROR(__xludf.DUMMYFUNCTION("GOOGLETRANSLATE(A7198, ""de"", ""en"")"),"concept")</f>
        <v>concept</v>
      </c>
    </row>
    <row r="7199">
      <c r="A7199" s="1" t="s">
        <v>7199</v>
      </c>
      <c r="B7199" s="2" t="str">
        <f>IFERROR(__xludf.DUMMYFUNCTION("GOOGLETRANSLATE(A7199, ""de"", ""en"")"),"look")</f>
        <v>look</v>
      </c>
    </row>
    <row r="7200">
      <c r="A7200" s="1" t="s">
        <v>7200</v>
      </c>
      <c r="B7200" s="2" t="str">
        <f>IFERROR(__xludf.DUMMYFUNCTION("GOOGLETRANSLATE(A7200, ""de"", ""en"")"),"by no means")</f>
        <v>by no means</v>
      </c>
    </row>
    <row r="7201">
      <c r="A7201" s="1" t="s">
        <v>7201</v>
      </c>
      <c r="B7201" s="2" t="str">
        <f>IFERROR(__xludf.DUMMYFUNCTION("GOOGLETRANSLATE(A7201, ""de"", ""en"")"),"thread")</f>
        <v>thread</v>
      </c>
    </row>
    <row r="7202">
      <c r="A7202" s="1" t="s">
        <v>7202</v>
      </c>
      <c r="B7202" s="2" t="str">
        <f>IFERROR(__xludf.DUMMYFUNCTION("GOOGLETRANSLATE(A7202, ""de"", ""en"")"),"smallest")</f>
        <v>smallest</v>
      </c>
    </row>
    <row r="7203">
      <c r="A7203" s="1" t="s">
        <v>7203</v>
      </c>
      <c r="B7203" s="2" t="str">
        <f>IFERROR(__xludf.DUMMYFUNCTION("GOOGLETRANSLATE(A7203, ""de"", ""en"")"),"shouted")</f>
        <v>shouted</v>
      </c>
    </row>
    <row r="7204">
      <c r="A7204" s="1" t="s">
        <v>7204</v>
      </c>
      <c r="B7204" s="2" t="str">
        <f>IFERROR(__xludf.DUMMYFUNCTION("GOOGLETRANSLATE(A7204, ""de"", ""en"")"),"drowned")</f>
        <v>drowned</v>
      </c>
    </row>
    <row r="7205">
      <c r="A7205" s="1" t="s">
        <v>7205</v>
      </c>
      <c r="B7205" s="2" t="str">
        <f>IFERROR(__xludf.DUMMYFUNCTION("GOOGLETRANSLATE(A7205, ""de"", ""en"")"),"bubble")</f>
        <v>bubble</v>
      </c>
    </row>
    <row r="7206">
      <c r="A7206" s="1" t="s">
        <v>7206</v>
      </c>
      <c r="B7206" s="2" t="str">
        <f>IFERROR(__xludf.DUMMYFUNCTION("GOOGLETRANSLATE(A7206, ""de"", ""en"")"),"meeting point")</f>
        <v>meeting point</v>
      </c>
    </row>
    <row r="7207">
      <c r="A7207" s="1" t="s">
        <v>7207</v>
      </c>
      <c r="B7207" s="2" t="str">
        <f>IFERROR(__xludf.DUMMYFUNCTION("GOOGLETRANSLATE(A7207, ""de"", ""en"")"),"writing")</f>
        <v>writing</v>
      </c>
    </row>
    <row r="7208">
      <c r="A7208" s="1" t="s">
        <v>7208</v>
      </c>
      <c r="B7208" s="2" t="str">
        <f>IFERROR(__xludf.DUMMYFUNCTION("GOOGLETRANSLATE(A7208, ""de"", ""en"")"),"math")</f>
        <v>math</v>
      </c>
    </row>
    <row r="7209">
      <c r="A7209" s="1" t="s">
        <v>7209</v>
      </c>
      <c r="B7209" s="2" t="str">
        <f>IFERROR(__xludf.DUMMYFUNCTION("GOOGLETRANSLATE(A7209, ""de"", ""en"")"),"royal")</f>
        <v>royal</v>
      </c>
    </row>
    <row r="7210">
      <c r="A7210" s="1" t="s">
        <v>7210</v>
      </c>
      <c r="B7210" s="2" t="str">
        <f>IFERROR(__xludf.DUMMYFUNCTION("GOOGLETRANSLATE(A7210, ""de"", ""en"")"),"Evelyn")</f>
        <v>Evelyn</v>
      </c>
    </row>
    <row r="7211">
      <c r="A7211" s="1" t="s">
        <v>7211</v>
      </c>
      <c r="B7211" s="2" t="str">
        <f>IFERROR(__xludf.DUMMYFUNCTION("GOOGLETRANSLATE(A7211, ""de"", ""en"")"),"British")</f>
        <v>British</v>
      </c>
    </row>
    <row r="7212">
      <c r="A7212" s="1" t="s">
        <v>7212</v>
      </c>
      <c r="B7212" s="2" t="str">
        <f>IFERROR(__xludf.DUMMYFUNCTION("GOOGLETRANSLATE(A7212, ""de"", ""en"")"),"physically")</f>
        <v>physically</v>
      </c>
    </row>
    <row r="7213">
      <c r="A7213" s="1" t="s">
        <v>7213</v>
      </c>
      <c r="B7213" s="2" t="str">
        <f>IFERROR(__xludf.DUMMYFUNCTION("GOOGLETRANSLATE(A7213, ""de"", ""en"")"),"concentration")</f>
        <v>concentration</v>
      </c>
    </row>
    <row r="7214">
      <c r="A7214" s="1" t="s">
        <v>7214</v>
      </c>
      <c r="B7214" s="2" t="str">
        <f>IFERROR(__xludf.DUMMYFUNCTION("GOOGLETRANSLATE(A7214, ""de"", ""en"")"),"switches")</f>
        <v>switches</v>
      </c>
    </row>
    <row r="7215">
      <c r="A7215" s="1" t="s">
        <v>7215</v>
      </c>
      <c r="B7215" s="2" t="str">
        <f>IFERROR(__xludf.DUMMYFUNCTION("GOOGLETRANSLATE(A7215, ""de"", ""en"")"),"wire")</f>
        <v>wire</v>
      </c>
    </row>
    <row r="7216">
      <c r="A7216" s="1" t="s">
        <v>7216</v>
      </c>
      <c r="B7216" s="2" t="str">
        <f>IFERROR(__xludf.DUMMYFUNCTION("GOOGLETRANSLATE(A7216, ""de"", ""en"")"),"at")</f>
        <v>at</v>
      </c>
    </row>
    <row r="7217">
      <c r="A7217" s="1" t="s">
        <v>7217</v>
      </c>
      <c r="B7217" s="2" t="str">
        <f>IFERROR(__xludf.DUMMYFUNCTION("GOOGLETRANSLATE(A7217, ""de"", ""en"")"),"oldest")</f>
        <v>oldest</v>
      </c>
    </row>
    <row r="7218">
      <c r="A7218" s="1" t="s">
        <v>7218</v>
      </c>
      <c r="B7218" s="2" t="str">
        <f>IFERROR(__xludf.DUMMYFUNCTION("GOOGLETRANSLATE(A7218, ""de"", ""en"")"),"higher")</f>
        <v>higher</v>
      </c>
    </row>
    <row r="7219">
      <c r="A7219" s="1" t="s">
        <v>7219</v>
      </c>
      <c r="B7219" s="2" t="str">
        <f>IFERROR(__xludf.DUMMYFUNCTION("GOOGLETRANSLATE(A7219, ""de"", ""en"")"),"ran")</f>
        <v>ran</v>
      </c>
    </row>
    <row r="7220">
      <c r="A7220" s="1" t="s">
        <v>7220</v>
      </c>
      <c r="B7220" s="2" t="str">
        <f>IFERROR(__xludf.DUMMYFUNCTION("GOOGLETRANSLATE(A7220, ""de"", ""en"")"),"tower")</f>
        <v>tower</v>
      </c>
    </row>
    <row r="7221">
      <c r="A7221" s="1" t="s">
        <v>7221</v>
      </c>
      <c r="B7221" s="2" t="str">
        <f>IFERROR(__xludf.DUMMYFUNCTION("GOOGLETRANSLATE(A7221, ""de"", ""en"")"),"pressed")</f>
        <v>pressed</v>
      </c>
    </row>
    <row r="7222">
      <c r="A7222" s="1" t="s">
        <v>7222</v>
      </c>
      <c r="B7222" s="2" t="str">
        <f>IFERROR(__xludf.DUMMYFUNCTION("GOOGLETRANSLATE(A7222, ""de"", ""en"")"),"cleaning")</f>
        <v>cleaning</v>
      </c>
    </row>
    <row r="7223">
      <c r="A7223" s="1" t="s">
        <v>7223</v>
      </c>
      <c r="B7223" s="2" t="str">
        <f>IFERROR(__xludf.DUMMYFUNCTION("GOOGLETRANSLATE(A7223, ""de"", ""en"")"),"demands")</f>
        <v>demands</v>
      </c>
    </row>
    <row r="7224">
      <c r="A7224" s="1" t="s">
        <v>7224</v>
      </c>
      <c r="B7224" s="2" t="str">
        <f>IFERROR(__xludf.DUMMYFUNCTION("GOOGLETRANSLATE(A7224, ""de"", ""en"")"),"ideal")</f>
        <v>ideal</v>
      </c>
    </row>
    <row r="7225">
      <c r="A7225" s="1" t="s">
        <v>7225</v>
      </c>
      <c r="B7225" s="2" t="str">
        <f>IFERROR(__xludf.DUMMYFUNCTION("GOOGLETRANSLATE(A7225, ""de"", ""en"")"),"steals")</f>
        <v>steals</v>
      </c>
    </row>
    <row r="7226">
      <c r="A7226" s="1" t="s">
        <v>7226</v>
      </c>
      <c r="B7226" s="2" t="str">
        <f>IFERROR(__xludf.DUMMYFUNCTION("GOOGLETRANSLATE(A7226, ""de"", ""en"")"),"money")</f>
        <v>money</v>
      </c>
    </row>
    <row r="7227">
      <c r="A7227" s="1" t="s">
        <v>7227</v>
      </c>
      <c r="B7227" s="2" t="str">
        <f>IFERROR(__xludf.DUMMYFUNCTION("GOOGLETRANSLATE(A7227, ""de"", ""en"")"),"eggs")</f>
        <v>eggs</v>
      </c>
    </row>
    <row r="7228">
      <c r="A7228" s="1" t="s">
        <v>7228</v>
      </c>
      <c r="B7228" s="2" t="str">
        <f>IFERROR(__xludf.DUMMYFUNCTION("GOOGLETRANSLATE(A7228, ""de"", ""en"")"),"third")</f>
        <v>third</v>
      </c>
    </row>
    <row r="7229">
      <c r="A7229" s="1" t="s">
        <v>7229</v>
      </c>
      <c r="B7229" s="2" t="str">
        <f>IFERROR(__xludf.DUMMYFUNCTION("GOOGLETRANSLATE(A7229, ""de"", ""en"")"),"trains")</f>
        <v>trains</v>
      </c>
    </row>
    <row r="7230">
      <c r="A7230" s="1" t="s">
        <v>7230</v>
      </c>
      <c r="B7230" s="2" t="str">
        <f>IFERROR(__xludf.DUMMYFUNCTION("GOOGLETRANSLATE(A7230, ""de"", ""en"")"),"options")</f>
        <v>options</v>
      </c>
    </row>
    <row r="7231">
      <c r="A7231" s="1" t="s">
        <v>7231</v>
      </c>
      <c r="B7231" s="2" t="str">
        <f>IFERROR(__xludf.DUMMYFUNCTION("GOOGLETRANSLATE(A7231, ""de"", ""en"")"),"ge")</f>
        <v>ge</v>
      </c>
    </row>
    <row r="7232">
      <c r="A7232" s="1" t="s">
        <v>7232</v>
      </c>
      <c r="B7232" s="2" t="str">
        <f>IFERROR(__xludf.DUMMYFUNCTION("GOOGLETRANSLATE(A7232, ""de"", ""en"")"),"Roland")</f>
        <v>Roland</v>
      </c>
    </row>
    <row r="7233">
      <c r="A7233" s="1" t="s">
        <v>7233</v>
      </c>
      <c r="B7233" s="2" t="str">
        <f>IFERROR(__xludf.DUMMYFUNCTION("GOOGLETRANSLATE(A7233, ""de"", ""en"")"),"suffocate")</f>
        <v>suffocate</v>
      </c>
    </row>
    <row r="7234">
      <c r="A7234" s="1" t="s">
        <v>7234</v>
      </c>
      <c r="B7234" s="2" t="str">
        <f>IFERROR(__xludf.DUMMYFUNCTION("GOOGLETRANSLATE(A7234, ""de"", ""en"")"),"farmer")</f>
        <v>farmer</v>
      </c>
    </row>
    <row r="7235">
      <c r="A7235" s="1" t="s">
        <v>7235</v>
      </c>
      <c r="B7235" s="2" t="str">
        <f>IFERROR(__xludf.DUMMYFUNCTION("GOOGLETRANSLATE(A7235, ""de"", ""en"")"),"battery")</f>
        <v>battery</v>
      </c>
    </row>
    <row r="7236">
      <c r="A7236" s="1" t="s">
        <v>7236</v>
      </c>
      <c r="B7236" s="2" t="str">
        <f>IFERROR(__xludf.DUMMYFUNCTION("GOOGLETRANSLATE(A7236, ""de"", ""en"")"),"fruit")</f>
        <v>fruit</v>
      </c>
    </row>
    <row r="7237">
      <c r="A7237" s="1" t="s">
        <v>7237</v>
      </c>
      <c r="B7237" s="2" t="str">
        <f>IFERROR(__xludf.DUMMYFUNCTION("GOOGLETRANSLATE(A7237, ""de"", ""en"")"),"bathtub")</f>
        <v>bathtub</v>
      </c>
    </row>
    <row r="7238">
      <c r="A7238" s="1" t="s">
        <v>7238</v>
      </c>
      <c r="B7238" s="2" t="str">
        <f>IFERROR(__xludf.DUMMYFUNCTION("GOOGLETRANSLATE(A7238, ""de"", ""en"")"),"some things")</f>
        <v>some things</v>
      </c>
    </row>
    <row r="7239">
      <c r="A7239" s="1" t="s">
        <v>7239</v>
      </c>
      <c r="B7239" s="2" t="str">
        <f>IFERROR(__xludf.DUMMYFUNCTION("GOOGLETRANSLATE(A7239, ""de"", ""en"")"),"drug")</f>
        <v>drug</v>
      </c>
    </row>
    <row r="7240">
      <c r="A7240" s="1" t="s">
        <v>7240</v>
      </c>
      <c r="B7240" s="2" t="str">
        <f>IFERROR(__xludf.DUMMYFUNCTION("GOOGLETRANSLATE(A7240, ""de"", ""en"")"),"transmission")</f>
        <v>transmission</v>
      </c>
    </row>
    <row r="7241">
      <c r="A7241" s="1" t="s">
        <v>7241</v>
      </c>
      <c r="B7241" s="2" t="str">
        <f>IFERROR(__xludf.DUMMYFUNCTION("GOOGLETRANSLATE(A7241, ""de"", ""en"")"),"tight")</f>
        <v>tight</v>
      </c>
    </row>
    <row r="7242">
      <c r="A7242" s="1" t="s">
        <v>7242</v>
      </c>
      <c r="B7242" s="2" t="str">
        <f>IFERROR(__xludf.DUMMYFUNCTION("GOOGLETRANSLATE(A7242, ""de"", ""en"")"),"nap")</f>
        <v>nap</v>
      </c>
    </row>
    <row r="7243">
      <c r="A7243" s="1" t="s">
        <v>7243</v>
      </c>
      <c r="B7243" s="2" t="str">
        <f>IFERROR(__xludf.DUMMYFUNCTION("GOOGLETRANSLATE(A7243, ""de"", ""en"")"),"yay")</f>
        <v>yay</v>
      </c>
    </row>
    <row r="7244">
      <c r="A7244" s="1" t="s">
        <v>7244</v>
      </c>
      <c r="B7244" s="2" t="str">
        <f>IFERROR(__xludf.DUMMYFUNCTION("GOOGLETRANSLATE(A7244, ""de"", ""en"")"),"cora")</f>
        <v>cora</v>
      </c>
    </row>
    <row r="7245">
      <c r="A7245" s="1" t="s">
        <v>7245</v>
      </c>
      <c r="B7245" s="2" t="str">
        <f>IFERROR(__xludf.DUMMYFUNCTION("GOOGLETRANSLATE(A7245, ""de"", ""en"")"),"lungs")</f>
        <v>lungs</v>
      </c>
    </row>
    <row r="7246">
      <c r="A7246" s="1" t="s">
        <v>7246</v>
      </c>
      <c r="B7246" s="2" t="str">
        <f>IFERROR(__xludf.DUMMYFUNCTION("GOOGLETRANSLATE(A7246, ""de"", ""en"")"),"opened")</f>
        <v>opened</v>
      </c>
    </row>
    <row r="7247">
      <c r="A7247" s="1" t="s">
        <v>7247</v>
      </c>
      <c r="B7247" s="2" t="str">
        <f>IFERROR(__xludf.DUMMYFUNCTION("GOOGLETRANSLATE(A7247, ""de"", ""en"")"),"cut")</f>
        <v>cut</v>
      </c>
    </row>
    <row r="7248">
      <c r="A7248" s="1" t="s">
        <v>7248</v>
      </c>
      <c r="B7248" s="2" t="str">
        <f>IFERROR(__xludf.DUMMYFUNCTION("GOOGLETRANSLATE(A7248, ""de"", ""en"")"),"valentine")</f>
        <v>valentine</v>
      </c>
    </row>
    <row r="7249">
      <c r="A7249" s="1" t="s">
        <v>7249</v>
      </c>
      <c r="B7249" s="2" t="str">
        <f>IFERROR(__xludf.DUMMYFUNCTION("GOOGLETRANSLATE(A7249, ""de"", ""en"")"),"here")</f>
        <v>here</v>
      </c>
    </row>
    <row r="7250">
      <c r="A7250" s="1" t="s">
        <v>7250</v>
      </c>
      <c r="B7250" s="2" t="str">
        <f>IFERROR(__xludf.DUMMYFUNCTION("GOOGLETRANSLATE(A7250, ""de"", ""en"")"),"worry")</f>
        <v>worry</v>
      </c>
    </row>
    <row r="7251">
      <c r="A7251" s="1" t="s">
        <v>7251</v>
      </c>
      <c r="B7251" s="2" t="str">
        <f>IFERROR(__xludf.DUMMYFUNCTION("GOOGLETRANSLATE(A7251, ""de"", ""en"")"),"phillip")</f>
        <v>phillip</v>
      </c>
    </row>
    <row r="7252">
      <c r="A7252" s="1" t="s">
        <v>7252</v>
      </c>
      <c r="B7252" s="2" t="str">
        <f>IFERROR(__xludf.DUMMYFUNCTION("GOOGLETRANSLATE(A7252, ""de"", ""en"")"),"managed")</f>
        <v>managed</v>
      </c>
    </row>
    <row r="7253">
      <c r="A7253" s="1" t="s">
        <v>7253</v>
      </c>
      <c r="B7253" s="2" t="str">
        <f>IFERROR(__xludf.DUMMYFUNCTION("GOOGLETRANSLATE(A7253, ""de"", ""en"")"),"Omar")</f>
        <v>Omar</v>
      </c>
    </row>
    <row r="7254">
      <c r="A7254" s="1" t="s">
        <v>7254</v>
      </c>
      <c r="B7254" s="2" t="str">
        <f>IFERROR(__xludf.DUMMYFUNCTION("GOOGLETRANSLATE(A7254, ""de"", ""en"")"),"beginner")</f>
        <v>beginner</v>
      </c>
    </row>
    <row r="7255">
      <c r="A7255" s="1" t="s">
        <v>7255</v>
      </c>
      <c r="B7255" s="2" t="str">
        <f>IFERROR(__xludf.DUMMYFUNCTION("GOOGLETRANSLATE(A7255, ""de"", ""en"")"),"gene")</f>
        <v>gene</v>
      </c>
    </row>
    <row r="7256">
      <c r="A7256" s="1" t="s">
        <v>7256</v>
      </c>
      <c r="B7256" s="2" t="str">
        <f>IFERROR(__xludf.DUMMYFUNCTION("GOOGLETRANSLATE(A7256, ""de"", ""en"")"),"unfair")</f>
        <v>unfair</v>
      </c>
    </row>
    <row r="7257">
      <c r="A7257" s="1" t="s">
        <v>7257</v>
      </c>
      <c r="B7257" s="2" t="str">
        <f>IFERROR(__xludf.DUMMYFUNCTION("GOOGLETRANSLATE(A7257, ""de"", ""en"")"),"remorse")</f>
        <v>remorse</v>
      </c>
    </row>
    <row r="7258">
      <c r="A7258" s="1" t="s">
        <v>7258</v>
      </c>
      <c r="B7258" s="2" t="str">
        <f>IFERROR(__xludf.DUMMYFUNCTION("GOOGLETRANSLATE(A7258, ""de"", ""en"")"),"two")</f>
        <v>two</v>
      </c>
    </row>
    <row r="7259">
      <c r="A7259" s="1" t="s">
        <v>7259</v>
      </c>
      <c r="B7259" s="2" t="str">
        <f>IFERROR(__xludf.DUMMYFUNCTION("GOOGLETRANSLATE(A7259, ""de"", ""en"")"),"rhythm")</f>
        <v>rhythm</v>
      </c>
    </row>
    <row r="7260">
      <c r="A7260" s="1" t="s">
        <v>7260</v>
      </c>
      <c r="B7260" s="2" t="str">
        <f>IFERROR(__xludf.DUMMYFUNCTION("GOOGLETRANSLATE(A7260, ""de"", ""en"")"),"quit")</f>
        <v>quit</v>
      </c>
    </row>
    <row r="7261">
      <c r="A7261" s="1" t="s">
        <v>7261</v>
      </c>
      <c r="B7261" s="2" t="str">
        <f>IFERROR(__xludf.DUMMYFUNCTION("GOOGLETRANSLATE(A7261, ""de"", ""en"")"),"go along")</f>
        <v>go along</v>
      </c>
    </row>
    <row r="7262">
      <c r="A7262" s="1" t="s">
        <v>7262</v>
      </c>
      <c r="B7262" s="2" t="str">
        <f>IFERROR(__xludf.DUMMYFUNCTION("GOOGLETRANSLATE(A7262, ""de"", ""en"")"),"seal")</f>
        <v>seal</v>
      </c>
    </row>
    <row r="7263">
      <c r="A7263" s="1" t="s">
        <v>7263</v>
      </c>
      <c r="B7263" s="2" t="str">
        <f>IFERROR(__xludf.DUMMYFUNCTION("GOOGLETRANSLATE(A7263, ""de"", ""en"")"),"Moore")</f>
        <v>Moore</v>
      </c>
    </row>
    <row r="7264">
      <c r="A7264" s="1" t="s">
        <v>7264</v>
      </c>
      <c r="B7264" s="2" t="str">
        <f>IFERROR(__xludf.DUMMYFUNCTION("GOOGLETRANSLATE(A7264, ""de"", ""en"")"),"sting")</f>
        <v>sting</v>
      </c>
    </row>
    <row r="7265">
      <c r="A7265" s="1" t="s">
        <v>7265</v>
      </c>
      <c r="B7265" s="2" t="str">
        <f>IFERROR(__xludf.DUMMYFUNCTION("GOOGLETRANSLATE(A7265, ""de"", ""en"")"),"build")</f>
        <v>build</v>
      </c>
    </row>
    <row r="7266">
      <c r="A7266" s="1" t="s">
        <v>7266</v>
      </c>
      <c r="B7266" s="2" t="str">
        <f>IFERROR(__xludf.DUMMYFUNCTION("GOOGLETRANSLATE(A7266, ""de"", ""en"")"),"prostitute")</f>
        <v>prostitute</v>
      </c>
    </row>
    <row r="7267">
      <c r="A7267" s="1" t="s">
        <v>7267</v>
      </c>
      <c r="B7267" s="2" t="str">
        <f>IFERROR(__xludf.DUMMYFUNCTION("GOOGLETRANSLATE(A7267, ""de"", ""en"")"),"brighter")</f>
        <v>brighter</v>
      </c>
    </row>
    <row r="7268">
      <c r="A7268" s="1" t="s">
        <v>7268</v>
      </c>
      <c r="B7268" s="2" t="str">
        <f>IFERROR(__xludf.DUMMYFUNCTION("GOOGLETRANSLATE(A7268, ""de"", ""en"")"),"immediately")</f>
        <v>immediately</v>
      </c>
    </row>
    <row r="7269">
      <c r="A7269" s="1" t="s">
        <v>7269</v>
      </c>
      <c r="B7269" s="2" t="str">
        <f>IFERROR(__xludf.DUMMYFUNCTION("GOOGLETRANSLATE(A7269, ""de"", ""en"")"),"hopeless")</f>
        <v>hopeless</v>
      </c>
    </row>
    <row r="7270">
      <c r="A7270" s="1" t="s">
        <v>7270</v>
      </c>
      <c r="B7270" s="2" t="str">
        <f>IFERROR(__xludf.DUMMYFUNCTION("GOOGLETRANSLATE(A7270, ""de"", ""en"")"),"check")</f>
        <v>check</v>
      </c>
    </row>
    <row r="7271">
      <c r="A7271" s="1" t="s">
        <v>7271</v>
      </c>
      <c r="B7271" s="2" t="str">
        <f>IFERROR(__xludf.DUMMYFUNCTION("GOOGLETRANSLATE(A7271, ""de"", ""en"")"),"press")</f>
        <v>press</v>
      </c>
    </row>
    <row r="7272">
      <c r="A7272" s="1" t="s">
        <v>7272</v>
      </c>
      <c r="B7272" s="2" t="str">
        <f>IFERROR(__xludf.DUMMYFUNCTION("GOOGLETRANSLATE(A7272, ""de"", ""en"")"),"wong")</f>
        <v>wong</v>
      </c>
    </row>
    <row r="7273">
      <c r="A7273" s="1" t="s">
        <v>7273</v>
      </c>
      <c r="B7273" s="2" t="str">
        <f>IFERROR(__xludf.DUMMYFUNCTION("GOOGLETRANSLATE(A7273, ""de"", ""en"")"),"strange ones")</f>
        <v>strange ones</v>
      </c>
    </row>
    <row r="7274">
      <c r="A7274" s="1" t="s">
        <v>7274</v>
      </c>
      <c r="B7274" s="2" t="str">
        <f>IFERROR(__xludf.DUMMYFUNCTION("GOOGLETRANSLATE(A7274, ""de"", ""en"")"),"valley")</f>
        <v>valley</v>
      </c>
    </row>
    <row r="7275">
      <c r="A7275" s="1" t="s">
        <v>7275</v>
      </c>
      <c r="B7275" s="2" t="str">
        <f>IFERROR(__xludf.DUMMYFUNCTION("GOOGLETRANSLATE(A7275, ""de"", ""en"")"),"brandy")</f>
        <v>brandy</v>
      </c>
    </row>
    <row r="7276">
      <c r="A7276" s="1" t="s">
        <v>7276</v>
      </c>
      <c r="B7276" s="2" t="str">
        <f>IFERROR(__xludf.DUMMYFUNCTION("GOOGLETRANSLATE(A7276, ""de"", ""en"")"),"yellow ones")</f>
        <v>yellow ones</v>
      </c>
    </row>
    <row r="7277">
      <c r="A7277" s="1" t="s">
        <v>7277</v>
      </c>
      <c r="B7277" s="2" t="str">
        <f>IFERROR(__xludf.DUMMYFUNCTION("GOOGLETRANSLATE(A7277, ""de"", ""en"")"),"use")</f>
        <v>use</v>
      </c>
    </row>
    <row r="7278">
      <c r="A7278" s="1" t="s">
        <v>7278</v>
      </c>
      <c r="B7278" s="2" t="str">
        <f>IFERROR(__xludf.DUMMYFUNCTION("GOOGLETRANSLATE(A7278, ""de"", ""en"")"),"Venice")</f>
        <v>Venice</v>
      </c>
    </row>
    <row r="7279">
      <c r="A7279" s="1" t="s">
        <v>7279</v>
      </c>
      <c r="B7279" s="2" t="str">
        <f>IFERROR(__xludf.DUMMYFUNCTION("GOOGLETRANSLATE(A7279, ""de"", ""en"")"),"gideon")</f>
        <v>gideon</v>
      </c>
    </row>
    <row r="7280">
      <c r="A7280" s="1" t="s">
        <v>7280</v>
      </c>
      <c r="B7280" s="2" t="str">
        <f>IFERROR(__xludf.DUMMYFUNCTION("GOOGLETRANSLATE(A7280, ""de"", ""en"")"),"learned")</f>
        <v>learned</v>
      </c>
    </row>
    <row r="7281">
      <c r="A7281" s="1" t="s">
        <v>7281</v>
      </c>
      <c r="B7281" s="2" t="str">
        <f>IFERROR(__xludf.DUMMYFUNCTION("GOOGLETRANSLATE(A7281, ""de"", ""en"")"),"behaves")</f>
        <v>behaves</v>
      </c>
    </row>
    <row r="7282">
      <c r="A7282" s="1" t="s">
        <v>7282</v>
      </c>
      <c r="B7282" s="2" t="str">
        <f>IFERROR(__xludf.DUMMYFUNCTION("GOOGLETRANSLATE(A7282, ""de"", ""en"")"),"George")</f>
        <v>George</v>
      </c>
    </row>
    <row r="7283">
      <c r="A7283" s="1" t="s">
        <v>7283</v>
      </c>
      <c r="B7283" s="2" t="str">
        <f>IFERROR(__xludf.DUMMYFUNCTION("GOOGLETRANSLATE(A7283, ""de"", ""en"")"),"more powerful")</f>
        <v>more powerful</v>
      </c>
    </row>
    <row r="7284">
      <c r="A7284" s="1" t="s">
        <v>7284</v>
      </c>
      <c r="B7284" s="2" t="str">
        <f>IFERROR(__xludf.DUMMYFUNCTION("GOOGLETRANSLATE(A7284, ""de"", ""en"")"),"used")</f>
        <v>used</v>
      </c>
    </row>
    <row r="7285">
      <c r="A7285" s="1" t="s">
        <v>7285</v>
      </c>
      <c r="B7285" s="2" t="str">
        <f>IFERROR(__xludf.DUMMYFUNCTION("GOOGLETRANSLATE(A7285, ""de"", ""en"")"),"forgiven")</f>
        <v>forgiven</v>
      </c>
    </row>
    <row r="7286">
      <c r="A7286" s="1" t="s">
        <v>7286</v>
      </c>
      <c r="B7286" s="2" t="str">
        <f>IFERROR(__xludf.DUMMYFUNCTION("GOOGLETRANSLATE(A7286, ""de"", ""en"")"),"bowl")</f>
        <v>bowl</v>
      </c>
    </row>
    <row r="7287">
      <c r="A7287" s="1" t="s">
        <v>7287</v>
      </c>
      <c r="B7287" s="2" t="str">
        <f>IFERROR(__xludf.DUMMYFUNCTION("GOOGLETRANSLATE(A7287, ""de"", ""en"")"),"dirty")</f>
        <v>dirty</v>
      </c>
    </row>
    <row r="7288">
      <c r="A7288" s="1" t="s">
        <v>7288</v>
      </c>
      <c r="B7288" s="2" t="str">
        <f>IFERROR(__xludf.DUMMYFUNCTION("GOOGLETRANSLATE(A7288, ""de"", ""en"")"),"weighs")</f>
        <v>weighs</v>
      </c>
    </row>
    <row r="7289">
      <c r="A7289" s="1" t="s">
        <v>7289</v>
      </c>
      <c r="B7289" s="2" t="str">
        <f>IFERROR(__xludf.DUMMYFUNCTION("GOOGLETRANSLATE(A7289, ""de"", ""en"")"),"kg")</f>
        <v>kg</v>
      </c>
    </row>
    <row r="7290">
      <c r="A7290" s="1" t="s">
        <v>7290</v>
      </c>
      <c r="B7290" s="2" t="str">
        <f>IFERROR(__xludf.DUMMYFUNCTION("GOOGLETRANSLATE(A7290, ""de"", ""en"")"),"Abraham")</f>
        <v>Abraham</v>
      </c>
    </row>
    <row r="7291">
      <c r="A7291" s="1" t="s">
        <v>7291</v>
      </c>
      <c r="B7291" s="2" t="str">
        <f>IFERROR(__xludf.DUMMYFUNCTION("GOOGLETRANSLATE(A7291, ""de"", ""en"")"),"stranger")</f>
        <v>stranger</v>
      </c>
    </row>
    <row r="7292">
      <c r="A7292" s="1" t="s">
        <v>7292</v>
      </c>
      <c r="B7292" s="2" t="str">
        <f>IFERROR(__xludf.DUMMYFUNCTION("GOOGLETRANSLATE(A7292, ""de"", ""en"")"),"of this")</f>
        <v>of this</v>
      </c>
    </row>
    <row r="7293">
      <c r="A7293" s="1" t="s">
        <v>7293</v>
      </c>
      <c r="B7293" s="2" t="str">
        <f>IFERROR(__xludf.DUMMYFUNCTION("GOOGLETRANSLATE(A7293, ""de"", ""en"")"),"advise")</f>
        <v>advise</v>
      </c>
    </row>
    <row r="7294">
      <c r="A7294" s="1" t="s">
        <v>7294</v>
      </c>
      <c r="B7294" s="2" t="str">
        <f>IFERROR(__xludf.DUMMYFUNCTION("GOOGLETRANSLATE(A7294, ""de"", ""en"")"),"rails")</f>
        <v>rails</v>
      </c>
    </row>
    <row r="7295">
      <c r="A7295" s="1" t="s">
        <v>7295</v>
      </c>
      <c r="B7295" s="2" t="str">
        <f>IFERROR(__xludf.DUMMYFUNCTION("GOOGLETRANSLATE(A7295, ""de"", ""en"")"),"real")</f>
        <v>real</v>
      </c>
    </row>
    <row r="7296">
      <c r="A7296" s="1" t="s">
        <v>7296</v>
      </c>
      <c r="B7296" s="2" t="str">
        <f>IFERROR(__xludf.DUMMYFUNCTION("GOOGLETRANSLATE(A7296, ""de"", ""en"")"),"dreams")</f>
        <v>dreams</v>
      </c>
    </row>
    <row r="7297">
      <c r="A7297" s="1" t="s">
        <v>7297</v>
      </c>
      <c r="B7297" s="2" t="str">
        <f>IFERROR(__xludf.DUMMYFUNCTION("GOOGLETRANSLATE(A7297, ""de"", ""en"")"),"promise")</f>
        <v>promise</v>
      </c>
    </row>
    <row r="7298">
      <c r="A7298" s="1" t="s">
        <v>7298</v>
      </c>
      <c r="B7298" s="2" t="str">
        <f>IFERROR(__xludf.DUMMYFUNCTION("GOOGLETRANSLATE(A7298, ""de"", ""en"")"),"ideal")</f>
        <v>ideal</v>
      </c>
    </row>
    <row r="7299">
      <c r="A7299" s="1" t="s">
        <v>7299</v>
      </c>
      <c r="B7299" s="2" t="str">
        <f>IFERROR(__xludf.DUMMYFUNCTION("GOOGLETRANSLATE(A7299, ""de"", ""en"")"),"norma")</f>
        <v>norma</v>
      </c>
    </row>
    <row r="7300">
      <c r="A7300" s="1" t="s">
        <v>7300</v>
      </c>
      <c r="B7300" s="2" t="str">
        <f>IFERROR(__xludf.DUMMYFUNCTION("GOOGLETRANSLATE(A7300, ""de"", ""en"")"),"sire")</f>
        <v>sire</v>
      </c>
    </row>
    <row r="7301">
      <c r="A7301" s="1" t="s">
        <v>7301</v>
      </c>
      <c r="B7301" s="2" t="str">
        <f>IFERROR(__xludf.DUMMYFUNCTION("GOOGLETRANSLATE(A7301, ""de"", ""en"")"),"march")</f>
        <v>march</v>
      </c>
    </row>
    <row r="7302">
      <c r="A7302" s="1" t="s">
        <v>7302</v>
      </c>
      <c r="B7302" s="2" t="str">
        <f>IFERROR(__xludf.DUMMYFUNCTION("GOOGLETRANSLATE(A7302, ""de"", ""en"")"),"roommate")</f>
        <v>roommate</v>
      </c>
    </row>
    <row r="7303">
      <c r="A7303" s="1" t="s">
        <v>7303</v>
      </c>
      <c r="B7303" s="2" t="str">
        <f>IFERROR(__xludf.DUMMYFUNCTION("GOOGLETRANSLATE(A7303, ""de"", ""en"")"),"engagement")</f>
        <v>engagement</v>
      </c>
    </row>
    <row r="7304">
      <c r="A7304" s="1" t="s">
        <v>7304</v>
      </c>
      <c r="B7304" s="2" t="str">
        <f>IFERROR(__xludf.DUMMYFUNCTION("GOOGLETRANSLATE(A7304, ""de"", ""en"")"),"million")</f>
        <v>million</v>
      </c>
    </row>
    <row r="7305">
      <c r="A7305" s="1" t="s">
        <v>7305</v>
      </c>
      <c r="B7305" s="2" t="str">
        <f>IFERROR(__xludf.DUMMYFUNCTION("GOOGLETRANSLATE(A7305, ""de"", ""en"")"),"spark")</f>
        <v>spark</v>
      </c>
    </row>
    <row r="7306">
      <c r="A7306" s="1" t="s">
        <v>7306</v>
      </c>
      <c r="B7306" s="2" t="str">
        <f>IFERROR(__xludf.DUMMYFUNCTION("GOOGLETRANSLATE(A7306, ""de"", ""en"")"),"same to you")</f>
        <v>same to you</v>
      </c>
    </row>
    <row r="7307">
      <c r="A7307" s="1" t="s">
        <v>7307</v>
      </c>
      <c r="B7307" s="2" t="str">
        <f>IFERROR(__xludf.DUMMYFUNCTION("GOOGLETRANSLATE(A7307, ""de"", ""en"")"),"least")</f>
        <v>least</v>
      </c>
    </row>
    <row r="7308">
      <c r="A7308" s="1" t="s">
        <v>7308</v>
      </c>
      <c r="B7308" s="2" t="str">
        <f>IFERROR(__xludf.DUMMYFUNCTION("GOOGLETRANSLATE(A7308, ""de"", ""en"")"),"receive")</f>
        <v>receive</v>
      </c>
    </row>
    <row r="7309">
      <c r="A7309" s="1" t="s">
        <v>7309</v>
      </c>
      <c r="B7309" s="2" t="str">
        <f>IFERROR(__xludf.DUMMYFUNCTION("GOOGLETRANSLATE(A7309, ""de"", ""en"")"),"led")</f>
        <v>led</v>
      </c>
    </row>
    <row r="7310">
      <c r="A7310" s="1" t="s">
        <v>7310</v>
      </c>
      <c r="B7310" s="2" t="str">
        <f>IFERROR(__xludf.DUMMYFUNCTION("GOOGLETRANSLATE(A7310, ""de"", ""en"")"),"ex-wife")</f>
        <v>ex-wife</v>
      </c>
    </row>
    <row r="7311">
      <c r="A7311" s="1" t="s">
        <v>7311</v>
      </c>
      <c r="B7311" s="2" t="str">
        <f>IFERROR(__xludf.DUMMYFUNCTION("GOOGLETRANSLATE(A7311, ""de"", ""en"")"),"yellow")</f>
        <v>yellow</v>
      </c>
    </row>
    <row r="7312">
      <c r="A7312" s="1" t="s">
        <v>7312</v>
      </c>
      <c r="B7312" s="2" t="str">
        <f>IFERROR(__xludf.DUMMYFUNCTION("GOOGLETRANSLATE(A7312, ""de"", ""en"")"),"laugh")</f>
        <v>laugh</v>
      </c>
    </row>
    <row r="7313">
      <c r="A7313" s="1" t="s">
        <v>7313</v>
      </c>
      <c r="B7313" s="2" t="str">
        <f>IFERROR(__xludf.DUMMYFUNCTION("GOOGLETRANSLATE(A7313, ""de"", ""en"")"),"agreed")</f>
        <v>agreed</v>
      </c>
    </row>
    <row r="7314">
      <c r="A7314" s="1" t="s">
        <v>7314</v>
      </c>
      <c r="B7314" s="2" t="str">
        <f>IFERROR(__xludf.DUMMYFUNCTION("GOOGLETRANSLATE(A7314, ""de"", ""en"")"),"Kimmy")</f>
        <v>Kimmy</v>
      </c>
    </row>
    <row r="7315">
      <c r="A7315" s="1" t="s">
        <v>7315</v>
      </c>
      <c r="B7315" s="2" t="str">
        <f>IFERROR(__xludf.DUMMYFUNCTION("GOOGLETRANSLATE(A7315, ""de"", ""en"")"),"spanking")</f>
        <v>spanking</v>
      </c>
    </row>
    <row r="7316">
      <c r="A7316" s="1" t="s">
        <v>7316</v>
      </c>
      <c r="B7316" s="2" t="str">
        <f>IFERROR(__xludf.DUMMYFUNCTION("GOOGLETRANSLATE(A7316, ""de"", ""en"")"),"ring")</f>
        <v>ring</v>
      </c>
    </row>
    <row r="7317">
      <c r="A7317" s="1" t="s">
        <v>7317</v>
      </c>
      <c r="B7317" s="2" t="str">
        <f>IFERROR(__xludf.DUMMYFUNCTION("GOOGLETRANSLATE(A7317, ""de"", ""en"")"),"to attack")</f>
        <v>to attack</v>
      </c>
    </row>
    <row r="7318">
      <c r="A7318" s="1" t="s">
        <v>7318</v>
      </c>
      <c r="B7318" s="2" t="str">
        <f>IFERROR(__xludf.DUMMYFUNCTION("GOOGLETRANSLATE(A7318, ""de"", ""en"")"),"balcony")</f>
        <v>balcony</v>
      </c>
    </row>
    <row r="7319">
      <c r="A7319" s="1" t="s">
        <v>7319</v>
      </c>
      <c r="B7319" s="2" t="str">
        <f>IFERROR(__xludf.DUMMYFUNCTION("GOOGLETRANSLATE(A7319, ""de"", ""en"")"),"Fran")</f>
        <v>Fran</v>
      </c>
    </row>
    <row r="7320">
      <c r="A7320" s="1" t="s">
        <v>7320</v>
      </c>
      <c r="B7320" s="2" t="str">
        <f>IFERROR(__xludf.DUMMYFUNCTION("GOOGLETRANSLATE(A7320, ""de"", ""en"")"),"escape")</f>
        <v>escape</v>
      </c>
    </row>
    <row r="7321">
      <c r="A7321" s="1" t="s">
        <v>7321</v>
      </c>
      <c r="B7321" s="2" t="str">
        <f>IFERROR(__xludf.DUMMYFUNCTION("GOOGLETRANSLATE(A7321, ""de"", ""en"")"),"reverse")</f>
        <v>reverse</v>
      </c>
    </row>
    <row r="7322">
      <c r="A7322" s="1" t="s">
        <v>7322</v>
      </c>
      <c r="B7322" s="2" t="str">
        <f>IFERROR(__xludf.DUMMYFUNCTION("GOOGLETRANSLATE(A7322, ""de"", ""en"")"),"looks at")</f>
        <v>looks at</v>
      </c>
    </row>
    <row r="7323">
      <c r="A7323" s="1" t="s">
        <v>7323</v>
      </c>
      <c r="B7323" s="2" t="str">
        <f>IFERROR(__xludf.DUMMYFUNCTION("GOOGLETRANSLATE(A7323, ""de"", ""en"")"),"justify")</f>
        <v>justify</v>
      </c>
    </row>
    <row r="7324">
      <c r="A7324" s="1" t="s">
        <v>7324</v>
      </c>
      <c r="B7324" s="2" t="str">
        <f>IFERROR(__xludf.DUMMYFUNCTION("GOOGLETRANSLATE(A7324, ""de"", ""en"")"),"lie to")</f>
        <v>lie to</v>
      </c>
    </row>
    <row r="7325">
      <c r="A7325" s="1" t="s">
        <v>7325</v>
      </c>
      <c r="B7325" s="2" t="str">
        <f>IFERROR(__xludf.DUMMYFUNCTION("GOOGLETRANSLATE(A7325, ""de"", ""en"")"),"suspected")</f>
        <v>suspected</v>
      </c>
    </row>
    <row r="7326">
      <c r="A7326" s="1" t="s">
        <v>7326</v>
      </c>
      <c r="B7326" s="2" t="str">
        <f>IFERROR(__xludf.DUMMYFUNCTION("GOOGLETRANSLATE(A7326, ""de"", ""en"")"),"began")</f>
        <v>began</v>
      </c>
    </row>
    <row r="7327">
      <c r="A7327" s="1" t="s">
        <v>7327</v>
      </c>
      <c r="B7327" s="2" t="str">
        <f>IFERROR(__xludf.DUMMYFUNCTION("GOOGLETRANSLATE(A7327, ""de"", ""en"")"),"snow")</f>
        <v>snow</v>
      </c>
    </row>
    <row r="7328">
      <c r="A7328" s="1" t="s">
        <v>7328</v>
      </c>
      <c r="B7328" s="2" t="str">
        <f>IFERROR(__xludf.DUMMYFUNCTION("GOOGLETRANSLATE(A7328, ""de"", ""en"")"),"Oscar")</f>
        <v>Oscar</v>
      </c>
    </row>
    <row r="7329">
      <c r="A7329" s="1" t="s">
        <v>7329</v>
      </c>
      <c r="B7329" s="2" t="str">
        <f>IFERROR(__xludf.DUMMYFUNCTION("GOOGLETRANSLATE(A7329, ""de"", ""en"")"),"English")</f>
        <v>English</v>
      </c>
    </row>
    <row r="7330">
      <c r="A7330" s="1" t="s">
        <v>7330</v>
      </c>
      <c r="B7330" s="2" t="str">
        <f>IFERROR(__xludf.DUMMYFUNCTION("GOOGLETRANSLATE(A7330, ""de"", ""en"")"),"inspired")</f>
        <v>inspired</v>
      </c>
    </row>
    <row r="7331">
      <c r="A7331" s="1" t="s">
        <v>7331</v>
      </c>
      <c r="B7331" s="2" t="str">
        <f>IFERROR(__xludf.DUMMYFUNCTION("GOOGLETRANSLATE(A7331, ""de"", ""en"")"),"Murray")</f>
        <v>Murray</v>
      </c>
    </row>
    <row r="7332">
      <c r="A7332" s="1" t="s">
        <v>7332</v>
      </c>
      <c r="B7332" s="2" t="str">
        <f>IFERROR(__xludf.DUMMYFUNCTION("GOOGLETRANSLATE(A7332, ""de"", ""en"")"),"shirt")</f>
        <v>shirt</v>
      </c>
    </row>
    <row r="7333">
      <c r="A7333" s="1" t="s">
        <v>7333</v>
      </c>
      <c r="B7333" s="2" t="str">
        <f>IFERROR(__xludf.DUMMYFUNCTION("GOOGLETRANSLATE(A7333, ""de"", ""en"")"),"allow")</f>
        <v>allow</v>
      </c>
    </row>
    <row r="7334">
      <c r="A7334" s="1" t="s">
        <v>7334</v>
      </c>
      <c r="B7334" s="2" t="str">
        <f>IFERROR(__xludf.DUMMYFUNCTION("GOOGLETRANSLATE(A7334, ""de"", ""en"")"),"drowning")</f>
        <v>drowning</v>
      </c>
    </row>
    <row r="7335">
      <c r="A7335" s="1" t="s">
        <v>7335</v>
      </c>
      <c r="B7335" s="2" t="str">
        <f>IFERROR(__xludf.DUMMYFUNCTION("GOOGLETRANSLATE(A7335, ""de"", ""en"")"),"carefully")</f>
        <v>carefully</v>
      </c>
    </row>
    <row r="7336">
      <c r="A7336" s="1" t="s">
        <v>7336</v>
      </c>
      <c r="B7336" s="2" t="str">
        <f>IFERROR(__xludf.DUMMYFUNCTION("GOOGLETRANSLATE(A7336, ""de"", ""en"")"),"spit")</f>
        <v>spit</v>
      </c>
    </row>
    <row r="7337">
      <c r="A7337" s="1" t="s">
        <v>7337</v>
      </c>
      <c r="B7337" s="2" t="str">
        <f>IFERROR(__xludf.DUMMYFUNCTION("GOOGLETRANSLATE(A7337, ""de"", ""en"")"),"arrived")</f>
        <v>arrived</v>
      </c>
    </row>
    <row r="7338">
      <c r="A7338" s="1" t="s">
        <v>7338</v>
      </c>
      <c r="B7338" s="2" t="str">
        <f>IFERROR(__xludf.DUMMYFUNCTION("GOOGLETRANSLATE(A7338, ""de"", ""en"")"),"chang")</f>
        <v>chang</v>
      </c>
    </row>
    <row r="7339">
      <c r="A7339" s="1" t="s">
        <v>7339</v>
      </c>
      <c r="B7339" s="2" t="str">
        <f>IFERROR(__xludf.DUMMYFUNCTION("GOOGLETRANSLATE(A7339, ""de"", ""en"")"),"lynette")</f>
        <v>lynette</v>
      </c>
    </row>
    <row r="7340">
      <c r="A7340" s="1" t="s">
        <v>7340</v>
      </c>
      <c r="B7340" s="2" t="str">
        <f>IFERROR(__xludf.DUMMYFUNCTION("GOOGLETRANSLATE(A7340, ""de"", ""en"")"),"fine")</f>
        <v>fine</v>
      </c>
    </row>
    <row r="7341">
      <c r="A7341" s="1" t="s">
        <v>7341</v>
      </c>
      <c r="B7341" s="2" t="str">
        <f>IFERROR(__xludf.DUMMYFUNCTION("GOOGLETRANSLATE(A7341, ""de"", ""en"")"),"home")</f>
        <v>home</v>
      </c>
    </row>
    <row r="7342">
      <c r="A7342" s="1" t="s">
        <v>7342</v>
      </c>
      <c r="B7342" s="2" t="str">
        <f>IFERROR(__xludf.DUMMYFUNCTION("GOOGLETRANSLATE(A7342, ""de"", ""en"")"),"size")</f>
        <v>size</v>
      </c>
    </row>
    <row r="7343">
      <c r="A7343" s="1" t="s">
        <v>7343</v>
      </c>
      <c r="B7343" s="2" t="str">
        <f>IFERROR(__xludf.DUMMYFUNCTION("GOOGLETRANSLATE(A7343, ""de"", ""en"")"),"sent")</f>
        <v>sent</v>
      </c>
    </row>
    <row r="7344">
      <c r="A7344" s="1" t="s">
        <v>7344</v>
      </c>
      <c r="B7344" s="2" t="str">
        <f>IFERROR(__xludf.DUMMYFUNCTION("GOOGLETRANSLATE(A7344, ""de"", ""en"")"),"remains")</f>
        <v>remains</v>
      </c>
    </row>
    <row r="7345">
      <c r="A7345" s="1" t="s">
        <v>7345</v>
      </c>
      <c r="B7345" s="2" t="str">
        <f>IFERROR(__xludf.DUMMYFUNCTION("GOOGLETRANSLATE(A7345, ""de"", ""en"")"),"how")</f>
        <v>how</v>
      </c>
    </row>
    <row r="7346">
      <c r="A7346" s="1" t="s">
        <v>7346</v>
      </c>
      <c r="B7346" s="2" t="str">
        <f>IFERROR(__xludf.DUMMYFUNCTION("GOOGLETRANSLATE(A7346, ""de"", ""en"")"),"guarantee")</f>
        <v>guarantee</v>
      </c>
    </row>
    <row r="7347">
      <c r="A7347" s="1" t="s">
        <v>7347</v>
      </c>
      <c r="B7347" s="2" t="str">
        <f>IFERROR(__xludf.DUMMYFUNCTION("GOOGLETRANSLATE(A7347, ""de"", ""en"")"),"unbearable")</f>
        <v>unbearable</v>
      </c>
    </row>
    <row r="7348">
      <c r="A7348" s="1" t="s">
        <v>7348</v>
      </c>
      <c r="B7348" s="2" t="str">
        <f>IFERROR(__xludf.DUMMYFUNCTION("GOOGLETRANSLATE(A7348, ""de"", ""en"")"),"for now")</f>
        <v>for now</v>
      </c>
    </row>
    <row r="7349">
      <c r="A7349" s="1" t="s">
        <v>7349</v>
      </c>
      <c r="B7349" s="2" t="str">
        <f>IFERROR(__xludf.DUMMYFUNCTION("GOOGLETRANSLATE(A7349, ""de"", ""en"")"),"yale")</f>
        <v>yale</v>
      </c>
    </row>
    <row r="7350">
      <c r="A7350" s="1" t="s">
        <v>7350</v>
      </c>
      <c r="B7350" s="2" t="str">
        <f>IFERROR(__xludf.DUMMYFUNCTION("GOOGLETRANSLATE(A7350, ""de"", ""en"")"),"lost")</f>
        <v>lost</v>
      </c>
    </row>
    <row r="7351">
      <c r="A7351" s="1" t="s">
        <v>7351</v>
      </c>
      <c r="B7351" s="2" t="str">
        <f>IFERROR(__xludf.DUMMYFUNCTION("GOOGLETRANSLATE(A7351, ""de"", ""en"")"),"survived")</f>
        <v>survived</v>
      </c>
    </row>
    <row r="7352">
      <c r="A7352" s="1" t="s">
        <v>7352</v>
      </c>
      <c r="B7352" s="2" t="str">
        <f>IFERROR(__xludf.DUMMYFUNCTION("GOOGLETRANSLATE(A7352, ""de"", ""en"")"),"harriet")</f>
        <v>harriet</v>
      </c>
    </row>
    <row r="7353">
      <c r="A7353" s="1" t="s">
        <v>7353</v>
      </c>
      <c r="B7353" s="2" t="str">
        <f>IFERROR(__xludf.DUMMYFUNCTION("GOOGLETRANSLATE(A7353, ""de"", ""en"")"),"league")</f>
        <v>league</v>
      </c>
    </row>
    <row r="7354">
      <c r="A7354" s="1" t="s">
        <v>7354</v>
      </c>
      <c r="B7354" s="2" t="str">
        <f>IFERROR(__xludf.DUMMYFUNCTION("GOOGLETRANSLATE(A7354, ""de"", ""en"")"),"worthless")</f>
        <v>worthless</v>
      </c>
    </row>
    <row r="7355">
      <c r="A7355" s="1" t="s">
        <v>7355</v>
      </c>
      <c r="B7355" s="2" t="str">
        <f>IFERROR(__xludf.DUMMYFUNCTION("GOOGLETRANSLATE(A7355, ""de"", ""en"")"),"Marvin")</f>
        <v>Marvin</v>
      </c>
    </row>
    <row r="7356">
      <c r="A7356" s="1" t="s">
        <v>7356</v>
      </c>
      <c r="B7356" s="2" t="str">
        <f>IFERROR(__xludf.DUMMYFUNCTION("GOOGLETRANSLATE(A7356, ""de"", ""en"")"),"goddammit")</f>
        <v>goddammit</v>
      </c>
    </row>
    <row r="7357">
      <c r="A7357" s="1" t="s">
        <v>7357</v>
      </c>
      <c r="B7357" s="2" t="str">
        <f>IFERROR(__xludf.DUMMYFUNCTION("GOOGLETRANSLATE(A7357, ""de"", ""en"")"),"collected")</f>
        <v>collected</v>
      </c>
    </row>
    <row r="7358">
      <c r="A7358" s="1" t="s">
        <v>7358</v>
      </c>
      <c r="B7358" s="2" t="str">
        <f>IFERROR(__xludf.DUMMYFUNCTION("GOOGLETRANSLATE(A7358, ""de"", ""en"")"),"knew")</f>
        <v>knew</v>
      </c>
    </row>
    <row r="7359">
      <c r="A7359" s="1" t="s">
        <v>7359</v>
      </c>
      <c r="B7359" s="2" t="str">
        <f>IFERROR(__xludf.DUMMYFUNCTION("GOOGLETRANSLATE(A7359, ""de"", ""en"")"),"designated")</f>
        <v>designated</v>
      </c>
    </row>
    <row r="7360">
      <c r="A7360" s="1" t="s">
        <v>7360</v>
      </c>
      <c r="B7360" s="2" t="str">
        <f>IFERROR(__xludf.DUMMYFUNCTION("GOOGLETRANSLATE(A7360, ""de"", ""en"")"),"answer")</f>
        <v>answer</v>
      </c>
    </row>
    <row r="7361">
      <c r="A7361" s="1" t="s">
        <v>7361</v>
      </c>
      <c r="B7361" s="2" t="str">
        <f>IFERROR(__xludf.DUMMYFUNCTION("GOOGLETRANSLATE(A7361, ""de"", ""en"")"),"Baltimore")</f>
        <v>Baltimore</v>
      </c>
    </row>
    <row r="7362">
      <c r="A7362" s="1" t="s">
        <v>7362</v>
      </c>
      <c r="B7362" s="2" t="str">
        <f>IFERROR(__xludf.DUMMYFUNCTION("GOOGLETRANSLATE(A7362, ""de"", ""en"")"),"shirley")</f>
        <v>shirley</v>
      </c>
    </row>
    <row r="7363">
      <c r="A7363" s="1" t="s">
        <v>7363</v>
      </c>
      <c r="B7363" s="2" t="str">
        <f>IFERROR(__xludf.DUMMYFUNCTION("GOOGLETRANSLATE(A7363, ""de"", ""en"")"),"connie")</f>
        <v>connie</v>
      </c>
    </row>
    <row r="7364">
      <c r="A7364" s="1" t="s">
        <v>7364</v>
      </c>
      <c r="B7364" s="2" t="str">
        <f>IFERROR(__xludf.DUMMYFUNCTION("GOOGLETRANSLATE(A7364, ""de"", ""en"")"),"network")</f>
        <v>network</v>
      </c>
    </row>
    <row r="7365">
      <c r="A7365" s="1" t="s">
        <v>7365</v>
      </c>
      <c r="B7365" s="2" t="str">
        <f>IFERROR(__xludf.DUMMYFUNCTION("GOOGLETRANSLATE(A7365, ""de"", ""en"")"),"Moses")</f>
        <v>Moses</v>
      </c>
    </row>
    <row r="7366">
      <c r="A7366" s="1" t="s">
        <v>7366</v>
      </c>
      <c r="B7366" s="2" t="str">
        <f>IFERROR(__xludf.DUMMYFUNCTION("GOOGLETRANSLATE(A7366, ""de"", ""en"")"),"arise")</f>
        <v>arise</v>
      </c>
    </row>
    <row r="7367">
      <c r="A7367" s="1" t="s">
        <v>7367</v>
      </c>
      <c r="B7367" s="2" t="str">
        <f>IFERROR(__xludf.DUMMYFUNCTION("GOOGLETRANSLATE(A7367, ""de"", ""en"")"),"ingalls")</f>
        <v>ingalls</v>
      </c>
    </row>
    <row r="7368">
      <c r="A7368" s="1" t="s">
        <v>7368</v>
      </c>
      <c r="B7368" s="2" t="str">
        <f>IFERROR(__xludf.DUMMYFUNCTION("GOOGLETRANSLATE(A7368, ""de"", ""en"")"),"ring")</f>
        <v>ring</v>
      </c>
    </row>
    <row r="7369">
      <c r="A7369" s="1" t="s">
        <v>7369</v>
      </c>
      <c r="B7369" s="2" t="str">
        <f>IFERROR(__xludf.DUMMYFUNCTION("GOOGLETRANSLATE(A7369, ""de"", ""en"")"),"Charmed")</f>
        <v>Charmed</v>
      </c>
    </row>
    <row r="7370">
      <c r="A7370" s="1" t="s">
        <v>7370</v>
      </c>
      <c r="B7370" s="2" t="str">
        <f>IFERROR(__xludf.DUMMYFUNCTION("GOOGLETRANSLATE(A7370, ""de"", ""en"")"),"tv4user")</f>
        <v>tv4user</v>
      </c>
    </row>
    <row r="7371">
      <c r="A7371" s="1" t="s">
        <v>7371</v>
      </c>
      <c r="B7371" s="2" t="str">
        <f>IFERROR(__xludf.DUMMYFUNCTION("GOOGLETRANSLATE(A7371, ""de"", ""en"")"),"honest")</f>
        <v>honest</v>
      </c>
    </row>
    <row r="7372">
      <c r="A7372" s="1" t="s">
        <v>7372</v>
      </c>
      <c r="B7372" s="2" t="str">
        <f>IFERROR(__xludf.DUMMYFUNCTION("GOOGLETRANSLATE(A7372, ""de"", ""en"")"),"academy")</f>
        <v>academy</v>
      </c>
    </row>
    <row r="7373">
      <c r="A7373" s="1" t="s">
        <v>7373</v>
      </c>
      <c r="B7373" s="2" t="str">
        <f>IFERROR(__xludf.DUMMYFUNCTION("GOOGLETRANSLATE(A7373, ""de"", ""en"")"),"green")</f>
        <v>green</v>
      </c>
    </row>
    <row r="7374">
      <c r="A7374" s="1" t="s">
        <v>7374</v>
      </c>
      <c r="B7374" s="2" t="str">
        <f>IFERROR(__xludf.DUMMYFUNCTION("GOOGLETRANSLATE(A7374, ""de"", ""en"")"),"industry")</f>
        <v>industry</v>
      </c>
    </row>
    <row r="7375">
      <c r="A7375" s="1" t="s">
        <v>7375</v>
      </c>
      <c r="B7375" s="2" t="str">
        <f>IFERROR(__xludf.DUMMYFUNCTION("GOOGLETRANSLATE(A7375, ""de"", ""en"")"),"rudy")</f>
        <v>rudy</v>
      </c>
    </row>
    <row r="7376">
      <c r="A7376" s="1" t="s">
        <v>7376</v>
      </c>
      <c r="B7376" s="2" t="str">
        <f>IFERROR(__xludf.DUMMYFUNCTION("GOOGLETRANSLATE(A7376, ""de"", ""en"")"),"sauce")</f>
        <v>sauce</v>
      </c>
    </row>
    <row r="7377">
      <c r="A7377" s="1" t="s">
        <v>7377</v>
      </c>
      <c r="B7377" s="2" t="str">
        <f>IFERROR(__xludf.DUMMYFUNCTION("GOOGLETRANSLATE(A7377, ""de"", ""en"")"),"situations")</f>
        <v>situations</v>
      </c>
    </row>
    <row r="7378">
      <c r="A7378" s="1" t="s">
        <v>7378</v>
      </c>
      <c r="B7378" s="2" t="str">
        <f>IFERROR(__xludf.DUMMYFUNCTION("GOOGLETRANSLATE(A7378, ""de"", ""en"")"),"hijacker")</f>
        <v>hijacker</v>
      </c>
    </row>
    <row r="7379">
      <c r="A7379" s="1" t="s">
        <v>7379</v>
      </c>
      <c r="B7379" s="2" t="str">
        <f>IFERROR(__xludf.DUMMYFUNCTION("GOOGLETRANSLATE(A7379, ""de"", ""en"")"),"eternal")</f>
        <v>eternal</v>
      </c>
    </row>
    <row r="7380">
      <c r="A7380" s="1" t="s">
        <v>7380</v>
      </c>
      <c r="B7380" s="2" t="str">
        <f>IFERROR(__xludf.DUMMYFUNCTION("GOOGLETRANSLATE(A7380, ""de"", ""en"")"),"generated")</f>
        <v>generated</v>
      </c>
    </row>
    <row r="7381">
      <c r="A7381" s="1" t="s">
        <v>7381</v>
      </c>
      <c r="B7381" s="2" t="str">
        <f>IFERROR(__xludf.DUMMYFUNCTION("GOOGLETRANSLATE(A7381, ""de"", ""en"")"),"fifth")</f>
        <v>fifth</v>
      </c>
    </row>
    <row r="7382">
      <c r="A7382" s="1" t="s">
        <v>7382</v>
      </c>
      <c r="B7382" s="2" t="str">
        <f>IFERROR(__xludf.DUMMYFUNCTION("GOOGLETRANSLATE(A7382, ""de"", ""en"")"),"dtv")</f>
        <v>dtv</v>
      </c>
    </row>
    <row r="7383">
      <c r="A7383" s="1" t="s">
        <v>7383</v>
      </c>
      <c r="B7383" s="2" t="str">
        <f>IFERROR(__xludf.DUMMYFUNCTION("GOOGLETRANSLATE(A7383, ""de"", ""en"")"),"registered")</f>
        <v>registered</v>
      </c>
    </row>
    <row r="7384">
      <c r="A7384" s="1" t="s">
        <v>7384</v>
      </c>
      <c r="B7384" s="2" t="str">
        <f>IFERROR(__xludf.DUMMYFUNCTION("GOOGLETRANSLATE(A7384, ""de"", ""en"")"),"basketball")</f>
        <v>basketball</v>
      </c>
    </row>
    <row r="7385">
      <c r="A7385" s="1" t="s">
        <v>7385</v>
      </c>
      <c r="B7385" s="2" t="str">
        <f>IFERROR(__xludf.DUMMYFUNCTION("GOOGLETRANSLATE(A7385, ""de"", ""en"")"),"discontinued")</f>
        <v>discontinued</v>
      </c>
    </row>
    <row r="7386">
      <c r="A7386" s="1" t="s">
        <v>7386</v>
      </c>
      <c r="B7386" s="2" t="str">
        <f>IFERROR(__xludf.DUMMYFUNCTION("GOOGLETRANSLATE(A7386, ""de"", ""en"")"),"any")</f>
        <v>any</v>
      </c>
    </row>
    <row r="7387">
      <c r="A7387" s="1" t="s">
        <v>7387</v>
      </c>
      <c r="B7387" s="2" t="str">
        <f>IFERROR(__xludf.DUMMYFUNCTION("GOOGLETRANSLATE(A7387, ""de"", ""en"")"),"chairman")</f>
        <v>chairman</v>
      </c>
    </row>
    <row r="7388">
      <c r="A7388" s="1" t="s">
        <v>7388</v>
      </c>
      <c r="B7388" s="2" t="str">
        <f>IFERROR(__xludf.DUMMYFUNCTION("GOOGLETRANSLATE(A7388, ""de"", ""en"")"),"needs")</f>
        <v>needs</v>
      </c>
    </row>
    <row r="7389">
      <c r="A7389" s="1" t="s">
        <v>7389</v>
      </c>
      <c r="B7389" s="2" t="str">
        <f>IFERROR(__xludf.DUMMYFUNCTION("GOOGLETRANSLATE(A7389, ""de"", ""en"")"),"suite")</f>
        <v>suite</v>
      </c>
    </row>
    <row r="7390">
      <c r="A7390" s="1" t="s">
        <v>7390</v>
      </c>
      <c r="B7390" s="2" t="str">
        <f>IFERROR(__xludf.DUMMYFUNCTION("GOOGLETRANSLATE(A7390, ""de"", ""en"")"),"mhm-hm")</f>
        <v>mhm-hm</v>
      </c>
    </row>
    <row r="7391">
      <c r="A7391" s="1" t="s">
        <v>7391</v>
      </c>
      <c r="B7391" s="2" t="str">
        <f>IFERROR(__xludf.DUMMYFUNCTION("GOOGLETRANSLATE(A7391, ""de"", ""en"")"),"govern")</f>
        <v>govern</v>
      </c>
    </row>
    <row r="7392">
      <c r="A7392" s="1" t="s">
        <v>7392</v>
      </c>
      <c r="B7392" s="2" t="str">
        <f>IFERROR(__xludf.DUMMYFUNCTION("GOOGLETRANSLATE(A7392, ""de"", ""en"")"),"barkeeper")</f>
        <v>barkeeper</v>
      </c>
    </row>
    <row r="7393">
      <c r="A7393" s="1" t="s">
        <v>7393</v>
      </c>
      <c r="B7393" s="2" t="str">
        <f>IFERROR(__xludf.DUMMYFUNCTION("GOOGLETRANSLATE(A7393, ""de"", ""en"")"),"figured out")</f>
        <v>figured out</v>
      </c>
    </row>
    <row r="7394">
      <c r="A7394" s="1" t="s">
        <v>7394</v>
      </c>
      <c r="B7394" s="2" t="str">
        <f>IFERROR(__xludf.DUMMYFUNCTION("GOOGLETRANSLATE(A7394, ""de"", ""en"")"),"fritz")</f>
        <v>fritz</v>
      </c>
    </row>
    <row r="7395">
      <c r="A7395" s="1" t="s">
        <v>7395</v>
      </c>
      <c r="B7395" s="2" t="str">
        <f>IFERROR(__xludf.DUMMYFUNCTION("GOOGLETRANSLATE(A7395, ""de"", ""en"")"),"files")</f>
        <v>files</v>
      </c>
    </row>
    <row r="7396">
      <c r="A7396" s="1" t="s">
        <v>7396</v>
      </c>
      <c r="B7396" s="2" t="str">
        <f>IFERROR(__xludf.DUMMYFUNCTION("GOOGLETRANSLATE(A7396, ""de"", ""en"")"),"dixon")</f>
        <v>dixon</v>
      </c>
    </row>
    <row r="7397">
      <c r="A7397" s="1" t="s">
        <v>7397</v>
      </c>
      <c r="B7397" s="2" t="str">
        <f>IFERROR(__xludf.DUMMYFUNCTION("GOOGLETRANSLATE(A7397, ""de"", ""en"")"),"founded")</f>
        <v>founded</v>
      </c>
    </row>
    <row r="7398">
      <c r="A7398" s="1" t="s">
        <v>7398</v>
      </c>
      <c r="B7398" s="2" t="str">
        <f>IFERROR(__xludf.DUMMYFUNCTION("GOOGLETRANSLATE(A7398, ""de"", ""en"")"),"cloud")</f>
        <v>cloud</v>
      </c>
    </row>
    <row r="7399">
      <c r="A7399" s="1" t="s">
        <v>7399</v>
      </c>
      <c r="B7399" s="2" t="str">
        <f>IFERROR(__xludf.DUMMYFUNCTION("GOOGLETRANSLATE(A7399, ""de"", ""en"")"),"wall")</f>
        <v>wall</v>
      </c>
    </row>
    <row r="7400">
      <c r="A7400" s="1" t="s">
        <v>7400</v>
      </c>
      <c r="B7400" s="2" t="str">
        <f>IFERROR(__xludf.DUMMYFUNCTION("GOOGLETRANSLATE(A7400, ""de"", ""en"")"),"handling")</f>
        <v>handling</v>
      </c>
    </row>
    <row r="7401">
      <c r="A7401" s="1" t="s">
        <v>7401</v>
      </c>
      <c r="B7401" s="2" t="str">
        <f>IFERROR(__xludf.DUMMYFUNCTION("GOOGLETRANSLATE(A7401, ""de"", ""en"")"),"give")</f>
        <v>give</v>
      </c>
    </row>
    <row r="7402">
      <c r="A7402" s="1" t="s">
        <v>7402</v>
      </c>
      <c r="B7402" s="2" t="str">
        <f>IFERROR(__xludf.DUMMYFUNCTION("GOOGLETRANSLATE(A7402, ""de"", ""en"")"),"fixed")</f>
        <v>fixed</v>
      </c>
    </row>
    <row r="7403">
      <c r="A7403" s="1" t="s">
        <v>7403</v>
      </c>
      <c r="B7403" s="2" t="str">
        <f>IFERROR(__xludf.DUMMYFUNCTION("GOOGLETRANSLATE(A7403, ""de"", ""en"")"),"education")</f>
        <v>education</v>
      </c>
    </row>
    <row r="7404">
      <c r="A7404" s="1" t="s">
        <v>7404</v>
      </c>
      <c r="B7404" s="2" t="str">
        <f>IFERROR(__xludf.DUMMYFUNCTION("GOOGLETRANSLATE(A7404, ""de"", ""en"")"),"agent")</f>
        <v>agent</v>
      </c>
    </row>
    <row r="7405">
      <c r="A7405" s="1" t="s">
        <v>7405</v>
      </c>
      <c r="B7405" s="2" t="str">
        <f>IFERROR(__xludf.DUMMYFUNCTION("GOOGLETRANSLATE(A7405, ""de"", ""en"")"),"marines")</f>
        <v>marines</v>
      </c>
    </row>
    <row r="7406">
      <c r="A7406" s="1" t="s">
        <v>7406</v>
      </c>
      <c r="B7406" s="2" t="str">
        <f>IFERROR(__xludf.DUMMYFUNCTION("GOOGLETRANSLATE(A7406, ""de"", ""en"")"),"hare")</f>
        <v>hare</v>
      </c>
    </row>
    <row r="7407">
      <c r="A7407" s="1" t="s">
        <v>7407</v>
      </c>
      <c r="B7407" s="2" t="str">
        <f>IFERROR(__xludf.DUMMYFUNCTION("GOOGLETRANSLATE(A7407, ""de"", ""en"")"),"institute")</f>
        <v>institute</v>
      </c>
    </row>
    <row r="7408">
      <c r="A7408" s="1" t="s">
        <v>7408</v>
      </c>
      <c r="B7408" s="2" t="str">
        <f>IFERROR(__xludf.DUMMYFUNCTION("GOOGLETRANSLATE(A7408, ""de"", ""en"")"),"middle")</f>
        <v>middle</v>
      </c>
    </row>
    <row r="7409">
      <c r="A7409" s="1" t="s">
        <v>7409</v>
      </c>
      <c r="B7409" s="2" t="str">
        <f>IFERROR(__xludf.DUMMYFUNCTION("GOOGLETRANSLATE(A7409, ""de"", ""en"")"),"executed")</f>
        <v>executed</v>
      </c>
    </row>
    <row r="7410">
      <c r="A7410" s="1" t="s">
        <v>7410</v>
      </c>
      <c r="B7410" s="2" t="str">
        <f>IFERROR(__xludf.DUMMYFUNCTION("GOOGLETRANSLATE(A7410, ""de"", ""en"")"),"direct")</f>
        <v>direct</v>
      </c>
    </row>
    <row r="7411">
      <c r="A7411" s="1" t="s">
        <v>7411</v>
      </c>
      <c r="B7411" s="2" t="str">
        <f>IFERROR(__xludf.DUMMYFUNCTION("GOOGLETRANSLATE(A7411, ""de"", ""en"")"),"instructed")</f>
        <v>instructed</v>
      </c>
    </row>
    <row r="7412">
      <c r="A7412" s="1" t="s">
        <v>7412</v>
      </c>
      <c r="B7412" s="2" t="str">
        <f>IFERROR(__xludf.DUMMYFUNCTION("GOOGLETRANSLATE(A7412, ""de"", ""en"")"),"survivors")</f>
        <v>survivors</v>
      </c>
    </row>
    <row r="7413">
      <c r="A7413" s="1" t="s">
        <v>7413</v>
      </c>
      <c r="B7413" s="2" t="str">
        <f>IFERROR(__xludf.DUMMYFUNCTION("GOOGLETRANSLATE(A7413, ""de"", ""en"")"),"bass")</f>
        <v>bass</v>
      </c>
    </row>
    <row r="7414">
      <c r="A7414" s="1" t="s">
        <v>7414</v>
      </c>
      <c r="B7414" s="2" t="str">
        <f>IFERROR(__xludf.DUMMYFUNCTION("GOOGLETRANSLATE(A7414, ""de"", ""en"")"),"pearl")</f>
        <v>pearl</v>
      </c>
    </row>
    <row r="7415">
      <c r="A7415" s="1" t="s">
        <v>7415</v>
      </c>
      <c r="B7415" s="2" t="str">
        <f>IFERROR(__xludf.DUMMYFUNCTION("GOOGLETRANSLATE(A7415, ""de"", ""en"")"),"lame")</f>
        <v>lame</v>
      </c>
    </row>
    <row r="7416">
      <c r="A7416" s="1" t="s">
        <v>7416</v>
      </c>
      <c r="B7416" s="2" t="str">
        <f>IFERROR(__xludf.DUMMYFUNCTION("GOOGLETRANSLATE(A7416, ""de"", ""en"")"),"based")</f>
        <v>based</v>
      </c>
    </row>
    <row r="7417">
      <c r="A7417" s="1" t="s">
        <v>7417</v>
      </c>
      <c r="B7417" s="2" t="str">
        <f>IFERROR(__xludf.DUMMYFUNCTION("GOOGLETRANSLATE(A7417, ""de"", ""en"")"),"shave")</f>
        <v>shave</v>
      </c>
    </row>
    <row r="7418">
      <c r="A7418" s="1" t="s">
        <v>7418</v>
      </c>
      <c r="B7418" s="2" t="str">
        <f>IFERROR(__xludf.DUMMYFUNCTION("GOOGLETRANSLATE(A7418, ""de"", ""en"")"),"arranged")</f>
        <v>arranged</v>
      </c>
    </row>
    <row r="7419">
      <c r="A7419" s="1" t="s">
        <v>7419</v>
      </c>
      <c r="B7419" s="2" t="str">
        <f>IFERROR(__xludf.DUMMYFUNCTION("GOOGLETRANSLATE(A7419, ""de"", ""en"")"),"violent")</f>
        <v>violent</v>
      </c>
    </row>
    <row r="7420">
      <c r="A7420" s="1" t="s">
        <v>7420</v>
      </c>
      <c r="B7420" s="2" t="str">
        <f>IFERROR(__xludf.DUMMYFUNCTION("GOOGLETRANSLATE(A7420, ""de"", ""en"")"),"downfall")</f>
        <v>downfall</v>
      </c>
    </row>
    <row r="7421">
      <c r="A7421" s="1" t="s">
        <v>7421</v>
      </c>
      <c r="B7421" s="2" t="str">
        <f>IFERROR(__xludf.DUMMYFUNCTION("GOOGLETRANSLATE(A7421, ""de"", ""en"")"),"flat")</f>
        <v>flat</v>
      </c>
    </row>
    <row r="7422">
      <c r="A7422" s="1" t="s">
        <v>7422</v>
      </c>
      <c r="B7422" s="2" t="str">
        <f>IFERROR(__xludf.DUMMYFUNCTION("GOOGLETRANSLATE(A7422, ""de"", ""en"")"),"autograph")</f>
        <v>autograph</v>
      </c>
    </row>
    <row r="7423">
      <c r="A7423" s="1" t="s">
        <v>7423</v>
      </c>
      <c r="B7423" s="2" t="str">
        <f>IFERROR(__xludf.DUMMYFUNCTION("GOOGLETRANSLATE(A7423, ""de"", ""en"")"),"gay")</f>
        <v>gay</v>
      </c>
    </row>
    <row r="7424">
      <c r="A7424" s="1" t="s">
        <v>7424</v>
      </c>
      <c r="B7424" s="2" t="str">
        <f>IFERROR(__xludf.DUMMYFUNCTION("GOOGLETRANSLATE(A7424, ""de"", ""en"")"),"company")</f>
        <v>company</v>
      </c>
    </row>
    <row r="7425">
      <c r="A7425" s="1" t="s">
        <v>7425</v>
      </c>
      <c r="B7425" s="2" t="str">
        <f>IFERROR(__xludf.DUMMYFUNCTION("GOOGLETRANSLATE(A7425, ""de"", ""en"")"),"casino")</f>
        <v>casino</v>
      </c>
    </row>
    <row r="7426">
      <c r="A7426" s="1" t="s">
        <v>7426</v>
      </c>
      <c r="B7426" s="2" t="str">
        <f>IFERROR(__xludf.DUMMYFUNCTION("GOOGLETRANSLATE(A7426, ""de"", ""en"")"),"such")</f>
        <v>such</v>
      </c>
    </row>
    <row r="7427">
      <c r="A7427" s="1" t="s">
        <v>7427</v>
      </c>
      <c r="B7427" s="2" t="str">
        <f>IFERROR(__xludf.DUMMYFUNCTION("GOOGLETRANSLATE(A7427, ""de"", ""en"")"),"dead end")</f>
        <v>dead end</v>
      </c>
    </row>
    <row r="7428">
      <c r="A7428" s="1" t="s">
        <v>7428</v>
      </c>
      <c r="B7428" s="2" t="str">
        <f>IFERROR(__xludf.DUMMYFUNCTION("GOOGLETRANSLATE(A7428, ""de"", ""en"")"),"burglar")</f>
        <v>burglar</v>
      </c>
    </row>
    <row r="7429">
      <c r="A7429" s="1" t="s">
        <v>7429</v>
      </c>
      <c r="B7429" s="2" t="str">
        <f>IFERROR(__xludf.DUMMYFUNCTION("GOOGLETRANSLATE(A7429, ""de"", ""en"")"),"stop")</f>
        <v>stop</v>
      </c>
    </row>
    <row r="7430">
      <c r="A7430" s="1" t="s">
        <v>7430</v>
      </c>
      <c r="B7430" s="2" t="str">
        <f>IFERROR(__xludf.DUMMYFUNCTION("GOOGLETRANSLATE(A7430, ""de"", ""en"")"),"expectations")</f>
        <v>expectations</v>
      </c>
    </row>
    <row r="7431">
      <c r="A7431" s="1" t="s">
        <v>7431</v>
      </c>
      <c r="B7431" s="2" t="str">
        <f>IFERROR(__xludf.DUMMYFUNCTION("GOOGLETRANSLATE(A7431, ""de"", ""en"")"),"liquid")</f>
        <v>liquid</v>
      </c>
    </row>
    <row r="7432">
      <c r="A7432" s="1" t="s">
        <v>7432</v>
      </c>
      <c r="B7432" s="2" t="str">
        <f>IFERROR(__xludf.DUMMYFUNCTION("GOOGLETRANSLATE(A7432, ""de"", ""en"")"),"guess")</f>
        <v>guess</v>
      </c>
    </row>
    <row r="7433">
      <c r="A7433" s="1" t="s">
        <v>7433</v>
      </c>
      <c r="B7433" s="2" t="str">
        <f>IFERROR(__xludf.DUMMYFUNCTION("GOOGLETRANSLATE(A7433, ""de"", ""en"")"),"sell")</f>
        <v>sell</v>
      </c>
    </row>
    <row r="7434">
      <c r="A7434" s="1" t="s">
        <v>7434</v>
      </c>
      <c r="B7434" s="2" t="str">
        <f>IFERROR(__xludf.DUMMYFUNCTION("GOOGLETRANSLATE(A7434, ""de"", ""en"")"),"projection")</f>
        <v>projection</v>
      </c>
    </row>
    <row r="7435">
      <c r="A7435" s="1" t="s">
        <v>7435</v>
      </c>
      <c r="B7435" s="2" t="str">
        <f>IFERROR(__xludf.DUMMYFUNCTION("GOOGLETRANSLATE(A7435, ""de"", ""en"")"),"pay")</f>
        <v>pay</v>
      </c>
    </row>
    <row r="7436">
      <c r="A7436" s="1" t="s">
        <v>7436</v>
      </c>
      <c r="B7436" s="2" t="str">
        <f>IFERROR(__xludf.DUMMYFUNCTION("GOOGLETRANSLATE(A7436, ""de"", ""en"")"),"salesperson")</f>
        <v>salesperson</v>
      </c>
    </row>
    <row r="7437">
      <c r="A7437" s="1" t="s">
        <v>7437</v>
      </c>
      <c r="B7437" s="2" t="str">
        <f>IFERROR(__xludf.DUMMYFUNCTION("GOOGLETRANSLATE(A7437, ""de"", ""en"")"),"come")</f>
        <v>come</v>
      </c>
    </row>
    <row r="7438">
      <c r="A7438" s="1" t="s">
        <v>7438</v>
      </c>
      <c r="B7438" s="2" t="str">
        <f>IFERROR(__xludf.DUMMYFUNCTION("GOOGLETRANSLATE(A7438, ""de"", ""en"")"),"prints")</f>
        <v>prints</v>
      </c>
    </row>
    <row r="7439">
      <c r="A7439" s="1" t="s">
        <v>7439</v>
      </c>
      <c r="B7439" s="2" t="str">
        <f>IFERROR(__xludf.DUMMYFUNCTION("GOOGLETRANSLATE(A7439, ""de"", ""en"")"),"curve")</f>
        <v>curve</v>
      </c>
    </row>
    <row r="7440">
      <c r="A7440" s="1" t="s">
        <v>7440</v>
      </c>
      <c r="B7440" s="2" t="str">
        <f>IFERROR(__xludf.DUMMYFUNCTION("GOOGLETRANSLATE(A7440, ""de"", ""en"")"),"fight")</f>
        <v>fight</v>
      </c>
    </row>
    <row r="7441">
      <c r="A7441" s="1" t="s">
        <v>7441</v>
      </c>
      <c r="B7441" s="2" t="str">
        <f>IFERROR(__xludf.DUMMYFUNCTION("GOOGLETRANSLATE(A7441, ""de"", ""en"")"),"read")</f>
        <v>read</v>
      </c>
    </row>
    <row r="7442">
      <c r="A7442" s="1" t="s">
        <v>7442</v>
      </c>
      <c r="B7442" s="2" t="str">
        <f>IFERROR(__xludf.DUMMYFUNCTION("GOOGLETRANSLATE(A7442, ""de"", ""en"")"),"forgiven")</f>
        <v>forgiven</v>
      </c>
    </row>
    <row r="7443">
      <c r="A7443" s="1" t="s">
        <v>7443</v>
      </c>
      <c r="B7443" s="2" t="str">
        <f>IFERROR(__xludf.DUMMYFUNCTION("GOOGLETRANSLATE(A7443, ""de"", ""en"")"),"invasion")</f>
        <v>invasion</v>
      </c>
    </row>
    <row r="7444">
      <c r="A7444" s="1" t="s">
        <v>7444</v>
      </c>
      <c r="B7444" s="2" t="str">
        <f>IFERROR(__xludf.DUMMYFUNCTION("GOOGLETRANSLATE(A7444, ""de"", ""en"")"),"piss")</f>
        <v>piss</v>
      </c>
    </row>
    <row r="7445">
      <c r="A7445" s="1" t="s">
        <v>7445</v>
      </c>
      <c r="B7445" s="2" t="str">
        <f>IFERROR(__xludf.DUMMYFUNCTION("GOOGLETRANSLATE(A7445, ""de"", ""en"")"),"clearer")</f>
        <v>clearer</v>
      </c>
    </row>
    <row r="7446">
      <c r="A7446" s="1" t="s">
        <v>7446</v>
      </c>
      <c r="B7446" s="2" t="str">
        <f>IFERROR(__xludf.DUMMYFUNCTION("GOOGLETRANSLATE(A7446, ""de"", ""en"")"),"prevail")</f>
        <v>prevail</v>
      </c>
    </row>
    <row r="7447">
      <c r="A7447" s="1" t="s">
        <v>7447</v>
      </c>
      <c r="B7447" s="2" t="str">
        <f>IFERROR(__xludf.DUMMYFUNCTION("GOOGLETRANSLATE(A7447, ""de"", ""en"")"),"prince")</f>
        <v>prince</v>
      </c>
    </row>
    <row r="7448">
      <c r="A7448" s="1" t="s">
        <v>7448</v>
      </c>
      <c r="B7448" s="2" t="str">
        <f>IFERROR(__xludf.DUMMYFUNCTION("GOOGLETRANSLATE(A7448, ""de"", ""en"")"),"Cylons")</f>
        <v>Cylons</v>
      </c>
    </row>
    <row r="7449">
      <c r="A7449" s="1" t="s">
        <v>7449</v>
      </c>
      <c r="B7449" s="2" t="str">
        <f>IFERROR(__xludf.DUMMYFUNCTION("GOOGLETRANSLATE(A7449, ""de"", ""en"")"),"donnie")</f>
        <v>donnie</v>
      </c>
    </row>
    <row r="7450">
      <c r="A7450" s="1" t="s">
        <v>7450</v>
      </c>
      <c r="B7450" s="2" t="str">
        <f>IFERROR(__xludf.DUMMYFUNCTION("GOOGLETRANSLATE(A7450, ""de"", ""en"")"),"Giles")</f>
        <v>Giles</v>
      </c>
    </row>
    <row r="7451">
      <c r="A7451" s="1" t="s">
        <v>7451</v>
      </c>
      <c r="B7451" s="2" t="str">
        <f>IFERROR(__xludf.DUMMYFUNCTION("GOOGLETRANSLATE(A7451, ""de"", ""en"")"),"outfit")</f>
        <v>outfit</v>
      </c>
    </row>
    <row r="7452">
      <c r="A7452" s="1" t="s">
        <v>7452</v>
      </c>
      <c r="B7452" s="2" t="str">
        <f>IFERROR(__xludf.DUMMYFUNCTION("GOOGLETRANSLATE(A7452, ""de"", ""en"")"),"principles")</f>
        <v>principles</v>
      </c>
    </row>
    <row r="7453">
      <c r="A7453" s="1" t="s">
        <v>7453</v>
      </c>
      <c r="B7453" s="2" t="str">
        <f>IFERROR(__xludf.DUMMYFUNCTION("GOOGLETRANSLATE(A7453, ""de"", ""en"")"),"stir")</f>
        <v>stir</v>
      </c>
    </row>
    <row r="7454">
      <c r="A7454" s="1" t="s">
        <v>7454</v>
      </c>
      <c r="B7454" s="2" t="str">
        <f>IFERROR(__xludf.DUMMYFUNCTION("GOOGLETRANSLATE(A7454, ""de"", ""en"")"),"adorable")</f>
        <v>adorable</v>
      </c>
    </row>
    <row r="7455">
      <c r="A7455" s="1" t="s">
        <v>7455</v>
      </c>
      <c r="B7455" s="2" t="str">
        <f>IFERROR(__xludf.DUMMYFUNCTION("GOOGLETRANSLATE(A7455, ""de"", ""en"")"),"clean")</f>
        <v>clean</v>
      </c>
    </row>
    <row r="7456">
      <c r="A7456" s="1" t="s">
        <v>7456</v>
      </c>
      <c r="B7456" s="2" t="str">
        <f>IFERROR(__xludf.DUMMYFUNCTION("GOOGLETRANSLATE(A7456, ""de"", ""en"")"),"scumbag")</f>
        <v>scumbag</v>
      </c>
    </row>
    <row r="7457">
      <c r="A7457" s="1" t="s">
        <v>7457</v>
      </c>
      <c r="B7457" s="2" t="str">
        <f>IFERROR(__xludf.DUMMYFUNCTION("GOOGLETRANSLATE(A7457, ""de"", ""en"")"),"fresh")</f>
        <v>fresh</v>
      </c>
    </row>
    <row r="7458">
      <c r="A7458" s="1" t="s">
        <v>7458</v>
      </c>
      <c r="B7458" s="2" t="str">
        <f>IFERROR(__xludf.DUMMYFUNCTION("GOOGLETRANSLATE(A7458, ""de"", ""en"")"),"corabeth")</f>
        <v>corabeth</v>
      </c>
    </row>
    <row r="7459">
      <c r="A7459" s="1" t="s">
        <v>7459</v>
      </c>
      <c r="B7459" s="2" t="str">
        <f>IFERROR(__xludf.DUMMYFUNCTION("GOOGLETRANSLATE(A7459, ""de"", ""en"")"),"climax")</f>
        <v>climax</v>
      </c>
    </row>
    <row r="7460">
      <c r="A7460" s="1" t="s">
        <v>7460</v>
      </c>
      <c r="B7460" s="2" t="str">
        <f>IFERROR(__xludf.DUMMYFUNCTION("GOOGLETRANSLATE(A7460, ""de"", ""en"")"),"Elsa")</f>
        <v>Elsa</v>
      </c>
    </row>
    <row r="7461">
      <c r="A7461" s="1" t="s">
        <v>7461</v>
      </c>
      <c r="B7461" s="2" t="str">
        <f>IFERROR(__xludf.DUMMYFUNCTION("GOOGLETRANSLATE(A7461, ""de"", ""en"")"),"patient")</f>
        <v>patient</v>
      </c>
    </row>
    <row r="7462">
      <c r="A7462" s="1" t="s">
        <v>7462</v>
      </c>
      <c r="B7462" s="2" t="str">
        <f>IFERROR(__xludf.DUMMYFUNCTION("GOOGLETRANSLATE(A7462, ""de"", ""en"")"),"rio")</f>
        <v>rio</v>
      </c>
    </row>
    <row r="7463">
      <c r="A7463" s="1" t="s">
        <v>7463</v>
      </c>
      <c r="B7463" s="2" t="str">
        <f>IFERROR(__xludf.DUMMYFUNCTION("GOOGLETRANSLATE(A7463, ""de"", ""en"")"),"pest")</f>
        <v>pest</v>
      </c>
    </row>
    <row r="7464">
      <c r="A7464" s="1" t="s">
        <v>7464</v>
      </c>
      <c r="B7464" s="2" t="str">
        <f>IFERROR(__xludf.DUMMYFUNCTION("GOOGLETRANSLATE(A7464, ""de"", ""en"")"),"least")</f>
        <v>least</v>
      </c>
    </row>
    <row r="7465">
      <c r="A7465" s="1" t="s">
        <v>7465</v>
      </c>
      <c r="B7465" s="2" t="str">
        <f>IFERROR(__xludf.DUMMYFUNCTION("GOOGLETRANSLATE(A7465, ""de"", ""en"")"),"complained")</f>
        <v>complained</v>
      </c>
    </row>
    <row r="7466">
      <c r="A7466" s="1" t="s">
        <v>7466</v>
      </c>
      <c r="B7466" s="2" t="str">
        <f>IFERROR(__xludf.DUMMYFUNCTION("GOOGLETRANSLATE(A7466, ""de"", ""en"")"),"natural")</f>
        <v>natural</v>
      </c>
    </row>
    <row r="7467">
      <c r="A7467" s="1" t="s">
        <v>7467</v>
      </c>
      <c r="B7467" s="2" t="str">
        <f>IFERROR(__xludf.DUMMYFUNCTION("GOOGLETRANSLATE(A7467, ""de"", ""en"")"),"generate")</f>
        <v>generate</v>
      </c>
    </row>
    <row r="7468">
      <c r="A7468" s="1" t="s">
        <v>7468</v>
      </c>
      <c r="B7468" s="2" t="str">
        <f>IFERROR(__xludf.DUMMYFUNCTION("GOOGLETRANSLATE(A7468, ""de"", ""en"")"),"terrible")</f>
        <v>terrible</v>
      </c>
    </row>
    <row r="7469">
      <c r="A7469" s="1" t="s">
        <v>7469</v>
      </c>
      <c r="B7469" s="2" t="str">
        <f>IFERROR(__xludf.DUMMYFUNCTION("GOOGLETRANSLATE(A7469, ""de"", ""en"")"),"publish")</f>
        <v>publish</v>
      </c>
    </row>
    <row r="7470">
      <c r="A7470" s="3" t="s">
        <v>7470</v>
      </c>
      <c r="B7470" s="4" t="str">
        <f>IFERROR(__xludf.DUMMYFUNCTION("GOOGLETRANSLATE(A7470, ""de"", ""en"")"),"tv4user.de")</f>
        <v>tv4user.de</v>
      </c>
    </row>
    <row r="7471">
      <c r="A7471" s="1" t="s">
        <v>7471</v>
      </c>
      <c r="B7471" s="2" t="str">
        <f>IFERROR(__xludf.DUMMYFUNCTION("GOOGLETRANSLATE(A7471, ""de"", ""en"")"),"wonderful")</f>
        <v>wonderful</v>
      </c>
    </row>
    <row r="7472">
      <c r="A7472" s="1" t="s">
        <v>7472</v>
      </c>
      <c r="B7472" s="2" t="str">
        <f>IFERROR(__xludf.DUMMYFUNCTION("GOOGLETRANSLATE(A7472, ""de"", ""en"")"),"Isaac")</f>
        <v>Isaac</v>
      </c>
    </row>
    <row r="7473">
      <c r="A7473" s="1" t="s">
        <v>7473</v>
      </c>
      <c r="B7473" s="2" t="str">
        <f>IFERROR(__xludf.DUMMYFUNCTION("GOOGLETRANSLATE(A7473, ""de"", ""en"")"),"unfortunately")</f>
        <v>unfortunately</v>
      </c>
    </row>
    <row r="7474">
      <c r="A7474" s="1" t="s">
        <v>7474</v>
      </c>
      <c r="B7474" s="2" t="str">
        <f>IFERROR(__xludf.DUMMYFUNCTION("GOOGLETRANSLATE(A7474, ""de"", ""en"")"),"advice")</f>
        <v>advice</v>
      </c>
    </row>
    <row r="7475">
      <c r="A7475" s="1" t="s">
        <v>7475</v>
      </c>
      <c r="B7475" s="2" t="str">
        <f>IFERROR(__xludf.DUMMYFUNCTION("GOOGLETRANSLATE(A7475, ""de"", ""en"")"),"suffocated")</f>
        <v>suffocated</v>
      </c>
    </row>
    <row r="7476">
      <c r="A7476" s="1" t="s">
        <v>7476</v>
      </c>
      <c r="B7476" s="2" t="str">
        <f>IFERROR(__xludf.DUMMYFUNCTION("GOOGLETRANSLATE(A7476, ""de"", ""en"")"),"vagina")</f>
        <v>vagina</v>
      </c>
    </row>
    <row r="7477">
      <c r="A7477" s="1" t="s">
        <v>7477</v>
      </c>
      <c r="B7477" s="2" t="str">
        <f>IFERROR(__xludf.DUMMYFUNCTION("GOOGLETRANSLATE(A7477, ""de"", ""en"")"),"sharp")</f>
        <v>sharp</v>
      </c>
    </row>
    <row r="7478">
      <c r="A7478" s="1" t="s">
        <v>7478</v>
      </c>
      <c r="B7478" s="2" t="str">
        <f>IFERROR(__xludf.DUMMYFUNCTION("GOOGLETRANSLATE(A7478, ""de"", ""en"")"),"hookers")</f>
        <v>hookers</v>
      </c>
    </row>
    <row r="7479">
      <c r="A7479" s="1" t="s">
        <v>7479</v>
      </c>
      <c r="B7479" s="2" t="str">
        <f>IFERROR(__xludf.DUMMYFUNCTION("GOOGLETRANSLATE(A7479, ""de"", ""en"")"),"apples")</f>
        <v>apples</v>
      </c>
    </row>
    <row r="7480">
      <c r="A7480" s="1" t="s">
        <v>7480</v>
      </c>
      <c r="B7480" s="2" t="str">
        <f>IFERROR(__xludf.DUMMYFUNCTION("GOOGLETRANSLATE(A7480, ""de"", ""en"")"),"customs")</f>
        <v>customs</v>
      </c>
    </row>
    <row r="7481">
      <c r="A7481" s="1" t="s">
        <v>7481</v>
      </c>
      <c r="B7481" s="2" t="str">
        <f>IFERROR(__xludf.DUMMYFUNCTION("GOOGLETRANSLATE(A7481, ""de"", ""en"")"),"region")</f>
        <v>region</v>
      </c>
    </row>
    <row r="7482">
      <c r="A7482" s="1" t="s">
        <v>7482</v>
      </c>
      <c r="B7482" s="2" t="str">
        <f>IFERROR(__xludf.DUMMYFUNCTION("GOOGLETRANSLATE(A7482, ""de"", ""en"")"),"for the sake of it")</f>
        <v>for the sake of it</v>
      </c>
    </row>
    <row r="7483">
      <c r="A7483" s="1" t="s">
        <v>7483</v>
      </c>
      <c r="B7483" s="2" t="str">
        <f>IFERROR(__xludf.DUMMYFUNCTION("GOOGLETRANSLATE(A7483, ""de"", ""en"")"),"shouted")</f>
        <v>shouted</v>
      </c>
    </row>
    <row r="7484">
      <c r="A7484" s="1" t="s">
        <v>7484</v>
      </c>
      <c r="B7484" s="2" t="str">
        <f>IFERROR(__xludf.DUMMYFUNCTION("GOOGLETRANSLATE(A7484, ""de"", ""en"")"),"security guard")</f>
        <v>security guard</v>
      </c>
    </row>
    <row r="7485">
      <c r="A7485" s="1" t="s">
        <v>7485</v>
      </c>
      <c r="B7485" s="2" t="str">
        <f>IFERROR(__xludf.DUMMYFUNCTION("GOOGLETRANSLATE(A7485, ""de"", ""en"")"),"summit")</f>
        <v>summit</v>
      </c>
    </row>
    <row r="7486">
      <c r="A7486" s="1" t="s">
        <v>7486</v>
      </c>
      <c r="B7486" s="2" t="str">
        <f>IFERROR(__xludf.DUMMYFUNCTION("GOOGLETRANSLATE(A7486, ""de"", ""en"")"),"practiced")</f>
        <v>practiced</v>
      </c>
    </row>
    <row r="7487">
      <c r="A7487" s="1" t="s">
        <v>7487</v>
      </c>
      <c r="B7487" s="2" t="str">
        <f>IFERROR(__xludf.DUMMYFUNCTION("GOOGLETRANSLATE(A7487, ""de"", ""en"")"),"d.j.")</f>
        <v>d.j.</v>
      </c>
    </row>
    <row r="7488">
      <c r="A7488" s="1" t="s">
        <v>7488</v>
      </c>
      <c r="B7488" s="2" t="str">
        <f>IFERROR(__xludf.DUMMYFUNCTION("GOOGLETRANSLATE(A7488, ""de"", ""en"")"),"whine")</f>
        <v>whine</v>
      </c>
    </row>
    <row r="7489">
      <c r="A7489" s="1" t="s">
        <v>7489</v>
      </c>
      <c r="B7489" s="2" t="str">
        <f>IFERROR(__xludf.DUMMYFUNCTION("GOOGLETRANSLATE(A7489, ""de"", ""en"")"),"loads")</f>
        <v>loads</v>
      </c>
    </row>
    <row r="7490">
      <c r="A7490" s="1" t="s">
        <v>7490</v>
      </c>
      <c r="B7490" s="2" t="str">
        <f>IFERROR(__xludf.DUMMYFUNCTION("GOOGLETRANSLATE(A7490, ""de"", ""en"")"),"gallery")</f>
        <v>gallery</v>
      </c>
    </row>
    <row r="7491">
      <c r="A7491" s="1" t="s">
        <v>7491</v>
      </c>
      <c r="B7491" s="2" t="str">
        <f>IFERROR(__xludf.DUMMYFUNCTION("GOOGLETRANSLATE(A7491, ""de"", ""en"")"),"granddaughter")</f>
        <v>granddaughter</v>
      </c>
    </row>
    <row r="7492">
      <c r="A7492" s="1" t="s">
        <v>7492</v>
      </c>
      <c r="B7492" s="2" t="str">
        <f>IFERROR(__xludf.DUMMYFUNCTION("GOOGLETRANSLATE(A7492, ""de"", ""en"")"),"monk")</f>
        <v>monk</v>
      </c>
    </row>
    <row r="7493">
      <c r="A7493" s="1" t="s">
        <v>7493</v>
      </c>
      <c r="B7493" s="2" t="str">
        <f>IFERROR(__xludf.DUMMYFUNCTION("GOOGLETRANSLATE(A7493, ""de"", ""en"")"),"ink")</f>
        <v>ink</v>
      </c>
    </row>
    <row r="7494">
      <c r="A7494" s="1" t="s">
        <v>7494</v>
      </c>
      <c r="B7494" s="2" t="str">
        <f>IFERROR(__xludf.DUMMYFUNCTION("GOOGLETRANSLATE(A7494, ""de"", ""en"")"),"journalist")</f>
        <v>journalist</v>
      </c>
    </row>
    <row r="7495">
      <c r="A7495" s="1" t="s">
        <v>7495</v>
      </c>
      <c r="B7495" s="2" t="str">
        <f>IFERROR(__xludf.DUMMYFUNCTION("GOOGLETRANSLATE(A7495, ""de"", ""en"")"),"lucky guy")</f>
        <v>lucky guy</v>
      </c>
    </row>
    <row r="7496">
      <c r="A7496" s="1" t="s">
        <v>7496</v>
      </c>
      <c r="B7496" s="2" t="str">
        <f>IFERROR(__xludf.DUMMYFUNCTION("GOOGLETRANSLATE(A7496, ""de"", ""en"")"),"burst")</f>
        <v>burst</v>
      </c>
    </row>
    <row r="7497">
      <c r="A7497" s="1" t="s">
        <v>7497</v>
      </c>
      <c r="B7497" s="2" t="str">
        <f>IFERROR(__xludf.DUMMYFUNCTION("GOOGLETRANSLATE(A7497, ""de"", ""en"")"),"ego")</f>
        <v>ego</v>
      </c>
    </row>
    <row r="7498">
      <c r="A7498" s="1" t="s">
        <v>7498</v>
      </c>
      <c r="B7498" s="2" t="str">
        <f>IFERROR(__xludf.DUMMYFUNCTION("GOOGLETRANSLATE(A7498, ""de"", ""en"")"),"purest")</f>
        <v>purest</v>
      </c>
    </row>
    <row r="7499">
      <c r="A7499" s="1" t="s">
        <v>7499</v>
      </c>
      <c r="B7499" s="2" t="str">
        <f>IFERROR(__xludf.DUMMYFUNCTION("GOOGLETRANSLATE(A7499, ""de"", ""en"")"),"news")</f>
        <v>news</v>
      </c>
    </row>
    <row r="7500">
      <c r="A7500" s="1" t="s">
        <v>7500</v>
      </c>
      <c r="B7500" s="2" t="str">
        <f>IFERROR(__xludf.DUMMYFUNCTION("GOOGLETRANSLATE(A7500, ""de"", ""en"")"),"aspirin")</f>
        <v>aspirin</v>
      </c>
    </row>
    <row r="7501">
      <c r="A7501" s="1" t="s">
        <v>7501</v>
      </c>
      <c r="B7501" s="2" t="str">
        <f>IFERROR(__xludf.DUMMYFUNCTION("GOOGLETRANSLATE(A7501, ""de"", ""en"")"),"right")</f>
        <v>right</v>
      </c>
    </row>
    <row r="7502">
      <c r="A7502" s="1" t="s">
        <v>7502</v>
      </c>
      <c r="B7502" s="2" t="str">
        <f>IFERROR(__xludf.DUMMYFUNCTION("GOOGLETRANSLATE(A7502, ""de"", ""en"")"),"others")</f>
        <v>others</v>
      </c>
    </row>
    <row r="7503">
      <c r="A7503" s="1" t="s">
        <v>7503</v>
      </c>
      <c r="B7503" s="2" t="str">
        <f>IFERROR(__xludf.DUMMYFUNCTION("GOOGLETRANSLATE(A7503, ""de"", ""en"")"),"fruit")</f>
        <v>fruit</v>
      </c>
    </row>
    <row r="7504">
      <c r="A7504" s="1" t="s">
        <v>7504</v>
      </c>
      <c r="B7504" s="2" t="str">
        <f>IFERROR(__xludf.DUMMYFUNCTION("GOOGLETRANSLATE(A7504, ""de"", ""en"")"),"beard.")</f>
        <v>beard.</v>
      </c>
    </row>
    <row r="7505">
      <c r="A7505" s="1" t="s">
        <v>7505</v>
      </c>
      <c r="B7505" s="2" t="str">
        <f>IFERROR(__xludf.DUMMYFUNCTION("GOOGLETRANSLATE(A7505, ""de"", ""en"")"),"grant")</f>
        <v>grant</v>
      </c>
    </row>
    <row r="7506">
      <c r="A7506" s="1" t="s">
        <v>7506</v>
      </c>
      <c r="B7506" s="2" t="str">
        <f>IFERROR(__xludf.DUMMYFUNCTION("GOOGLETRANSLATE(A7506, ""de"", ""en"")"),"prophecy")</f>
        <v>prophecy</v>
      </c>
    </row>
    <row r="7507">
      <c r="A7507" s="1" t="s">
        <v>7507</v>
      </c>
      <c r="B7507" s="2" t="str">
        <f>IFERROR(__xludf.DUMMYFUNCTION("GOOGLETRANSLATE(A7507, ""de"", ""en"")"),"tiny")</f>
        <v>tiny</v>
      </c>
    </row>
    <row r="7508">
      <c r="A7508" s="1" t="s">
        <v>7508</v>
      </c>
      <c r="B7508" s="2" t="str">
        <f>IFERROR(__xludf.DUMMYFUNCTION("GOOGLETRANSLATE(A7508, ""de"", ""en"")"),"light")</f>
        <v>light</v>
      </c>
    </row>
    <row r="7509">
      <c r="A7509" s="1" t="s">
        <v>7509</v>
      </c>
      <c r="B7509" s="2" t="str">
        <f>IFERROR(__xludf.DUMMYFUNCTION("GOOGLETRANSLATE(A7509, ""de"", ""en"")"),"tons")</f>
        <v>tons</v>
      </c>
    </row>
    <row r="7510">
      <c r="A7510" s="1" t="s">
        <v>7510</v>
      </c>
      <c r="B7510" s="2" t="str">
        <f>IFERROR(__xludf.DUMMYFUNCTION("GOOGLETRANSLATE(A7510, ""de"", ""en"")"),"license")</f>
        <v>license</v>
      </c>
    </row>
    <row r="7511">
      <c r="A7511" s="1" t="s">
        <v>7511</v>
      </c>
      <c r="B7511" s="2" t="str">
        <f>IFERROR(__xludf.DUMMYFUNCTION("GOOGLETRANSLATE(A7511, ""de"", ""en"")"),"measures")</f>
        <v>measures</v>
      </c>
    </row>
    <row r="7512">
      <c r="A7512" s="1" t="s">
        <v>7512</v>
      </c>
      <c r="B7512" s="2" t="str">
        <f>IFERROR(__xludf.DUMMYFUNCTION("GOOGLETRANSLATE(A7512, ""de"", ""en"")"),"determined")</f>
        <v>determined</v>
      </c>
    </row>
    <row r="7513">
      <c r="A7513" s="1" t="s">
        <v>7513</v>
      </c>
      <c r="B7513" s="2" t="str">
        <f>IFERROR(__xludf.DUMMYFUNCTION("GOOGLETRANSLATE(A7513, ""de"", ""en"")"),"stages")</f>
        <v>stages</v>
      </c>
    </row>
    <row r="7514">
      <c r="A7514" s="1" t="s">
        <v>7514</v>
      </c>
      <c r="B7514" s="2" t="str">
        <f>IFERROR(__xludf.DUMMYFUNCTION("GOOGLETRANSLATE(A7514, ""de"", ""en"")"),"w")</f>
        <v>w</v>
      </c>
    </row>
    <row r="7515">
      <c r="A7515" s="1" t="s">
        <v>7515</v>
      </c>
      <c r="B7515" s="2" t="str">
        <f>IFERROR(__xludf.DUMMYFUNCTION("GOOGLETRANSLATE(A7515, ""de"", ""en"")"),"joy")</f>
        <v>joy</v>
      </c>
    </row>
    <row r="7516">
      <c r="A7516" s="1" t="s">
        <v>7516</v>
      </c>
      <c r="B7516" s="2" t="str">
        <f>IFERROR(__xludf.DUMMYFUNCTION("GOOGLETRANSLATE(A7516, ""de"", ""en"")"),"lie")</f>
        <v>lie</v>
      </c>
    </row>
    <row r="7517">
      <c r="A7517" s="1" t="s">
        <v>7517</v>
      </c>
      <c r="B7517" s="2" t="str">
        <f>IFERROR(__xludf.DUMMYFUNCTION("GOOGLETRANSLATE(A7517, ""de"", ""en"")"),"who")</f>
        <v>who</v>
      </c>
    </row>
    <row r="7518">
      <c r="A7518" s="1" t="s">
        <v>7518</v>
      </c>
      <c r="B7518" s="2" t="str">
        <f>IFERROR(__xludf.DUMMYFUNCTION("GOOGLETRANSLATE(A7518, ""de"", ""en"")"),"student")</f>
        <v>student</v>
      </c>
    </row>
    <row r="7519">
      <c r="A7519" s="1" t="s">
        <v>7519</v>
      </c>
      <c r="B7519" s="2" t="str">
        <f>IFERROR(__xludf.DUMMYFUNCTION("GOOGLETRANSLATE(A7519, ""de"", ""en"")"),"put down")</f>
        <v>put down</v>
      </c>
    </row>
    <row r="7520">
      <c r="A7520" s="1" t="s">
        <v>7520</v>
      </c>
      <c r="B7520" s="2" t="str">
        <f>IFERROR(__xludf.DUMMYFUNCTION("GOOGLETRANSLATE(A7520, ""de"", ""en"")"),"dizziness")</f>
        <v>dizziness</v>
      </c>
    </row>
    <row r="7521">
      <c r="A7521" s="1" t="s">
        <v>7521</v>
      </c>
      <c r="B7521" s="2" t="str">
        <f>IFERROR(__xludf.DUMMYFUNCTION("GOOGLETRANSLATE(A7521, ""de"", ""en"")"),"national")</f>
        <v>national</v>
      </c>
    </row>
    <row r="7522">
      <c r="A7522" s="1" t="s">
        <v>7522</v>
      </c>
      <c r="B7522" s="2" t="str">
        <f>IFERROR(__xludf.DUMMYFUNCTION("GOOGLETRANSLATE(A7522, ""de"", ""en"")"),"fanny")</f>
        <v>fanny</v>
      </c>
    </row>
    <row r="7523">
      <c r="A7523" s="1" t="s">
        <v>7523</v>
      </c>
      <c r="B7523" s="2" t="str">
        <f>IFERROR(__xludf.DUMMYFUNCTION("GOOGLETRANSLATE(A7523, ""de"", ""en"")"),"suggested")</f>
        <v>suggested</v>
      </c>
    </row>
    <row r="7524">
      <c r="A7524" s="1" t="s">
        <v>7524</v>
      </c>
      <c r="B7524" s="2" t="str">
        <f>IFERROR(__xludf.DUMMYFUNCTION("GOOGLETRANSLATE(A7524, ""de"", ""en"")"),"unemployed")</f>
        <v>unemployed</v>
      </c>
    </row>
    <row r="7525">
      <c r="A7525" s="1" t="s">
        <v>7525</v>
      </c>
      <c r="B7525" s="2" t="str">
        <f>IFERROR(__xludf.DUMMYFUNCTION("GOOGLETRANSLATE(A7525, ""de"", ""en"")"),"borg")</f>
        <v>borg</v>
      </c>
    </row>
    <row r="7526">
      <c r="A7526" s="1" t="s">
        <v>7526</v>
      </c>
      <c r="B7526" s="2" t="str">
        <f>IFERROR(__xludf.DUMMYFUNCTION("GOOGLETRANSLATE(A7526, ""de"", ""en"")"),"drinks")</f>
        <v>drinks</v>
      </c>
    </row>
    <row r="7527">
      <c r="A7527" s="1" t="s">
        <v>7527</v>
      </c>
      <c r="B7527" s="2" t="str">
        <f>IFERROR(__xludf.DUMMYFUNCTION("GOOGLETRANSLATE(A7527, ""de"", ""en"")"),"ick")</f>
        <v>ick</v>
      </c>
    </row>
    <row r="7528">
      <c r="A7528" s="1" t="s">
        <v>7528</v>
      </c>
      <c r="B7528" s="2" t="str">
        <f>IFERROR(__xludf.DUMMYFUNCTION("GOOGLETRANSLATE(A7528, ""de"", ""en"")"),"Joyce")</f>
        <v>Joyce</v>
      </c>
    </row>
    <row r="7529">
      <c r="A7529" s="1" t="s">
        <v>7529</v>
      </c>
      <c r="B7529" s="2" t="str">
        <f>IFERROR(__xludf.DUMMYFUNCTION("GOOGLETRANSLATE(A7529, ""de"", ""en"")"),"changed")</f>
        <v>changed</v>
      </c>
    </row>
    <row r="7530">
      <c r="A7530" s="1" t="s">
        <v>7530</v>
      </c>
      <c r="B7530" s="2" t="str">
        <f>IFERROR(__xludf.DUMMYFUNCTION("GOOGLETRANSLATE(A7530, ""de"", ""en"")"),"Philadelphia")</f>
        <v>Philadelphia</v>
      </c>
    </row>
    <row r="7531">
      <c r="A7531" s="1" t="s">
        <v>7531</v>
      </c>
      <c r="B7531" s="2" t="str">
        <f>IFERROR(__xludf.DUMMYFUNCTION("GOOGLETRANSLATE(A7531, ""de"", ""en"")"),"paws")</f>
        <v>paws</v>
      </c>
    </row>
    <row r="7532">
      <c r="A7532" s="1" t="s">
        <v>7532</v>
      </c>
      <c r="B7532" s="2" t="str">
        <f>IFERROR(__xludf.DUMMYFUNCTION("GOOGLETRANSLATE(A7532, ""de"", ""en"")"),"foreigner")</f>
        <v>foreigner</v>
      </c>
    </row>
    <row r="7533">
      <c r="A7533" s="1" t="s">
        <v>7533</v>
      </c>
      <c r="B7533" s="2" t="str">
        <f>IFERROR(__xludf.DUMMYFUNCTION("GOOGLETRANSLATE(A7533, ""de"", ""en"")"),"hang")</f>
        <v>hang</v>
      </c>
    </row>
    <row r="7534">
      <c r="A7534" s="1" t="s">
        <v>7534</v>
      </c>
      <c r="B7534" s="2" t="str">
        <f>IFERROR(__xludf.DUMMYFUNCTION("GOOGLETRANSLATE(A7534, ""de"", ""en"")"),"clyde")</f>
        <v>clyde</v>
      </c>
    </row>
    <row r="7535">
      <c r="A7535" s="1" t="s">
        <v>7535</v>
      </c>
      <c r="B7535" s="2" t="str">
        <f>IFERROR(__xludf.DUMMYFUNCTION("GOOGLETRANSLATE(A7535, ""de"", ""en"")"),"calendar")</f>
        <v>calendar</v>
      </c>
    </row>
    <row r="7536">
      <c r="A7536" s="1" t="s">
        <v>7536</v>
      </c>
      <c r="B7536" s="2" t="str">
        <f>IFERROR(__xludf.DUMMYFUNCTION("GOOGLETRANSLATE(A7536, ""de"", ""en"")"),"isabelle")</f>
        <v>isabelle</v>
      </c>
    </row>
    <row r="7537">
      <c r="A7537" s="1" t="s">
        <v>7537</v>
      </c>
      <c r="B7537" s="2" t="str">
        <f>IFERROR(__xludf.DUMMYFUNCTION("GOOGLETRANSLATE(A7537, ""de"", ""en"")"),"hannibal")</f>
        <v>hannibal</v>
      </c>
    </row>
    <row r="7538">
      <c r="A7538" s="1" t="s">
        <v>7538</v>
      </c>
      <c r="B7538" s="2" t="str">
        <f>IFERROR(__xludf.DUMMYFUNCTION("GOOGLETRANSLATE(A7538, ""de"", ""en"")"),"brothers")</f>
        <v>brothers</v>
      </c>
    </row>
    <row r="7539">
      <c r="A7539" s="1" t="s">
        <v>7539</v>
      </c>
      <c r="B7539" s="2" t="str">
        <f>IFERROR(__xludf.DUMMYFUNCTION("GOOGLETRANSLATE(A7539, ""de"", ""en"")"),"overtime")</f>
        <v>overtime</v>
      </c>
    </row>
    <row r="7540">
      <c r="A7540" s="1" t="s">
        <v>7540</v>
      </c>
      <c r="B7540" s="2" t="str">
        <f>IFERROR(__xludf.DUMMYFUNCTION("GOOGLETRANSLATE(A7540, ""de"", ""en"")"),"heard")</f>
        <v>heard</v>
      </c>
    </row>
    <row r="7541">
      <c r="A7541" s="1" t="s">
        <v>7541</v>
      </c>
      <c r="B7541" s="2" t="str">
        <f>IFERROR(__xludf.DUMMYFUNCTION("GOOGLETRANSLATE(A7541, ""de"", ""en"")"),"bored")</f>
        <v>bored</v>
      </c>
    </row>
    <row r="7542">
      <c r="A7542" s="1" t="s">
        <v>7542</v>
      </c>
      <c r="B7542" s="2" t="str">
        <f>IFERROR(__xludf.DUMMYFUNCTION("GOOGLETRANSLATE(A7542, ""de"", ""en"")"),"indicates")</f>
        <v>indicates</v>
      </c>
    </row>
    <row r="7543">
      <c r="A7543" s="1" t="s">
        <v>7543</v>
      </c>
      <c r="B7543" s="2" t="str">
        <f>IFERROR(__xludf.DUMMYFUNCTION("GOOGLETRANSLATE(A7543, ""de"", ""en"")"),"Griffin")</f>
        <v>Griffin</v>
      </c>
    </row>
    <row r="7544">
      <c r="A7544" s="1" t="s">
        <v>7544</v>
      </c>
      <c r="B7544" s="2" t="str">
        <f>IFERROR(__xludf.DUMMYFUNCTION("GOOGLETRANSLATE(A7544, ""de"", ""en"")"),"barber")</f>
        <v>barber</v>
      </c>
    </row>
    <row r="7545">
      <c r="A7545" s="1" t="s">
        <v>7545</v>
      </c>
      <c r="B7545" s="2" t="str">
        <f>IFERROR(__xludf.DUMMYFUNCTION("GOOGLETRANSLATE(A7545, ""de"", ""en"")"),"upper")</f>
        <v>upper</v>
      </c>
    </row>
    <row r="7546">
      <c r="A7546" s="1" t="s">
        <v>7546</v>
      </c>
      <c r="B7546" s="2" t="str">
        <f>IFERROR(__xludf.DUMMYFUNCTION("GOOGLETRANSLATE(A7546, ""de"", ""en"")"),"get ready")</f>
        <v>get ready</v>
      </c>
    </row>
    <row r="7547">
      <c r="A7547" s="1" t="s">
        <v>7547</v>
      </c>
      <c r="B7547" s="2" t="str">
        <f>IFERROR(__xludf.DUMMYFUNCTION("GOOGLETRANSLATE(A7547, ""de"", ""en"")"),"they")</f>
        <v>they</v>
      </c>
    </row>
    <row r="7548">
      <c r="A7548" s="1" t="s">
        <v>7548</v>
      </c>
      <c r="B7548" s="2" t="str">
        <f>IFERROR(__xludf.DUMMYFUNCTION("GOOGLETRANSLATE(A7548, ""de"", ""en"")"),"expensive")</f>
        <v>expensive</v>
      </c>
    </row>
    <row r="7549">
      <c r="A7549" s="1" t="s">
        <v>7549</v>
      </c>
      <c r="B7549" s="2" t="str">
        <f>IFERROR(__xludf.DUMMYFUNCTION("GOOGLETRANSLATE(A7549, ""de"", ""en"")"),"Silas")</f>
        <v>Silas</v>
      </c>
    </row>
    <row r="7550">
      <c r="A7550" s="1" t="s">
        <v>7550</v>
      </c>
      <c r="B7550" s="2" t="str">
        <f>IFERROR(__xludf.DUMMYFUNCTION("GOOGLETRANSLATE(A7550, ""de"", ""en"")"),"threatened")</f>
        <v>threatened</v>
      </c>
    </row>
    <row r="7551">
      <c r="A7551" s="1" t="s">
        <v>7551</v>
      </c>
      <c r="B7551" s="2" t="str">
        <f>IFERROR(__xludf.DUMMYFUNCTION("GOOGLETRANSLATE(A7551, ""de"", ""en"")"),"ana")</f>
        <v>ana</v>
      </c>
    </row>
    <row r="7552">
      <c r="A7552" s="1" t="s">
        <v>7552</v>
      </c>
      <c r="B7552" s="2" t="str">
        <f>IFERROR(__xludf.DUMMYFUNCTION("GOOGLETRANSLATE(A7552, ""de"", ""en"")"),"assassination")</f>
        <v>assassination</v>
      </c>
    </row>
    <row r="7553">
      <c r="A7553" s="1" t="s">
        <v>7553</v>
      </c>
      <c r="B7553" s="2" t="str">
        <f>IFERROR(__xludf.DUMMYFUNCTION("GOOGLETRANSLATE(A7553, ""de"", ""en"")"),"maura")</f>
        <v>maura</v>
      </c>
    </row>
    <row r="7554">
      <c r="A7554" s="1" t="s">
        <v>7554</v>
      </c>
      <c r="B7554" s="2" t="str">
        <f>IFERROR(__xludf.DUMMYFUNCTION("GOOGLETRANSLATE(A7554, ""de"", ""en"")"),"comical")</f>
        <v>comical</v>
      </c>
    </row>
    <row r="7555">
      <c r="A7555" s="1" t="s">
        <v>7555</v>
      </c>
      <c r="B7555" s="2" t="str">
        <f>IFERROR(__xludf.DUMMYFUNCTION("GOOGLETRANSLATE(A7555, ""de"", ""en"")"),"certain")</f>
        <v>certain</v>
      </c>
    </row>
    <row r="7556">
      <c r="A7556" s="1" t="s">
        <v>7556</v>
      </c>
      <c r="B7556" s="2" t="str">
        <f>IFERROR(__xludf.DUMMYFUNCTION("GOOGLETRANSLATE(A7556, ""de"", ""en"")"),"discreet")</f>
        <v>discreet</v>
      </c>
    </row>
    <row r="7557">
      <c r="A7557" s="1" t="s">
        <v>7557</v>
      </c>
      <c r="B7557" s="2" t="str">
        <f>IFERROR(__xludf.DUMMYFUNCTION("GOOGLETRANSLATE(A7557, ""de"", ""en"")"),"creep")</f>
        <v>creep</v>
      </c>
    </row>
    <row r="7558">
      <c r="A7558" s="1" t="s">
        <v>7558</v>
      </c>
      <c r="B7558" s="2" t="str">
        <f>IFERROR(__xludf.DUMMYFUNCTION("GOOGLETRANSLATE(A7558, ""de"", ""en"")"),"white")</f>
        <v>white</v>
      </c>
    </row>
    <row r="7559">
      <c r="A7559" s="1" t="s">
        <v>7559</v>
      </c>
      <c r="B7559" s="2" t="str">
        <f>IFERROR(__xludf.DUMMYFUNCTION("GOOGLETRANSLATE(A7559, ""de"", ""en"")"),"luthor")</f>
        <v>luthor</v>
      </c>
    </row>
    <row r="7560">
      <c r="A7560" s="1" t="s">
        <v>7560</v>
      </c>
      <c r="B7560" s="2" t="str">
        <f>IFERROR(__xludf.DUMMYFUNCTION("GOOGLETRANSLATE(A7560, ""de"", ""en"")"),"over")</f>
        <v>over</v>
      </c>
    </row>
    <row r="7561">
      <c r="A7561" s="1" t="s">
        <v>7561</v>
      </c>
      <c r="B7561" s="2" t="str">
        <f>IFERROR(__xludf.DUMMYFUNCTION("GOOGLETRANSLATE(A7561, ""de"", ""en"")"),"sorcery")</f>
        <v>sorcery</v>
      </c>
    </row>
    <row r="7562">
      <c r="A7562" s="1" t="s">
        <v>7562</v>
      </c>
      <c r="B7562" s="2" t="str">
        <f>IFERROR(__xludf.DUMMYFUNCTION("GOOGLETRANSLATE(A7562, ""de"", ""en"")"),"wish")</f>
        <v>wish</v>
      </c>
    </row>
    <row r="7563">
      <c r="A7563" s="1" t="s">
        <v>7563</v>
      </c>
      <c r="B7563" s="2" t="str">
        <f>IFERROR(__xludf.DUMMYFUNCTION("GOOGLETRANSLATE(A7563, ""de"", ""en"")"),"Nadia")</f>
        <v>Nadia</v>
      </c>
    </row>
    <row r="7564">
      <c r="A7564" s="1" t="s">
        <v>7564</v>
      </c>
      <c r="B7564" s="2" t="str">
        <f>IFERROR(__xludf.DUMMYFUNCTION("GOOGLETRANSLATE(A7564, ""de"", ""en"")"),"bite")</f>
        <v>bite</v>
      </c>
    </row>
    <row r="7565">
      <c r="A7565" s="1" t="s">
        <v>7565</v>
      </c>
      <c r="B7565" s="2" t="str">
        <f>IFERROR(__xludf.DUMMYFUNCTION("GOOGLETRANSLATE(A7565, ""de"", ""en"")"),"weirder")</f>
        <v>weirder</v>
      </c>
    </row>
    <row r="7566">
      <c r="A7566" s="1" t="s">
        <v>7566</v>
      </c>
      <c r="B7566" s="2" t="str">
        <f>IFERROR(__xludf.DUMMYFUNCTION("GOOGLETRANSLATE(A7566, ""de"", ""en"")"),"hotel room")</f>
        <v>hotel room</v>
      </c>
    </row>
    <row r="7567">
      <c r="A7567" s="1" t="s">
        <v>7567</v>
      </c>
      <c r="B7567" s="2" t="str">
        <f>IFERROR(__xludf.DUMMYFUNCTION("GOOGLETRANSLATE(A7567, ""de"", ""en"")"),"delta")</f>
        <v>delta</v>
      </c>
    </row>
    <row r="7568">
      <c r="A7568" s="1" t="s">
        <v>7568</v>
      </c>
      <c r="B7568" s="2" t="str">
        <f>IFERROR(__xludf.DUMMYFUNCTION("GOOGLETRANSLATE(A7568, ""de"", ""en"")"),"Chinese")</f>
        <v>Chinese</v>
      </c>
    </row>
    <row r="7569">
      <c r="A7569" s="1" t="s">
        <v>7569</v>
      </c>
      <c r="B7569" s="2" t="str">
        <f>IFERROR(__xludf.DUMMYFUNCTION("GOOGLETRANSLATE(A7569, ""de"", ""en"")"),"scary")</f>
        <v>scary</v>
      </c>
    </row>
    <row r="7570">
      <c r="A7570" s="1" t="s">
        <v>7570</v>
      </c>
      <c r="B7570" s="2" t="str">
        <f>IFERROR(__xludf.DUMMYFUNCTION("GOOGLETRANSLATE(A7570, ""de"", ""en"")"),"hills")</f>
        <v>hills</v>
      </c>
    </row>
    <row r="7571">
      <c r="A7571" s="1" t="s">
        <v>7571</v>
      </c>
      <c r="B7571" s="2" t="str">
        <f>IFERROR(__xludf.DUMMYFUNCTION("GOOGLETRANSLATE(A7571, ""de"", ""en"")"),"quentin")</f>
        <v>quentin</v>
      </c>
    </row>
    <row r="7572">
      <c r="A7572" s="1" t="s">
        <v>7572</v>
      </c>
      <c r="B7572" s="2" t="str">
        <f>IFERROR(__xludf.DUMMYFUNCTION("GOOGLETRANSLATE(A7572, ""de"", ""en"")"),"frequency")</f>
        <v>frequency</v>
      </c>
    </row>
    <row r="7573">
      <c r="A7573" s="1" t="s">
        <v>7573</v>
      </c>
      <c r="B7573" s="2" t="str">
        <f>IFERROR(__xludf.DUMMYFUNCTION("GOOGLETRANSLATE(A7573, ""de"", ""en"")"),"intend to")</f>
        <v>intend to</v>
      </c>
    </row>
    <row r="7574">
      <c r="A7574" s="1" t="s">
        <v>7574</v>
      </c>
      <c r="B7574" s="2" t="str">
        <f>IFERROR(__xludf.DUMMYFUNCTION("GOOGLETRANSLATE(A7574, ""de"", ""en"")"),"deadly")</f>
        <v>deadly</v>
      </c>
    </row>
    <row r="7575">
      <c r="A7575" s="1" t="s">
        <v>7575</v>
      </c>
      <c r="B7575" s="2" t="str">
        <f>IFERROR(__xludf.DUMMYFUNCTION("GOOGLETRANSLATE(A7575, ""de"", ""en"")"),"summer")</f>
        <v>summer</v>
      </c>
    </row>
    <row r="7576">
      <c r="A7576" s="1" t="s">
        <v>7576</v>
      </c>
      <c r="B7576" s="2" t="str">
        <f>IFERROR(__xludf.DUMMYFUNCTION("GOOGLETRANSLATE(A7576, ""de"", ""en"")"),"connected")</f>
        <v>connected</v>
      </c>
    </row>
    <row r="7577">
      <c r="A7577" s="1" t="s">
        <v>7577</v>
      </c>
      <c r="B7577" s="2" t="str">
        <f>IFERROR(__xludf.DUMMYFUNCTION("GOOGLETRANSLATE(A7577, ""de"", ""en"")"),"booked")</f>
        <v>booked</v>
      </c>
    </row>
    <row r="7578">
      <c r="A7578" s="1" t="s">
        <v>7578</v>
      </c>
      <c r="B7578" s="2" t="str">
        <f>IFERROR(__xludf.DUMMYFUNCTION("GOOGLETRANSLATE(A7578, ""de"", ""en"")"),"invest")</f>
        <v>invest</v>
      </c>
    </row>
    <row r="7579">
      <c r="A7579" s="1" t="s">
        <v>7579</v>
      </c>
      <c r="B7579" s="2" t="str">
        <f>IFERROR(__xludf.DUMMYFUNCTION("GOOGLETRANSLATE(A7579, ""de"", ""en"")"),"website")</f>
        <v>website</v>
      </c>
    </row>
    <row r="7580">
      <c r="A7580" s="1" t="s">
        <v>7580</v>
      </c>
      <c r="B7580" s="2" t="str">
        <f>IFERROR(__xludf.DUMMYFUNCTION("GOOGLETRANSLATE(A7580, ""de"", ""en"")"),"diet")</f>
        <v>diet</v>
      </c>
    </row>
    <row r="7581">
      <c r="A7581" s="1" t="s">
        <v>7581</v>
      </c>
      <c r="B7581" s="2" t="str">
        <f>IFERROR(__xludf.DUMMYFUNCTION("GOOGLETRANSLATE(A7581, ""de"", ""en"")"),"behave")</f>
        <v>behave</v>
      </c>
    </row>
    <row r="7582">
      <c r="A7582" s="1" t="s">
        <v>7582</v>
      </c>
      <c r="B7582" s="2" t="str">
        <f>IFERROR(__xludf.DUMMYFUNCTION("GOOGLETRANSLATE(A7582, ""de"", ""en"")"),"past")</f>
        <v>past</v>
      </c>
    </row>
    <row r="7583">
      <c r="A7583" s="1" t="s">
        <v>7583</v>
      </c>
      <c r="B7583" s="2" t="str">
        <f>IFERROR(__xludf.DUMMYFUNCTION("GOOGLETRANSLATE(A7583, ""de"", ""en"")"),"Rodney")</f>
        <v>Rodney</v>
      </c>
    </row>
    <row r="7584">
      <c r="A7584" s="1" t="s">
        <v>7584</v>
      </c>
      <c r="B7584" s="2" t="str">
        <f>IFERROR(__xludf.DUMMYFUNCTION("GOOGLETRANSLATE(A7584, ""de"", ""en"")"),"spend")</f>
        <v>spend</v>
      </c>
    </row>
    <row r="7585">
      <c r="A7585" s="1" t="s">
        <v>7585</v>
      </c>
      <c r="B7585" s="2" t="str">
        <f>IFERROR(__xludf.DUMMYFUNCTION("GOOGLETRANSLATE(A7585, ""de"", ""en"")"),"future")</f>
        <v>future</v>
      </c>
    </row>
    <row r="7586">
      <c r="A7586" s="1" t="s">
        <v>7586</v>
      </c>
      <c r="B7586" s="2" t="str">
        <f>IFERROR(__xludf.DUMMYFUNCTION("GOOGLETRANSLATE(A7586, ""de"", ""en"")"),"Kong")</f>
        <v>Kong</v>
      </c>
    </row>
    <row r="7587">
      <c r="A7587" s="1" t="s">
        <v>7587</v>
      </c>
      <c r="B7587" s="2" t="str">
        <f>IFERROR(__xludf.DUMMYFUNCTION("GOOGLETRANSLATE(A7587, ""de"", ""en"")"),"former")</f>
        <v>former</v>
      </c>
    </row>
    <row r="7588">
      <c r="A7588" s="1" t="s">
        <v>7588</v>
      </c>
      <c r="B7588" s="2" t="str">
        <f>IFERROR(__xludf.DUMMYFUNCTION("GOOGLETRANSLATE(A7588, ""de"", ""en"")"),"ch00ff00")</f>
        <v>ch00ff00</v>
      </c>
    </row>
    <row r="7589">
      <c r="A7589" s="1" t="s">
        <v>7589</v>
      </c>
      <c r="B7589" s="2" t="str">
        <f>IFERROR(__xludf.DUMMYFUNCTION("GOOGLETRANSLATE(A7589, ""de"", ""en"")"),"enlighten")</f>
        <v>enlighten</v>
      </c>
    </row>
    <row r="7590">
      <c r="A7590" s="1" t="s">
        <v>7590</v>
      </c>
      <c r="B7590" s="2" t="str">
        <f>IFERROR(__xludf.DUMMYFUNCTION("GOOGLETRANSLATE(A7590, ""de"", ""en"")"),"would come")</f>
        <v>would come</v>
      </c>
    </row>
    <row r="7591">
      <c r="A7591" s="1" t="s">
        <v>7591</v>
      </c>
      <c r="B7591" s="2" t="str">
        <f>IFERROR(__xludf.DUMMYFUNCTION("GOOGLETRANSLATE(A7591, ""de"", ""en"")"),"unobtrusive")</f>
        <v>unobtrusive</v>
      </c>
    </row>
    <row r="7592">
      <c r="A7592" s="1" t="s">
        <v>7592</v>
      </c>
      <c r="B7592" s="2" t="str">
        <f>IFERROR(__xludf.DUMMYFUNCTION("GOOGLETRANSLATE(A7592, ""de"", ""en"")"),"fake")</f>
        <v>fake</v>
      </c>
    </row>
    <row r="7593">
      <c r="A7593" s="1" t="s">
        <v>7593</v>
      </c>
      <c r="B7593" s="2" t="str">
        <f>IFERROR(__xludf.DUMMYFUNCTION("GOOGLETRANSLATE(A7593, ""de"", ""en"")"),"vulture")</f>
        <v>vulture</v>
      </c>
    </row>
    <row r="7594">
      <c r="A7594" s="1" t="s">
        <v>7594</v>
      </c>
      <c r="B7594" s="2" t="str">
        <f>IFERROR(__xludf.DUMMYFUNCTION("GOOGLETRANSLATE(A7594, ""de"", ""en"")"),"accusations")</f>
        <v>accusations</v>
      </c>
    </row>
    <row r="7595">
      <c r="A7595" s="1" t="s">
        <v>7595</v>
      </c>
      <c r="B7595" s="2" t="str">
        <f>IFERROR(__xludf.DUMMYFUNCTION("GOOGLETRANSLATE(A7595, ""de"", ""en"")"),"sal")</f>
        <v>sal</v>
      </c>
    </row>
    <row r="7596">
      <c r="A7596" s="1" t="s">
        <v>7596</v>
      </c>
      <c r="B7596" s="2" t="str">
        <f>IFERROR(__xludf.DUMMYFUNCTION("GOOGLETRANSLATE(A7596, ""de"", ""en"")"),"remaining")</f>
        <v>remaining</v>
      </c>
    </row>
    <row r="7597">
      <c r="A7597" s="1" t="s">
        <v>7597</v>
      </c>
      <c r="B7597" s="2" t="str">
        <f>IFERROR(__xludf.DUMMYFUNCTION("GOOGLETRANSLATE(A7597, ""de"", ""en"")"),"tomatoes")</f>
        <v>tomatoes</v>
      </c>
    </row>
    <row r="7598">
      <c r="A7598" s="1" t="s">
        <v>7598</v>
      </c>
      <c r="B7598" s="2" t="str">
        <f>IFERROR(__xludf.DUMMYFUNCTION("GOOGLETRANSLATE(A7598, ""de"", ""en"")"),"gonna")</f>
        <v>gonna</v>
      </c>
    </row>
    <row r="7599">
      <c r="A7599" s="1" t="s">
        <v>7599</v>
      </c>
      <c r="B7599" s="2" t="str">
        <f>IFERROR(__xludf.DUMMYFUNCTION("GOOGLETRANSLATE(A7599, ""de"", ""en"")"),"philosophy")</f>
        <v>philosophy</v>
      </c>
    </row>
    <row r="7600">
      <c r="A7600" s="1" t="s">
        <v>7600</v>
      </c>
      <c r="B7600" s="2" t="str">
        <f>IFERROR(__xludf.DUMMYFUNCTION("GOOGLETRANSLATE(A7600, ""de"", ""en"")"),"loved")</f>
        <v>loved</v>
      </c>
    </row>
    <row r="7601">
      <c r="A7601" s="1" t="s">
        <v>7601</v>
      </c>
      <c r="B7601" s="2" t="str">
        <f>IFERROR(__xludf.DUMMYFUNCTION("GOOGLETRANSLATE(A7601, ""de"", ""en"")"),"programmed")</f>
        <v>programmed</v>
      </c>
    </row>
    <row r="7602">
      <c r="A7602" s="1" t="s">
        <v>7602</v>
      </c>
      <c r="B7602" s="2" t="str">
        <f>IFERROR(__xludf.DUMMYFUNCTION("GOOGLETRANSLATE(A7602, ""de"", ""en"")"),"Shawn")</f>
        <v>Shawn</v>
      </c>
    </row>
    <row r="7603">
      <c r="A7603" s="1" t="s">
        <v>7603</v>
      </c>
      <c r="B7603" s="2" t="str">
        <f>IFERROR(__xludf.DUMMYFUNCTION("GOOGLETRANSLATE(A7603, ""de"", ""en"")"),"noted")</f>
        <v>noted</v>
      </c>
    </row>
    <row r="7604">
      <c r="A7604" s="1" t="s">
        <v>7604</v>
      </c>
      <c r="B7604" s="2" t="str">
        <f>IFERROR(__xludf.DUMMYFUNCTION("GOOGLETRANSLATE(A7604, ""de"", ""en"")"),"due")</f>
        <v>due</v>
      </c>
    </row>
    <row r="7605">
      <c r="A7605" s="1" t="s">
        <v>7605</v>
      </c>
      <c r="B7605" s="2" t="str">
        <f>IFERROR(__xludf.DUMMYFUNCTION("GOOGLETRANSLATE(A7605, ""de"", ""en"")"),"bar")</f>
        <v>bar</v>
      </c>
    </row>
    <row r="7606">
      <c r="A7606" s="1" t="s">
        <v>7606</v>
      </c>
      <c r="B7606" s="2" t="str">
        <f>IFERROR(__xludf.DUMMYFUNCTION("GOOGLETRANSLATE(A7606, ""de"", ""en"")"),"pay")</f>
        <v>pay</v>
      </c>
    </row>
    <row r="7607">
      <c r="A7607" s="1" t="s">
        <v>7607</v>
      </c>
      <c r="B7607" s="2" t="str">
        <f>IFERROR(__xludf.DUMMYFUNCTION("GOOGLETRANSLATE(A7607, ""de"", ""en"")"),"finish")</f>
        <v>finish</v>
      </c>
    </row>
    <row r="7608">
      <c r="A7608" s="1" t="s">
        <v>7608</v>
      </c>
      <c r="B7608" s="2" t="str">
        <f>IFERROR(__xludf.DUMMYFUNCTION("GOOGLETRANSLATE(A7608, ""de"", ""en"")"),"missing")</f>
        <v>missing</v>
      </c>
    </row>
    <row r="7609">
      <c r="A7609" s="1" t="s">
        <v>7609</v>
      </c>
      <c r="B7609" s="2" t="str">
        <f>IFERROR(__xludf.DUMMYFUNCTION("GOOGLETRANSLATE(A7609, ""de"", ""en"")"),"make")</f>
        <v>make</v>
      </c>
    </row>
    <row r="7610">
      <c r="A7610" s="1" t="s">
        <v>7610</v>
      </c>
      <c r="B7610" s="2" t="str">
        <f>IFERROR(__xludf.DUMMYFUNCTION("GOOGLETRANSLATE(A7610, ""de"", ""en"")"),"swamp")</f>
        <v>swamp</v>
      </c>
    </row>
    <row r="7611">
      <c r="A7611" s="1" t="s">
        <v>7611</v>
      </c>
      <c r="B7611" s="2" t="str">
        <f>IFERROR(__xludf.DUMMYFUNCTION("GOOGLETRANSLATE(A7611, ""de"", ""en"")"),"pharmacy")</f>
        <v>pharmacy</v>
      </c>
    </row>
    <row r="7612">
      <c r="A7612" s="1" t="s">
        <v>7612</v>
      </c>
      <c r="B7612" s="2" t="str">
        <f>IFERROR(__xludf.DUMMYFUNCTION("GOOGLETRANSLATE(A7612, ""de"", ""en"")"),"international")</f>
        <v>international</v>
      </c>
    </row>
    <row r="7613">
      <c r="A7613" s="1" t="s">
        <v>7613</v>
      </c>
      <c r="B7613" s="2" t="str">
        <f>IFERROR(__xludf.DUMMYFUNCTION("GOOGLETRANSLATE(A7613, ""de"", ""en"")"),"delivers")</f>
        <v>delivers</v>
      </c>
    </row>
    <row r="7614">
      <c r="A7614" s="1" t="s">
        <v>7614</v>
      </c>
      <c r="B7614" s="2" t="str">
        <f>IFERROR(__xludf.DUMMYFUNCTION("GOOGLETRANSLATE(A7614, ""de"", ""en"")"),"blow")</f>
        <v>blow</v>
      </c>
    </row>
    <row r="7615">
      <c r="A7615" s="1" t="s">
        <v>7615</v>
      </c>
      <c r="B7615" s="2" t="str">
        <f>IFERROR(__xludf.DUMMYFUNCTION("GOOGLETRANSLATE(A7615, ""de"", ""en"")"),"bastards")</f>
        <v>bastards</v>
      </c>
    </row>
    <row r="7616">
      <c r="A7616" s="1" t="s">
        <v>7616</v>
      </c>
      <c r="B7616" s="2" t="str">
        <f>IFERROR(__xludf.DUMMYFUNCTION("GOOGLETRANSLATE(A7616, ""de"", ""en"")"),"stabbed")</f>
        <v>stabbed</v>
      </c>
    </row>
    <row r="7617">
      <c r="A7617" s="1" t="s">
        <v>7617</v>
      </c>
      <c r="B7617" s="2" t="str">
        <f>IFERROR(__xludf.DUMMYFUNCTION("GOOGLETRANSLATE(A7617, ""de"", ""en"")"),"ship")</f>
        <v>ship</v>
      </c>
    </row>
    <row r="7618">
      <c r="A7618" s="1" t="s">
        <v>7618</v>
      </c>
      <c r="B7618" s="2" t="str">
        <f>IFERROR(__xludf.DUMMYFUNCTION("GOOGLETRANSLATE(A7618, ""de"", ""en"")"),"Manuel")</f>
        <v>Manuel</v>
      </c>
    </row>
    <row r="7619">
      <c r="A7619" s="1" t="s">
        <v>7619</v>
      </c>
      <c r="B7619" s="2" t="str">
        <f>IFERROR(__xludf.DUMMYFUNCTION("GOOGLETRANSLATE(A7619, ""de"", ""en"")"),"north")</f>
        <v>north</v>
      </c>
    </row>
    <row r="7620">
      <c r="A7620" s="1" t="s">
        <v>7620</v>
      </c>
      <c r="B7620" s="2" t="str">
        <f>IFERROR(__xludf.DUMMYFUNCTION("GOOGLETRANSLATE(A7620, ""de"", ""en"")"),"american")</f>
        <v>american</v>
      </c>
    </row>
    <row r="7621">
      <c r="A7621" s="1" t="s">
        <v>7621</v>
      </c>
      <c r="B7621" s="2" t="str">
        <f>IFERROR(__xludf.DUMMYFUNCTION("GOOGLETRANSLATE(A7621, ""de"", ""en"")"),"body")</f>
        <v>body</v>
      </c>
    </row>
    <row r="7622">
      <c r="A7622" s="1" t="s">
        <v>7622</v>
      </c>
      <c r="B7622" s="2" t="str">
        <f>IFERROR(__xludf.DUMMYFUNCTION("GOOGLETRANSLATE(A7622, ""de"", ""en"")"),"scarf")</f>
        <v>scarf</v>
      </c>
    </row>
    <row r="7623">
      <c r="A7623" s="1" t="s">
        <v>7623</v>
      </c>
      <c r="B7623" s="2" t="str">
        <f>IFERROR(__xludf.DUMMYFUNCTION("GOOGLETRANSLATE(A7623, ""de"", ""en"")"),"accuse")</f>
        <v>accuse</v>
      </c>
    </row>
    <row r="7624">
      <c r="A7624" s="1" t="s">
        <v>7624</v>
      </c>
      <c r="B7624" s="2" t="str">
        <f>IFERROR(__xludf.DUMMYFUNCTION("GOOGLETRANSLATE(A7624, ""de"", ""en"")"),"beats")</f>
        <v>beats</v>
      </c>
    </row>
    <row r="7625">
      <c r="A7625" s="1" t="s">
        <v>7625</v>
      </c>
      <c r="B7625" s="2" t="str">
        <f>IFERROR(__xludf.DUMMYFUNCTION("GOOGLETRANSLATE(A7625, ""de"", ""en"")"),"you decide")</f>
        <v>you decide</v>
      </c>
    </row>
    <row r="7626">
      <c r="A7626" s="1" t="s">
        <v>7626</v>
      </c>
      <c r="B7626" s="2" t="str">
        <f>IFERROR(__xludf.DUMMYFUNCTION("GOOGLETRANSLATE(A7626, ""de"", ""en"")"),"collects")</f>
        <v>collects</v>
      </c>
    </row>
    <row r="7627">
      <c r="A7627" s="1" t="s">
        <v>7627</v>
      </c>
      <c r="B7627" s="2" t="str">
        <f>IFERROR(__xludf.DUMMYFUNCTION("GOOGLETRANSLATE(A7627, ""de"", ""en"")"),"countermove")</f>
        <v>countermove</v>
      </c>
    </row>
    <row r="7628">
      <c r="A7628" s="1" t="s">
        <v>7628</v>
      </c>
      <c r="B7628" s="2" t="str">
        <f>IFERROR(__xludf.DUMMYFUNCTION("GOOGLETRANSLATE(A7628, ""de"", ""en"")"),"to prepare")</f>
        <v>to prepare</v>
      </c>
    </row>
    <row r="7629">
      <c r="A7629" s="1" t="s">
        <v>7629</v>
      </c>
      <c r="B7629" s="2" t="str">
        <f>IFERROR(__xludf.DUMMYFUNCTION("GOOGLETRANSLATE(A7629, ""de"", ""en"")"),"disappointment")</f>
        <v>disappointment</v>
      </c>
    </row>
    <row r="7630">
      <c r="A7630" s="1" t="s">
        <v>7630</v>
      </c>
      <c r="B7630" s="2" t="str">
        <f>IFERROR(__xludf.DUMMYFUNCTION("GOOGLETRANSLATE(A7630, ""de"", ""en"")"),"accommodation")</f>
        <v>accommodation</v>
      </c>
    </row>
    <row r="7631">
      <c r="A7631" s="1" t="s">
        <v>7631</v>
      </c>
      <c r="B7631" s="2" t="str">
        <f>IFERROR(__xludf.DUMMYFUNCTION("GOOGLETRANSLATE(A7631, ""de"", ""en"")"),"release")</f>
        <v>release</v>
      </c>
    </row>
    <row r="7632">
      <c r="A7632" s="1" t="s">
        <v>7632</v>
      </c>
      <c r="B7632" s="2" t="str">
        <f>IFERROR(__xludf.DUMMYFUNCTION("GOOGLETRANSLATE(A7632, ""de"", ""en"")"),"gray")</f>
        <v>gray</v>
      </c>
    </row>
    <row r="7633">
      <c r="A7633" s="1" t="s">
        <v>7633</v>
      </c>
      <c r="B7633" s="2" t="str">
        <f>IFERROR(__xludf.DUMMYFUNCTION("GOOGLETRANSLATE(A7633, ""de"", ""en"")"),"hunt")</f>
        <v>hunt</v>
      </c>
    </row>
    <row r="7634">
      <c r="A7634" s="1" t="s">
        <v>7634</v>
      </c>
      <c r="B7634" s="2" t="str">
        <f>IFERROR(__xludf.DUMMYFUNCTION("GOOGLETRANSLATE(A7634, ""de"", ""en"")"),"fiancée")</f>
        <v>fiancée</v>
      </c>
    </row>
    <row r="7635">
      <c r="A7635" s="1" t="s">
        <v>7635</v>
      </c>
      <c r="B7635" s="2" t="str">
        <f>IFERROR(__xludf.DUMMYFUNCTION("GOOGLETRANSLATE(A7635, ""de"", ""en"")"),"kidney")</f>
        <v>kidney</v>
      </c>
    </row>
    <row r="7636">
      <c r="A7636" s="1" t="s">
        <v>7636</v>
      </c>
      <c r="B7636" s="2" t="str">
        <f>IFERROR(__xludf.DUMMYFUNCTION("GOOGLETRANSLATE(A7636, ""de"", ""en"")"),"scratch")</f>
        <v>scratch</v>
      </c>
    </row>
    <row r="7637">
      <c r="A7637" s="1" t="s">
        <v>7637</v>
      </c>
      <c r="B7637" s="2" t="str">
        <f>IFERROR(__xludf.DUMMYFUNCTION("GOOGLETRANSLATE(A7637, ""de"", ""en"")"),"altar")</f>
        <v>altar</v>
      </c>
    </row>
    <row r="7638">
      <c r="A7638" s="1" t="s">
        <v>7638</v>
      </c>
      <c r="B7638" s="2" t="str">
        <f>IFERROR(__xludf.DUMMYFUNCTION("GOOGLETRANSLATE(A7638, ""de"", ""en"")"),"astonished")</f>
        <v>astonished</v>
      </c>
    </row>
    <row r="7639">
      <c r="A7639" s="1" t="s">
        <v>7639</v>
      </c>
      <c r="B7639" s="2" t="str">
        <f>IFERROR(__xludf.DUMMYFUNCTION("GOOGLETRANSLATE(A7639, ""de"", ""en"")"),"d.c.")</f>
        <v>d.c.</v>
      </c>
    </row>
    <row r="7640">
      <c r="A7640" s="1" t="s">
        <v>7640</v>
      </c>
      <c r="B7640" s="2" t="str">
        <f>IFERROR(__xludf.DUMMYFUNCTION("GOOGLETRANSLATE(A7640, ""de"", ""en"")"),"outbreak")</f>
        <v>outbreak</v>
      </c>
    </row>
    <row r="7641">
      <c r="A7641" s="1" t="s">
        <v>7641</v>
      </c>
      <c r="B7641" s="2" t="str">
        <f>IFERROR(__xludf.DUMMYFUNCTION("GOOGLETRANSLATE(A7641, ""de"", ""en"")"),"cloth")</f>
        <v>cloth</v>
      </c>
    </row>
    <row r="7642">
      <c r="A7642" s="1" t="s">
        <v>7642</v>
      </c>
      <c r="B7642" s="2" t="str">
        <f>IFERROR(__xludf.DUMMYFUNCTION("GOOGLETRANSLATE(A7642, ""de"", ""en"")"),"banner")</f>
        <v>banner</v>
      </c>
    </row>
    <row r="7643">
      <c r="A7643" s="1" t="s">
        <v>7643</v>
      </c>
      <c r="B7643" s="2" t="str">
        <f>IFERROR(__xludf.DUMMYFUNCTION("GOOGLETRANSLATE(A7643, ""de"", ""en"")"),"insult")</f>
        <v>insult</v>
      </c>
    </row>
    <row r="7644">
      <c r="A7644" s="1" t="s">
        <v>7644</v>
      </c>
      <c r="B7644" s="2" t="str">
        <f>IFERROR(__xludf.DUMMYFUNCTION("GOOGLETRANSLATE(A7644, ""de"", ""en"")"),"meant")</f>
        <v>meant</v>
      </c>
    </row>
    <row r="7645">
      <c r="A7645" s="1" t="s">
        <v>7645</v>
      </c>
      <c r="B7645" s="2" t="str">
        <f>IFERROR(__xludf.DUMMYFUNCTION("GOOGLETRANSLATE(A7645, ""de"", ""en"")"),"behaves")</f>
        <v>behaves</v>
      </c>
    </row>
    <row r="7646">
      <c r="A7646" s="1" t="s">
        <v>7646</v>
      </c>
      <c r="B7646" s="2" t="str">
        <f>IFERROR(__xludf.DUMMYFUNCTION("GOOGLETRANSLATE(A7646, ""de"", ""en"")"),"scary")</f>
        <v>scary</v>
      </c>
    </row>
    <row r="7647">
      <c r="A7647" s="1" t="s">
        <v>7647</v>
      </c>
      <c r="B7647" s="2" t="str">
        <f>IFERROR(__xludf.DUMMYFUNCTION("GOOGLETRANSLATE(A7647, ""de"", ""en"")"),"immortal")</f>
        <v>immortal</v>
      </c>
    </row>
    <row r="7648">
      <c r="A7648" s="1" t="s">
        <v>7648</v>
      </c>
      <c r="B7648" s="2" t="str">
        <f>IFERROR(__xludf.DUMMYFUNCTION("GOOGLETRANSLATE(A7648, ""de"", ""en"")"),"high")</f>
        <v>high</v>
      </c>
    </row>
    <row r="7649">
      <c r="A7649" s="1" t="s">
        <v>7649</v>
      </c>
      <c r="B7649" s="2" t="str">
        <f>IFERROR(__xludf.DUMMYFUNCTION("GOOGLETRANSLATE(A7649, ""de"", ""en"")"),"evacuate")</f>
        <v>evacuate</v>
      </c>
    </row>
    <row r="7650">
      <c r="A7650" s="1" t="s">
        <v>7650</v>
      </c>
      <c r="B7650" s="2" t="str">
        <f>IFERROR(__xludf.DUMMYFUNCTION("GOOGLETRANSLATE(A7650, ""de"", ""en"")"),"produced")</f>
        <v>produced</v>
      </c>
    </row>
    <row r="7651">
      <c r="A7651" s="1" t="s">
        <v>7651</v>
      </c>
      <c r="B7651" s="2" t="str">
        <f>IFERROR(__xludf.DUMMYFUNCTION("GOOGLETRANSLATE(A7651, ""de"", ""en"")"),"successor")</f>
        <v>successor</v>
      </c>
    </row>
    <row r="7652">
      <c r="A7652" s="1" t="s">
        <v>7652</v>
      </c>
      <c r="B7652" s="2" t="str">
        <f>IFERROR(__xludf.DUMMYFUNCTION("GOOGLETRANSLATE(A7652, ""de"", ""en"")"),"looks")</f>
        <v>looks</v>
      </c>
    </row>
    <row r="7653">
      <c r="A7653" s="1" t="s">
        <v>7653</v>
      </c>
      <c r="B7653" s="2" t="str">
        <f>IFERROR(__xludf.DUMMYFUNCTION("GOOGLETRANSLATE(A7653, ""de"", ""en"")"),"suggestions")</f>
        <v>suggestions</v>
      </c>
    </row>
    <row r="7654">
      <c r="A7654" s="1" t="s">
        <v>7654</v>
      </c>
      <c r="B7654" s="2" t="str">
        <f>IFERROR(__xludf.DUMMYFUNCTION("GOOGLETRANSLATE(A7654, ""de"", ""en"")"),"chauffeur")</f>
        <v>chauffeur</v>
      </c>
    </row>
    <row r="7655">
      <c r="A7655" s="1" t="s">
        <v>7655</v>
      </c>
      <c r="B7655" s="2" t="str">
        <f>IFERROR(__xludf.DUMMYFUNCTION("GOOGLETRANSLATE(A7655, ""de"", ""en"")"),"English")</f>
        <v>English</v>
      </c>
    </row>
    <row r="7656">
      <c r="A7656" s="1" t="s">
        <v>7656</v>
      </c>
      <c r="B7656" s="2" t="str">
        <f>IFERROR(__xludf.DUMMYFUNCTION("GOOGLETRANSLATE(A7656, ""de"", ""en"")"),"irony")</f>
        <v>irony</v>
      </c>
    </row>
    <row r="7657">
      <c r="A7657" s="1" t="s">
        <v>7657</v>
      </c>
      <c r="B7657" s="2" t="str">
        <f>IFERROR(__xludf.DUMMYFUNCTION("GOOGLETRANSLATE(A7657, ""de"", ""en"")"),"sufficient")</f>
        <v>sufficient</v>
      </c>
    </row>
    <row r="7658">
      <c r="A7658" s="1" t="s">
        <v>7658</v>
      </c>
      <c r="B7658" s="2" t="str">
        <f>IFERROR(__xludf.DUMMYFUNCTION("GOOGLETRANSLATE(A7658, ""de"", ""en"")"),"hit")</f>
        <v>hit</v>
      </c>
    </row>
    <row r="7659">
      <c r="A7659" s="1" t="s">
        <v>7659</v>
      </c>
      <c r="B7659" s="2" t="str">
        <f>IFERROR(__xludf.DUMMYFUNCTION("GOOGLETRANSLATE(A7659, ""de"", ""en"")"),"one and a half")</f>
        <v>one and a half</v>
      </c>
    </row>
    <row r="7660">
      <c r="A7660" s="1" t="s">
        <v>7660</v>
      </c>
      <c r="B7660" s="2" t="str">
        <f>IFERROR(__xludf.DUMMYFUNCTION("GOOGLETRANSLATE(A7660, ""de"", ""en"")"),"salvation")</f>
        <v>salvation</v>
      </c>
    </row>
    <row r="7661">
      <c r="A7661" s="1" t="s">
        <v>7661</v>
      </c>
      <c r="B7661" s="2" t="str">
        <f>IFERROR(__xludf.DUMMYFUNCTION("GOOGLETRANSLATE(A7661, ""de"", ""en"")"),"beetle")</f>
        <v>beetle</v>
      </c>
    </row>
    <row r="7662">
      <c r="A7662" s="1" t="s">
        <v>7662</v>
      </c>
      <c r="B7662" s="2" t="str">
        <f>IFERROR(__xludf.DUMMYFUNCTION("GOOGLETRANSLATE(A7662, ""de"", ""en"")"),"kiss")</f>
        <v>kiss</v>
      </c>
    </row>
    <row r="7663">
      <c r="A7663" s="1" t="s">
        <v>7663</v>
      </c>
      <c r="B7663" s="2" t="str">
        <f>IFERROR(__xludf.DUMMYFUNCTION("GOOGLETRANSLATE(A7663, ""de"", ""en"")"),"Eugene")</f>
        <v>Eugene</v>
      </c>
    </row>
    <row r="7664">
      <c r="A7664" s="1" t="s">
        <v>7664</v>
      </c>
      <c r="B7664" s="2" t="str">
        <f>IFERROR(__xludf.DUMMYFUNCTION("GOOGLETRANSLATE(A7664, ""de"", ""en"")"),"erase")</f>
        <v>erase</v>
      </c>
    </row>
    <row r="7665">
      <c r="A7665" s="1" t="s">
        <v>7665</v>
      </c>
      <c r="B7665" s="2" t="str">
        <f>IFERROR(__xludf.DUMMYFUNCTION("GOOGLETRANSLATE(A7665, ""de"", ""en"")"),"because of her")</f>
        <v>because of her</v>
      </c>
    </row>
    <row r="7666">
      <c r="A7666" s="1" t="s">
        <v>7666</v>
      </c>
      <c r="B7666" s="2" t="str">
        <f>IFERROR(__xludf.DUMMYFUNCTION("GOOGLETRANSLATE(A7666, ""de"", ""en"")"),"lemonade")</f>
        <v>lemonade</v>
      </c>
    </row>
    <row r="7667">
      <c r="A7667" s="1" t="s">
        <v>7667</v>
      </c>
      <c r="B7667" s="2" t="str">
        <f>IFERROR(__xludf.DUMMYFUNCTION("GOOGLETRANSLATE(A7667, ""de"", ""en"")"),"Hedley")</f>
        <v>Hedley</v>
      </c>
    </row>
    <row r="7668">
      <c r="A7668" s="1" t="s">
        <v>7668</v>
      </c>
      <c r="B7668" s="2" t="str">
        <f>IFERROR(__xludf.DUMMYFUNCTION("GOOGLETRANSLATE(A7668, ""de"", ""en"")"),"cheap")</f>
        <v>cheap</v>
      </c>
    </row>
    <row r="7669">
      <c r="A7669" s="1" t="s">
        <v>7669</v>
      </c>
      <c r="B7669" s="2" t="str">
        <f>IFERROR(__xludf.DUMMYFUNCTION("GOOGLETRANSLATE(A7669, ""de"", ""en"")"),"tequila")</f>
        <v>tequila</v>
      </c>
    </row>
    <row r="7670">
      <c r="A7670" s="1" t="s">
        <v>7670</v>
      </c>
      <c r="B7670" s="2" t="str">
        <f>IFERROR(__xludf.DUMMYFUNCTION("GOOGLETRANSLATE(A7670, ""de"", ""en"")"),"battlefield")</f>
        <v>battlefield</v>
      </c>
    </row>
    <row r="7671">
      <c r="A7671" s="1" t="s">
        <v>7671</v>
      </c>
      <c r="B7671" s="2" t="str">
        <f>IFERROR(__xludf.DUMMYFUNCTION("GOOGLETRANSLATE(A7671, ""de"", ""en"")"),"knight")</f>
        <v>knight</v>
      </c>
    </row>
    <row r="7672">
      <c r="A7672" s="1" t="s">
        <v>7672</v>
      </c>
      <c r="B7672" s="2" t="str">
        <f>IFERROR(__xludf.DUMMYFUNCTION("GOOGLETRANSLATE(A7672, ""de"", ""en"")"),"according to")</f>
        <v>according to</v>
      </c>
    </row>
    <row r="7673">
      <c r="A7673" s="1" t="s">
        <v>7673</v>
      </c>
      <c r="B7673" s="2" t="str">
        <f>IFERROR(__xludf.DUMMYFUNCTION("GOOGLETRANSLATE(A7673, ""de"", ""en"")"),"attacker")</f>
        <v>attacker</v>
      </c>
    </row>
    <row r="7674">
      <c r="A7674" s="1" t="s">
        <v>7674</v>
      </c>
      <c r="B7674" s="2" t="str">
        <f>IFERROR(__xludf.DUMMYFUNCTION("GOOGLETRANSLATE(A7674, ""de"", ""en"")"),"went there")</f>
        <v>went there</v>
      </c>
    </row>
    <row r="7675">
      <c r="A7675" s="1" t="s">
        <v>7675</v>
      </c>
      <c r="B7675" s="2" t="str">
        <f>IFERROR(__xludf.DUMMYFUNCTION("GOOGLETRANSLATE(A7675, ""de"", ""en"")"),"dns")</f>
        <v>dns</v>
      </c>
    </row>
    <row r="7676">
      <c r="A7676" s="1" t="s">
        <v>7676</v>
      </c>
      <c r="B7676" s="2" t="str">
        <f>IFERROR(__xludf.DUMMYFUNCTION("GOOGLETRANSLATE(A7676, ""de"", ""en"")"),"zero")</f>
        <v>zero</v>
      </c>
    </row>
    <row r="7677">
      <c r="A7677" s="1" t="s">
        <v>7677</v>
      </c>
      <c r="B7677" s="2" t="str">
        <f>IFERROR(__xludf.DUMMYFUNCTION("GOOGLETRANSLATE(A7677, ""de"", ""en"")"),"ran")</f>
        <v>ran</v>
      </c>
    </row>
    <row r="7678">
      <c r="A7678" s="1" t="s">
        <v>7678</v>
      </c>
      <c r="B7678" s="2" t="str">
        <f>IFERROR(__xludf.DUMMYFUNCTION("GOOGLETRANSLATE(A7678, ""de"", ""en"")"),"peel")</f>
        <v>peel</v>
      </c>
    </row>
    <row r="7679">
      <c r="A7679" s="1" t="s">
        <v>7679</v>
      </c>
      <c r="B7679" s="2" t="str">
        <f>IFERROR(__xludf.DUMMYFUNCTION("GOOGLETRANSLATE(A7679, ""de"", ""en"")"),"restaurants")</f>
        <v>restaurants</v>
      </c>
    </row>
    <row r="7680">
      <c r="A7680" s="1" t="s">
        <v>7680</v>
      </c>
      <c r="B7680" s="2" t="str">
        <f>IFERROR(__xludf.DUMMYFUNCTION("GOOGLETRANSLATE(A7680, ""de"", ""en"")"),"located")</f>
        <v>located</v>
      </c>
    </row>
    <row r="7681">
      <c r="A7681" s="1" t="s">
        <v>7681</v>
      </c>
      <c r="B7681" s="2" t="str">
        <f>IFERROR(__xludf.DUMMYFUNCTION("GOOGLETRANSLATE(A7681, ""de"", ""en"")"),"mills")</f>
        <v>mills</v>
      </c>
    </row>
    <row r="7682">
      <c r="A7682" s="1" t="s">
        <v>7682</v>
      </c>
      <c r="B7682" s="2" t="str">
        <f>IFERROR(__xludf.DUMMYFUNCTION("GOOGLETRANSLATE(A7682, ""de"", ""en"")"),"attacks")</f>
        <v>attacks</v>
      </c>
    </row>
    <row r="7683">
      <c r="A7683" s="1" t="s">
        <v>7683</v>
      </c>
      <c r="B7683" s="2" t="str">
        <f>IFERROR(__xludf.DUMMYFUNCTION("GOOGLETRANSLATE(A7683, ""de"", ""en"")"),"red")</f>
        <v>red</v>
      </c>
    </row>
    <row r="7684">
      <c r="A7684" s="1" t="s">
        <v>7684</v>
      </c>
      <c r="B7684" s="2" t="str">
        <f>IFERROR(__xludf.DUMMYFUNCTION("GOOGLETRANSLATE(A7684, ""de"", ""en"")"),"percy")</f>
        <v>percy</v>
      </c>
    </row>
    <row r="7685">
      <c r="A7685" s="1" t="s">
        <v>7685</v>
      </c>
      <c r="B7685" s="2" t="str">
        <f>IFERROR(__xludf.DUMMYFUNCTION("GOOGLETRANSLATE(A7685, ""de"", ""en"")"),"modern")</f>
        <v>modern</v>
      </c>
    </row>
    <row r="7686">
      <c r="A7686" s="1" t="s">
        <v>7686</v>
      </c>
      <c r="B7686" s="2" t="str">
        <f>IFERROR(__xludf.DUMMYFUNCTION("GOOGLETRANSLATE(A7686, ""de"", ""en"")"),"motto")</f>
        <v>motto</v>
      </c>
    </row>
    <row r="7687">
      <c r="A7687" s="1" t="s">
        <v>7687</v>
      </c>
      <c r="B7687" s="2" t="str">
        <f>IFERROR(__xludf.DUMMYFUNCTION("GOOGLETRANSLATE(A7687, ""de"", ""en"")"),"occurs")</f>
        <v>occurs</v>
      </c>
    </row>
    <row r="7688">
      <c r="A7688" s="1" t="s">
        <v>7688</v>
      </c>
      <c r="B7688" s="2" t="str">
        <f>IFERROR(__xludf.DUMMYFUNCTION("GOOGLETRANSLATE(A7688, ""de"", ""en"")"),"bra")</f>
        <v>bra</v>
      </c>
    </row>
    <row r="7689">
      <c r="A7689" s="1" t="s">
        <v>7689</v>
      </c>
      <c r="B7689" s="2" t="str">
        <f>IFERROR(__xludf.DUMMYFUNCTION("GOOGLETRANSLATE(A7689, ""de"", ""en"")"),"affected")</f>
        <v>affected</v>
      </c>
    </row>
    <row r="7690">
      <c r="A7690" s="1" t="s">
        <v>7690</v>
      </c>
      <c r="B7690" s="2" t="str">
        <f>IFERROR(__xludf.DUMMYFUNCTION("GOOGLETRANSLATE(A7690, ""de"", ""en"")"),"suspicious")</f>
        <v>suspicious</v>
      </c>
    </row>
    <row r="7691">
      <c r="A7691" s="1" t="s">
        <v>7691</v>
      </c>
      <c r="B7691" s="2" t="str">
        <f>IFERROR(__xludf.DUMMYFUNCTION("GOOGLETRANSLATE(A7691, ""de"", ""en"")"),"confusing")</f>
        <v>confusing</v>
      </c>
    </row>
    <row r="7692">
      <c r="A7692" s="1" t="s">
        <v>7692</v>
      </c>
      <c r="B7692" s="2" t="str">
        <f>IFERROR(__xludf.DUMMYFUNCTION("GOOGLETRANSLATE(A7692, ""de"", ""en"")"),"chapel")</f>
        <v>chapel</v>
      </c>
    </row>
    <row r="7693">
      <c r="A7693" s="1" t="s">
        <v>7693</v>
      </c>
      <c r="B7693" s="2" t="str">
        <f>IFERROR(__xludf.DUMMYFUNCTION("GOOGLETRANSLATE(A7693, ""de"", ""en"")"),"strong")</f>
        <v>strong</v>
      </c>
    </row>
    <row r="7694">
      <c r="A7694" s="1" t="s">
        <v>7694</v>
      </c>
      <c r="B7694" s="2" t="str">
        <f>IFERROR(__xludf.DUMMYFUNCTION("GOOGLETRANSLATE(A7694, ""de"", ""en"")"),"brick")</f>
        <v>brick</v>
      </c>
    </row>
    <row r="7695">
      <c r="A7695" s="1" t="s">
        <v>7695</v>
      </c>
      <c r="B7695" s="2" t="str">
        <f>IFERROR(__xludf.DUMMYFUNCTION("GOOGLETRANSLATE(A7695, ""de"", ""en"")"),"prayed")</f>
        <v>prayed</v>
      </c>
    </row>
    <row r="7696">
      <c r="A7696" s="1" t="s">
        <v>7696</v>
      </c>
      <c r="B7696" s="2" t="str">
        <f>IFERROR(__xludf.DUMMYFUNCTION("GOOGLETRANSLATE(A7696, ""de"", ""en"")"),"furnish")</f>
        <v>furnish</v>
      </c>
    </row>
    <row r="7697">
      <c r="A7697" s="1" t="s">
        <v>7697</v>
      </c>
      <c r="B7697" s="2" t="str">
        <f>IFERROR(__xludf.DUMMYFUNCTION("GOOGLETRANSLATE(A7697, ""de"", ""en"")"),"exploit")</f>
        <v>exploit</v>
      </c>
    </row>
    <row r="7698">
      <c r="A7698" s="1" t="s">
        <v>7698</v>
      </c>
      <c r="B7698" s="2" t="str">
        <f>IFERROR(__xludf.DUMMYFUNCTION("GOOGLETRANSLATE(A7698, ""de"", ""en"")"),"chin")</f>
        <v>chin</v>
      </c>
    </row>
    <row r="7699">
      <c r="A7699" s="1" t="s">
        <v>7699</v>
      </c>
      <c r="B7699" s="2" t="str">
        <f>IFERROR(__xludf.DUMMYFUNCTION("GOOGLETRANSLATE(A7699, ""de"", ""en"")"),"fresh")</f>
        <v>fresh</v>
      </c>
    </row>
    <row r="7700">
      <c r="A7700" s="1" t="s">
        <v>7700</v>
      </c>
      <c r="B7700" s="2" t="str">
        <f>IFERROR(__xludf.DUMMYFUNCTION("GOOGLETRANSLATE(A7700, ""de"", ""en"")"),"chat")</f>
        <v>chat</v>
      </c>
    </row>
    <row r="7701">
      <c r="A7701" s="1" t="s">
        <v>7701</v>
      </c>
      <c r="B7701" s="2" t="str">
        <f>IFERROR(__xludf.DUMMYFUNCTION("GOOGLETRANSLATE(A7701, ""de"", ""en"")"),"automatically")</f>
        <v>automatically</v>
      </c>
    </row>
    <row r="7702">
      <c r="A7702" s="1" t="s">
        <v>7702</v>
      </c>
      <c r="B7702" s="2" t="str">
        <f>IFERROR(__xludf.DUMMYFUNCTION("GOOGLETRANSLATE(A7702, ""de"", ""en"")"),"chad")</f>
        <v>chad</v>
      </c>
    </row>
    <row r="7703">
      <c r="A7703" s="1" t="s">
        <v>7703</v>
      </c>
      <c r="B7703" s="2" t="str">
        <f>IFERROR(__xludf.DUMMYFUNCTION("GOOGLETRANSLATE(A7703, ""de"", ""en"")"),"physical injury")</f>
        <v>physical injury</v>
      </c>
    </row>
    <row r="7704">
      <c r="A7704" s="1" t="s">
        <v>7704</v>
      </c>
      <c r="B7704" s="2" t="str">
        <f>IFERROR(__xludf.DUMMYFUNCTION("GOOGLETRANSLATE(A7704, ""de"", ""en"")"),"squirt")</f>
        <v>squirt</v>
      </c>
    </row>
    <row r="7705">
      <c r="A7705" s="1" t="s">
        <v>7705</v>
      </c>
      <c r="B7705" s="2" t="str">
        <f>IFERROR(__xludf.DUMMYFUNCTION("GOOGLETRANSLATE(A7705, ""de"", ""en"")"),"resident")</f>
        <v>resident</v>
      </c>
    </row>
    <row r="7706">
      <c r="A7706" s="1" t="s">
        <v>7706</v>
      </c>
      <c r="B7706" s="2" t="str">
        <f>IFERROR(__xludf.DUMMYFUNCTION("GOOGLETRANSLATE(A7706, ""de"", ""en"")"),"run")</f>
        <v>run</v>
      </c>
    </row>
    <row r="7707">
      <c r="A7707" s="1" t="s">
        <v>7707</v>
      </c>
      <c r="B7707" s="2" t="str">
        <f>IFERROR(__xludf.DUMMYFUNCTION("GOOGLETRANSLATE(A7707, ""de"", ""en"")"),"pink")</f>
        <v>pink</v>
      </c>
    </row>
    <row r="7708">
      <c r="A7708" s="1" t="s">
        <v>7708</v>
      </c>
      <c r="B7708" s="2" t="str">
        <f>IFERROR(__xludf.DUMMYFUNCTION("GOOGLETRANSLATE(A7708, ""de"", ""en"")"),"chen")</f>
        <v>chen</v>
      </c>
    </row>
    <row r="7709">
      <c r="A7709" s="1" t="s">
        <v>7709</v>
      </c>
      <c r="B7709" s="2" t="str">
        <f>IFERROR(__xludf.DUMMYFUNCTION("GOOGLETRANSLATE(A7709, ""de"", ""en"")"),"drawn")</f>
        <v>drawn</v>
      </c>
    </row>
    <row r="7710">
      <c r="A7710" s="1" t="s">
        <v>7710</v>
      </c>
      <c r="B7710" s="2" t="str">
        <f>IFERROR(__xludf.DUMMYFUNCTION("GOOGLETRANSLATE(A7710, ""de"", ""en"")"),"decent ones")</f>
        <v>decent ones</v>
      </c>
    </row>
    <row r="7711">
      <c r="A7711" s="1" t="s">
        <v>7711</v>
      </c>
      <c r="B7711" s="2" t="str">
        <f>IFERROR(__xludf.DUMMYFUNCTION("GOOGLETRANSLATE(A7711, ""de"", ""en"")"),"stiff")</f>
        <v>stiff</v>
      </c>
    </row>
    <row r="7712">
      <c r="A7712" s="1" t="s">
        <v>7712</v>
      </c>
      <c r="B7712" s="2" t="str">
        <f>IFERROR(__xludf.DUMMYFUNCTION("GOOGLETRANSLATE(A7712, ""de"", ""en"")"),"record")</f>
        <v>record</v>
      </c>
    </row>
    <row r="7713">
      <c r="A7713" s="1" t="s">
        <v>7713</v>
      </c>
      <c r="B7713" s="2" t="str">
        <f>IFERROR(__xludf.DUMMYFUNCTION("GOOGLETRANSLATE(A7713, ""de"", ""en"")"),"crazy")</f>
        <v>crazy</v>
      </c>
    </row>
    <row r="7714">
      <c r="A7714" s="1" t="s">
        <v>7714</v>
      </c>
      <c r="B7714" s="2" t="str">
        <f>IFERROR(__xludf.DUMMYFUNCTION("GOOGLETRANSLATE(A7714, ""de"", ""en"")"),"torture")</f>
        <v>torture</v>
      </c>
    </row>
    <row r="7715">
      <c r="A7715" s="1" t="s">
        <v>7715</v>
      </c>
      <c r="B7715" s="2" t="str">
        <f>IFERROR(__xludf.DUMMYFUNCTION("GOOGLETRANSLATE(A7715, ""de"", ""en"")"),"spared")</f>
        <v>spared</v>
      </c>
    </row>
    <row r="7716">
      <c r="A7716" s="1" t="s">
        <v>7716</v>
      </c>
      <c r="B7716" s="2" t="str">
        <f>IFERROR(__xludf.DUMMYFUNCTION("GOOGLETRANSLATE(A7716, ""de"", ""en"")"),"Cuba")</f>
        <v>Cuba</v>
      </c>
    </row>
    <row r="7717">
      <c r="A7717" s="1" t="s">
        <v>7717</v>
      </c>
      <c r="B7717" s="2" t="str">
        <f>IFERROR(__xludf.DUMMYFUNCTION("GOOGLETRANSLATE(A7717, ""de"", ""en"")"),"would need")</f>
        <v>would need</v>
      </c>
    </row>
    <row r="7718">
      <c r="A7718" s="1" t="s">
        <v>7718</v>
      </c>
      <c r="B7718" s="2" t="str">
        <f>IFERROR(__xludf.DUMMYFUNCTION("GOOGLETRANSLATE(A7718, ""de"", ""en"")"),"overdose")</f>
        <v>overdose</v>
      </c>
    </row>
    <row r="7719">
      <c r="A7719" s="1" t="s">
        <v>7719</v>
      </c>
      <c r="B7719" s="2" t="str">
        <f>IFERROR(__xludf.DUMMYFUNCTION("GOOGLETRANSLATE(A7719, ""de"", ""en"")"),"bracelet")</f>
        <v>bracelet</v>
      </c>
    </row>
    <row r="7720">
      <c r="A7720" s="1" t="s">
        <v>7720</v>
      </c>
      <c r="B7720" s="2" t="str">
        <f>IFERROR(__xludf.DUMMYFUNCTION("GOOGLETRANSLATE(A7720, ""de"", ""en"")"),"bert")</f>
        <v>bert</v>
      </c>
    </row>
    <row r="7721">
      <c r="A7721" s="1" t="s">
        <v>7721</v>
      </c>
      <c r="B7721" s="2" t="str">
        <f>IFERROR(__xludf.DUMMYFUNCTION("GOOGLETRANSLATE(A7721, ""de"", ""en"")"),"adopted")</f>
        <v>adopted</v>
      </c>
    </row>
    <row r="7722">
      <c r="A7722" s="1" t="s">
        <v>7722</v>
      </c>
      <c r="B7722" s="2" t="str">
        <f>IFERROR(__xludf.DUMMYFUNCTION("GOOGLETRANSLATE(A7722, ""de"", ""en"")"),"accomplices")</f>
        <v>accomplices</v>
      </c>
    </row>
    <row r="7723">
      <c r="A7723" s="1" t="s">
        <v>7723</v>
      </c>
      <c r="B7723" s="2" t="str">
        <f>IFERROR(__xludf.DUMMYFUNCTION("GOOGLETRANSLATE(A7723, ""de"", ""en"")"),"former")</f>
        <v>former</v>
      </c>
    </row>
    <row r="7724">
      <c r="A7724" s="1" t="s">
        <v>7724</v>
      </c>
      <c r="B7724" s="2" t="str">
        <f>IFERROR(__xludf.DUMMYFUNCTION("GOOGLETRANSLATE(A7724, ""de"", ""en"")"),"department")</f>
        <v>department</v>
      </c>
    </row>
    <row r="7725">
      <c r="A7725" s="1" t="s">
        <v>7725</v>
      </c>
      <c r="B7725" s="2" t="str">
        <f>IFERROR(__xludf.DUMMYFUNCTION("GOOGLETRANSLATE(A7725, ""de"", ""en"")"),"turn on")</f>
        <v>turn on</v>
      </c>
    </row>
    <row r="7726">
      <c r="A7726" s="1" t="s">
        <v>7726</v>
      </c>
      <c r="B7726" s="2" t="str">
        <f>IFERROR(__xludf.DUMMYFUNCTION("GOOGLETRANSLATE(A7726, ""de"", ""en"")"),"handwriting")</f>
        <v>handwriting</v>
      </c>
    </row>
    <row r="7727">
      <c r="A7727" s="1" t="s">
        <v>7727</v>
      </c>
      <c r="B7727" s="2" t="str">
        <f>IFERROR(__xludf.DUMMYFUNCTION("GOOGLETRANSLATE(A7727, ""de"", ""en"")"),"oldest")</f>
        <v>oldest</v>
      </c>
    </row>
    <row r="7728">
      <c r="A7728" s="1" t="s">
        <v>7728</v>
      </c>
      <c r="B7728" s="2" t="str">
        <f>IFERROR(__xludf.DUMMYFUNCTION("GOOGLETRANSLATE(A7728, ""de"", ""en"")"),"assistants")</f>
        <v>assistants</v>
      </c>
    </row>
    <row r="7729">
      <c r="A7729" s="1" t="s">
        <v>7729</v>
      </c>
      <c r="B7729" s="2" t="str">
        <f>IFERROR(__xludf.DUMMYFUNCTION("GOOGLETRANSLATE(A7729, ""de"", ""en"")"),"great")</f>
        <v>great</v>
      </c>
    </row>
    <row r="7730">
      <c r="A7730" s="1" t="s">
        <v>7730</v>
      </c>
      <c r="B7730" s="2" t="str">
        <f>IFERROR(__xludf.DUMMYFUNCTION("GOOGLETRANSLATE(A7730, ""de"", ""en"")"),"masculine")</f>
        <v>masculine</v>
      </c>
    </row>
    <row r="7731">
      <c r="A7731" s="1" t="s">
        <v>7731</v>
      </c>
      <c r="B7731" s="2" t="str">
        <f>IFERROR(__xludf.DUMMYFUNCTION("GOOGLETRANSLATE(A7731, ""de"", ""en"")"),"take over")</f>
        <v>take over</v>
      </c>
    </row>
    <row r="7732">
      <c r="A7732" s="1" t="s">
        <v>7732</v>
      </c>
      <c r="B7732" s="2" t="str">
        <f>IFERROR(__xludf.DUMMYFUNCTION("GOOGLETRANSLATE(A7732, ""de"", ""en"")"),"remaining")</f>
        <v>remaining</v>
      </c>
    </row>
    <row r="7733">
      <c r="A7733" s="1" t="s">
        <v>7733</v>
      </c>
      <c r="B7733" s="2" t="str">
        <f>IFERROR(__xludf.DUMMYFUNCTION("GOOGLETRANSLATE(A7733, ""de"", ""en"")"),"piano music")</f>
        <v>piano music</v>
      </c>
    </row>
    <row r="7734">
      <c r="A7734" s="1" t="s">
        <v>7734</v>
      </c>
      <c r="B7734" s="2" t="str">
        <f>IFERROR(__xludf.DUMMYFUNCTION("GOOGLETRANSLATE(A7734, ""de"", ""en"")"),"ash")</f>
        <v>ash</v>
      </c>
    </row>
    <row r="7735">
      <c r="A7735" s="1" t="s">
        <v>7735</v>
      </c>
      <c r="B7735" s="2" t="str">
        <f>IFERROR(__xludf.DUMMYFUNCTION("GOOGLETRANSLATE(A7735, ""de"", ""en"")"),"victor")</f>
        <v>victor</v>
      </c>
    </row>
    <row r="7736">
      <c r="A7736" s="1" t="s">
        <v>7736</v>
      </c>
      <c r="B7736" s="2" t="str">
        <f>IFERROR(__xludf.DUMMYFUNCTION("GOOGLETRANSLATE(A7736, ""de"", ""en"")"),"judith")</f>
        <v>judith</v>
      </c>
    </row>
    <row r="7737">
      <c r="A7737" s="1" t="s">
        <v>7737</v>
      </c>
      <c r="B7737" s="2" t="str">
        <f>IFERROR(__xludf.DUMMYFUNCTION("GOOGLETRANSLATE(A7737, ""de"", ""en"")"),"rented")</f>
        <v>rented</v>
      </c>
    </row>
    <row r="7738">
      <c r="A7738" s="1" t="s">
        <v>7738</v>
      </c>
      <c r="B7738" s="2" t="str">
        <f>IFERROR(__xludf.DUMMYFUNCTION("GOOGLETRANSLATE(A7738, ""de"", ""en"")"),"mixture")</f>
        <v>mixture</v>
      </c>
    </row>
    <row r="7739">
      <c r="A7739" s="1" t="s">
        <v>7739</v>
      </c>
      <c r="B7739" s="2" t="str">
        <f>IFERROR(__xludf.DUMMYFUNCTION("GOOGLETRANSLATE(A7739, ""de"", ""en"")"),"luxury")</f>
        <v>luxury</v>
      </c>
    </row>
    <row r="7740">
      <c r="A7740" s="1" t="s">
        <v>7740</v>
      </c>
      <c r="B7740" s="2" t="str">
        <f>IFERROR(__xludf.DUMMYFUNCTION("GOOGLETRANSLATE(A7740, ""de"", ""en"")"),"momentum")</f>
        <v>momentum</v>
      </c>
    </row>
    <row r="7741">
      <c r="A7741" s="1" t="s">
        <v>7741</v>
      </c>
      <c r="B7741" s="2" t="str">
        <f>IFERROR(__xludf.DUMMYFUNCTION("GOOGLETRANSLATE(A7741, ""de"", ""en"")"),"vicky")</f>
        <v>vicky</v>
      </c>
    </row>
    <row r="7742">
      <c r="A7742" s="1" t="s">
        <v>7742</v>
      </c>
      <c r="B7742" s="2" t="str">
        <f>IFERROR(__xludf.DUMMYFUNCTION("GOOGLETRANSLATE(A7742, ""de"", ""en"")"),"go up")</f>
        <v>go up</v>
      </c>
    </row>
    <row r="7743">
      <c r="A7743" s="1" t="s">
        <v>7743</v>
      </c>
      <c r="B7743" s="2" t="str">
        <f>IFERROR(__xludf.DUMMYFUNCTION("GOOGLETRANSLATE(A7743, ""de"", ""en"")"),"step away")</f>
        <v>step away</v>
      </c>
    </row>
    <row r="7744">
      <c r="A7744" s="1" t="s">
        <v>7744</v>
      </c>
      <c r="B7744" s="2" t="str">
        <f>IFERROR(__xludf.DUMMYFUNCTION("GOOGLETRANSLATE(A7744, ""de"", ""en"")"),"stargate")</f>
        <v>stargate</v>
      </c>
    </row>
    <row r="7745">
      <c r="A7745" s="1" t="s">
        <v>7745</v>
      </c>
      <c r="B7745" s="2" t="str">
        <f>IFERROR(__xludf.DUMMYFUNCTION("GOOGLETRANSLATE(A7745, ""de"", ""en"")"),"Carlo")</f>
        <v>Carlo</v>
      </c>
    </row>
    <row r="7746">
      <c r="A7746" s="1" t="s">
        <v>7746</v>
      </c>
      <c r="B7746" s="2" t="str">
        <f>IFERROR(__xludf.DUMMYFUNCTION("GOOGLETRANSLATE(A7746, ""de"", ""en"")"),"dominated")</f>
        <v>dominated</v>
      </c>
    </row>
    <row r="7747">
      <c r="A7747" s="1" t="s">
        <v>7747</v>
      </c>
      <c r="B7747" s="2" t="str">
        <f>IFERROR(__xludf.DUMMYFUNCTION("GOOGLETRANSLATE(A7747, ""de"", ""en"")"),"flu")</f>
        <v>flu</v>
      </c>
    </row>
    <row r="7748">
      <c r="A7748" s="1" t="s">
        <v>7748</v>
      </c>
      <c r="B7748" s="2" t="str">
        <f>IFERROR(__xludf.DUMMYFUNCTION("GOOGLETRANSLATE(A7748, ""de"", ""en"")"),"informants")</f>
        <v>informants</v>
      </c>
    </row>
    <row r="7749">
      <c r="A7749" s="1" t="s">
        <v>7749</v>
      </c>
      <c r="B7749" s="2" t="str">
        <f>IFERROR(__xludf.DUMMYFUNCTION("GOOGLETRANSLATE(A7749, ""de"", ""en"")"),"mm-hmm")</f>
        <v>mm-hmm</v>
      </c>
    </row>
    <row r="7750">
      <c r="A7750" s="1" t="s">
        <v>7750</v>
      </c>
      <c r="B7750" s="2" t="str">
        <f>IFERROR(__xludf.DUMMYFUNCTION("GOOGLETRANSLATE(A7750, ""de"", ""en"")"),"covering")</f>
        <v>covering</v>
      </c>
    </row>
    <row r="7751">
      <c r="A7751" s="1" t="s">
        <v>7751</v>
      </c>
      <c r="B7751" s="2" t="str">
        <f>IFERROR(__xludf.DUMMYFUNCTION("GOOGLETRANSLATE(A7751, ""de"", ""en"")"),"side")</f>
        <v>side</v>
      </c>
    </row>
    <row r="7752">
      <c r="A7752" s="1" t="s">
        <v>7752</v>
      </c>
      <c r="B7752" s="2" t="str">
        <f>IFERROR(__xludf.DUMMYFUNCTION("GOOGLETRANSLATE(A7752, ""de"", ""en"")"),"flea")</f>
        <v>flea</v>
      </c>
    </row>
    <row r="7753">
      <c r="A7753" s="1" t="s">
        <v>7753</v>
      </c>
      <c r="B7753" s="2" t="str">
        <f>IFERROR(__xludf.DUMMYFUNCTION("GOOGLETRANSLATE(A7753, ""de"", ""en"")"),"kit")</f>
        <v>kit</v>
      </c>
    </row>
    <row r="7754">
      <c r="A7754" s="1" t="s">
        <v>7754</v>
      </c>
      <c r="B7754" s="2" t="str">
        <f>IFERROR(__xludf.DUMMYFUNCTION("GOOGLETRANSLATE(A7754, ""de"", ""en"")"),"fitz")</f>
        <v>fitz</v>
      </c>
    </row>
    <row r="7755">
      <c r="A7755" s="1" t="s">
        <v>7755</v>
      </c>
      <c r="B7755" s="2" t="str">
        <f>IFERROR(__xludf.DUMMYFUNCTION("GOOGLETRANSLATE(A7755, ""de"", ""en"")"),"noodles")</f>
        <v>noodles</v>
      </c>
    </row>
    <row r="7756">
      <c r="A7756" s="1" t="s">
        <v>7756</v>
      </c>
      <c r="B7756" s="2" t="str">
        <f>IFERROR(__xludf.DUMMYFUNCTION("GOOGLETRANSLATE(A7756, ""de"", ""en"")"),"sheep")</f>
        <v>sheep</v>
      </c>
    </row>
    <row r="7757">
      <c r="A7757" s="1" t="s">
        <v>7757</v>
      </c>
      <c r="B7757" s="2" t="str">
        <f>IFERROR(__xludf.DUMMYFUNCTION("GOOGLETRANSLATE(A7757, ""de"", ""en"")"),"time")</f>
        <v>time</v>
      </c>
    </row>
    <row r="7758">
      <c r="A7758" s="1" t="s">
        <v>7758</v>
      </c>
      <c r="B7758" s="2" t="str">
        <f>IFERROR(__xludf.DUMMYFUNCTION("GOOGLETRANSLATE(A7758, ""de"", ""en"")"),"cigar")</f>
        <v>cigar</v>
      </c>
    </row>
    <row r="7759">
      <c r="A7759" s="1" t="s">
        <v>7759</v>
      </c>
      <c r="B7759" s="2" t="str">
        <f>IFERROR(__xludf.DUMMYFUNCTION("GOOGLETRANSLATE(A7759, ""de"", ""en"")"),"dancer")</f>
        <v>dancer</v>
      </c>
    </row>
    <row r="7760">
      <c r="A7760" s="1" t="s">
        <v>7760</v>
      </c>
      <c r="B7760" s="2" t="str">
        <f>IFERROR(__xludf.DUMMYFUNCTION("GOOGLETRANSLATE(A7760, ""de"", ""en"")"),"shopping center")</f>
        <v>shopping center</v>
      </c>
    </row>
    <row r="7761">
      <c r="A7761" s="1" t="s">
        <v>7761</v>
      </c>
      <c r="B7761" s="2" t="str">
        <f>IFERROR(__xludf.DUMMYFUNCTION("GOOGLETRANSLATE(A7761, ""de"", ""en"")"),"full moon")</f>
        <v>full moon</v>
      </c>
    </row>
    <row r="7762">
      <c r="A7762" s="1" t="s">
        <v>7762</v>
      </c>
      <c r="B7762" s="2" t="str">
        <f>IFERROR(__xludf.DUMMYFUNCTION("GOOGLETRANSLATE(A7762, ""de"", ""en"")"),"Mexican")</f>
        <v>Mexican</v>
      </c>
    </row>
    <row r="7763">
      <c r="A7763" s="1" t="s">
        <v>7763</v>
      </c>
      <c r="B7763" s="2" t="str">
        <f>IFERROR(__xludf.DUMMYFUNCTION("GOOGLETRANSLATE(A7763, ""de"", ""en"")"),"beeps")</f>
        <v>beeps</v>
      </c>
    </row>
    <row r="7764">
      <c r="A7764" s="1" t="s">
        <v>7764</v>
      </c>
      <c r="B7764" s="2" t="str">
        <f>IFERROR(__xludf.DUMMYFUNCTION("GOOGLETRANSLATE(A7764, ""de"", ""en"")"),"stopped")</f>
        <v>stopped</v>
      </c>
    </row>
    <row r="7765">
      <c r="A7765" s="1" t="s">
        <v>7765</v>
      </c>
      <c r="B7765" s="2" t="str">
        <f>IFERROR(__xludf.DUMMYFUNCTION("GOOGLETRANSLATE(A7765, ""de"", ""en"")"),"grey")</f>
        <v>grey</v>
      </c>
    </row>
    <row r="7766">
      <c r="A7766" s="1" t="s">
        <v>7766</v>
      </c>
      <c r="B7766" s="2" t="str">
        <f>IFERROR(__xludf.DUMMYFUNCTION("GOOGLETRANSLATE(A7766, ""de"", ""en"")"),"furnished")</f>
        <v>furnished</v>
      </c>
    </row>
    <row r="7767">
      <c r="A7767" s="1" t="s">
        <v>7767</v>
      </c>
      <c r="B7767" s="2" t="str">
        <f>IFERROR(__xludf.DUMMYFUNCTION("GOOGLETRANSLATE(A7767, ""de"", ""en"")"),"hug")</f>
        <v>hug</v>
      </c>
    </row>
    <row r="7768">
      <c r="A7768" s="1" t="s">
        <v>7768</v>
      </c>
      <c r="B7768" s="2" t="str">
        <f>IFERROR(__xludf.DUMMYFUNCTION("GOOGLETRANSLATE(A7768, ""de"", ""en"")"),"pipe")</f>
        <v>pipe</v>
      </c>
    </row>
    <row r="7769">
      <c r="A7769" s="1" t="s">
        <v>7769</v>
      </c>
      <c r="B7769" s="2" t="str">
        <f>IFERROR(__xludf.DUMMYFUNCTION("GOOGLETRANSLATE(A7769, ""de"", ""en"")"),"batteries")</f>
        <v>batteries</v>
      </c>
    </row>
    <row r="7770">
      <c r="A7770" s="1" t="s">
        <v>7770</v>
      </c>
      <c r="B7770" s="2" t="str">
        <f>IFERROR(__xludf.DUMMYFUNCTION("GOOGLETRANSLATE(A7770, ""de"", ""en"")"),"ella")</f>
        <v>ella</v>
      </c>
    </row>
    <row r="7771">
      <c r="A7771" s="1" t="s">
        <v>7771</v>
      </c>
      <c r="B7771" s="2" t="str">
        <f>IFERROR(__xludf.DUMMYFUNCTION("GOOGLETRANSLATE(A7771, ""de"", ""en"")"),"donation")</f>
        <v>donation</v>
      </c>
    </row>
    <row r="7772">
      <c r="A7772" s="1" t="s">
        <v>7772</v>
      </c>
      <c r="B7772" s="2" t="str">
        <f>IFERROR(__xludf.DUMMYFUNCTION("GOOGLETRANSLATE(A7772, ""de"", ""en"")"),"julius")</f>
        <v>julius</v>
      </c>
    </row>
    <row r="7773">
      <c r="A7773" s="1" t="s">
        <v>7773</v>
      </c>
      <c r="B7773" s="2" t="str">
        <f>IFERROR(__xludf.DUMMYFUNCTION("GOOGLETRANSLATE(A7773, ""de"", ""en"")"),"mum")</f>
        <v>mum</v>
      </c>
    </row>
    <row r="7774">
      <c r="A7774" s="1" t="s">
        <v>7774</v>
      </c>
      <c r="B7774" s="2" t="str">
        <f>IFERROR(__xludf.DUMMYFUNCTION("GOOGLETRANSLATE(A7774, ""de"", ""en"")"),"goose")</f>
        <v>goose</v>
      </c>
    </row>
    <row r="7775">
      <c r="A7775" s="1" t="s">
        <v>7775</v>
      </c>
      <c r="B7775" s="2" t="str">
        <f>IFERROR(__xludf.DUMMYFUNCTION("GOOGLETRANSLATE(A7775, ""de"", ""en"")"),"shine")</f>
        <v>shine</v>
      </c>
    </row>
    <row r="7776">
      <c r="A7776" s="1" t="s">
        <v>7776</v>
      </c>
      <c r="B7776" s="2" t="str">
        <f>IFERROR(__xludf.DUMMYFUNCTION("GOOGLETRANSLATE(A7776, ""de"", ""en"")"),"alien")</f>
        <v>alien</v>
      </c>
    </row>
    <row r="7777">
      <c r="A7777" s="1" t="s">
        <v>7777</v>
      </c>
      <c r="B7777" s="2" t="str">
        <f>IFERROR(__xludf.DUMMYFUNCTION("GOOGLETRANSLATE(A7777, ""de"", ""en"")"),"dom")</f>
        <v>dom</v>
      </c>
    </row>
    <row r="7778">
      <c r="A7778" s="1" t="s">
        <v>7778</v>
      </c>
      <c r="B7778" s="2" t="str">
        <f>IFERROR(__xludf.DUMMYFUNCTION("GOOGLETRANSLATE(A7778, ""de"", ""en"")"),"got into trouble")</f>
        <v>got into trouble</v>
      </c>
    </row>
    <row r="7779">
      <c r="A7779" s="1" t="s">
        <v>7779</v>
      </c>
      <c r="B7779" s="2" t="str">
        <f>IFERROR(__xludf.DUMMYFUNCTION("GOOGLETRANSLATE(A7779, ""de"", ""en"")"),"signed")</f>
        <v>signed</v>
      </c>
    </row>
    <row r="7780">
      <c r="A7780" s="1" t="s">
        <v>7780</v>
      </c>
      <c r="B7780" s="2" t="str">
        <f>IFERROR(__xludf.DUMMYFUNCTION("GOOGLETRANSLATE(A7780, ""de"", ""en"")"),"operations")</f>
        <v>operations</v>
      </c>
    </row>
    <row r="7781">
      <c r="A7781" s="1" t="s">
        <v>7781</v>
      </c>
      <c r="B7781" s="2" t="str">
        <f>IFERROR(__xludf.DUMMYFUNCTION("GOOGLETRANSLATE(A7781, ""de"", ""en"")"),"shake")</f>
        <v>shake</v>
      </c>
    </row>
    <row r="7782">
      <c r="A7782" s="1" t="s">
        <v>7782</v>
      </c>
      <c r="B7782" s="2" t="str">
        <f>IFERROR(__xludf.DUMMYFUNCTION("GOOGLETRANSLATE(A7782, ""de"", ""en"")"),"missed")</f>
        <v>missed</v>
      </c>
    </row>
    <row r="7783">
      <c r="A7783" s="1" t="s">
        <v>7783</v>
      </c>
      <c r="B7783" s="2" t="str">
        <f>IFERROR(__xludf.DUMMYFUNCTION("GOOGLETRANSLATE(A7783, ""de"", ""en"")"),"tense")</f>
        <v>tense</v>
      </c>
    </row>
    <row r="7784">
      <c r="A7784" s="1" t="s">
        <v>7784</v>
      </c>
      <c r="B7784" s="2" t="str">
        <f>IFERROR(__xludf.DUMMYFUNCTION("GOOGLETRANSLATE(A7784, ""de"", ""en"")"),"following")</f>
        <v>following</v>
      </c>
    </row>
    <row r="7785">
      <c r="A7785" s="1" t="s">
        <v>7785</v>
      </c>
      <c r="B7785" s="2" t="str">
        <f>IFERROR(__xludf.DUMMYFUNCTION("GOOGLETRANSLATE(A7785, ""de"", ""en"")"),"fantastic")</f>
        <v>fantastic</v>
      </c>
    </row>
    <row r="7786">
      <c r="A7786" s="1" t="s">
        <v>7786</v>
      </c>
      <c r="B7786" s="2" t="str">
        <f>IFERROR(__xludf.DUMMYFUNCTION("GOOGLETRANSLATE(A7786, ""de"", ""en"")"),"nasty")</f>
        <v>nasty</v>
      </c>
    </row>
    <row r="7787">
      <c r="A7787" s="1" t="s">
        <v>7787</v>
      </c>
      <c r="B7787" s="2" t="str">
        <f>IFERROR(__xludf.DUMMYFUNCTION("GOOGLETRANSLATE(A7787, ""de"", ""en"")"),"warp")</f>
        <v>warp</v>
      </c>
    </row>
    <row r="7788">
      <c r="A7788" s="1" t="s">
        <v>7788</v>
      </c>
      <c r="B7788" s="2" t="str">
        <f>IFERROR(__xludf.DUMMYFUNCTION("GOOGLETRANSLATE(A7788, ""de"", ""en"")"),"heals")</f>
        <v>heals</v>
      </c>
    </row>
    <row r="7789">
      <c r="A7789" s="1" t="s">
        <v>7789</v>
      </c>
      <c r="B7789" s="2" t="str">
        <f>IFERROR(__xludf.DUMMYFUNCTION("GOOGLETRANSLATE(A7789, ""de"", ""en"")"),"effects")</f>
        <v>effects</v>
      </c>
    </row>
    <row r="7790">
      <c r="A7790" s="1" t="s">
        <v>7790</v>
      </c>
      <c r="B7790" s="2" t="str">
        <f>IFERROR(__xludf.DUMMYFUNCTION("GOOGLETRANSLATE(A7790, ""de"", ""en"")"),"gender")</f>
        <v>gender</v>
      </c>
    </row>
    <row r="7791">
      <c r="A7791" s="1" t="s">
        <v>7791</v>
      </c>
      <c r="B7791" s="2" t="str">
        <f>IFERROR(__xludf.DUMMYFUNCTION("GOOGLETRANSLATE(A7791, ""de"", ""en"")"),"accountant")</f>
        <v>accountant</v>
      </c>
    </row>
    <row r="7792">
      <c r="A7792" s="1" t="s">
        <v>7792</v>
      </c>
      <c r="B7792" s="2" t="str">
        <f>IFERROR(__xludf.DUMMYFUNCTION("GOOGLETRANSLATE(A7792, ""de"", ""en"")"),"dragon")</f>
        <v>dragon</v>
      </c>
    </row>
    <row r="7793">
      <c r="A7793" s="1" t="s">
        <v>7793</v>
      </c>
      <c r="B7793" s="2" t="str">
        <f>IFERROR(__xludf.DUMMYFUNCTION("GOOGLETRANSLATE(A7793, ""de"", ""en"")"),"computer logbook")</f>
        <v>computer logbook</v>
      </c>
    </row>
    <row r="7794">
      <c r="A7794" s="1" t="s">
        <v>7794</v>
      </c>
      <c r="B7794" s="2" t="str">
        <f>IFERROR(__xludf.DUMMYFUNCTION("GOOGLETRANSLATE(A7794, ""de"", ""en"")"),"interpret")</f>
        <v>interpret</v>
      </c>
    </row>
    <row r="7795">
      <c r="A7795" s="1" t="s">
        <v>7795</v>
      </c>
      <c r="B7795" s="2" t="str">
        <f>IFERROR(__xludf.DUMMYFUNCTION("GOOGLETRANSLATE(A7795, ""de"", ""en"")"),"education")</f>
        <v>education</v>
      </c>
    </row>
    <row r="7796">
      <c r="A7796" s="1" t="s">
        <v>7796</v>
      </c>
      <c r="B7796" s="2" t="str">
        <f>IFERROR(__xludf.DUMMYFUNCTION("GOOGLETRANSLATE(A7796, ""de"", ""en"")"),"stored")</f>
        <v>stored</v>
      </c>
    </row>
    <row r="7797">
      <c r="A7797" s="1" t="s">
        <v>7797</v>
      </c>
      <c r="B7797" s="2" t="str">
        <f>IFERROR(__xludf.DUMMYFUNCTION("GOOGLETRANSLATE(A7797, ""de"", ""en"")"),"more personal")</f>
        <v>more personal</v>
      </c>
    </row>
    <row r="7798">
      <c r="A7798" s="1" t="s">
        <v>7798</v>
      </c>
      <c r="B7798" s="2" t="str">
        <f>IFERROR(__xludf.DUMMYFUNCTION("GOOGLETRANSLATE(A7798, ""de"", ""en"")"),"blackmailed")</f>
        <v>blackmailed</v>
      </c>
    </row>
    <row r="7799">
      <c r="A7799" s="1" t="s">
        <v>7799</v>
      </c>
      <c r="B7799" s="2" t="str">
        <f>IFERROR(__xludf.DUMMYFUNCTION("GOOGLETRANSLATE(A7799, ""de"", ""en"")"),"sang")</f>
        <v>sang</v>
      </c>
    </row>
    <row r="7800">
      <c r="A7800" s="1" t="s">
        <v>7800</v>
      </c>
      <c r="B7800" s="2" t="str">
        <f>IFERROR(__xludf.DUMMYFUNCTION("GOOGLETRANSLATE(A7800, ""de"", ""en"")"),"bring there")</f>
        <v>bring there</v>
      </c>
    </row>
    <row r="7801">
      <c r="A7801" s="1" t="s">
        <v>7801</v>
      </c>
      <c r="B7801" s="2" t="str">
        <f>IFERROR(__xludf.DUMMYFUNCTION("GOOGLETRANSLATE(A7801, ""de"", ""en"")"),"American")</f>
        <v>American</v>
      </c>
    </row>
    <row r="7802">
      <c r="A7802" s="1" t="s">
        <v>7802</v>
      </c>
      <c r="B7802" s="2" t="str">
        <f>IFERROR(__xludf.DUMMYFUNCTION("GOOGLETRANSLATE(A7802, ""de"", ""en"")"),"bad")</f>
        <v>bad</v>
      </c>
    </row>
    <row r="7803">
      <c r="A7803" s="1" t="s">
        <v>7803</v>
      </c>
      <c r="B7803" s="2" t="str">
        <f>IFERROR(__xludf.DUMMYFUNCTION("GOOGLETRANSLATE(A7803, ""de"", ""en"")"),"simple")</f>
        <v>simple</v>
      </c>
    </row>
    <row r="7804">
      <c r="A7804" s="1" t="s">
        <v>7804</v>
      </c>
      <c r="B7804" s="2" t="str">
        <f>IFERROR(__xludf.DUMMYFUNCTION("GOOGLETRANSLATE(A7804, ""de"", ""en"")"),"scheduled")</f>
        <v>scheduled</v>
      </c>
    </row>
    <row r="7805">
      <c r="A7805" s="1" t="s">
        <v>7805</v>
      </c>
      <c r="B7805" s="2" t="str">
        <f>IFERROR(__xludf.DUMMYFUNCTION("GOOGLETRANSLATE(A7805, ""de"", ""en"")"),"mmm")</f>
        <v>mmm</v>
      </c>
    </row>
    <row r="7806">
      <c r="A7806" s="1" t="s">
        <v>7806</v>
      </c>
      <c r="B7806" s="2" t="str">
        <f>IFERROR(__xludf.DUMMYFUNCTION("GOOGLETRANSLATE(A7806, ""de"", ""en"")"),"hudson")</f>
        <v>hudson</v>
      </c>
    </row>
    <row r="7807">
      <c r="A7807" s="1" t="s">
        <v>7807</v>
      </c>
      <c r="B7807" s="2" t="str">
        <f>IFERROR(__xludf.DUMMYFUNCTION("GOOGLETRANSLATE(A7807, ""de"", ""en"")"),"Joseph")</f>
        <v>Joseph</v>
      </c>
    </row>
    <row r="7808">
      <c r="A7808" s="1" t="s">
        <v>7808</v>
      </c>
      <c r="B7808" s="2" t="str">
        <f>IFERROR(__xludf.DUMMYFUNCTION("GOOGLETRANSLATE(A7808, ""de"", ""en"")"),"reagan")</f>
        <v>reagan</v>
      </c>
    </row>
    <row r="7809">
      <c r="A7809" s="1" t="s">
        <v>7809</v>
      </c>
      <c r="B7809" s="2" t="str">
        <f>IFERROR(__xludf.DUMMYFUNCTION("GOOGLETRANSLATE(A7809, ""de"", ""en"")"),"direct hit")</f>
        <v>direct hit</v>
      </c>
    </row>
    <row r="7810">
      <c r="A7810" s="1" t="s">
        <v>7810</v>
      </c>
      <c r="B7810" s="2" t="str">
        <f>IFERROR(__xludf.DUMMYFUNCTION("GOOGLETRANSLATE(A7810, ""de"", ""en"")"),"Jonah")</f>
        <v>Jonah</v>
      </c>
    </row>
    <row r="7811">
      <c r="A7811" s="1" t="s">
        <v>7811</v>
      </c>
      <c r="B7811" s="2" t="str">
        <f>IFERROR(__xludf.DUMMYFUNCTION("GOOGLETRANSLATE(A7811, ""de"", ""en"")"),"more total")</f>
        <v>more total</v>
      </c>
    </row>
    <row r="7812">
      <c r="A7812" s="1" t="s">
        <v>7812</v>
      </c>
      <c r="B7812" s="2" t="str">
        <f>IFERROR(__xludf.DUMMYFUNCTION("GOOGLETRANSLATE(A7812, ""de"", ""en"")"),"robinson")</f>
        <v>robinson</v>
      </c>
    </row>
    <row r="7813">
      <c r="A7813" s="1" t="s">
        <v>7813</v>
      </c>
      <c r="B7813" s="2" t="str">
        <f>IFERROR(__xludf.DUMMYFUNCTION("GOOGLETRANSLATE(A7813, ""de"", ""en"")"),"happens")</f>
        <v>happens</v>
      </c>
    </row>
    <row r="7814">
      <c r="A7814" s="1" t="s">
        <v>7814</v>
      </c>
      <c r="B7814" s="2" t="str">
        <f>IFERROR(__xludf.DUMMYFUNCTION("GOOGLETRANSLATE(A7814, ""de"", ""en"")"),"dominion")</f>
        <v>dominion</v>
      </c>
    </row>
    <row r="7815">
      <c r="A7815" s="1" t="s">
        <v>7815</v>
      </c>
      <c r="B7815" s="2" t="str">
        <f>IFERROR(__xludf.DUMMYFUNCTION("GOOGLETRANSLATE(A7815, ""de"", ""en"")"),"interrogate")</f>
        <v>interrogate</v>
      </c>
    </row>
    <row r="7816">
      <c r="A7816" s="1" t="s">
        <v>7816</v>
      </c>
      <c r="B7816" s="2" t="str">
        <f>IFERROR(__xludf.DUMMYFUNCTION("GOOGLETRANSLATE(A7816, ""de"", ""en"")"),"immediately")</f>
        <v>immediately</v>
      </c>
    </row>
    <row r="7817">
      <c r="A7817" s="1" t="s">
        <v>7817</v>
      </c>
      <c r="B7817" s="2" t="str">
        <f>IFERROR(__xludf.DUMMYFUNCTION("GOOGLETRANSLATE(A7817, ""de"", ""en"")"),"Christina")</f>
        <v>Christina</v>
      </c>
    </row>
    <row r="7818">
      <c r="A7818" s="1" t="s">
        <v>7818</v>
      </c>
      <c r="B7818" s="2" t="str">
        <f>IFERROR(__xludf.DUMMYFUNCTION("GOOGLETRANSLATE(A7818, ""de"", ""en"")"),"engaged")</f>
        <v>engaged</v>
      </c>
    </row>
    <row r="7819">
      <c r="A7819" s="1" t="s">
        <v>7819</v>
      </c>
      <c r="B7819" s="2" t="str">
        <f>IFERROR(__xludf.DUMMYFUNCTION("GOOGLETRANSLATE(A7819, ""de"", ""en"")"),"found")</f>
        <v>found</v>
      </c>
    </row>
    <row r="7820">
      <c r="A7820" s="1" t="s">
        <v>7820</v>
      </c>
      <c r="B7820" s="2" t="str">
        <f>IFERROR(__xludf.DUMMYFUNCTION("GOOGLETRANSLATE(A7820, ""de"", ""en"")"),"unable")</f>
        <v>unable</v>
      </c>
    </row>
    <row r="7821">
      <c r="A7821" s="1" t="s">
        <v>7821</v>
      </c>
      <c r="B7821" s="2" t="str">
        <f>IFERROR(__xludf.DUMMYFUNCTION("GOOGLETRANSLATE(A7821, ""de"", ""en"")"),"put")</f>
        <v>put</v>
      </c>
    </row>
    <row r="7822">
      <c r="A7822" s="1" t="s">
        <v>7822</v>
      </c>
      <c r="B7822" s="2" t="str">
        <f>IFERROR(__xludf.DUMMYFUNCTION("GOOGLETRANSLATE(A7822, ""de"", ""en"")"),"mi")</f>
        <v>mi</v>
      </c>
    </row>
    <row r="7823">
      <c r="A7823" s="1" t="s">
        <v>7823</v>
      </c>
      <c r="B7823" s="2" t="str">
        <f>IFERROR(__xludf.DUMMYFUNCTION("GOOGLETRANSLATE(A7823, ""de"", ""en"")"),"originally")</f>
        <v>originally</v>
      </c>
    </row>
    <row r="7824">
      <c r="A7824" s="1" t="s">
        <v>7824</v>
      </c>
      <c r="B7824" s="2" t="str">
        <f>IFERROR(__xludf.DUMMYFUNCTION("GOOGLETRANSLATE(A7824, ""de"", ""en"")"),"distance")</f>
        <v>distance</v>
      </c>
    </row>
    <row r="7825">
      <c r="A7825" s="1" t="s">
        <v>7825</v>
      </c>
      <c r="B7825" s="2" t="str">
        <f>IFERROR(__xludf.DUMMYFUNCTION("GOOGLETRANSLATE(A7825, ""de"", ""en"")"),"rufus")</f>
        <v>rufus</v>
      </c>
    </row>
    <row r="7826">
      <c r="A7826" s="1" t="s">
        <v>7826</v>
      </c>
      <c r="B7826" s="2" t="str">
        <f>IFERROR(__xludf.DUMMYFUNCTION("GOOGLETRANSLATE(A7826, ""de"", ""en"")"),"conceal")</f>
        <v>conceal</v>
      </c>
    </row>
    <row r="7827">
      <c r="A7827" s="1" t="s">
        <v>7827</v>
      </c>
      <c r="B7827" s="2" t="str">
        <f>IFERROR(__xludf.DUMMYFUNCTION("GOOGLETRANSLATE(A7827, ""de"", ""en"")"),"deceased")</f>
        <v>deceased</v>
      </c>
    </row>
    <row r="7828">
      <c r="A7828" s="1" t="s">
        <v>7828</v>
      </c>
      <c r="B7828" s="2" t="str">
        <f>IFERROR(__xludf.DUMMYFUNCTION("GOOGLETRANSLATE(A7828, ""de"", ""en"")"),"deify")</f>
        <v>deify</v>
      </c>
    </row>
    <row r="7829">
      <c r="A7829" s="1" t="s">
        <v>7829</v>
      </c>
      <c r="B7829" s="2" t="str">
        <f>IFERROR(__xludf.DUMMYFUNCTION("GOOGLETRANSLATE(A7829, ""de"", ""en"")"),"dogs")</f>
        <v>dogs</v>
      </c>
    </row>
    <row r="7830">
      <c r="A7830" s="1" t="s">
        <v>7830</v>
      </c>
      <c r="B7830" s="2" t="str">
        <f>IFERROR(__xludf.DUMMYFUNCTION("GOOGLETRANSLATE(A7830, ""de"", ""en"")"),"lastly")</f>
        <v>lastly</v>
      </c>
    </row>
    <row r="7831">
      <c r="A7831" s="1" t="s">
        <v>7831</v>
      </c>
      <c r="B7831" s="2" t="str">
        <f>IFERROR(__xludf.DUMMYFUNCTION("GOOGLETRANSLATE(A7831, ""de"", ""en"")"),"jasper")</f>
        <v>jasper</v>
      </c>
    </row>
    <row r="7832">
      <c r="A7832" s="1" t="s">
        <v>7832</v>
      </c>
      <c r="B7832" s="2" t="str">
        <f>IFERROR(__xludf.DUMMYFUNCTION("GOOGLETRANSLATE(A7832, ""de"", ""en"")"),"Napoleon")</f>
        <v>Napoleon</v>
      </c>
    </row>
    <row r="7833">
      <c r="A7833" s="1" t="s">
        <v>7833</v>
      </c>
      <c r="B7833" s="2" t="str">
        <f>IFERROR(__xludf.DUMMYFUNCTION("GOOGLETRANSLATE(A7833, ""de"", ""en"")"),"Joshua")</f>
        <v>Joshua</v>
      </c>
    </row>
    <row r="7834">
      <c r="A7834" s="1" t="s">
        <v>7834</v>
      </c>
      <c r="B7834" s="2" t="str">
        <f>IFERROR(__xludf.DUMMYFUNCTION("GOOGLETRANSLATE(A7834, ""de"", ""en"")"),"approve")</f>
        <v>approve</v>
      </c>
    </row>
    <row r="7835">
      <c r="A7835" s="1" t="s">
        <v>7835</v>
      </c>
      <c r="B7835" s="2" t="str">
        <f>IFERROR(__xludf.DUMMYFUNCTION("GOOGLETRANSLATE(A7835, ""de"", ""en"")"),"spared")</f>
        <v>spared</v>
      </c>
    </row>
    <row r="7836">
      <c r="A7836" s="1" t="s">
        <v>7836</v>
      </c>
      <c r="B7836" s="2" t="str">
        <f>IFERROR(__xludf.DUMMYFUNCTION("GOOGLETRANSLATE(A7836, ""de"", ""en"")"),"rendezvous")</f>
        <v>rendezvous</v>
      </c>
    </row>
    <row r="7837">
      <c r="A7837" s="1" t="s">
        <v>7837</v>
      </c>
      <c r="B7837" s="2" t="str">
        <f>IFERROR(__xludf.DUMMYFUNCTION("GOOGLETRANSLATE(A7837, ""de"", ""en"")"),"recommendation")</f>
        <v>recommendation</v>
      </c>
    </row>
    <row r="7838">
      <c r="A7838" s="1" t="s">
        <v>7838</v>
      </c>
      <c r="B7838" s="2" t="str">
        <f>IFERROR(__xludf.DUMMYFUNCTION("GOOGLETRANSLATE(A7838, ""de"", ""en"")"),"wrist")</f>
        <v>wrist</v>
      </c>
    </row>
    <row r="7839">
      <c r="A7839" s="1" t="s">
        <v>7839</v>
      </c>
      <c r="B7839" s="2" t="str">
        <f>IFERROR(__xludf.DUMMYFUNCTION("GOOGLETRANSLATE(A7839, ""de"", ""en"")"),"offered")</f>
        <v>offered</v>
      </c>
    </row>
    <row r="7840">
      <c r="A7840" s="1" t="s">
        <v>7840</v>
      </c>
      <c r="B7840" s="2" t="str">
        <f>IFERROR(__xludf.DUMMYFUNCTION("GOOGLETRANSLATE(A7840, ""de"", ""en"")"),"sign")</f>
        <v>sign</v>
      </c>
    </row>
    <row r="7841">
      <c r="A7841" s="1" t="s">
        <v>7841</v>
      </c>
      <c r="B7841" s="2" t="str">
        <f>IFERROR(__xludf.DUMMYFUNCTION("GOOGLETRANSLATE(A7841, ""de"", ""en"")"),"burden")</f>
        <v>burden</v>
      </c>
    </row>
    <row r="7842">
      <c r="A7842" s="1" t="s">
        <v>7842</v>
      </c>
      <c r="B7842" s="2" t="str">
        <f>IFERROR(__xludf.DUMMYFUNCTION("GOOGLETRANSLATE(A7842, ""de"", ""en"")"),"special")</f>
        <v>special</v>
      </c>
    </row>
    <row r="7843">
      <c r="A7843" s="1" t="s">
        <v>7843</v>
      </c>
      <c r="B7843" s="2" t="str">
        <f>IFERROR(__xludf.DUMMYFUNCTION("GOOGLETRANSLATE(A7843, ""de"", ""en"")"),"literature")</f>
        <v>literature</v>
      </c>
    </row>
    <row r="7844">
      <c r="A7844" s="1" t="s">
        <v>7844</v>
      </c>
      <c r="B7844" s="2" t="str">
        <f>IFERROR(__xludf.DUMMYFUNCTION("GOOGLETRANSLATE(A7844, ""de"", ""en"")"),"landed")</f>
        <v>landed</v>
      </c>
    </row>
    <row r="7845">
      <c r="A7845" s="1" t="s">
        <v>7845</v>
      </c>
      <c r="B7845" s="2" t="str">
        <f>IFERROR(__xludf.DUMMYFUNCTION("GOOGLETRANSLATE(A7845, ""de"", ""en"")"),"arrived")</f>
        <v>arrived</v>
      </c>
    </row>
    <row r="7846">
      <c r="A7846" s="1" t="s">
        <v>7846</v>
      </c>
      <c r="B7846" s="2" t="str">
        <f>IFERROR(__xludf.DUMMYFUNCTION("GOOGLETRANSLATE(A7846, ""de"", ""en"")"),"cooler")</f>
        <v>cooler</v>
      </c>
    </row>
    <row r="7847">
      <c r="A7847" s="1" t="s">
        <v>7847</v>
      </c>
      <c r="B7847" s="2" t="str">
        <f>IFERROR(__xludf.DUMMYFUNCTION("GOOGLETRANSLATE(A7847, ""de"", ""en"")"),"across")</f>
        <v>across</v>
      </c>
    </row>
    <row r="7848">
      <c r="A7848" s="1" t="s">
        <v>7848</v>
      </c>
      <c r="B7848" s="2" t="str">
        <f>IFERROR(__xludf.DUMMYFUNCTION("GOOGLETRANSLATE(A7848, ""de"", ""en"")"),"satellites")</f>
        <v>satellites</v>
      </c>
    </row>
    <row r="7849">
      <c r="A7849" s="1" t="s">
        <v>7849</v>
      </c>
      <c r="B7849" s="2" t="str">
        <f>IFERROR(__xludf.DUMMYFUNCTION("GOOGLETRANSLATE(A7849, ""de"", ""en"")"),"meet")</f>
        <v>meet</v>
      </c>
    </row>
    <row r="7850">
      <c r="A7850" s="1" t="s">
        <v>7850</v>
      </c>
      <c r="B7850" s="2" t="str">
        <f>IFERROR(__xludf.DUMMYFUNCTION("GOOGLETRANSLATE(A7850, ""de"", ""en"")"),"analyze")</f>
        <v>analyze</v>
      </c>
    </row>
    <row r="7851">
      <c r="A7851" s="1" t="s">
        <v>7851</v>
      </c>
      <c r="B7851" s="2" t="str">
        <f>IFERROR(__xludf.DUMMYFUNCTION("GOOGLETRANSLATE(A7851, ""de"", ""en"")"),"pimp")</f>
        <v>pimp</v>
      </c>
    </row>
    <row r="7852">
      <c r="A7852" s="1" t="s">
        <v>7852</v>
      </c>
      <c r="B7852" s="2" t="str">
        <f>IFERROR(__xludf.DUMMYFUNCTION("GOOGLETRANSLATE(A7852, ""de"", ""en"")"),"deeply")</f>
        <v>deeply</v>
      </c>
    </row>
    <row r="7853">
      <c r="A7853" s="1" t="s">
        <v>7853</v>
      </c>
      <c r="B7853" s="2" t="str">
        <f>IFERROR(__xludf.DUMMYFUNCTION("GOOGLETRANSLATE(A7853, ""de"", ""en"")"),"directed")</f>
        <v>directed</v>
      </c>
    </row>
    <row r="7854">
      <c r="A7854" s="1" t="s">
        <v>7854</v>
      </c>
      <c r="B7854" s="2" t="str">
        <f>IFERROR(__xludf.DUMMYFUNCTION("GOOGLETRANSLATE(A7854, ""de"", ""en"")"),"slaughter")</f>
        <v>slaughter</v>
      </c>
    </row>
    <row r="7855">
      <c r="A7855" s="1" t="s">
        <v>7855</v>
      </c>
      <c r="B7855" s="2" t="str">
        <f>IFERROR(__xludf.DUMMYFUNCTION("GOOGLETRANSLATE(A7855, ""de"", ""en"")"),"employee")</f>
        <v>employee</v>
      </c>
    </row>
    <row r="7856">
      <c r="A7856" s="1" t="s">
        <v>7856</v>
      </c>
      <c r="B7856" s="2" t="str">
        <f>IFERROR(__xludf.DUMMYFUNCTION("GOOGLETRANSLATE(A7856, ""de"", ""en"")"),"design")</f>
        <v>design</v>
      </c>
    </row>
    <row r="7857">
      <c r="A7857" s="1" t="s">
        <v>7857</v>
      </c>
      <c r="B7857" s="2" t="str">
        <f>IFERROR(__xludf.DUMMYFUNCTION("GOOGLETRANSLATE(A7857, ""de"", ""en"")"),"behead")</f>
        <v>behead</v>
      </c>
    </row>
    <row r="7858">
      <c r="A7858" s="1" t="s">
        <v>7858</v>
      </c>
      <c r="B7858" s="2" t="str">
        <f>IFERROR(__xludf.DUMMYFUNCTION("GOOGLETRANSLATE(A7858, ""de"", ""en"")"),"scholarship")</f>
        <v>scholarship</v>
      </c>
    </row>
    <row r="7859">
      <c r="A7859" s="1" t="s">
        <v>7859</v>
      </c>
      <c r="B7859" s="2" t="str">
        <f>IFERROR(__xludf.DUMMYFUNCTION("GOOGLETRANSLATE(A7859, ""de"", ""en"")"),"illegal")</f>
        <v>illegal</v>
      </c>
    </row>
    <row r="7860">
      <c r="A7860" s="1" t="s">
        <v>7860</v>
      </c>
      <c r="B7860" s="2" t="str">
        <f>IFERROR(__xludf.DUMMYFUNCTION("GOOGLETRANSLATE(A7860, ""de"", ""en"")"),"poison")</f>
        <v>poison</v>
      </c>
    </row>
    <row r="7861">
      <c r="A7861" s="1" t="s">
        <v>7861</v>
      </c>
      <c r="B7861" s="2" t="str">
        <f>IFERROR(__xludf.DUMMYFUNCTION("GOOGLETRANSLATE(A7861, ""de"", ""en"")"),"here")</f>
        <v>here</v>
      </c>
    </row>
    <row r="7862">
      <c r="A7862" s="1" t="s">
        <v>7862</v>
      </c>
      <c r="B7862" s="2" t="str">
        <f>IFERROR(__xludf.DUMMYFUNCTION("GOOGLETRANSLATE(A7862, ""de"", ""en"")"),"celebrates")</f>
        <v>celebrates</v>
      </c>
    </row>
    <row r="7863">
      <c r="A7863" s="1" t="s">
        <v>7863</v>
      </c>
      <c r="B7863" s="2" t="str">
        <f>IFERROR(__xludf.DUMMYFUNCTION("GOOGLETRANSLATE(A7863, ""de"", ""en"")"),"admire")</f>
        <v>admire</v>
      </c>
    </row>
    <row r="7864">
      <c r="A7864" s="1" t="s">
        <v>7864</v>
      </c>
      <c r="B7864" s="2" t="str">
        <f>IFERROR(__xludf.DUMMYFUNCTION("GOOGLETRANSLATE(A7864, ""de"", ""en"")"),"Herbert")</f>
        <v>Herbert</v>
      </c>
    </row>
    <row r="7865">
      <c r="A7865" s="1" t="s">
        <v>7865</v>
      </c>
      <c r="B7865" s="2" t="str">
        <f>IFERROR(__xludf.DUMMYFUNCTION("GOOGLETRANSLATE(A7865, ""de"", ""en"")"),"terrible")</f>
        <v>terrible</v>
      </c>
    </row>
    <row r="7866">
      <c r="A7866" s="1" t="s">
        <v>7866</v>
      </c>
      <c r="B7866" s="2" t="str">
        <f>IFERROR(__xludf.DUMMYFUNCTION("GOOGLETRANSLATE(A7866, ""de"", ""en"")"),"hip")</f>
        <v>hip</v>
      </c>
    </row>
    <row r="7867">
      <c r="A7867" s="1" t="s">
        <v>7867</v>
      </c>
      <c r="B7867" s="2" t="str">
        <f>IFERROR(__xludf.DUMMYFUNCTION("GOOGLETRANSLATE(A7867, ""de"", ""en"")"),"involved")</f>
        <v>involved</v>
      </c>
    </row>
    <row r="7868">
      <c r="A7868" s="1" t="s">
        <v>7868</v>
      </c>
      <c r="B7868" s="2" t="str">
        <f>IFERROR(__xludf.DUMMYFUNCTION("GOOGLETRANSLATE(A7868, ""de"", ""en"")"),"throw")</f>
        <v>throw</v>
      </c>
    </row>
    <row r="7869">
      <c r="A7869" s="1" t="s">
        <v>7869</v>
      </c>
      <c r="B7869" s="2" t="str">
        <f>IFERROR(__xludf.DUMMYFUNCTION("GOOGLETRANSLATE(A7869, ""de"", ""en"")"),"engine room")</f>
        <v>engine room</v>
      </c>
    </row>
    <row r="7870">
      <c r="A7870" s="1" t="s">
        <v>7870</v>
      </c>
      <c r="B7870" s="2" t="str">
        <f>IFERROR(__xludf.DUMMYFUNCTION("GOOGLETRANSLATE(A7870, ""de"", ""en"")"),"inspiration")</f>
        <v>inspiration</v>
      </c>
    </row>
    <row r="7871">
      <c r="A7871" s="1" t="s">
        <v>7871</v>
      </c>
      <c r="B7871" s="2" t="str">
        <f>IFERROR(__xludf.DUMMYFUNCTION("GOOGLETRANSLATE(A7871, ""de"", ""en"")"),"Ohio")</f>
        <v>Ohio</v>
      </c>
    </row>
    <row r="7872">
      <c r="A7872" s="1" t="s">
        <v>7872</v>
      </c>
      <c r="B7872" s="2" t="str">
        <f>IFERROR(__xludf.DUMMYFUNCTION("GOOGLETRANSLATE(A7872, ""de"", ""en"")"),"seeds")</f>
        <v>seeds</v>
      </c>
    </row>
    <row r="7873">
      <c r="A7873" s="1" t="s">
        <v>7873</v>
      </c>
      <c r="B7873" s="2" t="str">
        <f>IFERROR(__xludf.DUMMYFUNCTION("GOOGLETRANSLATE(A7873, ""de"", ""en"")"),"ambush")</f>
        <v>ambush</v>
      </c>
    </row>
    <row r="7874">
      <c r="A7874" s="1" t="s">
        <v>7874</v>
      </c>
      <c r="B7874" s="2" t="str">
        <f>IFERROR(__xludf.DUMMYFUNCTION("GOOGLETRANSLATE(A7874, ""de"", ""en"")"),"custody")</f>
        <v>custody</v>
      </c>
    </row>
    <row r="7875">
      <c r="A7875" s="1" t="s">
        <v>7875</v>
      </c>
      <c r="B7875" s="2" t="str">
        <f>IFERROR(__xludf.DUMMYFUNCTION("GOOGLETRANSLATE(A7875, ""de"", ""en"")"),"heavy")</f>
        <v>heavy</v>
      </c>
    </row>
    <row r="7876">
      <c r="A7876" s="1" t="s">
        <v>7876</v>
      </c>
      <c r="B7876" s="2" t="str">
        <f>IFERROR(__xludf.DUMMYFUNCTION("GOOGLETRANSLATE(A7876, ""de"", ""en"")"),"inhale")</f>
        <v>inhale</v>
      </c>
    </row>
    <row r="7877">
      <c r="A7877" s="1" t="s">
        <v>7877</v>
      </c>
      <c r="B7877" s="2" t="str">
        <f>IFERROR(__xludf.DUMMYFUNCTION("GOOGLETRANSLATE(A7877, ""de"", ""en"")"),"hold back")</f>
        <v>hold back</v>
      </c>
    </row>
    <row r="7878">
      <c r="A7878" s="1" t="s">
        <v>7878</v>
      </c>
      <c r="B7878" s="2" t="str">
        <f>IFERROR(__xludf.DUMMYFUNCTION("GOOGLETRANSLATE(A7878, ""de"", ""en"")"),"sluts")</f>
        <v>sluts</v>
      </c>
    </row>
    <row r="7879">
      <c r="A7879" s="1" t="s">
        <v>7879</v>
      </c>
      <c r="B7879" s="2" t="str">
        <f>IFERROR(__xludf.DUMMYFUNCTION("GOOGLETRANSLATE(A7879, ""de"", ""en"")"),"perfume")</f>
        <v>perfume</v>
      </c>
    </row>
    <row r="7880">
      <c r="A7880" s="1" t="s">
        <v>7880</v>
      </c>
      <c r="B7880" s="2" t="str">
        <f>IFERROR(__xludf.DUMMYFUNCTION("GOOGLETRANSLATE(A7880, ""de"", ""en"")"),"president")</f>
        <v>president</v>
      </c>
    </row>
    <row r="7881">
      <c r="A7881" s="1" t="s">
        <v>7881</v>
      </c>
      <c r="B7881" s="2" t="str">
        <f>IFERROR(__xludf.DUMMYFUNCTION("GOOGLETRANSLATE(A7881, ""de"", ""en"")"),"abe")</f>
        <v>abe</v>
      </c>
    </row>
    <row r="7882">
      <c r="A7882" s="1" t="s">
        <v>7882</v>
      </c>
      <c r="B7882" s="2" t="str">
        <f>IFERROR(__xludf.DUMMYFUNCTION("GOOGLETRANSLATE(A7882, ""de"", ""en"")"),"dismissal")</f>
        <v>dismissal</v>
      </c>
    </row>
    <row r="7883">
      <c r="A7883" s="1" t="s">
        <v>7883</v>
      </c>
      <c r="B7883" s="2" t="str">
        <f>IFERROR(__xludf.DUMMYFUNCTION("GOOGLETRANSLATE(A7883, ""de"", ""en"")"),"capital punishment")</f>
        <v>capital punishment</v>
      </c>
    </row>
    <row r="7884">
      <c r="A7884" s="1" t="s">
        <v>7884</v>
      </c>
      <c r="B7884" s="2" t="str">
        <f>IFERROR(__xludf.DUMMYFUNCTION("GOOGLETRANSLATE(A7884, ""de"", ""en"")"),"broke out")</f>
        <v>broke out</v>
      </c>
    </row>
    <row r="7885">
      <c r="A7885" s="1" t="s">
        <v>7885</v>
      </c>
      <c r="B7885" s="2" t="str">
        <f>IFERROR(__xludf.DUMMYFUNCTION("GOOGLETRANSLATE(A7885, ""de"", ""en"")"),"drive away")</f>
        <v>drive away</v>
      </c>
    </row>
    <row r="7886">
      <c r="A7886" s="1" t="s">
        <v>7886</v>
      </c>
      <c r="B7886" s="2" t="str">
        <f>IFERROR(__xludf.DUMMYFUNCTION("GOOGLETRANSLATE(A7886, ""de"", ""en"")"),"sultan")</f>
        <v>sultan</v>
      </c>
    </row>
    <row r="7887">
      <c r="A7887" s="1" t="s">
        <v>7887</v>
      </c>
      <c r="B7887" s="2" t="str">
        <f>IFERROR(__xludf.DUMMYFUNCTION("GOOGLETRANSLATE(A7887, ""de"", ""en"")"),"breath")</f>
        <v>breath</v>
      </c>
    </row>
    <row r="7888">
      <c r="A7888" s="1" t="s">
        <v>7888</v>
      </c>
      <c r="B7888" s="2" t="str">
        <f>IFERROR(__xludf.DUMMYFUNCTION("GOOGLETRANSLATE(A7888, ""de"", ""en"")"),"turn off")</f>
        <v>turn off</v>
      </c>
    </row>
    <row r="7889">
      <c r="A7889" s="1" t="s">
        <v>7889</v>
      </c>
      <c r="B7889" s="2" t="str">
        <f>IFERROR(__xludf.DUMMYFUNCTION("GOOGLETRANSLATE(A7889, ""de"", ""en"")"),"porn")</f>
        <v>porn</v>
      </c>
    </row>
    <row r="7890">
      <c r="A7890" s="1" t="s">
        <v>7890</v>
      </c>
      <c r="B7890" s="2" t="str">
        <f>IFERROR(__xludf.DUMMYFUNCTION("GOOGLETRANSLATE(A7890, ""de"", ""en"")"),"explained")</f>
        <v>explained</v>
      </c>
    </row>
    <row r="7891">
      <c r="A7891" s="1" t="s">
        <v>7891</v>
      </c>
      <c r="B7891" s="2" t="str">
        <f>IFERROR(__xludf.DUMMYFUNCTION("GOOGLETRANSLATE(A7891, ""de"", ""en"")"),"produce")</f>
        <v>produce</v>
      </c>
    </row>
    <row r="7892">
      <c r="A7892" s="1" t="s">
        <v>7892</v>
      </c>
      <c r="B7892" s="2" t="str">
        <f>IFERROR(__xludf.DUMMYFUNCTION("GOOGLETRANSLATE(A7892, ""de"", ""en"")"),"miller")</f>
        <v>miller</v>
      </c>
    </row>
    <row r="7893">
      <c r="A7893" s="1" t="s">
        <v>7893</v>
      </c>
      <c r="B7893" s="2" t="str">
        <f>IFERROR(__xludf.DUMMYFUNCTION("GOOGLETRANSLATE(A7893, ""de"", ""en"")"),"hanged")</f>
        <v>hanged</v>
      </c>
    </row>
    <row r="7894">
      <c r="A7894" s="1" t="s">
        <v>7894</v>
      </c>
      <c r="B7894" s="2" t="str">
        <f>IFERROR(__xludf.DUMMYFUNCTION("GOOGLETRANSLATE(A7894, ""de"", ""en"")"),"cried")</f>
        <v>cried</v>
      </c>
    </row>
    <row r="7895">
      <c r="A7895" s="1" t="s">
        <v>7895</v>
      </c>
      <c r="B7895" s="2" t="str">
        <f>IFERROR(__xludf.DUMMYFUNCTION("GOOGLETRANSLATE(A7895, ""de"", ""en"")"),"routine")</f>
        <v>routine</v>
      </c>
    </row>
    <row r="7896">
      <c r="A7896" s="1" t="s">
        <v>7896</v>
      </c>
      <c r="B7896" s="2" t="str">
        <f>IFERROR(__xludf.DUMMYFUNCTION("GOOGLETRANSLATE(A7896, ""de"", ""en"")"),"thank you")</f>
        <v>thank you</v>
      </c>
    </row>
    <row r="7897">
      <c r="A7897" s="1" t="s">
        <v>7897</v>
      </c>
      <c r="B7897" s="2" t="str">
        <f>IFERROR(__xludf.DUMMYFUNCTION("GOOGLETRANSLATE(A7897, ""de"", ""en"")"),"nellie")</f>
        <v>nellie</v>
      </c>
    </row>
    <row r="7898">
      <c r="A7898" s="1" t="s">
        <v>7898</v>
      </c>
      <c r="B7898" s="2" t="str">
        <f>IFERROR(__xludf.DUMMYFUNCTION("GOOGLETRANSLATE(A7898, ""de"", ""en"")"),"xander")</f>
        <v>xander</v>
      </c>
    </row>
    <row r="7899">
      <c r="A7899" s="1" t="s">
        <v>7899</v>
      </c>
      <c r="B7899" s="2" t="str">
        <f>IFERROR(__xludf.DUMMYFUNCTION("GOOGLETRANSLATE(A7899, ""de"", ""en"")"),"cut")</f>
        <v>cut</v>
      </c>
    </row>
    <row r="7900">
      <c r="A7900" s="1" t="s">
        <v>7900</v>
      </c>
      <c r="B7900" s="2" t="str">
        <f>IFERROR(__xludf.DUMMYFUNCTION("GOOGLETRANSLATE(A7900, ""de"", ""en"")"),"clever ones")</f>
        <v>clever ones</v>
      </c>
    </row>
    <row r="7901">
      <c r="A7901" s="1" t="s">
        <v>7901</v>
      </c>
      <c r="B7901" s="2" t="str">
        <f>IFERROR(__xludf.DUMMYFUNCTION("GOOGLETRANSLATE(A7901, ""de"", ""en"")"),"heart")</f>
        <v>heart</v>
      </c>
    </row>
    <row r="7902">
      <c r="A7902" s="1" t="s">
        <v>7902</v>
      </c>
      <c r="B7902" s="2" t="str">
        <f>IFERROR(__xludf.DUMMYFUNCTION("GOOGLETRANSLATE(A7902, ""de"", ""en"")"),"countries")</f>
        <v>countries</v>
      </c>
    </row>
    <row r="7903">
      <c r="A7903" s="1" t="s">
        <v>7903</v>
      </c>
      <c r="B7903" s="2" t="str">
        <f>IFERROR(__xludf.DUMMYFUNCTION("GOOGLETRANSLATE(A7903, ""de"", ""en"")"),"prefer")</f>
        <v>prefer</v>
      </c>
    </row>
    <row r="7904">
      <c r="A7904" s="1" t="s">
        <v>7904</v>
      </c>
      <c r="B7904" s="2" t="str">
        <f>IFERROR(__xludf.DUMMYFUNCTION("GOOGLETRANSLATE(A7904, ""de"", ""en"")"),"ctu")</f>
        <v>ctu</v>
      </c>
    </row>
    <row r="7905">
      <c r="A7905" s="1" t="s">
        <v>7905</v>
      </c>
      <c r="B7905" s="2" t="str">
        <f>IFERROR(__xludf.DUMMYFUNCTION("GOOGLETRANSLATE(A7905, ""de"", ""en"")"),"perimeter")</f>
        <v>perimeter</v>
      </c>
    </row>
    <row r="7906">
      <c r="A7906" s="1" t="s">
        <v>7906</v>
      </c>
      <c r="B7906" s="2" t="str">
        <f>IFERROR(__xludf.DUMMYFUNCTION("GOOGLETRANSLATE(A7906, ""de"", ""en"")"),"complaints")</f>
        <v>complaints</v>
      </c>
    </row>
    <row r="7907">
      <c r="A7907" s="1" t="s">
        <v>7907</v>
      </c>
      <c r="B7907" s="2" t="str">
        <f>IFERROR(__xludf.DUMMYFUNCTION("GOOGLETRANSLATE(A7907, ""de"", ""en"")"),"devilish")</f>
        <v>devilish</v>
      </c>
    </row>
    <row r="7908">
      <c r="A7908" s="1" t="s">
        <v>7908</v>
      </c>
      <c r="B7908" s="2" t="str">
        <f>IFERROR(__xludf.DUMMYFUNCTION("GOOGLETRANSLATE(A7908, ""de"", ""en"")"),"brooke")</f>
        <v>brooke</v>
      </c>
    </row>
    <row r="7909">
      <c r="A7909" s="1" t="s">
        <v>7909</v>
      </c>
      <c r="B7909" s="2" t="str">
        <f>IFERROR(__xludf.DUMMYFUNCTION("GOOGLETRANSLATE(A7909, ""de"", ""en"")"),"approved")</f>
        <v>approved</v>
      </c>
    </row>
    <row r="7910">
      <c r="A7910" s="1" t="s">
        <v>7910</v>
      </c>
      <c r="B7910" s="2" t="str">
        <f>IFERROR(__xludf.DUMMYFUNCTION("GOOGLETRANSLATE(A7910, ""de"", ""en"")"),"pictures")</f>
        <v>pictures</v>
      </c>
    </row>
    <row r="7911">
      <c r="A7911" s="1" t="s">
        <v>7911</v>
      </c>
      <c r="B7911" s="2" t="str">
        <f>IFERROR(__xludf.DUMMYFUNCTION("GOOGLETRANSLATE(A7911, ""de"", ""en"")"),"shit")</f>
        <v>shit</v>
      </c>
    </row>
    <row r="7912">
      <c r="A7912" s="1" t="s">
        <v>7912</v>
      </c>
      <c r="B7912" s="2" t="str">
        <f>IFERROR(__xludf.DUMMYFUNCTION("GOOGLETRANSLATE(A7912, ""de"", ""en"")"),"gave")</f>
        <v>gave</v>
      </c>
    </row>
    <row r="7913">
      <c r="A7913" s="1" t="s">
        <v>7913</v>
      </c>
      <c r="B7913" s="2" t="str">
        <f>IFERROR(__xludf.DUMMYFUNCTION("GOOGLETRANSLATE(A7913, ""de"", ""en"")"),"slain")</f>
        <v>slain</v>
      </c>
    </row>
    <row r="7914">
      <c r="A7914" s="1" t="s">
        <v>7914</v>
      </c>
      <c r="B7914" s="2" t="str">
        <f>IFERROR(__xludf.DUMMYFUNCTION("GOOGLETRANSLATE(A7914, ""de"", ""en"")"),"Ireland")</f>
        <v>Ireland</v>
      </c>
    </row>
    <row r="7915">
      <c r="A7915" s="1" t="s">
        <v>7915</v>
      </c>
      <c r="B7915" s="2" t="str">
        <f>IFERROR(__xludf.DUMMYFUNCTION("GOOGLETRANSLATE(A7915, ""de"", ""en"")"),"yard")</f>
        <v>yard</v>
      </c>
    </row>
    <row r="7916">
      <c r="A7916" s="1" t="s">
        <v>7916</v>
      </c>
      <c r="B7916" s="2" t="str">
        <f>IFERROR(__xludf.DUMMYFUNCTION("GOOGLETRANSLATE(A7916, ""de"", ""en"")"),"journalists")</f>
        <v>journalists</v>
      </c>
    </row>
    <row r="7917">
      <c r="A7917" s="1" t="s">
        <v>7917</v>
      </c>
      <c r="B7917" s="2" t="str">
        <f>IFERROR(__xludf.DUMMYFUNCTION("GOOGLETRANSLATE(A7917, ""de"", ""en"")"),"found")</f>
        <v>found</v>
      </c>
    </row>
    <row r="7918">
      <c r="A7918" s="1" t="s">
        <v>7918</v>
      </c>
      <c r="B7918" s="2" t="str">
        <f>IFERROR(__xludf.DUMMYFUNCTION("GOOGLETRANSLATE(A7918, ""de"", ""en"")"),"come back")</f>
        <v>come back</v>
      </c>
    </row>
    <row r="7919">
      <c r="A7919" s="1" t="s">
        <v>7919</v>
      </c>
      <c r="B7919" s="2" t="str">
        <f>IFERROR(__xludf.DUMMYFUNCTION("GOOGLETRANSLATE(A7919, ""de"", ""en"")"),"sleeve")</f>
        <v>sleeve</v>
      </c>
    </row>
    <row r="7920">
      <c r="A7920" s="1" t="s">
        <v>7920</v>
      </c>
      <c r="B7920" s="2" t="str">
        <f>IFERROR(__xludf.DUMMYFUNCTION("GOOGLETRANSLATE(A7920, ""de"", ""en"")"),"flow")</f>
        <v>flow</v>
      </c>
    </row>
    <row r="7921">
      <c r="A7921" s="1" t="s">
        <v>7921</v>
      </c>
      <c r="B7921" s="2" t="str">
        <f>IFERROR(__xludf.DUMMYFUNCTION("GOOGLETRANSLATE(A7921, ""de"", ""en"")"),"Arabic")</f>
        <v>Arabic</v>
      </c>
    </row>
    <row r="7922">
      <c r="A7922" s="1" t="s">
        <v>7922</v>
      </c>
      <c r="B7922" s="2" t="str">
        <f>IFERROR(__xludf.DUMMYFUNCTION("GOOGLETRANSLATE(A7922, ""de"", ""en"")"),"pursue")</f>
        <v>pursue</v>
      </c>
    </row>
    <row r="7923">
      <c r="A7923" s="1" t="s">
        <v>7923</v>
      </c>
      <c r="B7923" s="2" t="str">
        <f>IFERROR(__xludf.DUMMYFUNCTION("GOOGLETRANSLATE(A7923, ""de"", ""en"")"),"itches")</f>
        <v>itches</v>
      </c>
    </row>
    <row r="7924">
      <c r="A7924" s="1" t="s">
        <v>7924</v>
      </c>
      <c r="B7924" s="2" t="str">
        <f>IFERROR(__xludf.DUMMYFUNCTION("GOOGLETRANSLATE(A7924, ""de"", ""en"")"),"male")</f>
        <v>male</v>
      </c>
    </row>
    <row r="7925">
      <c r="A7925" s="1" t="s">
        <v>7925</v>
      </c>
      <c r="B7925" s="2" t="str">
        <f>IFERROR(__xludf.DUMMYFUNCTION("GOOGLETRANSLATE(A7925, ""de"", ""en"")"),"Klingons")</f>
        <v>Klingons</v>
      </c>
    </row>
    <row r="7926">
      <c r="A7926" s="1" t="s">
        <v>7926</v>
      </c>
      <c r="B7926" s="2" t="str">
        <f>IFERROR(__xludf.DUMMYFUNCTION("GOOGLETRANSLATE(A7926, ""de"", ""en"")"),"torn")</f>
        <v>torn</v>
      </c>
    </row>
    <row r="7927">
      <c r="A7927" s="1" t="s">
        <v>7927</v>
      </c>
      <c r="B7927" s="2" t="str">
        <f>IFERROR(__xludf.DUMMYFUNCTION("GOOGLETRANSLATE(A7927, ""de"", ""en"")"),"exchange")</f>
        <v>exchange</v>
      </c>
    </row>
    <row r="7928">
      <c r="A7928" s="1" t="s">
        <v>7928</v>
      </c>
      <c r="B7928" s="2" t="str">
        <f>IFERROR(__xludf.DUMMYFUNCTION("GOOGLETRANSLATE(A7928, ""de"", ""en"")"),"stroke")</f>
        <v>stroke</v>
      </c>
    </row>
    <row r="7929">
      <c r="A7929" s="1" t="s">
        <v>7929</v>
      </c>
      <c r="B7929" s="2" t="str">
        <f>IFERROR(__xludf.DUMMYFUNCTION("GOOGLETRANSLATE(A7929, ""de"", ""en"")"),"John")</f>
        <v>John</v>
      </c>
    </row>
    <row r="7930">
      <c r="A7930" s="1" t="s">
        <v>7930</v>
      </c>
      <c r="B7930" s="2" t="str">
        <f>IFERROR(__xludf.DUMMYFUNCTION("GOOGLETRANSLATE(A7930, ""de"", ""en"")"),"Popcorn")</f>
        <v>Popcorn</v>
      </c>
    </row>
    <row r="7931">
      <c r="A7931" s="1" t="s">
        <v>7931</v>
      </c>
      <c r="B7931" s="2" t="str">
        <f>IFERROR(__xludf.DUMMYFUNCTION("GOOGLETRANSLATE(A7931, ""de"", ""en"")"),"gardener")</f>
        <v>gardener</v>
      </c>
    </row>
    <row r="7932">
      <c r="A7932" s="1" t="s">
        <v>7932</v>
      </c>
      <c r="B7932" s="2" t="str">
        <f>IFERROR(__xludf.DUMMYFUNCTION("GOOGLETRANSLATE(A7932, ""de"", ""en"")"),"blows")</f>
        <v>blows</v>
      </c>
    </row>
    <row r="7933">
      <c r="A7933" s="1" t="s">
        <v>7933</v>
      </c>
      <c r="B7933" s="2" t="str">
        <f>IFERROR(__xludf.DUMMYFUNCTION("GOOGLETRANSLATE(A7933, ""de"", ""en"")"),"jet")</f>
        <v>jet</v>
      </c>
    </row>
    <row r="7934">
      <c r="A7934" s="1" t="s">
        <v>7934</v>
      </c>
      <c r="B7934" s="2" t="str">
        <f>IFERROR(__xludf.DUMMYFUNCTION("GOOGLETRANSLATE(A7934, ""de"", ""en"")"),"chester")</f>
        <v>chester</v>
      </c>
    </row>
    <row r="7935">
      <c r="A7935" s="1" t="s">
        <v>7935</v>
      </c>
      <c r="B7935" s="2" t="str">
        <f>IFERROR(__xludf.DUMMYFUNCTION("GOOGLETRANSLATE(A7935, ""de"", ""en"")"),"guarantee")</f>
        <v>guarantee</v>
      </c>
    </row>
    <row r="7936">
      <c r="A7936" s="1" t="s">
        <v>7936</v>
      </c>
      <c r="B7936" s="2" t="str">
        <f>IFERROR(__xludf.DUMMYFUNCTION("GOOGLETRANSLATE(A7936, ""de"", ""en"")"),"change")</f>
        <v>change</v>
      </c>
    </row>
    <row r="7937">
      <c r="A7937" s="1" t="s">
        <v>7937</v>
      </c>
      <c r="B7937" s="2" t="str">
        <f>IFERROR(__xludf.DUMMYFUNCTION("GOOGLETRANSLATE(A7937, ""de"", ""en"")"),"Jessie")</f>
        <v>Jessie</v>
      </c>
    </row>
    <row r="7938">
      <c r="A7938" s="1" t="s">
        <v>7938</v>
      </c>
      <c r="B7938" s="2" t="str">
        <f>IFERROR(__xludf.DUMMYFUNCTION("GOOGLETRANSLATE(A7938, ""de"", ""en"")"),"decency")</f>
        <v>decency</v>
      </c>
    </row>
    <row r="7939">
      <c r="A7939" s="1" t="s">
        <v>7939</v>
      </c>
      <c r="B7939" s="2" t="str">
        <f>IFERROR(__xludf.DUMMYFUNCTION("GOOGLETRANSLATE(A7939, ""de"", ""en"")"),"power")</f>
        <v>power</v>
      </c>
    </row>
    <row r="7940">
      <c r="A7940" s="1" t="s">
        <v>7940</v>
      </c>
      <c r="B7940" s="2" t="str">
        <f>IFERROR(__xludf.DUMMYFUNCTION("GOOGLETRANSLATE(A7940, ""de"", ""en"")"),"junkie")</f>
        <v>junkie</v>
      </c>
    </row>
    <row r="7941">
      <c r="A7941" s="1" t="s">
        <v>7941</v>
      </c>
      <c r="B7941" s="2" t="str">
        <f>IFERROR(__xludf.DUMMYFUNCTION("GOOGLETRANSLATE(A7941, ""de"", ""en"")"),"dad")</f>
        <v>dad</v>
      </c>
    </row>
    <row r="7942">
      <c r="A7942" s="1" t="s">
        <v>7942</v>
      </c>
      <c r="B7942" s="2" t="str">
        <f>IFERROR(__xludf.DUMMYFUNCTION("GOOGLETRANSLATE(A7942, ""de"", ""en"")"),"pot")</f>
        <v>pot</v>
      </c>
    </row>
    <row r="7943">
      <c r="A7943" s="1" t="s">
        <v>7943</v>
      </c>
      <c r="B7943" s="2" t="str">
        <f>IFERROR(__xludf.DUMMYFUNCTION("GOOGLETRANSLATE(A7943, ""de"", ""en"")"),"pack")</f>
        <v>pack</v>
      </c>
    </row>
    <row r="7944">
      <c r="A7944" s="1" t="s">
        <v>7944</v>
      </c>
      <c r="B7944" s="2" t="str">
        <f>IFERROR(__xludf.DUMMYFUNCTION("GOOGLETRANSLATE(A7944, ""de"", ""en"")"),"buttons")</f>
        <v>buttons</v>
      </c>
    </row>
    <row r="7945">
      <c r="A7945" s="1" t="s">
        <v>7945</v>
      </c>
      <c r="B7945" s="2" t="str">
        <f>IFERROR(__xludf.DUMMYFUNCTION("GOOGLETRANSLATE(A7945, ""de"", ""en"")"),"look")</f>
        <v>look</v>
      </c>
    </row>
    <row r="7946">
      <c r="A7946" s="1" t="s">
        <v>7946</v>
      </c>
      <c r="B7946" s="2" t="str">
        <f>IFERROR(__xludf.DUMMYFUNCTION("GOOGLETRANSLATE(A7946, ""de"", ""en"")"),"adopted")</f>
        <v>adopted</v>
      </c>
    </row>
    <row r="7947">
      <c r="A7947" s="1" t="s">
        <v>7947</v>
      </c>
      <c r="B7947" s="2" t="str">
        <f>IFERROR(__xludf.DUMMYFUNCTION("GOOGLETRANSLATE(A7947, ""de"", ""en"")"),"need")</f>
        <v>need</v>
      </c>
    </row>
    <row r="7948">
      <c r="A7948" s="1" t="s">
        <v>7948</v>
      </c>
      <c r="B7948" s="2" t="str">
        <f>IFERROR(__xludf.DUMMYFUNCTION("GOOGLETRANSLATE(A7948, ""de"", ""en"")"),"sew")</f>
        <v>sew</v>
      </c>
    </row>
    <row r="7949">
      <c r="A7949" s="1" t="s">
        <v>7949</v>
      </c>
      <c r="B7949" s="2" t="str">
        <f>IFERROR(__xludf.DUMMYFUNCTION("GOOGLETRANSLATE(A7949, ""de"", ""en"")"),"speaker")</f>
        <v>speaker</v>
      </c>
    </row>
    <row r="7950">
      <c r="A7950" s="1" t="s">
        <v>7950</v>
      </c>
      <c r="B7950" s="2" t="str">
        <f>IFERROR(__xludf.DUMMYFUNCTION("GOOGLETRANSLATE(A7950, ""de"", ""en"")"),"chemistry")</f>
        <v>chemistry</v>
      </c>
    </row>
    <row r="7951">
      <c r="A7951" s="1" t="s">
        <v>7951</v>
      </c>
      <c r="B7951" s="2" t="str">
        <f>IFERROR(__xludf.DUMMYFUNCTION("GOOGLETRANSLATE(A7951, ""de"", ""en"")"),"point out")</f>
        <v>point out</v>
      </c>
    </row>
    <row r="7952">
      <c r="A7952" s="1" t="s">
        <v>7952</v>
      </c>
      <c r="B7952" s="2" t="str">
        <f>IFERROR(__xludf.DUMMYFUNCTION("GOOGLETRANSLATE(A7952, ""de"", ""en"")"),"mute")</f>
        <v>mute</v>
      </c>
    </row>
    <row r="7953">
      <c r="A7953" s="1" t="s">
        <v>7953</v>
      </c>
      <c r="B7953" s="2" t="str">
        <f>IFERROR(__xludf.DUMMYFUNCTION("GOOGLETRANSLATE(A7953, ""de"", ""en"")"),"hold together")</f>
        <v>hold together</v>
      </c>
    </row>
    <row r="7954">
      <c r="A7954" s="1" t="s">
        <v>7954</v>
      </c>
      <c r="B7954" s="2" t="str">
        <f>IFERROR(__xludf.DUMMYFUNCTION("GOOGLETRANSLATE(A7954, ""de"", ""en"")"),"downright")</f>
        <v>downright</v>
      </c>
    </row>
    <row r="7955">
      <c r="A7955" s="1" t="s">
        <v>7955</v>
      </c>
      <c r="B7955" s="2" t="str">
        <f>IFERROR(__xludf.DUMMYFUNCTION("GOOGLETRANSLATE(A7955, ""de"", ""en"")"),"to take with you")</f>
        <v>to take with you</v>
      </c>
    </row>
    <row r="7956">
      <c r="A7956" s="1" t="s">
        <v>7956</v>
      </c>
      <c r="B7956" s="2" t="str">
        <f>IFERROR(__xludf.DUMMYFUNCTION("GOOGLETRANSLATE(A7956, ""de"", ""en"")"),"width")</f>
        <v>width</v>
      </c>
    </row>
    <row r="7957">
      <c r="A7957" s="1" t="s">
        <v>7957</v>
      </c>
      <c r="B7957" s="2" t="str">
        <f>IFERROR(__xludf.DUMMYFUNCTION("GOOGLETRANSLATE(A7957, ""de"", ""en"")"),"lori")</f>
        <v>lori</v>
      </c>
    </row>
    <row r="7958">
      <c r="A7958" s="1" t="s">
        <v>7958</v>
      </c>
      <c r="B7958" s="2" t="str">
        <f>IFERROR(__xludf.DUMMYFUNCTION("GOOGLETRANSLATE(A7958, ""de"", ""en"")"),"rip")</f>
        <v>rip</v>
      </c>
    </row>
    <row r="7959">
      <c r="A7959" s="1" t="s">
        <v>7959</v>
      </c>
      <c r="B7959" s="2" t="str">
        <f>IFERROR(__xludf.DUMMYFUNCTION("GOOGLETRANSLATE(A7959, ""de"", ""en"")"),"cool")</f>
        <v>cool</v>
      </c>
    </row>
    <row r="7960">
      <c r="A7960" s="1" t="s">
        <v>7960</v>
      </c>
      <c r="B7960" s="2" t="str">
        <f>IFERROR(__xludf.DUMMYFUNCTION("GOOGLETRANSLATE(A7960, ""de"", ""en"")"),"back there")</f>
        <v>back there</v>
      </c>
    </row>
    <row r="7961">
      <c r="A7961" s="1" t="s">
        <v>7961</v>
      </c>
      <c r="B7961" s="2" t="str">
        <f>IFERROR(__xludf.DUMMYFUNCTION("GOOGLETRANSLATE(A7961, ""de"", ""en"")"),"technician")</f>
        <v>technician</v>
      </c>
    </row>
    <row r="7962">
      <c r="A7962" s="1" t="s">
        <v>7962</v>
      </c>
      <c r="B7962" s="2" t="str">
        <f>IFERROR(__xludf.DUMMYFUNCTION("GOOGLETRANSLATE(A7962, ""de"", ""en"")"),"abel")</f>
        <v>abel</v>
      </c>
    </row>
    <row r="7963">
      <c r="A7963" s="1" t="s">
        <v>7963</v>
      </c>
      <c r="B7963" s="2" t="str">
        <f>IFERROR(__xludf.DUMMYFUNCTION("GOOGLETRANSLATE(A7963, ""de"", ""en"")"),"prays")</f>
        <v>prays</v>
      </c>
    </row>
    <row r="7964">
      <c r="A7964" s="1" t="s">
        <v>7964</v>
      </c>
      <c r="B7964" s="2" t="str">
        <f>IFERROR(__xludf.DUMMYFUNCTION("GOOGLETRANSLATE(A7964, ""de"", ""en"")"),"observe")</f>
        <v>observe</v>
      </c>
    </row>
    <row r="7965">
      <c r="A7965" s="1" t="s">
        <v>7965</v>
      </c>
      <c r="B7965" s="2" t="str">
        <f>IFERROR(__xludf.DUMMYFUNCTION("GOOGLETRANSLATE(A7965, ""de"", ""en"")"),"built")</f>
        <v>built</v>
      </c>
    </row>
    <row r="7966">
      <c r="A7966" s="1" t="s">
        <v>7966</v>
      </c>
      <c r="B7966" s="2" t="str">
        <f>IFERROR(__xludf.DUMMYFUNCTION("GOOGLETRANSLATE(A7966, ""de"", ""en"")"),"bonjour")</f>
        <v>bonjour</v>
      </c>
    </row>
    <row r="7967">
      <c r="A7967" s="1" t="s">
        <v>7967</v>
      </c>
      <c r="B7967" s="2" t="str">
        <f>IFERROR(__xludf.DUMMYFUNCTION("GOOGLETRANSLATE(A7967, ""de"", ""en"")"),"checks")</f>
        <v>checks</v>
      </c>
    </row>
    <row r="7968">
      <c r="A7968" s="1" t="s">
        <v>7968</v>
      </c>
      <c r="B7968" s="2" t="str">
        <f>IFERROR(__xludf.DUMMYFUNCTION("GOOGLETRANSLATE(A7968, ""de"", ""en"")"),"output")</f>
        <v>output</v>
      </c>
    </row>
    <row r="7969">
      <c r="A7969" s="1" t="s">
        <v>7969</v>
      </c>
      <c r="B7969" s="2" t="str">
        <f>IFERROR(__xludf.DUMMYFUNCTION("GOOGLETRANSLATE(A7969, ""de"", ""en"")"),"boyd")</f>
        <v>boyd</v>
      </c>
    </row>
    <row r="7970">
      <c r="A7970" s="1" t="s">
        <v>7970</v>
      </c>
      <c r="B7970" s="2" t="str">
        <f>IFERROR(__xludf.DUMMYFUNCTION("GOOGLETRANSLATE(A7970, ""de"", ""en"")"),"screw up")</f>
        <v>screw up</v>
      </c>
    </row>
    <row r="7971">
      <c r="A7971" s="1" t="s">
        <v>7971</v>
      </c>
      <c r="B7971" s="2" t="str">
        <f>IFERROR(__xludf.DUMMYFUNCTION("GOOGLETRANSLATE(A7971, ""de"", ""en"")"),"necessary")</f>
        <v>necessary</v>
      </c>
    </row>
    <row r="7972">
      <c r="A7972" s="1" t="s">
        <v>7972</v>
      </c>
      <c r="B7972" s="2" t="str">
        <f>IFERROR(__xludf.DUMMYFUNCTION("GOOGLETRANSLATE(A7972, ""de"", ""en"")"),"south")</f>
        <v>south</v>
      </c>
    </row>
    <row r="7973">
      <c r="A7973" s="1" t="s">
        <v>7973</v>
      </c>
      <c r="B7973" s="2" t="str">
        <f>IFERROR(__xludf.DUMMYFUNCTION("GOOGLETRANSLATE(A7973, ""de"", ""en"")"),"gram")</f>
        <v>gram</v>
      </c>
    </row>
    <row r="7974">
      <c r="A7974" s="1" t="s">
        <v>7974</v>
      </c>
      <c r="B7974" s="2" t="str">
        <f>IFERROR(__xludf.DUMMYFUNCTION("GOOGLETRANSLATE(A7974, ""de"", ""en"")"),"sheets")</f>
        <v>sheets</v>
      </c>
    </row>
    <row r="7975">
      <c r="A7975" s="1" t="s">
        <v>7975</v>
      </c>
      <c r="B7975" s="2" t="str">
        <f>IFERROR(__xludf.DUMMYFUNCTION("GOOGLETRANSLATE(A7975, ""de"", ""en"")"),"forms")</f>
        <v>forms</v>
      </c>
    </row>
    <row r="7976">
      <c r="A7976" s="1" t="s">
        <v>7976</v>
      </c>
      <c r="B7976" s="2" t="str">
        <f>IFERROR(__xludf.DUMMYFUNCTION("GOOGLETRANSLATE(A7976, ""de"", ""en"")"),"preserve")</f>
        <v>preserve</v>
      </c>
    </row>
    <row r="7977">
      <c r="A7977" s="1" t="s">
        <v>7977</v>
      </c>
      <c r="B7977" s="2" t="str">
        <f>IFERROR(__xludf.DUMMYFUNCTION("GOOGLETRANSLATE(A7977, ""de"", ""en"")"),"quiet")</f>
        <v>quiet</v>
      </c>
    </row>
    <row r="7978">
      <c r="A7978" s="1" t="s">
        <v>7978</v>
      </c>
      <c r="B7978" s="2" t="str">
        <f>IFERROR(__xludf.DUMMYFUNCTION("GOOGLETRANSLATE(A7978, ""de"", ""en"")"),"G.")</f>
        <v>G.</v>
      </c>
    </row>
    <row r="7979">
      <c r="A7979" s="1" t="s">
        <v>7979</v>
      </c>
      <c r="B7979" s="2" t="str">
        <f>IFERROR(__xludf.DUMMYFUNCTION("GOOGLETRANSLATE(A7979, ""de"", ""en"")"),"truck")</f>
        <v>truck</v>
      </c>
    </row>
    <row r="7980">
      <c r="A7980" s="1" t="s">
        <v>7980</v>
      </c>
      <c r="B7980" s="2" t="str">
        <f>IFERROR(__xludf.DUMMYFUNCTION("GOOGLETRANSLATE(A7980, ""de"", ""en"")"),"criticism")</f>
        <v>criticism</v>
      </c>
    </row>
    <row r="7981">
      <c r="A7981" s="1" t="s">
        <v>7981</v>
      </c>
      <c r="B7981" s="2" t="str">
        <f>IFERROR(__xludf.DUMMYFUNCTION("GOOGLETRANSLATE(A7981, ""de"", ""en"")"),"fell")</f>
        <v>fell</v>
      </c>
    </row>
    <row r="7982">
      <c r="A7982" s="1" t="s">
        <v>7982</v>
      </c>
      <c r="B7982" s="2" t="str">
        <f>IFERROR(__xludf.DUMMYFUNCTION("GOOGLETRANSLATE(A7982, ""de"", ""en"")"),"keeps")</f>
        <v>keeps</v>
      </c>
    </row>
    <row r="7983">
      <c r="A7983" s="1" t="s">
        <v>7983</v>
      </c>
      <c r="B7983" s="2" t="str">
        <f>IFERROR(__xludf.DUMMYFUNCTION("GOOGLETRANSLATE(A7983, ""de"", ""en"")"),"provided")</f>
        <v>provided</v>
      </c>
    </row>
    <row r="7984">
      <c r="A7984" s="1" t="s">
        <v>7984</v>
      </c>
      <c r="B7984" s="2" t="str">
        <f>IFERROR(__xludf.DUMMYFUNCTION("GOOGLETRANSLATE(A7984, ""de"", ""en"")"),"missed")</f>
        <v>missed</v>
      </c>
    </row>
    <row r="7985">
      <c r="A7985" s="1" t="s">
        <v>7985</v>
      </c>
      <c r="B7985" s="2" t="str">
        <f>IFERROR(__xludf.DUMMYFUNCTION("GOOGLETRANSLATE(A7985, ""de"", ""en"")"),"appalling")</f>
        <v>appalling</v>
      </c>
    </row>
    <row r="7986">
      <c r="A7986" s="1" t="s">
        <v>7986</v>
      </c>
      <c r="B7986" s="2" t="str">
        <f>IFERROR(__xludf.DUMMYFUNCTION("GOOGLETRANSLATE(A7986, ""de"", ""en"")"),"francine")</f>
        <v>francine</v>
      </c>
    </row>
    <row r="7987">
      <c r="A7987" s="1" t="s">
        <v>7987</v>
      </c>
      <c r="B7987" s="2" t="str">
        <f>IFERROR(__xludf.DUMMYFUNCTION("GOOGLETRANSLATE(A7987, ""de"", ""en"")"),"investigator")</f>
        <v>investigator</v>
      </c>
    </row>
    <row r="7988">
      <c r="A7988" s="1" t="s">
        <v>7988</v>
      </c>
      <c r="B7988" s="2" t="str">
        <f>IFERROR(__xludf.DUMMYFUNCTION("GOOGLETRANSLATE(A7988, ""de"", ""en"")"),"Nikki")</f>
        <v>Nikki</v>
      </c>
    </row>
    <row r="7989">
      <c r="A7989" s="1" t="s">
        <v>7989</v>
      </c>
      <c r="B7989" s="2" t="str">
        <f>IFERROR(__xludf.DUMMYFUNCTION("GOOGLETRANSLATE(A7989, ""de"", ""en"")"),"got up")</f>
        <v>got up</v>
      </c>
    </row>
    <row r="7990">
      <c r="A7990" s="1" t="s">
        <v>7990</v>
      </c>
      <c r="B7990" s="2" t="str">
        <f>IFERROR(__xludf.DUMMYFUNCTION("GOOGLETRANSLATE(A7990, ""de"", ""en"")"),"fake")</f>
        <v>fake</v>
      </c>
    </row>
    <row r="7991">
      <c r="A7991" s="1" t="s">
        <v>7991</v>
      </c>
      <c r="B7991" s="2" t="str">
        <f>IFERROR(__xludf.DUMMYFUNCTION("GOOGLETRANSLATE(A7991, ""de"", ""en"")"),"vision text")</f>
        <v>vision text</v>
      </c>
    </row>
    <row r="7992">
      <c r="A7992" s="1" t="s">
        <v>7992</v>
      </c>
      <c r="B7992" s="2" t="str">
        <f>IFERROR(__xludf.DUMMYFUNCTION("GOOGLETRANSLATE(A7992, ""de"", ""en"")"),"section")</f>
        <v>section</v>
      </c>
    </row>
    <row r="7993">
      <c r="A7993" s="1" t="s">
        <v>7993</v>
      </c>
      <c r="B7993" s="2" t="str">
        <f>IFERROR(__xludf.DUMMYFUNCTION("GOOGLETRANSLATE(A7993, ""de"", ""en"")"),"house arrest")</f>
        <v>house arrest</v>
      </c>
    </row>
    <row r="7994">
      <c r="A7994" s="1" t="s">
        <v>7994</v>
      </c>
      <c r="B7994" s="2" t="str">
        <f>IFERROR(__xludf.DUMMYFUNCTION("GOOGLETRANSLATE(A7994, ""de"", ""en"")"),"sensitive")</f>
        <v>sensitive</v>
      </c>
    </row>
    <row r="7995">
      <c r="A7995" s="1" t="s">
        <v>7995</v>
      </c>
      <c r="B7995" s="2" t="str">
        <f>IFERROR(__xludf.DUMMYFUNCTION("GOOGLETRANSLATE(A7995, ""de"", ""en"")"),"album")</f>
        <v>album</v>
      </c>
    </row>
    <row r="7996">
      <c r="A7996" s="1" t="s">
        <v>7996</v>
      </c>
      <c r="B7996" s="2" t="str">
        <f>IFERROR(__xludf.DUMMYFUNCTION("GOOGLETRANSLATE(A7996, ""de"", ""en"")"),"living being")</f>
        <v>living being</v>
      </c>
    </row>
    <row r="7997">
      <c r="A7997" s="1" t="s">
        <v>7997</v>
      </c>
      <c r="B7997" s="2" t="str">
        <f>IFERROR(__xludf.DUMMYFUNCTION("GOOGLETRANSLATE(A7997, ""de"", ""en"")"),"ransom")</f>
        <v>ransom</v>
      </c>
    </row>
    <row r="7998">
      <c r="A7998" s="1" t="s">
        <v>7998</v>
      </c>
      <c r="B7998" s="2" t="str">
        <f>IFERROR(__xludf.DUMMYFUNCTION("GOOGLETRANSLATE(A7998, ""de"", ""en"")"),"confused")</f>
        <v>confused</v>
      </c>
    </row>
    <row r="7999">
      <c r="A7999" s="1" t="s">
        <v>7999</v>
      </c>
      <c r="B7999" s="2" t="str">
        <f>IFERROR(__xludf.DUMMYFUNCTION("GOOGLETRANSLATE(A7999, ""de"", ""en"")"),"beat")</f>
        <v>beat</v>
      </c>
    </row>
    <row r="8000">
      <c r="A8000" s="1" t="s">
        <v>8000</v>
      </c>
      <c r="B8000" s="2" t="str">
        <f>IFERROR(__xludf.DUMMYFUNCTION("GOOGLETRANSLATE(A8000, ""de"", ""en"")"),"rain")</f>
        <v>rain</v>
      </c>
    </row>
    <row r="8001">
      <c r="A8001" s="1" t="s">
        <v>8001</v>
      </c>
      <c r="B8001" s="2" t="str">
        <f>IFERROR(__xludf.DUMMYFUNCTION("GOOGLETRANSLATE(A8001, ""de"", ""en"")"),"soft")</f>
        <v>soft</v>
      </c>
    </row>
    <row r="8002">
      <c r="A8002" s="1" t="s">
        <v>8002</v>
      </c>
      <c r="B8002" s="2" t="str">
        <f>IFERROR(__xludf.DUMMYFUNCTION("GOOGLETRANSLATE(A8002, ""de"", ""en"")"),"point")</f>
        <v>point</v>
      </c>
    </row>
    <row r="8003">
      <c r="A8003" s="1" t="s">
        <v>8003</v>
      </c>
      <c r="B8003" s="2" t="str">
        <f>IFERROR(__xludf.DUMMYFUNCTION("GOOGLETRANSLATE(A8003, ""de"", ""en"")"),"pussy")</f>
        <v>pussy</v>
      </c>
    </row>
    <row r="8004">
      <c r="A8004" s="1" t="s">
        <v>8004</v>
      </c>
      <c r="B8004" s="2" t="str">
        <f>IFERROR(__xludf.DUMMYFUNCTION("GOOGLETRANSLATE(A8004, ""de"", ""en"")"),"entrust")</f>
        <v>entrust</v>
      </c>
    </row>
    <row r="8005">
      <c r="A8005" s="1" t="s">
        <v>8005</v>
      </c>
      <c r="B8005" s="2" t="str">
        <f>IFERROR(__xludf.DUMMYFUNCTION("GOOGLETRANSLATE(A8005, ""de"", ""en"")"),"Ollie")</f>
        <v>Ollie</v>
      </c>
    </row>
    <row r="8006">
      <c r="A8006" s="1" t="s">
        <v>8006</v>
      </c>
      <c r="B8006" s="2" t="str">
        <f>IFERROR(__xludf.DUMMYFUNCTION("GOOGLETRANSLATE(A8006, ""de"", ""en"")"),"dome")</f>
        <v>dome</v>
      </c>
    </row>
    <row r="8007">
      <c r="A8007" s="1" t="s">
        <v>8007</v>
      </c>
      <c r="B8007" s="2" t="str">
        <f>IFERROR(__xludf.DUMMYFUNCTION("GOOGLETRANSLATE(A8007, ""de"", ""en"")"),"left")</f>
        <v>left</v>
      </c>
    </row>
    <row r="8008">
      <c r="A8008" s="1" t="s">
        <v>8008</v>
      </c>
      <c r="B8008" s="2" t="str">
        <f>IFERROR(__xludf.DUMMYFUNCTION("GOOGLETRANSLATE(A8008, ""de"", ""en"")"),"Jacob")</f>
        <v>Jacob</v>
      </c>
    </row>
    <row r="8009">
      <c r="A8009" s="1" t="s">
        <v>8009</v>
      </c>
      <c r="B8009" s="2" t="str">
        <f>IFERROR(__xludf.DUMMYFUNCTION("GOOGLETRANSLATE(A8009, ""de"", ""en"")"),"visited")</f>
        <v>visited</v>
      </c>
    </row>
    <row r="8010">
      <c r="A8010" s="1" t="s">
        <v>8010</v>
      </c>
      <c r="B8010" s="2" t="str">
        <f>IFERROR(__xludf.DUMMYFUNCTION("GOOGLETRANSLATE(A8010, ""de"", ""en"")"),"union")</f>
        <v>union</v>
      </c>
    </row>
    <row r="8011">
      <c r="A8011" s="1" t="s">
        <v>8011</v>
      </c>
      <c r="B8011" s="2" t="str">
        <f>IFERROR(__xludf.DUMMYFUNCTION("GOOGLETRANSLATE(A8011, ""de"", ""en"")"),"listen")</f>
        <v>listen</v>
      </c>
    </row>
    <row r="8012">
      <c r="A8012" s="1" t="s">
        <v>8012</v>
      </c>
      <c r="B8012" s="2" t="str">
        <f>IFERROR(__xludf.DUMMYFUNCTION("GOOGLETRANSLATE(A8012, ""de"", ""en"")"),"came by")</f>
        <v>came by</v>
      </c>
    </row>
    <row r="8013">
      <c r="A8013" s="1" t="s">
        <v>8013</v>
      </c>
      <c r="B8013" s="2" t="str">
        <f>IFERROR(__xludf.DUMMYFUNCTION("GOOGLETRANSLATE(A8013, ""de"", ""en"")"),"strengthen")</f>
        <v>strengthen</v>
      </c>
    </row>
    <row r="8014">
      <c r="A8014" s="1" t="s">
        <v>8014</v>
      </c>
      <c r="B8014" s="2" t="str">
        <f>IFERROR(__xludf.DUMMYFUNCTION("GOOGLETRANSLATE(A8014, ""de"", ""en"")"),"added")</f>
        <v>added</v>
      </c>
    </row>
    <row r="8015">
      <c r="A8015" s="1" t="s">
        <v>8015</v>
      </c>
      <c r="B8015" s="2" t="str">
        <f>IFERROR(__xludf.DUMMYFUNCTION("GOOGLETRANSLATE(A8015, ""de"", ""en"")"),"wreck")</f>
        <v>wreck</v>
      </c>
    </row>
    <row r="8016">
      <c r="A8016" s="1" t="s">
        <v>8016</v>
      </c>
      <c r="B8016" s="2" t="str">
        <f>IFERROR(__xludf.DUMMYFUNCTION("GOOGLETRANSLATE(A8016, ""de"", ""en"")"),"creak")</f>
        <v>creak</v>
      </c>
    </row>
    <row r="8017">
      <c r="A8017" s="1" t="s">
        <v>8017</v>
      </c>
      <c r="B8017" s="2" t="str">
        <f>IFERROR(__xludf.DUMMYFUNCTION("GOOGLETRANSLATE(A8017, ""de"", ""en"")"),"fuel")</f>
        <v>fuel</v>
      </c>
    </row>
    <row r="8018">
      <c r="A8018" s="1" t="s">
        <v>8018</v>
      </c>
      <c r="B8018" s="2" t="str">
        <f>IFERROR(__xludf.DUMMYFUNCTION("GOOGLETRANSLATE(A8018, ""de"", ""en"")"),"signals")</f>
        <v>signals</v>
      </c>
    </row>
    <row r="8019">
      <c r="A8019" s="1" t="s">
        <v>8019</v>
      </c>
      <c r="B8019" s="2" t="str">
        <f>IFERROR(__xludf.DUMMYFUNCTION("GOOGLETRANSLATE(A8019, ""de"", ""en"")"),"progeny")</f>
        <v>progeny</v>
      </c>
    </row>
    <row r="8020">
      <c r="A8020" s="1" t="s">
        <v>8020</v>
      </c>
      <c r="B8020" s="2" t="str">
        <f>IFERROR(__xludf.DUMMYFUNCTION("GOOGLETRANSLATE(A8020, ""de"", ""en"")"),"Oops")</f>
        <v>Oops</v>
      </c>
    </row>
    <row r="8021">
      <c r="A8021" s="1" t="s">
        <v>8021</v>
      </c>
      <c r="B8021" s="2" t="str">
        <f>IFERROR(__xludf.DUMMYFUNCTION("GOOGLETRANSLATE(A8021, ""de"", ""en"")"),"hidden")</f>
        <v>hidden</v>
      </c>
    </row>
    <row r="8022">
      <c r="A8022" s="1" t="s">
        <v>8022</v>
      </c>
      <c r="B8022" s="2" t="str">
        <f>IFERROR(__xludf.DUMMYFUNCTION("GOOGLETRANSLATE(A8022, ""de"", ""en"")"),"proven")</f>
        <v>proven</v>
      </c>
    </row>
    <row r="8023">
      <c r="A8023" s="1" t="s">
        <v>8023</v>
      </c>
      <c r="B8023" s="2" t="str">
        <f>IFERROR(__xludf.DUMMYFUNCTION("GOOGLETRANSLATE(A8023, ""de"", ""en"")"),"Babylon")</f>
        <v>Babylon</v>
      </c>
    </row>
    <row r="8024">
      <c r="A8024" s="1" t="s">
        <v>8024</v>
      </c>
      <c r="B8024" s="2" t="str">
        <f>IFERROR(__xludf.DUMMYFUNCTION("GOOGLETRANSLATE(A8024, ""de"", ""en"")"),"orphanage")</f>
        <v>orphanage</v>
      </c>
    </row>
    <row r="8025">
      <c r="A8025" s="1" t="s">
        <v>8025</v>
      </c>
      <c r="B8025" s="2" t="str">
        <f>IFERROR(__xludf.DUMMYFUNCTION("GOOGLETRANSLATE(A8025, ""de"", ""en"")"),"Brazil")</f>
        <v>Brazil</v>
      </c>
    </row>
    <row r="8026">
      <c r="A8026" s="1" t="s">
        <v>8026</v>
      </c>
      <c r="B8026" s="2" t="str">
        <f>IFERROR(__xludf.DUMMYFUNCTION("GOOGLETRANSLATE(A8026, ""de"", ""en"")"),"please")</f>
        <v>please</v>
      </c>
    </row>
    <row r="8027">
      <c r="A8027" s="1" t="s">
        <v>8027</v>
      </c>
      <c r="B8027" s="2" t="str">
        <f>IFERROR(__xludf.DUMMYFUNCTION("GOOGLETRANSLATE(A8027, ""de"", ""en"")"),"wormhole")</f>
        <v>wormhole</v>
      </c>
    </row>
    <row r="8028">
      <c r="A8028" s="1" t="s">
        <v>8028</v>
      </c>
      <c r="B8028" s="2" t="str">
        <f>IFERROR(__xludf.DUMMYFUNCTION("GOOGLETRANSLATE(A8028, ""de"", ""en"")"),"age")</f>
        <v>age</v>
      </c>
    </row>
    <row r="8029">
      <c r="A8029" s="1" t="s">
        <v>8029</v>
      </c>
      <c r="B8029" s="2" t="str">
        <f>IFERROR(__xludf.DUMMYFUNCTION("GOOGLETRANSLATE(A8029, ""de"", ""en"")"),"Deb")</f>
        <v>Deb</v>
      </c>
    </row>
    <row r="8030">
      <c r="A8030" s="1" t="s">
        <v>8030</v>
      </c>
      <c r="B8030" s="2" t="str">
        <f>IFERROR(__xludf.DUMMYFUNCTION("GOOGLETRANSLATE(A8030, ""de"", ""en"")"),"fairy")</f>
        <v>fairy</v>
      </c>
    </row>
    <row r="8031">
      <c r="A8031" s="1" t="s">
        <v>8031</v>
      </c>
      <c r="B8031" s="2" t="str">
        <f>IFERROR(__xludf.DUMMYFUNCTION("GOOGLETRANSLATE(A8031, ""de"", ""en"")"),"milton")</f>
        <v>milton</v>
      </c>
    </row>
    <row r="8032">
      <c r="A8032" s="1" t="s">
        <v>8032</v>
      </c>
      <c r="B8032" s="2" t="str">
        <f>IFERROR(__xludf.DUMMYFUNCTION("GOOGLETRANSLATE(A8032, ""de"", ""en"")"),"quarantine")</f>
        <v>quarantine</v>
      </c>
    </row>
    <row r="8033">
      <c r="A8033" s="1" t="s">
        <v>8033</v>
      </c>
      <c r="B8033" s="2" t="str">
        <f>IFERROR(__xludf.DUMMYFUNCTION("GOOGLETRANSLATE(A8033, ""de"", ""en"")"),"communists")</f>
        <v>communists</v>
      </c>
    </row>
    <row r="8034">
      <c r="A8034" s="1" t="s">
        <v>8034</v>
      </c>
      <c r="B8034" s="2" t="str">
        <f>IFERROR(__xludf.DUMMYFUNCTION("GOOGLETRANSLATE(A8034, ""de"", ""en"")"),"foundation")</f>
        <v>foundation</v>
      </c>
    </row>
    <row r="8035">
      <c r="A8035" s="1" t="s">
        <v>8035</v>
      </c>
      <c r="B8035" s="2" t="str">
        <f>IFERROR(__xludf.DUMMYFUNCTION("GOOGLETRANSLATE(A8035, ""de"", ""en"")"),"milo")</f>
        <v>milo</v>
      </c>
    </row>
    <row r="8036">
      <c r="A8036" s="1" t="s">
        <v>8036</v>
      </c>
      <c r="B8036" s="2" t="str">
        <f>IFERROR(__xludf.DUMMYFUNCTION("GOOGLETRANSLATE(A8036, ""de"", ""en"")"),"Gestapo")</f>
        <v>Gestapo</v>
      </c>
    </row>
    <row r="8037">
      <c r="A8037" s="1" t="s">
        <v>8037</v>
      </c>
      <c r="B8037" s="2" t="str">
        <f>IFERROR(__xludf.DUMMYFUNCTION("GOOGLETRANSLATE(A8037, ""de"", ""en"")"),"travel")</f>
        <v>travel</v>
      </c>
    </row>
    <row r="8038">
      <c r="A8038" s="1" t="s">
        <v>8038</v>
      </c>
      <c r="B8038" s="2" t="str">
        <f>IFERROR(__xludf.DUMMYFUNCTION("GOOGLETRANSLATE(A8038, ""de"", ""en"")"),"hallelujah")</f>
        <v>hallelujah</v>
      </c>
    </row>
    <row r="8039">
      <c r="A8039" s="1" t="s">
        <v>8039</v>
      </c>
      <c r="B8039" s="2" t="str">
        <f>IFERROR(__xludf.DUMMYFUNCTION("GOOGLETRANSLATE(A8039, ""de"", ""en"")"),"addicted")</f>
        <v>addicted</v>
      </c>
    </row>
    <row r="8040">
      <c r="A8040" s="1" t="s">
        <v>8040</v>
      </c>
      <c r="B8040" s="2" t="str">
        <f>IFERROR(__xludf.DUMMYFUNCTION("GOOGLETRANSLATE(A8040, ""de"", ""en"")"),"whine")</f>
        <v>whine</v>
      </c>
    </row>
    <row r="8041">
      <c r="A8041" s="1" t="s">
        <v>8041</v>
      </c>
      <c r="B8041" s="2" t="str">
        <f>IFERROR(__xludf.DUMMYFUNCTION("GOOGLETRANSLATE(A8041, ""de"", ""en"")"),"hopes")</f>
        <v>hopes</v>
      </c>
    </row>
    <row r="8042">
      <c r="A8042" s="1" t="s">
        <v>8042</v>
      </c>
      <c r="B8042" s="2" t="str">
        <f>IFERROR(__xludf.DUMMYFUNCTION("GOOGLETRANSLATE(A8042, ""de"", ""en"")"),"valuable")</f>
        <v>valuable</v>
      </c>
    </row>
    <row r="8043">
      <c r="A8043" s="1" t="s">
        <v>8043</v>
      </c>
      <c r="B8043" s="2" t="str">
        <f>IFERROR(__xludf.DUMMYFUNCTION("GOOGLETRANSLATE(A8043, ""de"", ""en"")"),"mole")</f>
        <v>mole</v>
      </c>
    </row>
    <row r="8044">
      <c r="A8044" s="1" t="s">
        <v>8044</v>
      </c>
      <c r="B8044" s="2" t="str">
        <f>IFERROR(__xludf.DUMMYFUNCTION("GOOGLETRANSLATE(A8044, ""de"", ""en"")"),"conflict")</f>
        <v>conflict</v>
      </c>
    </row>
    <row r="8045">
      <c r="A8045" s="1" t="s">
        <v>8045</v>
      </c>
      <c r="B8045" s="2" t="str">
        <f>IFERROR(__xludf.DUMMYFUNCTION("GOOGLETRANSLATE(A8045, ""de"", ""en"")"),"tournament")</f>
        <v>tournament</v>
      </c>
    </row>
    <row r="8046">
      <c r="A8046" s="1" t="s">
        <v>8046</v>
      </c>
      <c r="B8046" s="2" t="str">
        <f>IFERROR(__xludf.DUMMYFUNCTION("GOOGLETRANSLATE(A8046, ""de"", ""en"")"),"baked")</f>
        <v>baked</v>
      </c>
    </row>
    <row r="8047">
      <c r="A8047" s="1" t="s">
        <v>8047</v>
      </c>
      <c r="B8047" s="2" t="str">
        <f>IFERROR(__xludf.DUMMYFUNCTION("GOOGLETRANSLATE(A8047, ""de"", ""en"")"),"to find out")</f>
        <v>to find out</v>
      </c>
    </row>
    <row r="8048">
      <c r="A8048" s="1" t="s">
        <v>8048</v>
      </c>
      <c r="B8048" s="2" t="str">
        <f>IFERROR(__xludf.DUMMYFUNCTION("GOOGLETRANSLATE(A8048, ""de"", ""en"")"),"dove")</f>
        <v>dove</v>
      </c>
    </row>
    <row r="8049">
      <c r="A8049" s="1" t="s">
        <v>8049</v>
      </c>
      <c r="B8049" s="2" t="str">
        <f>IFERROR(__xludf.DUMMYFUNCTION("GOOGLETRANSLATE(A8049, ""de"", ""en"")"),"corn")</f>
        <v>corn</v>
      </c>
    </row>
    <row r="8050">
      <c r="A8050" s="1" t="s">
        <v>8050</v>
      </c>
      <c r="B8050" s="2" t="str">
        <f>IFERROR(__xludf.DUMMYFUNCTION("GOOGLETRANSLATE(A8050, ""de"", ""en"")"),"nuts")</f>
        <v>nuts</v>
      </c>
    </row>
    <row r="8051">
      <c r="A8051" s="1" t="s">
        <v>8051</v>
      </c>
      <c r="B8051" s="2" t="str">
        <f>IFERROR(__xludf.DUMMYFUNCTION("GOOGLETRANSLATE(A8051, ""de"", ""en"")"),"drove")</f>
        <v>drove</v>
      </c>
    </row>
    <row r="8052">
      <c r="A8052" s="1" t="s">
        <v>8052</v>
      </c>
      <c r="B8052" s="2" t="str">
        <f>IFERROR(__xludf.DUMMYFUNCTION("GOOGLETRANSLATE(A8052, ""de"", ""en"")"),"characteristics")</f>
        <v>characteristics</v>
      </c>
    </row>
    <row r="8053">
      <c r="A8053" s="1" t="s">
        <v>8053</v>
      </c>
      <c r="B8053" s="2" t="str">
        <f>IFERROR(__xludf.DUMMYFUNCTION("GOOGLETRANSLATE(A8053, ""de"", ""en"")"),"feather")</f>
        <v>feather</v>
      </c>
    </row>
    <row r="8054">
      <c r="A8054" s="1" t="s">
        <v>8054</v>
      </c>
      <c r="B8054" s="2" t="str">
        <f>IFERROR(__xludf.DUMMYFUNCTION("GOOGLETRANSLATE(A8054, ""de"", ""en"")"),"singer")</f>
        <v>singer</v>
      </c>
    </row>
    <row r="8055">
      <c r="A8055" s="1" t="s">
        <v>8055</v>
      </c>
      <c r="B8055" s="2" t="str">
        <f>IFERROR(__xludf.DUMMYFUNCTION("GOOGLETRANSLATE(A8055, ""de"", ""en"")"),"Elias")</f>
        <v>Elias</v>
      </c>
    </row>
    <row r="8056">
      <c r="A8056" s="1" t="s">
        <v>8056</v>
      </c>
      <c r="B8056" s="2" t="str">
        <f>IFERROR(__xludf.DUMMYFUNCTION("GOOGLETRANSLATE(A8056, ""de"", ""en"")"),"dessert")</f>
        <v>dessert</v>
      </c>
    </row>
    <row r="8057">
      <c r="A8057" s="1" t="s">
        <v>8057</v>
      </c>
      <c r="B8057" s="2" t="str">
        <f>IFERROR(__xludf.DUMMYFUNCTION("GOOGLETRANSLATE(A8057, ""de"", ""en"")"),"city ​​hall")</f>
        <v>city ​​hall</v>
      </c>
    </row>
    <row r="8058">
      <c r="A8058" s="1" t="s">
        <v>8058</v>
      </c>
      <c r="B8058" s="2" t="str">
        <f>IFERROR(__xludf.DUMMYFUNCTION("GOOGLETRANSLATE(A8058, ""de"", ""en"")"),"threats")</f>
        <v>threats</v>
      </c>
    </row>
    <row r="8059">
      <c r="A8059" s="1" t="s">
        <v>8059</v>
      </c>
      <c r="B8059" s="2" t="str">
        <f>IFERROR(__xludf.DUMMYFUNCTION("GOOGLETRANSLATE(A8059, ""de"", ""en"")"),"effect")</f>
        <v>effect</v>
      </c>
    </row>
    <row r="8060">
      <c r="A8060" s="1" t="s">
        <v>8060</v>
      </c>
      <c r="B8060" s="2" t="str">
        <f>IFERROR(__xludf.DUMMYFUNCTION("GOOGLETRANSLATE(A8060, ""de"", ""en"")"),"murderess")</f>
        <v>murderess</v>
      </c>
    </row>
    <row r="8061">
      <c r="A8061" s="1" t="s">
        <v>8061</v>
      </c>
      <c r="B8061" s="2" t="str">
        <f>IFERROR(__xludf.DUMMYFUNCTION("GOOGLETRANSLATE(A8061, ""de"", ""en"")"),"u")</f>
        <v>u</v>
      </c>
    </row>
    <row r="8062">
      <c r="A8062" s="1" t="s">
        <v>8062</v>
      </c>
      <c r="B8062" s="2" t="str">
        <f>IFERROR(__xludf.DUMMYFUNCTION("GOOGLETRANSLATE(A8062, ""de"", ""en"")"),"edith")</f>
        <v>edith</v>
      </c>
    </row>
    <row r="8063">
      <c r="A8063" s="1" t="s">
        <v>8063</v>
      </c>
      <c r="B8063" s="2" t="str">
        <f>IFERROR(__xludf.DUMMYFUNCTION("GOOGLETRANSLATE(A8063, ""de"", ""en"")"),"tub")</f>
        <v>tub</v>
      </c>
    </row>
    <row r="8064">
      <c r="A8064" s="1" t="s">
        <v>8064</v>
      </c>
      <c r="B8064" s="2" t="str">
        <f>IFERROR(__xludf.DUMMYFUNCTION("GOOGLETRANSLATE(A8064, ""de"", ""en"")"),"get through")</f>
        <v>get through</v>
      </c>
    </row>
    <row r="8065">
      <c r="A8065" s="1" t="s">
        <v>8065</v>
      </c>
      <c r="B8065" s="2" t="str">
        <f>IFERROR(__xludf.DUMMYFUNCTION("GOOGLETRANSLATE(A8065, ""de"", ""en"")"),"Reid")</f>
        <v>Reid</v>
      </c>
    </row>
    <row r="8066">
      <c r="A8066" s="1" t="s">
        <v>8066</v>
      </c>
      <c r="B8066" s="2" t="str">
        <f>IFERROR(__xludf.DUMMYFUNCTION("GOOGLETRANSLATE(A8066, ""de"", ""en"")"),"Mandy")</f>
        <v>Mandy</v>
      </c>
    </row>
    <row r="8067">
      <c r="A8067" s="1" t="s">
        <v>8067</v>
      </c>
      <c r="B8067" s="2" t="str">
        <f>IFERROR(__xludf.DUMMYFUNCTION("GOOGLETRANSLATE(A8067, ""de"", ""en"")"),"familiar")</f>
        <v>familiar</v>
      </c>
    </row>
    <row r="8068">
      <c r="A8068" s="1" t="s">
        <v>8068</v>
      </c>
      <c r="B8068" s="2" t="str">
        <f>IFERROR(__xludf.DUMMYFUNCTION("GOOGLETRANSLATE(A8068, ""de"", ""en"")"),"appreciates")</f>
        <v>appreciates</v>
      </c>
    </row>
    <row r="8069">
      <c r="A8069" s="1" t="s">
        <v>8069</v>
      </c>
      <c r="B8069" s="2" t="str">
        <f>IFERROR(__xludf.DUMMYFUNCTION("GOOGLETRANSLATE(A8069, ""de"", ""en"")"),"joys")</f>
        <v>joys</v>
      </c>
    </row>
    <row r="8070">
      <c r="A8070" s="1" t="s">
        <v>8070</v>
      </c>
      <c r="B8070" s="2" t="str">
        <f>IFERROR(__xludf.DUMMYFUNCTION("GOOGLETRANSLATE(A8070, ""de"", ""en"")"),"duration")</f>
        <v>duration</v>
      </c>
    </row>
    <row r="8071">
      <c r="A8071" s="1" t="s">
        <v>8071</v>
      </c>
      <c r="B8071" s="2" t="str">
        <f>IFERROR(__xludf.DUMMYFUNCTION("GOOGLETRANSLATE(A8071, ""de"", ""en"")"),"rains")</f>
        <v>rains</v>
      </c>
    </row>
    <row r="8072">
      <c r="A8072" s="1" t="s">
        <v>8072</v>
      </c>
      <c r="B8072" s="2" t="str">
        <f>IFERROR(__xludf.DUMMYFUNCTION("GOOGLETRANSLATE(A8072, ""de"", ""en"")"),"improved")</f>
        <v>improved</v>
      </c>
    </row>
    <row r="8073">
      <c r="A8073" s="1" t="s">
        <v>8073</v>
      </c>
      <c r="B8073" s="2" t="str">
        <f>IFERROR(__xludf.DUMMYFUNCTION("GOOGLETRANSLATE(A8073, ""de"", ""en"")"),"unexpectedly")</f>
        <v>unexpectedly</v>
      </c>
    </row>
    <row r="8074">
      <c r="A8074" s="1" t="s">
        <v>8074</v>
      </c>
      <c r="B8074" s="2" t="str">
        <f>IFERROR(__xludf.DUMMYFUNCTION("GOOGLETRANSLATE(A8074, ""de"", ""en"")"),"drug dealer")</f>
        <v>drug dealer</v>
      </c>
    </row>
    <row r="8075">
      <c r="A8075" s="1" t="s">
        <v>8075</v>
      </c>
      <c r="B8075" s="2" t="str">
        <f>IFERROR(__xludf.DUMMYFUNCTION("GOOGLETRANSLATE(A8075, ""de"", ""en"")"),"dangerous")</f>
        <v>dangerous</v>
      </c>
    </row>
    <row r="8076">
      <c r="A8076" s="1" t="s">
        <v>8076</v>
      </c>
      <c r="B8076" s="2" t="str">
        <f>IFERROR(__xludf.DUMMYFUNCTION("GOOGLETRANSLATE(A8076, ""de"", ""en"")"),"academic subject")</f>
        <v>academic subject</v>
      </c>
    </row>
    <row r="8077">
      <c r="A8077" s="1" t="s">
        <v>8077</v>
      </c>
      <c r="B8077" s="2" t="str">
        <f>IFERROR(__xludf.DUMMYFUNCTION("GOOGLETRANSLATE(A8077, ""de"", ""en"")"),"thank you")</f>
        <v>thank you</v>
      </c>
    </row>
    <row r="8078">
      <c r="A8078" s="1" t="s">
        <v>8078</v>
      </c>
      <c r="B8078" s="2" t="str">
        <f>IFERROR(__xludf.DUMMYFUNCTION("GOOGLETRANSLATE(A8078, ""de"", ""en"")"),"apartments")</f>
        <v>apartments</v>
      </c>
    </row>
    <row r="8079">
      <c r="A8079" s="1" t="s">
        <v>8079</v>
      </c>
      <c r="B8079" s="2" t="str">
        <f>IFERROR(__xludf.DUMMYFUNCTION("GOOGLETRANSLATE(A8079, ""de"", ""en"")"),"commissioner")</f>
        <v>commissioner</v>
      </c>
    </row>
    <row r="8080">
      <c r="A8080" s="1" t="s">
        <v>8080</v>
      </c>
      <c r="B8080" s="2" t="str">
        <f>IFERROR(__xludf.DUMMYFUNCTION("GOOGLETRANSLATE(A8080, ""de"", ""en"")"),"cross")</f>
        <v>cross</v>
      </c>
    </row>
    <row r="8081">
      <c r="A8081" s="1" t="s">
        <v>8081</v>
      </c>
      <c r="B8081" s="2" t="str">
        <f>IFERROR(__xludf.DUMMYFUNCTION("GOOGLETRANSLATE(A8081, ""de"", ""en"")"),"collar")</f>
        <v>collar</v>
      </c>
    </row>
    <row r="8082">
      <c r="A8082" s="1" t="s">
        <v>8082</v>
      </c>
      <c r="B8082" s="2" t="str">
        <f>IFERROR(__xludf.DUMMYFUNCTION("GOOGLETRANSLATE(A8082, ""de"", ""en"")"),"weaken")</f>
        <v>weaken</v>
      </c>
    </row>
    <row r="8083">
      <c r="A8083" s="1" t="s">
        <v>8083</v>
      </c>
      <c r="B8083" s="2" t="str">
        <f>IFERROR(__xludf.DUMMYFUNCTION("GOOGLETRANSLATE(A8083, ""de"", ""en"")"),"Mercedes")</f>
        <v>Mercedes</v>
      </c>
    </row>
    <row r="8084">
      <c r="A8084" s="1" t="s">
        <v>8084</v>
      </c>
      <c r="B8084" s="2" t="str">
        <f>IFERROR(__xludf.DUMMYFUNCTION("GOOGLETRANSLATE(A8084, ""de"", ""en"")"),"clink")</f>
        <v>clink</v>
      </c>
    </row>
    <row r="8085">
      <c r="A8085" s="1" t="s">
        <v>8085</v>
      </c>
      <c r="B8085" s="2" t="str">
        <f>IFERROR(__xludf.DUMMYFUNCTION("GOOGLETRANSLATE(A8085, ""de"", ""en"")"),"Valentine's Day")</f>
        <v>Valentine's Day</v>
      </c>
    </row>
    <row r="8086">
      <c r="A8086" s="1" t="s">
        <v>8086</v>
      </c>
      <c r="B8086" s="2" t="str">
        <f>IFERROR(__xludf.DUMMYFUNCTION("GOOGLETRANSLATE(A8086, ""de"", ""en"")"),"instead")</f>
        <v>instead</v>
      </c>
    </row>
    <row r="8087">
      <c r="A8087" s="1" t="s">
        <v>8087</v>
      </c>
      <c r="B8087" s="2" t="str">
        <f>IFERROR(__xludf.DUMMYFUNCTION("GOOGLETRANSLATE(A8087, ""de"", ""en"")"),"plan")</f>
        <v>plan</v>
      </c>
    </row>
    <row r="8088">
      <c r="A8088" s="1" t="s">
        <v>8088</v>
      </c>
      <c r="B8088" s="2" t="str">
        <f>IFERROR(__xludf.DUMMYFUNCTION("GOOGLETRANSLATE(A8088, ""de"", ""en"")"),"lovely")</f>
        <v>lovely</v>
      </c>
    </row>
    <row r="8089">
      <c r="A8089" s="1" t="s">
        <v>8089</v>
      </c>
      <c r="B8089" s="2" t="str">
        <f>IFERROR(__xludf.DUMMYFUNCTION("GOOGLETRANSLATE(A8089, ""de"", ""en"")"),"higher")</f>
        <v>higher</v>
      </c>
    </row>
    <row r="8090">
      <c r="A8090" s="1" t="s">
        <v>8090</v>
      </c>
      <c r="B8090" s="2" t="str">
        <f>IFERROR(__xludf.DUMMYFUNCTION("GOOGLETRANSLATE(A8090, ""de"", ""en"")"),"marked")</f>
        <v>marked</v>
      </c>
    </row>
    <row r="8091">
      <c r="A8091" s="1" t="s">
        <v>8091</v>
      </c>
      <c r="B8091" s="2" t="str">
        <f>IFERROR(__xludf.DUMMYFUNCTION("GOOGLETRANSLATE(A8091, ""de"", ""en"")"),"word of honor")</f>
        <v>word of honor</v>
      </c>
    </row>
    <row r="8092">
      <c r="A8092" s="1" t="s">
        <v>8092</v>
      </c>
      <c r="B8092" s="2" t="str">
        <f>IFERROR(__xludf.DUMMYFUNCTION("GOOGLETRANSLATE(A8092, ""de"", ""en"")"),"cheers")</f>
        <v>cheers</v>
      </c>
    </row>
    <row r="8093">
      <c r="A8093" s="1" t="s">
        <v>8093</v>
      </c>
      <c r="B8093" s="2" t="str">
        <f>IFERROR(__xludf.DUMMYFUNCTION("GOOGLETRANSLATE(A8093, ""de"", ""en"")"),"mud")</f>
        <v>mud</v>
      </c>
    </row>
    <row r="8094">
      <c r="A8094" s="1" t="s">
        <v>8094</v>
      </c>
      <c r="B8094" s="2" t="str">
        <f>IFERROR(__xludf.DUMMYFUNCTION("GOOGLETRANSLATE(A8094, ""de"", ""en"")"),"forests")</f>
        <v>forests</v>
      </c>
    </row>
    <row r="8095">
      <c r="A8095" s="1" t="s">
        <v>8095</v>
      </c>
      <c r="B8095" s="2" t="str">
        <f>IFERROR(__xludf.DUMMYFUNCTION("GOOGLETRANSLATE(A8095, ""de"", ""en"")"),"diner")</f>
        <v>diner</v>
      </c>
    </row>
    <row r="8096">
      <c r="A8096" s="1" t="s">
        <v>8096</v>
      </c>
      <c r="B8096" s="2" t="str">
        <f>IFERROR(__xludf.DUMMYFUNCTION("GOOGLETRANSLATE(A8096, ""de"", ""en"")"),"action")</f>
        <v>action</v>
      </c>
    </row>
    <row r="8097">
      <c r="A8097" s="1" t="s">
        <v>8097</v>
      </c>
      <c r="B8097" s="2" t="str">
        <f>IFERROR(__xludf.DUMMYFUNCTION("GOOGLETRANSLATE(A8097, ""de"", ""en"")"),"costa")</f>
        <v>costa</v>
      </c>
    </row>
    <row r="8098">
      <c r="A8098" s="1" t="s">
        <v>8098</v>
      </c>
      <c r="B8098" s="2" t="str">
        <f>IFERROR(__xludf.DUMMYFUNCTION("GOOGLETRANSLATE(A8098, ""de"", ""en"")"),"mess up")</f>
        <v>mess up</v>
      </c>
    </row>
    <row r="8099">
      <c r="A8099" s="1" t="s">
        <v>8099</v>
      </c>
      <c r="B8099" s="2" t="str">
        <f>IFERROR(__xludf.DUMMYFUNCTION("GOOGLETRANSLATE(A8099, ""de"", ""en"")"),"classic")</f>
        <v>classic</v>
      </c>
    </row>
    <row r="8100">
      <c r="A8100" s="1" t="s">
        <v>8100</v>
      </c>
      <c r="B8100" s="2" t="str">
        <f>IFERROR(__xludf.DUMMYFUNCTION("GOOGLETRANSLATE(A8100, ""de"", ""en"")"),"rod")</f>
        <v>rod</v>
      </c>
    </row>
    <row r="8101">
      <c r="A8101" s="1" t="s">
        <v>8101</v>
      </c>
      <c r="B8101" s="2" t="str">
        <f>IFERROR(__xludf.DUMMYFUNCTION("GOOGLETRANSLATE(A8101, ""de"", ""en"")"),"recommended")</f>
        <v>recommended</v>
      </c>
    </row>
    <row r="8102">
      <c r="A8102" s="1" t="s">
        <v>8102</v>
      </c>
      <c r="B8102" s="2" t="str">
        <f>IFERROR(__xludf.DUMMYFUNCTION("GOOGLETRANSLATE(A8102, ""de"", ""en"")"),"cynthia")</f>
        <v>cynthia</v>
      </c>
    </row>
    <row r="8103">
      <c r="A8103" s="1" t="s">
        <v>8103</v>
      </c>
      <c r="B8103" s="2" t="str">
        <f>IFERROR(__xludf.DUMMYFUNCTION("GOOGLETRANSLATE(A8103, ""de"", ""en"")"),"Gaby")</f>
        <v>Gaby</v>
      </c>
    </row>
    <row r="8104">
      <c r="A8104" s="1" t="s">
        <v>8104</v>
      </c>
      <c r="B8104" s="2" t="str">
        <f>IFERROR(__xludf.DUMMYFUNCTION("GOOGLETRANSLATE(A8104, ""de"", ""en"")"),"throw out")</f>
        <v>throw out</v>
      </c>
    </row>
    <row r="8105">
      <c r="A8105" s="1" t="s">
        <v>8105</v>
      </c>
      <c r="B8105" s="2" t="str">
        <f>IFERROR(__xludf.DUMMYFUNCTION("GOOGLETRANSLATE(A8105, ""de"", ""en"")"),"mechanic")</f>
        <v>mechanic</v>
      </c>
    </row>
    <row r="8106">
      <c r="A8106" s="1" t="s">
        <v>8106</v>
      </c>
      <c r="B8106" s="2" t="str">
        <f>IFERROR(__xludf.DUMMYFUNCTION("GOOGLETRANSLATE(A8106, ""de"", ""en"")"),"confess")</f>
        <v>confess</v>
      </c>
    </row>
    <row r="8107">
      <c r="A8107" s="1" t="s">
        <v>8107</v>
      </c>
      <c r="B8107" s="2" t="str">
        <f>IFERROR(__xludf.DUMMYFUNCTION("GOOGLETRANSLATE(A8107, ""de"", ""en"")"),"abbreviation")</f>
        <v>abbreviation</v>
      </c>
    </row>
    <row r="8108">
      <c r="A8108" s="1" t="s">
        <v>8108</v>
      </c>
      <c r="B8108" s="2" t="str">
        <f>IFERROR(__xludf.DUMMYFUNCTION("GOOGLETRANSLATE(A8108, ""de"", ""en"")"),"professional")</f>
        <v>professional</v>
      </c>
    </row>
    <row r="8109">
      <c r="A8109" s="1" t="s">
        <v>8109</v>
      </c>
      <c r="B8109" s="2" t="str">
        <f>IFERROR(__xludf.DUMMYFUNCTION("GOOGLETRANSLATE(A8109, ""de"", ""en"")"),"funeral")</f>
        <v>funeral</v>
      </c>
    </row>
    <row r="8110">
      <c r="A8110" s="1" t="s">
        <v>8110</v>
      </c>
      <c r="B8110" s="2" t="str">
        <f>IFERROR(__xludf.DUMMYFUNCTION("GOOGLETRANSLATE(A8110, ""de"", ""en"")"),"seduce")</f>
        <v>seduce</v>
      </c>
    </row>
    <row r="8111">
      <c r="A8111" s="1" t="s">
        <v>8111</v>
      </c>
      <c r="B8111" s="2" t="str">
        <f>IFERROR(__xludf.DUMMYFUNCTION("GOOGLETRANSLATE(A8111, ""de"", ""en"")"),"on my part")</f>
        <v>on my part</v>
      </c>
    </row>
    <row r="8112">
      <c r="A8112" s="1" t="s">
        <v>8112</v>
      </c>
      <c r="B8112" s="2" t="str">
        <f>IFERROR(__xludf.DUMMYFUNCTION("GOOGLETRANSLATE(A8112, ""de"", ""en"")"),"Valerie")</f>
        <v>Valerie</v>
      </c>
    </row>
    <row r="8113">
      <c r="A8113" s="1" t="s">
        <v>8113</v>
      </c>
      <c r="B8113" s="2" t="str">
        <f>IFERROR(__xludf.DUMMYFUNCTION("GOOGLETRANSLATE(A8113, ""de"", ""en"")"),"Francois")</f>
        <v>Francois</v>
      </c>
    </row>
    <row r="8114">
      <c r="A8114" s="1" t="s">
        <v>8114</v>
      </c>
      <c r="B8114" s="2" t="str">
        <f>IFERROR(__xludf.DUMMYFUNCTION("GOOGLETRANSLATE(A8114, ""de"", ""en"")"),"magical")</f>
        <v>magical</v>
      </c>
    </row>
    <row r="8115">
      <c r="A8115" s="1" t="s">
        <v>8115</v>
      </c>
      <c r="B8115" s="2" t="str">
        <f>IFERROR(__xludf.DUMMYFUNCTION("GOOGLETRANSLATE(A8115, ""de"", ""en"")"),"ellis")</f>
        <v>ellis</v>
      </c>
    </row>
    <row r="8116">
      <c r="A8116" s="1" t="s">
        <v>8116</v>
      </c>
      <c r="B8116" s="2" t="str">
        <f>IFERROR(__xludf.DUMMYFUNCTION("GOOGLETRANSLATE(A8116, ""de"", ""en"")"),"maid")</f>
        <v>maid</v>
      </c>
    </row>
    <row r="8117">
      <c r="A8117" s="1" t="s">
        <v>8117</v>
      </c>
      <c r="B8117" s="2" t="str">
        <f>IFERROR(__xludf.DUMMYFUNCTION("GOOGLETRANSLATE(A8117, ""de"", ""en"")"),"surgeon")</f>
        <v>surgeon</v>
      </c>
    </row>
    <row r="8118">
      <c r="A8118" s="1" t="s">
        <v>8118</v>
      </c>
      <c r="B8118" s="2" t="str">
        <f>IFERROR(__xludf.DUMMYFUNCTION("GOOGLETRANSLATE(A8118, ""de"", ""en"")"),"whale")</f>
        <v>whale</v>
      </c>
    </row>
    <row r="8119">
      <c r="A8119" s="1" t="s">
        <v>8119</v>
      </c>
      <c r="B8119" s="2" t="str">
        <f>IFERROR(__xludf.DUMMYFUNCTION("GOOGLETRANSLATE(A8119, ""de"", ""en"")"),"couples")</f>
        <v>couples</v>
      </c>
    </row>
    <row r="8120">
      <c r="A8120" s="1" t="s">
        <v>8120</v>
      </c>
      <c r="B8120" s="2" t="str">
        <f>IFERROR(__xludf.DUMMYFUNCTION("GOOGLETRANSLATE(A8120, ""de"", ""en"")"),"center")</f>
        <v>center</v>
      </c>
    </row>
    <row r="8121">
      <c r="A8121" s="1" t="s">
        <v>8121</v>
      </c>
      <c r="B8121" s="2" t="str">
        <f>IFERROR(__xludf.DUMMYFUNCTION("GOOGLETRANSLATE(A8121, ""de"", ""en"")"),"saw")</f>
        <v>saw</v>
      </c>
    </row>
    <row r="8122">
      <c r="A8122" s="1" t="s">
        <v>8122</v>
      </c>
      <c r="B8122" s="2" t="str">
        <f>IFERROR(__xludf.DUMMYFUNCTION("GOOGLETRANSLATE(A8122, ""de"", ""en"")"),"opened")</f>
        <v>opened</v>
      </c>
    </row>
    <row r="8123">
      <c r="A8123" s="1" t="s">
        <v>8123</v>
      </c>
      <c r="B8123" s="2" t="str">
        <f>IFERROR(__xludf.DUMMYFUNCTION("GOOGLETRANSLATE(A8123, ""de"", ""en"")"),"suffer")</f>
        <v>suffer</v>
      </c>
    </row>
    <row r="8124">
      <c r="A8124" s="1" t="s">
        <v>8124</v>
      </c>
      <c r="B8124" s="2" t="str">
        <f>IFERROR(__xludf.DUMMYFUNCTION("GOOGLETRANSLATE(A8124, ""de"", ""en"")"),"amusing")</f>
        <v>amusing</v>
      </c>
    </row>
    <row r="8125">
      <c r="A8125" s="1" t="s">
        <v>8125</v>
      </c>
      <c r="B8125" s="2" t="str">
        <f>IFERROR(__xludf.DUMMYFUNCTION("GOOGLETRANSLATE(A8125, ""de"", ""en"")"),"supreme")</f>
        <v>supreme</v>
      </c>
    </row>
    <row r="8126">
      <c r="A8126" s="1" t="s">
        <v>8126</v>
      </c>
      <c r="B8126" s="2" t="str">
        <f>IFERROR(__xludf.DUMMYFUNCTION("GOOGLETRANSLATE(A8126, ""de"", ""en"")"),"Fletcher")</f>
        <v>Fletcher</v>
      </c>
    </row>
    <row r="8127">
      <c r="A8127" s="1" t="s">
        <v>8127</v>
      </c>
      <c r="B8127" s="2" t="str">
        <f>IFERROR(__xludf.DUMMYFUNCTION("GOOGLETRANSLATE(A8127, ""de"", ""en"")"),"stirred")</f>
        <v>stirred</v>
      </c>
    </row>
    <row r="8128">
      <c r="A8128" s="1" t="s">
        <v>8128</v>
      </c>
      <c r="B8128" s="2" t="str">
        <f>IFERROR(__xludf.DUMMYFUNCTION("GOOGLETRANSLATE(A8128, ""de"", ""en"")"),"tails")</f>
        <v>tails</v>
      </c>
    </row>
    <row r="8129">
      <c r="A8129" s="1" t="s">
        <v>8129</v>
      </c>
      <c r="B8129" s="2" t="str">
        <f>IFERROR(__xludf.DUMMYFUNCTION("GOOGLETRANSLATE(A8129, ""de"", ""en"")"),"chff00ff")</f>
        <v>chff00ff</v>
      </c>
    </row>
    <row r="8130">
      <c r="A8130" s="1" t="s">
        <v>8130</v>
      </c>
      <c r="B8130" s="2" t="str">
        <f>IFERROR(__xludf.DUMMYFUNCTION("GOOGLETRANSLATE(A8130, ""de"", ""en"")"),"note")</f>
        <v>note</v>
      </c>
    </row>
    <row r="8131">
      <c r="A8131" s="1" t="s">
        <v>8131</v>
      </c>
      <c r="B8131" s="2" t="str">
        <f>IFERROR(__xludf.DUMMYFUNCTION("GOOGLETRANSLATE(A8131, ""de"", ""en"")"),"file")</f>
        <v>file</v>
      </c>
    </row>
    <row r="8132">
      <c r="A8132" s="1" t="s">
        <v>8132</v>
      </c>
      <c r="B8132" s="2" t="str">
        <f>IFERROR(__xludf.DUMMYFUNCTION("GOOGLETRANSLATE(A8132, ""de"", ""en"")"),"at the same time")</f>
        <v>at the same time</v>
      </c>
    </row>
    <row r="8133">
      <c r="A8133" s="1" t="s">
        <v>8133</v>
      </c>
      <c r="B8133" s="2" t="str">
        <f>IFERROR(__xludf.DUMMYFUNCTION("GOOGLETRANSLATE(A8133, ""de"", ""en"")"),"naked ones")</f>
        <v>naked ones</v>
      </c>
    </row>
    <row r="8134">
      <c r="A8134" s="1" t="s">
        <v>8134</v>
      </c>
      <c r="B8134" s="2" t="str">
        <f>IFERROR(__xludf.DUMMYFUNCTION("GOOGLETRANSLATE(A8134, ""de"", ""en"")"),"double")</f>
        <v>double</v>
      </c>
    </row>
    <row r="8135">
      <c r="A8135" s="1" t="s">
        <v>8135</v>
      </c>
      <c r="B8135" s="2" t="str">
        <f>IFERROR(__xludf.DUMMYFUNCTION("GOOGLETRANSLATE(A8135, ""de"", ""en"")"),"admired")</f>
        <v>admired</v>
      </c>
    </row>
    <row r="8136">
      <c r="A8136" s="1" t="s">
        <v>8136</v>
      </c>
      <c r="B8136" s="2" t="str">
        <f>IFERROR(__xludf.DUMMYFUNCTION("GOOGLETRANSLATE(A8136, ""de"", ""en"")"),"dimension")</f>
        <v>dimension</v>
      </c>
    </row>
    <row r="8137">
      <c r="A8137" s="1" t="s">
        <v>8137</v>
      </c>
      <c r="B8137" s="2" t="str">
        <f>IFERROR(__xludf.DUMMYFUNCTION("GOOGLETRANSLATE(A8137, ""de"", ""en"")"),"cross")</f>
        <v>cross</v>
      </c>
    </row>
    <row r="8138">
      <c r="A8138" s="1" t="s">
        <v>8138</v>
      </c>
      <c r="B8138" s="2" t="str">
        <f>IFERROR(__xludf.DUMMYFUNCTION("GOOGLETRANSLATE(A8138, ""de"", ""en"")"),"alarm clock")</f>
        <v>alarm clock</v>
      </c>
    </row>
    <row r="8139">
      <c r="A8139" s="1" t="s">
        <v>8139</v>
      </c>
      <c r="B8139" s="2" t="str">
        <f>IFERROR(__xludf.DUMMYFUNCTION("GOOGLETRANSLATE(A8139, ""de"", ""en"")"),"developed")</f>
        <v>developed</v>
      </c>
    </row>
    <row r="8140">
      <c r="A8140" s="1" t="s">
        <v>8140</v>
      </c>
      <c r="B8140" s="2" t="str">
        <f>IFERROR(__xludf.DUMMYFUNCTION("GOOGLETRANSLATE(A8140, ""de"", ""en"")"),"screech")</f>
        <v>screech</v>
      </c>
    </row>
    <row r="8141">
      <c r="A8141" s="1" t="s">
        <v>8141</v>
      </c>
      <c r="B8141" s="2" t="str">
        <f>IFERROR(__xludf.DUMMYFUNCTION("GOOGLETRANSLATE(A8141, ""de"", ""en"")"),"vivian")</f>
        <v>vivian</v>
      </c>
    </row>
    <row r="8142">
      <c r="A8142" s="1" t="s">
        <v>8142</v>
      </c>
      <c r="B8142" s="2" t="str">
        <f>IFERROR(__xludf.DUMMYFUNCTION("GOOGLETRANSLATE(A8142, ""de"", ""en"")"),"shops")</f>
        <v>shops</v>
      </c>
    </row>
    <row r="8143">
      <c r="A8143" s="1" t="s">
        <v>8143</v>
      </c>
      <c r="B8143" s="2" t="str">
        <f>IFERROR(__xludf.DUMMYFUNCTION("GOOGLETRANSLATE(A8143, ""de"", ""en"")"),"ios")</f>
        <v>ios</v>
      </c>
    </row>
    <row r="8144">
      <c r="A8144" s="1" t="s">
        <v>8144</v>
      </c>
      <c r="B8144" s="2" t="str">
        <f>IFERROR(__xludf.DUMMYFUNCTION("GOOGLETRANSLATE(A8144, ""de"", ""en"")"),"lobby")</f>
        <v>lobby</v>
      </c>
    </row>
    <row r="8145">
      <c r="A8145" s="1" t="s">
        <v>8145</v>
      </c>
      <c r="B8145" s="2" t="str">
        <f>IFERROR(__xludf.DUMMYFUNCTION("GOOGLETRANSLATE(A8145, ""de"", ""en"")"),"moved away")</f>
        <v>moved away</v>
      </c>
    </row>
    <row r="8146">
      <c r="A8146" s="1" t="s">
        <v>8146</v>
      </c>
      <c r="B8146" s="2" t="str">
        <f>IFERROR(__xludf.DUMMYFUNCTION("GOOGLETRANSLATE(A8146, ""de"", ""en"")"),"accused")</f>
        <v>accused</v>
      </c>
    </row>
    <row r="8147">
      <c r="A8147" s="1" t="s">
        <v>8147</v>
      </c>
      <c r="B8147" s="2" t="str">
        <f>IFERROR(__xludf.DUMMYFUNCTION("GOOGLETRANSLATE(A8147, ""de"", ""en"")"),"beads")</f>
        <v>beads</v>
      </c>
    </row>
    <row r="8148">
      <c r="A8148" s="1" t="s">
        <v>8148</v>
      </c>
      <c r="B8148" s="2" t="str">
        <f>IFERROR(__xludf.DUMMYFUNCTION("GOOGLETRANSLATE(A8148, ""de"", ""en"")"),"gays")</f>
        <v>gays</v>
      </c>
    </row>
    <row r="8149">
      <c r="A8149" s="1" t="s">
        <v>8149</v>
      </c>
      <c r="B8149" s="2" t="str">
        <f>IFERROR(__xludf.DUMMYFUNCTION("GOOGLETRANSLATE(A8149, ""de"", ""en"")"),"dozens")</f>
        <v>dozens</v>
      </c>
    </row>
    <row r="8150">
      <c r="A8150" s="1" t="s">
        <v>8150</v>
      </c>
      <c r="B8150" s="2" t="str">
        <f>IFERROR(__xludf.DUMMYFUNCTION("GOOGLETRANSLATE(A8150, ""de"", ""en"")"),"simmons")</f>
        <v>simmons</v>
      </c>
    </row>
    <row r="8151">
      <c r="A8151" s="1" t="s">
        <v>8151</v>
      </c>
      <c r="B8151" s="2" t="str">
        <f>IFERROR(__xludf.DUMMYFUNCTION("GOOGLETRANSLATE(A8151, ""de"", ""en"")"),"raised")</f>
        <v>raised</v>
      </c>
    </row>
    <row r="8152">
      <c r="A8152" s="1" t="s">
        <v>8152</v>
      </c>
      <c r="B8152" s="2" t="str">
        <f>IFERROR(__xludf.DUMMYFUNCTION("GOOGLETRANSLATE(A8152, ""de"", ""en"")"),"campus")</f>
        <v>campus</v>
      </c>
    </row>
    <row r="8153">
      <c r="A8153" s="1" t="s">
        <v>8153</v>
      </c>
      <c r="B8153" s="2" t="str">
        <f>IFERROR(__xludf.DUMMYFUNCTION("GOOGLETRANSLATE(A8153, ""de"", ""en"")"),"stove")</f>
        <v>stove</v>
      </c>
    </row>
    <row r="8154">
      <c r="A8154" s="1" t="s">
        <v>8154</v>
      </c>
      <c r="B8154" s="2" t="str">
        <f>IFERROR(__xludf.DUMMYFUNCTION("GOOGLETRANSLATE(A8154, ""de"", ""en"")"),"hospital")</f>
        <v>hospital</v>
      </c>
    </row>
    <row r="8155">
      <c r="A8155" s="1" t="s">
        <v>8155</v>
      </c>
      <c r="B8155" s="2" t="str">
        <f>IFERROR(__xludf.DUMMYFUNCTION("GOOGLETRANSLATE(A8155, ""de"", ""en"")"),"light")</f>
        <v>light</v>
      </c>
    </row>
    <row r="8156">
      <c r="A8156" s="1" t="s">
        <v>8156</v>
      </c>
      <c r="B8156" s="2" t="str">
        <f>IFERROR(__xludf.DUMMYFUNCTION("GOOGLETRANSLATE(A8156, ""de"", ""en"")"),"rich")</f>
        <v>rich</v>
      </c>
    </row>
    <row r="8157">
      <c r="A8157" s="1" t="s">
        <v>8157</v>
      </c>
      <c r="B8157" s="2" t="str">
        <f>IFERROR(__xludf.DUMMYFUNCTION("GOOGLETRANSLATE(A8157, ""de"", ""en"")"),"greeted")</f>
        <v>greeted</v>
      </c>
    </row>
    <row r="8158">
      <c r="A8158" s="1" t="s">
        <v>8158</v>
      </c>
      <c r="B8158" s="2" t="str">
        <f>IFERROR(__xludf.DUMMYFUNCTION("GOOGLETRANSLATE(A8158, ""de"", ""en"")"),"supervision")</f>
        <v>supervision</v>
      </c>
    </row>
    <row r="8159">
      <c r="A8159" s="1" t="s">
        <v>8159</v>
      </c>
      <c r="B8159" s="2" t="str">
        <f>IFERROR(__xludf.DUMMYFUNCTION("GOOGLETRANSLATE(A8159, ""de"", ""en"")"),"pooch")</f>
        <v>pooch</v>
      </c>
    </row>
    <row r="8160">
      <c r="A8160" s="1" t="s">
        <v>8160</v>
      </c>
      <c r="B8160" s="2" t="str">
        <f>IFERROR(__xludf.DUMMYFUNCTION("GOOGLETRANSLATE(A8160, ""de"", ""en"")"),"object")</f>
        <v>object</v>
      </c>
    </row>
    <row r="8161">
      <c r="A8161" s="1" t="s">
        <v>8161</v>
      </c>
      <c r="B8161" s="2" t="str">
        <f>IFERROR(__xludf.DUMMYFUNCTION("GOOGLETRANSLATE(A8161, ""de"", ""en"")"),"daylight")</f>
        <v>daylight</v>
      </c>
    </row>
    <row r="8162">
      <c r="A8162" s="1" t="s">
        <v>8162</v>
      </c>
      <c r="B8162" s="2" t="str">
        <f>IFERROR(__xludf.DUMMYFUNCTION("GOOGLETRANSLATE(A8162, ""de"", ""en"")"),"emotional")</f>
        <v>emotional</v>
      </c>
    </row>
    <row r="8163">
      <c r="A8163" s="1" t="s">
        <v>8163</v>
      </c>
      <c r="B8163" s="2" t="str">
        <f>IFERROR(__xludf.DUMMYFUNCTION("GOOGLETRANSLATE(A8163, ""de"", ""en"")"),"clean")</f>
        <v>clean</v>
      </c>
    </row>
    <row r="8164">
      <c r="A8164" s="1" t="s">
        <v>8164</v>
      </c>
      <c r="B8164" s="2" t="str">
        <f>IFERROR(__xludf.DUMMYFUNCTION("GOOGLETRANSLATE(A8164, ""de"", ""en"")"),"Cassie")</f>
        <v>Cassie</v>
      </c>
    </row>
    <row r="8165">
      <c r="A8165" s="1" t="s">
        <v>8165</v>
      </c>
      <c r="B8165" s="2" t="str">
        <f>IFERROR(__xludf.DUMMYFUNCTION("GOOGLETRANSLATE(A8165, ""de"", ""en"")"),"sinner")</f>
        <v>sinner</v>
      </c>
    </row>
    <row r="8166">
      <c r="A8166" s="1" t="s">
        <v>8166</v>
      </c>
      <c r="B8166" s="2" t="str">
        <f>IFERROR(__xludf.DUMMYFUNCTION("GOOGLETRANSLATE(A8166, ""de"", ""en"")"),"amounts")</f>
        <v>amounts</v>
      </c>
    </row>
    <row r="8167">
      <c r="A8167" s="1" t="s">
        <v>8167</v>
      </c>
      <c r="B8167" s="2" t="str">
        <f>IFERROR(__xludf.DUMMYFUNCTION("GOOGLETRANSLATE(A8167, ""de"", ""en"")"),"beautiful")</f>
        <v>beautiful</v>
      </c>
    </row>
    <row r="8168">
      <c r="A8168" s="1" t="s">
        <v>8168</v>
      </c>
      <c r="B8168" s="2" t="str">
        <f>IFERROR(__xludf.DUMMYFUNCTION("GOOGLETRANSLATE(A8168, ""de"", ""en"")"),"send")</f>
        <v>send</v>
      </c>
    </row>
    <row r="8169">
      <c r="A8169" s="1" t="s">
        <v>8169</v>
      </c>
      <c r="B8169" s="2" t="str">
        <f>IFERROR(__xludf.DUMMYFUNCTION("GOOGLETRANSLATE(A8169, ""de"", ""en"")"),"female")</f>
        <v>female</v>
      </c>
    </row>
    <row r="8170">
      <c r="A8170" s="1" t="s">
        <v>8170</v>
      </c>
      <c r="B8170" s="2" t="str">
        <f>IFERROR(__xludf.DUMMYFUNCTION("GOOGLETRANSLATE(A8170, ""de"", ""en"")"),"to get out")</f>
        <v>to get out</v>
      </c>
    </row>
    <row r="8171">
      <c r="A8171" s="1" t="s">
        <v>8171</v>
      </c>
      <c r="B8171" s="2" t="str">
        <f>IFERROR(__xludf.DUMMYFUNCTION("GOOGLETRANSLATE(A8171, ""de"", ""en"")"),"get it")</f>
        <v>get it</v>
      </c>
    </row>
    <row r="8172">
      <c r="A8172" s="1" t="s">
        <v>8172</v>
      </c>
      <c r="B8172" s="2" t="str">
        <f>IFERROR(__xludf.DUMMYFUNCTION("GOOGLETRANSLATE(A8172, ""de"", ""en"")"),"taken out")</f>
        <v>taken out</v>
      </c>
    </row>
    <row r="8173">
      <c r="A8173" s="1" t="s">
        <v>8173</v>
      </c>
      <c r="B8173" s="2" t="str">
        <f>IFERROR(__xludf.DUMMYFUNCTION("GOOGLETRANSLATE(A8173, ""de"", ""en"")"),"designed")</f>
        <v>designed</v>
      </c>
    </row>
    <row r="8174">
      <c r="A8174" s="1" t="s">
        <v>8174</v>
      </c>
      <c r="B8174" s="2" t="str">
        <f>IFERROR(__xludf.DUMMYFUNCTION("GOOGLETRANSLATE(A8174, ""de"", ""en"")"),"taken")</f>
        <v>taken</v>
      </c>
    </row>
    <row r="8175">
      <c r="A8175" s="1" t="s">
        <v>8175</v>
      </c>
      <c r="B8175" s="2" t="str">
        <f>IFERROR(__xludf.DUMMYFUNCTION("GOOGLETRANSLATE(A8175, ""de"", ""en"")"),"daphne")</f>
        <v>daphne</v>
      </c>
    </row>
    <row r="8176">
      <c r="A8176" s="1" t="s">
        <v>8176</v>
      </c>
      <c r="B8176" s="2" t="str">
        <f>IFERROR(__xludf.DUMMYFUNCTION("GOOGLETRANSLATE(A8176, ""de"", ""en"")"),"want")</f>
        <v>want</v>
      </c>
    </row>
    <row r="8177">
      <c r="A8177" s="1" t="s">
        <v>8177</v>
      </c>
      <c r="B8177" s="2" t="str">
        <f>IFERROR(__xludf.DUMMYFUNCTION("GOOGLETRANSLATE(A8177, ""de"", ""en"")"),"cook")</f>
        <v>cook</v>
      </c>
    </row>
    <row r="8178">
      <c r="A8178" s="1" t="s">
        <v>8178</v>
      </c>
      <c r="B8178" s="2" t="str">
        <f>IFERROR(__xludf.DUMMYFUNCTION("GOOGLETRANSLATE(A8178, ""de"", ""en"")"),"willy")</f>
        <v>willy</v>
      </c>
    </row>
    <row r="8179">
      <c r="A8179" s="1" t="s">
        <v>8179</v>
      </c>
      <c r="B8179" s="2" t="str">
        <f>IFERROR(__xludf.DUMMYFUNCTION("GOOGLETRANSLATE(A8179, ""de"", ""en"")"),"confession")</f>
        <v>confession</v>
      </c>
    </row>
    <row r="8180">
      <c r="A8180" s="1" t="s">
        <v>8180</v>
      </c>
      <c r="B8180" s="2" t="str">
        <f>IFERROR(__xludf.DUMMYFUNCTION("GOOGLETRANSLATE(A8180, ""de"", ""en"")"),"seven")</f>
        <v>seven</v>
      </c>
    </row>
    <row r="8181">
      <c r="A8181" s="1" t="s">
        <v>8181</v>
      </c>
      <c r="B8181" s="2" t="str">
        <f>IFERROR(__xludf.DUMMYFUNCTION("GOOGLETRANSLATE(A8181, ""de"", ""en"")"),"marina")</f>
        <v>marina</v>
      </c>
    </row>
    <row r="8182">
      <c r="A8182" s="1" t="s">
        <v>8182</v>
      </c>
      <c r="B8182" s="2" t="str">
        <f>IFERROR(__xludf.DUMMYFUNCTION("GOOGLETRANSLATE(A8182, ""de"", ""en"")"),"deliver")</f>
        <v>deliver</v>
      </c>
    </row>
    <row r="8183">
      <c r="A8183" s="1" t="s">
        <v>8183</v>
      </c>
      <c r="B8183" s="2" t="str">
        <f>IFERROR(__xludf.DUMMYFUNCTION("GOOGLETRANSLATE(A8183, ""de"", ""en"")"),"perfect")</f>
        <v>perfect</v>
      </c>
    </row>
    <row r="8184">
      <c r="A8184" s="1" t="s">
        <v>8184</v>
      </c>
      <c r="B8184" s="2" t="str">
        <f>IFERROR(__xludf.DUMMYFUNCTION("GOOGLETRANSLATE(A8184, ""de"", ""en"")"),"lucky ones")</f>
        <v>lucky ones</v>
      </c>
    </row>
    <row r="8185">
      <c r="A8185" s="1" t="s">
        <v>8185</v>
      </c>
      <c r="B8185" s="2" t="str">
        <f>IFERROR(__xludf.DUMMYFUNCTION("GOOGLETRANSLATE(A8185, ""de"", ""en"")"),"through which")</f>
        <v>through which</v>
      </c>
    </row>
    <row r="8186">
      <c r="A8186" s="1" t="s">
        <v>8186</v>
      </c>
      <c r="B8186" s="2" t="str">
        <f>IFERROR(__xludf.DUMMYFUNCTION("GOOGLETRANSLATE(A8186, ""de"", ""en"")"),"accordingly")</f>
        <v>accordingly</v>
      </c>
    </row>
    <row r="8187">
      <c r="A8187" s="1" t="s">
        <v>8187</v>
      </c>
      <c r="B8187" s="2" t="str">
        <f>IFERROR(__xludf.DUMMYFUNCTION("GOOGLETRANSLATE(A8187, ""de"", ""en"")"),"around")</f>
        <v>around</v>
      </c>
    </row>
    <row r="8188">
      <c r="A8188" s="1" t="s">
        <v>8188</v>
      </c>
      <c r="B8188" s="2" t="str">
        <f>IFERROR(__xludf.DUMMYFUNCTION("GOOGLETRANSLATE(A8188, ""de"", ""en"")"),"erica")</f>
        <v>erica</v>
      </c>
    </row>
    <row r="8189">
      <c r="A8189" s="1" t="s">
        <v>8189</v>
      </c>
      <c r="B8189" s="2" t="str">
        <f>IFERROR(__xludf.DUMMYFUNCTION("GOOGLETRANSLATE(A8189, ""de"", ""en"")"),"sausage")</f>
        <v>sausage</v>
      </c>
    </row>
    <row r="8190">
      <c r="A8190" s="1" t="s">
        <v>8190</v>
      </c>
      <c r="B8190" s="2" t="str">
        <f>IFERROR(__xludf.DUMMYFUNCTION("GOOGLETRANSLATE(A8190, ""de"", ""en"")"),"note")</f>
        <v>note</v>
      </c>
    </row>
    <row r="8191">
      <c r="A8191" s="1" t="s">
        <v>8191</v>
      </c>
      <c r="B8191" s="2" t="str">
        <f>IFERROR(__xludf.DUMMYFUNCTION("GOOGLETRANSLATE(A8191, ""de"", ""en"")"),"audition")</f>
        <v>audition</v>
      </c>
    </row>
    <row r="8192">
      <c r="A8192" s="1" t="s">
        <v>8192</v>
      </c>
      <c r="B8192" s="2" t="str">
        <f>IFERROR(__xludf.DUMMYFUNCTION("GOOGLETRANSLATE(A8192, ""de"", ""en"")"),"more famous")</f>
        <v>more famous</v>
      </c>
    </row>
    <row r="8193">
      <c r="A8193" s="1" t="s">
        <v>8193</v>
      </c>
      <c r="B8193" s="2" t="str">
        <f>IFERROR(__xludf.DUMMYFUNCTION("GOOGLETRANSLATE(A8193, ""de"", ""en"")"),"drive")</f>
        <v>drive</v>
      </c>
    </row>
    <row r="8194">
      <c r="A8194" s="1" t="s">
        <v>8194</v>
      </c>
      <c r="B8194" s="2" t="str">
        <f>IFERROR(__xludf.DUMMYFUNCTION("GOOGLETRANSLATE(A8194, ""de"", ""en"")"),"dwarves")</f>
        <v>dwarves</v>
      </c>
    </row>
    <row r="8195">
      <c r="A8195" s="1" t="s">
        <v>8195</v>
      </c>
      <c r="B8195" s="2" t="str">
        <f>IFERROR(__xludf.DUMMYFUNCTION("GOOGLETRANSLATE(A8195, ""de"", ""en"")"),"console")</f>
        <v>console</v>
      </c>
    </row>
    <row r="8196">
      <c r="A8196" s="1" t="s">
        <v>8196</v>
      </c>
      <c r="B8196" s="2" t="str">
        <f>IFERROR(__xludf.DUMMYFUNCTION("GOOGLETRANSLATE(A8196, ""de"", ""en"")"),"poverty")</f>
        <v>poverty</v>
      </c>
    </row>
    <row r="8197">
      <c r="A8197" s="1" t="s">
        <v>8197</v>
      </c>
      <c r="B8197" s="2" t="str">
        <f>IFERROR(__xludf.DUMMYFUNCTION("GOOGLETRANSLATE(A8197, ""de"", ""en"")"),"banished")</f>
        <v>banished</v>
      </c>
    </row>
    <row r="8198">
      <c r="A8198" s="1" t="s">
        <v>8198</v>
      </c>
      <c r="B8198" s="2" t="str">
        <f>IFERROR(__xludf.DUMMYFUNCTION("GOOGLETRANSLATE(A8198, ""de"", ""en"")"),"parade")</f>
        <v>parade</v>
      </c>
    </row>
    <row r="8199">
      <c r="A8199" s="1" t="s">
        <v>8199</v>
      </c>
      <c r="B8199" s="2" t="str">
        <f>IFERROR(__xludf.DUMMYFUNCTION("GOOGLETRANSLATE(A8199, ""de"", ""en"")"),"concentrate")</f>
        <v>concentrate</v>
      </c>
    </row>
    <row r="8200">
      <c r="A8200" s="1" t="s">
        <v>8200</v>
      </c>
      <c r="B8200" s="2" t="str">
        <f>IFERROR(__xludf.DUMMYFUNCTION("GOOGLETRANSLATE(A8200, ""de"", ""en"")"),"approached")</f>
        <v>approached</v>
      </c>
    </row>
    <row r="8201">
      <c r="A8201" s="1" t="s">
        <v>8201</v>
      </c>
      <c r="B8201" s="2" t="str">
        <f>IFERROR(__xludf.DUMMYFUNCTION("GOOGLETRANSLATE(A8201, ""de"", ""en"")"),"2 times")</f>
        <v>2 times</v>
      </c>
    </row>
    <row r="8202">
      <c r="A8202" s="1" t="s">
        <v>8202</v>
      </c>
      <c r="B8202" s="2" t="str">
        <f>IFERROR(__xludf.DUMMYFUNCTION("GOOGLETRANSLATE(A8202, ""de"", ""en"")"),"childish")</f>
        <v>childish</v>
      </c>
    </row>
    <row r="8203">
      <c r="A8203" s="1" t="s">
        <v>8203</v>
      </c>
      <c r="B8203" s="2" t="str">
        <f>IFERROR(__xludf.DUMMYFUNCTION("GOOGLETRANSLATE(A8203, ""de"", ""en"")"),"cripple")</f>
        <v>cripple</v>
      </c>
    </row>
    <row r="8204">
      <c r="A8204" s="1" t="s">
        <v>8204</v>
      </c>
      <c r="B8204" s="2" t="str">
        <f>IFERROR(__xludf.DUMMYFUNCTION("GOOGLETRANSLATE(A8204, ""de"", ""en"")"),"circle")</f>
        <v>circle</v>
      </c>
    </row>
    <row r="8205">
      <c r="A8205" s="1" t="s">
        <v>8205</v>
      </c>
      <c r="B8205" s="2" t="str">
        <f>IFERROR(__xludf.DUMMYFUNCTION("GOOGLETRANSLATE(A8205, ""de"", ""en"")"),"punishment")</f>
        <v>punishment</v>
      </c>
    </row>
    <row r="8206">
      <c r="A8206" s="1" t="s">
        <v>8206</v>
      </c>
      <c r="B8206" s="2" t="str">
        <f>IFERROR(__xludf.DUMMYFUNCTION("GOOGLETRANSLATE(A8206, ""de"", ""en"")"),"Arab")</f>
        <v>Arab</v>
      </c>
    </row>
    <row r="8207">
      <c r="A8207" s="1" t="s">
        <v>8207</v>
      </c>
      <c r="B8207" s="2" t="str">
        <f>IFERROR(__xludf.DUMMYFUNCTION("GOOGLETRANSLATE(A8207, ""de"", ""en"")"),"sticks")</f>
        <v>sticks</v>
      </c>
    </row>
    <row r="8208">
      <c r="A8208" s="1" t="s">
        <v>8208</v>
      </c>
      <c r="B8208" s="2" t="str">
        <f>IFERROR(__xludf.DUMMYFUNCTION("GOOGLETRANSLATE(A8208, ""de"", ""en"")"),"wig")</f>
        <v>wig</v>
      </c>
    </row>
    <row r="8209">
      <c r="A8209" s="1" t="s">
        <v>8209</v>
      </c>
      <c r="B8209" s="2" t="str">
        <f>IFERROR(__xludf.DUMMYFUNCTION("GOOGLETRANSLATE(A8209, ""de"", ""en"")"),"Gemma")</f>
        <v>Gemma</v>
      </c>
    </row>
    <row r="8210">
      <c r="A8210" s="1" t="s">
        <v>8210</v>
      </c>
      <c r="B8210" s="2" t="str">
        <f>IFERROR(__xludf.DUMMYFUNCTION("GOOGLETRANSLATE(A8210, ""de"", ""en"")"),"lobster")</f>
        <v>lobster</v>
      </c>
    </row>
    <row r="8211">
      <c r="A8211" s="1" t="s">
        <v>8211</v>
      </c>
      <c r="B8211" s="2" t="str">
        <f>IFERROR(__xludf.DUMMYFUNCTION("GOOGLETRANSLATE(A8211, ""de"", ""en"")"),"se")</f>
        <v>se</v>
      </c>
    </row>
    <row r="8212">
      <c r="A8212" s="1" t="s">
        <v>8212</v>
      </c>
      <c r="B8212" s="2" t="str">
        <f>IFERROR(__xludf.DUMMYFUNCTION("GOOGLETRANSLATE(A8212, ""de"", ""en"")"),"June")</f>
        <v>June</v>
      </c>
    </row>
    <row r="8213">
      <c r="A8213" s="1" t="s">
        <v>8213</v>
      </c>
      <c r="B8213" s="2" t="str">
        <f>IFERROR(__xludf.DUMMYFUNCTION("GOOGLETRANSLATE(A8213, ""de"", ""en"")"),"whimpers")</f>
        <v>whimpers</v>
      </c>
    </row>
    <row r="8214">
      <c r="A8214" s="1" t="s">
        <v>8214</v>
      </c>
      <c r="B8214" s="2" t="str">
        <f>IFERROR(__xludf.DUMMYFUNCTION("GOOGLETRANSLATE(A8214, ""de"", ""en"")"),"third")</f>
        <v>third</v>
      </c>
    </row>
    <row r="8215">
      <c r="A8215" s="1" t="s">
        <v>8215</v>
      </c>
      <c r="B8215" s="2" t="str">
        <f>IFERROR(__xludf.DUMMYFUNCTION("GOOGLETRANSLATE(A8215, ""de"", ""en"")"),"budget")</f>
        <v>budget</v>
      </c>
    </row>
    <row r="8216">
      <c r="A8216" s="1" t="s">
        <v>8216</v>
      </c>
      <c r="B8216" s="2" t="str">
        <f>IFERROR(__xludf.DUMMYFUNCTION("GOOGLETRANSLATE(A8216, ""de"", ""en"")"),"delivery truck")</f>
        <v>delivery truck</v>
      </c>
    </row>
    <row r="8217">
      <c r="A8217" s="1" t="s">
        <v>8217</v>
      </c>
      <c r="B8217" s="2" t="str">
        <f>IFERROR(__xludf.DUMMYFUNCTION("GOOGLETRANSLATE(A8217, ""de"", ""en"")"),"shannon")</f>
        <v>shannon</v>
      </c>
    </row>
    <row r="8218">
      <c r="A8218" s="1" t="s">
        <v>8218</v>
      </c>
      <c r="B8218" s="2" t="str">
        <f>IFERROR(__xludf.DUMMYFUNCTION("GOOGLETRANSLATE(A8218, ""de"", ""en"")"),"brought back")</f>
        <v>brought back</v>
      </c>
    </row>
    <row r="8219">
      <c r="A8219" s="1" t="s">
        <v>8219</v>
      </c>
      <c r="B8219" s="2" t="str">
        <f>IFERROR(__xludf.DUMMYFUNCTION("GOOGLETRANSLATE(A8219, ""de"", ""en"")"),"secretive")</f>
        <v>secretive</v>
      </c>
    </row>
    <row r="8220">
      <c r="A8220" s="1" t="s">
        <v>8220</v>
      </c>
      <c r="B8220" s="2" t="str">
        <f>IFERROR(__xludf.DUMMYFUNCTION("GOOGLETRANSLATE(A8220, ""de"", ""en"")"),"urge")</f>
        <v>urge</v>
      </c>
    </row>
    <row r="8221">
      <c r="A8221" s="1" t="s">
        <v>8221</v>
      </c>
      <c r="B8221" s="2" t="str">
        <f>IFERROR(__xludf.DUMMYFUNCTION("GOOGLETRANSLATE(A8221, ""de"", ""en"")"),"talked")</f>
        <v>talked</v>
      </c>
    </row>
    <row r="8222">
      <c r="A8222" s="1" t="s">
        <v>8222</v>
      </c>
      <c r="B8222" s="2" t="str">
        <f>IFERROR(__xludf.DUMMYFUNCTION("GOOGLETRANSLATE(A8222, ""de"", ""en"")"),"chi")</f>
        <v>chi</v>
      </c>
    </row>
    <row r="8223">
      <c r="A8223" s="1" t="s">
        <v>8223</v>
      </c>
      <c r="B8223" s="2" t="str">
        <f>IFERROR(__xludf.DUMMYFUNCTION("GOOGLETRANSLATE(A8223, ""de"", ""en"")"),"to come here")</f>
        <v>to come here</v>
      </c>
    </row>
    <row r="8224">
      <c r="A8224" s="1" t="s">
        <v>8224</v>
      </c>
      <c r="B8224" s="2" t="str">
        <f>IFERROR(__xludf.DUMMYFUNCTION("GOOGLETRANSLATE(A8224, ""de"", ""en"")"),"attach")</f>
        <v>attach</v>
      </c>
    </row>
    <row r="8225">
      <c r="A8225" s="1" t="s">
        <v>8225</v>
      </c>
      <c r="B8225" s="2" t="str">
        <f>IFERROR(__xludf.DUMMYFUNCTION("GOOGLETRANSLATE(A8225, ""de"", ""en"")"),"lonely")</f>
        <v>lonely</v>
      </c>
    </row>
    <row r="8226">
      <c r="A8226" s="1" t="s">
        <v>8226</v>
      </c>
      <c r="B8226" s="2" t="str">
        <f>IFERROR(__xludf.DUMMYFUNCTION("GOOGLETRANSLATE(A8226, ""de"", ""en"")"),"wu")</f>
        <v>wu</v>
      </c>
    </row>
    <row r="8227">
      <c r="A8227" s="1" t="s">
        <v>8227</v>
      </c>
      <c r="B8227" s="2" t="str">
        <f>IFERROR(__xludf.DUMMYFUNCTION("GOOGLETRANSLATE(A8227, ""de"", ""en"")"),"wraith")</f>
        <v>wraith</v>
      </c>
    </row>
    <row r="8228">
      <c r="A8228" s="1" t="s">
        <v>8228</v>
      </c>
      <c r="B8228" s="2" t="str">
        <f>IFERROR(__xludf.DUMMYFUNCTION("GOOGLETRANSLATE(A8228, ""de"", ""en"")"),"expected")</f>
        <v>expected</v>
      </c>
    </row>
    <row r="8229">
      <c r="A8229" s="1" t="s">
        <v>8229</v>
      </c>
      <c r="B8229" s="2" t="str">
        <f>IFERROR(__xludf.DUMMYFUNCTION("GOOGLETRANSLATE(A8229, ""de"", ""en"")"),"vet")</f>
        <v>vet</v>
      </c>
    </row>
    <row r="8230">
      <c r="A8230" s="1" t="s">
        <v>8230</v>
      </c>
      <c r="B8230" s="2" t="str">
        <f>IFERROR(__xludf.DUMMYFUNCTION("GOOGLETRANSLATE(A8230, ""de"", ""en"")"),"cousins")</f>
        <v>cousins</v>
      </c>
    </row>
    <row r="8231">
      <c r="A8231" s="1" t="s">
        <v>8231</v>
      </c>
      <c r="B8231" s="2" t="str">
        <f>IFERROR(__xludf.DUMMYFUNCTION("GOOGLETRANSLATE(A8231, ""de"", ""en"")"),"in addition")</f>
        <v>in addition</v>
      </c>
    </row>
    <row r="8232">
      <c r="A8232" s="1" t="s">
        <v>8232</v>
      </c>
      <c r="B8232" s="2" t="str">
        <f>IFERROR(__xludf.DUMMYFUNCTION("GOOGLETRANSLATE(A8232, ""de"", ""en"")"),"fall")</f>
        <v>fall</v>
      </c>
    </row>
    <row r="8233">
      <c r="A8233" s="1" t="s">
        <v>8233</v>
      </c>
      <c r="B8233" s="2" t="str">
        <f>IFERROR(__xludf.DUMMYFUNCTION("GOOGLETRANSLATE(A8233, ""de"", ""en"")"),"rusty")</f>
        <v>rusty</v>
      </c>
    </row>
    <row r="8234">
      <c r="A8234" s="1" t="s">
        <v>8234</v>
      </c>
      <c r="B8234" s="2" t="str">
        <f>IFERROR(__xludf.DUMMYFUNCTION("GOOGLETRANSLATE(A8234, ""de"", ""en"")"),"go under")</f>
        <v>go under</v>
      </c>
    </row>
    <row r="8235">
      <c r="A8235" s="1" t="s">
        <v>8235</v>
      </c>
      <c r="B8235" s="2" t="str">
        <f>IFERROR(__xludf.DUMMYFUNCTION("GOOGLETRANSLATE(A8235, ""de"", ""en"")"),"succeeded")</f>
        <v>succeeded</v>
      </c>
    </row>
    <row r="8236">
      <c r="A8236" s="1" t="s">
        <v>8236</v>
      </c>
      <c r="B8236" s="2" t="str">
        <f>IFERROR(__xludf.DUMMYFUNCTION("GOOGLETRANSLATE(A8236, ""de"", ""en"")"),"wash")</f>
        <v>wash</v>
      </c>
    </row>
    <row r="8237">
      <c r="A8237" s="1" t="s">
        <v>8237</v>
      </c>
      <c r="B8237" s="2" t="str">
        <f>IFERROR(__xludf.DUMMYFUNCTION("GOOGLETRANSLATE(A8237, ""de"", ""en"")"),"dirty")</f>
        <v>dirty</v>
      </c>
    </row>
    <row r="8238">
      <c r="A8238" s="1" t="s">
        <v>8238</v>
      </c>
      <c r="B8238" s="2" t="str">
        <f>IFERROR(__xludf.DUMMYFUNCTION("GOOGLETRANSLATE(A8238, ""de"", ""en"")"),"agreement")</f>
        <v>agreement</v>
      </c>
    </row>
    <row r="8239">
      <c r="A8239" s="1" t="s">
        <v>8239</v>
      </c>
      <c r="B8239" s="2" t="str">
        <f>IFERROR(__xludf.DUMMYFUNCTION("GOOGLETRANSLATE(A8239, ""de"", ""en"")"),"dancer")</f>
        <v>dancer</v>
      </c>
    </row>
    <row r="8240">
      <c r="A8240" s="1" t="s">
        <v>8240</v>
      </c>
      <c r="B8240" s="2" t="str">
        <f>IFERROR(__xludf.DUMMYFUNCTION("GOOGLETRANSLATE(A8240, ""de"", ""en"")"),"should")</f>
        <v>should</v>
      </c>
    </row>
    <row r="8241">
      <c r="A8241" s="1" t="s">
        <v>8241</v>
      </c>
      <c r="B8241" s="2" t="str">
        <f>IFERROR(__xludf.DUMMYFUNCTION("GOOGLETRANSLATE(A8241, ""de"", ""en"")"),"refund")</f>
        <v>refund</v>
      </c>
    </row>
    <row r="8242">
      <c r="A8242" s="1" t="s">
        <v>8242</v>
      </c>
      <c r="B8242" s="2" t="str">
        <f>IFERROR(__xludf.DUMMYFUNCTION("GOOGLETRANSLATE(A8242, ""de"", ""en"")"),"process")</f>
        <v>process</v>
      </c>
    </row>
    <row r="8243">
      <c r="A8243" s="1" t="s">
        <v>8243</v>
      </c>
      <c r="B8243" s="2" t="str">
        <f>IFERROR(__xludf.DUMMYFUNCTION("GOOGLETRANSLATE(A8243, ""de"", ""en"")"),"available")</f>
        <v>available</v>
      </c>
    </row>
    <row r="8244">
      <c r="A8244" s="1" t="s">
        <v>8244</v>
      </c>
      <c r="B8244" s="2" t="str">
        <f>IFERROR(__xludf.DUMMYFUNCTION("GOOGLETRANSLATE(A8244, ""de"", ""en"")"),"highway")</f>
        <v>highway</v>
      </c>
    </row>
    <row r="8245">
      <c r="A8245" s="1" t="s">
        <v>8245</v>
      </c>
      <c r="B8245" s="2" t="str">
        <f>IFERROR(__xludf.DUMMYFUNCTION("GOOGLETRANSLATE(A8245, ""de"", ""en"")"),"client")</f>
        <v>client</v>
      </c>
    </row>
    <row r="8246">
      <c r="A8246" s="1" t="s">
        <v>8246</v>
      </c>
      <c r="B8246" s="2" t="str">
        <f>IFERROR(__xludf.DUMMYFUNCTION("GOOGLETRANSLATE(A8246, ""de"", ""en"")"),"clubs")</f>
        <v>clubs</v>
      </c>
    </row>
    <row r="8247">
      <c r="A8247" s="1" t="s">
        <v>8247</v>
      </c>
      <c r="B8247" s="2" t="str">
        <f>IFERROR(__xludf.DUMMYFUNCTION("GOOGLETRANSLATE(A8247, ""de"", ""en"")"),"Luke")</f>
        <v>Luke</v>
      </c>
    </row>
    <row r="8248">
      <c r="A8248" s="1" t="s">
        <v>8248</v>
      </c>
      <c r="B8248" s="2" t="str">
        <f>IFERROR(__xludf.DUMMYFUNCTION("GOOGLETRANSLATE(A8248, ""de"", ""en"")"),"dedicate")</f>
        <v>dedicate</v>
      </c>
    </row>
    <row r="8249">
      <c r="A8249" s="1" t="s">
        <v>8249</v>
      </c>
      <c r="B8249" s="2" t="str">
        <f>IFERROR(__xludf.DUMMYFUNCTION("GOOGLETRANSLATE(A8249, ""de"", ""en"")"),"proverb")</f>
        <v>proverb</v>
      </c>
    </row>
    <row r="8250">
      <c r="A8250" s="1" t="s">
        <v>8250</v>
      </c>
      <c r="B8250" s="2" t="str">
        <f>IFERROR(__xludf.DUMMYFUNCTION("GOOGLETRANSLATE(A8250, ""de"", ""en"")"),"for this")</f>
        <v>for this</v>
      </c>
    </row>
    <row r="8251">
      <c r="A8251" s="1" t="s">
        <v>8251</v>
      </c>
      <c r="B8251" s="2" t="str">
        <f>IFERROR(__xludf.DUMMYFUNCTION("GOOGLETRANSLATE(A8251, ""de"", ""en"")"),"retribution")</f>
        <v>retribution</v>
      </c>
    </row>
    <row r="8252">
      <c r="A8252" s="1" t="s">
        <v>8252</v>
      </c>
      <c r="B8252" s="2" t="str">
        <f>IFERROR(__xludf.DUMMYFUNCTION("GOOGLETRANSLATE(A8252, ""de"", ""en"")"),"hardy")</f>
        <v>hardy</v>
      </c>
    </row>
    <row r="8253">
      <c r="A8253" s="1" t="s">
        <v>8253</v>
      </c>
      <c r="B8253" s="2" t="str">
        <f>IFERROR(__xludf.DUMMYFUNCTION("GOOGLETRANSLATE(A8253, ""de"", ""en"")"),"dressed")</f>
        <v>dressed</v>
      </c>
    </row>
    <row r="8254">
      <c r="A8254" s="1" t="s">
        <v>8254</v>
      </c>
      <c r="B8254" s="2" t="str">
        <f>IFERROR(__xludf.DUMMYFUNCTION("GOOGLETRANSLATE(A8254, ""de"", ""en"")"),"photographed")</f>
        <v>photographed</v>
      </c>
    </row>
    <row r="8255">
      <c r="A8255" s="1" t="s">
        <v>8255</v>
      </c>
      <c r="B8255" s="2" t="str">
        <f>IFERROR(__xludf.DUMMYFUNCTION("GOOGLETRANSLATE(A8255, ""de"", ""en"")"),"pop")</f>
        <v>pop</v>
      </c>
    </row>
    <row r="8256">
      <c r="A8256" s="1" t="s">
        <v>8256</v>
      </c>
      <c r="B8256" s="2" t="str">
        <f>IFERROR(__xludf.DUMMYFUNCTION("GOOGLETRANSLATE(A8256, ""de"", ""en"")"),"more important")</f>
        <v>more important</v>
      </c>
    </row>
    <row r="8257">
      <c r="A8257" s="1" t="s">
        <v>8257</v>
      </c>
      <c r="B8257" s="2" t="str">
        <f>IFERROR(__xludf.DUMMYFUNCTION("GOOGLETRANSLATE(A8257, ""de"", ""en"")"),"all the time")</f>
        <v>all the time</v>
      </c>
    </row>
    <row r="8258">
      <c r="A8258" s="1" t="s">
        <v>8258</v>
      </c>
      <c r="B8258" s="2" t="str">
        <f>IFERROR(__xludf.DUMMYFUNCTION("GOOGLETRANSLATE(A8258, ""de"", ""en"")"),"feelings of guilt")</f>
        <v>feelings of guilt</v>
      </c>
    </row>
    <row r="8259">
      <c r="A8259" s="1" t="s">
        <v>8259</v>
      </c>
      <c r="B8259" s="2" t="str">
        <f>IFERROR(__xludf.DUMMYFUNCTION("GOOGLETRANSLATE(A8259, ""de"", ""en"")"),"mustache")</f>
        <v>mustache</v>
      </c>
    </row>
    <row r="8260">
      <c r="A8260" s="1" t="s">
        <v>8260</v>
      </c>
      <c r="B8260" s="2" t="str">
        <f>IFERROR(__xludf.DUMMYFUNCTION("GOOGLETRANSLATE(A8260, ""de"", ""en"")"),"suffice")</f>
        <v>suffice</v>
      </c>
    </row>
    <row r="8261">
      <c r="A8261" s="1" t="s">
        <v>8261</v>
      </c>
      <c r="B8261" s="2" t="str">
        <f>IFERROR(__xludf.DUMMYFUNCTION("GOOGLETRANSLATE(A8261, ""de"", ""en"")"),"walk around")</f>
        <v>walk around</v>
      </c>
    </row>
    <row r="8262">
      <c r="A8262" s="1" t="s">
        <v>8262</v>
      </c>
      <c r="B8262" s="2" t="str">
        <f>IFERROR(__xludf.DUMMYFUNCTION("GOOGLETRANSLATE(A8262, ""de"", ""en"")"),"bread roll")</f>
        <v>bread roll</v>
      </c>
    </row>
    <row r="8263">
      <c r="A8263" s="1" t="s">
        <v>8263</v>
      </c>
      <c r="B8263" s="2" t="str">
        <f>IFERROR(__xludf.DUMMYFUNCTION("GOOGLETRANSLATE(A8263, ""de"", ""en"")"),"flood")</f>
        <v>flood</v>
      </c>
    </row>
    <row r="8264">
      <c r="A8264" s="1" t="s">
        <v>8264</v>
      </c>
      <c r="B8264" s="2" t="str">
        <f>IFERROR(__xludf.DUMMYFUNCTION("GOOGLETRANSLATE(A8264, ""de"", ""en"")"),"household")</f>
        <v>household</v>
      </c>
    </row>
    <row r="8265">
      <c r="A8265" s="1" t="s">
        <v>8265</v>
      </c>
      <c r="B8265" s="2" t="str">
        <f>IFERROR(__xludf.DUMMYFUNCTION("GOOGLETRANSLATE(A8265, ""de"", ""en"")"),"angelo")</f>
        <v>angelo</v>
      </c>
    </row>
    <row r="8266">
      <c r="A8266" s="1" t="s">
        <v>8266</v>
      </c>
      <c r="B8266" s="2" t="str">
        <f>IFERROR(__xludf.DUMMYFUNCTION("GOOGLETRANSLATE(A8266, ""de"", ""en"")"),"cleveland")</f>
        <v>cleveland</v>
      </c>
    </row>
    <row r="8267">
      <c r="A8267" s="1" t="s">
        <v>8267</v>
      </c>
      <c r="B8267" s="2" t="str">
        <f>IFERROR(__xludf.DUMMYFUNCTION("GOOGLETRANSLATE(A8267, ""de"", ""en"")"),"ministry")</f>
        <v>ministry</v>
      </c>
    </row>
    <row r="8268">
      <c r="A8268" s="1" t="s">
        <v>8268</v>
      </c>
      <c r="B8268" s="2" t="str">
        <f>IFERROR(__xludf.DUMMYFUNCTION("GOOGLETRANSLATE(A8268, ""de"", ""en"")"),"set up")</f>
        <v>set up</v>
      </c>
    </row>
    <row r="8269">
      <c r="A8269" s="1" t="s">
        <v>8269</v>
      </c>
      <c r="B8269" s="2" t="str">
        <f>IFERROR(__xludf.DUMMYFUNCTION("GOOGLETRANSLATE(A8269, ""de"", ""en"")"),"est")</f>
        <v>est</v>
      </c>
    </row>
    <row r="8270">
      <c r="A8270" s="1" t="s">
        <v>8270</v>
      </c>
      <c r="B8270" s="2" t="str">
        <f>IFERROR(__xludf.DUMMYFUNCTION("GOOGLETRANSLATE(A8270, ""de"", ""en"")"),"anchor")</f>
        <v>anchor</v>
      </c>
    </row>
    <row r="8271">
      <c r="A8271" s="1" t="s">
        <v>8271</v>
      </c>
      <c r="B8271" s="2" t="str">
        <f>IFERROR(__xludf.DUMMYFUNCTION("GOOGLETRANSLATE(A8271, ""de"", ""en"")"),"wang")</f>
        <v>wang</v>
      </c>
    </row>
    <row r="8272">
      <c r="A8272" s="1" t="s">
        <v>8272</v>
      </c>
      <c r="B8272" s="2" t="str">
        <f>IFERROR(__xludf.DUMMYFUNCTION("GOOGLETRANSLATE(A8272, ""de"", ""en"")"),"qual")</f>
        <v>qual</v>
      </c>
    </row>
    <row r="8273">
      <c r="A8273" s="1" t="s">
        <v>8273</v>
      </c>
      <c r="B8273" s="2" t="str">
        <f>IFERROR(__xludf.DUMMYFUNCTION("GOOGLETRANSLATE(A8273, ""de"", ""en"")"),"rush")</f>
        <v>rush</v>
      </c>
    </row>
    <row r="8274">
      <c r="A8274" s="1" t="s">
        <v>8274</v>
      </c>
      <c r="B8274" s="2" t="str">
        <f>IFERROR(__xludf.DUMMYFUNCTION("GOOGLETRANSLATE(A8274, ""de"", ""en"")"),"debate")</f>
        <v>debate</v>
      </c>
    </row>
    <row r="8275">
      <c r="A8275" s="1" t="s">
        <v>8275</v>
      </c>
      <c r="B8275" s="2" t="str">
        <f>IFERROR(__xludf.DUMMYFUNCTION("GOOGLETRANSLATE(A8275, ""de"", ""en"")"),"informant")</f>
        <v>informant</v>
      </c>
    </row>
    <row r="8276">
      <c r="A8276" s="1" t="s">
        <v>8276</v>
      </c>
      <c r="B8276" s="2" t="str">
        <f>IFERROR(__xludf.DUMMYFUNCTION("GOOGLETRANSLATE(A8276, ""de"", ""en"")"),"mass")</f>
        <v>mass</v>
      </c>
    </row>
    <row r="8277">
      <c r="A8277" s="1" t="s">
        <v>8277</v>
      </c>
      <c r="B8277" s="2" t="str">
        <f>IFERROR(__xludf.DUMMYFUNCTION("GOOGLETRANSLATE(A8277, ""de"", ""en"")"),"insects")</f>
        <v>insects</v>
      </c>
    </row>
    <row r="8278">
      <c r="A8278" s="1" t="s">
        <v>8278</v>
      </c>
      <c r="B8278" s="2" t="str">
        <f>IFERROR(__xludf.DUMMYFUNCTION("GOOGLETRANSLATE(A8278, ""de"", ""en"")"),"invited")</f>
        <v>invited</v>
      </c>
    </row>
    <row r="8279">
      <c r="A8279" s="1" t="s">
        <v>8279</v>
      </c>
      <c r="B8279" s="2" t="str">
        <f>IFERROR(__xludf.DUMMYFUNCTION("GOOGLETRANSLATE(A8279, ""de"", ""en"")"),"stares")</f>
        <v>stares</v>
      </c>
    </row>
    <row r="8280">
      <c r="A8280" s="1" t="s">
        <v>8280</v>
      </c>
      <c r="B8280" s="2" t="str">
        <f>IFERROR(__xludf.DUMMYFUNCTION("GOOGLETRANSLATE(A8280, ""de"", ""en"")"),"back")</f>
        <v>back</v>
      </c>
    </row>
    <row r="8281">
      <c r="A8281" s="1" t="s">
        <v>8281</v>
      </c>
      <c r="B8281" s="2" t="str">
        <f>IFERROR(__xludf.DUMMYFUNCTION("GOOGLETRANSLATE(A8281, ""de"", ""en"")"),"specialty")</f>
        <v>specialty</v>
      </c>
    </row>
    <row r="8282">
      <c r="A8282" s="1" t="s">
        <v>8282</v>
      </c>
      <c r="B8282" s="2" t="str">
        <f>IFERROR(__xludf.DUMMYFUNCTION("GOOGLETRANSLATE(A8282, ""de"", ""en"")"),"shimmer")</f>
        <v>shimmer</v>
      </c>
    </row>
    <row r="8283">
      <c r="A8283" s="1" t="s">
        <v>8283</v>
      </c>
      <c r="B8283" s="2" t="str">
        <f>IFERROR(__xludf.DUMMYFUNCTION("GOOGLETRANSLATE(A8283, ""de"", ""en"")"),"murder case")</f>
        <v>murder case</v>
      </c>
    </row>
    <row r="8284">
      <c r="A8284" s="1" t="s">
        <v>8284</v>
      </c>
      <c r="B8284" s="2" t="str">
        <f>IFERROR(__xludf.DUMMYFUNCTION("GOOGLETRANSLATE(A8284, ""de"", ""en"")"),"forbid")</f>
        <v>forbid</v>
      </c>
    </row>
    <row r="8285">
      <c r="A8285" s="1" t="s">
        <v>8285</v>
      </c>
      <c r="B8285" s="2" t="str">
        <f>IFERROR(__xludf.DUMMYFUNCTION("GOOGLETRANSLATE(A8285, ""de"", ""en"")"),"terrorist")</f>
        <v>terrorist</v>
      </c>
    </row>
    <row r="8286">
      <c r="A8286" s="1" t="s">
        <v>8286</v>
      </c>
      <c r="B8286" s="2" t="str">
        <f>IFERROR(__xludf.DUMMYFUNCTION("GOOGLETRANSLATE(A8286, ""de"", ""en"")"),"sirens")</f>
        <v>sirens</v>
      </c>
    </row>
    <row r="8287">
      <c r="A8287" s="1" t="s">
        <v>8287</v>
      </c>
      <c r="B8287" s="2" t="str">
        <f>IFERROR(__xludf.DUMMYFUNCTION("GOOGLETRANSLATE(A8287, ""de"", ""en"")"),"theories")</f>
        <v>theories</v>
      </c>
    </row>
    <row r="8288">
      <c r="A8288" s="1" t="s">
        <v>8288</v>
      </c>
      <c r="B8288" s="2" t="str">
        <f>IFERROR(__xludf.DUMMYFUNCTION("GOOGLETRANSLATE(A8288, ""de"", ""en"")"),"giggle")</f>
        <v>giggle</v>
      </c>
    </row>
    <row r="8289">
      <c r="A8289" s="1" t="s">
        <v>8289</v>
      </c>
      <c r="B8289" s="2" t="str">
        <f>IFERROR(__xludf.DUMMYFUNCTION("GOOGLETRANSLATE(A8289, ""de"", ""en"")"),"positive")</f>
        <v>positive</v>
      </c>
    </row>
    <row r="8290">
      <c r="A8290" s="1" t="s">
        <v>8290</v>
      </c>
      <c r="B8290" s="2" t="str">
        <f>IFERROR(__xludf.DUMMYFUNCTION("GOOGLETRANSLATE(A8290, ""de"", ""en"")"),"stressed")</f>
        <v>stressed</v>
      </c>
    </row>
    <row r="8291">
      <c r="A8291" s="1" t="s">
        <v>8291</v>
      </c>
      <c r="B8291" s="2" t="str">
        <f>IFERROR(__xludf.DUMMYFUNCTION("GOOGLETRANSLATE(A8291, ""de"", ""en"")"),"Korea")</f>
        <v>Korea</v>
      </c>
    </row>
    <row r="8292">
      <c r="A8292" s="1" t="s">
        <v>8292</v>
      </c>
      <c r="B8292" s="2" t="str">
        <f>IFERROR(__xludf.DUMMYFUNCTION("GOOGLETRANSLATE(A8292, ""de"", ""en"")"),"magazine")</f>
        <v>magazine</v>
      </c>
    </row>
    <row r="8293">
      <c r="A8293" s="1" t="s">
        <v>8293</v>
      </c>
      <c r="B8293" s="2" t="str">
        <f>IFERROR(__xludf.DUMMYFUNCTION("GOOGLETRANSLATE(A8293, ""de"", ""en"")"),"wilderness")</f>
        <v>wilderness</v>
      </c>
    </row>
    <row r="8294">
      <c r="A8294" s="1" t="s">
        <v>8294</v>
      </c>
      <c r="B8294" s="2" t="str">
        <f>IFERROR(__xludf.DUMMYFUNCTION("GOOGLETRANSLATE(A8294, ""de"", ""en"")"),"s.h.i.e.l.d.")</f>
        <v>s.h.i.e.l.d.</v>
      </c>
    </row>
    <row r="8295">
      <c r="A8295" s="1" t="s">
        <v>8295</v>
      </c>
      <c r="B8295" s="2" t="str">
        <f>IFERROR(__xludf.DUMMYFUNCTION("GOOGLETRANSLATE(A8295, ""de"", ""en"")"),"more human")</f>
        <v>more human</v>
      </c>
    </row>
    <row r="8296">
      <c r="A8296" s="1" t="s">
        <v>8296</v>
      </c>
      <c r="B8296" s="2" t="str">
        <f>IFERROR(__xludf.DUMMYFUNCTION("GOOGLETRANSLATE(A8296, ""de"", ""en"")"),"mess")</f>
        <v>mess</v>
      </c>
    </row>
    <row r="8297">
      <c r="A8297" s="1" t="s">
        <v>8297</v>
      </c>
      <c r="B8297" s="2" t="str">
        <f>IFERROR(__xludf.DUMMYFUNCTION("GOOGLETRANSLATE(A8297, ""de"", ""en"")"),"disabled")</f>
        <v>disabled</v>
      </c>
    </row>
    <row r="8298">
      <c r="A8298" s="1" t="s">
        <v>8298</v>
      </c>
      <c r="B8298" s="2" t="str">
        <f>IFERROR(__xludf.DUMMYFUNCTION("GOOGLETRANSLATE(A8298, ""de"", ""en"")"),"deliver")</f>
        <v>deliver</v>
      </c>
    </row>
    <row r="8299">
      <c r="A8299" s="1" t="s">
        <v>8299</v>
      </c>
      <c r="B8299" s="2" t="str">
        <f>IFERROR(__xludf.DUMMYFUNCTION("GOOGLETRANSLATE(A8299, ""de"", ""en"")"),"pulled in")</f>
        <v>pulled in</v>
      </c>
    </row>
    <row r="8300">
      <c r="A8300" s="1" t="s">
        <v>8300</v>
      </c>
      <c r="B8300" s="2" t="str">
        <f>IFERROR(__xludf.DUMMYFUNCTION("GOOGLETRANSLATE(A8300, ""de"", ""en"")"),"to communicate")</f>
        <v>to communicate</v>
      </c>
    </row>
    <row r="8301">
      <c r="A8301" s="1" t="s">
        <v>8301</v>
      </c>
      <c r="B8301" s="2" t="str">
        <f>IFERROR(__xludf.DUMMYFUNCTION("GOOGLETRANSLATE(A8301, ""de"", ""en"")"),"came back")</f>
        <v>came back</v>
      </c>
    </row>
    <row r="8302">
      <c r="A8302" s="1" t="s">
        <v>8302</v>
      </c>
      <c r="B8302" s="2" t="str">
        <f>IFERROR(__xludf.DUMMYFUNCTION("GOOGLETRANSLATE(A8302, ""de"", ""en"")"),"vote")</f>
        <v>vote</v>
      </c>
    </row>
    <row r="8303">
      <c r="A8303" s="1" t="s">
        <v>8303</v>
      </c>
      <c r="B8303" s="2" t="str">
        <f>IFERROR(__xludf.DUMMYFUNCTION("GOOGLETRANSLATE(A8303, ""de"", ""en"")"),"third")</f>
        <v>third</v>
      </c>
    </row>
    <row r="8304">
      <c r="A8304" s="1" t="s">
        <v>8304</v>
      </c>
      <c r="B8304" s="2" t="str">
        <f>IFERROR(__xludf.DUMMYFUNCTION("GOOGLETRANSLATE(A8304, ""de"", ""en"")"),"senate")</f>
        <v>senate</v>
      </c>
    </row>
    <row r="8305">
      <c r="A8305" s="1" t="s">
        <v>8305</v>
      </c>
      <c r="B8305" s="2" t="str">
        <f>IFERROR(__xludf.DUMMYFUNCTION("GOOGLETRANSLATE(A8305, ""de"", ""en"")"),"at noon")</f>
        <v>at noon</v>
      </c>
    </row>
    <row r="8306">
      <c r="A8306" s="1" t="s">
        <v>8306</v>
      </c>
      <c r="B8306" s="2" t="str">
        <f>IFERROR(__xludf.DUMMYFUNCTION("GOOGLETRANSLATE(A8306, ""de"", ""en"")"),"marshal")</f>
        <v>marshal</v>
      </c>
    </row>
    <row r="8307">
      <c r="A8307" s="1" t="s">
        <v>8307</v>
      </c>
      <c r="B8307" s="2" t="str">
        <f>IFERROR(__xludf.DUMMYFUNCTION("GOOGLETRANSLATE(A8307, ""de"", ""en"")"),"bridge")</f>
        <v>bridge</v>
      </c>
    </row>
    <row r="8308">
      <c r="A8308" s="1" t="s">
        <v>8308</v>
      </c>
      <c r="B8308" s="2" t="str">
        <f>IFERROR(__xludf.DUMMYFUNCTION("GOOGLETRANSLATE(A8308, ""de"", ""en"")"),"price")</f>
        <v>price</v>
      </c>
    </row>
    <row r="8309">
      <c r="A8309" s="1" t="s">
        <v>8309</v>
      </c>
      <c r="B8309" s="2" t="str">
        <f>IFERROR(__xludf.DUMMYFUNCTION("GOOGLETRANSLATE(A8309, ""de"", ""en"")"),"smokes")</f>
        <v>smokes</v>
      </c>
    </row>
    <row r="8310">
      <c r="A8310" s="1" t="s">
        <v>8310</v>
      </c>
      <c r="B8310" s="2" t="str">
        <f>IFERROR(__xludf.DUMMYFUNCTION("GOOGLETRANSLATE(A8310, ""de"", ""en"")"),"organize")</f>
        <v>organize</v>
      </c>
    </row>
    <row r="8311">
      <c r="A8311" s="1" t="s">
        <v>8311</v>
      </c>
      <c r="B8311" s="2" t="str">
        <f>IFERROR(__xludf.DUMMYFUNCTION("GOOGLETRANSLATE(A8311, ""de"", ""en"")"),"season")</f>
        <v>season</v>
      </c>
    </row>
    <row r="8312">
      <c r="A8312" s="1" t="s">
        <v>8312</v>
      </c>
      <c r="B8312" s="2" t="str">
        <f>IFERROR(__xludf.DUMMYFUNCTION("GOOGLETRANSLATE(A8312, ""de"", ""en"")"),"additional")</f>
        <v>additional</v>
      </c>
    </row>
    <row r="8313">
      <c r="A8313" s="1" t="s">
        <v>8313</v>
      </c>
      <c r="B8313" s="2" t="str">
        <f>IFERROR(__xludf.DUMMYFUNCTION("GOOGLETRANSLATE(A8313, ""de"", ""en"")"),"want")</f>
        <v>want</v>
      </c>
    </row>
    <row r="8314">
      <c r="A8314" s="1" t="s">
        <v>8314</v>
      </c>
      <c r="B8314" s="2" t="str">
        <f>IFERROR(__xludf.DUMMYFUNCTION("GOOGLETRANSLATE(A8314, ""de"", ""en"")"),"press")</f>
        <v>press</v>
      </c>
    </row>
    <row r="8315">
      <c r="A8315" s="1" t="s">
        <v>8315</v>
      </c>
      <c r="B8315" s="2" t="str">
        <f>IFERROR(__xludf.DUMMYFUNCTION("GOOGLETRANSLATE(A8315, ""de"", ""en"")"),"sail")</f>
        <v>sail</v>
      </c>
    </row>
    <row r="8316">
      <c r="A8316" s="1" t="s">
        <v>8316</v>
      </c>
      <c r="B8316" s="2" t="str">
        <f>IFERROR(__xludf.DUMMYFUNCTION("GOOGLETRANSLATE(A8316, ""de"", ""en"")"),"crowley")</f>
        <v>crowley</v>
      </c>
    </row>
    <row r="8317">
      <c r="A8317" s="1" t="s">
        <v>8317</v>
      </c>
      <c r="B8317" s="2" t="str">
        <f>IFERROR(__xludf.DUMMYFUNCTION("GOOGLETRANSLATE(A8317, ""de"", ""en"")"),"paid")</f>
        <v>paid</v>
      </c>
    </row>
    <row r="8318">
      <c r="A8318" s="1" t="s">
        <v>8318</v>
      </c>
      <c r="B8318" s="2" t="str">
        <f>IFERROR(__xludf.DUMMYFUNCTION("GOOGLETRANSLATE(A8318, ""de"", ""en"")"),"superfluous")</f>
        <v>superfluous</v>
      </c>
    </row>
    <row r="8319">
      <c r="A8319" s="1" t="s">
        <v>8319</v>
      </c>
      <c r="B8319" s="2" t="str">
        <f>IFERROR(__xludf.DUMMYFUNCTION("GOOGLETRANSLATE(A8319, ""de"", ""en"")"),"handkerchief")</f>
        <v>handkerchief</v>
      </c>
    </row>
    <row r="8320">
      <c r="A8320" s="1" t="s">
        <v>8320</v>
      </c>
      <c r="B8320" s="2" t="str">
        <f>IFERROR(__xludf.DUMMYFUNCTION("GOOGLETRANSLATE(A8320, ""de"", ""en"")"),"square")</f>
        <v>square</v>
      </c>
    </row>
    <row r="8321">
      <c r="A8321" s="1" t="s">
        <v>8321</v>
      </c>
      <c r="B8321" s="2" t="str">
        <f>IFERROR(__xludf.DUMMYFUNCTION("GOOGLETRANSLATE(A8321, ""de"", ""en"")"),"rock music")</f>
        <v>rock music</v>
      </c>
    </row>
    <row r="8322">
      <c r="A8322" s="1" t="s">
        <v>8322</v>
      </c>
      <c r="B8322" s="2" t="str">
        <f>IFERROR(__xludf.DUMMYFUNCTION("GOOGLETRANSLATE(A8322, ""de"", ""en"")"),"accelerate")</f>
        <v>accelerate</v>
      </c>
    </row>
    <row r="8323">
      <c r="A8323" s="1" t="s">
        <v>8323</v>
      </c>
      <c r="B8323" s="2" t="str">
        <f>IFERROR(__xludf.DUMMYFUNCTION("GOOGLETRANSLATE(A8323, ""de"", ""en"")"),"chose")</f>
        <v>chose</v>
      </c>
    </row>
    <row r="8324">
      <c r="A8324" s="1" t="s">
        <v>8324</v>
      </c>
      <c r="B8324" s="2" t="str">
        <f>IFERROR(__xludf.DUMMYFUNCTION("GOOGLETRANSLATE(A8324, ""de"", ""en"")"),"funnier")</f>
        <v>funnier</v>
      </c>
    </row>
    <row r="8325">
      <c r="A8325" s="1" t="s">
        <v>8325</v>
      </c>
      <c r="B8325" s="2" t="str">
        <f>IFERROR(__xludf.DUMMYFUNCTION("GOOGLETRANSLATE(A8325, ""de"", ""en"")"),"Marian")</f>
        <v>Marian</v>
      </c>
    </row>
    <row r="8326">
      <c r="A8326" s="1" t="s">
        <v>8326</v>
      </c>
      <c r="B8326" s="2" t="str">
        <f>IFERROR(__xludf.DUMMYFUNCTION("GOOGLETRANSLATE(A8326, ""de"", ""en"")"),"bells")</f>
        <v>bells</v>
      </c>
    </row>
    <row r="8327">
      <c r="A8327" s="1" t="s">
        <v>8327</v>
      </c>
      <c r="B8327" s="2" t="str">
        <f>IFERROR(__xludf.DUMMYFUNCTION("GOOGLETRANSLATE(A8327, ""de"", ""en"")"),"tennis")</f>
        <v>tennis</v>
      </c>
    </row>
    <row r="8328">
      <c r="A8328" s="1" t="s">
        <v>8328</v>
      </c>
      <c r="B8328" s="2" t="str">
        <f>IFERROR(__xludf.DUMMYFUNCTION("GOOGLETRANSLATE(A8328, ""de"", ""en"")"),"since then")</f>
        <v>since then</v>
      </c>
    </row>
    <row r="8329">
      <c r="A8329" s="1" t="s">
        <v>8329</v>
      </c>
      <c r="B8329" s="2" t="str">
        <f>IFERROR(__xludf.DUMMYFUNCTION("GOOGLETRANSLATE(A8329, ""de"", ""en"")"),"Christians")</f>
        <v>Christians</v>
      </c>
    </row>
    <row r="8330">
      <c r="A8330" s="1" t="s">
        <v>8330</v>
      </c>
      <c r="B8330" s="2" t="str">
        <f>IFERROR(__xludf.DUMMYFUNCTION("GOOGLETRANSLATE(A8330, ""de"", ""en"")"),"cross over")</f>
        <v>cross over</v>
      </c>
    </row>
    <row r="8331">
      <c r="A8331" s="1" t="s">
        <v>8331</v>
      </c>
      <c r="B8331" s="2" t="str">
        <f>IFERROR(__xludf.DUMMYFUNCTION("GOOGLETRANSLATE(A8331, ""de"", ""en"")"),"crossing")</f>
        <v>crossing</v>
      </c>
    </row>
    <row r="8332">
      <c r="A8332" s="1" t="s">
        <v>8332</v>
      </c>
      <c r="B8332" s="2" t="str">
        <f>IFERROR(__xludf.DUMMYFUNCTION("GOOGLETRANSLATE(A8332, ""de"", ""en"")"),"houses")</f>
        <v>houses</v>
      </c>
    </row>
    <row r="8333">
      <c r="A8333" s="1" t="s">
        <v>8333</v>
      </c>
      <c r="B8333" s="2" t="str">
        <f>IFERROR(__xludf.DUMMYFUNCTION("GOOGLETRANSLATE(A8333, ""de"", ""en"")"),"soft")</f>
        <v>soft</v>
      </c>
    </row>
    <row r="8334">
      <c r="A8334" s="1" t="s">
        <v>8334</v>
      </c>
      <c r="B8334" s="2" t="str">
        <f>IFERROR(__xludf.DUMMYFUNCTION("GOOGLETRANSLATE(A8334, ""de"", ""en"")"),"trudy")</f>
        <v>trudy</v>
      </c>
    </row>
    <row r="8335">
      <c r="A8335" s="1" t="s">
        <v>8335</v>
      </c>
      <c r="B8335" s="2" t="str">
        <f>IFERROR(__xludf.DUMMYFUNCTION("GOOGLETRANSLATE(A8335, ""de"", ""en"")"),"score")</f>
        <v>score</v>
      </c>
    </row>
    <row r="8336">
      <c r="A8336" s="1" t="s">
        <v>8336</v>
      </c>
      <c r="B8336" s="2" t="str">
        <f>IFERROR(__xludf.DUMMYFUNCTION("GOOGLETRANSLATE(A8336, ""de"", ""en"")"),"henderson")</f>
        <v>henderson</v>
      </c>
    </row>
    <row r="8337">
      <c r="A8337" s="1" t="s">
        <v>8337</v>
      </c>
      <c r="B8337" s="2" t="str">
        <f>IFERROR(__xludf.DUMMYFUNCTION("GOOGLETRANSLATE(A8337, ""de"", ""en"")"),"miss")</f>
        <v>miss</v>
      </c>
    </row>
    <row r="8338">
      <c r="A8338" s="1" t="s">
        <v>8338</v>
      </c>
      <c r="B8338" s="2" t="str">
        <f>IFERROR(__xludf.DUMMYFUNCTION("GOOGLETRANSLATE(A8338, ""de"", ""en"")"),"potter")</f>
        <v>potter</v>
      </c>
    </row>
    <row r="8339">
      <c r="A8339" s="1" t="s">
        <v>8339</v>
      </c>
      <c r="B8339" s="2" t="str">
        <f>IFERROR(__xludf.DUMMYFUNCTION("GOOGLETRANSLATE(A8339, ""de"", ""en"")"),"put in")</f>
        <v>put in</v>
      </c>
    </row>
    <row r="8340">
      <c r="A8340" s="1" t="s">
        <v>8340</v>
      </c>
      <c r="B8340" s="2" t="str">
        <f>IFERROR(__xludf.DUMMYFUNCTION("GOOGLETRANSLATE(A8340, ""de"", ""en"")"),"jeep")</f>
        <v>jeep</v>
      </c>
    </row>
    <row r="8341">
      <c r="A8341" s="1" t="s">
        <v>8341</v>
      </c>
      <c r="B8341" s="2" t="str">
        <f>IFERROR(__xludf.DUMMYFUNCTION("GOOGLETRANSLATE(A8341, ""de"", ""en"")"),"filmed")</f>
        <v>filmed</v>
      </c>
    </row>
    <row r="8342">
      <c r="A8342" s="1" t="s">
        <v>8342</v>
      </c>
      <c r="B8342" s="2" t="str">
        <f>IFERROR(__xludf.DUMMYFUNCTION("GOOGLETRANSLATE(A8342, ""de"", ""en"")"),"Hamilton")</f>
        <v>Hamilton</v>
      </c>
    </row>
    <row r="8343">
      <c r="A8343" s="1" t="s">
        <v>8343</v>
      </c>
      <c r="B8343" s="2" t="str">
        <f>IFERROR(__xludf.DUMMYFUNCTION("GOOGLETRANSLATE(A8343, ""de"", ""en"")"),"bay")</f>
        <v>bay</v>
      </c>
    </row>
    <row r="8344">
      <c r="A8344" s="1" t="s">
        <v>8344</v>
      </c>
      <c r="B8344" s="2" t="str">
        <f>IFERROR(__xludf.DUMMYFUNCTION("GOOGLETRANSLATE(A8344, ""de"", ""en"")"),"screen")</f>
        <v>screen</v>
      </c>
    </row>
    <row r="8345">
      <c r="A8345" s="1" t="s">
        <v>8345</v>
      </c>
      <c r="B8345" s="2" t="str">
        <f>IFERROR(__xludf.DUMMYFUNCTION("GOOGLETRANSLATE(A8345, ""de"", ""en"")"),"drink")</f>
        <v>drink</v>
      </c>
    </row>
    <row r="8346">
      <c r="A8346" s="1" t="s">
        <v>8346</v>
      </c>
      <c r="B8346" s="2" t="str">
        <f>IFERROR(__xludf.DUMMYFUNCTION("GOOGLETRANSLATE(A8346, ""de"", ""en"")"),"chopped")</f>
        <v>chopped</v>
      </c>
    </row>
    <row r="8347">
      <c r="A8347" s="1" t="s">
        <v>8347</v>
      </c>
      <c r="B8347" s="2" t="str">
        <f>IFERROR(__xludf.DUMMYFUNCTION("GOOGLETRANSLATE(A8347, ""de"", ""en"")"),"your eminence")</f>
        <v>your eminence</v>
      </c>
    </row>
    <row r="8348">
      <c r="A8348" s="1" t="s">
        <v>8348</v>
      </c>
      <c r="B8348" s="2" t="str">
        <f>IFERROR(__xludf.DUMMYFUNCTION("GOOGLETRANSLATE(A8348, ""de"", ""en"")"),"mailbox")</f>
        <v>mailbox</v>
      </c>
    </row>
    <row r="8349">
      <c r="A8349" s="1" t="s">
        <v>8349</v>
      </c>
      <c r="B8349" s="2" t="str">
        <f>IFERROR(__xludf.DUMMYFUNCTION("GOOGLETRANSLATE(A8349, ""de"", ""en"")"),"Munich")</f>
        <v>Munich</v>
      </c>
    </row>
    <row r="8350">
      <c r="A8350" s="1" t="s">
        <v>8350</v>
      </c>
      <c r="B8350" s="2" t="str">
        <f>IFERROR(__xludf.DUMMYFUNCTION("GOOGLETRANSLATE(A8350, ""de"", ""en"")"),"shot")</f>
        <v>shot</v>
      </c>
    </row>
    <row r="8351">
      <c r="A8351" s="1" t="s">
        <v>8351</v>
      </c>
      <c r="B8351" s="2" t="str">
        <f>IFERROR(__xludf.DUMMYFUNCTION("GOOGLETRANSLATE(A8351, ""de"", ""en"")"),"jenkins")</f>
        <v>jenkins</v>
      </c>
    </row>
    <row r="8352">
      <c r="A8352" s="1" t="s">
        <v>8352</v>
      </c>
      <c r="B8352" s="2" t="str">
        <f>IFERROR(__xludf.DUMMYFUNCTION("GOOGLETRANSLATE(A8352, ""de"", ""en"")"),"assassination")</f>
        <v>assassination</v>
      </c>
    </row>
    <row r="8353">
      <c r="A8353" s="1" t="s">
        <v>8353</v>
      </c>
      <c r="B8353" s="2" t="str">
        <f>IFERROR(__xludf.DUMMYFUNCTION("GOOGLETRANSLATE(A8353, ""de"", ""en"")"),"Garrett")</f>
        <v>Garrett</v>
      </c>
    </row>
    <row r="8354">
      <c r="A8354" s="1" t="s">
        <v>8354</v>
      </c>
      <c r="B8354" s="2" t="str">
        <f>IFERROR(__xludf.DUMMYFUNCTION("GOOGLETRANSLATE(A8354, ""de"", ""en"")"),"waste")</f>
        <v>waste</v>
      </c>
    </row>
    <row r="8355">
      <c r="A8355" s="1" t="s">
        <v>8355</v>
      </c>
      <c r="B8355" s="2" t="str">
        <f>IFERROR(__xludf.DUMMYFUNCTION("GOOGLETRANSLATE(A8355, ""de"", ""en"")"),"noticed")</f>
        <v>noticed</v>
      </c>
    </row>
    <row r="8356">
      <c r="A8356" s="1" t="s">
        <v>8356</v>
      </c>
      <c r="B8356" s="2" t="str">
        <f>IFERROR(__xludf.DUMMYFUNCTION("GOOGLETRANSLATE(A8356, ""de"", ""en"")"),"lousy")</f>
        <v>lousy</v>
      </c>
    </row>
    <row r="8357">
      <c r="A8357" s="1" t="s">
        <v>8357</v>
      </c>
      <c r="B8357" s="2" t="str">
        <f>IFERROR(__xludf.DUMMYFUNCTION("GOOGLETRANSLATE(A8357, ""de"", ""en"")"),"hiss")</f>
        <v>hiss</v>
      </c>
    </row>
    <row r="8358">
      <c r="A8358" s="1" t="s">
        <v>8358</v>
      </c>
      <c r="B8358" s="2" t="str">
        <f>IFERROR(__xludf.DUMMYFUNCTION("GOOGLETRANSLATE(A8358, ""de"", ""en"")"),"help")</f>
        <v>help</v>
      </c>
    </row>
    <row r="8359">
      <c r="A8359" s="1" t="s">
        <v>8359</v>
      </c>
      <c r="B8359" s="2" t="str">
        <f>IFERROR(__xludf.DUMMYFUNCTION("GOOGLETRANSLATE(A8359, ""de"", ""en"")"),"dishes")</f>
        <v>dishes</v>
      </c>
    </row>
    <row r="8360">
      <c r="A8360" s="1" t="s">
        <v>8360</v>
      </c>
      <c r="B8360" s="2" t="str">
        <f>IFERROR(__xludf.DUMMYFUNCTION("GOOGLETRANSLATE(A8360, ""de"", ""en"")"),"similarity")</f>
        <v>similarity</v>
      </c>
    </row>
    <row r="8361">
      <c r="A8361" s="1" t="s">
        <v>8361</v>
      </c>
      <c r="B8361" s="2" t="str">
        <f>IFERROR(__xludf.DUMMYFUNCTION("GOOGLETRANSLATE(A8361, ""de"", ""en"")"),"cowards")</f>
        <v>cowards</v>
      </c>
    </row>
    <row r="8362">
      <c r="A8362" s="1" t="s">
        <v>8362</v>
      </c>
      <c r="B8362" s="2" t="str">
        <f>IFERROR(__xludf.DUMMYFUNCTION("GOOGLETRANSLATE(A8362, ""de"", ""en"")"),"fun")</f>
        <v>fun</v>
      </c>
    </row>
    <row r="8363">
      <c r="A8363" s="1" t="s">
        <v>8363</v>
      </c>
      <c r="B8363" s="2" t="str">
        <f>IFERROR(__xludf.DUMMYFUNCTION("GOOGLETRANSLATE(A8363, ""de"", ""en"")"),"smiles")</f>
        <v>smiles</v>
      </c>
    </row>
    <row r="8364">
      <c r="A8364" s="1" t="s">
        <v>8364</v>
      </c>
      <c r="B8364" s="2" t="str">
        <f>IFERROR(__xludf.DUMMYFUNCTION("GOOGLETRANSLATE(A8364, ""de"", ""en"")"),"steals")</f>
        <v>steals</v>
      </c>
    </row>
    <row r="8365">
      <c r="A8365" s="1" t="s">
        <v>8365</v>
      </c>
      <c r="B8365" s="2" t="str">
        <f>IFERROR(__xludf.DUMMYFUNCTION("GOOGLETRANSLATE(A8365, ""de"", ""en"")"),"put")</f>
        <v>put</v>
      </c>
    </row>
    <row r="8366">
      <c r="A8366" s="1" t="s">
        <v>8366</v>
      </c>
      <c r="B8366" s="2" t="str">
        <f>IFERROR(__xludf.DUMMYFUNCTION("GOOGLETRANSLATE(A8366, ""de"", ""en"")"),"good")</f>
        <v>good</v>
      </c>
    </row>
    <row r="8367">
      <c r="A8367" s="1" t="s">
        <v>8367</v>
      </c>
      <c r="B8367" s="2" t="str">
        <f>IFERROR(__xludf.DUMMYFUNCTION("GOOGLETRANSLATE(A8367, ""de"", ""en"")"),"escaped")</f>
        <v>escaped</v>
      </c>
    </row>
    <row r="8368">
      <c r="A8368" s="1" t="s">
        <v>8368</v>
      </c>
      <c r="B8368" s="2" t="str">
        <f>IFERROR(__xludf.DUMMYFUNCTION("GOOGLETRANSLATE(A8368, ""de"", ""en"")"),"smoke")</f>
        <v>smoke</v>
      </c>
    </row>
    <row r="8369">
      <c r="A8369" s="1" t="s">
        <v>8369</v>
      </c>
      <c r="B8369" s="2" t="str">
        <f>IFERROR(__xludf.DUMMYFUNCTION("GOOGLETRANSLATE(A8369, ""de"", ""en"")"),"masks")</f>
        <v>masks</v>
      </c>
    </row>
    <row r="8370">
      <c r="A8370" s="1" t="s">
        <v>8370</v>
      </c>
      <c r="B8370" s="2" t="str">
        <f>IFERROR(__xludf.DUMMYFUNCTION("GOOGLETRANSLATE(A8370, ""de"", ""en"")"),"swims")</f>
        <v>swims</v>
      </c>
    </row>
    <row r="8371">
      <c r="A8371" s="1" t="s">
        <v>8371</v>
      </c>
      <c r="B8371" s="2" t="str">
        <f>IFERROR(__xludf.DUMMYFUNCTION("GOOGLETRANSLATE(A8371, ""de"", ""en"")"),"excellent")</f>
        <v>excellent</v>
      </c>
    </row>
    <row r="8372">
      <c r="A8372" s="1" t="s">
        <v>8372</v>
      </c>
      <c r="B8372" s="2" t="str">
        <f>IFERROR(__xludf.DUMMYFUNCTION("GOOGLETRANSLATE(A8372, ""de"", ""en"")"),"first name")</f>
        <v>first name</v>
      </c>
    </row>
    <row r="8373">
      <c r="A8373" s="1" t="s">
        <v>8373</v>
      </c>
      <c r="B8373" s="2" t="str">
        <f>IFERROR(__xludf.DUMMYFUNCTION("GOOGLETRANSLATE(A8373, ""de"", ""en"")"),"sweat")</f>
        <v>sweat</v>
      </c>
    </row>
    <row r="8374">
      <c r="A8374" s="1" t="s">
        <v>8374</v>
      </c>
      <c r="B8374" s="2" t="str">
        <f>IFERROR(__xludf.DUMMYFUNCTION("GOOGLETRANSLATE(A8374, ""de"", ""en"")"),"ginger")</f>
        <v>ginger</v>
      </c>
    </row>
    <row r="8375">
      <c r="A8375" s="1" t="s">
        <v>8375</v>
      </c>
      <c r="B8375" s="2" t="str">
        <f>IFERROR(__xludf.DUMMYFUNCTION("GOOGLETRANSLATE(A8375, ""de"", ""en"")"),"bourbon")</f>
        <v>bourbon</v>
      </c>
    </row>
    <row r="8376">
      <c r="A8376" s="1" t="s">
        <v>8376</v>
      </c>
      <c r="B8376" s="2" t="str">
        <f>IFERROR(__xludf.DUMMYFUNCTION("GOOGLETRANSLATE(A8376, ""de"", ""en"")"),"house")</f>
        <v>house</v>
      </c>
    </row>
    <row r="8377">
      <c r="A8377" s="1" t="s">
        <v>8377</v>
      </c>
      <c r="B8377" s="2" t="str">
        <f>IFERROR(__xludf.DUMMYFUNCTION("GOOGLETRANSLATE(A8377, ""de"", ""en"")"),"located")</f>
        <v>located</v>
      </c>
    </row>
    <row r="8378">
      <c r="A8378" s="1" t="s">
        <v>8378</v>
      </c>
      <c r="B8378" s="2" t="str">
        <f>IFERROR(__xludf.DUMMYFUNCTION("GOOGLETRANSLATE(A8378, ""de"", ""en"")"),"Lacey")</f>
        <v>Lacey</v>
      </c>
    </row>
    <row r="8379">
      <c r="A8379" s="1" t="s">
        <v>8379</v>
      </c>
      <c r="B8379" s="2" t="str">
        <f>IFERROR(__xludf.DUMMYFUNCTION("GOOGLETRANSLATE(A8379, ""de"", ""en"")"),"elephant")</f>
        <v>elephant</v>
      </c>
    </row>
    <row r="8380">
      <c r="A8380" s="1" t="s">
        <v>8380</v>
      </c>
      <c r="B8380" s="2" t="str">
        <f>IFERROR(__xludf.DUMMYFUNCTION("GOOGLETRANSLATE(A8380, ""de"", ""en"")"),"approximately")</f>
        <v>approximately</v>
      </c>
    </row>
    <row r="8381">
      <c r="A8381" s="1" t="s">
        <v>8381</v>
      </c>
      <c r="B8381" s="2" t="str">
        <f>IFERROR(__xludf.DUMMYFUNCTION("GOOGLETRANSLATE(A8381, ""de"", ""en"")"),"tissue")</f>
        <v>tissue</v>
      </c>
    </row>
    <row r="8382">
      <c r="A8382" s="1" t="s">
        <v>8382</v>
      </c>
      <c r="B8382" s="2" t="str">
        <f>IFERROR(__xludf.DUMMYFUNCTION("GOOGLETRANSLATE(A8382, ""de"", ""en"")"),"underestimated")</f>
        <v>underestimated</v>
      </c>
    </row>
    <row r="8383">
      <c r="A8383" s="1" t="s">
        <v>8383</v>
      </c>
      <c r="B8383" s="2" t="str">
        <f>IFERROR(__xludf.DUMMYFUNCTION("GOOGLETRANSLATE(A8383, ""de"", ""en"")"),"star time")</f>
        <v>star time</v>
      </c>
    </row>
    <row r="8384">
      <c r="A8384" s="1" t="s">
        <v>8384</v>
      </c>
      <c r="B8384" s="2" t="str">
        <f>IFERROR(__xludf.DUMMYFUNCTION("GOOGLETRANSLATE(A8384, ""de"", ""en"")"),"cornice")</f>
        <v>cornice</v>
      </c>
    </row>
    <row r="8385">
      <c r="A8385" s="1" t="s">
        <v>8385</v>
      </c>
      <c r="B8385" s="2" t="str">
        <f>IFERROR(__xludf.DUMMYFUNCTION("GOOGLETRANSLATE(A8385, ""de"", ""en"")"),"Barbie")</f>
        <v>Barbie</v>
      </c>
    </row>
    <row r="8386">
      <c r="A8386" s="1" t="s">
        <v>8386</v>
      </c>
      <c r="B8386" s="2" t="str">
        <f>IFERROR(__xludf.DUMMYFUNCTION("GOOGLETRANSLATE(A8386, ""de"", ""en"")"),"squirrel")</f>
        <v>squirrel</v>
      </c>
    </row>
    <row r="8387">
      <c r="A8387" s="1" t="s">
        <v>8387</v>
      </c>
      <c r="B8387" s="2" t="str">
        <f>IFERROR(__xludf.DUMMYFUNCTION("GOOGLETRANSLATE(A8387, ""de"", ""en"")"),"break")</f>
        <v>break</v>
      </c>
    </row>
    <row r="8388">
      <c r="A8388" s="1" t="s">
        <v>8388</v>
      </c>
      <c r="B8388" s="2" t="str">
        <f>IFERROR(__xludf.DUMMYFUNCTION("GOOGLETRANSLATE(A8388, ""de"", ""en"")"),"poker")</f>
        <v>poker</v>
      </c>
    </row>
    <row r="8389">
      <c r="A8389" s="1" t="s">
        <v>8389</v>
      </c>
      <c r="B8389" s="2" t="str">
        <f>IFERROR(__xludf.DUMMYFUNCTION("GOOGLETRANSLATE(A8389, ""de"", ""en"")"),"change")</f>
        <v>change</v>
      </c>
    </row>
    <row r="8390">
      <c r="A8390" s="1" t="s">
        <v>8390</v>
      </c>
      <c r="B8390" s="2" t="str">
        <f>IFERROR(__xludf.DUMMYFUNCTION("GOOGLETRANSLATE(A8390, ""de"", ""en"")"),"lesbian")</f>
        <v>lesbian</v>
      </c>
    </row>
    <row r="8391">
      <c r="A8391" s="1" t="s">
        <v>8391</v>
      </c>
      <c r="B8391" s="2" t="str">
        <f>IFERROR(__xludf.DUMMYFUNCTION("GOOGLETRANSLATE(A8391, ""de"", ""en"")"),"cordelia")</f>
        <v>cordelia</v>
      </c>
    </row>
    <row r="8392">
      <c r="A8392" s="1" t="s">
        <v>8392</v>
      </c>
      <c r="B8392" s="2" t="str">
        <f>IFERROR(__xludf.DUMMYFUNCTION("GOOGLETRANSLATE(A8392, ""de"", ""en"")"),"accounts")</f>
        <v>accounts</v>
      </c>
    </row>
    <row r="8393">
      <c r="A8393" s="1" t="s">
        <v>8393</v>
      </c>
      <c r="B8393" s="2" t="str">
        <f>IFERROR(__xludf.DUMMYFUNCTION("GOOGLETRANSLATE(A8393, ""de"", ""en"")"),"sneak")</f>
        <v>sneak</v>
      </c>
    </row>
    <row r="8394">
      <c r="A8394" s="1" t="s">
        <v>8394</v>
      </c>
      <c r="B8394" s="2" t="str">
        <f>IFERROR(__xludf.DUMMYFUNCTION("GOOGLETRANSLATE(A8394, ""de"", ""en"")"),"street")</f>
        <v>street</v>
      </c>
    </row>
    <row r="8395">
      <c r="A8395" s="1" t="s">
        <v>8395</v>
      </c>
      <c r="B8395" s="2" t="str">
        <f>IFERROR(__xludf.DUMMYFUNCTION("GOOGLETRANSLATE(A8395, ""de"", ""en"")"),"panties")</f>
        <v>panties</v>
      </c>
    </row>
    <row r="8396">
      <c r="A8396" s="1" t="s">
        <v>8396</v>
      </c>
      <c r="B8396" s="2" t="str">
        <f>IFERROR(__xludf.DUMMYFUNCTION("GOOGLETRANSLATE(A8396, ""de"", ""en"")"),"youngest")</f>
        <v>youngest</v>
      </c>
    </row>
    <row r="8397">
      <c r="A8397" s="1" t="s">
        <v>8397</v>
      </c>
      <c r="B8397" s="2" t="str">
        <f>IFERROR(__xludf.DUMMYFUNCTION("GOOGLETRANSLATE(A8397, ""de"", ""en"")"),"low")</f>
        <v>low</v>
      </c>
    </row>
    <row r="8398">
      <c r="A8398" s="1" t="s">
        <v>8398</v>
      </c>
      <c r="B8398" s="2" t="str">
        <f>IFERROR(__xludf.DUMMYFUNCTION("GOOGLETRANSLATE(A8398, ""de"", ""en"")"),"sonja")</f>
        <v>sonja</v>
      </c>
    </row>
    <row r="8399">
      <c r="A8399" s="1" t="s">
        <v>8399</v>
      </c>
      <c r="B8399" s="2" t="str">
        <f>IFERROR(__xludf.DUMMYFUNCTION("GOOGLETRANSLATE(A8399, ""de"", ""en"")"),"air conditioning")</f>
        <v>air conditioning</v>
      </c>
    </row>
    <row r="8400">
      <c r="A8400" s="1" t="s">
        <v>8400</v>
      </c>
      <c r="B8400" s="2" t="str">
        <f>IFERROR(__xludf.DUMMYFUNCTION("GOOGLETRANSLATE(A8400, ""de"", ""en"")"),"volcano")</f>
        <v>volcano</v>
      </c>
    </row>
    <row r="8401">
      <c r="A8401" s="1" t="s">
        <v>8401</v>
      </c>
      <c r="B8401" s="2" t="str">
        <f>IFERROR(__xludf.DUMMYFUNCTION("GOOGLETRANSLATE(A8401, ""de"", ""en"")"),"thea")</f>
        <v>thea</v>
      </c>
    </row>
    <row r="8402">
      <c r="A8402" s="1" t="s">
        <v>8402</v>
      </c>
      <c r="B8402" s="2" t="str">
        <f>IFERROR(__xludf.DUMMYFUNCTION("GOOGLETRANSLATE(A8402, ""de"", ""en"")"),"considered")</f>
        <v>considered</v>
      </c>
    </row>
    <row r="8403">
      <c r="A8403" s="1" t="s">
        <v>8403</v>
      </c>
      <c r="B8403" s="2" t="str">
        <f>IFERROR(__xludf.DUMMYFUNCTION("GOOGLETRANSLATE(A8403, ""de"", ""en"")"),"lesbian")</f>
        <v>lesbian</v>
      </c>
    </row>
    <row r="8404">
      <c r="A8404" s="1" t="s">
        <v>8404</v>
      </c>
      <c r="B8404" s="2" t="str">
        <f>IFERROR(__xludf.DUMMYFUNCTION("GOOGLETRANSLATE(A8404, ""de"", ""en"")"),"Cristina")</f>
        <v>Cristina</v>
      </c>
    </row>
    <row r="8405">
      <c r="A8405" s="1" t="s">
        <v>8405</v>
      </c>
      <c r="B8405" s="2" t="str">
        <f>IFERROR(__xludf.DUMMYFUNCTION("GOOGLETRANSLATE(A8405, ""de"", ""en"")"),"placed")</f>
        <v>placed</v>
      </c>
    </row>
    <row r="8406">
      <c r="A8406" s="1" t="s">
        <v>8406</v>
      </c>
      <c r="B8406" s="2" t="str">
        <f>IFERROR(__xludf.DUMMYFUNCTION("GOOGLETRANSLATE(A8406, ""de"", ""en"")"),"abyss")</f>
        <v>abyss</v>
      </c>
    </row>
    <row r="8407">
      <c r="A8407" s="1" t="s">
        <v>8407</v>
      </c>
      <c r="B8407" s="2" t="str">
        <f>IFERROR(__xludf.DUMMYFUNCTION("GOOGLETRANSLATE(A8407, ""de"", ""en"")"),"drawings")</f>
        <v>drawings</v>
      </c>
    </row>
    <row r="8408">
      <c r="A8408" s="1" t="s">
        <v>8408</v>
      </c>
      <c r="B8408" s="2" t="str">
        <f>IFERROR(__xludf.DUMMYFUNCTION("GOOGLETRANSLATE(A8408, ""de"", ""en"")"),"sink")</f>
        <v>sink</v>
      </c>
    </row>
    <row r="8409">
      <c r="A8409" s="1" t="s">
        <v>8409</v>
      </c>
      <c r="B8409" s="2" t="str">
        <f>IFERROR(__xludf.DUMMYFUNCTION("GOOGLETRANSLATE(A8409, ""de"", ""en"")"),"Hamburg")</f>
        <v>Hamburg</v>
      </c>
    </row>
    <row r="8410">
      <c r="A8410" s="1" t="s">
        <v>8410</v>
      </c>
      <c r="B8410" s="2" t="str">
        <f>IFERROR(__xludf.DUMMYFUNCTION("GOOGLETRANSLATE(A8410, ""de"", ""en"")"),"mourn")</f>
        <v>mourn</v>
      </c>
    </row>
    <row r="8411">
      <c r="A8411" s="1" t="s">
        <v>8411</v>
      </c>
      <c r="B8411" s="2" t="str">
        <f>IFERROR(__xludf.DUMMYFUNCTION("GOOGLETRANSLATE(A8411, ""de"", ""en"")"),"departure")</f>
        <v>departure</v>
      </c>
    </row>
    <row r="8412">
      <c r="A8412" s="1" t="s">
        <v>8412</v>
      </c>
      <c r="B8412" s="2" t="str">
        <f>IFERROR(__xludf.DUMMYFUNCTION("GOOGLETRANSLATE(A8412, ""de"", ""en"")"),"dates")</f>
        <v>dates</v>
      </c>
    </row>
    <row r="8413">
      <c r="A8413" s="1" t="s">
        <v>8413</v>
      </c>
      <c r="B8413" s="2" t="str">
        <f>IFERROR(__xludf.DUMMYFUNCTION("GOOGLETRANSLATE(A8413, ""de"", ""en"")"),"bet")</f>
        <v>bet</v>
      </c>
    </row>
    <row r="8414">
      <c r="A8414" s="1" t="s">
        <v>8414</v>
      </c>
      <c r="B8414" s="2" t="str">
        <f>IFERROR(__xludf.DUMMYFUNCTION("GOOGLETRANSLATE(A8414, ""de"", ""en"")"),"stuck")</f>
        <v>stuck</v>
      </c>
    </row>
    <row r="8415">
      <c r="A8415" s="1" t="s">
        <v>8415</v>
      </c>
      <c r="B8415" s="2" t="str">
        <f>IFERROR(__xludf.DUMMYFUNCTION("GOOGLETRANSLATE(A8415, ""de"", ""en"")"),"see")</f>
        <v>see</v>
      </c>
    </row>
    <row r="8416">
      <c r="A8416" s="1" t="s">
        <v>8416</v>
      </c>
      <c r="B8416" s="2" t="str">
        <f>IFERROR(__xludf.DUMMYFUNCTION("GOOGLETRANSLATE(A8416, ""de"", ""en"")"),"lin")</f>
        <v>lin</v>
      </c>
    </row>
    <row r="8417">
      <c r="A8417" s="1" t="s">
        <v>8417</v>
      </c>
      <c r="B8417" s="2" t="str">
        <f>IFERROR(__xludf.DUMMYFUNCTION("GOOGLETRANSLATE(A8417, ""de"", ""en"")"),"appropriate")</f>
        <v>appropriate</v>
      </c>
    </row>
    <row r="8418">
      <c r="A8418" s="1" t="s">
        <v>8418</v>
      </c>
      <c r="B8418" s="2" t="str">
        <f>IFERROR(__xludf.DUMMYFUNCTION("GOOGLETRANSLATE(A8418, ""de"", ""en"")"),"Sidney")</f>
        <v>Sidney</v>
      </c>
    </row>
    <row r="8419">
      <c r="A8419" s="1" t="s">
        <v>8419</v>
      </c>
      <c r="B8419" s="2" t="str">
        <f>IFERROR(__xludf.DUMMYFUNCTION("GOOGLETRANSLATE(A8419, ""de"", ""en"")"),"lunch break")</f>
        <v>lunch break</v>
      </c>
    </row>
    <row r="8420">
      <c r="A8420" s="1" t="s">
        <v>8420</v>
      </c>
      <c r="B8420" s="2" t="str">
        <f>IFERROR(__xludf.DUMMYFUNCTION("GOOGLETRANSLATE(A8420, ""de"", ""en"")"),"competition")</f>
        <v>competition</v>
      </c>
    </row>
    <row r="8421">
      <c r="A8421" s="1" t="s">
        <v>8421</v>
      </c>
      <c r="B8421" s="2" t="str">
        <f>IFERROR(__xludf.DUMMYFUNCTION("GOOGLETRANSLATE(A8421, ""de"", ""en"")"),"swallowed")</f>
        <v>swallowed</v>
      </c>
    </row>
    <row r="8422">
      <c r="A8422" s="1" t="s">
        <v>8422</v>
      </c>
      <c r="B8422" s="2" t="str">
        <f>IFERROR(__xludf.DUMMYFUNCTION("GOOGLETRANSLATE(A8422, ""de"", ""en"")"),"limo")</f>
        <v>limo</v>
      </c>
    </row>
    <row r="8423">
      <c r="A8423" s="1" t="s">
        <v>8423</v>
      </c>
      <c r="B8423" s="2" t="str">
        <f>IFERROR(__xludf.DUMMYFUNCTION("GOOGLETRANSLATE(A8423, ""de"", ""en"")"),"raises")</f>
        <v>raises</v>
      </c>
    </row>
    <row r="8424">
      <c r="A8424" s="1" t="s">
        <v>8424</v>
      </c>
      <c r="B8424" s="2" t="str">
        <f>IFERROR(__xludf.DUMMYFUNCTION("GOOGLETRANSLATE(A8424, ""de"", ""en"")"),"envy")</f>
        <v>envy</v>
      </c>
    </row>
    <row r="8425">
      <c r="A8425" s="1" t="s">
        <v>8425</v>
      </c>
      <c r="B8425" s="2" t="str">
        <f>IFERROR(__xludf.DUMMYFUNCTION("GOOGLETRANSLATE(A8425, ""de"", ""en"")"),"complaint")</f>
        <v>complaint</v>
      </c>
    </row>
    <row r="8426">
      <c r="A8426" s="1" t="s">
        <v>8426</v>
      </c>
      <c r="B8426" s="2" t="str">
        <f>IFERROR(__xludf.DUMMYFUNCTION("GOOGLETRANSLATE(A8426, ""de"", ""en"")"),"excite")</f>
        <v>excite</v>
      </c>
    </row>
    <row r="8427">
      <c r="A8427" s="1" t="s">
        <v>8427</v>
      </c>
      <c r="B8427" s="2" t="str">
        <f>IFERROR(__xludf.DUMMYFUNCTION("GOOGLETRANSLATE(A8427, ""de"", ""en"")"),"overwhelmed")</f>
        <v>overwhelmed</v>
      </c>
    </row>
    <row r="8428">
      <c r="A8428" s="1" t="s">
        <v>8428</v>
      </c>
      <c r="B8428" s="2" t="str">
        <f>IFERROR(__xludf.DUMMYFUNCTION("GOOGLETRANSLATE(A8428, ""de"", ""en"")"),"turtle")</f>
        <v>turtle</v>
      </c>
    </row>
    <row r="8429">
      <c r="A8429" s="1" t="s">
        <v>8429</v>
      </c>
      <c r="B8429" s="2" t="str">
        <f>IFERROR(__xludf.DUMMYFUNCTION("GOOGLETRANSLATE(A8429, ""de"", ""en"")"),"nypd")</f>
        <v>nypd</v>
      </c>
    </row>
    <row r="8430">
      <c r="A8430" s="1" t="s">
        <v>8430</v>
      </c>
      <c r="B8430" s="2" t="str">
        <f>IFERROR(__xludf.DUMMYFUNCTION("GOOGLETRANSLATE(A8430, ""de"", ""en"")"),"named")</f>
        <v>named</v>
      </c>
    </row>
    <row r="8431">
      <c r="A8431" s="1" t="s">
        <v>8431</v>
      </c>
      <c r="B8431" s="2" t="str">
        <f>IFERROR(__xludf.DUMMYFUNCTION("GOOGLETRANSLATE(A8431, ""de"", ""en"")"),"welcomed")</f>
        <v>welcomed</v>
      </c>
    </row>
    <row r="8432">
      <c r="A8432" s="1" t="s">
        <v>8432</v>
      </c>
      <c r="B8432" s="2" t="str">
        <f>IFERROR(__xludf.DUMMYFUNCTION("GOOGLETRANSLATE(A8432, ""de"", ""en"")"),"drum")</f>
        <v>drum</v>
      </c>
    </row>
    <row r="8433">
      <c r="A8433" s="1" t="s">
        <v>8433</v>
      </c>
      <c r="B8433" s="2" t="str">
        <f>IFERROR(__xludf.DUMMYFUNCTION("GOOGLETRANSLATE(A8433, ""de"", ""en"")"),"burns")</f>
        <v>burns</v>
      </c>
    </row>
    <row r="8434">
      <c r="A8434" s="1" t="s">
        <v>8434</v>
      </c>
      <c r="B8434" s="2" t="str">
        <f>IFERROR(__xludf.DUMMYFUNCTION("GOOGLETRANSLATE(A8434, ""de"", ""en"")"),"hayes")</f>
        <v>hayes</v>
      </c>
    </row>
    <row r="8435">
      <c r="A8435" s="1" t="s">
        <v>8435</v>
      </c>
      <c r="B8435" s="2" t="str">
        <f>IFERROR(__xludf.DUMMYFUNCTION("GOOGLETRANSLATE(A8435, ""de"", ""en"")"),"continue")</f>
        <v>continue</v>
      </c>
    </row>
    <row r="8436">
      <c r="A8436" s="1" t="s">
        <v>8436</v>
      </c>
      <c r="B8436" s="2" t="str">
        <f>IFERROR(__xludf.DUMMYFUNCTION("GOOGLETRANSLATE(A8436, ""de"", ""en"")"),"burst")</f>
        <v>burst</v>
      </c>
    </row>
    <row r="8437">
      <c r="A8437" s="1" t="s">
        <v>8437</v>
      </c>
      <c r="B8437" s="2" t="str">
        <f>IFERROR(__xludf.DUMMYFUNCTION("GOOGLETRANSLATE(A8437, ""de"", ""en"")"),"pan")</f>
        <v>pan</v>
      </c>
    </row>
    <row r="8438">
      <c r="A8438" s="1" t="s">
        <v>8438</v>
      </c>
      <c r="B8438" s="2" t="str">
        <f>IFERROR(__xludf.DUMMYFUNCTION("GOOGLETRANSLATE(A8438, ""de"", ""en"")"),"mildred")</f>
        <v>mildred</v>
      </c>
    </row>
    <row r="8439">
      <c r="A8439" s="1" t="s">
        <v>8439</v>
      </c>
      <c r="B8439" s="2" t="str">
        <f>IFERROR(__xludf.DUMMYFUNCTION("GOOGLETRANSLATE(A8439, ""de"", ""en"")"),"shoot")</f>
        <v>shoot</v>
      </c>
    </row>
    <row r="8440">
      <c r="A8440" s="1" t="s">
        <v>8440</v>
      </c>
      <c r="B8440" s="2" t="str">
        <f>IFERROR(__xludf.DUMMYFUNCTION("GOOGLETRANSLATE(A8440, ""de"", ""en"")"),"curle")</f>
        <v>curle</v>
      </c>
    </row>
    <row r="8441">
      <c r="A8441" s="1" t="s">
        <v>8441</v>
      </c>
      <c r="B8441" s="2" t="str">
        <f>IFERROR(__xludf.DUMMYFUNCTION("GOOGLETRANSLATE(A8441, ""de"", ""en"")"),"surnames")</f>
        <v>surnames</v>
      </c>
    </row>
    <row r="8442">
      <c r="A8442" s="1" t="s">
        <v>8442</v>
      </c>
      <c r="B8442" s="2" t="str">
        <f>IFERROR(__xludf.DUMMYFUNCTION("GOOGLETRANSLATE(A8442, ""de"", ""en"")"),"adjust")</f>
        <v>adjust</v>
      </c>
    </row>
    <row r="8443">
      <c r="A8443" s="1" t="s">
        <v>8443</v>
      </c>
      <c r="B8443" s="2" t="str">
        <f>IFERROR(__xludf.DUMMYFUNCTION("GOOGLETRANSLATE(A8443, ""de"", ""en"")"),"old fashioned")</f>
        <v>old fashioned</v>
      </c>
    </row>
    <row r="8444">
      <c r="A8444" s="1" t="s">
        <v>8444</v>
      </c>
      <c r="B8444" s="2" t="str">
        <f>IFERROR(__xludf.DUMMYFUNCTION("GOOGLETRANSLATE(A8444, ""de"", ""en"")"),"more expensive")</f>
        <v>more expensive</v>
      </c>
    </row>
    <row r="8445">
      <c r="A8445" s="1" t="s">
        <v>8445</v>
      </c>
      <c r="B8445" s="2" t="str">
        <f>IFERROR(__xludf.DUMMYFUNCTION("GOOGLETRANSLATE(A8445, ""de"", ""en"")"),"lighter")</f>
        <v>lighter</v>
      </c>
    </row>
    <row r="8446">
      <c r="A8446" s="1" t="s">
        <v>8446</v>
      </c>
      <c r="B8446" s="2" t="str">
        <f>IFERROR(__xludf.DUMMYFUNCTION("GOOGLETRANSLATE(A8446, ""de"", ""en"")"),"dare")</f>
        <v>dare</v>
      </c>
    </row>
    <row r="8447">
      <c r="A8447" s="1" t="s">
        <v>8447</v>
      </c>
      <c r="B8447" s="2" t="str">
        <f>IFERROR(__xludf.DUMMYFUNCTION("GOOGLETRANSLATE(A8447, ""de"", ""en"")"),"serial killer")</f>
        <v>serial killer</v>
      </c>
    </row>
    <row r="8448">
      <c r="A8448" s="1" t="s">
        <v>8448</v>
      </c>
      <c r="B8448" s="2" t="str">
        <f>IFERROR(__xludf.DUMMYFUNCTION("GOOGLETRANSLATE(A8448, ""de"", ""en"")"),"Georges")</f>
        <v>Georges</v>
      </c>
    </row>
    <row r="8449">
      <c r="A8449" s="1" t="s">
        <v>8449</v>
      </c>
      <c r="B8449" s="2" t="str">
        <f>IFERROR(__xludf.DUMMYFUNCTION("GOOGLETRANSLATE(A8449, ""de"", ""en"")"),"dr")</f>
        <v>dr</v>
      </c>
    </row>
    <row r="8450">
      <c r="A8450" s="1" t="s">
        <v>8450</v>
      </c>
      <c r="B8450" s="2" t="str">
        <f>IFERROR(__xludf.DUMMYFUNCTION("GOOGLETRANSLATE(A8450, ""de"", ""en"")"),"passed through")</f>
        <v>passed through</v>
      </c>
    </row>
    <row r="8451">
      <c r="A8451" s="1" t="s">
        <v>8451</v>
      </c>
      <c r="B8451" s="2" t="str">
        <f>IFERROR(__xludf.DUMMYFUNCTION("GOOGLETRANSLATE(A8451, ""de"", ""en"")"),"eliminated")</f>
        <v>eliminated</v>
      </c>
    </row>
    <row r="8452">
      <c r="A8452" s="1" t="s">
        <v>8452</v>
      </c>
      <c r="B8452" s="2" t="str">
        <f>IFERROR(__xludf.DUMMYFUNCTION("GOOGLETRANSLATE(A8452, ""de"", ""en"")"),"alcoholic")</f>
        <v>alcoholic</v>
      </c>
    </row>
    <row r="8453">
      <c r="A8453" s="1" t="s">
        <v>8453</v>
      </c>
      <c r="B8453" s="2" t="str">
        <f>IFERROR(__xludf.DUMMYFUNCTION("GOOGLETRANSLATE(A8453, ""de"", ""en"")"),"let")</f>
        <v>let</v>
      </c>
    </row>
    <row r="8454">
      <c r="A8454" s="1" t="s">
        <v>8454</v>
      </c>
      <c r="B8454" s="2" t="str">
        <f>IFERROR(__xludf.DUMMYFUNCTION("GOOGLETRANSLATE(A8454, ""de"", ""en"")"),"whole")</f>
        <v>whole</v>
      </c>
    </row>
    <row r="8455">
      <c r="A8455" s="1" t="s">
        <v>8455</v>
      </c>
      <c r="B8455" s="2" t="str">
        <f>IFERROR(__xludf.DUMMYFUNCTION("GOOGLETRANSLATE(A8455, ""de"", ""en"")"),"elements")</f>
        <v>elements</v>
      </c>
    </row>
    <row r="8456">
      <c r="A8456" s="1" t="s">
        <v>8456</v>
      </c>
      <c r="B8456" s="2" t="str">
        <f>IFERROR(__xludf.DUMMYFUNCTION("GOOGLETRANSLATE(A8456, ""de"", ""en"")"),"enemies")</f>
        <v>enemies</v>
      </c>
    </row>
    <row r="8457">
      <c r="A8457" s="1" t="s">
        <v>8457</v>
      </c>
      <c r="B8457" s="2" t="str">
        <f>IFERROR(__xludf.DUMMYFUNCTION("GOOGLETRANSLATE(A8457, ""de"", ""en"")"),"way back")</f>
        <v>way back</v>
      </c>
    </row>
    <row r="8458">
      <c r="A8458" s="1" t="s">
        <v>8458</v>
      </c>
      <c r="B8458" s="2" t="str">
        <f>IFERROR(__xludf.DUMMYFUNCTION("GOOGLETRANSLATE(A8458, ""de"", ""en"")"),"amelia")</f>
        <v>amelia</v>
      </c>
    </row>
    <row r="8459">
      <c r="A8459" s="1" t="s">
        <v>8459</v>
      </c>
      <c r="B8459" s="2" t="str">
        <f>IFERROR(__xludf.DUMMYFUNCTION("GOOGLETRANSLATE(A8459, ""de"", ""en"")"),"Abigail")</f>
        <v>Abigail</v>
      </c>
    </row>
    <row r="8460">
      <c r="A8460" s="1" t="s">
        <v>8460</v>
      </c>
      <c r="B8460" s="2" t="str">
        <f>IFERROR(__xludf.DUMMYFUNCTION("GOOGLETRANSLATE(A8460, ""de"", ""en"")"),"way home")</f>
        <v>way home</v>
      </c>
    </row>
    <row r="8461">
      <c r="A8461" s="1" t="s">
        <v>8461</v>
      </c>
      <c r="B8461" s="2" t="str">
        <f>IFERROR(__xludf.DUMMYFUNCTION("GOOGLETRANSLATE(A8461, ""de"", ""en"")"),"humanity")</f>
        <v>humanity</v>
      </c>
    </row>
    <row r="8462">
      <c r="A8462" s="1" t="s">
        <v>8462</v>
      </c>
      <c r="B8462" s="2" t="str">
        <f>IFERROR(__xludf.DUMMYFUNCTION("GOOGLETRANSLATE(A8462, ""de"", ""en"")"),"signora")</f>
        <v>signora</v>
      </c>
    </row>
    <row r="8463">
      <c r="A8463" s="1" t="s">
        <v>8463</v>
      </c>
      <c r="B8463" s="2" t="str">
        <f>IFERROR(__xludf.DUMMYFUNCTION("GOOGLETRANSLATE(A8463, ""de"", ""en"")"),"mysterious")</f>
        <v>mysterious</v>
      </c>
    </row>
    <row r="8464">
      <c r="A8464" s="1" t="s">
        <v>8464</v>
      </c>
      <c r="B8464" s="2" t="str">
        <f>IFERROR(__xludf.DUMMYFUNCTION("GOOGLETRANSLATE(A8464, ""de"", ""en"")"),"mcgee")</f>
        <v>mcgee</v>
      </c>
    </row>
    <row r="8465">
      <c r="A8465" s="1" t="s">
        <v>8465</v>
      </c>
      <c r="B8465" s="2" t="str">
        <f>IFERROR(__xludf.DUMMYFUNCTION("GOOGLETRANSLATE(A8465, ""de"", ""en"")"),"followed")</f>
        <v>followed</v>
      </c>
    </row>
    <row r="8466">
      <c r="A8466" s="1" t="s">
        <v>8466</v>
      </c>
      <c r="B8466" s="2" t="str">
        <f>IFERROR(__xludf.DUMMYFUNCTION("GOOGLETRANSLATE(A8466, ""de"", ""en"")"),"leave")</f>
        <v>leave</v>
      </c>
    </row>
    <row r="8467">
      <c r="A8467" s="1" t="s">
        <v>8467</v>
      </c>
      <c r="B8467" s="2" t="str">
        <f>IFERROR(__xludf.DUMMYFUNCTION("GOOGLETRANSLATE(A8467, ""de"", ""en"")"),"premiere")</f>
        <v>premiere</v>
      </c>
    </row>
    <row r="8468">
      <c r="A8468" s="1" t="s">
        <v>8468</v>
      </c>
      <c r="B8468" s="2" t="str">
        <f>IFERROR(__xludf.DUMMYFUNCTION("GOOGLETRANSLATE(A8468, ""de"", ""en"")"),"swing")</f>
        <v>swing</v>
      </c>
    </row>
    <row r="8469">
      <c r="A8469" s="1" t="s">
        <v>8469</v>
      </c>
      <c r="B8469" s="2" t="str">
        <f>IFERROR(__xludf.DUMMYFUNCTION("GOOGLETRANSLATE(A8469, ""de"", ""en"")"),"initiative")</f>
        <v>initiative</v>
      </c>
    </row>
    <row r="8470">
      <c r="A8470" s="1" t="s">
        <v>8470</v>
      </c>
      <c r="B8470" s="2" t="str">
        <f>IFERROR(__xludf.DUMMYFUNCTION("GOOGLETRANSLATE(A8470, ""de"", ""en"")"),"from")</f>
        <v>from</v>
      </c>
    </row>
    <row r="8471">
      <c r="A8471" s="1" t="s">
        <v>8471</v>
      </c>
      <c r="B8471" s="2" t="str">
        <f>IFERROR(__xludf.DUMMYFUNCTION("GOOGLETRANSLATE(A8471, ""de"", ""en"")"),"felicity")</f>
        <v>felicity</v>
      </c>
    </row>
    <row r="8472">
      <c r="A8472" s="1" t="s">
        <v>8472</v>
      </c>
      <c r="B8472" s="2" t="str">
        <f>IFERROR(__xludf.DUMMYFUNCTION("GOOGLETRANSLATE(A8472, ""de"", ""en"")"),"sexual")</f>
        <v>sexual</v>
      </c>
    </row>
    <row r="8473">
      <c r="A8473" s="1" t="s">
        <v>8473</v>
      </c>
      <c r="B8473" s="2" t="str">
        <f>IFERROR(__xludf.DUMMYFUNCTION("GOOGLETRANSLATE(A8473, ""de"", ""en"")"),"Managing Director")</f>
        <v>Managing Director</v>
      </c>
    </row>
    <row r="8474">
      <c r="A8474" s="1" t="s">
        <v>8474</v>
      </c>
      <c r="B8474" s="2" t="str">
        <f>IFERROR(__xludf.DUMMYFUNCTION("GOOGLETRANSLATE(A8474, ""de"", ""en"")"),"phones")</f>
        <v>phones</v>
      </c>
    </row>
    <row r="8475">
      <c r="A8475" s="1" t="s">
        <v>8475</v>
      </c>
      <c r="B8475" s="2" t="str">
        <f>IFERROR(__xludf.DUMMYFUNCTION("GOOGLETRANSLATE(A8475, ""de"", ""en"")"),"peterson")</f>
        <v>peterson</v>
      </c>
    </row>
    <row r="8476">
      <c r="A8476" s="1" t="s">
        <v>8476</v>
      </c>
      <c r="B8476" s="2" t="str">
        <f>IFERROR(__xludf.DUMMYFUNCTION("GOOGLETRANSLATE(A8476, ""de"", ""en"")"),"traffic ticket")</f>
        <v>traffic ticket</v>
      </c>
    </row>
    <row r="8477">
      <c r="A8477" s="1" t="s">
        <v>8477</v>
      </c>
      <c r="B8477" s="2" t="str">
        <f>IFERROR(__xludf.DUMMYFUNCTION("GOOGLETRANSLATE(A8477, ""de"", ""en"")"),"praised")</f>
        <v>praised</v>
      </c>
    </row>
    <row r="8478">
      <c r="A8478" s="1" t="s">
        <v>8478</v>
      </c>
      <c r="B8478" s="2" t="str">
        <f>IFERROR(__xludf.DUMMYFUNCTION("GOOGLETRANSLATE(A8478, ""de"", ""en"")"),"uniforms")</f>
        <v>uniforms</v>
      </c>
    </row>
    <row r="8479">
      <c r="A8479" s="1" t="s">
        <v>8479</v>
      </c>
      <c r="B8479" s="2" t="str">
        <f>IFERROR(__xludf.DUMMYFUNCTION("GOOGLETRANSLATE(A8479, ""de"", ""en"")"),"shittier")</f>
        <v>shittier</v>
      </c>
    </row>
    <row r="8480">
      <c r="A8480" s="1" t="s">
        <v>8480</v>
      </c>
      <c r="B8480" s="2" t="str">
        <f>IFERROR(__xludf.DUMMYFUNCTION("GOOGLETRANSLATE(A8480, ""de"", ""en"")"),"powder")</f>
        <v>powder</v>
      </c>
    </row>
    <row r="8481">
      <c r="A8481" s="1" t="s">
        <v>8481</v>
      </c>
      <c r="B8481" s="2" t="str">
        <f>IFERROR(__xludf.DUMMYFUNCTION("GOOGLETRANSLATE(A8481, ""de"", ""en"")"),"puppies")</f>
        <v>puppies</v>
      </c>
    </row>
    <row r="8482">
      <c r="A8482" s="1" t="s">
        <v>8482</v>
      </c>
      <c r="B8482" s="2" t="str">
        <f>IFERROR(__xludf.DUMMYFUNCTION("GOOGLETRANSLATE(A8482, ""de"", ""en"")"),"addressed")</f>
        <v>addressed</v>
      </c>
    </row>
    <row r="8483">
      <c r="A8483" s="1" t="s">
        <v>8483</v>
      </c>
      <c r="B8483" s="2" t="str">
        <f>IFERROR(__xludf.DUMMYFUNCTION("GOOGLETRANSLATE(A8483, ""de"", ""en"")"),"kung")</f>
        <v>kung</v>
      </c>
    </row>
    <row r="8484">
      <c r="A8484" s="1" t="s">
        <v>8484</v>
      </c>
      <c r="B8484" s="2" t="str">
        <f>IFERROR(__xludf.DUMMYFUNCTION("GOOGLETRANSLATE(A8484, ""de"", ""en"")"),"pleasant")</f>
        <v>pleasant</v>
      </c>
    </row>
    <row r="8485">
      <c r="A8485" s="1" t="s">
        <v>8485</v>
      </c>
      <c r="B8485" s="2" t="str">
        <f>IFERROR(__xludf.DUMMYFUNCTION("GOOGLETRANSLATE(A8485, ""de"", ""en"")"),"costumes")</f>
        <v>costumes</v>
      </c>
    </row>
    <row r="8486">
      <c r="A8486" s="1" t="s">
        <v>8486</v>
      </c>
      <c r="B8486" s="2" t="str">
        <f>IFERROR(__xludf.DUMMYFUNCTION("GOOGLETRANSLATE(A8486, ""de"", ""en"")"),"afternoon")</f>
        <v>afternoon</v>
      </c>
    </row>
    <row r="8487">
      <c r="A8487" s="1" t="s">
        <v>8487</v>
      </c>
      <c r="B8487" s="2" t="str">
        <f>IFERROR(__xludf.DUMMYFUNCTION("GOOGLETRANSLATE(A8487, ""de"", ""en"")"),"farewell")</f>
        <v>farewell</v>
      </c>
    </row>
    <row r="8488">
      <c r="A8488" s="1" t="s">
        <v>8488</v>
      </c>
      <c r="B8488" s="2" t="str">
        <f>IFERROR(__xludf.DUMMYFUNCTION("GOOGLETRANSLATE(A8488, ""de"", ""en"")"),"reporter")</f>
        <v>reporter</v>
      </c>
    </row>
    <row r="8489">
      <c r="A8489" s="1" t="s">
        <v>8489</v>
      </c>
      <c r="B8489" s="2" t="str">
        <f>IFERROR(__xludf.DUMMYFUNCTION("GOOGLETRANSLATE(A8489, ""de"", ""en"")"),"crystal")</f>
        <v>crystal</v>
      </c>
    </row>
    <row r="8490">
      <c r="A8490" s="1" t="s">
        <v>8490</v>
      </c>
      <c r="B8490" s="2" t="str">
        <f>IFERROR(__xludf.DUMMYFUNCTION("GOOGLETRANSLATE(A8490, ""de"", ""en"")"),"Nikita")</f>
        <v>Nikita</v>
      </c>
    </row>
    <row r="8491">
      <c r="A8491" s="1" t="s">
        <v>8491</v>
      </c>
      <c r="B8491" s="2" t="str">
        <f>IFERROR(__xludf.DUMMYFUNCTION("GOOGLETRANSLATE(A8491, ""de"", ""en"")"),"pretext")</f>
        <v>pretext</v>
      </c>
    </row>
    <row r="8492">
      <c r="A8492" s="1" t="s">
        <v>8492</v>
      </c>
      <c r="B8492" s="2" t="str">
        <f>IFERROR(__xludf.DUMMYFUNCTION("GOOGLETRANSLATE(A8492, ""de"", ""en"")"),"annoyed")</f>
        <v>annoyed</v>
      </c>
    </row>
    <row r="8493">
      <c r="A8493" s="1" t="s">
        <v>8493</v>
      </c>
      <c r="B8493" s="2" t="str">
        <f>IFERROR(__xludf.DUMMYFUNCTION("GOOGLETRANSLATE(A8493, ""de"", ""en"")"),"credit cards")</f>
        <v>credit cards</v>
      </c>
    </row>
    <row r="8494">
      <c r="A8494" s="1" t="s">
        <v>8494</v>
      </c>
      <c r="B8494" s="2" t="str">
        <f>IFERROR(__xludf.DUMMYFUNCTION("GOOGLETRANSLATE(A8494, ""de"", ""en"")"),"thirsty")</f>
        <v>thirsty</v>
      </c>
    </row>
    <row r="8495">
      <c r="A8495" s="1" t="s">
        <v>8495</v>
      </c>
      <c r="B8495" s="2" t="str">
        <f>IFERROR(__xludf.DUMMYFUNCTION("GOOGLETRANSLATE(A8495, ""de"", ""en"")"),"arrive")</f>
        <v>arrive</v>
      </c>
    </row>
    <row r="8496">
      <c r="A8496" s="1" t="s">
        <v>8496</v>
      </c>
      <c r="B8496" s="2" t="str">
        <f>IFERROR(__xludf.DUMMYFUNCTION("GOOGLETRANSLATE(A8496, ""de"", ""en"")"),"national")</f>
        <v>national</v>
      </c>
    </row>
    <row r="8497">
      <c r="A8497" s="1" t="s">
        <v>8497</v>
      </c>
      <c r="B8497" s="2" t="str">
        <f>IFERROR(__xludf.DUMMYFUNCTION("GOOGLETRANSLATE(A8497, ""de"", ""en"")"),"average")</f>
        <v>average</v>
      </c>
    </row>
    <row r="8498">
      <c r="A8498" s="1" t="s">
        <v>8498</v>
      </c>
      <c r="B8498" s="2" t="str">
        <f>IFERROR(__xludf.DUMMYFUNCTION("GOOGLETRANSLATE(A8498, ""de"", ""en"")"),"trauma")</f>
        <v>trauma</v>
      </c>
    </row>
    <row r="8499">
      <c r="A8499" s="1" t="s">
        <v>8499</v>
      </c>
      <c r="B8499" s="2" t="str">
        <f>IFERROR(__xludf.DUMMYFUNCTION("GOOGLETRANSLATE(A8499, ""de"", ""en"")"),"observation")</f>
        <v>observation</v>
      </c>
    </row>
    <row r="8500">
      <c r="A8500" s="1" t="s">
        <v>8500</v>
      </c>
      <c r="B8500" s="2" t="str">
        <f>IFERROR(__xludf.DUMMYFUNCTION("GOOGLETRANSLATE(A8500, ""de"", ""en"")"),"stops")</f>
        <v>stops</v>
      </c>
    </row>
    <row r="8501">
      <c r="A8501" s="1" t="s">
        <v>8501</v>
      </c>
      <c r="B8501" s="2" t="str">
        <f>IFERROR(__xludf.DUMMYFUNCTION("GOOGLETRANSLATE(A8501, ""de"", ""en"")"),"the like")</f>
        <v>the like</v>
      </c>
    </row>
    <row r="8502">
      <c r="A8502" s="1" t="s">
        <v>8502</v>
      </c>
      <c r="B8502" s="2" t="str">
        <f>IFERROR(__xludf.DUMMYFUNCTION("GOOGLETRANSLATE(A8502, ""de"", ""en"")"),"awakens")</f>
        <v>awakens</v>
      </c>
    </row>
    <row r="8503">
      <c r="A8503" s="1" t="s">
        <v>8503</v>
      </c>
      <c r="B8503" s="2" t="str">
        <f>IFERROR(__xludf.DUMMYFUNCTION("GOOGLETRANSLATE(A8503, ""de"", ""en"")"),"sleeps")</f>
        <v>sleeps</v>
      </c>
    </row>
    <row r="8504">
      <c r="A8504" s="1" t="s">
        <v>8504</v>
      </c>
      <c r="B8504" s="2" t="str">
        <f>IFERROR(__xludf.DUMMYFUNCTION("GOOGLETRANSLATE(A8504, ""de"", ""en"")"),"CV")</f>
        <v>CV</v>
      </c>
    </row>
    <row r="8505">
      <c r="A8505" s="1" t="s">
        <v>8505</v>
      </c>
      <c r="B8505" s="2" t="str">
        <f>IFERROR(__xludf.DUMMYFUNCTION("GOOGLETRANSLATE(A8505, ""de"", ""en"")"),"answering machine")</f>
        <v>answering machine</v>
      </c>
    </row>
    <row r="8506">
      <c r="A8506" s="1" t="s">
        <v>8506</v>
      </c>
      <c r="B8506" s="2" t="str">
        <f>IFERROR(__xludf.DUMMYFUNCTION("GOOGLETRANSLATE(A8506, ""de"", ""en"")"),"finer")</f>
        <v>finer</v>
      </c>
    </row>
    <row r="8507">
      <c r="A8507" s="1" t="s">
        <v>8507</v>
      </c>
      <c r="B8507" s="2" t="str">
        <f>IFERROR(__xludf.DUMMYFUNCTION("GOOGLETRANSLATE(A8507, ""de"", ""en"")"),"delay")</f>
        <v>delay</v>
      </c>
    </row>
    <row r="8508">
      <c r="A8508" s="1" t="s">
        <v>8508</v>
      </c>
      <c r="B8508" s="2" t="str">
        <f>IFERROR(__xludf.DUMMYFUNCTION("GOOGLETRANSLATE(A8508, ""de"", ""en"")"),"close")</f>
        <v>close</v>
      </c>
    </row>
    <row r="8509">
      <c r="A8509" s="1" t="s">
        <v>8509</v>
      </c>
      <c r="B8509" s="2" t="str">
        <f>IFERROR(__xludf.DUMMYFUNCTION("GOOGLETRANSLATE(A8509, ""de"", ""en"")"),"relative")</f>
        <v>relative</v>
      </c>
    </row>
    <row r="8510">
      <c r="A8510" s="1" t="s">
        <v>8510</v>
      </c>
      <c r="B8510" s="2" t="str">
        <f>IFERROR(__xludf.DUMMYFUNCTION("GOOGLETRANSLATE(A8510, ""de"", ""en"")"),"wes")</f>
        <v>wes</v>
      </c>
    </row>
    <row r="8511">
      <c r="A8511" s="1" t="s">
        <v>8511</v>
      </c>
      <c r="B8511" s="2" t="str">
        <f>IFERROR(__xludf.DUMMYFUNCTION("GOOGLETRANSLATE(A8511, ""de"", ""en"")"),"consideration")</f>
        <v>consideration</v>
      </c>
    </row>
    <row r="8512">
      <c r="A8512" s="1" t="s">
        <v>8512</v>
      </c>
      <c r="B8512" s="2" t="str">
        <f>IFERROR(__xludf.DUMMYFUNCTION("GOOGLETRANSLATE(A8512, ""de"", ""en"")"),"lamb")</f>
        <v>lamb</v>
      </c>
    </row>
    <row r="8513">
      <c r="A8513" s="1" t="s">
        <v>8513</v>
      </c>
      <c r="B8513" s="2" t="str">
        <f>IFERROR(__xludf.DUMMYFUNCTION("GOOGLETRANSLATE(A8513, ""de"", ""en"")"),"pier")</f>
        <v>pier</v>
      </c>
    </row>
    <row r="8514">
      <c r="A8514" s="1" t="s">
        <v>8514</v>
      </c>
      <c r="B8514" s="2" t="str">
        <f>IFERROR(__xludf.DUMMYFUNCTION("GOOGLETRANSLATE(A8514, ""de"", ""en"")"),"contradict")</f>
        <v>contradict</v>
      </c>
    </row>
    <row r="8515">
      <c r="A8515" s="1" t="s">
        <v>8515</v>
      </c>
      <c r="B8515" s="2" t="str">
        <f>IFERROR(__xludf.DUMMYFUNCTION("GOOGLETRANSLATE(A8515, ""de"", ""en"")"),"catch")</f>
        <v>catch</v>
      </c>
    </row>
    <row r="8516">
      <c r="A8516" s="1" t="s">
        <v>8516</v>
      </c>
      <c r="B8516" s="2" t="str">
        <f>IFERROR(__xludf.DUMMYFUNCTION("GOOGLETRANSLATE(A8516, ""de"", ""en"")"),"attic")</f>
        <v>attic</v>
      </c>
    </row>
    <row r="8517">
      <c r="A8517" s="1" t="s">
        <v>8517</v>
      </c>
      <c r="B8517" s="2" t="str">
        <f>IFERROR(__xludf.DUMMYFUNCTION("GOOGLETRANSLATE(A8517, ""de"", ""en"")"),"Bradley")</f>
        <v>Bradley</v>
      </c>
    </row>
    <row r="8518">
      <c r="A8518" s="1" t="s">
        <v>8518</v>
      </c>
      <c r="B8518" s="2" t="str">
        <f>IFERROR(__xludf.DUMMYFUNCTION("GOOGLETRANSLATE(A8518, ""de"", ""en"")"),"no way")</f>
        <v>no way</v>
      </c>
    </row>
    <row r="8519">
      <c r="A8519" s="1" t="s">
        <v>8519</v>
      </c>
      <c r="B8519" s="2" t="str">
        <f>IFERROR(__xludf.DUMMYFUNCTION("GOOGLETRANSLATE(A8519, ""de"", ""en"")"),"duck")</f>
        <v>duck</v>
      </c>
    </row>
    <row r="8520">
      <c r="A8520" s="1" t="s">
        <v>8520</v>
      </c>
      <c r="B8520" s="2" t="str">
        <f>IFERROR(__xludf.DUMMYFUNCTION("GOOGLETRANSLATE(A8520, ""de"", ""en"")"),"so far")</f>
        <v>so far</v>
      </c>
    </row>
    <row r="8521">
      <c r="A8521" s="1" t="s">
        <v>8521</v>
      </c>
      <c r="B8521" s="2" t="str">
        <f>IFERROR(__xludf.DUMMYFUNCTION("GOOGLETRANSLATE(A8521, ""de"", ""en"")"),"savior")</f>
        <v>savior</v>
      </c>
    </row>
    <row r="8522">
      <c r="A8522" s="1" t="s">
        <v>8522</v>
      </c>
      <c r="B8522" s="2" t="str">
        <f>IFERROR(__xludf.DUMMYFUNCTION("GOOGLETRANSLATE(A8522, ""de"", ""en"")"),"transport")</f>
        <v>transport</v>
      </c>
    </row>
    <row r="8523">
      <c r="A8523" s="1" t="s">
        <v>8523</v>
      </c>
      <c r="B8523" s="2" t="str">
        <f>IFERROR(__xludf.DUMMYFUNCTION("GOOGLETRANSLATE(A8523, ""de"", ""en"")"),"called")</f>
        <v>called</v>
      </c>
    </row>
    <row r="8524">
      <c r="A8524" s="1" t="s">
        <v>8524</v>
      </c>
      <c r="B8524" s="2" t="str">
        <f>IFERROR(__xludf.DUMMYFUNCTION("GOOGLETRANSLATE(A8524, ""de"", ""en"")"),"pay attention")</f>
        <v>pay attention</v>
      </c>
    </row>
    <row r="8525">
      <c r="A8525" s="1" t="s">
        <v>8525</v>
      </c>
      <c r="B8525" s="2" t="str">
        <f>IFERROR(__xludf.DUMMYFUNCTION("GOOGLETRANSLATE(A8525, ""de"", ""en"")"),"tan")</f>
        <v>tan</v>
      </c>
    </row>
    <row r="8526">
      <c r="A8526" s="1" t="s">
        <v>8526</v>
      </c>
      <c r="B8526" s="2" t="str">
        <f>IFERROR(__xludf.DUMMYFUNCTION("GOOGLETRANSLATE(A8526, ""de"", ""en"")"),"spontaneous")</f>
        <v>spontaneous</v>
      </c>
    </row>
    <row r="8527">
      <c r="A8527" s="1" t="s">
        <v>8527</v>
      </c>
      <c r="B8527" s="2" t="str">
        <f>IFERROR(__xludf.DUMMYFUNCTION("GOOGLETRANSLATE(A8527, ""de"", ""en"")"),"magnificent")</f>
        <v>magnificent</v>
      </c>
    </row>
    <row r="8528">
      <c r="A8528" s="1" t="s">
        <v>8528</v>
      </c>
      <c r="B8528" s="2" t="str">
        <f>IFERROR(__xludf.DUMMYFUNCTION("GOOGLETRANSLATE(A8528, ""de"", ""en"")"),"galactica")</f>
        <v>galactica</v>
      </c>
    </row>
    <row r="8529">
      <c r="A8529" s="1" t="s">
        <v>8529</v>
      </c>
      <c r="B8529" s="2" t="str">
        <f>IFERROR(__xludf.DUMMYFUNCTION("GOOGLETRANSLATE(A8529, ""de"", ""en"")"),"traveled")</f>
        <v>traveled</v>
      </c>
    </row>
    <row r="8530">
      <c r="A8530" s="1" t="s">
        <v>8530</v>
      </c>
      <c r="B8530" s="2" t="str">
        <f>IFERROR(__xludf.DUMMYFUNCTION("GOOGLETRANSLATE(A8530, ""de"", ""en"")"),"centuries")</f>
        <v>centuries</v>
      </c>
    </row>
    <row r="8531">
      <c r="A8531" s="1" t="s">
        <v>8531</v>
      </c>
      <c r="B8531" s="2" t="str">
        <f>IFERROR(__xludf.DUMMYFUNCTION("GOOGLETRANSLATE(A8531, ""de"", ""en"")"),"sweater")</f>
        <v>sweater</v>
      </c>
    </row>
    <row r="8532">
      <c r="A8532" s="1" t="s">
        <v>8532</v>
      </c>
      <c r="B8532" s="2" t="str">
        <f>IFERROR(__xludf.DUMMYFUNCTION("GOOGLETRANSLATE(A8532, ""de"", ""en"")"),"address")</f>
        <v>address</v>
      </c>
    </row>
    <row r="8533">
      <c r="A8533" s="1" t="s">
        <v>8533</v>
      </c>
      <c r="B8533" s="2" t="str">
        <f>IFERROR(__xludf.DUMMYFUNCTION("GOOGLETRANSLATE(A8533, ""de"", ""en"")"),"fresher")</f>
        <v>fresher</v>
      </c>
    </row>
    <row r="8534">
      <c r="A8534" s="1" t="s">
        <v>8534</v>
      </c>
      <c r="B8534" s="2" t="str">
        <f>IFERROR(__xludf.DUMMYFUNCTION("GOOGLETRANSLATE(A8534, ""de"", ""en"")"),"queens")</f>
        <v>queens</v>
      </c>
    </row>
    <row r="8535">
      <c r="A8535" s="1" t="s">
        <v>8535</v>
      </c>
      <c r="B8535" s="2" t="str">
        <f>IFERROR(__xludf.DUMMYFUNCTION("GOOGLETRANSLATE(A8535, ""de"", ""en"")"),"moon")</f>
        <v>moon</v>
      </c>
    </row>
    <row r="8536">
      <c r="A8536" s="1" t="s">
        <v>8536</v>
      </c>
      <c r="B8536" s="2" t="str">
        <f>IFERROR(__xludf.DUMMYFUNCTION("GOOGLETRANSLATE(A8536, ""de"", ""en"")"),"spy")</f>
        <v>spy</v>
      </c>
    </row>
    <row r="8537">
      <c r="A8537" s="1" t="s">
        <v>8537</v>
      </c>
      <c r="B8537" s="2" t="str">
        <f>IFERROR(__xludf.DUMMYFUNCTION("GOOGLETRANSLATE(A8537, ""de"", ""en"")"),"fastest")</f>
        <v>fastest</v>
      </c>
    </row>
    <row r="8538">
      <c r="A8538" s="1" t="s">
        <v>8538</v>
      </c>
      <c r="B8538" s="2" t="str">
        <f>IFERROR(__xludf.DUMMYFUNCTION("GOOGLETRANSLATE(A8538, ""de"", ""en"")"),"efforts")</f>
        <v>efforts</v>
      </c>
    </row>
    <row r="8539">
      <c r="A8539" s="1" t="s">
        <v>8539</v>
      </c>
      <c r="B8539" s="2" t="str">
        <f>IFERROR(__xludf.DUMMYFUNCTION("GOOGLETRANSLATE(A8539, ""de"", ""en"")"),"dirtier")</f>
        <v>dirtier</v>
      </c>
    </row>
    <row r="8540">
      <c r="A8540" s="1" t="s">
        <v>8540</v>
      </c>
      <c r="B8540" s="2" t="str">
        <f>IFERROR(__xludf.DUMMYFUNCTION("GOOGLETRANSLATE(A8540, ""de"", ""en"")"),"offices")</f>
        <v>offices</v>
      </c>
    </row>
    <row r="8541">
      <c r="A8541" s="1" t="s">
        <v>8541</v>
      </c>
      <c r="B8541" s="2" t="str">
        <f>IFERROR(__xludf.DUMMYFUNCTION("GOOGLETRANSLATE(A8541, ""de"", ""en"")"),"accidents")</f>
        <v>accidents</v>
      </c>
    </row>
    <row r="8542">
      <c r="A8542" s="1" t="s">
        <v>8542</v>
      </c>
      <c r="B8542" s="2" t="str">
        <f>IFERROR(__xludf.DUMMYFUNCTION("GOOGLETRANSLATE(A8542, ""de"", ""en"")"),"officer")</f>
        <v>officer</v>
      </c>
    </row>
    <row r="8543">
      <c r="A8543" s="1" t="s">
        <v>8543</v>
      </c>
      <c r="B8543" s="2" t="str">
        <f>IFERROR(__xludf.DUMMYFUNCTION("GOOGLETRANSLATE(A8543, ""de"", ""en"")"),"connected")</f>
        <v>connected</v>
      </c>
    </row>
    <row r="8544">
      <c r="A8544" s="1" t="s">
        <v>8544</v>
      </c>
      <c r="B8544" s="2" t="str">
        <f>IFERROR(__xludf.DUMMYFUNCTION("GOOGLETRANSLATE(A8544, ""de"", ""en"")"),"different")</f>
        <v>different</v>
      </c>
    </row>
    <row r="8545">
      <c r="A8545" s="1" t="s">
        <v>8545</v>
      </c>
      <c r="B8545" s="2" t="str">
        <f>IFERROR(__xludf.DUMMYFUNCTION("GOOGLETRANSLATE(A8545, ""de"", ""en"")"),"smarter")</f>
        <v>smarter</v>
      </c>
    </row>
    <row r="8546">
      <c r="A8546" s="1" t="s">
        <v>8546</v>
      </c>
      <c r="B8546" s="2" t="str">
        <f>IFERROR(__xludf.DUMMYFUNCTION("GOOGLETRANSLATE(A8546, ""de"", ""en"")"),"storm")</f>
        <v>storm</v>
      </c>
    </row>
    <row r="8547">
      <c r="A8547" s="1" t="s">
        <v>8547</v>
      </c>
      <c r="B8547" s="2" t="str">
        <f>IFERROR(__xludf.DUMMYFUNCTION("GOOGLETRANSLATE(A8547, ""de"", ""en"")"),"Jedi")</f>
        <v>Jedi</v>
      </c>
    </row>
    <row r="8548">
      <c r="A8548" s="1" t="s">
        <v>8548</v>
      </c>
      <c r="B8548" s="2" t="str">
        <f>IFERROR(__xludf.DUMMYFUNCTION("GOOGLETRANSLATE(A8548, ""de"", ""en"")"),"understand")</f>
        <v>understand</v>
      </c>
    </row>
    <row r="8549">
      <c r="A8549" s="1" t="s">
        <v>8549</v>
      </c>
      <c r="B8549" s="2" t="str">
        <f>IFERROR(__xludf.DUMMYFUNCTION("GOOGLETRANSLATE(A8549, ""de"", ""en"")"),"heels")</f>
        <v>heels</v>
      </c>
    </row>
    <row r="8550">
      <c r="A8550" s="1" t="s">
        <v>8550</v>
      </c>
      <c r="B8550" s="2" t="str">
        <f>IFERROR(__xludf.DUMMYFUNCTION("GOOGLETRANSLATE(A8550, ""de"", ""en"")"),"preparations")</f>
        <v>preparations</v>
      </c>
    </row>
    <row r="8551">
      <c r="A8551" s="1" t="s">
        <v>8551</v>
      </c>
      <c r="B8551" s="2" t="str">
        <f>IFERROR(__xludf.DUMMYFUNCTION("GOOGLETRANSLATE(A8551, ""de"", ""en"")"),"continue")</f>
        <v>continue</v>
      </c>
    </row>
    <row r="8552">
      <c r="A8552" s="1" t="s">
        <v>8552</v>
      </c>
      <c r="B8552" s="2" t="str">
        <f>IFERROR(__xludf.DUMMYFUNCTION("GOOGLETRANSLATE(A8552, ""de"", ""en"")"),"producer")</f>
        <v>producer</v>
      </c>
    </row>
    <row r="8553">
      <c r="A8553" s="1" t="s">
        <v>8553</v>
      </c>
      <c r="B8553" s="2" t="str">
        <f>IFERROR(__xludf.DUMMYFUNCTION("GOOGLETRANSLATE(A8553, ""de"", ""en"")"),"incident")</f>
        <v>incident</v>
      </c>
    </row>
    <row r="8554">
      <c r="A8554" s="1" t="s">
        <v>8554</v>
      </c>
      <c r="B8554" s="2" t="str">
        <f>IFERROR(__xludf.DUMMYFUNCTION("GOOGLETRANSLATE(A8554, ""de"", ""en"")"),"withdrawn")</f>
        <v>withdrawn</v>
      </c>
    </row>
    <row r="8555">
      <c r="A8555" s="1" t="s">
        <v>8555</v>
      </c>
      <c r="B8555" s="2" t="str">
        <f>IFERROR(__xludf.DUMMYFUNCTION("GOOGLETRANSLATE(A8555, ""de"", ""en"")"),"Ouch")</f>
        <v>Ouch</v>
      </c>
    </row>
    <row r="8556">
      <c r="A8556" s="1" t="s">
        <v>8556</v>
      </c>
      <c r="B8556" s="2" t="str">
        <f>IFERROR(__xludf.DUMMYFUNCTION("GOOGLETRANSLATE(A8556, ""de"", ""en"")"),"ivy")</f>
        <v>ivy</v>
      </c>
    </row>
    <row r="8557">
      <c r="A8557" s="1" t="s">
        <v>8557</v>
      </c>
      <c r="B8557" s="2" t="str">
        <f>IFERROR(__xludf.DUMMYFUNCTION("GOOGLETRANSLATE(A8557, ""de"", ""en"")"),"huger")</f>
        <v>huger</v>
      </c>
    </row>
    <row r="8558">
      <c r="A8558" s="1" t="s">
        <v>8558</v>
      </c>
      <c r="B8558" s="2" t="str">
        <f>IFERROR(__xludf.DUMMYFUNCTION("GOOGLETRANSLATE(A8558, ""de"", ""en"")"),"curtains")</f>
        <v>curtains</v>
      </c>
    </row>
    <row r="8559">
      <c r="A8559" s="1" t="s">
        <v>8559</v>
      </c>
      <c r="B8559" s="2" t="str">
        <f>IFERROR(__xludf.DUMMYFUNCTION("GOOGLETRANSLATE(A8559, ""de"", ""en"")"),"care")</f>
        <v>care</v>
      </c>
    </row>
    <row r="8560">
      <c r="A8560" s="1" t="s">
        <v>8560</v>
      </c>
      <c r="B8560" s="2" t="str">
        <f>IFERROR(__xludf.DUMMYFUNCTION("GOOGLETRANSLATE(A8560, ""de"", ""en"")"),"let out")</f>
        <v>let out</v>
      </c>
    </row>
    <row r="8561">
      <c r="A8561" s="1" t="s">
        <v>8561</v>
      </c>
      <c r="B8561" s="2" t="str">
        <f>IFERROR(__xludf.DUMMYFUNCTION("GOOGLETRANSLATE(A8561, ""de"", ""en"")"),"Kermit")</f>
        <v>Kermit</v>
      </c>
    </row>
    <row r="8562">
      <c r="A8562" s="1" t="s">
        <v>8562</v>
      </c>
      <c r="B8562" s="2" t="str">
        <f>IFERROR(__xludf.DUMMYFUNCTION("GOOGLETRANSLATE(A8562, ""de"", ""en"")"),"golden")</f>
        <v>golden</v>
      </c>
    </row>
    <row r="8563">
      <c r="A8563" s="1" t="s">
        <v>8563</v>
      </c>
      <c r="B8563" s="2" t="str">
        <f>IFERROR(__xludf.DUMMYFUNCTION("GOOGLETRANSLATE(A8563, ""de"", ""en"")"),"investigate")</f>
        <v>investigate</v>
      </c>
    </row>
    <row r="8564">
      <c r="A8564" s="1" t="s">
        <v>8564</v>
      </c>
      <c r="B8564" s="2" t="str">
        <f>IFERROR(__xludf.DUMMYFUNCTION("GOOGLETRANSLATE(A8564, ""de"", ""en"")"),"experience")</f>
        <v>experience</v>
      </c>
    </row>
    <row r="8565">
      <c r="A8565" s="1" t="s">
        <v>8565</v>
      </c>
      <c r="B8565" s="2" t="str">
        <f>IFERROR(__xludf.DUMMYFUNCTION("GOOGLETRANSLATE(A8565, ""de"", ""en"")"),"chancellor")</f>
        <v>chancellor</v>
      </c>
    </row>
    <row r="8566">
      <c r="A8566" s="1" t="s">
        <v>8566</v>
      </c>
      <c r="B8566" s="2" t="str">
        <f>IFERROR(__xludf.DUMMYFUNCTION("GOOGLETRANSLATE(A8566, ""de"", ""en"")"),"Jin")</f>
        <v>Jin</v>
      </c>
    </row>
    <row r="8567">
      <c r="A8567" s="1" t="s">
        <v>8567</v>
      </c>
      <c r="B8567" s="2" t="str">
        <f>IFERROR(__xludf.DUMMYFUNCTION("GOOGLETRANSLATE(A8567, ""de"", ""en"")"),"bumps")</f>
        <v>bumps</v>
      </c>
    </row>
    <row r="8568">
      <c r="A8568" s="1" t="s">
        <v>8568</v>
      </c>
      <c r="B8568" s="2" t="str">
        <f>IFERROR(__xludf.DUMMYFUNCTION("GOOGLETRANSLATE(A8568, ""de"", ""en"")"),"austin")</f>
        <v>austin</v>
      </c>
    </row>
    <row r="8569">
      <c r="A8569" s="1" t="s">
        <v>8569</v>
      </c>
      <c r="B8569" s="2" t="str">
        <f>IFERROR(__xludf.DUMMYFUNCTION("GOOGLETRANSLATE(A8569, ""de"", ""en"")"),"cream")</f>
        <v>cream</v>
      </c>
    </row>
    <row r="8570">
      <c r="A8570" s="1" t="s">
        <v>8570</v>
      </c>
      <c r="B8570" s="2" t="str">
        <f>IFERROR(__xludf.DUMMYFUNCTION("GOOGLETRANSLATE(A8570, ""de"", ""en"")"),"bind")</f>
        <v>bind</v>
      </c>
    </row>
    <row r="8571">
      <c r="A8571" s="1" t="s">
        <v>8571</v>
      </c>
      <c r="B8571" s="2" t="str">
        <f>IFERROR(__xludf.DUMMYFUNCTION("GOOGLETRANSLATE(A8571, ""de"", ""en"")"),"onions")</f>
        <v>onions</v>
      </c>
    </row>
    <row r="8572">
      <c r="A8572" s="1" t="s">
        <v>8572</v>
      </c>
      <c r="B8572" s="2" t="str">
        <f>IFERROR(__xludf.DUMMYFUNCTION("GOOGLETRANSLATE(A8572, ""de"", ""en"")"),"sleds")</f>
        <v>sleds</v>
      </c>
    </row>
    <row r="8573">
      <c r="A8573" s="1" t="s">
        <v>8573</v>
      </c>
      <c r="B8573" s="2" t="str">
        <f>IFERROR(__xludf.DUMMYFUNCTION("GOOGLETRANSLATE(A8573, ""de"", ""en"")"),"centuries")</f>
        <v>centuries</v>
      </c>
    </row>
    <row r="8574">
      <c r="A8574" s="1" t="s">
        <v>8574</v>
      </c>
      <c r="B8574" s="2" t="str">
        <f>IFERROR(__xludf.DUMMYFUNCTION("GOOGLETRANSLATE(A8574, ""de"", ""en"")"),"talents")</f>
        <v>talents</v>
      </c>
    </row>
    <row r="8575">
      <c r="A8575" s="1" t="s">
        <v>8575</v>
      </c>
      <c r="B8575" s="2" t="str">
        <f>IFERROR(__xludf.DUMMYFUNCTION("GOOGLETRANSLATE(A8575, ""de"", ""en"")"),"lets")</f>
        <v>lets</v>
      </c>
    </row>
    <row r="8576">
      <c r="A8576" s="1" t="s">
        <v>8576</v>
      </c>
      <c r="B8576" s="2" t="str">
        <f>IFERROR(__xludf.DUMMYFUNCTION("GOOGLETRANSLATE(A8576, ""de"", ""en"")"),"run")</f>
        <v>run</v>
      </c>
    </row>
    <row r="8577">
      <c r="A8577" s="1" t="s">
        <v>8577</v>
      </c>
      <c r="B8577" s="2" t="str">
        <f>IFERROR(__xludf.DUMMYFUNCTION("GOOGLETRANSLATE(A8577, ""de"", ""en"")"),"Okay")</f>
        <v>Okay</v>
      </c>
    </row>
    <row r="8578">
      <c r="A8578" s="1" t="s">
        <v>8578</v>
      </c>
      <c r="B8578" s="2" t="str">
        <f>IFERROR(__xludf.DUMMYFUNCTION("GOOGLETRANSLATE(A8578, ""de"", ""en"")"),"mercy")</f>
        <v>mercy</v>
      </c>
    </row>
    <row r="8579">
      <c r="A8579" s="1" t="s">
        <v>8579</v>
      </c>
      <c r="B8579" s="2" t="str">
        <f>IFERROR(__xludf.DUMMYFUNCTION("GOOGLETRANSLATE(A8579, ""de"", ""en"")"),"announce")</f>
        <v>announce</v>
      </c>
    </row>
    <row r="8580">
      <c r="A8580" s="1" t="s">
        <v>8580</v>
      </c>
      <c r="B8580" s="2" t="str">
        <f>IFERROR(__xludf.DUMMYFUNCTION("GOOGLETRANSLATE(A8580, ""de"", ""en"")"),"the day before yesterday")</f>
        <v>the day before yesterday</v>
      </c>
    </row>
    <row r="8581">
      <c r="A8581" s="1" t="s">
        <v>8581</v>
      </c>
      <c r="B8581" s="2" t="str">
        <f>IFERROR(__xludf.DUMMYFUNCTION("GOOGLETRANSLATE(A8581, ""de"", ""en"")"),"operate")</f>
        <v>operate</v>
      </c>
    </row>
    <row r="8582">
      <c r="A8582" s="1" t="s">
        <v>8582</v>
      </c>
      <c r="B8582" s="2" t="str">
        <f>IFERROR(__xludf.DUMMYFUNCTION("GOOGLETRANSLATE(A8582, ""de"", ""en"")"),"starsky")</f>
        <v>starsky</v>
      </c>
    </row>
    <row r="8583">
      <c r="A8583" s="1" t="s">
        <v>8583</v>
      </c>
      <c r="B8583" s="2" t="str">
        <f>IFERROR(__xludf.DUMMYFUNCTION("GOOGLETRANSLATE(A8583, ""de"", ""en"")"),"least")</f>
        <v>least</v>
      </c>
    </row>
    <row r="8584">
      <c r="A8584" s="1" t="s">
        <v>8584</v>
      </c>
      <c r="B8584" s="2" t="str">
        <f>IFERROR(__xludf.DUMMYFUNCTION("GOOGLETRANSLATE(A8584, ""de"", ""en"")"),"mimi")</f>
        <v>mimi</v>
      </c>
    </row>
    <row r="8585">
      <c r="A8585" s="1" t="s">
        <v>8585</v>
      </c>
      <c r="B8585" s="2" t="str">
        <f>IFERROR(__xludf.DUMMYFUNCTION("GOOGLETRANSLATE(A8585, ""de"", ""en"")"),"andrews")</f>
        <v>andrews</v>
      </c>
    </row>
    <row r="8586">
      <c r="A8586" s="1" t="s">
        <v>8586</v>
      </c>
      <c r="B8586" s="2" t="str">
        <f>IFERROR(__xludf.DUMMYFUNCTION("GOOGLETRANSLATE(A8586, ""de"", ""en"")"),"sing")</f>
        <v>sing</v>
      </c>
    </row>
    <row r="8587">
      <c r="A8587" s="1" t="s">
        <v>8587</v>
      </c>
      <c r="B8587" s="2" t="str">
        <f>IFERROR(__xludf.DUMMYFUNCTION("GOOGLETRANSLATE(A8587, ""de"", ""en"")"),"stakes")</f>
        <v>stakes</v>
      </c>
    </row>
    <row r="8588">
      <c r="A8588" s="1" t="s">
        <v>8588</v>
      </c>
      <c r="B8588" s="2" t="str">
        <f>IFERROR(__xludf.DUMMYFUNCTION("GOOGLETRANSLATE(A8588, ""de"", ""en"")"),"necessitate")</f>
        <v>necessitate</v>
      </c>
    </row>
    <row r="8589">
      <c r="A8589" s="1" t="s">
        <v>8589</v>
      </c>
      <c r="B8589" s="2" t="str">
        <f>IFERROR(__xludf.DUMMYFUNCTION("GOOGLETRANSLATE(A8589, ""de"", ""en"")"),"egon")</f>
        <v>egon</v>
      </c>
    </row>
    <row r="8590">
      <c r="A8590" s="1" t="s">
        <v>8590</v>
      </c>
      <c r="B8590" s="2" t="str">
        <f>IFERROR(__xludf.DUMMYFUNCTION("GOOGLETRANSLATE(A8590, ""de"", ""en"")"),"remarkable")</f>
        <v>remarkable</v>
      </c>
    </row>
    <row r="8591">
      <c r="A8591" s="1" t="s">
        <v>8591</v>
      </c>
      <c r="B8591" s="2" t="str">
        <f>IFERROR(__xludf.DUMMYFUNCTION("GOOGLETRANSLATE(A8591, ""de"", ""en"")"),"warm")</f>
        <v>warm</v>
      </c>
    </row>
    <row r="8592">
      <c r="A8592" s="1" t="s">
        <v>8592</v>
      </c>
      <c r="B8592" s="2" t="str">
        <f>IFERROR(__xludf.DUMMYFUNCTION("GOOGLETRANSLATE(A8592, ""de"", ""en"")"),"dinosaur")</f>
        <v>dinosaur</v>
      </c>
    </row>
    <row r="8593">
      <c r="A8593" s="1" t="s">
        <v>8593</v>
      </c>
      <c r="B8593" s="2" t="str">
        <f>IFERROR(__xludf.DUMMYFUNCTION("GOOGLETRANSLATE(A8593, ""de"", ""en"")"),"probability")</f>
        <v>probability</v>
      </c>
    </row>
    <row r="8594">
      <c r="A8594" s="1" t="s">
        <v>8594</v>
      </c>
      <c r="B8594" s="2" t="str">
        <f>IFERROR(__xludf.DUMMYFUNCTION("GOOGLETRANSLATE(A8594, ""de"", ""en"")"),"wherein")</f>
        <v>wherein</v>
      </c>
    </row>
    <row r="8595">
      <c r="A8595" s="1" t="s">
        <v>8595</v>
      </c>
      <c r="B8595" s="2" t="str">
        <f>IFERROR(__xludf.DUMMYFUNCTION("GOOGLETRANSLATE(A8595, ""de"", ""en"")"),"rabbi")</f>
        <v>rabbi</v>
      </c>
    </row>
    <row r="8596">
      <c r="A8596" s="1" t="s">
        <v>8596</v>
      </c>
      <c r="B8596" s="2" t="str">
        <f>IFERROR(__xludf.DUMMYFUNCTION("GOOGLETRANSLATE(A8596, ""de"", ""en"")"),"demand")</f>
        <v>demand</v>
      </c>
    </row>
    <row r="8597">
      <c r="A8597" s="1" t="s">
        <v>8597</v>
      </c>
      <c r="B8597" s="2" t="str">
        <f>IFERROR(__xludf.DUMMYFUNCTION("GOOGLETRANSLATE(A8597, ""de"", ""en"")"),"uncomfortable")</f>
        <v>uncomfortable</v>
      </c>
    </row>
    <row r="8598">
      <c r="A8598" s="1" t="s">
        <v>8598</v>
      </c>
      <c r="B8598" s="2" t="str">
        <f>IFERROR(__xludf.DUMMYFUNCTION("GOOGLETRANSLATE(A8598, ""de"", ""en"")"),"pony")</f>
        <v>pony</v>
      </c>
    </row>
    <row r="8599">
      <c r="A8599" s="1" t="s">
        <v>8599</v>
      </c>
      <c r="B8599" s="2" t="str">
        <f>IFERROR(__xludf.DUMMYFUNCTION("GOOGLETRANSLATE(A8599, ""de"", ""en"")"),"matter")</f>
        <v>matter</v>
      </c>
    </row>
    <row r="8600">
      <c r="A8600" s="1" t="s">
        <v>8600</v>
      </c>
      <c r="B8600" s="2" t="str">
        <f>IFERROR(__xludf.DUMMYFUNCTION("GOOGLETRANSLATE(A8600, ""de"", ""en"")"),"piss off")</f>
        <v>piss off</v>
      </c>
    </row>
    <row r="8601">
      <c r="A8601" s="1" t="s">
        <v>8601</v>
      </c>
      <c r="B8601" s="2" t="str">
        <f>IFERROR(__xludf.DUMMYFUNCTION("GOOGLETRANSLATE(A8601, ""de"", ""en"")"),"lights up")</f>
        <v>lights up</v>
      </c>
    </row>
    <row r="8602">
      <c r="A8602" s="1" t="s">
        <v>8602</v>
      </c>
      <c r="B8602" s="2" t="str">
        <f>IFERROR(__xludf.DUMMYFUNCTION("GOOGLETRANSLATE(A8602, ""de"", ""en"")"),"hurts")</f>
        <v>hurts</v>
      </c>
    </row>
    <row r="8603">
      <c r="A8603" s="1" t="s">
        <v>8603</v>
      </c>
      <c r="B8603" s="2" t="str">
        <f>IFERROR(__xludf.DUMMYFUNCTION("GOOGLETRANSLATE(A8603, ""de"", ""en"")"),"underworld")</f>
        <v>underworld</v>
      </c>
    </row>
    <row r="8604">
      <c r="A8604" s="1" t="s">
        <v>8604</v>
      </c>
      <c r="B8604" s="2" t="str">
        <f>IFERROR(__xludf.DUMMYFUNCTION("GOOGLETRANSLATE(A8604, ""de"", ""en"")"),"mistaken")</f>
        <v>mistaken</v>
      </c>
    </row>
    <row r="8605">
      <c r="A8605" s="1" t="s">
        <v>8605</v>
      </c>
      <c r="B8605" s="2" t="str">
        <f>IFERROR(__xludf.DUMMYFUNCTION("GOOGLETRANSLATE(A8605, ""de"", ""en"")"),"exams")</f>
        <v>exams</v>
      </c>
    </row>
    <row r="8606">
      <c r="A8606" s="1" t="s">
        <v>8606</v>
      </c>
      <c r="B8606" s="2" t="str">
        <f>IFERROR(__xludf.DUMMYFUNCTION("GOOGLETRANSLATE(A8606, ""de"", ""en"")"),"distributed")</f>
        <v>distributed</v>
      </c>
    </row>
    <row r="8607">
      <c r="A8607" s="1" t="s">
        <v>8607</v>
      </c>
      <c r="B8607" s="2" t="str">
        <f>IFERROR(__xludf.DUMMYFUNCTION("GOOGLETRANSLATE(A8607, ""de"", ""en"")"),"front door")</f>
        <v>front door</v>
      </c>
    </row>
    <row r="8608">
      <c r="A8608" s="1" t="s">
        <v>8608</v>
      </c>
      <c r="B8608" s="2" t="str">
        <f>IFERROR(__xludf.DUMMYFUNCTION("GOOGLETRANSLATE(A8608, ""de"", ""en"")"),"news")</f>
        <v>news</v>
      </c>
    </row>
    <row r="8609">
      <c r="A8609" s="1" t="s">
        <v>8609</v>
      </c>
      <c r="B8609" s="2" t="str">
        <f>IFERROR(__xludf.DUMMYFUNCTION("GOOGLETRANSLATE(A8609, ""de"", ""en"")"),"enough")</f>
        <v>enough</v>
      </c>
    </row>
    <row r="8610">
      <c r="A8610" s="1" t="s">
        <v>8610</v>
      </c>
      <c r="B8610" s="2" t="str">
        <f>IFERROR(__xludf.DUMMYFUNCTION("GOOGLETRANSLATE(A8610, ""de"", ""en"")"),"refuses")</f>
        <v>refuses</v>
      </c>
    </row>
    <row r="8611">
      <c r="A8611" s="1" t="s">
        <v>8611</v>
      </c>
      <c r="B8611" s="2" t="str">
        <f>IFERROR(__xludf.DUMMYFUNCTION("GOOGLETRANSLATE(A8611, ""de"", ""en"")"),"semester")</f>
        <v>semester</v>
      </c>
    </row>
    <row r="8612">
      <c r="A8612" s="1" t="s">
        <v>8612</v>
      </c>
      <c r="B8612" s="2" t="str">
        <f>IFERROR(__xludf.DUMMYFUNCTION("GOOGLETRANSLATE(A8612, ""de"", ""en"")"),"undertaken")</f>
        <v>undertaken</v>
      </c>
    </row>
    <row r="8613">
      <c r="A8613" s="1" t="s">
        <v>8613</v>
      </c>
      <c r="B8613" s="2" t="str">
        <f>IFERROR(__xludf.DUMMYFUNCTION("GOOGLETRANSLATE(A8613, ""de"", ""en"")"),"saved")</f>
        <v>saved</v>
      </c>
    </row>
    <row r="8614">
      <c r="A8614" s="1" t="s">
        <v>8614</v>
      </c>
      <c r="B8614" s="2" t="str">
        <f>IFERROR(__xludf.DUMMYFUNCTION("GOOGLETRANSLATE(A8614, ""de"", ""en"")"),"inherited")</f>
        <v>inherited</v>
      </c>
    </row>
    <row r="8615">
      <c r="A8615" s="1" t="s">
        <v>8615</v>
      </c>
      <c r="B8615" s="2" t="str">
        <f>IFERROR(__xludf.DUMMYFUNCTION("GOOGLETRANSLATE(A8615, ""de"", ""en"")"),"starbucks")</f>
        <v>starbucks</v>
      </c>
    </row>
    <row r="8616">
      <c r="A8616" s="1" t="s">
        <v>8616</v>
      </c>
      <c r="B8616" s="2" t="str">
        <f>IFERROR(__xludf.DUMMYFUNCTION("GOOGLETRANSLATE(A8616, ""de"", ""en"")"),"shine")</f>
        <v>shine</v>
      </c>
    </row>
    <row r="8617">
      <c r="A8617" s="1" t="s">
        <v>8617</v>
      </c>
      <c r="B8617" s="2" t="str">
        <f>IFERROR(__xludf.DUMMYFUNCTION("GOOGLETRANSLATE(A8617, ""de"", ""en"")"),"ferry")</f>
        <v>ferry</v>
      </c>
    </row>
    <row r="8618">
      <c r="A8618" s="1" t="s">
        <v>8618</v>
      </c>
      <c r="B8618" s="2" t="str">
        <f>IFERROR(__xludf.DUMMYFUNCTION("GOOGLETRANSLATE(A8618, ""de"", ""en"")"),"stunned")</f>
        <v>stunned</v>
      </c>
    </row>
    <row r="8619">
      <c r="A8619" s="1" t="s">
        <v>8619</v>
      </c>
      <c r="B8619" s="2" t="str">
        <f>IFERROR(__xludf.DUMMYFUNCTION("GOOGLETRANSLATE(A8619, ""de"", ""en"")"),"arrogant")</f>
        <v>arrogant</v>
      </c>
    </row>
    <row r="8620">
      <c r="A8620" s="1" t="s">
        <v>8620</v>
      </c>
      <c r="B8620" s="2" t="str">
        <f>IFERROR(__xludf.DUMMYFUNCTION("GOOGLETRANSLATE(A8620, ""de"", ""en"")"),"delivered")</f>
        <v>delivered</v>
      </c>
    </row>
    <row r="8621">
      <c r="A8621" s="1" t="s">
        <v>8621</v>
      </c>
      <c r="B8621" s="2" t="str">
        <f>IFERROR(__xludf.DUMMYFUNCTION("GOOGLETRANSLATE(A8621, ""de"", ""en"")"),"guests")</f>
        <v>guests</v>
      </c>
    </row>
    <row r="8622">
      <c r="A8622" s="1" t="s">
        <v>8622</v>
      </c>
      <c r="B8622" s="2" t="str">
        <f>IFERROR(__xludf.DUMMYFUNCTION("GOOGLETRANSLATE(A8622, ""de"", ""en"")"),"Holland")</f>
        <v>Holland</v>
      </c>
    </row>
    <row r="8623">
      <c r="A8623" s="1" t="s">
        <v>8623</v>
      </c>
      <c r="B8623" s="2" t="str">
        <f>IFERROR(__xludf.DUMMYFUNCTION("GOOGLETRANSLATE(A8623, ""de"", ""en"")"),"to watch")</f>
        <v>to watch</v>
      </c>
    </row>
    <row r="8624">
      <c r="A8624" s="1" t="s">
        <v>8624</v>
      </c>
      <c r="B8624" s="2" t="str">
        <f>IFERROR(__xludf.DUMMYFUNCTION("GOOGLETRANSLATE(A8624, ""de"", ""en"")"),"photographer")</f>
        <v>photographer</v>
      </c>
    </row>
    <row r="8625">
      <c r="A8625" s="1" t="s">
        <v>8625</v>
      </c>
      <c r="B8625" s="2" t="str">
        <f>IFERROR(__xludf.DUMMYFUNCTION("GOOGLETRANSLATE(A8625, ""de"", ""en"")"),"owner")</f>
        <v>owner</v>
      </c>
    </row>
    <row r="8626">
      <c r="A8626" s="1" t="s">
        <v>8626</v>
      </c>
      <c r="B8626" s="2" t="str">
        <f>IFERROR(__xludf.DUMMYFUNCTION("GOOGLETRANSLATE(A8626, ""de"", ""en"")"),"get it done")</f>
        <v>get it done</v>
      </c>
    </row>
    <row r="8627">
      <c r="A8627" s="1" t="s">
        <v>8627</v>
      </c>
      <c r="B8627" s="2" t="str">
        <f>IFERROR(__xludf.DUMMYFUNCTION("GOOGLETRANSLATE(A8627, ""de"", ""en"")"),"speed")</f>
        <v>speed</v>
      </c>
    </row>
    <row r="8628">
      <c r="A8628" s="1" t="s">
        <v>8628</v>
      </c>
      <c r="B8628" s="2" t="str">
        <f>IFERROR(__xludf.DUMMYFUNCTION("GOOGLETRANSLATE(A8628, ""de"", ""en"")"),"realistic")</f>
        <v>realistic</v>
      </c>
    </row>
    <row r="8629">
      <c r="A8629" s="1" t="s">
        <v>8629</v>
      </c>
      <c r="B8629" s="2" t="str">
        <f>IFERROR(__xludf.DUMMYFUNCTION("GOOGLETRANSLATE(A8629, ""de"", ""en"")"),"vaughn")</f>
        <v>vaughn</v>
      </c>
    </row>
    <row r="8630">
      <c r="A8630" s="1" t="s">
        <v>8630</v>
      </c>
      <c r="B8630" s="2" t="str">
        <f>IFERROR(__xludf.DUMMYFUNCTION("GOOGLETRANSLATE(A8630, ""de"", ""en"")"),"kindergarten")</f>
        <v>kindergarten</v>
      </c>
    </row>
    <row r="8631">
      <c r="A8631" s="1" t="s">
        <v>8631</v>
      </c>
      <c r="B8631" s="2" t="str">
        <f>IFERROR(__xludf.DUMMYFUNCTION("GOOGLETRANSLATE(A8631, ""de"", ""en"")"),"huge")</f>
        <v>huge</v>
      </c>
    </row>
    <row r="8632">
      <c r="A8632" s="1" t="s">
        <v>8632</v>
      </c>
      <c r="B8632" s="2" t="str">
        <f>IFERROR(__xludf.DUMMYFUNCTION("GOOGLETRANSLATE(A8632, ""de"", ""en"")"),"pub")</f>
        <v>pub</v>
      </c>
    </row>
    <row r="8633">
      <c r="A8633" s="1" t="s">
        <v>8633</v>
      </c>
      <c r="B8633" s="2" t="str">
        <f>IFERROR(__xludf.DUMMYFUNCTION("GOOGLETRANSLATE(A8633, ""de"", ""en"")"),"depressed")</f>
        <v>depressed</v>
      </c>
    </row>
    <row r="8634">
      <c r="A8634" s="1" t="s">
        <v>8634</v>
      </c>
      <c r="B8634" s="2" t="str">
        <f>IFERROR(__xludf.DUMMYFUNCTION("GOOGLETRANSLATE(A8634, ""de"", ""en"")"),"argues")</f>
        <v>argues</v>
      </c>
    </row>
    <row r="8635">
      <c r="A8635" s="1" t="s">
        <v>8635</v>
      </c>
      <c r="B8635" s="2" t="str">
        <f>IFERROR(__xludf.DUMMYFUNCTION("GOOGLETRANSLATE(A8635, ""de"", ""en"")"),"covers")</f>
        <v>covers</v>
      </c>
    </row>
    <row r="8636">
      <c r="A8636" s="1" t="s">
        <v>8636</v>
      </c>
      <c r="B8636" s="2" t="str">
        <f>IFERROR(__xludf.DUMMYFUNCTION("GOOGLETRANSLATE(A8636, ""de"", ""en"")"),"cassette")</f>
        <v>cassette</v>
      </c>
    </row>
    <row r="8637">
      <c r="A8637" s="1" t="s">
        <v>8637</v>
      </c>
      <c r="B8637" s="2" t="str">
        <f>IFERROR(__xludf.DUMMYFUNCTION("GOOGLETRANSLATE(A8637, ""de"", ""en"")"),"mack")</f>
        <v>mack</v>
      </c>
    </row>
    <row r="8638">
      <c r="A8638" s="1" t="s">
        <v>8638</v>
      </c>
      <c r="B8638" s="2" t="str">
        <f>IFERROR(__xludf.DUMMYFUNCTION("GOOGLETRANSLATE(A8638, ""de"", ""en"")"),"arrow")</f>
        <v>arrow</v>
      </c>
    </row>
    <row r="8639">
      <c r="A8639" s="1" t="s">
        <v>8639</v>
      </c>
      <c r="B8639" s="2" t="str">
        <f>IFERROR(__xludf.DUMMYFUNCTION("GOOGLETRANSLATE(A8639, ""de"", ""en"")"),"forgive")</f>
        <v>forgive</v>
      </c>
    </row>
    <row r="8640">
      <c r="A8640" s="1" t="s">
        <v>8640</v>
      </c>
      <c r="B8640" s="2" t="str">
        <f>IFERROR(__xludf.DUMMYFUNCTION("GOOGLETRANSLATE(A8640, ""de"", ""en"")"),"said")</f>
        <v>said</v>
      </c>
    </row>
    <row r="8641">
      <c r="A8641" s="1" t="s">
        <v>8641</v>
      </c>
      <c r="B8641" s="2" t="str">
        <f>IFERROR(__xludf.DUMMYFUNCTION("GOOGLETRANSLATE(A8641, ""de"", ""en"")"),"fish")</f>
        <v>fish</v>
      </c>
    </row>
    <row r="8642">
      <c r="A8642" s="1" t="s">
        <v>8642</v>
      </c>
      <c r="B8642" s="2" t="str">
        <f>IFERROR(__xludf.DUMMYFUNCTION("GOOGLETRANSLATE(A8642, ""de"", ""en"")"),"candidate")</f>
        <v>candidate</v>
      </c>
    </row>
    <row r="8643">
      <c r="A8643" s="1" t="s">
        <v>8643</v>
      </c>
      <c r="B8643" s="2" t="str">
        <f>IFERROR(__xludf.DUMMYFUNCTION("GOOGLETRANSLATE(A8643, ""de"", ""en"")"),"plumber")</f>
        <v>plumber</v>
      </c>
    </row>
    <row r="8644">
      <c r="A8644" s="1" t="s">
        <v>8644</v>
      </c>
      <c r="B8644" s="2" t="str">
        <f>IFERROR(__xludf.DUMMYFUNCTION("GOOGLETRANSLATE(A8644, ""de"", ""en"")"),"blue")</f>
        <v>blue</v>
      </c>
    </row>
    <row r="8645">
      <c r="A8645" s="1" t="s">
        <v>8645</v>
      </c>
      <c r="B8645" s="2" t="str">
        <f>IFERROR(__xludf.DUMMYFUNCTION("GOOGLETRANSLATE(A8645, ""de"", ""en"")"),"fears")</f>
        <v>fears</v>
      </c>
    </row>
    <row r="8646">
      <c r="A8646" s="1" t="s">
        <v>8646</v>
      </c>
      <c r="B8646" s="2" t="str">
        <f>IFERROR(__xludf.DUMMYFUNCTION("GOOGLETRANSLATE(A8646, ""de"", ""en"")"),"suffered")</f>
        <v>suffered</v>
      </c>
    </row>
    <row r="8647">
      <c r="A8647" s="1" t="s">
        <v>8647</v>
      </c>
      <c r="B8647" s="2" t="str">
        <f>IFERROR(__xludf.DUMMYFUNCTION("GOOGLETRANSLATE(A8647, ""de"", ""en"")"),"fell in love")</f>
        <v>fell in love</v>
      </c>
    </row>
    <row r="8648">
      <c r="A8648" s="1" t="s">
        <v>8648</v>
      </c>
      <c r="B8648" s="2" t="str">
        <f>IFERROR(__xludf.DUMMYFUNCTION("GOOGLETRANSLATE(A8648, ""de"", ""en"")"),"ordered")</f>
        <v>ordered</v>
      </c>
    </row>
    <row r="8649">
      <c r="A8649" s="1" t="s">
        <v>8649</v>
      </c>
      <c r="B8649" s="2" t="str">
        <f>IFERROR(__xludf.DUMMYFUNCTION("GOOGLETRANSLATE(A8649, ""de"", ""en"")"),"spaghetti")</f>
        <v>spaghetti</v>
      </c>
    </row>
    <row r="8650">
      <c r="A8650" s="1" t="s">
        <v>8650</v>
      </c>
      <c r="B8650" s="2" t="str">
        <f>IFERROR(__xludf.DUMMYFUNCTION("GOOGLETRANSLATE(A8650, ""de"", ""en"")"),"Frenchman")</f>
        <v>Frenchman</v>
      </c>
    </row>
    <row r="8651">
      <c r="A8651" s="1" t="s">
        <v>8651</v>
      </c>
      <c r="B8651" s="2" t="str">
        <f>IFERROR(__xludf.DUMMYFUNCTION("GOOGLETRANSLATE(A8651, ""de"", ""en"")"),"darker")</f>
        <v>darker</v>
      </c>
    </row>
    <row r="8652">
      <c r="A8652" s="1" t="s">
        <v>8652</v>
      </c>
      <c r="B8652" s="2" t="str">
        <f>IFERROR(__xludf.DUMMYFUNCTION("GOOGLETRANSLATE(A8652, ""de"", ""en"")"),"future")</f>
        <v>future</v>
      </c>
    </row>
    <row r="8653">
      <c r="A8653" s="1" t="s">
        <v>8653</v>
      </c>
      <c r="B8653" s="2" t="str">
        <f>IFERROR(__xludf.DUMMYFUNCTION("GOOGLETRANSLATE(A8653, ""de"", ""en"")"),"to offer")</f>
        <v>to offer</v>
      </c>
    </row>
    <row r="8654">
      <c r="A8654" s="1" t="s">
        <v>8654</v>
      </c>
      <c r="B8654" s="2" t="str">
        <f>IFERROR(__xludf.DUMMYFUNCTION("GOOGLETRANSLATE(A8654, ""de"", ""en"")"),"sent")</f>
        <v>sent</v>
      </c>
    </row>
    <row r="8655">
      <c r="A8655" s="1" t="s">
        <v>8655</v>
      </c>
      <c r="B8655" s="2" t="str">
        <f>IFERROR(__xludf.DUMMYFUNCTION("GOOGLETRANSLATE(A8655, ""de"", ""en"")"),"tobias")</f>
        <v>tobias</v>
      </c>
    </row>
    <row r="8656">
      <c r="A8656" s="1" t="s">
        <v>8656</v>
      </c>
      <c r="B8656" s="2" t="str">
        <f>IFERROR(__xludf.DUMMYFUNCTION("GOOGLETRANSLATE(A8656, ""de"", ""en"")"),"hose")</f>
        <v>hose</v>
      </c>
    </row>
    <row r="8657">
      <c r="A8657" s="1" t="s">
        <v>8657</v>
      </c>
      <c r="B8657" s="2" t="str">
        <f>IFERROR(__xludf.DUMMYFUNCTION("GOOGLETRANSLATE(A8657, ""de"", ""en"")"),"Einstein")</f>
        <v>Einstein</v>
      </c>
    </row>
    <row r="8658">
      <c r="A8658" s="1" t="s">
        <v>8658</v>
      </c>
      <c r="B8658" s="2" t="str">
        <f>IFERROR(__xludf.DUMMYFUNCTION("GOOGLETRANSLATE(A8658, ""de"", ""en"")"),"paralyzed")</f>
        <v>paralyzed</v>
      </c>
    </row>
    <row r="8659">
      <c r="A8659" s="1" t="s">
        <v>8659</v>
      </c>
      <c r="B8659" s="2" t="str">
        <f>IFERROR(__xludf.DUMMYFUNCTION("GOOGLETRANSLATE(A8659, ""de"", ""en"")"),"grill")</f>
        <v>grill</v>
      </c>
    </row>
    <row r="8660">
      <c r="A8660" s="1" t="s">
        <v>8660</v>
      </c>
      <c r="B8660" s="2" t="str">
        <f>IFERROR(__xludf.DUMMYFUNCTION("GOOGLETRANSLATE(A8660, ""de"", ""en"")"),"landscape")</f>
        <v>landscape</v>
      </c>
    </row>
    <row r="8661">
      <c r="A8661" s="1" t="s">
        <v>8661</v>
      </c>
      <c r="B8661" s="2" t="str">
        <f>IFERROR(__xludf.DUMMYFUNCTION("GOOGLETRANSLATE(A8661, ""de"", ""en"")"),"function")</f>
        <v>function</v>
      </c>
    </row>
    <row r="8662">
      <c r="A8662" s="1" t="s">
        <v>8662</v>
      </c>
      <c r="B8662" s="2" t="str">
        <f>IFERROR(__xludf.DUMMYFUNCTION("GOOGLETRANSLATE(A8662, ""de"", ""en"")"),"anonymous")</f>
        <v>anonymous</v>
      </c>
    </row>
    <row r="8663">
      <c r="A8663" s="1" t="s">
        <v>8663</v>
      </c>
      <c r="B8663" s="2" t="str">
        <f>IFERROR(__xludf.DUMMYFUNCTION("GOOGLETRANSLATE(A8663, ""de"", ""en"")"),"nightmares")</f>
        <v>nightmares</v>
      </c>
    </row>
    <row r="8664">
      <c r="A8664" s="1" t="s">
        <v>8664</v>
      </c>
      <c r="B8664" s="2" t="str">
        <f>IFERROR(__xludf.DUMMYFUNCTION("GOOGLETRANSLATE(A8664, ""de"", ""en"")"),"dream")</f>
        <v>dream</v>
      </c>
    </row>
    <row r="8665">
      <c r="A8665" s="1" t="s">
        <v>8665</v>
      </c>
      <c r="B8665" s="2" t="str">
        <f>IFERROR(__xludf.DUMMYFUNCTION("GOOGLETRANSLATE(A8665, ""de"", ""en"")"),"facebook")</f>
        <v>facebook</v>
      </c>
    </row>
    <row r="8666">
      <c r="A8666" s="1" t="s">
        <v>8666</v>
      </c>
      <c r="B8666" s="2" t="str">
        <f>IFERROR(__xludf.DUMMYFUNCTION("GOOGLETRANSLATE(A8666, ""de"", ""en"")"),"mh")</f>
        <v>mh</v>
      </c>
    </row>
    <row r="8667">
      <c r="A8667" s="1" t="s">
        <v>8667</v>
      </c>
      <c r="B8667" s="2" t="str">
        <f>IFERROR(__xludf.DUMMYFUNCTION("GOOGLETRANSLATE(A8667, ""de"", ""en"")"),"event")</f>
        <v>event</v>
      </c>
    </row>
    <row r="8668">
      <c r="A8668" s="1" t="s">
        <v>8668</v>
      </c>
      <c r="B8668" s="2" t="str">
        <f>IFERROR(__xludf.DUMMYFUNCTION("GOOGLETRANSLATE(A8668, ""de"", ""en"")"),"mount")</f>
        <v>mount</v>
      </c>
    </row>
    <row r="8669">
      <c r="A8669" s="1" t="s">
        <v>8669</v>
      </c>
      <c r="B8669" s="2" t="str">
        <f>IFERROR(__xludf.DUMMYFUNCTION("GOOGLETRANSLATE(A8669, ""de"", ""en"")"),"obligations")</f>
        <v>obligations</v>
      </c>
    </row>
    <row r="8670">
      <c r="A8670" s="1" t="s">
        <v>8670</v>
      </c>
      <c r="B8670" s="2" t="str">
        <f>IFERROR(__xludf.DUMMYFUNCTION("GOOGLETRANSLATE(A8670, ""de"", ""en"")"),"sinclair")</f>
        <v>sinclair</v>
      </c>
    </row>
    <row r="8671">
      <c r="A8671" s="1" t="s">
        <v>8671</v>
      </c>
      <c r="B8671" s="2" t="str">
        <f>IFERROR(__xludf.DUMMYFUNCTION("GOOGLETRANSLATE(A8671, ""de"", ""en"")"),"rue")</f>
        <v>rue</v>
      </c>
    </row>
    <row r="8672">
      <c r="A8672" s="1" t="s">
        <v>8672</v>
      </c>
      <c r="B8672" s="2" t="str">
        <f>IFERROR(__xludf.DUMMYFUNCTION("GOOGLETRANSLATE(A8672, ""de"", ""en"")"),"student")</f>
        <v>student</v>
      </c>
    </row>
    <row r="8673">
      <c r="A8673" s="1" t="s">
        <v>8673</v>
      </c>
      <c r="B8673" s="2" t="str">
        <f>IFERROR(__xludf.DUMMYFUNCTION("GOOGLETRANSLATE(A8673, ""de"", ""en"")"),"internally")</f>
        <v>internally</v>
      </c>
    </row>
    <row r="8674">
      <c r="A8674" s="1" t="s">
        <v>8674</v>
      </c>
      <c r="B8674" s="2" t="str">
        <f>IFERROR(__xludf.DUMMYFUNCTION("GOOGLETRANSLATE(A8674, ""de"", ""en"")"),"artist")</f>
        <v>artist</v>
      </c>
    </row>
    <row r="8675">
      <c r="A8675" s="1" t="s">
        <v>8675</v>
      </c>
      <c r="B8675" s="2" t="str">
        <f>IFERROR(__xludf.DUMMYFUNCTION("GOOGLETRANSLATE(A8675, ""de"", ""en"")"),"Madrid")</f>
        <v>Madrid</v>
      </c>
    </row>
    <row r="8676">
      <c r="A8676" s="1" t="s">
        <v>8676</v>
      </c>
      <c r="B8676" s="2" t="str">
        <f>IFERROR(__xludf.DUMMYFUNCTION("GOOGLETRANSLATE(A8676, ""de"", ""en"")"),"Creator")</f>
        <v>Creator</v>
      </c>
    </row>
    <row r="8677">
      <c r="A8677" s="1" t="s">
        <v>8677</v>
      </c>
      <c r="B8677" s="2" t="str">
        <f>IFERROR(__xludf.DUMMYFUNCTION("GOOGLETRANSLATE(A8677, ""de"", ""en"")"),"governed")</f>
        <v>governed</v>
      </c>
    </row>
    <row r="8678">
      <c r="A8678" s="1" t="s">
        <v>8678</v>
      </c>
      <c r="B8678" s="2" t="str">
        <f>IFERROR(__xludf.DUMMYFUNCTION("GOOGLETRANSLATE(A8678, ""de"", ""en"")"),"write down")</f>
        <v>write down</v>
      </c>
    </row>
    <row r="8679">
      <c r="A8679" s="1" t="s">
        <v>8679</v>
      </c>
      <c r="B8679" s="2" t="str">
        <f>IFERROR(__xludf.DUMMYFUNCTION("GOOGLETRANSLATE(A8679, ""de"", ""en"")"),"relief")</f>
        <v>relief</v>
      </c>
    </row>
    <row r="8680">
      <c r="A8680" s="1" t="s">
        <v>8680</v>
      </c>
      <c r="B8680" s="2" t="str">
        <f>IFERROR(__xludf.DUMMYFUNCTION("GOOGLETRANSLATE(A8680, ""de"", ""en"")"),"Ava")</f>
        <v>Ava</v>
      </c>
    </row>
    <row r="8681">
      <c r="A8681" s="1" t="s">
        <v>8681</v>
      </c>
      <c r="B8681" s="2" t="str">
        <f>IFERROR(__xludf.DUMMYFUNCTION("GOOGLETRANSLATE(A8681, ""de"", ""en"")"),"auction")</f>
        <v>auction</v>
      </c>
    </row>
    <row r="8682">
      <c r="A8682" s="1" t="s">
        <v>8682</v>
      </c>
      <c r="B8682" s="2" t="str">
        <f>IFERROR(__xludf.DUMMYFUNCTION("GOOGLETRANSLATE(A8682, ""de"", ""en"")"),"shelf")</f>
        <v>shelf</v>
      </c>
    </row>
    <row r="8683">
      <c r="A8683" s="1" t="s">
        <v>8683</v>
      </c>
      <c r="B8683" s="2" t="str">
        <f>IFERROR(__xludf.DUMMYFUNCTION("GOOGLETRANSLATE(A8683, ""de"", ""en"")"),"fact")</f>
        <v>fact</v>
      </c>
    </row>
    <row r="8684">
      <c r="A8684" s="1" t="s">
        <v>8684</v>
      </c>
      <c r="B8684" s="2" t="str">
        <f>IFERROR(__xludf.DUMMYFUNCTION("GOOGLETRANSLATE(A8684, ""de"", ""en"")"),"christ")</f>
        <v>christ</v>
      </c>
    </row>
    <row r="8685">
      <c r="A8685" s="1" t="s">
        <v>8685</v>
      </c>
      <c r="B8685" s="2" t="str">
        <f>IFERROR(__xludf.DUMMYFUNCTION("GOOGLETRANSLATE(A8685, ""de"", ""en"")"),"level")</f>
        <v>level</v>
      </c>
    </row>
    <row r="8686">
      <c r="A8686" s="1" t="s">
        <v>8686</v>
      </c>
      <c r="B8686" s="2" t="str">
        <f>IFERROR(__xludf.DUMMYFUNCTION("GOOGLETRANSLATE(A8686, ""de"", ""en"")"),"manhunt")</f>
        <v>manhunt</v>
      </c>
    </row>
    <row r="8687">
      <c r="A8687" s="1" t="s">
        <v>8687</v>
      </c>
      <c r="B8687" s="2" t="str">
        <f>IFERROR(__xludf.DUMMYFUNCTION("GOOGLETRANSLATE(A8687, ""de"", ""en"")"),"peace")</f>
        <v>peace</v>
      </c>
    </row>
    <row r="8688">
      <c r="A8688" s="1" t="s">
        <v>8688</v>
      </c>
      <c r="B8688" s="2" t="str">
        <f>IFERROR(__xludf.DUMMYFUNCTION("GOOGLETRANSLATE(A8688, ""de"", ""en"")"),"suffered")</f>
        <v>suffered</v>
      </c>
    </row>
    <row r="8689">
      <c r="A8689" s="1" t="s">
        <v>8689</v>
      </c>
      <c r="B8689" s="2" t="str">
        <f>IFERROR(__xludf.DUMMYFUNCTION("GOOGLETRANSLATE(A8689, ""de"", ""en"")"),"mathematics")</f>
        <v>mathematics</v>
      </c>
    </row>
    <row r="8690">
      <c r="A8690" s="1" t="s">
        <v>8690</v>
      </c>
      <c r="B8690" s="2" t="str">
        <f>IFERROR(__xludf.DUMMYFUNCTION("GOOGLETRANSLATE(A8690, ""de"", ""en"")"),"NASA")</f>
        <v>NASA</v>
      </c>
    </row>
    <row r="8691">
      <c r="A8691" s="1" t="s">
        <v>8691</v>
      </c>
      <c r="B8691" s="2" t="str">
        <f>IFERROR(__xludf.DUMMYFUNCTION("GOOGLETRANSLATE(A8691, ""de"", ""en"")"),"please")</f>
        <v>please</v>
      </c>
    </row>
    <row r="8692">
      <c r="A8692" s="1" t="s">
        <v>8692</v>
      </c>
      <c r="B8692" s="2" t="str">
        <f>IFERROR(__xludf.DUMMYFUNCTION("GOOGLETRANSLATE(A8692, ""de"", ""en"")"),"psycho")</f>
        <v>psycho</v>
      </c>
    </row>
    <row r="8693">
      <c r="A8693" s="1" t="s">
        <v>8693</v>
      </c>
      <c r="B8693" s="2" t="str">
        <f>IFERROR(__xludf.DUMMYFUNCTION("GOOGLETRANSLATE(A8693, ""de"", ""en"")"),"mattress")</f>
        <v>mattress</v>
      </c>
    </row>
    <row r="8694">
      <c r="A8694" s="1" t="s">
        <v>8694</v>
      </c>
      <c r="B8694" s="2" t="str">
        <f>IFERROR(__xludf.DUMMYFUNCTION("GOOGLETRANSLATE(A8694, ""de"", ""en"")"),"kicks")</f>
        <v>kicks</v>
      </c>
    </row>
    <row r="8695">
      <c r="A8695" s="1" t="s">
        <v>8695</v>
      </c>
      <c r="B8695" s="2" t="str">
        <f>IFERROR(__xludf.DUMMYFUNCTION("GOOGLETRANSLATE(A8695, ""de"", ""en"")"),"murder weapon")</f>
        <v>murder weapon</v>
      </c>
    </row>
    <row r="8696">
      <c r="A8696" s="1" t="s">
        <v>8696</v>
      </c>
      <c r="B8696" s="2" t="str">
        <f>IFERROR(__xludf.DUMMYFUNCTION("GOOGLETRANSLATE(A8696, ""de"", ""en"")"),"financial")</f>
        <v>financial</v>
      </c>
    </row>
    <row r="8697">
      <c r="A8697" s="1" t="s">
        <v>8697</v>
      </c>
      <c r="B8697" s="2" t="str">
        <f>IFERROR(__xludf.DUMMYFUNCTION("GOOGLETRANSLATE(A8697, ""de"", ""en"")"),"ribbons")</f>
        <v>ribbons</v>
      </c>
    </row>
    <row r="8698">
      <c r="A8698" s="1" t="s">
        <v>8698</v>
      </c>
      <c r="B8698" s="2" t="str">
        <f>IFERROR(__xludf.DUMMYFUNCTION("GOOGLETRANSLATE(A8698, ""de"", ""en"")"),"detectives")</f>
        <v>detectives</v>
      </c>
    </row>
    <row r="8699">
      <c r="A8699" s="1" t="s">
        <v>8699</v>
      </c>
      <c r="B8699" s="2" t="str">
        <f>IFERROR(__xludf.DUMMYFUNCTION("GOOGLETRANSLATE(A8699, ""de"", ""en"")"),"how many")</f>
        <v>how many</v>
      </c>
    </row>
    <row r="8700">
      <c r="A8700" s="1" t="s">
        <v>8700</v>
      </c>
      <c r="B8700" s="2" t="str">
        <f>IFERROR(__xludf.DUMMYFUNCTION("GOOGLETRANSLATE(A8700, ""de"", ""en"")"),"undercover")</f>
        <v>undercover</v>
      </c>
    </row>
    <row r="8701">
      <c r="A8701" s="1" t="s">
        <v>8701</v>
      </c>
      <c r="B8701" s="2" t="str">
        <f>IFERROR(__xludf.DUMMYFUNCTION("GOOGLETRANSLATE(A8701, ""de"", ""en"")"),"to produce")</f>
        <v>to produce</v>
      </c>
    </row>
    <row r="8702">
      <c r="A8702" s="1" t="s">
        <v>8702</v>
      </c>
      <c r="B8702" s="2" t="str">
        <f>IFERROR(__xludf.DUMMYFUNCTION("GOOGLETRANSLATE(A8702, ""de"", ""en"")"),"employer")</f>
        <v>employer</v>
      </c>
    </row>
    <row r="8703">
      <c r="A8703" s="1" t="s">
        <v>8703</v>
      </c>
      <c r="B8703" s="2" t="str">
        <f>IFERROR(__xludf.DUMMYFUNCTION("GOOGLETRANSLATE(A8703, ""de"", ""en"")"),"tools")</f>
        <v>tools</v>
      </c>
    </row>
    <row r="8704">
      <c r="A8704" s="1" t="s">
        <v>8704</v>
      </c>
      <c r="B8704" s="2" t="str">
        <f>IFERROR(__xludf.DUMMYFUNCTION("GOOGLETRANSLATE(A8704, ""de"", ""en"")"),"Frankenstein")</f>
        <v>Frankenstein</v>
      </c>
    </row>
    <row r="8705">
      <c r="A8705" s="1" t="s">
        <v>8705</v>
      </c>
      <c r="B8705" s="2" t="str">
        <f>IFERROR(__xludf.DUMMYFUNCTION("GOOGLETRANSLATE(A8705, ""de"", ""en"")"),"sedatives")</f>
        <v>sedatives</v>
      </c>
    </row>
    <row r="8706">
      <c r="A8706" s="1" t="s">
        <v>8706</v>
      </c>
      <c r="B8706" s="2" t="str">
        <f>IFERROR(__xludf.DUMMYFUNCTION("GOOGLETRANSLATE(A8706, ""de"", ""en"")"),"Ingrid")</f>
        <v>Ingrid</v>
      </c>
    </row>
    <row r="8707">
      <c r="A8707" s="1" t="s">
        <v>8707</v>
      </c>
      <c r="B8707" s="2" t="str">
        <f>IFERROR(__xludf.DUMMYFUNCTION("GOOGLETRANSLATE(A8707, ""de"", ""en"")"),"Coulson")</f>
        <v>Coulson</v>
      </c>
    </row>
    <row r="8708">
      <c r="A8708" s="1" t="s">
        <v>8708</v>
      </c>
      <c r="B8708" s="2" t="str">
        <f>IFERROR(__xludf.DUMMYFUNCTION("GOOGLETRANSLATE(A8708, ""de"", ""en"")"),"wore")</f>
        <v>wore</v>
      </c>
    </row>
    <row r="8709">
      <c r="A8709" s="1" t="s">
        <v>8709</v>
      </c>
      <c r="B8709" s="2" t="str">
        <f>IFERROR(__xludf.DUMMYFUNCTION("GOOGLETRANSLATE(A8709, ""de"", ""en"")"),"short term")</f>
        <v>short term</v>
      </c>
    </row>
    <row r="8710">
      <c r="A8710" s="1" t="s">
        <v>8710</v>
      </c>
      <c r="B8710" s="2" t="str">
        <f>IFERROR(__xludf.DUMMYFUNCTION("GOOGLETRANSLATE(A8710, ""de"", ""en"")"),"exciting")</f>
        <v>exciting</v>
      </c>
    </row>
    <row r="8711">
      <c r="A8711" s="1" t="s">
        <v>8711</v>
      </c>
      <c r="B8711" s="2" t="str">
        <f>IFERROR(__xludf.DUMMYFUNCTION("GOOGLETRANSLATE(A8711, ""de"", ""en"")"),"clayton")</f>
        <v>clayton</v>
      </c>
    </row>
    <row r="8712">
      <c r="A8712" s="1" t="s">
        <v>8712</v>
      </c>
      <c r="B8712" s="2" t="str">
        <f>IFERROR(__xludf.DUMMYFUNCTION("GOOGLETRANSLATE(A8712, ""de"", ""en"")"),"fought")</f>
        <v>fought</v>
      </c>
    </row>
    <row r="8713">
      <c r="A8713" s="1" t="s">
        <v>8713</v>
      </c>
      <c r="B8713" s="2" t="str">
        <f>IFERROR(__xludf.DUMMYFUNCTION("GOOGLETRANSLATE(A8713, ""de"", ""en"")"),"obtain")</f>
        <v>obtain</v>
      </c>
    </row>
    <row r="8714">
      <c r="A8714" s="1" t="s">
        <v>8714</v>
      </c>
      <c r="B8714" s="2" t="str">
        <f>IFERROR(__xludf.DUMMYFUNCTION("GOOGLETRANSLATE(A8714, ""de"", ""en"")"),"space")</f>
        <v>space</v>
      </c>
    </row>
    <row r="8715">
      <c r="A8715" s="1" t="s">
        <v>8715</v>
      </c>
      <c r="B8715" s="2" t="str">
        <f>IFERROR(__xludf.DUMMYFUNCTION("GOOGLETRANSLATE(A8715, ""de"", ""en"")"),"well")</f>
        <v>well</v>
      </c>
    </row>
    <row r="8716">
      <c r="A8716" s="1" t="s">
        <v>8716</v>
      </c>
      <c r="B8716" s="2" t="str">
        <f>IFERROR(__xludf.DUMMYFUNCTION("GOOGLETRANSLATE(A8716, ""de"", ""en"")"),"cover up")</f>
        <v>cover up</v>
      </c>
    </row>
    <row r="8717">
      <c r="A8717" s="1" t="s">
        <v>8717</v>
      </c>
      <c r="B8717" s="2" t="str">
        <f>IFERROR(__xludf.DUMMYFUNCTION("GOOGLETRANSLATE(A8717, ""de"", ""en"")"),"awakens")</f>
        <v>awakens</v>
      </c>
    </row>
    <row r="8718">
      <c r="A8718" s="1" t="s">
        <v>8718</v>
      </c>
      <c r="B8718" s="2" t="str">
        <f>IFERROR(__xludf.DUMMYFUNCTION("GOOGLETRANSLATE(A8718, ""de"", ""en"")"),"daring")</f>
        <v>daring</v>
      </c>
    </row>
    <row r="8719">
      <c r="A8719" s="1" t="s">
        <v>8719</v>
      </c>
      <c r="B8719" s="2" t="str">
        <f>IFERROR(__xludf.DUMMYFUNCTION("GOOGLETRANSLATE(A8719, ""de"", ""en"")"),"kidneys")</f>
        <v>kidneys</v>
      </c>
    </row>
    <row r="8720">
      <c r="A8720" s="1" t="s">
        <v>8720</v>
      </c>
      <c r="B8720" s="2" t="str">
        <f>IFERROR(__xludf.DUMMYFUNCTION("GOOGLETRANSLATE(A8720, ""de"", ""en"")"),"interest charges")</f>
        <v>interest charges</v>
      </c>
    </row>
    <row r="8721">
      <c r="A8721" s="1" t="s">
        <v>8721</v>
      </c>
      <c r="B8721" s="2" t="str">
        <f>IFERROR(__xludf.DUMMYFUNCTION("GOOGLETRANSLATE(A8721, ""de"", ""en"")"),"hutch")</f>
        <v>hutch</v>
      </c>
    </row>
    <row r="8722">
      <c r="A8722" s="1" t="s">
        <v>8722</v>
      </c>
      <c r="B8722" s="2" t="str">
        <f>IFERROR(__xludf.DUMMYFUNCTION("GOOGLETRANSLATE(A8722, ""de"", ""en"")"),"pack up")</f>
        <v>pack up</v>
      </c>
    </row>
    <row r="8723">
      <c r="A8723" s="1" t="s">
        <v>8723</v>
      </c>
      <c r="B8723" s="2" t="str">
        <f>IFERROR(__xludf.DUMMYFUNCTION("GOOGLETRANSLATE(A8723, ""de"", ""en"")"),"Monty")</f>
        <v>Monty</v>
      </c>
    </row>
    <row r="8724">
      <c r="A8724" s="1" t="s">
        <v>8724</v>
      </c>
      <c r="B8724" s="2" t="str">
        <f>IFERROR(__xludf.DUMMYFUNCTION("GOOGLETRANSLATE(A8724, ""de"", ""en"")"),"balloon")</f>
        <v>balloon</v>
      </c>
    </row>
    <row r="8725">
      <c r="A8725" s="1" t="s">
        <v>8725</v>
      </c>
      <c r="B8725" s="2" t="str">
        <f>IFERROR(__xludf.DUMMYFUNCTION("GOOGLETRANSLATE(A8725, ""de"", ""en"")"),"darn")</f>
        <v>darn</v>
      </c>
    </row>
    <row r="8726">
      <c r="A8726" s="1" t="s">
        <v>8726</v>
      </c>
      <c r="B8726" s="2" t="str">
        <f>IFERROR(__xludf.DUMMYFUNCTION("GOOGLETRANSLATE(A8726, ""de"", ""en"")"),"came here")</f>
        <v>came here</v>
      </c>
    </row>
    <row r="8727">
      <c r="A8727" s="1" t="s">
        <v>8727</v>
      </c>
      <c r="B8727" s="2" t="str">
        <f>IFERROR(__xludf.DUMMYFUNCTION("GOOGLETRANSLATE(A8727, ""de"", ""en"")"),"pack")</f>
        <v>pack</v>
      </c>
    </row>
    <row r="8728">
      <c r="A8728" s="1" t="s">
        <v>8728</v>
      </c>
      <c r="B8728" s="2" t="str">
        <f>IFERROR(__xludf.DUMMYFUNCTION("GOOGLETRANSLATE(A8728, ""de"", ""en"")"),"Gregory")</f>
        <v>Gregory</v>
      </c>
    </row>
    <row r="8729">
      <c r="A8729" s="1" t="s">
        <v>8729</v>
      </c>
      <c r="B8729" s="2" t="str">
        <f>IFERROR(__xludf.DUMMYFUNCTION("GOOGLETRANSLATE(A8729, ""de"", ""en"")"),"horizon")</f>
        <v>horizon</v>
      </c>
    </row>
    <row r="8730">
      <c r="A8730" s="1" t="s">
        <v>8730</v>
      </c>
      <c r="B8730" s="2" t="str">
        <f>IFERROR(__xludf.DUMMYFUNCTION("GOOGLETRANSLATE(A8730, ""de"", ""en"")"),"Sofia")</f>
        <v>Sofia</v>
      </c>
    </row>
    <row r="8731">
      <c r="A8731" s="1" t="s">
        <v>8731</v>
      </c>
      <c r="B8731" s="2" t="str">
        <f>IFERROR(__xludf.DUMMYFUNCTION("GOOGLETRANSLATE(A8731, ""de"", ""en"")"),"were allowed")</f>
        <v>were allowed</v>
      </c>
    </row>
    <row r="8732">
      <c r="A8732" s="1" t="s">
        <v>8732</v>
      </c>
      <c r="B8732" s="2" t="str">
        <f>IFERROR(__xludf.DUMMYFUNCTION("GOOGLETRANSLATE(A8732, ""de"", ""en"")"),"additionally")</f>
        <v>additionally</v>
      </c>
    </row>
    <row r="8733">
      <c r="A8733" s="1" t="s">
        <v>8733</v>
      </c>
      <c r="B8733" s="2" t="str">
        <f>IFERROR(__xludf.DUMMYFUNCTION("GOOGLETRANSLATE(A8733, ""de"", ""en"")"),"dean")</f>
        <v>dean</v>
      </c>
    </row>
    <row r="8734">
      <c r="A8734" s="1" t="s">
        <v>8734</v>
      </c>
      <c r="B8734" s="2" t="str">
        <f>IFERROR(__xludf.DUMMYFUNCTION("GOOGLETRANSLATE(A8734, ""de"", ""en"")"),"contracts")</f>
        <v>contracts</v>
      </c>
    </row>
    <row r="8735">
      <c r="A8735" s="1" t="s">
        <v>8735</v>
      </c>
      <c r="B8735" s="2" t="str">
        <f>IFERROR(__xludf.DUMMYFUNCTION("GOOGLETRANSLATE(A8735, ""de"", ""en"")"),"move")</f>
        <v>move</v>
      </c>
    </row>
    <row r="8736">
      <c r="A8736" s="1" t="s">
        <v>8736</v>
      </c>
      <c r="B8736" s="2" t="str">
        <f>IFERROR(__xludf.DUMMYFUNCTION("GOOGLETRANSLATE(A8736, ""de"", ""en"")"),"brady")</f>
        <v>brady</v>
      </c>
    </row>
    <row r="8737">
      <c r="A8737" s="1" t="s">
        <v>8737</v>
      </c>
      <c r="B8737" s="2" t="str">
        <f>IFERROR(__xludf.DUMMYFUNCTION("GOOGLETRANSLATE(A8737, ""de"", ""en"")"),"singer")</f>
        <v>singer</v>
      </c>
    </row>
    <row r="8738">
      <c r="A8738" s="1" t="s">
        <v>8738</v>
      </c>
      <c r="B8738" s="2" t="str">
        <f>IFERROR(__xludf.DUMMYFUNCTION("GOOGLETRANSLATE(A8738, ""de"", ""en"")"),"forests")</f>
        <v>forests</v>
      </c>
    </row>
    <row r="8739">
      <c r="A8739" s="1" t="s">
        <v>8739</v>
      </c>
      <c r="B8739" s="2" t="str">
        <f>IFERROR(__xludf.DUMMYFUNCTION("GOOGLETRANSLATE(A8739, ""de"", ""en"")"),"represent")</f>
        <v>represent</v>
      </c>
    </row>
    <row r="8740">
      <c r="A8740" s="1" t="s">
        <v>8740</v>
      </c>
      <c r="B8740" s="2" t="str">
        <f>IFERROR(__xludf.DUMMYFUNCTION("GOOGLETRANSLATE(A8740, ""de"", ""en"")"),"limousine")</f>
        <v>limousine</v>
      </c>
    </row>
    <row r="8741">
      <c r="A8741" s="1" t="s">
        <v>8741</v>
      </c>
      <c r="B8741" s="2" t="str">
        <f>IFERROR(__xludf.DUMMYFUNCTION("GOOGLETRANSLATE(A8741, ""de"", ""en"")"),"freight")</f>
        <v>freight</v>
      </c>
    </row>
    <row r="8742">
      <c r="A8742" s="1" t="s">
        <v>8742</v>
      </c>
      <c r="B8742" s="2" t="str">
        <f>IFERROR(__xludf.DUMMYFUNCTION("GOOGLETRANSLATE(A8742, ""de"", ""en"")"),"to come back")</f>
        <v>to come back</v>
      </c>
    </row>
    <row r="8743">
      <c r="A8743" s="1" t="s">
        <v>8743</v>
      </c>
      <c r="B8743" s="2" t="str">
        <f>IFERROR(__xludf.DUMMYFUNCTION("GOOGLETRANSLATE(A8743, ""de"", ""en"")"),"morty")</f>
        <v>morty</v>
      </c>
    </row>
    <row r="8744">
      <c r="A8744" s="1" t="s">
        <v>8744</v>
      </c>
      <c r="B8744" s="2" t="str">
        <f>IFERROR(__xludf.DUMMYFUNCTION("GOOGLETRANSLATE(A8744, ""de"", ""en"")"),"commemorate")</f>
        <v>commemorate</v>
      </c>
    </row>
    <row r="8745">
      <c r="A8745" s="1" t="s">
        <v>8745</v>
      </c>
      <c r="B8745" s="2" t="str">
        <f>IFERROR(__xludf.DUMMYFUNCTION("GOOGLETRANSLATE(A8745, ""de"", ""en"")"),"written down")</f>
        <v>written down</v>
      </c>
    </row>
    <row r="8746">
      <c r="A8746" s="1" t="s">
        <v>8746</v>
      </c>
      <c r="B8746" s="2" t="str">
        <f>IFERROR(__xludf.DUMMYFUNCTION("GOOGLETRANSLATE(A8746, ""de"", ""en"")"),"actions")</f>
        <v>actions</v>
      </c>
    </row>
    <row r="8747">
      <c r="A8747" s="1" t="s">
        <v>8747</v>
      </c>
      <c r="B8747" s="2" t="str">
        <f>IFERROR(__xludf.DUMMYFUNCTION("GOOGLETRANSLATE(A8747, ""de"", ""en"")"),"structure")</f>
        <v>structure</v>
      </c>
    </row>
    <row r="8748">
      <c r="A8748" s="1" t="s">
        <v>8748</v>
      </c>
      <c r="B8748" s="2" t="str">
        <f>IFERROR(__xludf.DUMMYFUNCTION("GOOGLETRANSLATE(A8748, ""de"", ""en"")"),"dungeon")</f>
        <v>dungeon</v>
      </c>
    </row>
    <row r="8749">
      <c r="A8749" s="1" t="s">
        <v>8749</v>
      </c>
      <c r="B8749" s="2" t="str">
        <f>IFERROR(__xludf.DUMMYFUNCTION("GOOGLETRANSLATE(A8749, ""de"", ""en"")"),"to be careful")</f>
        <v>to be careful</v>
      </c>
    </row>
    <row r="8750">
      <c r="A8750" s="1" t="s">
        <v>8750</v>
      </c>
      <c r="B8750" s="2" t="str">
        <f>IFERROR(__xludf.DUMMYFUNCTION("GOOGLETRANSLATE(A8750, ""de"", ""en"")"),"guard")</f>
        <v>guard</v>
      </c>
    </row>
    <row r="8751">
      <c r="A8751" s="1" t="s">
        <v>8751</v>
      </c>
      <c r="B8751" s="2" t="str">
        <f>IFERROR(__xludf.DUMMYFUNCTION("GOOGLETRANSLATE(A8751, ""de"", ""en"")"),"Christian")</f>
        <v>Christian</v>
      </c>
    </row>
    <row r="8752">
      <c r="A8752" s="1" t="s">
        <v>8752</v>
      </c>
      <c r="B8752" s="2" t="str">
        <f>IFERROR(__xludf.DUMMYFUNCTION("GOOGLETRANSLATE(A8752, ""de"", ""en"")"),"outrageous")</f>
        <v>outrageous</v>
      </c>
    </row>
    <row r="8753">
      <c r="A8753" s="1" t="s">
        <v>8753</v>
      </c>
      <c r="B8753" s="2" t="str">
        <f>IFERROR(__xludf.DUMMYFUNCTION("GOOGLETRANSLATE(A8753, ""de"", ""en"")"),"sees through")</f>
        <v>sees through</v>
      </c>
    </row>
    <row r="8754">
      <c r="A8754" s="1" t="s">
        <v>8754</v>
      </c>
      <c r="B8754" s="2" t="str">
        <f>IFERROR(__xludf.DUMMYFUNCTION("GOOGLETRANSLATE(A8754, ""de"", ""en"")"),"likes")</f>
        <v>likes</v>
      </c>
    </row>
    <row r="8755">
      <c r="A8755" s="1" t="s">
        <v>8755</v>
      </c>
      <c r="B8755" s="2" t="str">
        <f>IFERROR(__xludf.DUMMYFUNCTION("GOOGLETRANSLATE(A8755, ""de"", ""en"")"),"last name")</f>
        <v>last name</v>
      </c>
    </row>
    <row r="8756">
      <c r="A8756" s="1" t="s">
        <v>8756</v>
      </c>
      <c r="B8756" s="2" t="str">
        <f>IFERROR(__xludf.DUMMYFUNCTION("GOOGLETRANSLATE(A8756, ""de"", ""en"")"),"hands")</f>
        <v>hands</v>
      </c>
    </row>
    <row r="8757">
      <c r="A8757" s="1" t="s">
        <v>8757</v>
      </c>
      <c r="B8757" s="2" t="str">
        <f>IFERROR(__xludf.DUMMYFUNCTION("GOOGLETRANSLATE(A8757, ""de"", ""en"")"),"Calvin")</f>
        <v>Calvin</v>
      </c>
    </row>
    <row r="8758">
      <c r="A8758" s="1" t="s">
        <v>8758</v>
      </c>
      <c r="B8758" s="2" t="str">
        <f>IFERROR(__xludf.DUMMYFUNCTION("GOOGLETRANSLATE(A8758, ""de"", ""en"")"),"pear")</f>
        <v>pear</v>
      </c>
    </row>
    <row r="8759">
      <c r="A8759" s="1" t="s">
        <v>8759</v>
      </c>
      <c r="B8759" s="2" t="str">
        <f>IFERROR(__xludf.DUMMYFUNCTION("GOOGLETRANSLATE(A8759, ""de"", ""en"")"),"provided")</f>
        <v>provided</v>
      </c>
    </row>
    <row r="8760">
      <c r="A8760" s="1" t="s">
        <v>8760</v>
      </c>
      <c r="B8760" s="2" t="str">
        <f>IFERROR(__xludf.DUMMYFUNCTION("GOOGLETRANSLATE(A8760, ""de"", ""en"")"),"gracious")</f>
        <v>gracious</v>
      </c>
    </row>
    <row r="8761">
      <c r="A8761" s="1" t="s">
        <v>8761</v>
      </c>
      <c r="B8761" s="2" t="str">
        <f>IFERROR(__xludf.DUMMYFUNCTION("GOOGLETRANSLATE(A8761, ""de"", ""en"")"),"checked")</f>
        <v>checked</v>
      </c>
    </row>
    <row r="8762">
      <c r="A8762" s="1" t="s">
        <v>8762</v>
      </c>
      <c r="B8762" s="2" t="str">
        <f>IFERROR(__xludf.DUMMYFUNCTION("GOOGLETRANSLATE(A8762, ""de"", ""en"")"),"sermon")</f>
        <v>sermon</v>
      </c>
    </row>
    <row r="8763">
      <c r="A8763" s="1" t="s">
        <v>8763</v>
      </c>
      <c r="B8763" s="2" t="str">
        <f>IFERROR(__xludf.DUMMYFUNCTION("GOOGLETRANSLATE(A8763, ""de"", ""en"")"),"inadvertently")</f>
        <v>inadvertently</v>
      </c>
    </row>
    <row r="8764">
      <c r="A8764" s="1" t="s">
        <v>8764</v>
      </c>
      <c r="B8764" s="2" t="str">
        <f>IFERROR(__xludf.DUMMYFUNCTION("GOOGLETRANSLATE(A8764, ""de"", ""en"")"),"swords")</f>
        <v>swords</v>
      </c>
    </row>
    <row r="8765">
      <c r="A8765" s="1" t="s">
        <v>8765</v>
      </c>
      <c r="B8765" s="2" t="str">
        <f>IFERROR(__xludf.DUMMYFUNCTION("GOOGLETRANSLATE(A8765, ""de"", ""en"")"),"proven")</f>
        <v>proven</v>
      </c>
    </row>
    <row r="8766">
      <c r="A8766" s="1" t="s">
        <v>8766</v>
      </c>
      <c r="B8766" s="2" t="str">
        <f>IFERROR(__xludf.DUMMYFUNCTION("GOOGLETRANSLATE(A8766, ""de"", ""en"")"),"software")</f>
        <v>software</v>
      </c>
    </row>
    <row r="8767">
      <c r="A8767" s="1" t="s">
        <v>8767</v>
      </c>
      <c r="B8767" s="2" t="str">
        <f>IFERROR(__xludf.DUMMYFUNCTION("GOOGLETRANSLATE(A8767, ""de"", ""en"")"),"hit")</f>
        <v>hit</v>
      </c>
    </row>
    <row r="8768">
      <c r="A8768" s="1" t="s">
        <v>8768</v>
      </c>
      <c r="B8768" s="2" t="str">
        <f>IFERROR(__xludf.DUMMYFUNCTION("GOOGLETRANSLATE(A8768, ""de"", ""en"")"),"pushes")</f>
        <v>pushes</v>
      </c>
    </row>
    <row r="8769">
      <c r="A8769" s="1" t="s">
        <v>8769</v>
      </c>
      <c r="B8769" s="2" t="str">
        <f>IFERROR(__xludf.DUMMYFUNCTION("GOOGLETRANSLATE(A8769, ""de"", ""en"")"),"suspected")</f>
        <v>suspected</v>
      </c>
    </row>
    <row r="8770">
      <c r="A8770" s="1" t="s">
        <v>8770</v>
      </c>
      <c r="B8770" s="2" t="str">
        <f>IFERROR(__xludf.DUMMYFUNCTION("GOOGLETRANSLATE(A8770, ""de"", ""en"")"),"employed")</f>
        <v>employed</v>
      </c>
    </row>
    <row r="8771">
      <c r="A8771" s="1" t="s">
        <v>8771</v>
      </c>
      <c r="B8771" s="2" t="str">
        <f>IFERROR(__xludf.DUMMYFUNCTION("GOOGLETRANSLATE(A8771, ""de"", ""en"")"),"crashed")</f>
        <v>crashed</v>
      </c>
    </row>
    <row r="8772">
      <c r="A8772" s="1" t="s">
        <v>8772</v>
      </c>
      <c r="B8772" s="2" t="str">
        <f>IFERROR(__xludf.DUMMYFUNCTION("GOOGLETRANSLATE(A8772, ""de"", ""en"")"),"intervention")</f>
        <v>intervention</v>
      </c>
    </row>
    <row r="8773">
      <c r="A8773" s="1" t="s">
        <v>8773</v>
      </c>
      <c r="B8773" s="2" t="str">
        <f>IFERROR(__xludf.DUMMYFUNCTION("GOOGLETRANSLATE(A8773, ""de"", ""en"")"),"politically")</f>
        <v>politically</v>
      </c>
    </row>
    <row r="8774">
      <c r="A8774" s="1" t="s">
        <v>8774</v>
      </c>
      <c r="B8774" s="2" t="str">
        <f>IFERROR(__xludf.DUMMYFUNCTION("GOOGLETRANSLATE(A8774, ""de"", ""en"")"),"ordinary")</f>
        <v>ordinary</v>
      </c>
    </row>
    <row r="8775">
      <c r="A8775" s="1" t="s">
        <v>8775</v>
      </c>
      <c r="B8775" s="2" t="str">
        <f>IFERROR(__xludf.DUMMYFUNCTION("GOOGLETRANSLATE(A8775, ""de"", ""en"")"),"strongest")</f>
        <v>strongest</v>
      </c>
    </row>
    <row r="8776">
      <c r="A8776" s="1" t="s">
        <v>8776</v>
      </c>
      <c r="B8776" s="2" t="str">
        <f>IFERROR(__xludf.DUMMYFUNCTION("GOOGLETRANSLATE(A8776, ""de"", ""en"")"),"refuge")</f>
        <v>refuge</v>
      </c>
    </row>
    <row r="8777">
      <c r="A8777" s="1" t="s">
        <v>8777</v>
      </c>
      <c r="B8777" s="2" t="str">
        <f>IFERROR(__xludf.DUMMYFUNCTION("GOOGLETRANSLATE(A8777, ""de"", ""en"")"),"generator")</f>
        <v>generator</v>
      </c>
    </row>
    <row r="8778">
      <c r="A8778" s="1" t="s">
        <v>8778</v>
      </c>
      <c r="B8778" s="2" t="str">
        <f>IFERROR(__xludf.DUMMYFUNCTION("GOOGLETRANSLATE(A8778, ""de"", ""en"")"),"union")</f>
        <v>union</v>
      </c>
    </row>
    <row r="8779">
      <c r="A8779" s="1" t="s">
        <v>8779</v>
      </c>
      <c r="B8779" s="2" t="str">
        <f>IFERROR(__xludf.DUMMYFUNCTION("GOOGLETRANSLATE(A8779, ""de"", ""en"")"),"raven")</f>
        <v>raven</v>
      </c>
    </row>
    <row r="8780">
      <c r="A8780" s="1" t="s">
        <v>8780</v>
      </c>
      <c r="B8780" s="2" t="str">
        <f>IFERROR(__xludf.DUMMYFUNCTION("GOOGLETRANSLATE(A8780, ""de"", ""en"")"),"impatient")</f>
        <v>impatient</v>
      </c>
    </row>
    <row r="8781">
      <c r="A8781" s="1" t="s">
        <v>8781</v>
      </c>
      <c r="B8781" s="2" t="str">
        <f>IFERROR(__xludf.DUMMYFUNCTION("GOOGLETRANSLATE(A8781, ""de"", ""en"")"),"unclear")</f>
        <v>unclear</v>
      </c>
    </row>
    <row r="8782">
      <c r="A8782" s="1" t="s">
        <v>8782</v>
      </c>
      <c r="B8782" s="2" t="str">
        <f>IFERROR(__xludf.DUMMYFUNCTION("GOOGLETRANSLATE(A8782, ""de"", ""en"")"),"suspended")</f>
        <v>suspended</v>
      </c>
    </row>
    <row r="8783">
      <c r="A8783" s="1" t="s">
        <v>8783</v>
      </c>
      <c r="B8783" s="2" t="str">
        <f>IFERROR(__xludf.DUMMYFUNCTION("GOOGLETRANSLATE(A8783, ""de"", ""en"")"),"workplace")</f>
        <v>workplace</v>
      </c>
    </row>
    <row r="8784">
      <c r="A8784" s="1" t="s">
        <v>8784</v>
      </c>
      <c r="B8784" s="2" t="str">
        <f>IFERROR(__xludf.DUMMYFUNCTION("GOOGLETRANSLATE(A8784, ""de"", ""en"")"),"stairs")</f>
        <v>stairs</v>
      </c>
    </row>
    <row r="8785">
      <c r="A8785" s="1" t="s">
        <v>8785</v>
      </c>
      <c r="B8785" s="2" t="str">
        <f>IFERROR(__xludf.DUMMYFUNCTION("GOOGLETRANSLATE(A8785, ""de"", ""en"")"),"Matty")</f>
        <v>Matty</v>
      </c>
    </row>
    <row r="8786">
      <c r="A8786" s="1" t="s">
        <v>8786</v>
      </c>
      <c r="B8786" s="2" t="str">
        <f>IFERROR(__xludf.DUMMYFUNCTION("GOOGLETRANSLATE(A8786, ""de"", ""en"")"),"unite")</f>
        <v>unite</v>
      </c>
    </row>
    <row r="8787">
      <c r="A8787" s="1" t="s">
        <v>8787</v>
      </c>
      <c r="B8787" s="2" t="str">
        <f>IFERROR(__xludf.DUMMYFUNCTION("GOOGLETRANSLATE(A8787, ""de"", ""en"")"),"break")</f>
        <v>break</v>
      </c>
    </row>
    <row r="8788">
      <c r="A8788" s="1" t="s">
        <v>8788</v>
      </c>
      <c r="B8788" s="2" t="str">
        <f>IFERROR(__xludf.DUMMYFUNCTION("GOOGLETRANSLATE(A8788, ""de"", ""en"")"),"meters")</f>
        <v>meters</v>
      </c>
    </row>
    <row r="8789">
      <c r="A8789" s="1" t="s">
        <v>8789</v>
      </c>
      <c r="B8789" s="2" t="str">
        <f>IFERROR(__xludf.DUMMYFUNCTION("GOOGLETRANSLATE(A8789, ""de"", ""en"")"),"fall")</f>
        <v>fall</v>
      </c>
    </row>
    <row r="8790">
      <c r="A8790" s="1" t="s">
        <v>8790</v>
      </c>
      <c r="B8790" s="2" t="str">
        <f>IFERROR(__xludf.DUMMYFUNCTION("GOOGLETRANSLATE(A8790, ""de"", ""en"")"),"restless")</f>
        <v>restless</v>
      </c>
    </row>
    <row r="8791">
      <c r="A8791" s="1" t="s">
        <v>8791</v>
      </c>
      <c r="B8791" s="2" t="str">
        <f>IFERROR(__xludf.DUMMYFUNCTION("GOOGLETRANSLATE(A8791, ""de"", ""en"")"),"worst")</f>
        <v>worst</v>
      </c>
    </row>
    <row r="8792">
      <c r="A8792" s="1" t="s">
        <v>8792</v>
      </c>
      <c r="B8792" s="2" t="str">
        <f>IFERROR(__xludf.DUMMYFUNCTION("GOOGLETRANSLATE(A8792, ""de"", ""en"")"),"bursts")</f>
        <v>bursts</v>
      </c>
    </row>
    <row r="8793">
      <c r="A8793" s="1" t="s">
        <v>8793</v>
      </c>
      <c r="B8793" s="2" t="str">
        <f>IFERROR(__xludf.DUMMYFUNCTION("GOOGLETRANSLATE(A8793, ""de"", ""en"")"),"plastic")</f>
        <v>plastic</v>
      </c>
    </row>
    <row r="8794">
      <c r="A8794" s="1" t="s">
        <v>8794</v>
      </c>
      <c r="B8794" s="2" t="str">
        <f>IFERROR(__xludf.DUMMYFUNCTION("GOOGLETRANSLATE(A8794, ""de"", ""en"")"),"demolished")</f>
        <v>demolished</v>
      </c>
    </row>
    <row r="8795">
      <c r="A8795" s="1" t="s">
        <v>8795</v>
      </c>
      <c r="B8795" s="2" t="str">
        <f>IFERROR(__xludf.DUMMYFUNCTION("GOOGLETRANSLATE(A8795, ""de"", ""en"")"),"half way")</f>
        <v>half way</v>
      </c>
    </row>
    <row r="8796">
      <c r="A8796" s="1" t="s">
        <v>8796</v>
      </c>
      <c r="B8796" s="2" t="str">
        <f>IFERROR(__xludf.DUMMYFUNCTION("GOOGLETRANSLATE(A8796, ""de"", ""en"")"),"entrusted")</f>
        <v>entrusted</v>
      </c>
    </row>
    <row r="8797">
      <c r="A8797" s="1" t="s">
        <v>8797</v>
      </c>
      <c r="B8797" s="2" t="str">
        <f>IFERROR(__xludf.DUMMYFUNCTION("GOOGLETRANSLATE(A8797, ""de"", ""en"")"),"leather")</f>
        <v>leather</v>
      </c>
    </row>
    <row r="8798">
      <c r="A8798" s="1" t="s">
        <v>8798</v>
      </c>
      <c r="B8798" s="2" t="str">
        <f>IFERROR(__xludf.DUMMYFUNCTION("GOOGLETRANSLATE(A8798, ""de"", ""en"")"),"except")</f>
        <v>except</v>
      </c>
    </row>
    <row r="8799">
      <c r="A8799" s="1" t="s">
        <v>8799</v>
      </c>
      <c r="B8799" s="2" t="str">
        <f>IFERROR(__xludf.DUMMYFUNCTION("GOOGLETRANSLATE(A8799, ""de"", ""en"")"),"missed")</f>
        <v>missed</v>
      </c>
    </row>
    <row r="8800">
      <c r="A8800" s="1" t="s">
        <v>8800</v>
      </c>
      <c r="B8800" s="2" t="str">
        <f>IFERROR(__xludf.DUMMYFUNCTION("GOOGLETRANSLATE(A8800, ""de"", ""en"")"),"adored")</f>
        <v>adored</v>
      </c>
    </row>
    <row r="8801">
      <c r="A8801" s="1" t="s">
        <v>8801</v>
      </c>
      <c r="B8801" s="2" t="str">
        <f>IFERROR(__xludf.DUMMYFUNCTION("GOOGLETRANSLATE(A8801, ""de"", ""en"")"),"dirt")</f>
        <v>dirt</v>
      </c>
    </row>
    <row r="8802">
      <c r="A8802" s="1" t="s">
        <v>8802</v>
      </c>
      <c r="B8802" s="2" t="str">
        <f>IFERROR(__xludf.DUMMYFUNCTION("GOOGLETRANSLATE(A8802, ""de"", ""en"")"),"to track down")</f>
        <v>to track down</v>
      </c>
    </row>
    <row r="8803">
      <c r="A8803" s="1" t="s">
        <v>8803</v>
      </c>
      <c r="B8803" s="2" t="str">
        <f>IFERROR(__xludf.DUMMYFUNCTION("GOOGLETRANSLATE(A8803, ""de"", ""en"")"),"chairs")</f>
        <v>chairs</v>
      </c>
    </row>
    <row r="8804">
      <c r="A8804" s="1" t="s">
        <v>8804</v>
      </c>
      <c r="B8804" s="2" t="str">
        <f>IFERROR(__xludf.DUMMYFUNCTION("GOOGLETRANSLATE(A8804, ""de"", ""en"")"),"bring out")</f>
        <v>bring out</v>
      </c>
    </row>
    <row r="8805">
      <c r="A8805" s="1" t="s">
        <v>8805</v>
      </c>
      <c r="B8805" s="2" t="str">
        <f>IFERROR(__xludf.DUMMYFUNCTION("GOOGLETRANSLATE(A8805, ""de"", ""en"")"),"committee")</f>
        <v>committee</v>
      </c>
    </row>
    <row r="8806">
      <c r="A8806" s="1" t="s">
        <v>8806</v>
      </c>
      <c r="B8806" s="2" t="str">
        <f>IFERROR(__xludf.DUMMYFUNCTION("GOOGLETRANSLATE(A8806, ""de"", ""en"")"),"moms")</f>
        <v>moms</v>
      </c>
    </row>
    <row r="8807">
      <c r="A8807" s="1" t="s">
        <v>8807</v>
      </c>
      <c r="B8807" s="2" t="str">
        <f>IFERROR(__xludf.DUMMYFUNCTION("GOOGLETRANSLATE(A8807, ""de"", ""en"")"),"get along")</f>
        <v>get along</v>
      </c>
    </row>
    <row r="8808">
      <c r="A8808" s="1" t="s">
        <v>8808</v>
      </c>
      <c r="B8808" s="2" t="str">
        <f>IFERROR(__xludf.DUMMYFUNCTION("GOOGLETRANSLATE(A8808, ""de"", ""en"")"),"prophets")</f>
        <v>prophets</v>
      </c>
    </row>
    <row r="8809">
      <c r="A8809" s="1" t="s">
        <v>8809</v>
      </c>
      <c r="B8809" s="2" t="str">
        <f>IFERROR(__xludf.DUMMYFUNCTION("GOOGLETRANSLATE(A8809, ""de"", ""en"")"),"announcement")</f>
        <v>announcement</v>
      </c>
    </row>
    <row r="8810">
      <c r="A8810" s="1" t="s">
        <v>8810</v>
      </c>
      <c r="B8810" s="2" t="str">
        <f>IFERROR(__xludf.DUMMYFUNCTION("GOOGLETRANSLATE(A8810, ""de"", ""en"")"),"flora")</f>
        <v>flora</v>
      </c>
    </row>
    <row r="8811">
      <c r="A8811" s="1" t="s">
        <v>8811</v>
      </c>
      <c r="B8811" s="2" t="str">
        <f>IFERROR(__xludf.DUMMYFUNCTION("GOOGLETRANSLATE(A8811, ""de"", ""en"")"),"stepfather")</f>
        <v>stepfather</v>
      </c>
    </row>
    <row r="8812">
      <c r="A8812" s="1" t="s">
        <v>8812</v>
      </c>
      <c r="B8812" s="2" t="str">
        <f>IFERROR(__xludf.DUMMYFUNCTION("GOOGLETRANSLATE(A8812, ""de"", ""en"")"),"grim")</f>
        <v>grim</v>
      </c>
    </row>
    <row r="8813">
      <c r="A8813" s="1" t="s">
        <v>8813</v>
      </c>
      <c r="B8813" s="2" t="str">
        <f>IFERROR(__xludf.DUMMYFUNCTION("GOOGLETRANSLATE(A8813, ""de"", ""en"")"),"lol")</f>
        <v>lol</v>
      </c>
    </row>
    <row r="8814">
      <c r="A8814" s="1" t="s">
        <v>8814</v>
      </c>
      <c r="B8814" s="2" t="str">
        <f>IFERROR(__xludf.DUMMYFUNCTION("GOOGLETRANSLATE(A8814, ""de"", ""en"")"),"faith")</f>
        <v>faith</v>
      </c>
    </row>
    <row r="8815">
      <c r="A8815" s="1" t="s">
        <v>8815</v>
      </c>
      <c r="B8815" s="2" t="str">
        <f>IFERROR(__xludf.DUMMYFUNCTION("GOOGLETRANSLATE(A8815, ""de"", ""en"")"),"raise")</f>
        <v>raise</v>
      </c>
    </row>
    <row r="8816">
      <c r="A8816" s="1" t="s">
        <v>8816</v>
      </c>
      <c r="B8816" s="2" t="str">
        <f>IFERROR(__xludf.DUMMYFUNCTION("GOOGLETRANSLATE(A8816, ""de"", ""en"")"),"Ernie")</f>
        <v>Ernie</v>
      </c>
    </row>
    <row r="8817">
      <c r="A8817" s="1" t="s">
        <v>8817</v>
      </c>
      <c r="B8817" s="2" t="str">
        <f>IFERROR(__xludf.DUMMYFUNCTION("GOOGLETRANSLATE(A8817, ""de"", ""en"")"),"nations")</f>
        <v>nations</v>
      </c>
    </row>
    <row r="8818">
      <c r="A8818" s="1" t="s">
        <v>8818</v>
      </c>
      <c r="B8818" s="2" t="str">
        <f>IFERROR(__xludf.DUMMYFUNCTION("GOOGLETRANSLATE(A8818, ""de"", ""en"")"),"expenditure")</f>
        <v>expenditure</v>
      </c>
    </row>
    <row r="8819">
      <c r="A8819" s="1" t="s">
        <v>8819</v>
      </c>
      <c r="B8819" s="2" t="str">
        <f>IFERROR(__xludf.DUMMYFUNCTION("GOOGLETRANSLATE(A8819, ""de"", ""en"")"),"secret")</f>
        <v>secret</v>
      </c>
    </row>
    <row r="8820">
      <c r="A8820" s="1" t="s">
        <v>8820</v>
      </c>
      <c r="B8820" s="2" t="str">
        <f>IFERROR(__xludf.DUMMYFUNCTION("GOOGLETRANSLATE(A8820, ""de"", ""en"")"),"capt")</f>
        <v>capt</v>
      </c>
    </row>
    <row r="8821">
      <c r="A8821" s="1" t="s">
        <v>8821</v>
      </c>
      <c r="B8821" s="2" t="str">
        <f>IFERROR(__xludf.DUMMYFUNCTION("GOOGLETRANSLATE(A8821, ""de"", ""en"")"),"get it out")</f>
        <v>get it out</v>
      </c>
    </row>
    <row r="8822">
      <c r="A8822" s="1" t="s">
        <v>8822</v>
      </c>
      <c r="B8822" s="2" t="str">
        <f>IFERROR(__xludf.DUMMYFUNCTION("GOOGLETRANSLATE(A8822, ""de"", ""en"")"),"emerged")</f>
        <v>emerged</v>
      </c>
    </row>
    <row r="8823">
      <c r="A8823" s="1" t="s">
        <v>8823</v>
      </c>
      <c r="B8823" s="2" t="str">
        <f>IFERROR(__xludf.DUMMYFUNCTION("GOOGLETRANSLATE(A8823, ""de"", ""en"")"),"alarm level")</f>
        <v>alarm level</v>
      </c>
    </row>
    <row r="8824">
      <c r="A8824" s="1" t="s">
        <v>8824</v>
      </c>
      <c r="B8824" s="2" t="str">
        <f>IFERROR(__xludf.DUMMYFUNCTION("GOOGLETRANSLATE(A8824, ""de"", ""en"")"),"translate")</f>
        <v>translate</v>
      </c>
    </row>
    <row r="8825">
      <c r="A8825" s="1" t="s">
        <v>8825</v>
      </c>
      <c r="B8825" s="2" t="str">
        <f>IFERROR(__xludf.DUMMYFUNCTION("GOOGLETRANSLATE(A8825, ""de"", ""en"")"),"Greece")</f>
        <v>Greece</v>
      </c>
    </row>
    <row r="8826">
      <c r="A8826" s="1" t="s">
        <v>8826</v>
      </c>
      <c r="B8826" s="2" t="str">
        <f>IFERROR(__xludf.DUMMYFUNCTION("GOOGLETRANSLATE(A8826, ""de"", ""en"")"),"armor")</f>
        <v>armor</v>
      </c>
    </row>
    <row r="8827">
      <c r="A8827" s="1" t="s">
        <v>8827</v>
      </c>
      <c r="B8827" s="2" t="str">
        <f>IFERROR(__xludf.DUMMYFUNCTION("GOOGLETRANSLATE(A8827, ""de"", ""en"")"),"assassin")</f>
        <v>assassin</v>
      </c>
    </row>
    <row r="8828">
      <c r="A8828" s="1" t="s">
        <v>8828</v>
      </c>
      <c r="B8828" s="2" t="str">
        <f>IFERROR(__xludf.DUMMYFUNCTION("GOOGLETRANSLATE(A8828, ""de"", ""en"")"),"pigeons")</f>
        <v>pigeons</v>
      </c>
    </row>
    <row r="8829">
      <c r="A8829" s="1" t="s">
        <v>8829</v>
      </c>
      <c r="B8829" s="2" t="str">
        <f>IFERROR(__xludf.DUMMYFUNCTION("GOOGLETRANSLATE(A8829, ""de"", ""en"")"),"habit")</f>
        <v>habit</v>
      </c>
    </row>
    <row r="8830">
      <c r="A8830" s="1" t="s">
        <v>8830</v>
      </c>
      <c r="B8830" s="2" t="str">
        <f>IFERROR(__xludf.DUMMYFUNCTION("GOOGLETRANSLATE(A8830, ""de"", ""en"")"),"lousy")</f>
        <v>lousy</v>
      </c>
    </row>
    <row r="8831">
      <c r="A8831" s="1" t="s">
        <v>8831</v>
      </c>
      <c r="B8831" s="2" t="str">
        <f>IFERROR(__xludf.DUMMYFUNCTION("GOOGLETRANSLATE(A8831, ""de"", ""en"")"),"nanny")</f>
        <v>nanny</v>
      </c>
    </row>
    <row r="8832">
      <c r="A8832" s="1" t="s">
        <v>8832</v>
      </c>
      <c r="B8832" s="2" t="str">
        <f>IFERROR(__xludf.DUMMYFUNCTION("GOOGLETRANSLATE(A8832, ""de"", ""en"")"),"Brenda")</f>
        <v>Brenda</v>
      </c>
    </row>
    <row r="8833">
      <c r="A8833" s="1" t="s">
        <v>8833</v>
      </c>
      <c r="B8833" s="2" t="str">
        <f>IFERROR(__xludf.DUMMYFUNCTION("GOOGLETRANSLATE(A8833, ""de"", ""en"")"),"annoying")</f>
        <v>annoying</v>
      </c>
    </row>
    <row r="8834">
      <c r="A8834" s="1" t="s">
        <v>8834</v>
      </c>
      <c r="B8834" s="2" t="str">
        <f>IFERROR(__xludf.DUMMYFUNCTION("GOOGLETRANSLATE(A8834, ""de"", ""en"")"),"Japanese")</f>
        <v>Japanese</v>
      </c>
    </row>
    <row r="8835">
      <c r="A8835" s="1" t="s">
        <v>8835</v>
      </c>
      <c r="B8835" s="2" t="str">
        <f>IFERROR(__xludf.DUMMYFUNCTION("GOOGLETRANSLATE(A8835, ""de"", ""en"")"),"bitch")</f>
        <v>bitch</v>
      </c>
    </row>
    <row r="8836">
      <c r="A8836" s="1" t="s">
        <v>8836</v>
      </c>
      <c r="B8836" s="2" t="str">
        <f>IFERROR(__xludf.DUMMYFUNCTION("GOOGLETRANSLATE(A8836, ""de"", ""en"")"),"nsa")</f>
        <v>nsa</v>
      </c>
    </row>
    <row r="8837">
      <c r="A8837" s="1" t="s">
        <v>8837</v>
      </c>
      <c r="B8837" s="2" t="str">
        <f>IFERROR(__xludf.DUMMYFUNCTION("GOOGLETRANSLATE(A8837, ""de"", ""en"")"),"Werner")</f>
        <v>Werner</v>
      </c>
    </row>
    <row r="8838">
      <c r="A8838" s="1" t="s">
        <v>8838</v>
      </c>
      <c r="B8838" s="2" t="str">
        <f>IFERROR(__xludf.DUMMYFUNCTION("GOOGLETRANSLATE(A8838, ""de"", ""en"")"),"contains")</f>
        <v>contains</v>
      </c>
    </row>
    <row r="8839">
      <c r="A8839" s="1" t="s">
        <v>8839</v>
      </c>
      <c r="B8839" s="2" t="str">
        <f>IFERROR(__xludf.DUMMYFUNCTION("GOOGLETRANSLATE(A8839, ""de"", ""en"")"),"donuts")</f>
        <v>donuts</v>
      </c>
    </row>
    <row r="8840">
      <c r="A8840" s="1" t="s">
        <v>8840</v>
      </c>
      <c r="B8840" s="2" t="str">
        <f>IFERROR(__xludf.DUMMYFUNCTION("GOOGLETRANSLATE(A8840, ""de"", ""en"")"),"fired")</f>
        <v>fired</v>
      </c>
    </row>
    <row r="8841">
      <c r="A8841" s="1" t="s">
        <v>8841</v>
      </c>
      <c r="B8841" s="2" t="str">
        <f>IFERROR(__xludf.DUMMYFUNCTION("GOOGLETRANSLATE(A8841, ""de"", ""en"")"),"Luther")</f>
        <v>Luther</v>
      </c>
    </row>
    <row r="8842">
      <c r="A8842" s="1" t="s">
        <v>8842</v>
      </c>
      <c r="B8842" s="2" t="str">
        <f>IFERROR(__xludf.DUMMYFUNCTION("GOOGLETRANSLATE(A8842, ""de"", ""en"")"),"get away with it")</f>
        <v>get away with it</v>
      </c>
    </row>
    <row r="8843">
      <c r="A8843" s="1" t="s">
        <v>8843</v>
      </c>
      <c r="B8843" s="2" t="str">
        <f>IFERROR(__xludf.DUMMYFUNCTION("GOOGLETRANSLATE(A8843, ""de"", ""en"")"),"godzilla")</f>
        <v>godzilla</v>
      </c>
    </row>
    <row r="8844">
      <c r="A8844" s="1" t="s">
        <v>8844</v>
      </c>
      <c r="B8844" s="2" t="str">
        <f>IFERROR(__xludf.DUMMYFUNCTION("GOOGLETRANSLATE(A8844, ""de"", ""en"")"),"add")</f>
        <v>add</v>
      </c>
    </row>
    <row r="8845">
      <c r="A8845" s="1" t="s">
        <v>8845</v>
      </c>
      <c r="B8845" s="2" t="str">
        <f>IFERROR(__xludf.DUMMYFUNCTION("GOOGLETRANSLATE(A8845, ""de"", ""en"")"),"three")</f>
        <v>three</v>
      </c>
    </row>
    <row r="8846">
      <c r="A8846" s="1" t="s">
        <v>8846</v>
      </c>
      <c r="B8846" s="2" t="str">
        <f>IFERROR(__xludf.DUMMYFUNCTION("GOOGLETRANSLATE(A8846, ""de"", ""en"")"),"werewolf")</f>
        <v>werewolf</v>
      </c>
    </row>
    <row r="8847">
      <c r="A8847" s="1" t="s">
        <v>8847</v>
      </c>
      <c r="B8847" s="2" t="str">
        <f>IFERROR(__xludf.DUMMYFUNCTION("GOOGLETRANSLATE(A8847, ""de"", ""en"")"),"Denver")</f>
        <v>Denver</v>
      </c>
    </row>
    <row r="8848">
      <c r="A8848" s="1" t="s">
        <v>8848</v>
      </c>
      <c r="B8848" s="2" t="str">
        <f>IFERROR(__xludf.DUMMYFUNCTION("GOOGLETRANSLATE(A8848, ""de"", ""en"")"),"lift")</f>
        <v>lift</v>
      </c>
    </row>
    <row r="8849">
      <c r="A8849" s="1" t="s">
        <v>8849</v>
      </c>
      <c r="B8849" s="2" t="str">
        <f>IFERROR(__xludf.DUMMYFUNCTION("GOOGLETRANSLATE(A8849, ""de"", ""en"")"),"ambition")</f>
        <v>ambition</v>
      </c>
    </row>
    <row r="8850">
      <c r="A8850" s="1" t="s">
        <v>8850</v>
      </c>
      <c r="B8850" s="2" t="str">
        <f>IFERROR(__xludf.DUMMYFUNCTION("GOOGLETRANSLATE(A8850, ""de"", ""en"")"),"abode")</f>
        <v>abode</v>
      </c>
    </row>
    <row r="8851">
      <c r="A8851" s="1" t="s">
        <v>8851</v>
      </c>
      <c r="B8851" s="2" t="str">
        <f>IFERROR(__xludf.DUMMYFUNCTION("GOOGLETRANSLATE(A8851, ""de"", ""en"")"),"adorable")</f>
        <v>adorable</v>
      </c>
    </row>
    <row r="8852">
      <c r="A8852" s="1" t="s">
        <v>8852</v>
      </c>
      <c r="B8852" s="2" t="str">
        <f>IFERROR(__xludf.DUMMYFUNCTION("GOOGLETRANSLATE(A8852, ""de"", ""en"")"),"greeting")</f>
        <v>greeting</v>
      </c>
    </row>
    <row r="8853">
      <c r="A8853" s="1" t="s">
        <v>8853</v>
      </c>
      <c r="B8853" s="2" t="str">
        <f>IFERROR(__xludf.DUMMYFUNCTION("GOOGLETRANSLATE(A8853, ""de"", ""en"")"),"borgia")</f>
        <v>borgia</v>
      </c>
    </row>
    <row r="8854">
      <c r="A8854" s="1" t="s">
        <v>8854</v>
      </c>
      <c r="B8854" s="2" t="str">
        <f>IFERROR(__xludf.DUMMYFUNCTION("GOOGLETRANSLATE(A8854, ""de"", ""en"")"),"howie")</f>
        <v>howie</v>
      </c>
    </row>
    <row r="8855">
      <c r="A8855" s="1" t="s">
        <v>8855</v>
      </c>
      <c r="B8855" s="2" t="str">
        <f>IFERROR(__xludf.DUMMYFUNCTION("GOOGLETRANSLATE(A8855, ""de"", ""en"")"),"mckay")</f>
        <v>mckay</v>
      </c>
    </row>
    <row r="8856">
      <c r="A8856" s="1" t="s">
        <v>8856</v>
      </c>
      <c r="B8856" s="2" t="str">
        <f>IFERROR(__xludf.DUMMYFUNCTION("GOOGLETRANSLATE(A8856, ""de"", ""en"")"),"dj")</f>
        <v>dj</v>
      </c>
    </row>
    <row r="8857">
      <c r="A8857" s="1" t="s">
        <v>8857</v>
      </c>
      <c r="B8857" s="2" t="str">
        <f>IFERROR(__xludf.DUMMYFUNCTION("GOOGLETRANSLATE(A8857, ""de"", ""en"")"),"now")</f>
        <v>now</v>
      </c>
    </row>
    <row r="8858">
      <c r="A8858" s="1" t="s">
        <v>8858</v>
      </c>
      <c r="B8858" s="2" t="str">
        <f>IFERROR(__xludf.DUMMYFUNCTION("GOOGLETRANSLATE(A8858, ""de"", ""en"")"),"drawing")</f>
        <v>drawing</v>
      </c>
    </row>
    <row r="8859">
      <c r="A8859" s="1" t="s">
        <v>8859</v>
      </c>
      <c r="B8859" s="2" t="str">
        <f>IFERROR(__xludf.DUMMYFUNCTION("GOOGLETRANSLATE(A8859, ""de"", ""en"")"),"violin")</f>
        <v>violin</v>
      </c>
    </row>
    <row r="8860">
      <c r="A8860" s="1" t="s">
        <v>8860</v>
      </c>
      <c r="B8860" s="2" t="str">
        <f>IFERROR(__xludf.DUMMYFUNCTION("GOOGLETRANSLATE(A8860, ""de"", ""en"")"),"continued")</f>
        <v>continued</v>
      </c>
    </row>
    <row r="8861">
      <c r="A8861" s="1" t="s">
        <v>8861</v>
      </c>
      <c r="B8861" s="2" t="str">
        <f>IFERROR(__xludf.DUMMYFUNCTION("GOOGLETRANSLATE(A8861, ""de"", ""en"")"),"pukes")</f>
        <v>pukes</v>
      </c>
    </row>
    <row r="8862">
      <c r="A8862" s="1" t="s">
        <v>8862</v>
      </c>
      <c r="B8862" s="2" t="str">
        <f>IFERROR(__xludf.DUMMYFUNCTION("GOOGLETRANSLATE(A8862, ""de"", ""en"")"),"lucky day")</f>
        <v>lucky day</v>
      </c>
    </row>
    <row r="8863">
      <c r="A8863" s="1" t="s">
        <v>8863</v>
      </c>
      <c r="B8863" s="2" t="str">
        <f>IFERROR(__xludf.DUMMYFUNCTION("GOOGLETRANSLATE(A8863, ""de"", ""en"")"),"Japanese")</f>
        <v>Japanese</v>
      </c>
    </row>
    <row r="8864">
      <c r="A8864" s="1" t="s">
        <v>8864</v>
      </c>
      <c r="B8864" s="2" t="str">
        <f>IFERROR(__xludf.DUMMYFUNCTION("GOOGLETRANSLATE(A8864, ""de"", ""en"")"),"archive")</f>
        <v>archive</v>
      </c>
    </row>
    <row r="8865">
      <c r="A8865" s="1" t="s">
        <v>8865</v>
      </c>
      <c r="B8865" s="2" t="str">
        <f>IFERROR(__xludf.DUMMYFUNCTION("GOOGLETRANSLATE(A8865, ""de"", ""en"")"),"catch up")</f>
        <v>catch up</v>
      </c>
    </row>
    <row r="8866">
      <c r="A8866" s="1" t="s">
        <v>8866</v>
      </c>
      <c r="B8866" s="2" t="str">
        <f>IFERROR(__xludf.DUMMYFUNCTION("GOOGLETRANSLATE(A8866, ""de"", ""en"")"),"bush")</f>
        <v>bush</v>
      </c>
    </row>
    <row r="8867">
      <c r="A8867" s="1" t="s">
        <v>8867</v>
      </c>
      <c r="B8867" s="2" t="str">
        <f>IFERROR(__xludf.DUMMYFUNCTION("GOOGLETRANSLATE(A8867, ""de"", ""en"")"),"keep out")</f>
        <v>keep out</v>
      </c>
    </row>
    <row r="8868">
      <c r="A8868" s="1" t="s">
        <v>8868</v>
      </c>
      <c r="B8868" s="2" t="str">
        <f>IFERROR(__xludf.DUMMYFUNCTION("GOOGLETRANSLATE(A8868, ""de"", ""en"")"),"concealed")</f>
        <v>concealed</v>
      </c>
    </row>
    <row r="8869">
      <c r="A8869" s="1" t="s">
        <v>8869</v>
      </c>
      <c r="B8869" s="2" t="str">
        <f>IFERROR(__xludf.DUMMYFUNCTION("GOOGLETRANSLATE(A8869, ""de"", ""en"")"),"hacker")</f>
        <v>hacker</v>
      </c>
    </row>
    <row r="8870">
      <c r="A8870" s="1" t="s">
        <v>8870</v>
      </c>
      <c r="B8870" s="2" t="str">
        <f>IFERROR(__xludf.DUMMYFUNCTION("GOOGLETRANSLATE(A8870, ""de"", ""en"")"),"devotion")</f>
        <v>devotion</v>
      </c>
    </row>
    <row r="8871">
      <c r="A8871" s="1" t="s">
        <v>8871</v>
      </c>
      <c r="B8871" s="2" t="str">
        <f>IFERROR(__xludf.DUMMYFUNCTION("GOOGLETRANSLATE(A8871, ""de"", ""en"")"),"watches")</f>
        <v>watches</v>
      </c>
    </row>
    <row r="8872">
      <c r="A8872" s="1" t="s">
        <v>8872</v>
      </c>
      <c r="B8872" s="2" t="str">
        <f>IFERROR(__xludf.DUMMYFUNCTION("GOOGLETRANSLATE(A8872, ""de"", ""en"")"),"cyril")</f>
        <v>cyril</v>
      </c>
    </row>
    <row r="8873">
      <c r="A8873" s="1" t="s">
        <v>8873</v>
      </c>
      <c r="B8873" s="2" t="str">
        <f>IFERROR(__xludf.DUMMYFUNCTION("GOOGLETRANSLATE(A8873, ""de"", ""en"")"),"conquered")</f>
        <v>conquered</v>
      </c>
    </row>
    <row r="8874">
      <c r="A8874" s="1" t="s">
        <v>8874</v>
      </c>
      <c r="B8874" s="2" t="str">
        <f>IFERROR(__xludf.DUMMYFUNCTION("GOOGLETRANSLATE(A8874, ""de"", ""en"")"),"bandit")</f>
        <v>bandit</v>
      </c>
    </row>
    <row r="8875">
      <c r="A8875" s="1" t="s">
        <v>8875</v>
      </c>
      <c r="B8875" s="2" t="str">
        <f>IFERROR(__xludf.DUMMYFUNCTION("GOOGLETRANSLATE(A8875, ""de"", ""en"")"),"lines")</f>
        <v>lines</v>
      </c>
    </row>
    <row r="8876">
      <c r="A8876" s="1" t="s">
        <v>8876</v>
      </c>
      <c r="B8876" s="2" t="str">
        <f>IFERROR(__xludf.DUMMYFUNCTION("GOOGLETRANSLATE(A8876, ""de"", ""en"")"),"to deal with")</f>
        <v>to deal with</v>
      </c>
    </row>
    <row r="8877">
      <c r="A8877" s="1" t="s">
        <v>8877</v>
      </c>
      <c r="B8877" s="2" t="str">
        <f>IFERROR(__xludf.DUMMYFUNCTION("GOOGLETRANSLATE(A8877, ""de"", ""en"")"),"Roberto")</f>
        <v>Roberto</v>
      </c>
    </row>
    <row r="8878">
      <c r="A8878" s="1" t="s">
        <v>8878</v>
      </c>
      <c r="B8878" s="2" t="str">
        <f>IFERROR(__xludf.DUMMYFUNCTION("GOOGLETRANSLATE(A8878, ""de"", ""en"")"),"first names")</f>
        <v>first names</v>
      </c>
    </row>
    <row r="8879">
      <c r="A8879" s="1" t="s">
        <v>8879</v>
      </c>
      <c r="B8879" s="2" t="str">
        <f>IFERROR(__xludf.DUMMYFUNCTION("GOOGLETRANSLATE(A8879, ""de"", ""en"")"),"Tessa")</f>
        <v>Tessa</v>
      </c>
    </row>
    <row r="8880">
      <c r="A8880" s="1" t="s">
        <v>8880</v>
      </c>
      <c r="B8880" s="2" t="str">
        <f>IFERROR(__xludf.DUMMYFUNCTION("GOOGLETRANSLATE(A8880, ""de"", ""en"")"),"nerve")</f>
        <v>nerve</v>
      </c>
    </row>
    <row r="8881">
      <c r="A8881" s="1" t="s">
        <v>8881</v>
      </c>
      <c r="B8881" s="2" t="str">
        <f>IFERROR(__xludf.DUMMYFUNCTION("GOOGLETRANSLATE(A8881, ""de"", ""en"")"),"contact")</f>
        <v>contact</v>
      </c>
    </row>
    <row r="8882">
      <c r="A8882" s="1" t="s">
        <v>8882</v>
      </c>
      <c r="B8882" s="2" t="str">
        <f>IFERROR(__xludf.DUMMYFUNCTION("GOOGLETRANSLATE(A8882, ""de"", ""en"")"),"seized")</f>
        <v>seized</v>
      </c>
    </row>
    <row r="8883">
      <c r="A8883" s="1" t="s">
        <v>8883</v>
      </c>
      <c r="B8883" s="2" t="str">
        <f>IFERROR(__xludf.DUMMYFUNCTION("GOOGLETRANSLATE(A8883, ""de"", ""en"")"),"saddle")</f>
        <v>saddle</v>
      </c>
    </row>
    <row r="8884">
      <c r="A8884" s="1" t="s">
        <v>8884</v>
      </c>
      <c r="B8884" s="2" t="str">
        <f>IFERROR(__xludf.DUMMYFUNCTION("GOOGLETRANSLATE(A8884, ""de"", ""en"")"),"bored")</f>
        <v>bored</v>
      </c>
    </row>
    <row r="8885">
      <c r="A8885" s="1" t="s">
        <v>8885</v>
      </c>
      <c r="B8885" s="2" t="str">
        <f>IFERROR(__xludf.DUMMYFUNCTION("GOOGLETRANSLATE(A8885, ""de"", ""en"")"),"intact")</f>
        <v>intact</v>
      </c>
    </row>
    <row r="8886">
      <c r="A8886" s="1" t="s">
        <v>8886</v>
      </c>
      <c r="B8886" s="2" t="str">
        <f>IFERROR(__xludf.DUMMYFUNCTION("GOOGLETRANSLATE(A8886, ""de"", ""en"")"),"isabella")</f>
        <v>isabella</v>
      </c>
    </row>
    <row r="8887">
      <c r="A8887" s="1" t="s">
        <v>8887</v>
      </c>
      <c r="B8887" s="2" t="str">
        <f>IFERROR(__xludf.DUMMYFUNCTION("GOOGLETRANSLATE(A8887, ""de"", ""en"")"),"poetry")</f>
        <v>poetry</v>
      </c>
    </row>
    <row r="8888">
      <c r="A8888" s="1" t="s">
        <v>8888</v>
      </c>
      <c r="B8888" s="2" t="str">
        <f>IFERROR(__xludf.DUMMYFUNCTION("GOOGLETRANSLATE(A8888, ""de"", ""en"")"),"maintain")</f>
        <v>maintain</v>
      </c>
    </row>
    <row r="8889">
      <c r="A8889" s="1" t="s">
        <v>8889</v>
      </c>
      <c r="B8889" s="2" t="str">
        <f>IFERROR(__xludf.DUMMYFUNCTION("GOOGLETRANSLATE(A8889, ""de"", ""en"")"),"charged")</f>
        <v>charged</v>
      </c>
    </row>
    <row r="8890">
      <c r="A8890" s="1" t="s">
        <v>8890</v>
      </c>
      <c r="B8890" s="2" t="str">
        <f>IFERROR(__xludf.DUMMYFUNCTION("GOOGLETRANSLATE(A8890, ""de"", ""en"")"),"let in")</f>
        <v>let in</v>
      </c>
    </row>
    <row r="8891">
      <c r="A8891" s="1" t="s">
        <v>8891</v>
      </c>
      <c r="B8891" s="2" t="str">
        <f>IFERROR(__xludf.DUMMYFUNCTION("GOOGLETRANSLATE(A8891, ""de"", ""en"")"),"yen")</f>
        <v>yen</v>
      </c>
    </row>
    <row r="8892">
      <c r="A8892" s="1" t="s">
        <v>8892</v>
      </c>
      <c r="B8892" s="2" t="str">
        <f>IFERROR(__xludf.DUMMYFUNCTION("GOOGLETRANSLATE(A8892, ""de"", ""en"")"),"beaten")</f>
        <v>beaten</v>
      </c>
    </row>
    <row r="8893">
      <c r="A8893" s="1" t="s">
        <v>8893</v>
      </c>
      <c r="B8893" s="2" t="str">
        <f>IFERROR(__xludf.DUMMYFUNCTION("GOOGLETRANSLATE(A8893, ""de"", ""en"")"),"perspective")</f>
        <v>perspective</v>
      </c>
    </row>
    <row r="8894">
      <c r="A8894" s="1" t="s">
        <v>8894</v>
      </c>
      <c r="B8894" s="2" t="str">
        <f>IFERROR(__xludf.DUMMYFUNCTION("GOOGLETRANSLATE(A8894, ""de"", ""en"")"),"screams")</f>
        <v>screams</v>
      </c>
    </row>
    <row r="8895">
      <c r="A8895" s="1" t="s">
        <v>8895</v>
      </c>
      <c r="B8895" s="2" t="str">
        <f>IFERROR(__xludf.DUMMYFUNCTION("GOOGLETRANSLATE(A8895, ""de"", ""en"")"),"semen")</f>
        <v>semen</v>
      </c>
    </row>
    <row r="8896">
      <c r="A8896" s="1" t="s">
        <v>8896</v>
      </c>
      <c r="B8896" s="2" t="str">
        <f>IFERROR(__xludf.DUMMYFUNCTION("GOOGLETRANSLATE(A8896, ""de"", ""en"")"),"laid down")</f>
        <v>laid down</v>
      </c>
    </row>
    <row r="8897">
      <c r="A8897" s="1" t="s">
        <v>8897</v>
      </c>
      <c r="B8897" s="2" t="str">
        <f>IFERROR(__xludf.DUMMYFUNCTION("GOOGLETRANSLATE(A8897, ""de"", ""en"")"),"wild")</f>
        <v>wild</v>
      </c>
    </row>
    <row r="8898">
      <c r="A8898" s="1" t="s">
        <v>8898</v>
      </c>
      <c r="B8898" s="2" t="str">
        <f>IFERROR(__xludf.DUMMYFUNCTION("GOOGLETRANSLATE(A8898, ""de"", ""en"")"),"understand")</f>
        <v>understand</v>
      </c>
    </row>
    <row r="8899">
      <c r="A8899" s="1" t="s">
        <v>8899</v>
      </c>
      <c r="B8899" s="2" t="str">
        <f>IFERROR(__xludf.DUMMYFUNCTION("GOOGLETRANSLATE(A8899, ""de"", ""en"")"),"marcie")</f>
        <v>marcie</v>
      </c>
    </row>
    <row r="8900">
      <c r="A8900" s="1" t="s">
        <v>8900</v>
      </c>
      <c r="B8900" s="2" t="str">
        <f>IFERROR(__xludf.DUMMYFUNCTION("GOOGLETRANSLATE(A8900, ""de"", ""en"")"),"ii")</f>
        <v>ii</v>
      </c>
    </row>
    <row r="8901">
      <c r="A8901" s="1" t="s">
        <v>8901</v>
      </c>
      <c r="B8901" s="2" t="str">
        <f>IFERROR(__xludf.DUMMYFUNCTION("GOOGLETRANSLATE(A8901, ""de"", ""en"")"),"metropolis")</f>
        <v>metropolis</v>
      </c>
    </row>
    <row r="8902">
      <c r="A8902" s="1" t="s">
        <v>8902</v>
      </c>
      <c r="B8902" s="2" t="str">
        <f>IFERROR(__xludf.DUMMYFUNCTION("GOOGLETRANSLATE(A8902, ""de"", ""en"")"),"tortoise")</f>
        <v>tortoise</v>
      </c>
    </row>
    <row r="8903">
      <c r="A8903" s="1" t="s">
        <v>8903</v>
      </c>
      <c r="B8903" s="2" t="str">
        <f>IFERROR(__xludf.DUMMYFUNCTION("GOOGLETRANSLATE(A8903, ""de"", ""en"")"),"surrounded")</f>
        <v>surrounded</v>
      </c>
    </row>
    <row r="8904">
      <c r="A8904" s="1" t="s">
        <v>8904</v>
      </c>
      <c r="B8904" s="2" t="str">
        <f>IFERROR(__xludf.DUMMYFUNCTION("GOOGLETRANSLATE(A8904, ""de"", ""en"")"),"Buddha")</f>
        <v>Buddha</v>
      </c>
    </row>
    <row r="8905">
      <c r="A8905" s="1" t="s">
        <v>8905</v>
      </c>
      <c r="B8905" s="2" t="str">
        <f>IFERROR(__xludf.DUMMYFUNCTION("GOOGLETRANSLATE(A8905, ""de"", ""en"")"),"bonus")</f>
        <v>bonus</v>
      </c>
    </row>
    <row r="8906">
      <c r="A8906" s="1" t="s">
        <v>8906</v>
      </c>
      <c r="B8906" s="2" t="str">
        <f>IFERROR(__xludf.DUMMYFUNCTION("GOOGLETRANSLATE(A8906, ""de"", ""en"")"),"dare")</f>
        <v>dare</v>
      </c>
    </row>
    <row r="8907">
      <c r="A8907" s="1" t="s">
        <v>8907</v>
      </c>
      <c r="B8907" s="2" t="str">
        <f>IFERROR(__xludf.DUMMYFUNCTION("GOOGLETRANSLATE(A8907, ""de"", ""en"")"),"spit")</f>
        <v>spit</v>
      </c>
    </row>
    <row r="8908">
      <c r="A8908" s="1" t="s">
        <v>8908</v>
      </c>
      <c r="B8908" s="2" t="str">
        <f>IFERROR(__xludf.DUMMYFUNCTION("GOOGLETRANSLATE(A8908, ""de"", ""en"")"),"let in")</f>
        <v>let in</v>
      </c>
    </row>
    <row r="8909">
      <c r="A8909" s="1" t="s">
        <v>8909</v>
      </c>
      <c r="B8909" s="2" t="str">
        <f>IFERROR(__xludf.DUMMYFUNCTION("GOOGLETRANSLATE(A8909, ""de"", ""en"")"),"cheap")</f>
        <v>cheap</v>
      </c>
    </row>
    <row r="8910">
      <c r="A8910" s="1" t="s">
        <v>8910</v>
      </c>
      <c r="B8910" s="2" t="str">
        <f>IFERROR(__xludf.DUMMYFUNCTION("GOOGLETRANSLATE(A8910, ""de"", ""en"")"),"yu")</f>
        <v>yu</v>
      </c>
    </row>
    <row r="8911">
      <c r="A8911" s="1" t="s">
        <v>8911</v>
      </c>
      <c r="B8911" s="2" t="str">
        <f>IFERROR(__xludf.DUMMYFUNCTION("GOOGLETRANSLATE(A8911, ""de"", ""en"")"),"life sentence")</f>
        <v>life sentence</v>
      </c>
    </row>
    <row r="8912">
      <c r="A8912" s="1" t="s">
        <v>8912</v>
      </c>
      <c r="B8912" s="2" t="str">
        <f>IFERROR(__xludf.DUMMYFUNCTION("GOOGLETRANSLATE(A8912, ""de"", ""en"")"),"sloane")</f>
        <v>sloane</v>
      </c>
    </row>
    <row r="8913">
      <c r="A8913" s="1" t="s">
        <v>8913</v>
      </c>
      <c r="B8913" s="2" t="str">
        <f>IFERROR(__xludf.DUMMYFUNCTION("GOOGLETRANSLATE(A8913, ""de"", ""en"")"),"precise")</f>
        <v>precise</v>
      </c>
    </row>
    <row r="8914">
      <c r="A8914" s="1" t="s">
        <v>8914</v>
      </c>
      <c r="B8914" s="2" t="str">
        <f>IFERROR(__xludf.DUMMYFUNCTION("GOOGLETRANSLATE(A8914, ""de"", ""en"")"),"form")</f>
        <v>form</v>
      </c>
    </row>
    <row r="8915">
      <c r="A8915" s="1" t="s">
        <v>8915</v>
      </c>
      <c r="B8915" s="2" t="str">
        <f>IFERROR(__xludf.DUMMYFUNCTION("GOOGLETRANSLATE(A8915, ""de"", ""en"")"),"custody")</f>
        <v>custody</v>
      </c>
    </row>
    <row r="8916">
      <c r="A8916" s="1" t="s">
        <v>8916</v>
      </c>
      <c r="B8916" s="2" t="str">
        <f>IFERROR(__xludf.DUMMYFUNCTION("GOOGLETRANSLATE(A8916, ""de"", ""en"")"),"blind people")</f>
        <v>blind people</v>
      </c>
    </row>
    <row r="8917">
      <c r="A8917" s="1" t="s">
        <v>8917</v>
      </c>
      <c r="B8917" s="2" t="str">
        <f>IFERROR(__xludf.DUMMYFUNCTION("GOOGLETRANSLATE(A8917, ""de"", ""en"")"),"bid")</f>
        <v>bid</v>
      </c>
    </row>
    <row r="8918">
      <c r="A8918" s="1" t="s">
        <v>8918</v>
      </c>
      <c r="B8918" s="2" t="str">
        <f>IFERROR(__xludf.DUMMYFUNCTION("GOOGLETRANSLATE(A8918, ""de"", ""en"")"),"p")</f>
        <v>p</v>
      </c>
    </row>
    <row r="8919">
      <c r="A8919" s="1" t="s">
        <v>8919</v>
      </c>
      <c r="B8919" s="2" t="str">
        <f>IFERROR(__xludf.DUMMYFUNCTION("GOOGLETRANSLATE(A8919, ""de"", ""en"")"),"pay back")</f>
        <v>pay back</v>
      </c>
    </row>
    <row r="8920">
      <c r="A8920" s="1" t="s">
        <v>8920</v>
      </c>
      <c r="B8920" s="2" t="str">
        <f>IFERROR(__xludf.DUMMYFUNCTION("GOOGLETRANSLATE(A8920, ""de"", ""en"")"),"ants")</f>
        <v>ants</v>
      </c>
    </row>
    <row r="8921">
      <c r="A8921" s="1" t="s">
        <v>8921</v>
      </c>
      <c r="B8921" s="2" t="str">
        <f>IFERROR(__xludf.DUMMYFUNCTION("GOOGLETRANSLATE(A8921, ""de"", ""en"")"),"lend")</f>
        <v>lend</v>
      </c>
    </row>
    <row r="8922">
      <c r="A8922" s="1" t="s">
        <v>8922</v>
      </c>
      <c r="B8922" s="2" t="str">
        <f>IFERROR(__xludf.DUMMYFUNCTION("GOOGLETRANSLATE(A8922, ""de"", ""en"")"),"edited")</f>
        <v>edited</v>
      </c>
    </row>
    <row r="8923">
      <c r="A8923" s="1" t="s">
        <v>8923</v>
      </c>
      <c r="B8923" s="2" t="str">
        <f>IFERROR(__xludf.DUMMYFUNCTION("GOOGLETRANSLATE(A8923, ""de"", ""en"")"),"riker")</f>
        <v>riker</v>
      </c>
    </row>
    <row r="8924">
      <c r="A8924" s="1" t="s">
        <v>8924</v>
      </c>
      <c r="B8924" s="2" t="str">
        <f>IFERROR(__xludf.DUMMYFUNCTION("GOOGLETRANSLATE(A8924, ""de"", ""en"")"),"lid")</f>
        <v>lid</v>
      </c>
    </row>
    <row r="8925">
      <c r="A8925" s="1" t="s">
        <v>8925</v>
      </c>
      <c r="B8925" s="2" t="str">
        <f>IFERROR(__xludf.DUMMYFUNCTION("GOOGLETRANSLATE(A8925, ""de"", ""en"")"),"Theresa")</f>
        <v>Theresa</v>
      </c>
    </row>
    <row r="8926">
      <c r="A8926" s="1" t="s">
        <v>8926</v>
      </c>
      <c r="B8926" s="2" t="str">
        <f>IFERROR(__xludf.DUMMYFUNCTION("GOOGLETRANSLATE(A8926, ""de"", ""en"")"),"Pentagon")</f>
        <v>Pentagon</v>
      </c>
    </row>
    <row r="8927">
      <c r="A8927" s="1" t="s">
        <v>8927</v>
      </c>
      <c r="B8927" s="2" t="str">
        <f>IFERROR(__xludf.DUMMYFUNCTION("GOOGLETRANSLATE(A8927, ""de"", ""en"")"),"cheekiness")</f>
        <v>cheekiness</v>
      </c>
    </row>
    <row r="8928">
      <c r="A8928" s="1" t="s">
        <v>8928</v>
      </c>
      <c r="B8928" s="2" t="str">
        <f>IFERROR(__xludf.DUMMYFUNCTION("GOOGLETRANSLATE(A8928, ""de"", ""en"")"),"sinks")</f>
        <v>sinks</v>
      </c>
    </row>
    <row r="8929">
      <c r="A8929" s="1" t="s">
        <v>8929</v>
      </c>
      <c r="B8929" s="2" t="str">
        <f>IFERROR(__xludf.DUMMYFUNCTION("GOOGLETRANSLATE(A8929, ""de"", ""en"")"),"hospitality")</f>
        <v>hospitality</v>
      </c>
    </row>
    <row r="8930">
      <c r="A8930" s="1" t="s">
        <v>8930</v>
      </c>
      <c r="B8930" s="2" t="str">
        <f>IFERROR(__xludf.DUMMYFUNCTION("GOOGLETRANSLATE(A8930, ""de"", ""en"")"),"contain")</f>
        <v>contain</v>
      </c>
    </row>
    <row r="8931">
      <c r="A8931" s="1" t="s">
        <v>8931</v>
      </c>
      <c r="B8931" s="2" t="str">
        <f>IFERROR(__xludf.DUMMYFUNCTION("GOOGLETRANSLATE(A8931, ""de"", ""en"")"),"sponge")</f>
        <v>sponge</v>
      </c>
    </row>
    <row r="8932">
      <c r="A8932" s="1" t="s">
        <v>8932</v>
      </c>
      <c r="B8932" s="2" t="str">
        <f>IFERROR(__xludf.DUMMYFUNCTION("GOOGLETRANSLATE(A8932, ""de"", ""en"")"),"happy")</f>
        <v>happy</v>
      </c>
    </row>
    <row r="8933">
      <c r="A8933" s="1" t="s">
        <v>8933</v>
      </c>
      <c r="B8933" s="2" t="str">
        <f>IFERROR(__xludf.DUMMYFUNCTION("GOOGLETRANSLATE(A8933, ""de"", ""en"")"),"blocks")</f>
        <v>blocks</v>
      </c>
    </row>
    <row r="8934">
      <c r="A8934" s="1" t="s">
        <v>8934</v>
      </c>
      <c r="B8934" s="2" t="str">
        <f>IFERROR(__xludf.DUMMYFUNCTION("GOOGLETRANSLATE(A8934, ""de"", ""en"")"),"cliff")</f>
        <v>cliff</v>
      </c>
    </row>
    <row r="8935">
      <c r="A8935" s="1" t="s">
        <v>8935</v>
      </c>
      <c r="B8935" s="2" t="str">
        <f>IFERROR(__xludf.DUMMYFUNCTION("GOOGLETRANSLATE(A8935, ""de"", ""en"")"),"healey")</f>
        <v>healey</v>
      </c>
    </row>
    <row r="8936">
      <c r="A8936" s="1" t="s">
        <v>8936</v>
      </c>
      <c r="B8936" s="2" t="str">
        <f>IFERROR(__xludf.DUMMYFUNCTION("GOOGLETRANSLATE(A8936, ""de"", ""en"")"),"container")</f>
        <v>container</v>
      </c>
    </row>
    <row r="8937">
      <c r="A8937" s="1" t="s">
        <v>8937</v>
      </c>
      <c r="B8937" s="2" t="str">
        <f>IFERROR(__xludf.DUMMYFUNCTION("GOOGLETRANSLATE(A8937, ""de"", ""en"")"),"put on")</f>
        <v>put on</v>
      </c>
    </row>
    <row r="8938">
      <c r="A8938" s="1" t="s">
        <v>8938</v>
      </c>
      <c r="B8938" s="2" t="str">
        <f>IFERROR(__xludf.DUMMYFUNCTION("GOOGLETRANSLATE(A8938, ""de"", ""en"")"),"received")</f>
        <v>received</v>
      </c>
    </row>
    <row r="8939">
      <c r="A8939" s="1" t="s">
        <v>8939</v>
      </c>
      <c r="B8939" s="2" t="str">
        <f>IFERROR(__xludf.DUMMYFUNCTION("GOOGLETRANSLATE(A8939, ""de"", ""en"")"),"enabled")</f>
        <v>enabled</v>
      </c>
    </row>
    <row r="8940">
      <c r="A8940" s="1" t="s">
        <v>8940</v>
      </c>
      <c r="B8940" s="2" t="str">
        <f>IFERROR(__xludf.DUMMYFUNCTION("GOOGLETRANSLATE(A8940, ""de"", ""en"")"),"create")</f>
        <v>create</v>
      </c>
    </row>
    <row r="8941">
      <c r="A8941" s="1" t="s">
        <v>8941</v>
      </c>
      <c r="B8941" s="2" t="str">
        <f>IFERROR(__xludf.DUMMYFUNCTION("GOOGLETRANSLATE(A8941, ""de"", ""en"")"),"cesare")</f>
        <v>cesare</v>
      </c>
    </row>
    <row r="8942">
      <c r="A8942" s="1" t="s">
        <v>8942</v>
      </c>
      <c r="B8942" s="2" t="str">
        <f>IFERROR(__xludf.DUMMYFUNCTION("GOOGLETRANSLATE(A8942, ""de"", ""en"")"),"thrown out")</f>
        <v>thrown out</v>
      </c>
    </row>
    <row r="8943">
      <c r="A8943" s="1" t="s">
        <v>8943</v>
      </c>
      <c r="B8943" s="2" t="str">
        <f>IFERROR(__xludf.DUMMYFUNCTION("GOOGLETRANSLATE(A8943, ""de"", ""en"")"),"occurred")</f>
        <v>occurred</v>
      </c>
    </row>
    <row r="8944">
      <c r="A8944" s="1" t="s">
        <v>8944</v>
      </c>
      <c r="B8944" s="2" t="str">
        <f>IFERROR(__xludf.DUMMYFUNCTION("GOOGLETRANSLATE(A8944, ""de"", ""en"")"),"bring here")</f>
        <v>bring here</v>
      </c>
    </row>
    <row r="8945">
      <c r="A8945" s="1" t="s">
        <v>8945</v>
      </c>
      <c r="B8945" s="2" t="str">
        <f>IFERROR(__xludf.DUMMYFUNCTION("GOOGLETRANSLATE(A8945, ""de"", ""en"")"),"volunteers")</f>
        <v>volunteers</v>
      </c>
    </row>
    <row r="8946">
      <c r="A8946" s="1" t="s">
        <v>8946</v>
      </c>
      <c r="B8946" s="2" t="str">
        <f>IFERROR(__xludf.DUMMYFUNCTION("GOOGLETRANSLATE(A8946, ""de"", ""en"")"),"correct")</f>
        <v>correct</v>
      </c>
    </row>
    <row r="8947">
      <c r="A8947" s="1" t="s">
        <v>8947</v>
      </c>
      <c r="B8947" s="2" t="str">
        <f>IFERROR(__xludf.DUMMYFUNCTION("GOOGLETRANSLATE(A8947, ""de"", ""en"")"),"body")</f>
        <v>body</v>
      </c>
    </row>
    <row r="8948">
      <c r="A8948" s="1" t="s">
        <v>8948</v>
      </c>
      <c r="B8948" s="2" t="str">
        <f>IFERROR(__xludf.DUMMYFUNCTION("GOOGLETRANSLATE(A8948, ""de"", ""en"")"),"negative")</f>
        <v>negative</v>
      </c>
    </row>
    <row r="8949">
      <c r="A8949" s="1" t="s">
        <v>8949</v>
      </c>
      <c r="B8949" s="2" t="str">
        <f>IFERROR(__xludf.DUMMYFUNCTION("GOOGLETRANSLATE(A8949, ""de"", ""en"")"),"never")</f>
        <v>never</v>
      </c>
    </row>
    <row r="8950">
      <c r="A8950" s="1" t="s">
        <v>8950</v>
      </c>
      <c r="B8950" s="2" t="str">
        <f>IFERROR(__xludf.DUMMYFUNCTION("GOOGLETRANSLATE(A8950, ""de"", ""en"")"),"floats")</f>
        <v>floats</v>
      </c>
    </row>
    <row r="8951">
      <c r="A8951" s="1" t="s">
        <v>8951</v>
      </c>
      <c r="B8951" s="2" t="str">
        <f>IFERROR(__xludf.DUMMYFUNCTION("GOOGLETRANSLATE(A8951, ""de"", ""en"")"),"more cautious")</f>
        <v>more cautious</v>
      </c>
    </row>
    <row r="8952">
      <c r="A8952" s="1" t="s">
        <v>8952</v>
      </c>
      <c r="B8952" s="2" t="str">
        <f>IFERROR(__xludf.DUMMYFUNCTION("GOOGLETRANSLATE(A8952, ""de"", ""en"")"),"mushrooms")</f>
        <v>mushrooms</v>
      </c>
    </row>
    <row r="8953">
      <c r="A8953" s="1" t="s">
        <v>8953</v>
      </c>
      <c r="B8953" s="2" t="str">
        <f>IFERROR(__xludf.DUMMYFUNCTION("GOOGLETRANSLATE(A8953, ""de"", ""en"")"),"shorter")</f>
        <v>shorter</v>
      </c>
    </row>
    <row r="8954">
      <c r="A8954" s="1" t="s">
        <v>8954</v>
      </c>
      <c r="B8954" s="2" t="str">
        <f>IFERROR(__xludf.DUMMYFUNCTION("GOOGLETRANSLATE(A8954, ""de"", ""en"")"),"pay")</f>
        <v>pay</v>
      </c>
    </row>
    <row r="8955">
      <c r="A8955" s="1" t="s">
        <v>8955</v>
      </c>
      <c r="B8955" s="2" t="str">
        <f>IFERROR(__xludf.DUMMYFUNCTION("GOOGLETRANSLATE(A8955, ""de"", ""en"")"),"keep")</f>
        <v>keep</v>
      </c>
    </row>
    <row r="8956">
      <c r="A8956" s="1" t="s">
        <v>8956</v>
      </c>
      <c r="B8956" s="2" t="str">
        <f>IFERROR(__xludf.DUMMYFUNCTION("GOOGLETRANSLATE(A8956, ""de"", ""en"")"),"fulfillment")</f>
        <v>fulfillment</v>
      </c>
    </row>
    <row r="8957">
      <c r="A8957" s="1" t="s">
        <v>8957</v>
      </c>
      <c r="B8957" s="2" t="str">
        <f>IFERROR(__xludf.DUMMYFUNCTION("GOOGLETRANSLATE(A8957, ""de"", ""en"")"),"allies")</f>
        <v>allies</v>
      </c>
    </row>
    <row r="8958">
      <c r="A8958" s="1" t="s">
        <v>8958</v>
      </c>
      <c r="B8958" s="2" t="str">
        <f>IFERROR(__xludf.DUMMYFUNCTION("GOOGLETRANSLATE(A8958, ""de"", ""en"")"),"pay attention")</f>
        <v>pay attention</v>
      </c>
    </row>
    <row r="8959">
      <c r="A8959" s="1" t="s">
        <v>8959</v>
      </c>
      <c r="B8959" s="2" t="str">
        <f>IFERROR(__xludf.DUMMYFUNCTION("GOOGLETRANSLATE(A8959, ""de"", ""en"")"),"avoid")</f>
        <v>avoid</v>
      </c>
    </row>
    <row r="8960">
      <c r="A8960" s="1" t="s">
        <v>8960</v>
      </c>
      <c r="B8960" s="2" t="str">
        <f>IFERROR(__xludf.DUMMYFUNCTION("GOOGLETRANSLATE(A8960, ""de"", ""en"")"),"views")</f>
        <v>views</v>
      </c>
    </row>
    <row r="8961">
      <c r="A8961" s="1" t="s">
        <v>8961</v>
      </c>
      <c r="B8961" s="2" t="str">
        <f>IFERROR(__xludf.DUMMYFUNCTION("GOOGLETRANSLATE(A8961, ""de"", ""en"")"),"isolated")</f>
        <v>isolated</v>
      </c>
    </row>
    <row r="8962">
      <c r="A8962" s="1" t="s">
        <v>8962</v>
      </c>
      <c r="B8962" s="2" t="str">
        <f>IFERROR(__xludf.DUMMYFUNCTION("GOOGLETRANSLATE(A8962, ""de"", ""en"")"),"rash")</f>
        <v>rash</v>
      </c>
    </row>
    <row r="8963">
      <c r="A8963" s="1" t="s">
        <v>8963</v>
      </c>
      <c r="B8963" s="2" t="str">
        <f>IFERROR(__xludf.DUMMYFUNCTION("GOOGLETRANSLATE(A8963, ""de"", ""en"")"),"fifteen")</f>
        <v>fifteen</v>
      </c>
    </row>
    <row r="8964">
      <c r="A8964" s="1" t="s">
        <v>8964</v>
      </c>
      <c r="B8964" s="2" t="str">
        <f>IFERROR(__xludf.DUMMYFUNCTION("GOOGLETRANSLATE(A8964, ""de"", ""en"")"),"revolt")</f>
        <v>revolt</v>
      </c>
    </row>
    <row r="8965">
      <c r="A8965" s="1" t="s">
        <v>8965</v>
      </c>
      <c r="B8965" s="2" t="str">
        <f>IFERROR(__xludf.DUMMYFUNCTION("GOOGLETRANSLATE(A8965, ""de"", ""en"")"),"fields")</f>
        <v>fields</v>
      </c>
    </row>
    <row r="8966">
      <c r="A8966" s="1" t="s">
        <v>8966</v>
      </c>
      <c r="B8966" s="2" t="str">
        <f>IFERROR(__xludf.DUMMYFUNCTION("GOOGLETRANSLATE(A8966, ""de"", ""en"")"),"make")</f>
        <v>make</v>
      </c>
    </row>
    <row r="8967">
      <c r="A8967" s="1" t="s">
        <v>8967</v>
      </c>
      <c r="B8967" s="2" t="str">
        <f>IFERROR(__xludf.DUMMYFUNCTION("GOOGLETRANSLATE(A8967, ""de"", ""en"")"),"healthy")</f>
        <v>healthy</v>
      </c>
    </row>
    <row r="8968">
      <c r="A8968" s="1" t="s">
        <v>8968</v>
      </c>
      <c r="B8968" s="2" t="str">
        <f>IFERROR(__xludf.DUMMYFUNCTION("GOOGLETRANSLATE(A8968, ""de"", ""en"")"),"toilets")</f>
        <v>toilets</v>
      </c>
    </row>
    <row r="8969">
      <c r="A8969" s="1" t="s">
        <v>8969</v>
      </c>
      <c r="B8969" s="2" t="str">
        <f>IFERROR(__xludf.DUMMYFUNCTION("GOOGLETRANSLATE(A8969, ""de"", ""en"")"),"difficult")</f>
        <v>difficult</v>
      </c>
    </row>
    <row r="8970">
      <c r="A8970" s="1" t="s">
        <v>8970</v>
      </c>
      <c r="B8970" s="2" t="str">
        <f>IFERROR(__xludf.DUMMYFUNCTION("GOOGLETRANSLATE(A8970, ""de"", ""en"")"),"Crawford")</f>
        <v>Crawford</v>
      </c>
    </row>
    <row r="8971">
      <c r="A8971" s="1" t="s">
        <v>8971</v>
      </c>
      <c r="B8971" s="2" t="str">
        <f>IFERROR(__xludf.DUMMYFUNCTION("GOOGLETRANSLATE(A8971, ""de"", ""en"")"),"receipt")</f>
        <v>receipt</v>
      </c>
    </row>
    <row r="8972">
      <c r="A8972" s="1" t="s">
        <v>8972</v>
      </c>
      <c r="B8972" s="2" t="str">
        <f>IFERROR(__xludf.DUMMYFUNCTION("GOOGLETRANSLATE(A8972, ""de"", ""en"")"),"portal")</f>
        <v>portal</v>
      </c>
    </row>
    <row r="8973">
      <c r="A8973" s="1" t="s">
        <v>8973</v>
      </c>
      <c r="B8973" s="2" t="str">
        <f>IFERROR(__xludf.DUMMYFUNCTION("GOOGLETRANSLATE(A8973, ""de"", ""en"")"),"law")</f>
        <v>law</v>
      </c>
    </row>
    <row r="8974">
      <c r="A8974" s="1" t="s">
        <v>8974</v>
      </c>
      <c r="B8974" s="2" t="str">
        <f>IFERROR(__xludf.DUMMYFUNCTION("GOOGLETRANSLATE(A8974, ""de"", ""en"")"),"grandparents")</f>
        <v>grandparents</v>
      </c>
    </row>
    <row r="8975">
      <c r="A8975" s="1" t="s">
        <v>8975</v>
      </c>
      <c r="B8975" s="2" t="str">
        <f>IFERROR(__xludf.DUMMYFUNCTION("GOOGLETRANSLATE(A8975, ""de"", ""en"")"),"mo")</f>
        <v>mo</v>
      </c>
    </row>
    <row r="8976">
      <c r="A8976" s="1" t="s">
        <v>8976</v>
      </c>
      <c r="B8976" s="2" t="str">
        <f>IFERROR(__xludf.DUMMYFUNCTION("GOOGLETRANSLATE(A8976, ""de"", ""en"")"),"investment")</f>
        <v>investment</v>
      </c>
    </row>
    <row r="8977">
      <c r="A8977" s="1" t="s">
        <v>8977</v>
      </c>
      <c r="B8977" s="2" t="str">
        <f>IFERROR(__xludf.DUMMYFUNCTION("GOOGLETRANSLATE(A8977, ""de"", ""en"")"),"raj")</f>
        <v>raj</v>
      </c>
    </row>
    <row r="8978">
      <c r="A8978" s="1" t="s">
        <v>8978</v>
      </c>
      <c r="B8978" s="2" t="str">
        <f>IFERROR(__xludf.DUMMYFUNCTION("GOOGLETRANSLATE(A8978, ""de"", ""en"")"),"sweat")</f>
        <v>sweat</v>
      </c>
    </row>
    <row r="8979">
      <c r="A8979" s="1" t="s">
        <v>8979</v>
      </c>
      <c r="B8979" s="2" t="str">
        <f>IFERROR(__xludf.DUMMYFUNCTION("GOOGLETRANSLATE(A8979, ""de"", ""en"")"),"self-confidence")</f>
        <v>self-confidence</v>
      </c>
    </row>
    <row r="8980">
      <c r="A8980" s="1" t="s">
        <v>8980</v>
      </c>
      <c r="B8980" s="2" t="str">
        <f>IFERROR(__xludf.DUMMYFUNCTION("GOOGLETRANSLATE(A8980, ""de"", ""en"")"),"swallowed")</f>
        <v>swallowed</v>
      </c>
    </row>
    <row r="8981">
      <c r="A8981" s="1" t="s">
        <v>8981</v>
      </c>
      <c r="B8981" s="2" t="str">
        <f>IFERROR(__xludf.DUMMYFUNCTION("GOOGLETRANSLATE(A8981, ""de"", ""en"")"),"sends")</f>
        <v>sends</v>
      </c>
    </row>
    <row r="8982">
      <c r="A8982" s="1" t="s">
        <v>8982</v>
      </c>
      <c r="B8982" s="2" t="str">
        <f>IFERROR(__xludf.DUMMYFUNCTION("GOOGLETRANSLATE(A8982, ""de"", ""en"")"),"hung")</f>
        <v>hung</v>
      </c>
    </row>
    <row r="8983">
      <c r="A8983" s="1" t="s">
        <v>8983</v>
      </c>
      <c r="B8983" s="2" t="str">
        <f>IFERROR(__xludf.DUMMYFUNCTION("GOOGLETRANSLATE(A8983, ""de"", ""en"")"),"susie")</f>
        <v>susie</v>
      </c>
    </row>
    <row r="8984">
      <c r="A8984" s="1" t="s">
        <v>8984</v>
      </c>
      <c r="B8984" s="2" t="str">
        <f>IFERROR(__xludf.DUMMYFUNCTION("GOOGLETRANSLATE(A8984, ""de"", ""en"")"),"flashlight")</f>
        <v>flashlight</v>
      </c>
    </row>
    <row r="8985">
      <c r="A8985" s="1" t="s">
        <v>8985</v>
      </c>
      <c r="B8985" s="2" t="str">
        <f>IFERROR(__xludf.DUMMYFUNCTION("GOOGLETRANSLATE(A8985, ""de"", ""en"")"),"saint")</f>
        <v>saint</v>
      </c>
    </row>
    <row r="8986">
      <c r="A8986" s="1" t="s">
        <v>8986</v>
      </c>
      <c r="B8986" s="2" t="str">
        <f>IFERROR(__xludf.DUMMYFUNCTION("GOOGLETRANSLATE(A8986, ""de"", ""en"")"),"justice")</f>
        <v>justice</v>
      </c>
    </row>
    <row r="8987">
      <c r="A8987" s="1" t="s">
        <v>8987</v>
      </c>
      <c r="B8987" s="2" t="str">
        <f>IFERROR(__xludf.DUMMYFUNCTION("GOOGLETRANSLATE(A8987, ""de"", ""en"")"),"huntress")</f>
        <v>huntress</v>
      </c>
    </row>
    <row r="8988">
      <c r="A8988" s="1" t="s">
        <v>8988</v>
      </c>
      <c r="B8988" s="2" t="str">
        <f>IFERROR(__xludf.DUMMYFUNCTION("GOOGLETRANSLATE(A8988, ""de"", ""en"")"),"army")</f>
        <v>army</v>
      </c>
    </row>
    <row r="8989">
      <c r="A8989" s="1" t="s">
        <v>8989</v>
      </c>
      <c r="B8989" s="2" t="str">
        <f>IFERROR(__xludf.DUMMYFUNCTION("GOOGLETRANSLATE(A8989, ""de"", ""en"")"),"Naples")</f>
        <v>Naples</v>
      </c>
    </row>
    <row r="8990">
      <c r="A8990" s="1" t="s">
        <v>8990</v>
      </c>
      <c r="B8990" s="2" t="str">
        <f>IFERROR(__xludf.DUMMYFUNCTION("GOOGLETRANSLATE(A8990, ""de"", ""en"")"),"illegal")</f>
        <v>illegal</v>
      </c>
    </row>
    <row r="8991">
      <c r="A8991" s="1" t="s">
        <v>8991</v>
      </c>
      <c r="B8991" s="2" t="str">
        <f>IFERROR(__xludf.DUMMYFUNCTION("GOOGLETRANSLATE(A8991, ""de"", ""en"")"),"toil")</f>
        <v>toil</v>
      </c>
    </row>
    <row r="8992">
      <c r="A8992" s="1" t="s">
        <v>8992</v>
      </c>
      <c r="B8992" s="2" t="str">
        <f>IFERROR(__xludf.DUMMYFUNCTION("GOOGLETRANSLATE(A8992, ""de"", ""en"")"),"knocked out")</f>
        <v>knocked out</v>
      </c>
    </row>
    <row r="8993">
      <c r="A8993" s="1" t="s">
        <v>8993</v>
      </c>
      <c r="B8993" s="2" t="str">
        <f>IFERROR(__xludf.DUMMYFUNCTION("GOOGLETRANSLATE(A8993, ""de"", ""en"")"),"moves")</f>
        <v>moves</v>
      </c>
    </row>
    <row r="8994">
      <c r="A8994" s="1" t="s">
        <v>8994</v>
      </c>
      <c r="B8994" s="2" t="str">
        <f>IFERROR(__xludf.DUMMYFUNCTION("GOOGLETRANSLATE(A8994, ""de"", ""en"")"),"threatened")</f>
        <v>threatened</v>
      </c>
    </row>
    <row r="8995">
      <c r="A8995" s="1" t="s">
        <v>8995</v>
      </c>
      <c r="B8995" s="2" t="str">
        <f>IFERROR(__xludf.DUMMYFUNCTION("GOOGLETRANSLATE(A8995, ""de"", ""en"")"),"shit")</f>
        <v>shit</v>
      </c>
    </row>
    <row r="8996">
      <c r="A8996" s="1" t="s">
        <v>8996</v>
      </c>
      <c r="B8996" s="2" t="str">
        <f>IFERROR(__xludf.DUMMYFUNCTION("GOOGLETRANSLATE(A8996, ""de"", ""en"")"),"returns")</f>
        <v>returns</v>
      </c>
    </row>
    <row r="8997">
      <c r="A8997" s="1" t="s">
        <v>8997</v>
      </c>
      <c r="B8997" s="2" t="str">
        <f>IFERROR(__xludf.DUMMYFUNCTION("GOOGLETRANSLATE(A8997, ""de"", ""en"")"),"demands")</f>
        <v>demands</v>
      </c>
    </row>
    <row r="8998">
      <c r="A8998" s="1" t="s">
        <v>8998</v>
      </c>
      <c r="B8998" s="2" t="str">
        <f>IFERROR(__xludf.DUMMYFUNCTION("GOOGLETRANSLATE(A8998, ""de"", ""en"")"),"ignite")</f>
        <v>ignite</v>
      </c>
    </row>
    <row r="8999">
      <c r="A8999" s="1" t="s">
        <v>8999</v>
      </c>
      <c r="B8999" s="2" t="str">
        <f>IFERROR(__xludf.DUMMYFUNCTION("GOOGLETRANSLATE(A8999, ""de"", ""en"")"),"annoys")</f>
        <v>annoys</v>
      </c>
    </row>
    <row r="9000">
      <c r="A9000" s="1" t="s">
        <v>9000</v>
      </c>
      <c r="B9000" s="2" t="str">
        <f>IFERROR(__xludf.DUMMYFUNCTION("GOOGLETRANSLATE(A9000, ""de"", ""en"")"),"largely")</f>
        <v>largely</v>
      </c>
    </row>
    <row r="9001">
      <c r="A9001" s="1" t="s">
        <v>9001</v>
      </c>
      <c r="B9001" s="2" t="str">
        <f>IFERROR(__xludf.DUMMYFUNCTION("GOOGLETRANSLATE(A9001, ""de"", ""en"")"),"instrument")</f>
        <v>instrument</v>
      </c>
    </row>
    <row r="9002">
      <c r="A9002" s="1" t="s">
        <v>9002</v>
      </c>
      <c r="B9002" s="2" t="str">
        <f>IFERROR(__xludf.DUMMYFUNCTION("GOOGLETRANSLATE(A9002, ""de"", ""en"")"),"codes")</f>
        <v>codes</v>
      </c>
    </row>
    <row r="9003">
      <c r="A9003" s="1" t="s">
        <v>9003</v>
      </c>
      <c r="B9003" s="2" t="str">
        <f>IFERROR(__xludf.DUMMYFUNCTION("GOOGLETRANSLATE(A9003, ""de"", ""en"")"),"duchess")</f>
        <v>duchess</v>
      </c>
    </row>
    <row r="9004">
      <c r="A9004" s="1" t="s">
        <v>9004</v>
      </c>
      <c r="B9004" s="2" t="str">
        <f>IFERROR(__xludf.DUMMYFUNCTION("GOOGLETRANSLATE(A9004, ""de"", ""en"")"),"fuck")</f>
        <v>fuck</v>
      </c>
    </row>
    <row r="9005">
      <c r="A9005" s="1" t="s">
        <v>9005</v>
      </c>
      <c r="B9005" s="2" t="str">
        <f>IFERROR(__xludf.DUMMYFUNCTION("GOOGLETRANSLATE(A9005, ""de"", ""en"")"),"activity")</f>
        <v>activity</v>
      </c>
    </row>
    <row r="9006">
      <c r="A9006" s="1" t="s">
        <v>9006</v>
      </c>
      <c r="B9006" s="2" t="str">
        <f>IFERROR(__xludf.DUMMYFUNCTION("GOOGLETRANSLATE(A9006, ""de"", ""en"")"),"developed")</f>
        <v>developed</v>
      </c>
    </row>
    <row r="9007">
      <c r="A9007" s="1" t="s">
        <v>9007</v>
      </c>
      <c r="B9007" s="2" t="str">
        <f>IFERROR(__xludf.DUMMYFUNCTION("GOOGLETRANSLATE(A9007, ""de"", ""en"")"),"Ronald")</f>
        <v>Ronald</v>
      </c>
    </row>
    <row r="9008">
      <c r="A9008" s="1" t="s">
        <v>9008</v>
      </c>
      <c r="B9008" s="2" t="str">
        <f>IFERROR(__xludf.DUMMYFUNCTION("GOOGLETRANSLATE(A9008, ""de"", ""en"")"),"antidote")</f>
        <v>antidote</v>
      </c>
    </row>
    <row r="9009">
      <c r="A9009" s="1" t="s">
        <v>9009</v>
      </c>
      <c r="B9009" s="2" t="str">
        <f>IFERROR(__xludf.DUMMYFUNCTION("GOOGLETRANSLATE(A9009, ""de"", ""en"")"),"rich")</f>
        <v>rich</v>
      </c>
    </row>
    <row r="9010">
      <c r="A9010" s="1" t="s">
        <v>9010</v>
      </c>
      <c r="B9010" s="2" t="str">
        <f>IFERROR(__xludf.DUMMYFUNCTION("GOOGLETRANSLATE(A9010, ""de"", ""en"")"),"Sheridan")</f>
        <v>Sheridan</v>
      </c>
    </row>
    <row r="9011">
      <c r="A9011" s="1" t="s">
        <v>9011</v>
      </c>
      <c r="B9011" s="2" t="str">
        <f>IFERROR(__xludf.DUMMYFUNCTION("GOOGLETRANSLATE(A9011, ""de"", ""en"")"),"tactics")</f>
        <v>tactics</v>
      </c>
    </row>
    <row r="9012">
      <c r="A9012" s="1" t="s">
        <v>9012</v>
      </c>
      <c r="B9012" s="2" t="str">
        <f>IFERROR(__xludf.DUMMYFUNCTION("GOOGLETRANSLATE(A9012, ""de"", ""en"")"),"studies")</f>
        <v>studies</v>
      </c>
    </row>
    <row r="9013">
      <c r="A9013" s="1" t="s">
        <v>9013</v>
      </c>
      <c r="B9013" s="2" t="str">
        <f>IFERROR(__xludf.DUMMYFUNCTION("GOOGLETRANSLATE(A9013, ""de"", ""en"")"),"dramatic")</f>
        <v>dramatic</v>
      </c>
    </row>
    <row r="9014">
      <c r="A9014" s="1" t="s">
        <v>9014</v>
      </c>
      <c r="B9014" s="2" t="str">
        <f>IFERROR(__xludf.DUMMYFUNCTION("GOOGLETRANSLATE(A9014, ""de"", ""en"")"),"potential")</f>
        <v>potential</v>
      </c>
    </row>
    <row r="9015">
      <c r="A9015" s="1" t="s">
        <v>9015</v>
      </c>
      <c r="B9015" s="2" t="str">
        <f>IFERROR(__xludf.DUMMYFUNCTION("GOOGLETRANSLATE(A9015, ""de"", ""en"")"),"adjustment")</f>
        <v>adjustment</v>
      </c>
    </row>
    <row r="9016">
      <c r="A9016" s="1" t="s">
        <v>9016</v>
      </c>
      <c r="B9016" s="2" t="str">
        <f>IFERROR(__xludf.DUMMYFUNCTION("GOOGLETRANSLATE(A9016, ""de"", ""en"")"),"young people")</f>
        <v>young people</v>
      </c>
    </row>
    <row r="9017">
      <c r="A9017" s="1" t="s">
        <v>9017</v>
      </c>
      <c r="B9017" s="2" t="str">
        <f>IFERROR(__xludf.DUMMYFUNCTION("GOOGLETRANSLATE(A9017, ""de"", ""en"")"),"ass")</f>
        <v>ass</v>
      </c>
    </row>
    <row r="9018">
      <c r="A9018" s="1" t="s">
        <v>9018</v>
      </c>
      <c r="B9018" s="2" t="str">
        <f>IFERROR(__xludf.DUMMYFUNCTION("GOOGLETRANSLATE(A9018, ""de"", ""en"")"),"destroyed")</f>
        <v>destroyed</v>
      </c>
    </row>
    <row r="9019">
      <c r="A9019" s="1" t="s">
        <v>9019</v>
      </c>
      <c r="B9019" s="2" t="str">
        <f>IFERROR(__xludf.DUMMYFUNCTION("GOOGLETRANSLATE(A9019, ""de"", ""en"")"),"clowns")</f>
        <v>clowns</v>
      </c>
    </row>
    <row r="9020">
      <c r="A9020" s="1" t="s">
        <v>9020</v>
      </c>
      <c r="B9020" s="2" t="str">
        <f>IFERROR(__xludf.DUMMYFUNCTION("GOOGLETRANSLATE(A9020, ""de"", ""en"")"),"professional")</f>
        <v>professional</v>
      </c>
    </row>
    <row r="9021">
      <c r="A9021" s="1" t="s">
        <v>9021</v>
      </c>
      <c r="B9021" s="2" t="str">
        <f>IFERROR(__xludf.DUMMYFUNCTION("GOOGLETRANSLATE(A9021, ""de"", ""en"")"),"lost")</f>
        <v>lost</v>
      </c>
    </row>
    <row r="9022">
      <c r="A9022" s="1" t="s">
        <v>9022</v>
      </c>
      <c r="B9022" s="2" t="str">
        <f>IFERROR(__xludf.DUMMYFUNCTION("GOOGLETRANSLATE(A9022, ""de"", ""en"")"),"succeed")</f>
        <v>succeed</v>
      </c>
    </row>
    <row r="9023">
      <c r="A9023" s="1" t="s">
        <v>9023</v>
      </c>
      <c r="B9023" s="2" t="str">
        <f>IFERROR(__xludf.DUMMYFUNCTION("GOOGLETRANSLATE(A9023, ""de"", ""en"")"),"military")</f>
        <v>military</v>
      </c>
    </row>
    <row r="9024">
      <c r="A9024" s="1" t="s">
        <v>9024</v>
      </c>
      <c r="B9024" s="2" t="str">
        <f>IFERROR(__xludf.DUMMYFUNCTION("GOOGLETRANSLATE(A9024, ""de"", ""en"")"),"Atlanta")</f>
        <v>Atlanta</v>
      </c>
    </row>
    <row r="9025">
      <c r="A9025" s="1" t="s">
        <v>9025</v>
      </c>
      <c r="B9025" s="2" t="str">
        <f>IFERROR(__xludf.DUMMYFUNCTION("GOOGLETRANSLATE(A9025, ""de"", ""en"")"),"richards")</f>
        <v>richards</v>
      </c>
    </row>
    <row r="9026">
      <c r="A9026" s="1" t="s">
        <v>9026</v>
      </c>
      <c r="B9026" s="2" t="str">
        <f>IFERROR(__xludf.DUMMYFUNCTION("GOOGLETRANSLATE(A9026, ""de"", ""en"")"),"exploited")</f>
        <v>exploited</v>
      </c>
    </row>
    <row r="9027">
      <c r="A9027" s="1" t="s">
        <v>9027</v>
      </c>
      <c r="B9027" s="2" t="str">
        <f>IFERROR(__xludf.DUMMYFUNCTION("GOOGLETRANSLATE(A9027, ""de"", ""en"")"),"maestro")</f>
        <v>maestro</v>
      </c>
    </row>
    <row r="9028">
      <c r="A9028" s="1" t="s">
        <v>9028</v>
      </c>
      <c r="B9028" s="2" t="str">
        <f>IFERROR(__xludf.DUMMYFUNCTION("GOOGLETRANSLATE(A9028, ""de"", ""en"")"),"brooks")</f>
        <v>brooks</v>
      </c>
    </row>
    <row r="9029">
      <c r="A9029" s="1" t="s">
        <v>9029</v>
      </c>
      <c r="B9029" s="2" t="str">
        <f>IFERROR(__xludf.DUMMYFUNCTION("GOOGLETRANSLATE(A9029, ""de"", ""en"")"),"free")</f>
        <v>free</v>
      </c>
    </row>
    <row r="9030">
      <c r="A9030" s="1" t="s">
        <v>9030</v>
      </c>
      <c r="B9030" s="2" t="str">
        <f>IFERROR(__xludf.DUMMYFUNCTION("GOOGLETRANSLATE(A9030, ""de"", ""en"")"),"cheryl")</f>
        <v>cheryl</v>
      </c>
    </row>
    <row r="9031">
      <c r="A9031" s="1" t="s">
        <v>9031</v>
      </c>
      <c r="B9031" s="2" t="str">
        <f>IFERROR(__xludf.DUMMYFUNCTION("GOOGLETRANSLATE(A9031, ""de"", ""en"")"),"greed")</f>
        <v>greed</v>
      </c>
    </row>
    <row r="9032">
      <c r="A9032" s="1" t="s">
        <v>9032</v>
      </c>
      <c r="B9032" s="2" t="str">
        <f>IFERROR(__xludf.DUMMYFUNCTION("GOOGLETRANSLATE(A9032, ""de"", ""en"")"),"in particular")</f>
        <v>in particular</v>
      </c>
    </row>
    <row r="9033">
      <c r="A9033" s="1" t="s">
        <v>9033</v>
      </c>
      <c r="B9033" s="2" t="str">
        <f>IFERROR(__xludf.DUMMYFUNCTION("GOOGLETRANSLATE(A9033, ""de"", ""en"")"),"conviction")</f>
        <v>conviction</v>
      </c>
    </row>
    <row r="9034">
      <c r="A9034" s="1" t="s">
        <v>9034</v>
      </c>
      <c r="B9034" s="2" t="str">
        <f>IFERROR(__xludf.DUMMYFUNCTION("GOOGLETRANSLATE(A9034, ""de"", ""en"")"),"logged in")</f>
        <v>logged in</v>
      </c>
    </row>
    <row r="9035">
      <c r="A9035" s="1" t="s">
        <v>9035</v>
      </c>
      <c r="B9035" s="2" t="str">
        <f>IFERROR(__xludf.DUMMYFUNCTION("GOOGLETRANSLATE(A9035, ""de"", ""en"")"),"tiny")</f>
        <v>tiny</v>
      </c>
    </row>
    <row r="9036">
      <c r="A9036" s="1" t="s">
        <v>9036</v>
      </c>
      <c r="B9036" s="2" t="str">
        <f>IFERROR(__xludf.DUMMYFUNCTION("GOOGLETRANSLATE(A9036, ""de"", ""en"")"),"ideas")</f>
        <v>ideas</v>
      </c>
    </row>
    <row r="9037">
      <c r="A9037" s="1" t="s">
        <v>9037</v>
      </c>
      <c r="B9037" s="2" t="str">
        <f>IFERROR(__xludf.DUMMYFUNCTION("GOOGLETRANSLATE(A9037, ""de"", ""en"")"),"massacre")</f>
        <v>massacre</v>
      </c>
    </row>
    <row r="9038">
      <c r="A9038" s="1" t="s">
        <v>9038</v>
      </c>
      <c r="B9038" s="2" t="str">
        <f>IFERROR(__xludf.DUMMYFUNCTION("GOOGLETRANSLATE(A9038, ""de"", ""en"")"),"gail")</f>
        <v>gail</v>
      </c>
    </row>
    <row r="9039">
      <c r="A9039" s="1" t="s">
        <v>9039</v>
      </c>
      <c r="B9039" s="2" t="str">
        <f>IFERROR(__xludf.DUMMYFUNCTION("GOOGLETRANSLATE(A9039, ""de"", ""en"")"),"think up")</f>
        <v>think up</v>
      </c>
    </row>
    <row r="9040">
      <c r="A9040" s="1" t="s">
        <v>9040</v>
      </c>
      <c r="B9040" s="2" t="str">
        <f>IFERROR(__xludf.DUMMYFUNCTION("GOOGLETRANSLATE(A9040, ""de"", ""en"")"),"unpacking")</f>
        <v>unpacking</v>
      </c>
    </row>
    <row r="9041">
      <c r="A9041" s="1" t="s">
        <v>9041</v>
      </c>
      <c r="B9041" s="2" t="str">
        <f>IFERROR(__xludf.DUMMYFUNCTION("GOOGLETRANSLATE(A9041, ""de"", ""en"")"),"heating")</f>
        <v>heating</v>
      </c>
    </row>
    <row r="9042">
      <c r="A9042" s="1" t="s">
        <v>9042</v>
      </c>
      <c r="B9042" s="2" t="str">
        <f>IFERROR(__xludf.DUMMYFUNCTION("GOOGLETRANSLATE(A9042, ""de"", ""en"")"),"haley")</f>
        <v>haley</v>
      </c>
    </row>
    <row r="9043">
      <c r="A9043" s="1" t="s">
        <v>9043</v>
      </c>
      <c r="B9043" s="2" t="str">
        <f>IFERROR(__xludf.DUMMYFUNCTION("GOOGLETRANSLATE(A9043, ""de"", ""en"")"),"magnus")</f>
        <v>magnus</v>
      </c>
    </row>
    <row r="9044">
      <c r="A9044" s="1" t="s">
        <v>9044</v>
      </c>
      <c r="B9044" s="2" t="str">
        <f>IFERROR(__xludf.DUMMYFUNCTION("GOOGLETRANSLATE(A9044, ""de"", ""en"")"),"had to")</f>
        <v>had to</v>
      </c>
    </row>
    <row r="9045">
      <c r="A9045" s="1" t="s">
        <v>9045</v>
      </c>
      <c r="B9045" s="2" t="str">
        <f>IFERROR(__xludf.DUMMYFUNCTION("GOOGLETRANSLATE(A9045, ""de"", ""en"")"),"teller")</f>
        <v>teller</v>
      </c>
    </row>
    <row r="9046">
      <c r="A9046" s="1" t="s">
        <v>9046</v>
      </c>
      <c r="B9046" s="2" t="str">
        <f>IFERROR(__xludf.DUMMYFUNCTION("GOOGLETRANSLATE(A9046, ""de"", ""en"")"),"colony")</f>
        <v>colony</v>
      </c>
    </row>
    <row r="9047">
      <c r="A9047" s="1" t="s">
        <v>9047</v>
      </c>
      <c r="B9047" s="2" t="str">
        <f>IFERROR(__xludf.DUMMYFUNCTION("GOOGLETRANSLATE(A9047, ""de"", ""en"")"),"gps")</f>
        <v>gps</v>
      </c>
    </row>
    <row r="9048">
      <c r="A9048" s="1" t="s">
        <v>9048</v>
      </c>
      <c r="B9048" s="2" t="str">
        <f>IFERROR(__xludf.DUMMYFUNCTION("GOOGLETRANSLATE(A9048, ""de"", ""en"")"),"girls")</f>
        <v>girls</v>
      </c>
    </row>
    <row r="9049">
      <c r="A9049" s="1" t="s">
        <v>9049</v>
      </c>
      <c r="B9049" s="2" t="str">
        <f>IFERROR(__xludf.DUMMYFUNCTION("GOOGLETRANSLATE(A9049, ""de"", ""en"")"),"courtroom")</f>
        <v>courtroom</v>
      </c>
    </row>
    <row r="9050">
      <c r="A9050" s="1" t="s">
        <v>9050</v>
      </c>
      <c r="B9050" s="2" t="str">
        <f>IFERROR(__xludf.DUMMYFUNCTION("GOOGLETRANSLATE(A9050, ""de"", ""en"")"),"thunderstorm")</f>
        <v>thunderstorm</v>
      </c>
    </row>
    <row r="9051">
      <c r="A9051" s="1" t="s">
        <v>9051</v>
      </c>
      <c r="B9051" s="2" t="str">
        <f>IFERROR(__xludf.DUMMYFUNCTION("GOOGLETRANSLATE(A9051, ""de"", ""en"")"),"student")</f>
        <v>student</v>
      </c>
    </row>
    <row r="9052">
      <c r="A9052" s="1" t="s">
        <v>9052</v>
      </c>
      <c r="B9052" s="2" t="str">
        <f>IFERROR(__xludf.DUMMYFUNCTION("GOOGLETRANSLATE(A9052, ""de"", ""en"")"),"Greta")</f>
        <v>Greta</v>
      </c>
    </row>
    <row r="9053">
      <c r="A9053" s="1" t="s">
        <v>9053</v>
      </c>
      <c r="B9053" s="2" t="str">
        <f>IFERROR(__xludf.DUMMYFUNCTION("GOOGLETRANSLATE(A9053, ""de"", ""en"")"),"ticks")</f>
        <v>ticks</v>
      </c>
    </row>
    <row r="9054">
      <c r="A9054" s="1" t="s">
        <v>9054</v>
      </c>
      <c r="B9054" s="2" t="str">
        <f>IFERROR(__xludf.DUMMYFUNCTION("GOOGLETRANSLATE(A9054, ""de"", ""en"")"),"clears")</f>
        <v>clears</v>
      </c>
    </row>
    <row r="9055">
      <c r="A9055" s="1" t="s">
        <v>9055</v>
      </c>
      <c r="B9055" s="2" t="str">
        <f>IFERROR(__xludf.DUMMYFUNCTION("GOOGLETRANSLATE(A9055, ""de"", ""en"")"),"boom")</f>
        <v>boom</v>
      </c>
    </row>
    <row r="9056">
      <c r="A9056" s="1" t="s">
        <v>9056</v>
      </c>
      <c r="B9056" s="2" t="str">
        <f>IFERROR(__xludf.DUMMYFUNCTION("GOOGLETRANSLATE(A9056, ""de"", ""en"")"),"miriam")</f>
        <v>miriam</v>
      </c>
    </row>
    <row r="9057">
      <c r="A9057" s="1" t="s">
        <v>9057</v>
      </c>
      <c r="B9057" s="2" t="str">
        <f>IFERROR(__xludf.DUMMYFUNCTION("GOOGLETRANSLATE(A9057, ""de"", ""en"")"),"spotted")</f>
        <v>spotted</v>
      </c>
    </row>
    <row r="9058">
      <c r="A9058" s="1" t="s">
        <v>9058</v>
      </c>
      <c r="B9058" s="2" t="str">
        <f>IFERROR(__xludf.DUMMYFUNCTION("GOOGLETRANSLATE(A9058, ""de"", ""en"")"),"stick")</f>
        <v>stick</v>
      </c>
    </row>
    <row r="9059">
      <c r="A9059" s="1" t="s">
        <v>9059</v>
      </c>
      <c r="B9059" s="2" t="str">
        <f>IFERROR(__xludf.DUMMYFUNCTION("GOOGLETRANSLATE(A9059, ""de"", ""en"")"),"to listen")</f>
        <v>to listen</v>
      </c>
    </row>
    <row r="9060">
      <c r="A9060" s="1" t="s">
        <v>9060</v>
      </c>
      <c r="B9060" s="2" t="str">
        <f>IFERROR(__xludf.DUMMYFUNCTION("GOOGLETRANSLATE(A9060, ""de"", ""en"")"),"ride")</f>
        <v>ride</v>
      </c>
    </row>
    <row r="9061">
      <c r="A9061" s="1" t="s">
        <v>9061</v>
      </c>
      <c r="B9061" s="2" t="str">
        <f>IFERROR(__xludf.DUMMYFUNCTION("GOOGLETRANSLATE(A9061, ""de"", ""en"")"),"built")</f>
        <v>built</v>
      </c>
    </row>
    <row r="9062">
      <c r="A9062" s="1" t="s">
        <v>9062</v>
      </c>
      <c r="B9062" s="2" t="str">
        <f>IFERROR(__xludf.DUMMYFUNCTION("GOOGLETRANSLATE(A9062, ""de"", ""en"")"),"switched off")</f>
        <v>switched off</v>
      </c>
    </row>
    <row r="9063">
      <c r="A9063" s="1" t="s">
        <v>9063</v>
      </c>
      <c r="B9063" s="2" t="str">
        <f>IFERROR(__xludf.DUMMYFUNCTION("GOOGLETRANSLATE(A9063, ""de"", ""en"")"),"atlantic")</f>
        <v>atlantic</v>
      </c>
    </row>
    <row r="9064">
      <c r="A9064" s="1" t="s">
        <v>9064</v>
      </c>
      <c r="B9064" s="2" t="str">
        <f>IFERROR(__xludf.DUMMYFUNCTION("GOOGLETRANSLATE(A9064, ""de"", ""en"")"),"marquis")</f>
        <v>marquis</v>
      </c>
    </row>
    <row r="9065">
      <c r="A9065" s="1" t="s">
        <v>9065</v>
      </c>
      <c r="B9065" s="2" t="str">
        <f>IFERROR(__xludf.DUMMYFUNCTION("GOOGLETRANSLATE(A9065, ""de"", ""en"")"),"pond")</f>
        <v>pond</v>
      </c>
    </row>
    <row r="9066">
      <c r="A9066" s="1" t="s">
        <v>9066</v>
      </c>
      <c r="B9066" s="2" t="str">
        <f>IFERROR(__xludf.DUMMYFUNCTION("GOOGLETRANSLATE(A9066, ""de"", ""en"")"),"robbery")</f>
        <v>robbery</v>
      </c>
    </row>
    <row r="9067">
      <c r="A9067" s="1" t="s">
        <v>9067</v>
      </c>
      <c r="B9067" s="2" t="str">
        <f>IFERROR(__xludf.DUMMYFUNCTION("GOOGLETRANSLATE(A9067, ""de"", ""en"")"),"duel")</f>
        <v>duel</v>
      </c>
    </row>
    <row r="9068">
      <c r="A9068" s="1" t="s">
        <v>9068</v>
      </c>
      <c r="B9068" s="2" t="str">
        <f>IFERROR(__xludf.DUMMYFUNCTION("GOOGLETRANSLATE(A9068, ""de"", ""en"")"),"gasp")</f>
        <v>gasp</v>
      </c>
    </row>
    <row r="9069">
      <c r="A9069" s="1" t="s">
        <v>9069</v>
      </c>
      <c r="B9069" s="2" t="str">
        <f>IFERROR(__xludf.DUMMYFUNCTION("GOOGLETRANSLATE(A9069, ""de"", ""en"")"),"surgeons")</f>
        <v>surgeons</v>
      </c>
    </row>
    <row r="9070">
      <c r="A9070" s="1" t="s">
        <v>9070</v>
      </c>
      <c r="B9070" s="2" t="str">
        <f>IFERROR(__xludf.DUMMYFUNCTION("GOOGLETRANSLATE(A9070, ""de"", ""en"")"),"senorita")</f>
        <v>senorita</v>
      </c>
    </row>
    <row r="9071">
      <c r="A9071" s="1" t="s">
        <v>9071</v>
      </c>
      <c r="B9071" s="2" t="str">
        <f>IFERROR(__xludf.DUMMYFUNCTION("GOOGLETRANSLATE(A9071, ""de"", ""en"")"),"cheek")</f>
        <v>cheek</v>
      </c>
    </row>
    <row r="9072">
      <c r="A9072" s="1" t="s">
        <v>9072</v>
      </c>
      <c r="B9072" s="2" t="str">
        <f>IFERROR(__xludf.DUMMYFUNCTION("GOOGLETRANSLATE(A9072, ""de"", ""en"")"),"to turn off")</f>
        <v>to turn off</v>
      </c>
    </row>
    <row r="9073">
      <c r="A9073" s="1" t="s">
        <v>9073</v>
      </c>
      <c r="B9073" s="2" t="str">
        <f>IFERROR(__xludf.DUMMYFUNCTION("GOOGLETRANSLATE(A9073, ""de"", ""en"")"),"make amends")</f>
        <v>make amends</v>
      </c>
    </row>
    <row r="9074">
      <c r="A9074" s="1" t="s">
        <v>9074</v>
      </c>
      <c r="B9074" s="2" t="str">
        <f>IFERROR(__xludf.DUMMYFUNCTION("GOOGLETRANSLATE(A9074, ""de"", ""en"")"),"k.")</f>
        <v>k.</v>
      </c>
    </row>
    <row r="9075">
      <c r="A9075" s="1" t="s">
        <v>9075</v>
      </c>
      <c r="B9075" s="2" t="str">
        <f>IFERROR(__xludf.DUMMYFUNCTION("GOOGLETRANSLATE(A9075, ""de"", ""en"")"),"preparation")</f>
        <v>preparation</v>
      </c>
    </row>
    <row r="9076">
      <c r="A9076" s="1" t="s">
        <v>9076</v>
      </c>
      <c r="B9076" s="2" t="str">
        <f>IFERROR(__xludf.DUMMYFUNCTION("GOOGLETRANSLATE(A9076, ""de"", ""en"")"),"horny")</f>
        <v>horny</v>
      </c>
    </row>
    <row r="9077">
      <c r="A9077" s="1" t="s">
        <v>9077</v>
      </c>
      <c r="B9077" s="2" t="str">
        <f>IFERROR(__xludf.DUMMYFUNCTION("GOOGLETRANSLATE(A9077, ""de"", ""en"")"),"sicker")</f>
        <v>sicker</v>
      </c>
    </row>
    <row r="9078">
      <c r="A9078" s="1" t="s">
        <v>9078</v>
      </c>
      <c r="B9078" s="2" t="str">
        <f>IFERROR(__xludf.DUMMYFUNCTION("GOOGLETRANSLATE(A9078, ""de"", ""en"")"),"hard drive")</f>
        <v>hard drive</v>
      </c>
    </row>
    <row r="9079">
      <c r="A9079" s="1" t="s">
        <v>9079</v>
      </c>
      <c r="B9079" s="2" t="str">
        <f>IFERROR(__xludf.DUMMYFUNCTION("GOOGLETRANSLATE(A9079, ""de"", ""en"")"),"push")</f>
        <v>push</v>
      </c>
    </row>
    <row r="9080">
      <c r="A9080" s="1" t="s">
        <v>9080</v>
      </c>
      <c r="B9080" s="2" t="str">
        <f>IFERROR(__xludf.DUMMYFUNCTION("GOOGLETRANSLATE(A9080, ""de"", ""en"")"),"pushed")</f>
        <v>pushed</v>
      </c>
    </row>
    <row r="9081">
      <c r="A9081" s="1" t="s">
        <v>9081</v>
      </c>
      <c r="B9081" s="2" t="str">
        <f>IFERROR(__xludf.DUMMYFUNCTION("GOOGLETRANSLATE(A9081, ""de"", ""en"")"),"intervention")</f>
        <v>intervention</v>
      </c>
    </row>
    <row r="9082">
      <c r="A9082" s="1" t="s">
        <v>9082</v>
      </c>
      <c r="B9082" s="2" t="str">
        <f>IFERROR(__xludf.DUMMYFUNCTION("GOOGLETRANSLATE(A9082, ""de"", ""en"")"),"Portland")</f>
        <v>Portland</v>
      </c>
    </row>
    <row r="9083">
      <c r="A9083" s="1" t="s">
        <v>9083</v>
      </c>
      <c r="B9083" s="2" t="str">
        <f>IFERROR(__xludf.DUMMYFUNCTION("GOOGLETRANSLATE(A9083, ""de"", ""en"")"),"enormous")</f>
        <v>enormous</v>
      </c>
    </row>
    <row r="9084">
      <c r="A9084" s="1" t="s">
        <v>9084</v>
      </c>
      <c r="B9084" s="2" t="str">
        <f>IFERROR(__xludf.DUMMYFUNCTION("GOOGLETRANSLATE(A9084, ""de"", ""en"")"),"visit")</f>
        <v>visit</v>
      </c>
    </row>
    <row r="9085">
      <c r="A9085" s="1" t="s">
        <v>9085</v>
      </c>
      <c r="B9085" s="2" t="str">
        <f>IFERROR(__xludf.DUMMYFUNCTION("GOOGLETRANSLATE(A9085, ""de"", ""en"")"),"forego")</f>
        <v>forego</v>
      </c>
    </row>
    <row r="9086">
      <c r="A9086" s="1" t="s">
        <v>9086</v>
      </c>
      <c r="B9086" s="2" t="str">
        <f>IFERROR(__xludf.DUMMYFUNCTION("GOOGLETRANSLATE(A9086, ""de"", ""en"")"),"visible")</f>
        <v>visible</v>
      </c>
    </row>
    <row r="9087">
      <c r="A9087" s="1" t="s">
        <v>9087</v>
      </c>
      <c r="B9087" s="2" t="str">
        <f>IFERROR(__xludf.DUMMYFUNCTION("GOOGLETRANSLATE(A9087, ""de"", ""en"")"),"passes")</f>
        <v>passes</v>
      </c>
    </row>
    <row r="9088">
      <c r="A9088" s="1" t="s">
        <v>9088</v>
      </c>
      <c r="B9088" s="2" t="str">
        <f>IFERROR(__xludf.DUMMYFUNCTION("GOOGLETRANSLATE(A9088, ""de"", ""en"")"),"regulation")</f>
        <v>regulation</v>
      </c>
    </row>
    <row r="9089">
      <c r="A9089" s="1" t="s">
        <v>9089</v>
      </c>
      <c r="B9089" s="2" t="str">
        <f>IFERROR(__xludf.DUMMYFUNCTION("GOOGLETRANSLATE(A9089, ""de"", ""en"")"),"heard")</f>
        <v>heard</v>
      </c>
    </row>
    <row r="9090">
      <c r="A9090" s="1" t="s">
        <v>9090</v>
      </c>
      <c r="B9090" s="2" t="str">
        <f>IFERROR(__xludf.DUMMYFUNCTION("GOOGLETRANSLATE(A9090, ""de"", ""en"")"),"anyone")</f>
        <v>anyone</v>
      </c>
    </row>
    <row r="9091">
      <c r="A9091" s="1" t="s">
        <v>9091</v>
      </c>
      <c r="B9091" s="2" t="str">
        <f>IFERROR(__xludf.DUMMYFUNCTION("GOOGLETRANSLATE(A9091, ""de"", ""en"")"),"enjoy")</f>
        <v>enjoy</v>
      </c>
    </row>
    <row r="9092">
      <c r="A9092" s="1" t="s">
        <v>9092</v>
      </c>
      <c r="B9092" s="2" t="str">
        <f>IFERROR(__xludf.DUMMYFUNCTION("GOOGLETRANSLATE(A9092, ""de"", ""en"")"),"anyone")</f>
        <v>anyone</v>
      </c>
    </row>
    <row r="9093">
      <c r="A9093" s="1" t="s">
        <v>9093</v>
      </c>
      <c r="B9093" s="2" t="str">
        <f>IFERROR(__xludf.DUMMYFUNCTION("GOOGLETRANSLATE(A9093, ""de"", ""en"")"),"oops")</f>
        <v>oops</v>
      </c>
    </row>
    <row r="9094">
      <c r="A9094" s="1" t="s">
        <v>9094</v>
      </c>
      <c r="B9094" s="2" t="str">
        <f>IFERROR(__xludf.DUMMYFUNCTION("GOOGLETRANSLATE(A9094, ""de"", ""en"")"),"substance")</f>
        <v>substance</v>
      </c>
    </row>
    <row r="9095">
      <c r="A9095" s="1" t="s">
        <v>9095</v>
      </c>
      <c r="B9095" s="2" t="str">
        <f>IFERROR(__xludf.DUMMYFUNCTION("GOOGLETRANSLATE(A9095, ""de"", ""en"")"),"amsterdam")</f>
        <v>amsterdam</v>
      </c>
    </row>
    <row r="9096">
      <c r="A9096" s="1" t="s">
        <v>9096</v>
      </c>
      <c r="B9096" s="2" t="str">
        <f>IFERROR(__xludf.DUMMYFUNCTION("GOOGLETRANSLATE(A9096, ""de"", ""en"")"),"study")</f>
        <v>study</v>
      </c>
    </row>
    <row r="9097">
      <c r="A9097" s="1" t="s">
        <v>9097</v>
      </c>
      <c r="B9097" s="2" t="str">
        <f>IFERROR(__xludf.DUMMYFUNCTION("GOOGLETRANSLATE(A9097, ""de"", ""en"")"),"self-defense")</f>
        <v>self-defense</v>
      </c>
    </row>
    <row r="9098">
      <c r="A9098" s="1" t="s">
        <v>9098</v>
      </c>
      <c r="B9098" s="2" t="str">
        <f>IFERROR(__xludf.DUMMYFUNCTION("GOOGLETRANSLATE(A9098, ""de"", ""en"")"),"patrol")</f>
        <v>patrol</v>
      </c>
    </row>
    <row r="9099">
      <c r="A9099" s="1" t="s">
        <v>9099</v>
      </c>
      <c r="B9099" s="2" t="str">
        <f>IFERROR(__xludf.DUMMYFUNCTION("GOOGLETRANSLATE(A9099, ""de"", ""en"")"),"thunderstorm")</f>
        <v>thunderstorm</v>
      </c>
    </row>
    <row r="9100">
      <c r="A9100" s="1" t="s">
        <v>9100</v>
      </c>
      <c r="B9100" s="2" t="str">
        <f>IFERROR(__xludf.DUMMYFUNCTION("GOOGLETRANSLATE(A9100, ""de"", ""en"")"),"dax")</f>
        <v>dax</v>
      </c>
    </row>
    <row r="9101">
      <c r="A9101" s="1" t="s">
        <v>9101</v>
      </c>
      <c r="B9101" s="2" t="str">
        <f>IFERROR(__xludf.DUMMYFUNCTION("GOOGLETRANSLATE(A9101, ""de"", ""en"")"),"showed")</f>
        <v>showed</v>
      </c>
    </row>
    <row r="9102">
      <c r="A9102" s="1" t="s">
        <v>9102</v>
      </c>
      <c r="B9102" s="2" t="str">
        <f>IFERROR(__xludf.DUMMYFUNCTION("GOOGLETRANSLATE(A9102, ""de"", ""en"")"),"clatter")</f>
        <v>clatter</v>
      </c>
    </row>
    <row r="9103">
      <c r="A9103" s="1" t="s">
        <v>9103</v>
      </c>
      <c r="B9103" s="2" t="str">
        <f>IFERROR(__xludf.DUMMYFUNCTION("GOOGLETRANSLATE(A9103, ""de"", ""en"")"),"butterfly")</f>
        <v>butterfly</v>
      </c>
    </row>
    <row r="9104">
      <c r="A9104" s="1" t="s">
        <v>9104</v>
      </c>
      <c r="B9104" s="2" t="str">
        <f>IFERROR(__xludf.DUMMYFUNCTION("GOOGLETRANSLATE(A9104, ""de"", ""en"")"),"sarge")</f>
        <v>sarge</v>
      </c>
    </row>
    <row r="9105">
      <c r="A9105" s="1" t="s">
        <v>9105</v>
      </c>
      <c r="B9105" s="2" t="str">
        <f>IFERROR(__xludf.DUMMYFUNCTION("GOOGLETRANSLATE(A9105, ""de"", ""en"")"),"preston")</f>
        <v>preston</v>
      </c>
    </row>
    <row r="9106">
      <c r="A9106" s="1" t="s">
        <v>9106</v>
      </c>
      <c r="B9106" s="2" t="str">
        <f>IFERROR(__xludf.DUMMYFUNCTION("GOOGLETRANSLATE(A9106, ""de"", ""en"")"),"formally")</f>
        <v>formally</v>
      </c>
    </row>
    <row r="9107">
      <c r="A9107" s="1" t="s">
        <v>9107</v>
      </c>
      <c r="B9107" s="2" t="str">
        <f>IFERROR(__xludf.DUMMYFUNCTION("GOOGLETRANSLATE(A9107, ""de"", ""en"")"),"celia")</f>
        <v>celia</v>
      </c>
    </row>
    <row r="9108">
      <c r="A9108" s="1" t="s">
        <v>9108</v>
      </c>
      <c r="B9108" s="2" t="str">
        <f>IFERROR(__xludf.DUMMYFUNCTION("GOOGLETRANSLATE(A9108, ""de"", ""en"")"),"tammy")</f>
        <v>tammy</v>
      </c>
    </row>
    <row r="9109">
      <c r="A9109" s="1" t="s">
        <v>9109</v>
      </c>
      <c r="B9109" s="2" t="str">
        <f>IFERROR(__xludf.DUMMYFUNCTION("GOOGLETRANSLATE(A9109, ""de"", ""en"")"),"tighter")</f>
        <v>tighter</v>
      </c>
    </row>
    <row r="9110">
      <c r="A9110" s="1" t="s">
        <v>9110</v>
      </c>
      <c r="B9110" s="2" t="str">
        <f>IFERROR(__xludf.DUMMYFUNCTION("GOOGLETRANSLATE(A9110, ""de"", ""en"")"),"beep")</f>
        <v>beep</v>
      </c>
    </row>
    <row r="9111">
      <c r="A9111" s="1" t="s">
        <v>9111</v>
      </c>
      <c r="B9111" s="2" t="str">
        <f>IFERROR(__xludf.DUMMYFUNCTION("GOOGLETRANSLATE(A9111, ""de"", ""en"")"),"exchanged")</f>
        <v>exchanged</v>
      </c>
    </row>
    <row r="9112">
      <c r="A9112" s="1" t="s">
        <v>9112</v>
      </c>
      <c r="B9112" s="2" t="str">
        <f>IFERROR(__xludf.DUMMYFUNCTION("GOOGLETRANSLATE(A9112, ""de"", ""en"")"),"construction site")</f>
        <v>construction site</v>
      </c>
    </row>
    <row r="9113">
      <c r="A9113" s="1" t="s">
        <v>9113</v>
      </c>
      <c r="B9113" s="2" t="str">
        <f>IFERROR(__xludf.DUMMYFUNCTION("GOOGLETRANSLATE(A9113, ""de"", ""en"")"),"effects")</f>
        <v>effects</v>
      </c>
    </row>
    <row r="9114">
      <c r="A9114" s="1" t="s">
        <v>9114</v>
      </c>
      <c r="B9114" s="2" t="str">
        <f>IFERROR(__xludf.DUMMYFUNCTION("GOOGLETRANSLATE(A9114, ""de"", ""en"")"),"Brennan")</f>
        <v>Brennan</v>
      </c>
    </row>
    <row r="9115">
      <c r="A9115" s="1" t="s">
        <v>9115</v>
      </c>
      <c r="B9115" s="2" t="str">
        <f>IFERROR(__xludf.DUMMYFUNCTION("GOOGLETRANSLATE(A9115, ""de"", ""en"")"),"pratt")</f>
        <v>pratt</v>
      </c>
    </row>
    <row r="9116">
      <c r="A9116" s="1" t="s">
        <v>9116</v>
      </c>
      <c r="B9116" s="2" t="str">
        <f>IFERROR(__xludf.DUMMYFUNCTION("GOOGLETRANSLATE(A9116, ""de"", ""en"")"),"smelled")</f>
        <v>smelled</v>
      </c>
    </row>
    <row r="9117">
      <c r="A9117" s="1" t="s">
        <v>9117</v>
      </c>
      <c r="B9117" s="2" t="str">
        <f>IFERROR(__xludf.DUMMYFUNCTION("GOOGLETRANSLATE(A9117, ""de"", ""en"")"),"meant")</f>
        <v>meant</v>
      </c>
    </row>
    <row r="9118">
      <c r="A9118" s="1" t="s">
        <v>9118</v>
      </c>
      <c r="B9118" s="2" t="str">
        <f>IFERROR(__xludf.DUMMYFUNCTION("GOOGLETRANSLATE(A9118, ""de"", ""en"")"),"knew")</f>
        <v>knew</v>
      </c>
    </row>
    <row r="9119">
      <c r="A9119" s="1" t="s">
        <v>9119</v>
      </c>
      <c r="B9119" s="2" t="str">
        <f>IFERROR(__xludf.DUMMYFUNCTION("GOOGLETRANSLATE(A9119, ""de"", ""en"")"),"broadway")</f>
        <v>broadway</v>
      </c>
    </row>
    <row r="9120">
      <c r="A9120" s="1" t="s">
        <v>9120</v>
      </c>
      <c r="B9120" s="2" t="str">
        <f>IFERROR(__xludf.DUMMYFUNCTION("GOOGLETRANSLATE(A9120, ""de"", ""en"")"),"turn")</f>
        <v>turn</v>
      </c>
    </row>
    <row r="9121">
      <c r="A9121" s="1" t="s">
        <v>9121</v>
      </c>
      <c r="B9121" s="2" t="str">
        <f>IFERROR(__xludf.DUMMYFUNCTION("GOOGLETRANSLATE(A9121, ""de"", ""en"")"),"Martini")</f>
        <v>Martini</v>
      </c>
    </row>
    <row r="9122">
      <c r="A9122" s="1" t="s">
        <v>9122</v>
      </c>
      <c r="B9122" s="2" t="str">
        <f>IFERROR(__xludf.DUMMYFUNCTION("GOOGLETRANSLATE(A9122, ""de"", ""en"")"),"stares")</f>
        <v>stares</v>
      </c>
    </row>
    <row r="9123">
      <c r="A9123" s="1" t="s">
        <v>9123</v>
      </c>
      <c r="B9123" s="2" t="str">
        <f>IFERROR(__xludf.DUMMYFUNCTION("GOOGLETRANSLATE(A9123, ""de"", ""en"")"),"exchange")</f>
        <v>exchange</v>
      </c>
    </row>
    <row r="9124">
      <c r="A9124" s="1" t="s">
        <v>9124</v>
      </c>
      <c r="B9124" s="2" t="str">
        <f>IFERROR(__xludf.DUMMYFUNCTION("GOOGLETRANSLATE(A9124, ""de"", ""en"")"),"janice")</f>
        <v>janice</v>
      </c>
    </row>
    <row r="9125">
      <c r="A9125" s="1" t="s">
        <v>9125</v>
      </c>
      <c r="B9125" s="2" t="str">
        <f>IFERROR(__xludf.DUMMYFUNCTION("GOOGLETRANSLATE(A9125, ""de"", ""en"")"),"quick")</f>
        <v>quick</v>
      </c>
    </row>
    <row r="9126">
      <c r="A9126" s="1" t="s">
        <v>9126</v>
      </c>
      <c r="B9126" s="2" t="str">
        <f>IFERROR(__xludf.DUMMYFUNCTION("GOOGLETRANSLATE(A9126, ""de"", ""en"")"),"buried")</f>
        <v>buried</v>
      </c>
    </row>
    <row r="9127">
      <c r="A9127" s="1" t="s">
        <v>9127</v>
      </c>
      <c r="B9127" s="2" t="str">
        <f>IFERROR(__xludf.DUMMYFUNCTION("GOOGLETRANSLATE(A9127, ""de"", ""en"")"),"social")</f>
        <v>social</v>
      </c>
    </row>
    <row r="9128">
      <c r="A9128" s="1" t="s">
        <v>9128</v>
      </c>
      <c r="B9128" s="2" t="str">
        <f>IFERROR(__xludf.DUMMYFUNCTION("GOOGLETRANSLATE(A9128, ""de"", ""en"")"),"touched")</f>
        <v>touched</v>
      </c>
    </row>
    <row r="9129">
      <c r="A9129" s="1" t="s">
        <v>9129</v>
      </c>
      <c r="B9129" s="2" t="str">
        <f>IFERROR(__xludf.DUMMYFUNCTION("GOOGLETRANSLATE(A9129, ""de"", ""en"")"),"say")</f>
        <v>say</v>
      </c>
    </row>
    <row r="9130">
      <c r="A9130" s="1" t="s">
        <v>9130</v>
      </c>
      <c r="B9130" s="2" t="str">
        <f>IFERROR(__xludf.DUMMYFUNCTION("GOOGLETRANSLATE(A9130, ""de"", ""en"")"),"runs")</f>
        <v>runs</v>
      </c>
    </row>
    <row r="9131">
      <c r="A9131" s="1" t="s">
        <v>9131</v>
      </c>
      <c r="B9131" s="2" t="str">
        <f>IFERROR(__xludf.DUMMYFUNCTION("GOOGLETRANSLATE(A9131, ""de"", ""en"")"),"prom")</f>
        <v>prom</v>
      </c>
    </row>
    <row r="9132">
      <c r="A9132" s="1" t="s">
        <v>9132</v>
      </c>
      <c r="B9132" s="2" t="str">
        <f>IFERROR(__xludf.DUMMYFUNCTION("GOOGLETRANSLATE(A9132, ""de"", ""en"")"),"medal")</f>
        <v>medal</v>
      </c>
    </row>
    <row r="9133">
      <c r="A9133" s="1" t="s">
        <v>9133</v>
      </c>
      <c r="B9133" s="2" t="str">
        <f>IFERROR(__xludf.DUMMYFUNCTION("GOOGLETRANSLATE(A9133, ""de"", ""en"")"),"rather")</f>
        <v>rather</v>
      </c>
    </row>
    <row r="9134">
      <c r="A9134" s="1" t="s">
        <v>9134</v>
      </c>
      <c r="B9134" s="2" t="str">
        <f>IFERROR(__xludf.DUMMYFUNCTION("GOOGLETRANSLATE(A9134, ""de"", ""en"")"),"connection")</f>
        <v>connection</v>
      </c>
    </row>
    <row r="9135">
      <c r="A9135" s="1" t="s">
        <v>9135</v>
      </c>
      <c r="B9135" s="2" t="str">
        <f>IFERROR(__xludf.DUMMYFUNCTION("GOOGLETRANSLATE(A9135, ""de"", ""en"")"),"light")</f>
        <v>light</v>
      </c>
    </row>
    <row r="9136">
      <c r="A9136" s="1" t="s">
        <v>9136</v>
      </c>
      <c r="B9136" s="2" t="str">
        <f>IFERROR(__xludf.DUMMYFUNCTION("GOOGLETRANSLATE(A9136, ""de"", ""en"")"),"more beautiful")</f>
        <v>more beautiful</v>
      </c>
    </row>
    <row r="9137">
      <c r="A9137" s="1" t="s">
        <v>9137</v>
      </c>
      <c r="B9137" s="2" t="str">
        <f>IFERROR(__xludf.DUMMYFUNCTION("GOOGLETRANSLATE(A9137, ""de"", ""en"")"),"seam")</f>
        <v>seam</v>
      </c>
    </row>
    <row r="9138">
      <c r="A9138" s="1" t="s">
        <v>9138</v>
      </c>
      <c r="B9138" s="2" t="str">
        <f>IFERROR(__xludf.DUMMYFUNCTION("GOOGLETRANSLATE(A9138, ""de"", ""en"")"),"towels")</f>
        <v>towels</v>
      </c>
    </row>
    <row r="9139">
      <c r="A9139" s="1" t="s">
        <v>9139</v>
      </c>
      <c r="B9139" s="2" t="str">
        <f>IFERROR(__xludf.DUMMYFUNCTION("GOOGLETRANSLATE(A9139, ""de"", ""en"")"),"based")</f>
        <v>based</v>
      </c>
    </row>
    <row r="9140">
      <c r="A9140" s="1" t="s">
        <v>9140</v>
      </c>
      <c r="B9140" s="2" t="str">
        <f>IFERROR(__xludf.DUMMYFUNCTION("GOOGLETRANSLATE(A9140, ""de"", ""en"")"),"more perfect")</f>
        <v>more perfect</v>
      </c>
    </row>
    <row r="9141">
      <c r="A9141" s="1" t="s">
        <v>9141</v>
      </c>
      <c r="B9141" s="2" t="str">
        <f>IFERROR(__xludf.DUMMYFUNCTION("GOOGLETRANSLATE(A9141, ""de"", ""en"")"),"unusual")</f>
        <v>unusual</v>
      </c>
    </row>
    <row r="9142">
      <c r="A9142" s="1" t="s">
        <v>9142</v>
      </c>
      <c r="B9142" s="2" t="str">
        <f>IFERROR(__xludf.DUMMYFUNCTION("GOOGLETRANSLATE(A9142, ""de"", ""en"")"),"international")</f>
        <v>international</v>
      </c>
    </row>
    <row r="9143">
      <c r="A9143" s="1" t="s">
        <v>9143</v>
      </c>
      <c r="B9143" s="2" t="str">
        <f>IFERROR(__xludf.DUMMYFUNCTION("GOOGLETRANSLATE(A9143, ""de"", ""en"")"),"bastards")</f>
        <v>bastards</v>
      </c>
    </row>
    <row r="9144">
      <c r="A9144" s="1" t="s">
        <v>9144</v>
      </c>
      <c r="B9144" s="2" t="str">
        <f>IFERROR(__xludf.DUMMYFUNCTION("GOOGLETRANSLATE(A9144, ""de"", ""en"")"),"vice president")</f>
        <v>vice president</v>
      </c>
    </row>
    <row r="9145">
      <c r="A9145" s="1" t="s">
        <v>9145</v>
      </c>
      <c r="B9145" s="2" t="str">
        <f>IFERROR(__xludf.DUMMYFUNCTION("GOOGLETRANSLATE(A9145, ""de"", ""en"")"),"breaks")</f>
        <v>breaks</v>
      </c>
    </row>
    <row r="9146">
      <c r="A9146" s="1" t="s">
        <v>9146</v>
      </c>
      <c r="B9146" s="2" t="str">
        <f>IFERROR(__xludf.DUMMYFUNCTION("GOOGLETRANSLATE(A9146, ""de"", ""en"")"),"filed")</f>
        <v>filed</v>
      </c>
    </row>
    <row r="9147">
      <c r="A9147" s="1" t="s">
        <v>9147</v>
      </c>
      <c r="B9147" s="2" t="str">
        <f>IFERROR(__xludf.DUMMYFUNCTION("GOOGLETRANSLATE(A9147, ""de"", ""en"")"),"hallucinations")</f>
        <v>hallucinations</v>
      </c>
    </row>
    <row r="9148">
      <c r="A9148" s="1" t="s">
        <v>9148</v>
      </c>
      <c r="B9148" s="2" t="str">
        <f>IFERROR(__xludf.DUMMYFUNCTION("GOOGLETRANSLATE(A9148, ""de"", ""en"")"),"arrest")</f>
        <v>arrest</v>
      </c>
    </row>
    <row r="9149">
      <c r="A9149" s="1" t="s">
        <v>9149</v>
      </c>
      <c r="B9149" s="2" t="str">
        <f>IFERROR(__xludf.DUMMYFUNCTION("GOOGLETRANSLATE(A9149, ""de"", ""en"")"),"steph")</f>
        <v>steph</v>
      </c>
    </row>
    <row r="9150">
      <c r="A9150" s="1" t="s">
        <v>9150</v>
      </c>
      <c r="B9150" s="2" t="str">
        <f>IFERROR(__xludf.DUMMYFUNCTION("GOOGLETRANSLATE(A9150, ""de"", ""en"")"),"pirate")</f>
        <v>pirate</v>
      </c>
    </row>
    <row r="9151">
      <c r="A9151" s="1" t="s">
        <v>9151</v>
      </c>
      <c r="B9151" s="2" t="str">
        <f>IFERROR(__xludf.DUMMYFUNCTION("GOOGLETRANSLATE(A9151, ""de"", ""en"")"),"environment")</f>
        <v>environment</v>
      </c>
    </row>
    <row r="9152">
      <c r="A9152" s="1" t="s">
        <v>9152</v>
      </c>
      <c r="B9152" s="2" t="str">
        <f>IFERROR(__xludf.DUMMYFUNCTION("GOOGLETRANSLATE(A9152, ""de"", ""en"")"),"axel")</f>
        <v>axel</v>
      </c>
    </row>
    <row r="9153">
      <c r="A9153" s="1" t="s">
        <v>9153</v>
      </c>
      <c r="B9153" s="2" t="str">
        <f>IFERROR(__xludf.DUMMYFUNCTION("GOOGLETRANSLATE(A9153, ""de"", ""en"")"),"butch")</f>
        <v>butch</v>
      </c>
    </row>
    <row r="9154">
      <c r="A9154" s="1" t="s">
        <v>9154</v>
      </c>
      <c r="B9154" s="2" t="str">
        <f>IFERROR(__xludf.DUMMYFUNCTION("GOOGLETRANSLATE(A9154, ""de"", ""en"")"),"partially")</f>
        <v>partially</v>
      </c>
    </row>
    <row r="9155">
      <c r="A9155" s="1" t="s">
        <v>9155</v>
      </c>
      <c r="B9155" s="2" t="str">
        <f>IFERROR(__xludf.DUMMYFUNCTION("GOOGLETRANSLATE(A9155, ""de"", ""en"")"),"fucking")</f>
        <v>fucking</v>
      </c>
    </row>
    <row r="9156">
      <c r="A9156" s="1" t="s">
        <v>9156</v>
      </c>
      <c r="B9156" s="2" t="str">
        <f>IFERROR(__xludf.DUMMYFUNCTION("GOOGLETRANSLATE(A9156, ""de"", ""en"")"),"that")</f>
        <v>that</v>
      </c>
    </row>
    <row r="9157">
      <c r="A9157" s="1" t="s">
        <v>9157</v>
      </c>
      <c r="B9157" s="2" t="str">
        <f>IFERROR(__xludf.DUMMYFUNCTION("GOOGLETRANSLATE(A9157, ""de"", ""en"")"),"edit")</f>
        <v>edit</v>
      </c>
    </row>
    <row r="9158">
      <c r="A9158" s="1" t="s">
        <v>9158</v>
      </c>
      <c r="B9158" s="2" t="str">
        <f>IFERROR(__xludf.DUMMYFUNCTION("GOOGLETRANSLATE(A9158, ""de"", ""en"")"),"fatter")</f>
        <v>fatter</v>
      </c>
    </row>
    <row r="9159">
      <c r="A9159" s="1" t="s">
        <v>9159</v>
      </c>
      <c r="B9159" s="2" t="str">
        <f>IFERROR(__xludf.DUMMYFUNCTION("GOOGLETRANSLATE(A9159, ""de"", ""en"")"),"natural")</f>
        <v>natural</v>
      </c>
    </row>
    <row r="9160">
      <c r="A9160" s="1" t="s">
        <v>9160</v>
      </c>
      <c r="B9160" s="2" t="str">
        <f>IFERROR(__xludf.DUMMYFUNCTION("GOOGLETRANSLATE(A9160, ""de"", ""en"")"),"issued")</f>
        <v>issued</v>
      </c>
    </row>
    <row r="9161">
      <c r="A9161" s="1" t="s">
        <v>9161</v>
      </c>
      <c r="B9161" s="2" t="str">
        <f>IFERROR(__xludf.DUMMYFUNCTION("GOOGLETRANSLATE(A9161, ""de"", ""en"")"),"applies")</f>
        <v>applies</v>
      </c>
    </row>
    <row r="9162">
      <c r="A9162" s="1" t="s">
        <v>9162</v>
      </c>
      <c r="B9162" s="2" t="str">
        <f>IFERROR(__xludf.DUMMYFUNCTION("GOOGLETRANSLATE(A9162, ""de"", ""en"")"),"more ordinary")</f>
        <v>more ordinary</v>
      </c>
    </row>
    <row r="9163">
      <c r="A9163" s="1" t="s">
        <v>9163</v>
      </c>
      <c r="B9163" s="2" t="str">
        <f>IFERROR(__xludf.DUMMYFUNCTION("GOOGLETRANSLATE(A9163, ""de"", ""en"")"),"lavon")</f>
        <v>lavon</v>
      </c>
    </row>
    <row r="9164">
      <c r="A9164" s="1" t="s">
        <v>9164</v>
      </c>
      <c r="B9164" s="2" t="str">
        <f>IFERROR(__xludf.DUMMYFUNCTION("GOOGLETRANSLATE(A9164, ""de"", ""en"")"),"jump")</f>
        <v>jump</v>
      </c>
    </row>
    <row r="9165">
      <c r="A9165" s="1" t="s">
        <v>9165</v>
      </c>
      <c r="B9165" s="2" t="str">
        <f>IFERROR(__xludf.DUMMYFUNCTION("GOOGLETRANSLATE(A9165, ""de"", ""en"")"),"went")</f>
        <v>went</v>
      </c>
    </row>
    <row r="9166">
      <c r="A9166" s="1" t="s">
        <v>9166</v>
      </c>
      <c r="B9166" s="2" t="str">
        <f>IFERROR(__xludf.DUMMYFUNCTION("GOOGLETRANSLATE(A9166, ""de"", ""en"")"),"changes")</f>
        <v>changes</v>
      </c>
    </row>
    <row r="9167">
      <c r="A9167" s="1" t="s">
        <v>9167</v>
      </c>
      <c r="B9167" s="2" t="str">
        <f>IFERROR(__xludf.DUMMYFUNCTION("GOOGLETRANSLATE(A9167, ""de"", ""en"")"),"orbit")</f>
        <v>orbit</v>
      </c>
    </row>
    <row r="9168">
      <c r="A9168" s="1" t="s">
        <v>9168</v>
      </c>
      <c r="B9168" s="2" t="str">
        <f>IFERROR(__xludf.DUMMYFUNCTION("GOOGLETRANSLATE(A9168, ""de"", ""en"")"),"capsule")</f>
        <v>capsule</v>
      </c>
    </row>
    <row r="9169">
      <c r="A9169" s="1" t="s">
        <v>9169</v>
      </c>
      <c r="B9169" s="2" t="str">
        <f>IFERROR(__xludf.DUMMYFUNCTION("GOOGLETRANSLATE(A9169, ""de"", ""en"")"),"unarmed")</f>
        <v>unarmed</v>
      </c>
    </row>
    <row r="9170">
      <c r="A9170" s="1" t="s">
        <v>9170</v>
      </c>
      <c r="B9170" s="2" t="str">
        <f>IFERROR(__xludf.DUMMYFUNCTION("GOOGLETRANSLATE(A9170, ""de"", ""en"")"),"intern")</f>
        <v>intern</v>
      </c>
    </row>
    <row r="9171">
      <c r="A9171" s="1" t="s">
        <v>9171</v>
      </c>
      <c r="B9171" s="2" t="str">
        <f>IFERROR(__xludf.DUMMYFUNCTION("GOOGLETRANSLATE(A9171, ""de"", ""en"")"),"line")</f>
        <v>line</v>
      </c>
    </row>
    <row r="9172">
      <c r="A9172" s="1" t="s">
        <v>9172</v>
      </c>
      <c r="B9172" s="2" t="str">
        <f>IFERROR(__xludf.DUMMYFUNCTION("GOOGLETRANSLATE(A9172, ""de"", ""en"")"),"mill")</f>
        <v>mill</v>
      </c>
    </row>
    <row r="9173">
      <c r="A9173" s="1" t="s">
        <v>9173</v>
      </c>
      <c r="B9173" s="2" t="str">
        <f>IFERROR(__xludf.DUMMYFUNCTION("GOOGLETRANSLATE(A9173, ""de"", ""en"")"),"age")</f>
        <v>age</v>
      </c>
    </row>
    <row r="9174">
      <c r="A9174" s="1" t="s">
        <v>9174</v>
      </c>
      <c r="B9174" s="2" t="str">
        <f>IFERROR(__xludf.DUMMYFUNCTION("GOOGLETRANSLATE(A9174, ""de"", ""en"")"),"gave")</f>
        <v>gave</v>
      </c>
    </row>
    <row r="9175">
      <c r="A9175" s="1" t="s">
        <v>9175</v>
      </c>
      <c r="B9175" s="2" t="str">
        <f>IFERROR(__xludf.DUMMYFUNCTION("GOOGLETRANSLATE(A9175, ""de"", ""en"")"),"negro")</f>
        <v>negro</v>
      </c>
    </row>
    <row r="9176">
      <c r="A9176" s="1" t="s">
        <v>9176</v>
      </c>
      <c r="B9176" s="2" t="str">
        <f>IFERROR(__xludf.DUMMYFUNCTION("GOOGLETRANSLATE(A9176, ""de"", ""en"")"),"preacher")</f>
        <v>preacher</v>
      </c>
    </row>
    <row r="9177">
      <c r="A9177" s="1" t="s">
        <v>9177</v>
      </c>
      <c r="B9177" s="2" t="str">
        <f>IFERROR(__xludf.DUMMYFUNCTION("GOOGLETRANSLATE(A9177, ""de"", ""en"")"),"weakness")</f>
        <v>weakness</v>
      </c>
    </row>
    <row r="9178">
      <c r="A9178" s="1" t="s">
        <v>9178</v>
      </c>
      <c r="B9178" s="2" t="str">
        <f>IFERROR(__xludf.DUMMYFUNCTION("GOOGLETRANSLATE(A9178, ""de"", ""en"")"),"mine")</f>
        <v>mine</v>
      </c>
    </row>
    <row r="9179">
      <c r="A9179" s="1" t="s">
        <v>9179</v>
      </c>
      <c r="B9179" s="2" t="str">
        <f>IFERROR(__xludf.DUMMYFUNCTION("GOOGLETRANSLATE(A9179, ""de"", ""en"")"),"Paulie")</f>
        <v>Paulie</v>
      </c>
    </row>
    <row r="9180">
      <c r="A9180" s="1" t="s">
        <v>9180</v>
      </c>
      <c r="B9180" s="2" t="str">
        <f>IFERROR(__xludf.DUMMYFUNCTION("GOOGLETRANSLATE(A9180, ""de"", ""en"")"),"secret")</f>
        <v>secret</v>
      </c>
    </row>
    <row r="9181">
      <c r="A9181" s="1" t="s">
        <v>9181</v>
      </c>
      <c r="B9181" s="2" t="str">
        <f>IFERROR(__xludf.DUMMYFUNCTION("GOOGLETRANSLATE(A9181, ""de"", ""en"")"),"armchair")</f>
        <v>armchair</v>
      </c>
    </row>
    <row r="9182">
      <c r="A9182" s="1" t="s">
        <v>9182</v>
      </c>
      <c r="B9182" s="2" t="str">
        <f>IFERROR(__xludf.DUMMYFUNCTION("GOOGLETRANSLATE(A9182, ""de"", ""en"")"),"take away")</f>
        <v>take away</v>
      </c>
    </row>
    <row r="9183">
      <c r="A9183" s="1" t="s">
        <v>9183</v>
      </c>
      <c r="B9183" s="2" t="str">
        <f>IFERROR(__xludf.DUMMYFUNCTION("GOOGLETRANSLATE(A9183, ""de"", ""en"")"),"shepherd")</f>
        <v>shepherd</v>
      </c>
    </row>
    <row r="9184">
      <c r="A9184" s="1" t="s">
        <v>9184</v>
      </c>
      <c r="B9184" s="2" t="str">
        <f>IFERROR(__xludf.DUMMYFUNCTION("GOOGLETRANSLATE(A9184, ""de"", ""en"")"),"help")</f>
        <v>help</v>
      </c>
    </row>
    <row r="9185">
      <c r="A9185" s="1" t="s">
        <v>9185</v>
      </c>
      <c r="B9185" s="2" t="str">
        <f>IFERROR(__xludf.DUMMYFUNCTION("GOOGLETRANSLATE(A9185, ""de"", ""en"")"),"engagement")</f>
        <v>engagement</v>
      </c>
    </row>
    <row r="9186">
      <c r="A9186" s="1" t="s">
        <v>9186</v>
      </c>
      <c r="B9186" s="2" t="str">
        <f>IFERROR(__xludf.DUMMYFUNCTION("GOOGLETRANSLATE(A9186, ""de"", ""en"")"),"asked")</f>
        <v>asked</v>
      </c>
    </row>
    <row r="9187">
      <c r="A9187" s="1" t="s">
        <v>9187</v>
      </c>
      <c r="B9187" s="2" t="str">
        <f>IFERROR(__xludf.DUMMYFUNCTION("GOOGLETRANSLATE(A9187, ""de"", ""en"")"),"parked")</f>
        <v>parked</v>
      </c>
    </row>
    <row r="9188">
      <c r="A9188" s="1" t="s">
        <v>9188</v>
      </c>
      <c r="B9188" s="2" t="str">
        <f>IFERROR(__xludf.DUMMYFUNCTION("GOOGLETRANSLATE(A9188, ""de"", ""en"")"),"forensic pathologist")</f>
        <v>forensic pathologist</v>
      </c>
    </row>
    <row r="9189">
      <c r="A9189" s="1" t="s">
        <v>9189</v>
      </c>
      <c r="B9189" s="2" t="str">
        <f>IFERROR(__xludf.DUMMYFUNCTION("GOOGLETRANSLATE(A9189, ""de"", ""en"")"),"anita")</f>
        <v>anita</v>
      </c>
    </row>
    <row r="9190">
      <c r="A9190" s="1" t="s">
        <v>9190</v>
      </c>
      <c r="B9190" s="2" t="str">
        <f>IFERROR(__xludf.DUMMYFUNCTION("GOOGLETRANSLATE(A9190, ""de"", ""en"")"),"come back")</f>
        <v>come back</v>
      </c>
    </row>
    <row r="9191">
      <c r="A9191" s="1" t="s">
        <v>9191</v>
      </c>
      <c r="B9191" s="2" t="str">
        <f>IFERROR(__xludf.DUMMYFUNCTION("GOOGLETRANSLATE(A9191, ""de"", ""en"")"),"blouse")</f>
        <v>blouse</v>
      </c>
    </row>
    <row r="9192">
      <c r="A9192" s="1" t="s">
        <v>9192</v>
      </c>
      <c r="B9192" s="2" t="str">
        <f>IFERROR(__xludf.DUMMYFUNCTION("GOOGLETRANSLATE(A9192, ""de"", ""en"")"),"pure")</f>
        <v>pure</v>
      </c>
    </row>
    <row r="9193">
      <c r="A9193" s="1" t="s">
        <v>9193</v>
      </c>
      <c r="B9193" s="2" t="str">
        <f>IFERROR(__xludf.DUMMYFUNCTION("GOOGLETRANSLATE(A9193, ""de"", ""en"")"),"consideration")</f>
        <v>consideration</v>
      </c>
    </row>
    <row r="9194">
      <c r="A9194" s="1" t="s">
        <v>9194</v>
      </c>
      <c r="B9194" s="2" t="str">
        <f>IFERROR(__xludf.DUMMYFUNCTION("GOOGLETRANSLATE(A9194, ""de"", ""en"")"),"jaffa")</f>
        <v>jaffa</v>
      </c>
    </row>
    <row r="9195">
      <c r="A9195" s="1" t="s">
        <v>9195</v>
      </c>
      <c r="B9195" s="2" t="str">
        <f>IFERROR(__xludf.DUMMYFUNCTION("GOOGLETRANSLATE(A9195, ""de"", ""en"")"),"common")</f>
        <v>common</v>
      </c>
    </row>
    <row r="9196">
      <c r="A9196" s="1" t="s">
        <v>9196</v>
      </c>
      <c r="B9196" s="2" t="str">
        <f>IFERROR(__xludf.DUMMYFUNCTION("GOOGLETRANSLATE(A9196, ""de"", ""en"")"),"Japanese")</f>
        <v>Japanese</v>
      </c>
    </row>
    <row r="9197">
      <c r="A9197" s="1" t="s">
        <v>9197</v>
      </c>
      <c r="B9197" s="2" t="str">
        <f>IFERROR(__xludf.DUMMYFUNCTION("GOOGLETRANSLATE(A9197, ""de"", ""en"")"),"return")</f>
        <v>return</v>
      </c>
    </row>
    <row r="9198">
      <c r="A9198" s="1" t="s">
        <v>9198</v>
      </c>
      <c r="B9198" s="2" t="str">
        <f>IFERROR(__xludf.DUMMYFUNCTION("GOOGLETRANSLATE(A9198, ""de"", ""en"")"),"helper")</f>
        <v>helper</v>
      </c>
    </row>
    <row r="9199">
      <c r="A9199" s="1" t="s">
        <v>9199</v>
      </c>
      <c r="B9199" s="2" t="str">
        <f>IFERROR(__xludf.DUMMYFUNCTION("GOOGLETRANSLATE(A9199, ""de"", ""en"")"),"rise")</f>
        <v>rise</v>
      </c>
    </row>
    <row r="9200">
      <c r="A9200" s="1" t="s">
        <v>9200</v>
      </c>
      <c r="B9200" s="2" t="str">
        <f>IFERROR(__xludf.DUMMYFUNCTION("GOOGLETRANSLATE(A9200, ""de"", ""en"")"),"escapes")</f>
        <v>escapes</v>
      </c>
    </row>
    <row r="9201">
      <c r="A9201" s="1" t="s">
        <v>9201</v>
      </c>
      <c r="B9201" s="2" t="str">
        <f>IFERROR(__xludf.DUMMYFUNCTION("GOOGLETRANSLATE(A9201, ""de"", ""en"")"),"party")</f>
        <v>party</v>
      </c>
    </row>
    <row r="9202">
      <c r="A9202" s="1" t="s">
        <v>9202</v>
      </c>
      <c r="B9202" s="2" t="str">
        <f>IFERROR(__xludf.DUMMYFUNCTION("GOOGLETRANSLATE(A9202, ""de"", ""en"")"),"smile")</f>
        <v>smile</v>
      </c>
    </row>
    <row r="9203">
      <c r="A9203" s="1" t="s">
        <v>9203</v>
      </c>
      <c r="B9203" s="2" t="str">
        <f>IFERROR(__xludf.DUMMYFUNCTION("GOOGLETRANSLATE(A9203, ""de"", ""en"")"),"hidden")</f>
        <v>hidden</v>
      </c>
    </row>
    <row r="9204">
      <c r="A9204" s="1" t="s">
        <v>9204</v>
      </c>
      <c r="B9204" s="2" t="str">
        <f>IFERROR(__xludf.DUMMYFUNCTION("GOOGLETRANSLATE(A9204, ""de"", ""en"")"),"waste")</f>
        <v>waste</v>
      </c>
    </row>
    <row r="9205">
      <c r="A9205" s="1" t="s">
        <v>9205</v>
      </c>
      <c r="B9205" s="2" t="str">
        <f>IFERROR(__xludf.DUMMYFUNCTION("GOOGLETRANSLATE(A9205, ""de"", ""en"")"),"main role")</f>
        <v>main role</v>
      </c>
    </row>
    <row r="9206">
      <c r="A9206" s="1" t="s">
        <v>9206</v>
      </c>
      <c r="B9206" s="2" t="str">
        <f>IFERROR(__xludf.DUMMYFUNCTION("GOOGLETRANSLATE(A9206, ""de"", ""en"")"),"Lilly")</f>
        <v>Lilly</v>
      </c>
    </row>
    <row r="9207">
      <c r="A9207" s="1" t="s">
        <v>9207</v>
      </c>
      <c r="B9207" s="2" t="str">
        <f>IFERROR(__xludf.DUMMYFUNCTION("GOOGLETRANSLATE(A9207, ""de"", ""en"")"),"tarzan")</f>
        <v>tarzan</v>
      </c>
    </row>
    <row r="9208">
      <c r="A9208" s="1" t="s">
        <v>9208</v>
      </c>
      <c r="B9208" s="2" t="str">
        <f>IFERROR(__xludf.DUMMYFUNCTION("GOOGLETRANSLATE(A9208, ""de"", ""en"")"),"bell")</f>
        <v>bell</v>
      </c>
    </row>
    <row r="9209">
      <c r="A9209" s="1" t="s">
        <v>9209</v>
      </c>
      <c r="B9209" s="2" t="str">
        <f>IFERROR(__xludf.DUMMYFUNCTION("GOOGLETRANSLATE(A9209, ""de"", ""en"")"),"Jens")</f>
        <v>Jens</v>
      </c>
    </row>
    <row r="9210">
      <c r="A9210" s="1" t="s">
        <v>9210</v>
      </c>
      <c r="B9210" s="2" t="str">
        <f>IFERROR(__xludf.DUMMYFUNCTION("GOOGLETRANSLATE(A9210, ""de"", ""en"")"),"flirt")</f>
        <v>flirt</v>
      </c>
    </row>
    <row r="9211">
      <c r="A9211" s="1" t="s">
        <v>9211</v>
      </c>
      <c r="B9211" s="2" t="str">
        <f>IFERROR(__xludf.DUMMYFUNCTION("GOOGLETRANSLATE(A9211, ""de"", ""en"")"),"Spanish")</f>
        <v>Spanish</v>
      </c>
    </row>
    <row r="9212">
      <c r="A9212" s="1" t="s">
        <v>9212</v>
      </c>
      <c r="B9212" s="2" t="str">
        <f>IFERROR(__xludf.DUMMYFUNCTION("GOOGLETRANSLATE(A9212, ""de"", ""en"")"),"taxi driver")</f>
        <v>taxi driver</v>
      </c>
    </row>
    <row r="9213">
      <c r="A9213" s="1" t="s">
        <v>9213</v>
      </c>
      <c r="B9213" s="2" t="str">
        <f>IFERROR(__xludf.DUMMYFUNCTION("GOOGLETRANSLATE(A9213, ""de"", ""en"")"),"length")</f>
        <v>length</v>
      </c>
    </row>
    <row r="9214">
      <c r="A9214" s="1" t="s">
        <v>9214</v>
      </c>
      <c r="B9214" s="2" t="str">
        <f>IFERROR(__xludf.DUMMYFUNCTION("GOOGLETRANSLATE(A9214, ""de"", ""en"")"),"dream")</f>
        <v>dream</v>
      </c>
    </row>
    <row r="9215">
      <c r="A9215" s="1" t="s">
        <v>9215</v>
      </c>
      <c r="B9215" s="2" t="str">
        <f>IFERROR(__xludf.DUMMYFUNCTION("GOOGLETRANSLATE(A9215, ""de"", ""en"")"),"thousands")</f>
        <v>thousands</v>
      </c>
    </row>
    <row r="9216">
      <c r="A9216" s="1" t="s">
        <v>9216</v>
      </c>
      <c r="B9216" s="2" t="str">
        <f>IFERROR(__xludf.DUMMYFUNCTION("GOOGLETRANSLATE(A9216, ""de"", ""en"")"),"block")</f>
        <v>block</v>
      </c>
    </row>
    <row r="9217">
      <c r="A9217" s="1" t="s">
        <v>9217</v>
      </c>
      <c r="B9217" s="2" t="str">
        <f>IFERROR(__xludf.DUMMYFUNCTION("GOOGLETRANSLATE(A9217, ""de"", ""en"")"),"darcy")</f>
        <v>darcy</v>
      </c>
    </row>
    <row r="9218">
      <c r="A9218" s="1" t="s">
        <v>9218</v>
      </c>
      <c r="B9218" s="2" t="str">
        <f>IFERROR(__xludf.DUMMYFUNCTION("GOOGLETRANSLATE(A9218, ""de"", ""en"")"),"exclude")</f>
        <v>exclude</v>
      </c>
    </row>
    <row r="9219">
      <c r="A9219" s="1" t="s">
        <v>9219</v>
      </c>
      <c r="B9219" s="2" t="str">
        <f>IFERROR(__xludf.DUMMYFUNCTION("GOOGLETRANSLATE(A9219, ""de"", ""en"")"),"kiki")</f>
        <v>kiki</v>
      </c>
    </row>
    <row r="9220">
      <c r="A9220" s="1" t="s">
        <v>9220</v>
      </c>
      <c r="B9220" s="2" t="str">
        <f>IFERROR(__xludf.DUMMYFUNCTION("GOOGLETRANSLATE(A9220, ""de"", ""en"")"),"changes")</f>
        <v>changes</v>
      </c>
    </row>
    <row r="9221">
      <c r="A9221" s="1" t="s">
        <v>9221</v>
      </c>
      <c r="B9221" s="2" t="str">
        <f>IFERROR(__xludf.DUMMYFUNCTION("GOOGLETRANSLATE(A9221, ""de"", ""en"")"),"explore")</f>
        <v>explore</v>
      </c>
    </row>
    <row r="9222">
      <c r="A9222" s="1" t="s">
        <v>9222</v>
      </c>
      <c r="B9222" s="2" t="str">
        <f>IFERROR(__xludf.DUMMYFUNCTION("GOOGLETRANSLATE(A9222, ""de"", ""en"")"),"scanner")</f>
        <v>scanner</v>
      </c>
    </row>
    <row r="9223">
      <c r="A9223" s="1" t="s">
        <v>9223</v>
      </c>
      <c r="B9223" s="2" t="str">
        <f>IFERROR(__xludf.DUMMYFUNCTION("GOOGLETRANSLATE(A9223, ""de"", ""en"")"),"railroad")</f>
        <v>railroad</v>
      </c>
    </row>
    <row r="9224">
      <c r="A9224" s="1" t="s">
        <v>9224</v>
      </c>
      <c r="B9224" s="2" t="str">
        <f>IFERROR(__xludf.DUMMYFUNCTION("GOOGLETRANSLATE(A9224, ""de"", ""en"")"),"sit around")</f>
        <v>sit around</v>
      </c>
    </row>
    <row r="9225">
      <c r="A9225" s="1" t="s">
        <v>9225</v>
      </c>
      <c r="B9225" s="2" t="str">
        <f>IFERROR(__xludf.DUMMYFUNCTION("GOOGLETRANSLATE(A9225, ""de"", ""en"")"),"lively")</f>
        <v>lively</v>
      </c>
    </row>
    <row r="9226">
      <c r="A9226" s="1" t="s">
        <v>9226</v>
      </c>
      <c r="B9226" s="2" t="str">
        <f>IFERROR(__xludf.DUMMYFUNCTION("GOOGLETRANSLATE(A9226, ""de"", ""en"")"),"watched")</f>
        <v>watched</v>
      </c>
    </row>
    <row r="9227">
      <c r="A9227" s="1" t="s">
        <v>9227</v>
      </c>
      <c r="B9227" s="2" t="str">
        <f>IFERROR(__xludf.DUMMYFUNCTION("GOOGLETRANSLATE(A9227, ""de"", ""en"")"),"karma")</f>
        <v>karma</v>
      </c>
    </row>
    <row r="9228">
      <c r="A9228" s="1" t="s">
        <v>9228</v>
      </c>
      <c r="B9228" s="2" t="str">
        <f>IFERROR(__xludf.DUMMYFUNCTION("GOOGLETRANSLATE(A9228, ""de"", ""en"")"),"Tristan")</f>
        <v>Tristan</v>
      </c>
    </row>
    <row r="9229">
      <c r="A9229" s="1" t="s">
        <v>9229</v>
      </c>
      <c r="B9229" s="2" t="str">
        <f>IFERROR(__xludf.DUMMYFUNCTION("GOOGLETRANSLATE(A9229, ""de"", ""en"")"),"pieces")</f>
        <v>pieces</v>
      </c>
    </row>
    <row r="9230">
      <c r="A9230" s="1" t="s">
        <v>9230</v>
      </c>
      <c r="B9230" s="2" t="str">
        <f>IFERROR(__xludf.DUMMYFUNCTION("GOOGLETRANSLATE(A9230, ""de"", ""en"")"),"province")</f>
        <v>province</v>
      </c>
    </row>
    <row r="9231">
      <c r="A9231" s="1" t="s">
        <v>9231</v>
      </c>
      <c r="B9231" s="2" t="str">
        <f>IFERROR(__xludf.DUMMYFUNCTION("GOOGLETRANSLATE(A9231, ""de"", ""en"")"),"participated")</f>
        <v>participated</v>
      </c>
    </row>
    <row r="9232">
      <c r="A9232" s="1" t="s">
        <v>9232</v>
      </c>
      <c r="B9232" s="2" t="str">
        <f>IFERROR(__xludf.DUMMYFUNCTION("GOOGLETRANSLATE(A9232, ""de"", ""en"")"),"yvonne")</f>
        <v>yvonne</v>
      </c>
    </row>
    <row r="9233">
      <c r="A9233" s="1" t="s">
        <v>9233</v>
      </c>
      <c r="B9233" s="2" t="str">
        <f>IFERROR(__xludf.DUMMYFUNCTION("GOOGLETRANSLATE(A9233, ""de"", ""en"")"),"couple")</f>
        <v>couple</v>
      </c>
    </row>
    <row r="9234">
      <c r="A9234" s="1" t="s">
        <v>9234</v>
      </c>
      <c r="B9234" s="2" t="str">
        <f>IFERROR(__xludf.DUMMYFUNCTION("GOOGLETRANSLATE(A9234, ""de"", ""en"")"),"critical")</f>
        <v>critical</v>
      </c>
    </row>
    <row r="9235">
      <c r="A9235" s="1" t="s">
        <v>9235</v>
      </c>
      <c r="B9235" s="2" t="str">
        <f>IFERROR(__xludf.DUMMYFUNCTION("GOOGLETRANSLATE(A9235, ""de"", ""en"")"),"Peters")</f>
        <v>Peters</v>
      </c>
    </row>
    <row r="9236">
      <c r="A9236" s="1" t="s">
        <v>9236</v>
      </c>
      <c r="B9236" s="2" t="str">
        <f>IFERROR(__xludf.DUMMYFUNCTION("GOOGLETRANSLATE(A9236, ""de"", ""en"")"),"Suzanne")</f>
        <v>Suzanne</v>
      </c>
    </row>
    <row r="9237">
      <c r="A9237" s="1" t="s">
        <v>9237</v>
      </c>
      <c r="B9237" s="2" t="str">
        <f>IFERROR(__xludf.DUMMYFUNCTION("GOOGLETRANSLATE(A9237, ""de"", ""en"")"),"healthy")</f>
        <v>healthy</v>
      </c>
    </row>
    <row r="9238">
      <c r="A9238" s="1" t="s">
        <v>9238</v>
      </c>
      <c r="B9238" s="2" t="str">
        <f>IFERROR(__xludf.DUMMYFUNCTION("GOOGLETRANSLATE(A9238, ""de"", ""en"")"),"financed")</f>
        <v>financed</v>
      </c>
    </row>
    <row r="9239">
      <c r="A9239" s="1" t="s">
        <v>9239</v>
      </c>
      <c r="B9239" s="2" t="str">
        <f>IFERROR(__xludf.DUMMYFUNCTION("GOOGLETRANSLATE(A9239, ""de"", ""en"")"),"electricity")</f>
        <v>electricity</v>
      </c>
    </row>
    <row r="9240">
      <c r="A9240" s="1" t="s">
        <v>9240</v>
      </c>
      <c r="B9240" s="2" t="str">
        <f>IFERROR(__xludf.DUMMYFUNCTION("GOOGLETRANSLATE(A9240, ""de"", ""en"")"),"bosom")</f>
        <v>bosom</v>
      </c>
    </row>
    <row r="9241">
      <c r="A9241" s="1" t="s">
        <v>9241</v>
      </c>
      <c r="B9241" s="2" t="str">
        <f>IFERROR(__xludf.DUMMYFUNCTION("GOOGLETRANSLATE(A9241, ""de"", ""en"")"),"experience")</f>
        <v>experience</v>
      </c>
    </row>
    <row r="9242">
      <c r="A9242" s="1" t="s">
        <v>9242</v>
      </c>
      <c r="B9242" s="2" t="str">
        <f>IFERROR(__xludf.DUMMYFUNCTION("GOOGLETRANSLATE(A9242, ""de"", ""en"")"),"mccoy")</f>
        <v>mccoy</v>
      </c>
    </row>
    <row r="9243">
      <c r="A9243" s="1" t="s">
        <v>9243</v>
      </c>
      <c r="B9243" s="2" t="str">
        <f>IFERROR(__xludf.DUMMYFUNCTION("GOOGLETRANSLATE(A9243, ""de"", ""en"")"),"fatherland")</f>
        <v>fatherland</v>
      </c>
    </row>
    <row r="9244">
      <c r="A9244" s="1" t="s">
        <v>9244</v>
      </c>
      <c r="B9244" s="2" t="str">
        <f>IFERROR(__xludf.DUMMYFUNCTION("GOOGLETRANSLATE(A9244, ""de"", ""en"")"),"bitter")</f>
        <v>bitter</v>
      </c>
    </row>
    <row r="9245">
      <c r="A9245" s="1" t="s">
        <v>9245</v>
      </c>
      <c r="B9245" s="2" t="str">
        <f>IFERROR(__xludf.DUMMYFUNCTION("GOOGLETRANSLATE(A9245, ""de"", ""en"")"),"veil")</f>
        <v>veil</v>
      </c>
    </row>
    <row r="9246">
      <c r="A9246" s="1" t="s">
        <v>9246</v>
      </c>
      <c r="B9246" s="2" t="str">
        <f>IFERROR(__xludf.DUMMYFUNCTION("GOOGLETRANSLATE(A9246, ""de"", ""en"")"),"emergency doctor")</f>
        <v>emergency doctor</v>
      </c>
    </row>
    <row r="9247">
      <c r="A9247" s="1" t="s">
        <v>9247</v>
      </c>
      <c r="B9247" s="2" t="str">
        <f>IFERROR(__xludf.DUMMYFUNCTION("GOOGLETRANSLATE(A9247, ""de"", ""en"")"),"takes place")</f>
        <v>takes place</v>
      </c>
    </row>
    <row r="9248">
      <c r="A9248" s="1" t="s">
        <v>9248</v>
      </c>
      <c r="B9248" s="2" t="str">
        <f>IFERROR(__xludf.DUMMYFUNCTION("GOOGLETRANSLATE(A9248, ""de"", ""en"")"),"excellent")</f>
        <v>excellent</v>
      </c>
    </row>
    <row r="9249">
      <c r="A9249" s="1" t="s">
        <v>9249</v>
      </c>
      <c r="B9249" s="2" t="str">
        <f>IFERROR(__xludf.DUMMYFUNCTION("GOOGLETRANSLATE(A9249, ""de"", ""en"")"),"criminal")</f>
        <v>criminal</v>
      </c>
    </row>
    <row r="9250">
      <c r="A9250" s="1" t="s">
        <v>9250</v>
      </c>
      <c r="B9250" s="2" t="str">
        <f>IFERROR(__xludf.DUMMYFUNCTION("GOOGLETRANSLATE(A9250, ""de"", ""en"")"),"breathe deeply")</f>
        <v>breathe deeply</v>
      </c>
    </row>
    <row r="9251">
      <c r="A9251" s="1" t="s">
        <v>9251</v>
      </c>
      <c r="B9251" s="2" t="str">
        <f>IFERROR(__xludf.DUMMYFUNCTION("GOOGLETRANSLATE(A9251, ""de"", ""en"")"),"plug")</f>
        <v>plug</v>
      </c>
    </row>
    <row r="9252">
      <c r="A9252" s="1" t="s">
        <v>9252</v>
      </c>
      <c r="B9252" s="2" t="str">
        <f>IFERROR(__xludf.DUMMYFUNCTION("GOOGLETRANSLATE(A9252, ""de"", ""en"")"),"handover")</f>
        <v>handover</v>
      </c>
    </row>
    <row r="9253">
      <c r="A9253" s="1" t="s">
        <v>9253</v>
      </c>
      <c r="B9253" s="2" t="str">
        <f>IFERROR(__xludf.DUMMYFUNCTION("GOOGLETRANSLATE(A9253, ""de"", ""en"")"),"for months")</f>
        <v>for months</v>
      </c>
    </row>
    <row r="9254">
      <c r="A9254" s="1" t="s">
        <v>9254</v>
      </c>
      <c r="B9254" s="2" t="str">
        <f>IFERROR(__xludf.DUMMYFUNCTION("GOOGLETRANSLATE(A9254, ""de"", ""en"")"),"hurry up")</f>
        <v>hurry up</v>
      </c>
    </row>
    <row r="9255">
      <c r="A9255" s="1" t="s">
        <v>9255</v>
      </c>
      <c r="B9255" s="2" t="str">
        <f>IFERROR(__xludf.DUMMYFUNCTION("GOOGLETRANSLATE(A9255, ""de"", ""en"")"),"Harley")</f>
        <v>Harley</v>
      </c>
    </row>
    <row r="9256">
      <c r="A9256" s="1" t="s">
        <v>9256</v>
      </c>
      <c r="B9256" s="2" t="str">
        <f>IFERROR(__xludf.DUMMYFUNCTION("GOOGLETRANSLATE(A9256, ""de"", ""en"")"),"sign")</f>
        <v>sign</v>
      </c>
    </row>
    <row r="9257">
      <c r="A9257" s="1" t="s">
        <v>9257</v>
      </c>
      <c r="B9257" s="2" t="str">
        <f>IFERROR(__xludf.DUMMYFUNCTION("GOOGLETRANSLATE(A9257, ""de"", ""en"")"),"effect")</f>
        <v>effect</v>
      </c>
    </row>
    <row r="9258">
      <c r="A9258" s="1" t="s">
        <v>9258</v>
      </c>
      <c r="B9258" s="2" t="str">
        <f>IFERROR(__xludf.DUMMYFUNCTION("GOOGLETRANSLATE(A9258, ""de"", ""en"")"),"insert")</f>
        <v>insert</v>
      </c>
    </row>
    <row r="9259">
      <c r="A9259" s="1" t="s">
        <v>9259</v>
      </c>
      <c r="B9259" s="2" t="str">
        <f>IFERROR(__xludf.DUMMYFUNCTION("GOOGLETRANSLATE(A9259, ""de"", ""en"")"),"confusion")</f>
        <v>confusion</v>
      </c>
    </row>
    <row r="9260">
      <c r="A9260" s="1" t="s">
        <v>9260</v>
      </c>
      <c r="B9260" s="2" t="str">
        <f>IFERROR(__xludf.DUMMYFUNCTION("GOOGLETRANSLATE(A9260, ""de"", ""en"")"),"exceeded")</f>
        <v>exceeded</v>
      </c>
    </row>
    <row r="9261">
      <c r="A9261" s="1" t="s">
        <v>9261</v>
      </c>
      <c r="B9261" s="2" t="str">
        <f>IFERROR(__xludf.DUMMYFUNCTION("GOOGLETRANSLATE(A9261, ""de"", ""en"")"),"where")</f>
        <v>where</v>
      </c>
    </row>
    <row r="9262">
      <c r="A9262" s="1" t="s">
        <v>9262</v>
      </c>
      <c r="B9262" s="2" t="str">
        <f>IFERROR(__xludf.DUMMYFUNCTION("GOOGLETRANSLATE(A9262, ""de"", ""en"")"),"instruments")</f>
        <v>instruments</v>
      </c>
    </row>
    <row r="9263">
      <c r="A9263" s="1" t="s">
        <v>9263</v>
      </c>
      <c r="B9263" s="2" t="str">
        <f>IFERROR(__xludf.DUMMYFUNCTION("GOOGLETRANSLATE(A9263, ""de"", ""en"")"),"Milan")</f>
        <v>Milan</v>
      </c>
    </row>
    <row r="9264">
      <c r="A9264" s="1" t="s">
        <v>9264</v>
      </c>
      <c r="B9264" s="2" t="str">
        <f>IFERROR(__xludf.DUMMYFUNCTION("GOOGLETRANSLATE(A9264, ""de"", ""en"")"),"leave")</f>
        <v>leave</v>
      </c>
    </row>
    <row r="9265">
      <c r="A9265" s="1" t="s">
        <v>9265</v>
      </c>
      <c r="B9265" s="2" t="str">
        <f>IFERROR(__xludf.DUMMYFUNCTION("GOOGLETRANSLATE(A9265, ""de"", ""en"")"),"Latin")</f>
        <v>Latin</v>
      </c>
    </row>
    <row r="9266">
      <c r="A9266" s="1" t="s">
        <v>9266</v>
      </c>
      <c r="B9266" s="2" t="str">
        <f>IFERROR(__xludf.DUMMYFUNCTION("GOOGLETRANSLATE(A9266, ""de"", ""en"")"),"caine")</f>
        <v>caine</v>
      </c>
    </row>
    <row r="9267">
      <c r="A9267" s="1" t="s">
        <v>9267</v>
      </c>
      <c r="B9267" s="2" t="str">
        <f>IFERROR(__xludf.DUMMYFUNCTION("GOOGLETRANSLATE(A9267, ""de"", ""en"")"),"great")</f>
        <v>great</v>
      </c>
    </row>
    <row r="9268">
      <c r="A9268" s="1" t="s">
        <v>9268</v>
      </c>
      <c r="B9268" s="2" t="str">
        <f>IFERROR(__xludf.DUMMYFUNCTION("GOOGLETRANSLATE(A9268, ""de"", ""en"")"),"Billie")</f>
        <v>Billie</v>
      </c>
    </row>
    <row r="9269">
      <c r="A9269" s="1" t="s">
        <v>9269</v>
      </c>
      <c r="B9269" s="2" t="str">
        <f>IFERROR(__xludf.DUMMYFUNCTION("GOOGLETRANSLATE(A9269, ""de"", ""en"")"),"basis")</f>
        <v>basis</v>
      </c>
    </row>
    <row r="9270">
      <c r="A9270" s="1" t="s">
        <v>9270</v>
      </c>
      <c r="B9270" s="2" t="str">
        <f>IFERROR(__xludf.DUMMYFUNCTION("GOOGLETRANSLATE(A9270, ""de"", ""en"")"),"sequence")</f>
        <v>sequence</v>
      </c>
    </row>
    <row r="9271">
      <c r="A9271" s="1" t="s">
        <v>9271</v>
      </c>
      <c r="B9271" s="2" t="str">
        <f>IFERROR(__xludf.DUMMYFUNCTION("GOOGLETRANSLATE(A9271, ""de"", ""en"")"),"physical")</f>
        <v>physical</v>
      </c>
    </row>
    <row r="9272">
      <c r="A9272" s="1" t="s">
        <v>9272</v>
      </c>
      <c r="B9272" s="2" t="str">
        <f>IFERROR(__xludf.DUMMYFUNCTION("GOOGLETRANSLATE(A9272, ""de"", ""en"")"),"worms")</f>
        <v>worms</v>
      </c>
    </row>
    <row r="9273">
      <c r="A9273" s="1" t="s">
        <v>9273</v>
      </c>
      <c r="B9273" s="2" t="str">
        <f>IFERROR(__xludf.DUMMYFUNCTION("GOOGLETRANSLATE(A9273, ""de"", ""en"")"),"arena")</f>
        <v>arena</v>
      </c>
    </row>
    <row r="9274">
      <c r="A9274" s="1" t="s">
        <v>9274</v>
      </c>
      <c r="B9274" s="2" t="str">
        <f>IFERROR(__xludf.DUMMYFUNCTION("GOOGLETRANSLATE(A9274, ""de"", ""en"")"),"Mexico")</f>
        <v>Mexico</v>
      </c>
    </row>
    <row r="9275">
      <c r="A9275" s="1" t="s">
        <v>9275</v>
      </c>
      <c r="B9275" s="2" t="str">
        <f>IFERROR(__xludf.DUMMYFUNCTION("GOOGLETRANSLATE(A9275, ""de"", ""en"")"),"hong")</f>
        <v>hong</v>
      </c>
    </row>
    <row r="9276">
      <c r="A9276" s="1" t="s">
        <v>9276</v>
      </c>
      <c r="B9276" s="2" t="str">
        <f>IFERROR(__xludf.DUMMYFUNCTION("GOOGLETRANSLATE(A9276, ""de"", ""en"")"),"ballet")</f>
        <v>ballet</v>
      </c>
    </row>
    <row r="9277">
      <c r="A9277" s="1" t="s">
        <v>9277</v>
      </c>
      <c r="B9277" s="2" t="str">
        <f>IFERROR(__xludf.DUMMYFUNCTION("GOOGLETRANSLATE(A9277, ""de"", ""en"")"),"bitch")</f>
        <v>bitch</v>
      </c>
    </row>
    <row r="9278">
      <c r="A9278" s="1" t="s">
        <v>9278</v>
      </c>
      <c r="B9278" s="2" t="str">
        <f>IFERROR(__xludf.DUMMYFUNCTION("GOOGLETRANSLATE(A9278, ""de"", ""en"")"),"Gerald")</f>
        <v>Gerald</v>
      </c>
    </row>
    <row r="9279">
      <c r="A9279" s="1" t="s">
        <v>9279</v>
      </c>
      <c r="B9279" s="2" t="str">
        <f>IFERROR(__xludf.DUMMYFUNCTION("GOOGLETRANSLATE(A9279, ""de"", ""en"")"),"factories")</f>
        <v>factories</v>
      </c>
    </row>
    <row r="9280">
      <c r="A9280" s="1" t="s">
        <v>9280</v>
      </c>
      <c r="B9280" s="2" t="str">
        <f>IFERROR(__xludf.DUMMYFUNCTION("GOOGLETRANSLATE(A9280, ""de"", ""en"")"),"bullshit")</f>
        <v>bullshit</v>
      </c>
    </row>
    <row r="9281">
      <c r="A9281" s="1" t="s">
        <v>9281</v>
      </c>
      <c r="B9281" s="2" t="str">
        <f>IFERROR(__xludf.DUMMYFUNCTION("GOOGLETRANSLATE(A9281, ""de"", ""en"")"),"mae")</f>
        <v>mae</v>
      </c>
    </row>
    <row r="9282">
      <c r="A9282" s="1" t="s">
        <v>9282</v>
      </c>
      <c r="B9282" s="2" t="str">
        <f>IFERROR(__xludf.DUMMYFUNCTION("GOOGLETRANSLATE(A9282, ""de"", ""en"")"),"tracking")</f>
        <v>tracking</v>
      </c>
    </row>
    <row r="9283">
      <c r="A9283" s="1" t="s">
        <v>9283</v>
      </c>
      <c r="B9283" s="2" t="str">
        <f>IFERROR(__xludf.DUMMYFUNCTION("GOOGLETRANSLATE(A9283, ""de"", ""en"")"),"lizzie")</f>
        <v>lizzie</v>
      </c>
    </row>
    <row r="9284">
      <c r="A9284" s="1" t="s">
        <v>9284</v>
      </c>
      <c r="B9284" s="2" t="str">
        <f>IFERROR(__xludf.DUMMYFUNCTION("GOOGLETRANSLATE(A9284, ""de"", ""en"")"),"male")</f>
        <v>male</v>
      </c>
    </row>
    <row r="9285">
      <c r="A9285" s="1" t="s">
        <v>9285</v>
      </c>
      <c r="B9285" s="2" t="str">
        <f>IFERROR(__xludf.DUMMYFUNCTION("GOOGLETRANSLATE(A9285, ""de"", ""en"")"),"copy")</f>
        <v>copy</v>
      </c>
    </row>
    <row r="9286">
      <c r="A9286" s="1" t="s">
        <v>9286</v>
      </c>
      <c r="B9286" s="2" t="str">
        <f>IFERROR(__xludf.DUMMYFUNCTION("GOOGLETRANSLATE(A9286, ""de"", ""en"")"),"regrettable")</f>
        <v>regrettable</v>
      </c>
    </row>
    <row r="9287">
      <c r="A9287" s="1" t="s">
        <v>9287</v>
      </c>
      <c r="B9287" s="2" t="str">
        <f>IFERROR(__xludf.DUMMYFUNCTION("GOOGLETRANSLATE(A9287, ""de"", ""en"")"),"blind people")</f>
        <v>blind people</v>
      </c>
    </row>
    <row r="9288">
      <c r="A9288" s="1" t="s">
        <v>9288</v>
      </c>
      <c r="B9288" s="2" t="str">
        <f>IFERROR(__xludf.DUMMYFUNCTION("GOOGLETRANSLATE(A9288, ""de"", ""en"")"),"hunt")</f>
        <v>hunt</v>
      </c>
    </row>
    <row r="9289">
      <c r="A9289" s="1" t="s">
        <v>9289</v>
      </c>
      <c r="B9289" s="2" t="str">
        <f>IFERROR(__xludf.DUMMYFUNCTION("GOOGLETRANSLATE(A9289, ""de"", ""en"")"),"CD")</f>
        <v>CD</v>
      </c>
    </row>
    <row r="9290">
      <c r="A9290" s="1" t="s">
        <v>9290</v>
      </c>
      <c r="B9290" s="2" t="str">
        <f>IFERROR(__xludf.DUMMYFUNCTION("GOOGLETRANSLATE(A9290, ""de"", ""en"")"),"honey")</f>
        <v>honey</v>
      </c>
    </row>
    <row r="9291">
      <c r="A9291" s="1" t="s">
        <v>9291</v>
      </c>
      <c r="B9291" s="2" t="str">
        <f>IFERROR(__xludf.DUMMYFUNCTION("GOOGLETRANSLATE(A9291, ""de"", ""en"")"),"finance")</f>
        <v>finance</v>
      </c>
    </row>
    <row r="9292">
      <c r="A9292" s="1" t="s">
        <v>9292</v>
      </c>
      <c r="B9292" s="2" t="str">
        <f>IFERROR(__xludf.DUMMYFUNCTION("GOOGLETRANSLATE(A9292, ""de"", ""en"")"),"institution")</f>
        <v>institution</v>
      </c>
    </row>
    <row r="9293">
      <c r="A9293" s="1" t="s">
        <v>9293</v>
      </c>
      <c r="B9293" s="2" t="str">
        <f>IFERROR(__xludf.DUMMYFUNCTION("GOOGLETRANSLATE(A9293, ""de"", ""en"")"),"stop by")</f>
        <v>stop by</v>
      </c>
    </row>
    <row r="9294">
      <c r="A9294" s="1" t="s">
        <v>9294</v>
      </c>
      <c r="B9294" s="2" t="str">
        <f>IFERROR(__xludf.DUMMYFUNCTION("GOOGLETRANSLATE(A9294, ""de"", ""en"")"),"v.")</f>
        <v>v.</v>
      </c>
    </row>
    <row r="9295">
      <c r="A9295" s="1" t="s">
        <v>9295</v>
      </c>
      <c r="B9295" s="2" t="str">
        <f>IFERROR(__xludf.DUMMYFUNCTION("GOOGLETRANSLATE(A9295, ""de"", ""en"")"),"pact")</f>
        <v>pact</v>
      </c>
    </row>
    <row r="9296">
      <c r="A9296" s="1" t="s">
        <v>9296</v>
      </c>
      <c r="B9296" s="2" t="str">
        <f>IFERROR(__xludf.DUMMYFUNCTION("GOOGLETRANSLATE(A9296, ""de"", ""en"")"),"dam")</f>
        <v>dam</v>
      </c>
    </row>
    <row r="9297">
      <c r="A9297" s="1" t="s">
        <v>9297</v>
      </c>
      <c r="B9297" s="2" t="str">
        <f>IFERROR(__xludf.DUMMYFUNCTION("GOOGLETRANSLATE(A9297, ""de"", ""en"")"),"laser")</f>
        <v>laser</v>
      </c>
    </row>
    <row r="9298">
      <c r="A9298" s="1" t="s">
        <v>9298</v>
      </c>
      <c r="B9298" s="2" t="str">
        <f>IFERROR(__xludf.DUMMYFUNCTION("GOOGLETRANSLATE(A9298, ""de"", ""en"")"),"Gustav")</f>
        <v>Gustav</v>
      </c>
    </row>
    <row r="9299">
      <c r="A9299" s="1" t="s">
        <v>9299</v>
      </c>
      <c r="B9299" s="2" t="str">
        <f>IFERROR(__xludf.DUMMYFUNCTION("GOOGLETRANSLATE(A9299, ""de"", ""en"")"),"lonely")</f>
        <v>lonely</v>
      </c>
    </row>
    <row r="9300">
      <c r="A9300" s="1" t="s">
        <v>9300</v>
      </c>
      <c r="B9300" s="2" t="str">
        <f>IFERROR(__xludf.DUMMYFUNCTION("GOOGLETRANSLATE(A9300, ""de"", ""en"")"),"like that")</f>
        <v>like that</v>
      </c>
    </row>
    <row r="9301">
      <c r="A9301" s="1" t="s">
        <v>9301</v>
      </c>
      <c r="B9301" s="2" t="str">
        <f>IFERROR(__xludf.DUMMYFUNCTION("GOOGLETRANSLATE(A9301, ""de"", ""en"")"),"lower")</f>
        <v>lower</v>
      </c>
    </row>
    <row r="9302">
      <c r="A9302" s="1" t="s">
        <v>9302</v>
      </c>
      <c r="B9302" s="2" t="str">
        <f>IFERROR(__xludf.DUMMYFUNCTION("GOOGLETRANSLATE(A9302, ""de"", ""en"")"),"gather")</f>
        <v>gather</v>
      </c>
    </row>
    <row r="9303">
      <c r="A9303" s="1" t="s">
        <v>9303</v>
      </c>
      <c r="B9303" s="2" t="str">
        <f>IFERROR(__xludf.DUMMYFUNCTION("GOOGLETRANSLATE(A9303, ""de"", ""en"")"),"authority")</f>
        <v>authority</v>
      </c>
    </row>
    <row r="9304">
      <c r="A9304" s="1" t="s">
        <v>9304</v>
      </c>
      <c r="B9304" s="2" t="str">
        <f>IFERROR(__xludf.DUMMYFUNCTION("GOOGLETRANSLATE(A9304, ""de"", ""en"")"),"info")</f>
        <v>info</v>
      </c>
    </row>
    <row r="9305">
      <c r="A9305" s="1" t="s">
        <v>9305</v>
      </c>
      <c r="B9305" s="2" t="str">
        <f>IFERROR(__xludf.DUMMYFUNCTION("GOOGLETRANSLATE(A9305, ""de"", ""en"")"),"Beckett")</f>
        <v>Beckett</v>
      </c>
    </row>
    <row r="9306">
      <c r="A9306" s="1" t="s">
        <v>9306</v>
      </c>
      <c r="B9306" s="2" t="str">
        <f>IFERROR(__xludf.DUMMYFUNCTION("GOOGLETRANSLATE(A9306, ""de"", ""en"")"),"covered")</f>
        <v>covered</v>
      </c>
    </row>
    <row r="9307">
      <c r="A9307" s="1" t="s">
        <v>9307</v>
      </c>
      <c r="B9307" s="2" t="str">
        <f>IFERROR(__xludf.DUMMYFUNCTION("GOOGLETRANSLATE(A9307, ""de"", ""en"")"),"mutt")</f>
        <v>mutt</v>
      </c>
    </row>
    <row r="9308">
      <c r="A9308" s="1" t="s">
        <v>9308</v>
      </c>
      <c r="B9308" s="2" t="str">
        <f>IFERROR(__xludf.DUMMYFUNCTION("GOOGLETRANSLATE(A9308, ""de"", ""en"")"),"positions")</f>
        <v>positions</v>
      </c>
    </row>
    <row r="9309">
      <c r="A9309" s="1" t="s">
        <v>9309</v>
      </c>
      <c r="B9309" s="2" t="str">
        <f>IFERROR(__xludf.DUMMYFUNCTION("GOOGLETRANSLATE(A9309, ""de"", ""en"")"),"represent")</f>
        <v>represent</v>
      </c>
    </row>
    <row r="9310">
      <c r="A9310" s="1" t="s">
        <v>9310</v>
      </c>
      <c r="B9310" s="2" t="str">
        <f>IFERROR(__xludf.DUMMYFUNCTION("GOOGLETRANSLATE(A9310, ""de"", ""en"")"),"Kirby")</f>
        <v>Kirby</v>
      </c>
    </row>
    <row r="9311">
      <c r="A9311" s="1" t="s">
        <v>9311</v>
      </c>
      <c r="B9311" s="2" t="str">
        <f>IFERROR(__xludf.DUMMYFUNCTION("GOOGLETRANSLATE(A9311, ""de"", ""en"")"),"rape")</f>
        <v>rape</v>
      </c>
    </row>
    <row r="9312">
      <c r="A9312" s="1" t="s">
        <v>9312</v>
      </c>
      <c r="B9312" s="2" t="str">
        <f>IFERROR(__xludf.DUMMYFUNCTION("GOOGLETRANSLATE(A9312, ""de"", ""en"")"),"chemicals")</f>
        <v>chemicals</v>
      </c>
    </row>
    <row r="9313">
      <c r="A9313" s="1" t="s">
        <v>9313</v>
      </c>
      <c r="B9313" s="2" t="str">
        <f>IFERROR(__xludf.DUMMYFUNCTION("GOOGLETRANSLATE(A9313, ""de"", ""en"")"),"confuse with")</f>
        <v>confuse with</v>
      </c>
    </row>
    <row r="9314">
      <c r="A9314" s="1" t="s">
        <v>9314</v>
      </c>
      <c r="B9314" s="2" t="str">
        <f>IFERROR(__xludf.DUMMYFUNCTION("GOOGLETRANSLATE(A9314, ""de"", ""en"")"),"bright")</f>
        <v>bright</v>
      </c>
    </row>
    <row r="9315">
      <c r="A9315" s="1" t="s">
        <v>9315</v>
      </c>
      <c r="B9315" s="2" t="str">
        <f>IFERROR(__xludf.DUMMYFUNCTION("GOOGLETRANSLATE(A9315, ""de"", ""en"")"),"enlarge")</f>
        <v>enlarge</v>
      </c>
    </row>
    <row r="9316">
      <c r="A9316" s="1" t="s">
        <v>9316</v>
      </c>
      <c r="B9316" s="2" t="str">
        <f>IFERROR(__xludf.DUMMYFUNCTION("GOOGLETRANSLATE(A9316, ""de"", ""en"")"),"have on")</f>
        <v>have on</v>
      </c>
    </row>
    <row r="9317">
      <c r="A9317" s="1" t="s">
        <v>9317</v>
      </c>
      <c r="B9317" s="2" t="str">
        <f>IFERROR(__xludf.DUMMYFUNCTION("GOOGLETRANSLATE(A9317, ""de"", ""en"")"),"tuvok")</f>
        <v>tuvok</v>
      </c>
    </row>
    <row r="9318">
      <c r="A9318" s="1" t="s">
        <v>9318</v>
      </c>
      <c r="B9318" s="2" t="str">
        <f>IFERROR(__xludf.DUMMYFUNCTION("GOOGLETRANSLATE(A9318, ""de"", ""en"")"),"pissed off")</f>
        <v>pissed off</v>
      </c>
    </row>
    <row r="9319">
      <c r="A9319" s="1" t="s">
        <v>9319</v>
      </c>
      <c r="B9319" s="2" t="str">
        <f>IFERROR(__xludf.DUMMYFUNCTION("GOOGLETRANSLATE(A9319, ""de"", ""en"")"),"ida")</f>
        <v>ida</v>
      </c>
    </row>
    <row r="9320">
      <c r="A9320" s="1" t="s">
        <v>9320</v>
      </c>
      <c r="B9320" s="2" t="str">
        <f>IFERROR(__xludf.DUMMYFUNCTION("GOOGLETRANSLATE(A9320, ""de"", ""en"")"),"Mississippi")</f>
        <v>Mississippi</v>
      </c>
    </row>
    <row r="9321">
      <c r="A9321" s="1" t="s">
        <v>9321</v>
      </c>
      <c r="B9321" s="2" t="str">
        <f>IFERROR(__xludf.DUMMYFUNCTION("GOOGLETRANSLATE(A9321, ""de"", ""en"")"),"shelter")</f>
        <v>shelter</v>
      </c>
    </row>
    <row r="9322">
      <c r="A9322" s="1" t="s">
        <v>9322</v>
      </c>
      <c r="B9322" s="2" t="str">
        <f>IFERROR(__xludf.DUMMYFUNCTION("GOOGLETRANSLATE(A9322, ""de"", ""en"")"),"shirts")</f>
        <v>shirts</v>
      </c>
    </row>
    <row r="9323">
      <c r="A9323" s="1" t="s">
        <v>9323</v>
      </c>
      <c r="B9323" s="2" t="str">
        <f>IFERROR(__xludf.DUMMYFUNCTION("GOOGLETRANSLATE(A9323, ""de"", ""en"")"),"broom")</f>
        <v>broom</v>
      </c>
    </row>
    <row r="9324">
      <c r="A9324" s="1" t="s">
        <v>9324</v>
      </c>
      <c r="B9324" s="2" t="str">
        <f>IFERROR(__xludf.DUMMYFUNCTION("GOOGLETRANSLATE(A9324, ""de"", ""en"")"),"come here")</f>
        <v>come here</v>
      </c>
    </row>
    <row r="9325">
      <c r="A9325" s="1" t="s">
        <v>9325</v>
      </c>
      <c r="B9325" s="2" t="str">
        <f>IFERROR(__xludf.DUMMYFUNCTION("GOOGLETRANSLATE(A9325, ""de"", ""en"")"),"let")</f>
        <v>let</v>
      </c>
    </row>
    <row r="9326">
      <c r="A9326" s="1" t="s">
        <v>9326</v>
      </c>
      <c r="B9326" s="2" t="str">
        <f>IFERROR(__xludf.DUMMYFUNCTION("GOOGLETRANSLATE(A9326, ""de"", ""en"")"),"jazz")</f>
        <v>jazz</v>
      </c>
    </row>
    <row r="9327">
      <c r="A9327" s="1" t="s">
        <v>9327</v>
      </c>
      <c r="B9327" s="2" t="str">
        <f>IFERROR(__xludf.DUMMYFUNCTION("GOOGLETRANSLATE(A9327, ""de"", ""en"")"),"rushes")</f>
        <v>rushes</v>
      </c>
    </row>
    <row r="9328">
      <c r="A9328" s="1" t="s">
        <v>9328</v>
      </c>
      <c r="B9328" s="2" t="str">
        <f>IFERROR(__xludf.DUMMYFUNCTION("GOOGLETRANSLATE(A9328, ""de"", ""en"")"),"candy")</f>
        <v>candy</v>
      </c>
    </row>
    <row r="9329">
      <c r="A9329" s="1" t="s">
        <v>9329</v>
      </c>
      <c r="B9329" s="2" t="str">
        <f>IFERROR(__xludf.DUMMYFUNCTION("GOOGLETRANSLATE(A9329, ""de"", ""en"")"),"accuse")</f>
        <v>accuse</v>
      </c>
    </row>
    <row r="9330">
      <c r="A9330" s="1" t="s">
        <v>9330</v>
      </c>
      <c r="B9330" s="2" t="str">
        <f>IFERROR(__xludf.DUMMYFUNCTION("GOOGLETRANSLATE(A9330, ""de"", ""en"")"),"plan")</f>
        <v>plan</v>
      </c>
    </row>
    <row r="9331">
      <c r="A9331" s="1" t="s">
        <v>9331</v>
      </c>
      <c r="B9331" s="2" t="str">
        <f>IFERROR(__xludf.DUMMYFUNCTION("GOOGLETRANSLATE(A9331, ""de"", ""en"")"),"il")</f>
        <v>il</v>
      </c>
    </row>
    <row r="9332">
      <c r="A9332" s="1" t="s">
        <v>9332</v>
      </c>
      <c r="B9332" s="2" t="str">
        <f>IFERROR(__xludf.DUMMYFUNCTION("GOOGLETRANSLATE(A9332, ""de"", ""en"")"),"to deter")</f>
        <v>to deter</v>
      </c>
    </row>
    <row r="9333">
      <c r="A9333" s="1" t="s">
        <v>9333</v>
      </c>
      <c r="B9333" s="2" t="str">
        <f>IFERROR(__xludf.DUMMYFUNCTION("GOOGLETRANSLATE(A9333, ""de"", ""en"")"),"odo")</f>
        <v>odo</v>
      </c>
    </row>
    <row r="9334">
      <c r="A9334" s="1" t="s">
        <v>9334</v>
      </c>
      <c r="B9334" s="2" t="str">
        <f>IFERROR(__xludf.DUMMYFUNCTION("GOOGLETRANSLATE(A9334, ""de"", ""en"")"),"virtue")</f>
        <v>virtue</v>
      </c>
    </row>
    <row r="9335">
      <c r="A9335" s="1" t="s">
        <v>9335</v>
      </c>
      <c r="B9335" s="2" t="str">
        <f>IFERROR(__xludf.DUMMYFUNCTION("GOOGLETRANSLATE(A9335, ""de"", ""en"")"),"princes")</f>
        <v>princes</v>
      </c>
    </row>
    <row r="9336">
      <c r="A9336" s="1" t="s">
        <v>9336</v>
      </c>
      <c r="B9336" s="2" t="str">
        <f>IFERROR(__xludf.DUMMYFUNCTION("GOOGLETRANSLATE(A9336, ""de"", ""en"")"),"new beginning")</f>
        <v>new beginning</v>
      </c>
    </row>
    <row r="9337">
      <c r="A9337" s="1" t="s">
        <v>9337</v>
      </c>
      <c r="B9337" s="2" t="str">
        <f>IFERROR(__xludf.DUMMYFUNCTION("GOOGLETRANSLATE(A9337, ""de"", ""en"")"),"urges")</f>
        <v>urges</v>
      </c>
    </row>
    <row r="9338">
      <c r="A9338" s="1" t="s">
        <v>9338</v>
      </c>
      <c r="B9338" s="2" t="str">
        <f>IFERROR(__xludf.DUMMYFUNCTION("GOOGLETRANSLATE(A9338, ""de"", ""en"")"),"refuse")</f>
        <v>refuse</v>
      </c>
    </row>
    <row r="9339">
      <c r="A9339" s="1" t="s">
        <v>9339</v>
      </c>
      <c r="B9339" s="2" t="str">
        <f>IFERROR(__xludf.DUMMYFUNCTION("GOOGLETRANSLATE(A9339, ""de"", ""en"")"),"sounds")</f>
        <v>sounds</v>
      </c>
    </row>
    <row r="9340">
      <c r="A9340" s="1" t="s">
        <v>9340</v>
      </c>
      <c r="B9340" s="2" t="str">
        <f>IFERROR(__xludf.DUMMYFUNCTION("GOOGLETRANSLATE(A9340, ""de"", ""en"")"),"Patricia")</f>
        <v>Patricia</v>
      </c>
    </row>
    <row r="9341">
      <c r="A9341" s="1" t="s">
        <v>9341</v>
      </c>
      <c r="B9341" s="2" t="str">
        <f>IFERROR(__xludf.DUMMYFUNCTION("GOOGLETRANSLATE(A9341, ""de"", ""en"")"),"maureen")</f>
        <v>maureen</v>
      </c>
    </row>
    <row r="9342">
      <c r="A9342" s="1" t="s">
        <v>9342</v>
      </c>
      <c r="B9342" s="2" t="str">
        <f>IFERROR(__xludf.DUMMYFUNCTION("GOOGLETRANSLATE(A9342, ""de"", ""en"")"),"state")</f>
        <v>state</v>
      </c>
    </row>
    <row r="9343">
      <c r="A9343" s="1" t="s">
        <v>9343</v>
      </c>
      <c r="B9343" s="2" t="str">
        <f>IFERROR(__xludf.DUMMYFUNCTION("GOOGLETRANSLATE(A9343, ""de"", ""en"")"),"arrangement")</f>
        <v>arrangement</v>
      </c>
    </row>
    <row r="9344">
      <c r="A9344" s="1" t="s">
        <v>9344</v>
      </c>
      <c r="B9344" s="2" t="str">
        <f>IFERROR(__xludf.DUMMYFUNCTION("GOOGLETRANSLATE(A9344, ""de"", ""en"")"),"orchestra")</f>
        <v>orchestra</v>
      </c>
    </row>
    <row r="9345">
      <c r="A9345" s="1" t="s">
        <v>9345</v>
      </c>
      <c r="B9345" s="2" t="str">
        <f>IFERROR(__xludf.DUMMYFUNCTION("GOOGLETRANSLATE(A9345, ""de"", ""en"")"),"mustard")</f>
        <v>mustard</v>
      </c>
    </row>
    <row r="9346">
      <c r="A9346" s="1" t="s">
        <v>9346</v>
      </c>
      <c r="B9346" s="2" t="str">
        <f>IFERROR(__xludf.DUMMYFUNCTION("GOOGLETRANSLATE(A9346, ""de"", ""en"")"),"torment")</f>
        <v>torment</v>
      </c>
    </row>
    <row r="9347">
      <c r="A9347" s="1" t="s">
        <v>9347</v>
      </c>
      <c r="B9347" s="2" t="str">
        <f>IFERROR(__xludf.DUMMYFUNCTION("GOOGLETRANSLATE(A9347, ""de"", ""en"")"),"administration")</f>
        <v>administration</v>
      </c>
    </row>
    <row r="9348">
      <c r="A9348" s="1" t="s">
        <v>9348</v>
      </c>
      <c r="B9348" s="2" t="str">
        <f>IFERROR(__xludf.DUMMYFUNCTION("GOOGLETRANSLATE(A9348, ""de"", ""en"")"),"exaggerate")</f>
        <v>exaggerate</v>
      </c>
    </row>
    <row r="9349">
      <c r="A9349" s="1" t="s">
        <v>9349</v>
      </c>
      <c r="B9349" s="2" t="str">
        <f>IFERROR(__xludf.DUMMYFUNCTION("GOOGLETRANSLATE(A9349, ""de"", ""en"")"),"anonymous")</f>
        <v>anonymous</v>
      </c>
    </row>
    <row r="9350">
      <c r="A9350" s="1" t="s">
        <v>9350</v>
      </c>
      <c r="B9350" s="2" t="str">
        <f>IFERROR(__xludf.DUMMYFUNCTION("GOOGLETRANSLATE(A9350, ""de"", ""en"")"),"was valid")</f>
        <v>was valid</v>
      </c>
    </row>
    <row r="9351">
      <c r="A9351" s="1" t="s">
        <v>9351</v>
      </c>
      <c r="B9351" s="2" t="str">
        <f>IFERROR(__xludf.DUMMYFUNCTION("GOOGLETRANSLATE(A9351, ""de"", ""en"")"),"ver")</f>
        <v>ver</v>
      </c>
    </row>
    <row r="9352">
      <c r="A9352" s="1" t="s">
        <v>9352</v>
      </c>
      <c r="B9352" s="2" t="str">
        <f>IFERROR(__xludf.DUMMYFUNCTION("GOOGLETRANSLATE(A9352, ""de"", ""en"")"),"joke")</f>
        <v>joke</v>
      </c>
    </row>
    <row r="9353">
      <c r="A9353" s="1" t="s">
        <v>9353</v>
      </c>
      <c r="B9353" s="2" t="str">
        <f>IFERROR(__xludf.DUMMYFUNCTION("GOOGLETRANSLATE(A9353, ""de"", ""en"")"),"freaky")</f>
        <v>freaky</v>
      </c>
    </row>
    <row r="9354">
      <c r="A9354" s="1" t="s">
        <v>9354</v>
      </c>
      <c r="B9354" s="2" t="str">
        <f>IFERROR(__xludf.DUMMYFUNCTION("GOOGLETRANSLATE(A9354, ""de"", ""en"")"),"modern")</f>
        <v>modern</v>
      </c>
    </row>
    <row r="9355">
      <c r="A9355" s="1" t="s">
        <v>9355</v>
      </c>
      <c r="B9355" s="2" t="str">
        <f>IFERROR(__xludf.DUMMYFUNCTION("GOOGLETRANSLATE(A9355, ""de"", ""en"")"),"son-in-law")</f>
        <v>son-in-law</v>
      </c>
    </row>
    <row r="9356">
      <c r="A9356" s="1" t="s">
        <v>9356</v>
      </c>
      <c r="B9356" s="2" t="str">
        <f>IFERROR(__xludf.DUMMYFUNCTION("GOOGLETRANSLATE(A9356, ""de"", ""en"")"),"beverage")</f>
        <v>beverage</v>
      </c>
    </row>
    <row r="9357">
      <c r="A9357" s="1" t="s">
        <v>9357</v>
      </c>
      <c r="B9357" s="2" t="str">
        <f>IFERROR(__xludf.DUMMYFUNCTION("GOOGLETRANSLATE(A9357, ""de"", ""en"")"),"listener")</f>
        <v>listener</v>
      </c>
    </row>
    <row r="9358">
      <c r="A9358" s="1" t="s">
        <v>9358</v>
      </c>
      <c r="B9358" s="2" t="str">
        <f>IFERROR(__xludf.DUMMYFUNCTION("GOOGLETRANSLATE(A9358, ""de"", ""en"")"),"finance")</f>
        <v>finance</v>
      </c>
    </row>
    <row r="9359">
      <c r="A9359" s="1" t="s">
        <v>9359</v>
      </c>
      <c r="B9359" s="2" t="str">
        <f>IFERROR(__xludf.DUMMYFUNCTION("GOOGLETRANSLATE(A9359, ""de"", ""en"")"),"fear")</f>
        <v>fear</v>
      </c>
    </row>
    <row r="9360">
      <c r="A9360" s="1" t="s">
        <v>9360</v>
      </c>
      <c r="B9360" s="2" t="str">
        <f>IFERROR(__xludf.DUMMYFUNCTION("GOOGLETRANSLATE(A9360, ""de"", ""en"")"),"Colorado")</f>
        <v>Colorado</v>
      </c>
    </row>
    <row r="9361">
      <c r="A9361" s="1" t="s">
        <v>9361</v>
      </c>
      <c r="B9361" s="2" t="str">
        <f>IFERROR(__xludf.DUMMYFUNCTION("GOOGLETRANSLATE(A9361, ""de"", ""en"")"),"reasonable")</f>
        <v>reasonable</v>
      </c>
    </row>
    <row r="9362">
      <c r="A9362" s="1" t="s">
        <v>9362</v>
      </c>
      <c r="B9362" s="2" t="str">
        <f>IFERROR(__xludf.DUMMYFUNCTION("GOOGLETRANSLATE(A9362, ""de"", ""en"")"),"defender")</f>
        <v>defender</v>
      </c>
    </row>
    <row r="9363">
      <c r="A9363" s="1" t="s">
        <v>9363</v>
      </c>
      <c r="B9363" s="2" t="str">
        <f>IFERROR(__xludf.DUMMYFUNCTION("GOOGLETRANSLATE(A9363, ""de"", ""en"")"),"rupert")</f>
        <v>rupert</v>
      </c>
    </row>
    <row r="9364">
      <c r="A9364" s="1" t="s">
        <v>9364</v>
      </c>
      <c r="B9364" s="2" t="str">
        <f>IFERROR(__xludf.DUMMYFUNCTION("GOOGLETRANSLATE(A9364, ""de"", ""en"")"),"hides")</f>
        <v>hides</v>
      </c>
    </row>
    <row r="9365">
      <c r="A9365" s="1" t="s">
        <v>9365</v>
      </c>
      <c r="B9365" s="2" t="str">
        <f>IFERROR(__xludf.DUMMYFUNCTION("GOOGLETRANSLATE(A9365, ""de"", ""en"")"),"similar")</f>
        <v>similar</v>
      </c>
    </row>
    <row r="9366">
      <c r="A9366" s="1" t="s">
        <v>9366</v>
      </c>
      <c r="B9366" s="2" t="str">
        <f>IFERROR(__xludf.DUMMYFUNCTION("GOOGLETRANSLATE(A9366, ""de"", ""en"")"),"prefer")</f>
        <v>prefer</v>
      </c>
    </row>
    <row r="9367">
      <c r="A9367" s="1" t="s">
        <v>9367</v>
      </c>
      <c r="B9367" s="2" t="str">
        <f>IFERROR(__xludf.DUMMYFUNCTION("GOOGLETRANSLATE(A9367, ""de"", ""en"")"),"bea")</f>
        <v>bea</v>
      </c>
    </row>
    <row r="9368">
      <c r="A9368" s="1" t="s">
        <v>9368</v>
      </c>
      <c r="B9368" s="2" t="str">
        <f>IFERROR(__xludf.DUMMYFUNCTION("GOOGLETRANSLATE(A9368, ""de"", ""en"")"),"through")</f>
        <v>through</v>
      </c>
    </row>
    <row r="9369">
      <c r="A9369" s="1" t="s">
        <v>9369</v>
      </c>
      <c r="B9369" s="2" t="str">
        <f>IFERROR(__xludf.DUMMYFUNCTION("GOOGLETRANSLATE(A9369, ""de"", ""en"")"),"actual")</f>
        <v>actual</v>
      </c>
    </row>
    <row r="9370">
      <c r="A9370" s="1" t="s">
        <v>9370</v>
      </c>
      <c r="B9370" s="2" t="str">
        <f>IFERROR(__xludf.DUMMYFUNCTION("GOOGLETRANSLATE(A9370, ""de"", ""en"")"),"harassment")</f>
        <v>harassment</v>
      </c>
    </row>
    <row r="9371">
      <c r="A9371" s="1" t="s">
        <v>9371</v>
      </c>
      <c r="B9371" s="2" t="str">
        <f>IFERROR(__xludf.DUMMYFUNCTION("GOOGLETRANSLATE(A9371, ""de"", ""en"")"),"rare")</f>
        <v>rare</v>
      </c>
    </row>
    <row r="9372">
      <c r="A9372" s="1" t="s">
        <v>9372</v>
      </c>
      <c r="B9372" s="2" t="str">
        <f>IFERROR(__xludf.DUMMYFUNCTION("GOOGLETRANSLATE(A9372, ""de"", ""en"")"),"mysterious")</f>
        <v>mysterious</v>
      </c>
    </row>
    <row r="9373">
      <c r="A9373" s="1" t="s">
        <v>9373</v>
      </c>
      <c r="B9373" s="2" t="str">
        <f>IFERROR(__xludf.DUMMYFUNCTION("GOOGLETRANSLATE(A9373, ""de"", ""en"")"),"chairman")</f>
        <v>chairman</v>
      </c>
    </row>
    <row r="9374">
      <c r="A9374" s="1" t="s">
        <v>9374</v>
      </c>
      <c r="B9374" s="2" t="str">
        <f>IFERROR(__xludf.DUMMYFUNCTION("GOOGLETRANSLATE(A9374, ""de"", ""en"")"),"suits")</f>
        <v>suits</v>
      </c>
    </row>
    <row r="9375">
      <c r="A9375" s="1" t="s">
        <v>9375</v>
      </c>
      <c r="B9375" s="2" t="str">
        <f>IFERROR(__xludf.DUMMYFUNCTION("GOOGLETRANSLATE(A9375, ""de"", ""en"")"),"hit")</f>
        <v>hit</v>
      </c>
    </row>
    <row r="9376">
      <c r="A9376" s="1" t="s">
        <v>9376</v>
      </c>
      <c r="B9376" s="2" t="str">
        <f>IFERROR(__xludf.DUMMYFUNCTION("GOOGLETRANSLATE(A9376, ""de"", ""en"")"),"huh")</f>
        <v>huh</v>
      </c>
    </row>
    <row r="9377">
      <c r="A9377" s="1" t="s">
        <v>9377</v>
      </c>
      <c r="B9377" s="2" t="str">
        <f>IFERROR(__xludf.DUMMYFUNCTION("GOOGLETRANSLATE(A9377, ""de"", ""en"")"),"fires")</f>
        <v>fires</v>
      </c>
    </row>
    <row r="9378">
      <c r="A9378" s="1" t="s">
        <v>9378</v>
      </c>
      <c r="B9378" s="2" t="str">
        <f>IFERROR(__xludf.DUMMYFUNCTION("GOOGLETRANSLATE(A9378, ""de"", ""en"")"),"provided")</f>
        <v>provided</v>
      </c>
    </row>
    <row r="9379">
      <c r="A9379" s="1" t="s">
        <v>9379</v>
      </c>
      <c r="B9379" s="2" t="str">
        <f>IFERROR(__xludf.DUMMYFUNCTION("GOOGLETRANSLATE(A9379, ""de"", ""en"")"),"benefit")</f>
        <v>benefit</v>
      </c>
    </row>
    <row r="9380">
      <c r="A9380" s="1" t="s">
        <v>9380</v>
      </c>
      <c r="B9380" s="2" t="str">
        <f>IFERROR(__xludf.DUMMYFUNCTION("GOOGLETRANSLATE(A9380, ""de"", ""en"")"),"Sabine")</f>
        <v>Sabine</v>
      </c>
    </row>
    <row r="9381">
      <c r="A9381" s="1" t="s">
        <v>9381</v>
      </c>
      <c r="B9381" s="2" t="str">
        <f>IFERROR(__xludf.DUMMYFUNCTION("GOOGLETRANSLATE(A9381, ""de"", ""en"")"),"cold")</f>
        <v>cold</v>
      </c>
    </row>
    <row r="9382">
      <c r="A9382" s="1" t="s">
        <v>9382</v>
      </c>
      <c r="B9382" s="2" t="str">
        <f>IFERROR(__xludf.DUMMYFUNCTION("GOOGLETRANSLATE(A9382, ""de"", ""en"")"),"penetrated")</f>
        <v>penetrated</v>
      </c>
    </row>
    <row r="9383">
      <c r="A9383" s="1" t="s">
        <v>9383</v>
      </c>
      <c r="B9383" s="2" t="str">
        <f>IFERROR(__xludf.DUMMYFUNCTION("GOOGLETRANSLATE(A9383, ""de"", ""en"")"),"yikes")</f>
        <v>yikes</v>
      </c>
    </row>
    <row r="9384">
      <c r="A9384" s="1" t="s">
        <v>9384</v>
      </c>
      <c r="B9384" s="2" t="str">
        <f>IFERROR(__xludf.DUMMYFUNCTION("GOOGLETRANSLATE(A9384, ""de"", ""en"")"),"creek")</f>
        <v>creek</v>
      </c>
    </row>
    <row r="9385">
      <c r="A9385" s="1" t="s">
        <v>9385</v>
      </c>
      <c r="B9385" s="2" t="str">
        <f>IFERROR(__xludf.DUMMYFUNCTION("GOOGLETRANSLATE(A9385, ""de"", ""en"")"),"provisionally")</f>
        <v>provisionally</v>
      </c>
    </row>
    <row r="9386">
      <c r="A9386" s="1" t="s">
        <v>9386</v>
      </c>
      <c r="B9386" s="2" t="str">
        <f>IFERROR(__xludf.DUMMYFUNCTION("GOOGLETRANSLATE(A9386, ""de"", ""en"")"),"canyon")</f>
        <v>canyon</v>
      </c>
    </row>
    <row r="9387">
      <c r="A9387" s="1" t="s">
        <v>9387</v>
      </c>
      <c r="B9387" s="2" t="str">
        <f>IFERROR(__xludf.DUMMYFUNCTION("GOOGLETRANSLATE(A9387, ""de"", ""en"")"),"veins")</f>
        <v>veins</v>
      </c>
    </row>
    <row r="9388">
      <c r="A9388" s="1" t="s">
        <v>9388</v>
      </c>
      <c r="B9388" s="2" t="str">
        <f>IFERROR(__xludf.DUMMYFUNCTION("GOOGLETRANSLATE(A9388, ""de"", ""en"")"),"homicide commission")</f>
        <v>homicide commission</v>
      </c>
    </row>
    <row r="9389">
      <c r="A9389" s="1" t="s">
        <v>9389</v>
      </c>
      <c r="B9389" s="2" t="str">
        <f>IFERROR(__xludf.DUMMYFUNCTION("GOOGLETRANSLATE(A9389, ""de"", ""en"")"),"chatters")</f>
        <v>chatters</v>
      </c>
    </row>
    <row r="9390">
      <c r="A9390" s="1" t="s">
        <v>9390</v>
      </c>
      <c r="B9390" s="2" t="str">
        <f>IFERROR(__xludf.DUMMYFUNCTION("GOOGLETRANSLATE(A9390, ""de"", ""en"")"),"baxter")</f>
        <v>baxter</v>
      </c>
    </row>
    <row r="9391">
      <c r="A9391" s="1" t="s">
        <v>9391</v>
      </c>
      <c r="B9391" s="2" t="str">
        <f>IFERROR(__xludf.DUMMYFUNCTION("GOOGLETRANSLATE(A9391, ""de"", ""en"")"),"beep")</f>
        <v>beep</v>
      </c>
    </row>
    <row r="9392">
      <c r="A9392" s="1" t="s">
        <v>9392</v>
      </c>
      <c r="B9392" s="2" t="str">
        <f>IFERROR(__xludf.DUMMYFUNCTION("GOOGLETRANSLATE(A9392, ""de"", ""en"")"),"use")</f>
        <v>use</v>
      </c>
    </row>
    <row r="9393">
      <c r="A9393" s="1" t="s">
        <v>9393</v>
      </c>
      <c r="B9393" s="2" t="str">
        <f>IFERROR(__xludf.DUMMYFUNCTION("GOOGLETRANSLATE(A9393, ""de"", ""en"")"),"Chelsea")</f>
        <v>Chelsea</v>
      </c>
    </row>
    <row r="9394">
      <c r="A9394" s="1" t="s">
        <v>9394</v>
      </c>
      <c r="B9394" s="2" t="str">
        <f>IFERROR(__xludf.DUMMYFUNCTION("GOOGLETRANSLATE(A9394, ""de"", ""en"")"),"stupid")</f>
        <v>stupid</v>
      </c>
    </row>
    <row r="9395">
      <c r="A9395" s="1" t="s">
        <v>9395</v>
      </c>
      <c r="B9395" s="2" t="str">
        <f>IFERROR(__xludf.DUMMYFUNCTION("GOOGLETRANSLATE(A9395, ""de"", ""en"")"),"a cold")</f>
        <v>a cold</v>
      </c>
    </row>
    <row r="9396">
      <c r="A9396" s="1" t="s">
        <v>9396</v>
      </c>
      <c r="B9396" s="2" t="str">
        <f>IFERROR(__xludf.DUMMYFUNCTION("GOOGLETRANSLATE(A9396, ""de"", ""en"")"),"rewarded")</f>
        <v>rewarded</v>
      </c>
    </row>
    <row r="9397">
      <c r="A9397" s="1" t="s">
        <v>9397</v>
      </c>
      <c r="B9397" s="2" t="str">
        <f>IFERROR(__xludf.DUMMYFUNCTION("GOOGLETRANSLATE(A9397, ""de"", ""en"")"),"grin")</f>
        <v>grin</v>
      </c>
    </row>
    <row r="9398">
      <c r="A9398" s="1" t="s">
        <v>9398</v>
      </c>
      <c r="B9398" s="2" t="str">
        <f>IFERROR(__xludf.DUMMYFUNCTION("GOOGLETRANSLATE(A9398, ""de"", ""en"")"),"federal government")</f>
        <v>federal government</v>
      </c>
    </row>
    <row r="9399">
      <c r="A9399" s="1" t="s">
        <v>9399</v>
      </c>
      <c r="B9399" s="2" t="str">
        <f>IFERROR(__xludf.DUMMYFUNCTION("GOOGLETRANSLATE(A9399, ""de"", ""en"")"),"stung")</f>
        <v>stung</v>
      </c>
    </row>
    <row r="9400">
      <c r="A9400" s="1" t="s">
        <v>9400</v>
      </c>
      <c r="B9400" s="2" t="str">
        <f>IFERROR(__xludf.DUMMYFUNCTION("GOOGLETRANSLATE(A9400, ""de"", ""en"")"),"Catherine")</f>
        <v>Catherine</v>
      </c>
    </row>
    <row r="9401">
      <c r="A9401" s="1" t="s">
        <v>9401</v>
      </c>
      <c r="B9401" s="2" t="str">
        <f>IFERROR(__xludf.DUMMYFUNCTION("GOOGLETRANSLATE(A9401, ""de"", ""en"")"),"moms")</f>
        <v>moms</v>
      </c>
    </row>
    <row r="9402">
      <c r="A9402" s="1" t="s">
        <v>9402</v>
      </c>
      <c r="B9402" s="2" t="str">
        <f>IFERROR(__xludf.DUMMYFUNCTION("GOOGLETRANSLATE(A9402, ""de"", ""en"")"),"provoke")</f>
        <v>provoke</v>
      </c>
    </row>
    <row r="9403">
      <c r="A9403" s="1" t="s">
        <v>9403</v>
      </c>
      <c r="B9403" s="2" t="str">
        <f>IFERROR(__xludf.DUMMYFUNCTION("GOOGLETRANSLATE(A9403, ""de"", ""en"")"),"flattered")</f>
        <v>flattered</v>
      </c>
    </row>
    <row r="9404">
      <c r="A9404" s="1" t="s">
        <v>9404</v>
      </c>
      <c r="B9404" s="2" t="str">
        <f>IFERROR(__xludf.DUMMYFUNCTION("GOOGLETRANSLATE(A9404, ""de"", ""en"")"),"arrange")</f>
        <v>arrange</v>
      </c>
    </row>
    <row r="9405">
      <c r="A9405" s="1" t="s">
        <v>9405</v>
      </c>
      <c r="B9405" s="2" t="str">
        <f>IFERROR(__xludf.DUMMYFUNCTION("GOOGLETRANSLATE(A9405, ""de"", ""en"")"),"ultimately")</f>
        <v>ultimately</v>
      </c>
    </row>
    <row r="9406">
      <c r="A9406" s="1" t="s">
        <v>9406</v>
      </c>
      <c r="B9406" s="2" t="str">
        <f>IFERROR(__xludf.DUMMYFUNCTION("GOOGLETRANSLATE(A9406, ""de"", ""en"")"),"concussion")</f>
        <v>concussion</v>
      </c>
    </row>
    <row r="9407">
      <c r="A9407" s="1" t="s">
        <v>9407</v>
      </c>
      <c r="B9407" s="2" t="str">
        <f>IFERROR(__xludf.DUMMYFUNCTION("GOOGLETRANSLATE(A9407, ""de"", ""en"")"),"lean")</f>
        <v>lean</v>
      </c>
    </row>
    <row r="9408">
      <c r="A9408" s="1" t="s">
        <v>9408</v>
      </c>
      <c r="B9408" s="2" t="str">
        <f>IFERROR(__xludf.DUMMYFUNCTION("GOOGLETRANSLATE(A9408, ""de"", ""en"")"),"cracked")</f>
        <v>cracked</v>
      </c>
    </row>
    <row r="9409">
      <c r="A9409" s="1" t="s">
        <v>9409</v>
      </c>
      <c r="B9409" s="2" t="str">
        <f>IFERROR(__xludf.DUMMYFUNCTION("GOOGLETRANSLATE(A9409, ""de"", ""en"")"),"partnership")</f>
        <v>partnership</v>
      </c>
    </row>
    <row r="9410">
      <c r="A9410" s="1" t="s">
        <v>9410</v>
      </c>
      <c r="B9410" s="2" t="str">
        <f>IFERROR(__xludf.DUMMYFUNCTION("GOOGLETRANSLATE(A9410, ""de"", ""en"")"),"turned on")</f>
        <v>turned on</v>
      </c>
    </row>
    <row r="9411">
      <c r="A9411" s="1" t="s">
        <v>9411</v>
      </c>
      <c r="B9411" s="2" t="str">
        <f>IFERROR(__xludf.DUMMYFUNCTION("GOOGLETRANSLATE(A9411, ""de"", ""en"")"),"Whitney")</f>
        <v>Whitney</v>
      </c>
    </row>
    <row r="9412">
      <c r="A9412" s="1" t="s">
        <v>9412</v>
      </c>
      <c r="B9412" s="2" t="str">
        <f>IFERROR(__xludf.DUMMYFUNCTION("GOOGLETRANSLATE(A9412, ""de"", ""en"")"),"skye")</f>
        <v>skye</v>
      </c>
    </row>
    <row r="9413">
      <c r="A9413" s="1" t="s">
        <v>9413</v>
      </c>
      <c r="B9413" s="2" t="str">
        <f>IFERROR(__xludf.DUMMYFUNCTION("GOOGLETRANSLATE(A9413, ""de"", ""en"")"),"stolen")</f>
        <v>stolen</v>
      </c>
    </row>
    <row r="9414">
      <c r="A9414" s="1" t="s">
        <v>9414</v>
      </c>
      <c r="B9414" s="2" t="str">
        <f>IFERROR(__xludf.DUMMYFUNCTION("GOOGLETRANSLATE(A9414, ""de"", ""en"")"),"stop")</f>
        <v>stop</v>
      </c>
    </row>
    <row r="9415">
      <c r="A9415" s="1" t="s">
        <v>9415</v>
      </c>
      <c r="B9415" s="2" t="str">
        <f>IFERROR(__xludf.DUMMYFUNCTION("GOOGLETRANSLATE(A9415, ""de"", ""en"")"),"for days")</f>
        <v>for days</v>
      </c>
    </row>
    <row r="9416">
      <c r="A9416" s="1" t="s">
        <v>9416</v>
      </c>
      <c r="B9416" s="2" t="str">
        <f>IFERROR(__xludf.DUMMYFUNCTION("GOOGLETRANSLATE(A9416, ""de"", ""en"")"),"Oswald")</f>
        <v>Oswald</v>
      </c>
    </row>
    <row r="9417">
      <c r="A9417" s="1" t="s">
        <v>9417</v>
      </c>
      <c r="B9417" s="2" t="str">
        <f>IFERROR(__xludf.DUMMYFUNCTION("GOOGLETRANSLATE(A9417, ""de"", ""en"")"),"scofield")</f>
        <v>scofield</v>
      </c>
    </row>
    <row r="9418">
      <c r="A9418" s="1" t="s">
        <v>9418</v>
      </c>
      <c r="B9418" s="2" t="str">
        <f>IFERROR(__xludf.DUMMYFUNCTION("GOOGLETRANSLATE(A9418, ""de"", ""en"")"),"differs")</f>
        <v>differs</v>
      </c>
    </row>
    <row r="9419">
      <c r="A9419" s="1" t="s">
        <v>9419</v>
      </c>
      <c r="B9419" s="2" t="str">
        <f>IFERROR(__xludf.DUMMYFUNCTION("GOOGLETRANSLATE(A9419, ""de"", ""en"")"),"companion")</f>
        <v>companion</v>
      </c>
    </row>
    <row r="9420">
      <c r="A9420" s="1" t="s">
        <v>9420</v>
      </c>
      <c r="B9420" s="2" t="str">
        <f>IFERROR(__xludf.DUMMYFUNCTION("GOOGLETRANSLATE(A9420, ""de"", ""en"")"),"Margot")</f>
        <v>Margot</v>
      </c>
    </row>
    <row r="9421">
      <c r="A9421" s="1" t="s">
        <v>9421</v>
      </c>
      <c r="B9421" s="2" t="str">
        <f>IFERROR(__xludf.DUMMYFUNCTION("GOOGLETRANSLATE(A9421, ""de"", ""en"")"),"upper")</f>
        <v>upper</v>
      </c>
    </row>
    <row r="9422">
      <c r="A9422" s="1" t="s">
        <v>9422</v>
      </c>
      <c r="B9422" s="2" t="str">
        <f>IFERROR(__xludf.DUMMYFUNCTION("GOOGLETRANSLATE(A9422, ""de"", ""en"")"),"deadly")</f>
        <v>deadly</v>
      </c>
    </row>
    <row r="9423">
      <c r="A9423" s="1" t="s">
        <v>9423</v>
      </c>
      <c r="B9423" s="2" t="str">
        <f>IFERROR(__xludf.DUMMYFUNCTION("GOOGLETRANSLATE(A9423, ""de"", ""en"")"),"Apocalypse")</f>
        <v>Apocalypse</v>
      </c>
    </row>
    <row r="9424">
      <c r="A9424" s="1" t="s">
        <v>9424</v>
      </c>
      <c r="B9424" s="2" t="str">
        <f>IFERROR(__xludf.DUMMYFUNCTION("GOOGLETRANSLATE(A9424, ""de"", ""en"")"),"putty.")</f>
        <v>putty.</v>
      </c>
    </row>
    <row r="9425">
      <c r="A9425" s="1" t="s">
        <v>9425</v>
      </c>
      <c r="B9425" s="2" t="str">
        <f>IFERROR(__xludf.DUMMYFUNCTION("GOOGLETRANSLATE(A9425, ""de"", ""en"")"),"much")</f>
        <v>much</v>
      </c>
    </row>
    <row r="9426">
      <c r="A9426" s="1" t="s">
        <v>9426</v>
      </c>
      <c r="B9426" s="2" t="str">
        <f>IFERROR(__xludf.DUMMYFUNCTION("GOOGLETRANSLATE(A9426, ""de"", ""en"")"),"boy")</f>
        <v>boy</v>
      </c>
    </row>
    <row r="9427">
      <c r="A9427" s="1" t="s">
        <v>9427</v>
      </c>
      <c r="B9427" s="2" t="str">
        <f>IFERROR(__xludf.DUMMYFUNCTION("GOOGLETRANSLATE(A9427, ""de"", ""en"")"),"montgomery")</f>
        <v>montgomery</v>
      </c>
    </row>
    <row r="9428">
      <c r="A9428" s="1" t="s">
        <v>9428</v>
      </c>
      <c r="B9428" s="2" t="str">
        <f>IFERROR(__xludf.DUMMYFUNCTION("GOOGLETRANSLATE(A9428, ""de"", ""en"")"),"conceited")</f>
        <v>conceited</v>
      </c>
    </row>
    <row r="9429">
      <c r="A9429" s="1" t="s">
        <v>9429</v>
      </c>
      <c r="B9429" s="2" t="str">
        <f>IFERROR(__xludf.DUMMYFUNCTION("GOOGLETRANSLATE(A9429, ""de"", ""en"")"),"more famous")</f>
        <v>more famous</v>
      </c>
    </row>
    <row r="9430">
      <c r="A9430" s="1" t="s">
        <v>9430</v>
      </c>
      <c r="B9430" s="2" t="str">
        <f>IFERROR(__xludf.DUMMYFUNCTION("GOOGLETRANSLATE(A9430, ""de"", ""en"")"),"rows")</f>
        <v>rows</v>
      </c>
    </row>
    <row r="9431">
      <c r="A9431" s="1" t="s">
        <v>9431</v>
      </c>
      <c r="B9431" s="2" t="str">
        <f>IFERROR(__xludf.DUMMYFUNCTION("GOOGLETRANSLATE(A9431, ""de"", ""en"")"),"fraudster")</f>
        <v>fraudster</v>
      </c>
    </row>
    <row r="9432">
      <c r="A9432" s="1" t="s">
        <v>9432</v>
      </c>
      <c r="B9432" s="2" t="str">
        <f>IFERROR(__xludf.DUMMYFUNCTION("GOOGLETRANSLATE(A9432, ""de"", ""en"")"),"fooled")</f>
        <v>fooled</v>
      </c>
    </row>
    <row r="9433">
      <c r="A9433" s="1" t="s">
        <v>9433</v>
      </c>
      <c r="B9433" s="2" t="str">
        <f>IFERROR(__xludf.DUMMYFUNCTION("GOOGLETRANSLATE(A9433, ""de"", ""en"")"),"measure")</f>
        <v>measure</v>
      </c>
    </row>
    <row r="9434">
      <c r="A9434" s="1" t="s">
        <v>9434</v>
      </c>
      <c r="B9434" s="2" t="str">
        <f>IFERROR(__xludf.DUMMYFUNCTION("GOOGLETRANSLATE(A9434, ""de"", ""en"")"),"lawyer")</f>
        <v>lawyer</v>
      </c>
    </row>
    <row r="9435">
      <c r="A9435" s="1" t="s">
        <v>9435</v>
      </c>
      <c r="B9435" s="2" t="str">
        <f>IFERROR(__xludf.DUMMYFUNCTION("GOOGLETRANSLATE(A9435, ""de"", ""en"")"),"ridden")</f>
        <v>ridden</v>
      </c>
    </row>
    <row r="9436">
      <c r="A9436" s="1" t="s">
        <v>9436</v>
      </c>
      <c r="B9436" s="2" t="str">
        <f>IFERROR(__xludf.DUMMYFUNCTION("GOOGLETRANSLATE(A9436, ""de"", ""en"")"),"romance")</f>
        <v>romance</v>
      </c>
    </row>
    <row r="9437">
      <c r="A9437" s="1" t="s">
        <v>9437</v>
      </c>
      <c r="B9437" s="2" t="str">
        <f>IFERROR(__xludf.DUMMYFUNCTION("GOOGLETRANSLATE(A9437, ""de"", ""en"")"),"net")</f>
        <v>net</v>
      </c>
    </row>
    <row r="9438">
      <c r="A9438" s="1" t="s">
        <v>9438</v>
      </c>
      <c r="B9438" s="2" t="str">
        <f>IFERROR(__xludf.DUMMYFUNCTION("GOOGLETRANSLATE(A9438, ""de"", ""en"")"),"wheels")</f>
        <v>wheels</v>
      </c>
    </row>
    <row r="9439">
      <c r="A9439" s="1" t="s">
        <v>9439</v>
      </c>
      <c r="B9439" s="2" t="str">
        <f>IFERROR(__xludf.DUMMYFUNCTION("GOOGLETRANSLATE(A9439, ""de"", ""en"")"),"nanny")</f>
        <v>nanny</v>
      </c>
    </row>
    <row r="9440">
      <c r="A9440" s="1" t="s">
        <v>9440</v>
      </c>
      <c r="B9440" s="2" t="str">
        <f>IFERROR(__xludf.DUMMYFUNCTION("GOOGLETRANSLATE(A9440, ""de"", ""en"")"),"betsy")</f>
        <v>betsy</v>
      </c>
    </row>
    <row r="9441">
      <c r="A9441" s="1" t="s">
        <v>9441</v>
      </c>
      <c r="B9441" s="2" t="str">
        <f>IFERROR(__xludf.DUMMYFUNCTION("GOOGLETRANSLATE(A9441, ""de"", ""en"")"),"explanations")</f>
        <v>explanations</v>
      </c>
    </row>
    <row r="9442">
      <c r="A9442" s="1" t="s">
        <v>9442</v>
      </c>
      <c r="B9442" s="2" t="str">
        <f>IFERROR(__xludf.DUMMYFUNCTION("GOOGLETRANSLATE(A9442, ""de"", ""en"")"),"housekeeper")</f>
        <v>housekeeper</v>
      </c>
    </row>
    <row r="9443">
      <c r="A9443" s="1" t="s">
        <v>9443</v>
      </c>
      <c r="B9443" s="2" t="str">
        <f>IFERROR(__xludf.DUMMYFUNCTION("GOOGLETRANSLATE(A9443, ""de"", ""en"")"),"kind")</f>
        <v>kind</v>
      </c>
    </row>
    <row r="9444">
      <c r="A9444" s="1" t="s">
        <v>9444</v>
      </c>
      <c r="B9444" s="2" t="str">
        <f>IFERROR(__xludf.DUMMYFUNCTION("GOOGLETRANSLATE(A9444, ""de"", ""en"")"),"private detective")</f>
        <v>private detective</v>
      </c>
    </row>
    <row r="9445">
      <c r="A9445" s="1" t="s">
        <v>9445</v>
      </c>
      <c r="B9445" s="2" t="str">
        <f>IFERROR(__xludf.DUMMYFUNCTION("GOOGLETRANSLATE(A9445, ""de"", ""en"")"),"hang out")</f>
        <v>hang out</v>
      </c>
    </row>
    <row r="9446">
      <c r="A9446" s="1" t="s">
        <v>9446</v>
      </c>
      <c r="B9446" s="2" t="str">
        <f>IFERROR(__xludf.DUMMYFUNCTION("GOOGLETRANSLATE(A9446, ""de"", ""en"")"),"contagious")</f>
        <v>contagious</v>
      </c>
    </row>
    <row r="9447">
      <c r="A9447" s="1" t="s">
        <v>9447</v>
      </c>
      <c r="B9447" s="2" t="str">
        <f>IFERROR(__xludf.DUMMYFUNCTION("GOOGLETRANSLATE(A9447, ""de"", ""en"")"),"Marcy")</f>
        <v>Marcy</v>
      </c>
    </row>
    <row r="9448">
      <c r="A9448" s="1" t="s">
        <v>9448</v>
      </c>
      <c r="B9448" s="2" t="str">
        <f>IFERROR(__xludf.DUMMYFUNCTION("GOOGLETRANSLATE(A9448, ""de"", ""en"")"),"initiate")</f>
        <v>initiate</v>
      </c>
    </row>
    <row r="9449">
      <c r="A9449" s="1" t="s">
        <v>9449</v>
      </c>
      <c r="B9449" s="2" t="str">
        <f>IFERROR(__xludf.DUMMYFUNCTION("GOOGLETRANSLATE(A9449, ""de"", ""en"")"),"michaels")</f>
        <v>michaels</v>
      </c>
    </row>
    <row r="9450">
      <c r="A9450" s="1" t="s">
        <v>9450</v>
      </c>
      <c r="B9450" s="2" t="str">
        <f>IFERROR(__xludf.DUMMYFUNCTION("GOOGLETRANSLATE(A9450, ""de"", ""en"")"),"fed")</f>
        <v>fed</v>
      </c>
    </row>
    <row r="9451">
      <c r="A9451" s="1" t="s">
        <v>9451</v>
      </c>
      <c r="B9451" s="2" t="str">
        <f>IFERROR(__xludf.DUMMYFUNCTION("GOOGLETRANSLATE(A9451, ""de"", ""en"")"),"naked")</f>
        <v>naked</v>
      </c>
    </row>
    <row r="9452">
      <c r="A9452" s="1" t="s">
        <v>9452</v>
      </c>
      <c r="B9452" s="2" t="str">
        <f>IFERROR(__xludf.DUMMYFUNCTION("GOOGLETRANSLATE(A9452, ""de"", ""en"")"),"annoying")</f>
        <v>annoying</v>
      </c>
    </row>
    <row r="9453">
      <c r="A9453" s="1" t="s">
        <v>9453</v>
      </c>
      <c r="B9453" s="2" t="str">
        <f>IFERROR(__xludf.DUMMYFUNCTION("GOOGLETRANSLATE(A9453, ""de"", ""en"")"),"new")</f>
        <v>new</v>
      </c>
    </row>
    <row r="9454">
      <c r="A9454" s="1" t="s">
        <v>9454</v>
      </c>
      <c r="B9454" s="2" t="str">
        <f>IFERROR(__xludf.DUMMYFUNCTION("GOOGLETRANSLATE(A9454, ""de"", ""en"")"),"sheppard")</f>
        <v>sheppard</v>
      </c>
    </row>
    <row r="9455">
      <c r="A9455" s="1" t="s">
        <v>9455</v>
      </c>
      <c r="B9455" s="2" t="str">
        <f>IFERROR(__xludf.DUMMYFUNCTION("GOOGLETRANSLATE(A9455, ""de"", ""en"")"),"spiritually")</f>
        <v>spiritually</v>
      </c>
    </row>
    <row r="9456">
      <c r="A9456" s="1" t="s">
        <v>9456</v>
      </c>
      <c r="B9456" s="2" t="str">
        <f>IFERROR(__xludf.DUMMYFUNCTION("GOOGLETRANSLATE(A9456, ""de"", ""en"")"),"dejected")</f>
        <v>dejected</v>
      </c>
    </row>
    <row r="9457">
      <c r="A9457" s="1" t="s">
        <v>9457</v>
      </c>
      <c r="B9457" s="2" t="str">
        <f>IFERROR(__xludf.DUMMYFUNCTION("GOOGLETRANSLATE(A9457, ""de"", ""en"")"),"Nicolas")</f>
        <v>Nicolas</v>
      </c>
    </row>
    <row r="9458">
      <c r="A9458" s="1" t="s">
        <v>9458</v>
      </c>
      <c r="B9458" s="2" t="str">
        <f>IFERROR(__xludf.DUMMYFUNCTION("GOOGLETRANSLATE(A9458, ""de"", ""en"")"),"walk around")</f>
        <v>walk around</v>
      </c>
    </row>
    <row r="9459">
      <c r="A9459" s="1" t="s">
        <v>9459</v>
      </c>
      <c r="B9459" s="2" t="str">
        <f>IFERROR(__xludf.DUMMYFUNCTION("GOOGLETRANSLATE(A9459, ""de"", ""en"")"),"unique")</f>
        <v>unique</v>
      </c>
    </row>
    <row r="9460">
      <c r="A9460" s="1" t="s">
        <v>9460</v>
      </c>
      <c r="B9460" s="2" t="str">
        <f>IFERROR(__xludf.DUMMYFUNCTION("GOOGLETRANSLATE(A9460, ""de"", ""en"")"),"violates")</f>
        <v>violates</v>
      </c>
    </row>
    <row r="9461">
      <c r="A9461" s="1" t="s">
        <v>9461</v>
      </c>
      <c r="B9461" s="2" t="str">
        <f>IFERROR(__xludf.DUMMYFUNCTION("GOOGLETRANSLATE(A9461, ""de"", ""en"")"),"resembles")</f>
        <v>resembles</v>
      </c>
    </row>
    <row r="9462">
      <c r="A9462" s="1" t="s">
        <v>9462</v>
      </c>
      <c r="B9462" s="2" t="str">
        <f>IFERROR(__xludf.DUMMYFUNCTION("GOOGLETRANSLATE(A9462, ""de"", ""en"")"),"morphine")</f>
        <v>morphine</v>
      </c>
    </row>
    <row r="9463">
      <c r="A9463" s="1" t="s">
        <v>9463</v>
      </c>
      <c r="B9463" s="2" t="str">
        <f>IFERROR(__xludf.DUMMYFUNCTION("GOOGLETRANSLATE(A9463, ""de"", ""en"")"),"tool")</f>
        <v>tool</v>
      </c>
    </row>
    <row r="9464">
      <c r="A9464" s="1" t="s">
        <v>9464</v>
      </c>
      <c r="B9464" s="2" t="str">
        <f>IFERROR(__xludf.DUMMYFUNCTION("GOOGLETRANSLATE(A9464, ""de"", ""en"")"),"messenger")</f>
        <v>messenger</v>
      </c>
    </row>
    <row r="9465">
      <c r="A9465" s="1" t="s">
        <v>9465</v>
      </c>
      <c r="B9465" s="2" t="str">
        <f>IFERROR(__xludf.DUMMYFUNCTION("GOOGLETRANSLATE(A9465, ""de"", ""en"")"),"monitor")</f>
        <v>monitor</v>
      </c>
    </row>
    <row r="9466">
      <c r="A9466" s="1" t="s">
        <v>9466</v>
      </c>
      <c r="B9466" s="2" t="str">
        <f>IFERROR(__xludf.DUMMYFUNCTION("GOOGLETRANSLATE(A9466, ""de"", ""en"")"),"cooperation")</f>
        <v>cooperation</v>
      </c>
    </row>
    <row r="9467">
      <c r="A9467" s="1" t="s">
        <v>9467</v>
      </c>
      <c r="B9467" s="2" t="str">
        <f>IFERROR(__xludf.DUMMYFUNCTION("GOOGLETRANSLATE(A9467, ""de"", ""en"")"),"gravity")</f>
        <v>gravity</v>
      </c>
    </row>
    <row r="9468">
      <c r="A9468" s="1" t="s">
        <v>9468</v>
      </c>
      <c r="B9468" s="2" t="str">
        <f>IFERROR(__xludf.DUMMYFUNCTION("GOOGLETRANSLATE(A9468, ""de"", ""en"")"),"rejected")</f>
        <v>rejected</v>
      </c>
    </row>
    <row r="9469">
      <c r="A9469" s="1" t="s">
        <v>9469</v>
      </c>
      <c r="B9469" s="2" t="str">
        <f>IFERROR(__xludf.DUMMYFUNCTION("GOOGLETRANSLATE(A9469, ""de"", ""en"")"),"chosen")</f>
        <v>chosen</v>
      </c>
    </row>
    <row r="9470">
      <c r="A9470" s="1" t="s">
        <v>9470</v>
      </c>
      <c r="B9470" s="2" t="str">
        <f>IFERROR(__xludf.DUMMYFUNCTION("GOOGLETRANSLATE(A9470, ""de"", ""en"")"),"considered")</f>
        <v>considered</v>
      </c>
    </row>
    <row r="9471">
      <c r="A9471" s="1" t="s">
        <v>9471</v>
      </c>
      <c r="B9471" s="2" t="str">
        <f>IFERROR(__xludf.DUMMYFUNCTION("GOOGLETRANSLATE(A9471, ""de"", ""en"")"),"fruit")</f>
        <v>fruit</v>
      </c>
    </row>
    <row r="9472">
      <c r="A9472" s="1" t="s">
        <v>9472</v>
      </c>
      <c r="B9472" s="2" t="str">
        <f>IFERROR(__xludf.DUMMYFUNCTION("GOOGLETRANSLATE(A9472, ""de"", ""en"")"),"phaser")</f>
        <v>phaser</v>
      </c>
    </row>
    <row r="9473">
      <c r="A9473" s="1" t="s">
        <v>9473</v>
      </c>
      <c r="B9473" s="2" t="str">
        <f>IFERROR(__xludf.DUMMYFUNCTION("GOOGLETRANSLATE(A9473, ""de"", ""en"")"),"mercenary")</f>
        <v>mercenary</v>
      </c>
    </row>
    <row r="9474">
      <c r="A9474" s="1" t="s">
        <v>9474</v>
      </c>
      <c r="B9474" s="2" t="str">
        <f>IFERROR(__xludf.DUMMYFUNCTION("GOOGLETRANSLATE(A9474, ""de"", ""en"")"),"is good")</f>
        <v>is good</v>
      </c>
    </row>
    <row r="9475">
      <c r="A9475" s="1" t="s">
        <v>9475</v>
      </c>
      <c r="B9475" s="2" t="str">
        <f>IFERROR(__xludf.DUMMYFUNCTION("GOOGLETRANSLATE(A9475, ""de"", ""en"")"),"dalton")</f>
        <v>dalton</v>
      </c>
    </row>
    <row r="9476">
      <c r="A9476" s="1" t="s">
        <v>9476</v>
      </c>
      <c r="B9476" s="2" t="str">
        <f>IFERROR(__xludf.DUMMYFUNCTION("GOOGLETRANSLATE(A9476, ""de"", ""en"")"),"objects")</f>
        <v>objects</v>
      </c>
    </row>
    <row r="9477">
      <c r="A9477" s="1" t="s">
        <v>9477</v>
      </c>
      <c r="B9477" s="2" t="str">
        <f>IFERROR(__xludf.DUMMYFUNCTION("GOOGLETRANSLATE(A9477, ""de"", ""en"")"),"sweater")</f>
        <v>sweater</v>
      </c>
    </row>
    <row r="9478">
      <c r="A9478" s="1" t="s">
        <v>9478</v>
      </c>
      <c r="B9478" s="2" t="str">
        <f>IFERROR(__xludf.DUMMYFUNCTION("GOOGLETRANSLATE(A9478, ""de"", ""en"")"),"doctors")</f>
        <v>doctors</v>
      </c>
    </row>
    <row r="9479">
      <c r="A9479" s="1" t="s">
        <v>9479</v>
      </c>
      <c r="B9479" s="2" t="str">
        <f>IFERROR(__xludf.DUMMYFUNCTION("GOOGLETRANSLATE(A9479, ""de"", ""en"")"),"jaw")</f>
        <v>jaw</v>
      </c>
    </row>
    <row r="9480">
      <c r="A9480" s="1" t="s">
        <v>9480</v>
      </c>
      <c r="B9480" s="2" t="str">
        <f>IFERROR(__xludf.DUMMYFUNCTION("GOOGLETRANSLATE(A9480, ""de"", ""en"")"),"wake")</f>
        <v>wake</v>
      </c>
    </row>
    <row r="9481">
      <c r="A9481" s="1" t="s">
        <v>9481</v>
      </c>
      <c r="B9481" s="2" t="str">
        <f>IFERROR(__xludf.DUMMYFUNCTION("GOOGLETRANSLATE(A9481, ""de"", ""en"")"),"turned on")</f>
        <v>turned on</v>
      </c>
    </row>
    <row r="9482">
      <c r="A9482" s="1" t="s">
        <v>9482</v>
      </c>
      <c r="B9482" s="2" t="str">
        <f>IFERROR(__xludf.DUMMYFUNCTION("GOOGLETRANSLATE(A9482, ""de"", ""en"")"),"smartass")</f>
        <v>smartass</v>
      </c>
    </row>
    <row r="9483">
      <c r="A9483" s="1" t="s">
        <v>9483</v>
      </c>
      <c r="B9483" s="2" t="str">
        <f>IFERROR(__xludf.DUMMYFUNCTION("GOOGLETRANSLATE(A9483, ""de"", ""en"")"),"conjure up")</f>
        <v>conjure up</v>
      </c>
    </row>
    <row r="9484">
      <c r="A9484" s="1" t="s">
        <v>9484</v>
      </c>
      <c r="B9484" s="2" t="str">
        <f>IFERROR(__xludf.DUMMYFUNCTION("GOOGLETRANSLATE(A9484, ""de"", ""en"")"),"fork")</f>
        <v>fork</v>
      </c>
    </row>
    <row r="9485">
      <c r="A9485" s="1" t="s">
        <v>9485</v>
      </c>
      <c r="B9485" s="2" t="str">
        <f>IFERROR(__xludf.DUMMYFUNCTION("GOOGLETRANSLATE(A9485, ""de"", ""en"")"),"engage")</f>
        <v>engage</v>
      </c>
    </row>
    <row r="9486">
      <c r="A9486" s="1" t="s">
        <v>9486</v>
      </c>
      <c r="B9486" s="2" t="str">
        <f>IFERROR(__xludf.DUMMYFUNCTION("GOOGLETRANSLATE(A9486, ""de"", ""en"")"),"worked")</f>
        <v>worked</v>
      </c>
    </row>
    <row r="9487">
      <c r="A9487" s="1" t="s">
        <v>9487</v>
      </c>
      <c r="B9487" s="2" t="str">
        <f>IFERROR(__xludf.DUMMYFUNCTION("GOOGLETRANSLATE(A9487, ""de"", ""en"")"),"large")</f>
        <v>large</v>
      </c>
    </row>
    <row r="9488">
      <c r="A9488" s="1" t="s">
        <v>9488</v>
      </c>
      <c r="B9488" s="2" t="str">
        <f>IFERROR(__xludf.DUMMYFUNCTION("GOOGLETRANSLATE(A9488, ""de"", ""en"")"),"weaker")</f>
        <v>weaker</v>
      </c>
    </row>
    <row r="9489">
      <c r="A9489" s="1" t="s">
        <v>9489</v>
      </c>
      <c r="B9489" s="2" t="str">
        <f>IFERROR(__xludf.DUMMYFUNCTION("GOOGLETRANSLATE(A9489, ""de"", ""en"")"),"feel")</f>
        <v>feel</v>
      </c>
    </row>
    <row r="9490">
      <c r="A9490" s="1" t="s">
        <v>9490</v>
      </c>
      <c r="B9490" s="2" t="str">
        <f>IFERROR(__xludf.DUMMYFUNCTION("GOOGLETRANSLATE(A9490, ""de"", ""en"")"),"lead")</f>
        <v>lead</v>
      </c>
    </row>
    <row r="9491">
      <c r="A9491" s="1" t="s">
        <v>9491</v>
      </c>
      <c r="B9491" s="2" t="str">
        <f>IFERROR(__xludf.DUMMYFUNCTION("GOOGLETRANSLATE(A9491, ""de"", ""en"")"),"serious")</f>
        <v>serious</v>
      </c>
    </row>
    <row r="9492">
      <c r="A9492" s="1" t="s">
        <v>9492</v>
      </c>
      <c r="B9492" s="2" t="str">
        <f>IFERROR(__xludf.DUMMYFUNCTION("GOOGLETRANSLATE(A9492, ""de"", ""en"")"),"convey")</f>
        <v>convey</v>
      </c>
    </row>
    <row r="9493">
      <c r="A9493" s="1" t="s">
        <v>9493</v>
      </c>
      <c r="B9493" s="2" t="str">
        <f>IFERROR(__xludf.DUMMYFUNCTION("GOOGLETRANSLATE(A9493, ""de"", ""en"")"),"to use")</f>
        <v>to use</v>
      </c>
    </row>
    <row r="9494">
      <c r="A9494" s="1" t="s">
        <v>9494</v>
      </c>
      <c r="B9494" s="2" t="str">
        <f>IFERROR(__xludf.DUMMYFUNCTION("GOOGLETRANSLATE(A9494, ""de"", ""en"")"),"Andrew")</f>
        <v>Andrew</v>
      </c>
    </row>
    <row r="9495">
      <c r="A9495" s="1" t="s">
        <v>9495</v>
      </c>
      <c r="B9495" s="2" t="str">
        <f>IFERROR(__xludf.DUMMYFUNCTION("GOOGLETRANSLATE(A9495, ""de"", ""en"")"),"hughes")</f>
        <v>hughes</v>
      </c>
    </row>
    <row r="9496">
      <c r="A9496" s="1" t="s">
        <v>9496</v>
      </c>
      <c r="B9496" s="2" t="str">
        <f>IFERROR(__xludf.DUMMYFUNCTION("GOOGLETRANSLATE(A9496, ""de"", ""en"")"),"those")</f>
        <v>those</v>
      </c>
    </row>
    <row r="9497">
      <c r="A9497" s="1" t="s">
        <v>9497</v>
      </c>
      <c r="B9497" s="2" t="str">
        <f>IFERROR(__xludf.DUMMYFUNCTION("GOOGLETRANSLATE(A9497, ""de"", ""en"")"),"nuns")</f>
        <v>nuns</v>
      </c>
    </row>
    <row r="9498">
      <c r="A9498" s="1" t="s">
        <v>9498</v>
      </c>
      <c r="B9498" s="2" t="str">
        <f>IFERROR(__xludf.DUMMYFUNCTION("GOOGLETRANSLATE(A9498, ""de"", ""en"")"),"procedure")</f>
        <v>procedure</v>
      </c>
    </row>
    <row r="9499">
      <c r="A9499" s="1" t="s">
        <v>9499</v>
      </c>
      <c r="B9499" s="2" t="str">
        <f>IFERROR(__xludf.DUMMYFUNCTION("GOOGLETRANSLATE(A9499, ""de"", ""en"")"),"what")</f>
        <v>what</v>
      </c>
    </row>
    <row r="9500">
      <c r="A9500" s="1" t="s">
        <v>9500</v>
      </c>
      <c r="B9500" s="2" t="str">
        <f>IFERROR(__xludf.DUMMYFUNCTION("GOOGLETRANSLATE(A9500, ""de"", ""en"")"),"donor")</f>
        <v>donor</v>
      </c>
    </row>
    <row r="9501">
      <c r="A9501" s="1" t="s">
        <v>9501</v>
      </c>
      <c r="B9501" s="2" t="str">
        <f>IFERROR(__xludf.DUMMYFUNCTION("GOOGLETRANSLATE(A9501, ""de"", ""en"")"),"val")</f>
        <v>val</v>
      </c>
    </row>
    <row r="9502">
      <c r="A9502" s="1" t="s">
        <v>9502</v>
      </c>
      <c r="B9502" s="2" t="str">
        <f>IFERROR(__xludf.DUMMYFUNCTION("GOOGLETRANSLATE(A9502, ""de"", ""en"")"),"company")</f>
        <v>company</v>
      </c>
    </row>
    <row r="9503">
      <c r="A9503" s="1" t="s">
        <v>9503</v>
      </c>
      <c r="B9503" s="2" t="str">
        <f>IFERROR(__xludf.DUMMYFUNCTION("GOOGLETRANSLATE(A9503, ""de"", ""en"")"),"bluer")</f>
        <v>bluer</v>
      </c>
    </row>
    <row r="9504">
      <c r="A9504" s="1" t="s">
        <v>9504</v>
      </c>
      <c r="B9504" s="2" t="str">
        <f>IFERROR(__xludf.DUMMYFUNCTION("GOOGLETRANSLATE(A9504, ""de"", ""en"")"),"shaved")</f>
        <v>shaved</v>
      </c>
    </row>
    <row r="9505">
      <c r="A9505" s="1" t="s">
        <v>9505</v>
      </c>
      <c r="B9505" s="2" t="str">
        <f>IFERROR(__xludf.DUMMYFUNCTION("GOOGLETRANSLATE(A9505, ""de"", ""en"")"),"forgiven")</f>
        <v>forgiven</v>
      </c>
    </row>
    <row r="9506">
      <c r="A9506" s="1" t="s">
        <v>9506</v>
      </c>
      <c r="B9506" s="2" t="str">
        <f>IFERROR(__xludf.DUMMYFUNCTION("GOOGLETRANSLATE(A9506, ""de"", ""en"")"),"mayday")</f>
        <v>mayday</v>
      </c>
    </row>
    <row r="9507">
      <c r="A9507" s="1" t="s">
        <v>9507</v>
      </c>
      <c r="B9507" s="2" t="str">
        <f>IFERROR(__xludf.DUMMYFUNCTION("GOOGLETRANSLATE(A9507, ""de"", ""en"")"),"Venus")</f>
        <v>Venus</v>
      </c>
    </row>
    <row r="9508">
      <c r="A9508" s="1" t="s">
        <v>9508</v>
      </c>
      <c r="B9508" s="2" t="str">
        <f>IFERROR(__xludf.DUMMYFUNCTION("GOOGLETRANSLATE(A9508, ""de"", ""en"")"),"arrest")</f>
        <v>arrest</v>
      </c>
    </row>
    <row r="9509">
      <c r="A9509" s="1" t="s">
        <v>9509</v>
      </c>
      <c r="B9509" s="2" t="str">
        <f>IFERROR(__xludf.DUMMYFUNCTION("GOOGLETRANSLATE(A9509, ""de"", ""en"")"),"rise")</f>
        <v>rise</v>
      </c>
    </row>
    <row r="9510">
      <c r="A9510" s="1" t="s">
        <v>9510</v>
      </c>
      <c r="B9510" s="2" t="str">
        <f>IFERROR(__xludf.DUMMYFUNCTION("GOOGLETRANSLATE(A9510, ""de"", ""en"")"),"identical")</f>
        <v>identical</v>
      </c>
    </row>
    <row r="9511">
      <c r="A9511" s="1" t="s">
        <v>9511</v>
      </c>
      <c r="B9511" s="2" t="str">
        <f>IFERROR(__xludf.DUMMYFUNCTION("GOOGLETRANSLATE(A9511, ""de"", ""en"")"),"afraid")</f>
        <v>afraid</v>
      </c>
    </row>
    <row r="9512">
      <c r="A9512" s="1" t="s">
        <v>9512</v>
      </c>
      <c r="B9512" s="2" t="str">
        <f>IFERROR(__xludf.DUMMYFUNCTION("GOOGLETRANSLATE(A9512, ""de"", ""en"")"),"fought")</f>
        <v>fought</v>
      </c>
    </row>
    <row r="9513">
      <c r="A9513" s="1" t="s">
        <v>9513</v>
      </c>
      <c r="B9513" s="2" t="str">
        <f>IFERROR(__xludf.DUMMYFUNCTION("GOOGLETRANSLATE(A9513, ""de"", ""en"")"),"yep")</f>
        <v>yep</v>
      </c>
    </row>
    <row r="9514">
      <c r="A9514" s="1" t="s">
        <v>9514</v>
      </c>
      <c r="B9514" s="2" t="str">
        <f>IFERROR(__xludf.DUMMYFUNCTION("GOOGLETRANSLATE(A9514, ""de"", ""en"")"),"host")</f>
        <v>host</v>
      </c>
    </row>
    <row r="9515">
      <c r="A9515" s="1" t="s">
        <v>9515</v>
      </c>
      <c r="B9515" s="2" t="str">
        <f>IFERROR(__xludf.DUMMYFUNCTION("GOOGLETRANSLATE(A9515, ""de"", ""en"")"),"downtown")</f>
        <v>downtown</v>
      </c>
    </row>
    <row r="9516">
      <c r="A9516" s="1" t="s">
        <v>9516</v>
      </c>
      <c r="B9516" s="2" t="str">
        <f>IFERROR(__xludf.DUMMYFUNCTION("GOOGLETRANSLATE(A9516, ""de"", ""en"")"),"flatmate")</f>
        <v>flatmate</v>
      </c>
    </row>
    <row r="9517">
      <c r="A9517" s="1" t="s">
        <v>9517</v>
      </c>
      <c r="B9517" s="2" t="str">
        <f>IFERROR(__xludf.DUMMYFUNCTION("GOOGLETRANSLATE(A9517, ""de"", ""en"")"),"daddy")</f>
        <v>daddy</v>
      </c>
    </row>
    <row r="9518">
      <c r="A9518" s="1" t="s">
        <v>9518</v>
      </c>
      <c r="B9518" s="2" t="str">
        <f>IFERROR(__xludf.DUMMYFUNCTION("GOOGLETRANSLATE(A9518, ""de"", ""en"")"),"dizzy")</f>
        <v>dizzy</v>
      </c>
    </row>
    <row r="9519">
      <c r="A9519" s="1" t="s">
        <v>9519</v>
      </c>
      <c r="B9519" s="2" t="str">
        <f>IFERROR(__xludf.DUMMYFUNCTION("GOOGLETRANSLATE(A9519, ""de"", ""en"")"),"dc")</f>
        <v>dc</v>
      </c>
    </row>
    <row r="9520">
      <c r="A9520" s="1" t="s">
        <v>9520</v>
      </c>
      <c r="B9520" s="2" t="str">
        <f>IFERROR(__xludf.DUMMYFUNCTION("GOOGLETRANSLATE(A9520, ""de"", ""en"")"),"advice")</f>
        <v>advice</v>
      </c>
    </row>
    <row r="9521">
      <c r="A9521" s="1" t="s">
        <v>9521</v>
      </c>
      <c r="B9521" s="2" t="str">
        <f>IFERROR(__xludf.DUMMYFUNCTION("GOOGLETRANSLATE(A9521, ""de"", ""en"")"),"shame")</f>
        <v>shame</v>
      </c>
    </row>
    <row r="9522">
      <c r="A9522" s="1" t="s">
        <v>9522</v>
      </c>
      <c r="B9522" s="2" t="str">
        <f>IFERROR(__xludf.DUMMYFUNCTION("GOOGLETRANSLATE(A9522, ""de"", ""en"")"),"intensive")</f>
        <v>intensive</v>
      </c>
    </row>
    <row r="9523">
      <c r="A9523" s="1" t="s">
        <v>9523</v>
      </c>
      <c r="B9523" s="2" t="str">
        <f>IFERROR(__xludf.DUMMYFUNCTION("GOOGLETRANSLATE(A9523, ""de"", ""en"")"),"amigo")</f>
        <v>amigo</v>
      </c>
    </row>
    <row r="9524">
      <c r="A9524" s="1" t="s">
        <v>9524</v>
      </c>
      <c r="B9524" s="2" t="str">
        <f>IFERROR(__xludf.DUMMYFUNCTION("GOOGLETRANSLATE(A9524, ""de"", ""en"")"),"louie")</f>
        <v>louie</v>
      </c>
    </row>
    <row r="9525">
      <c r="A9525" s="1" t="s">
        <v>9525</v>
      </c>
      <c r="B9525" s="2" t="str">
        <f>IFERROR(__xludf.DUMMYFUNCTION("GOOGLETRANSLATE(A9525, ""de"", ""en"")"),"defect")</f>
        <v>defect</v>
      </c>
    </row>
    <row r="9526">
      <c r="A9526" s="1" t="s">
        <v>9526</v>
      </c>
      <c r="B9526" s="2" t="str">
        <f>IFERROR(__xludf.DUMMYFUNCTION("GOOGLETRANSLATE(A9526, ""de"", ""en"")"),"relate")</f>
        <v>relate</v>
      </c>
    </row>
    <row r="9527">
      <c r="A9527" s="1" t="s">
        <v>9527</v>
      </c>
      <c r="B9527" s="2" t="str">
        <f>IFERROR(__xludf.DUMMYFUNCTION("GOOGLETRANSLATE(A9527, ""de"", ""en"")"),"or")</f>
        <v>or</v>
      </c>
    </row>
    <row r="9528">
      <c r="A9528" s="1" t="s">
        <v>9528</v>
      </c>
      <c r="B9528" s="2" t="str">
        <f>IFERROR(__xludf.DUMMYFUNCTION("GOOGLETRANSLATE(A9528, ""de"", ""en"")"),"talented")</f>
        <v>talented</v>
      </c>
    </row>
    <row r="9529">
      <c r="A9529" s="1" t="s">
        <v>9529</v>
      </c>
      <c r="B9529" s="2" t="str">
        <f>IFERROR(__xludf.DUMMYFUNCTION("GOOGLETRANSLATE(A9529, ""de"", ""en"")"),"bridget")</f>
        <v>bridget</v>
      </c>
    </row>
    <row r="9530">
      <c r="A9530" s="1" t="s">
        <v>9530</v>
      </c>
      <c r="B9530" s="2" t="str">
        <f>IFERROR(__xludf.DUMMYFUNCTION("GOOGLETRANSLATE(A9530, ""de"", ""en"")"),"Gretchen")</f>
        <v>Gretchen</v>
      </c>
    </row>
    <row r="9531">
      <c r="A9531" s="1" t="s">
        <v>9531</v>
      </c>
      <c r="B9531" s="2" t="str">
        <f>IFERROR(__xludf.DUMMYFUNCTION("GOOGLETRANSLATE(A9531, ""de"", ""en"")"),"displayed")</f>
        <v>displayed</v>
      </c>
    </row>
    <row r="9532">
      <c r="A9532" s="1" t="s">
        <v>9532</v>
      </c>
      <c r="B9532" s="2" t="str">
        <f>IFERROR(__xludf.DUMMYFUNCTION("GOOGLETRANSLATE(A9532, ""de"", ""en"")"),"shovel")</f>
        <v>shovel</v>
      </c>
    </row>
    <row r="9533">
      <c r="A9533" s="1" t="s">
        <v>9533</v>
      </c>
      <c r="B9533" s="2" t="str">
        <f>IFERROR(__xludf.DUMMYFUNCTION("GOOGLETRANSLATE(A9533, ""de"", ""en"")"),"shocked")</f>
        <v>shocked</v>
      </c>
    </row>
    <row r="9534">
      <c r="A9534" s="1" t="s">
        <v>9534</v>
      </c>
      <c r="B9534" s="2" t="str">
        <f>IFERROR(__xludf.DUMMYFUNCTION("GOOGLETRANSLATE(A9534, ""de"", ""en"")"),"fell in")</f>
        <v>fell in</v>
      </c>
    </row>
    <row r="9535">
      <c r="A9535" s="1" t="s">
        <v>9535</v>
      </c>
      <c r="B9535" s="2" t="str">
        <f>IFERROR(__xludf.DUMMYFUNCTION("GOOGLETRANSLATE(A9535, ""de"", ""en"")"),"cousin")</f>
        <v>cousin</v>
      </c>
    </row>
    <row r="9536">
      <c r="A9536" s="1" t="s">
        <v>9536</v>
      </c>
      <c r="B9536" s="2" t="str">
        <f>IFERROR(__xludf.DUMMYFUNCTION("GOOGLETRANSLATE(A9536, ""de"", ""en"")"),"tan")</f>
        <v>tan</v>
      </c>
    </row>
    <row r="9537">
      <c r="A9537" s="1" t="s">
        <v>9537</v>
      </c>
      <c r="B9537" s="2" t="str">
        <f>IFERROR(__xludf.DUMMYFUNCTION("GOOGLETRANSLATE(A9537, ""de"", ""en"")"),"boys")</f>
        <v>boys</v>
      </c>
    </row>
    <row r="9538">
      <c r="A9538" s="1" t="s">
        <v>9538</v>
      </c>
      <c r="B9538" s="2" t="str">
        <f>IFERROR(__xludf.DUMMYFUNCTION("GOOGLETRANSLATE(A9538, ""de"", ""en"")"),"bribe")</f>
        <v>bribe</v>
      </c>
    </row>
    <row r="9539">
      <c r="A9539" s="1" t="s">
        <v>9539</v>
      </c>
      <c r="B9539" s="2" t="str">
        <f>IFERROR(__xludf.DUMMYFUNCTION("GOOGLETRANSLATE(A9539, ""de"", ""en"")"),"back seat")</f>
        <v>back seat</v>
      </c>
    </row>
    <row r="9540">
      <c r="A9540" s="1" t="s">
        <v>9540</v>
      </c>
      <c r="B9540" s="2" t="str">
        <f>IFERROR(__xludf.DUMMYFUNCTION("GOOGLETRANSLATE(A9540, ""de"", ""en"")"),"ensure")</f>
        <v>ensure</v>
      </c>
    </row>
    <row r="9541">
      <c r="A9541" s="1" t="s">
        <v>9541</v>
      </c>
      <c r="B9541" s="2" t="str">
        <f>IFERROR(__xludf.DUMMYFUNCTION("GOOGLETRANSLATE(A9541, ""de"", ""en"")"),"upset")</f>
        <v>upset</v>
      </c>
    </row>
    <row r="9542">
      <c r="A9542" s="1" t="s">
        <v>9542</v>
      </c>
      <c r="B9542" s="2" t="str">
        <f>IFERROR(__xludf.DUMMYFUNCTION("GOOGLETRANSLATE(A9542, ""de"", ""en"")"),"magician")</f>
        <v>magician</v>
      </c>
    </row>
    <row r="9543">
      <c r="A9543" s="1" t="s">
        <v>9543</v>
      </c>
      <c r="B9543" s="2" t="str">
        <f>IFERROR(__xludf.DUMMYFUNCTION("GOOGLETRANSLATE(A9543, ""de"", ""en"")"),"management")</f>
        <v>management</v>
      </c>
    </row>
    <row r="9544">
      <c r="A9544" s="1" t="s">
        <v>9544</v>
      </c>
      <c r="B9544" s="2" t="str">
        <f>IFERROR(__xludf.DUMMYFUNCTION("GOOGLETRANSLATE(A9544, ""de"", ""en"")"),"opening")</f>
        <v>opening</v>
      </c>
    </row>
    <row r="9545">
      <c r="A9545" s="1" t="s">
        <v>9545</v>
      </c>
      <c r="B9545" s="2" t="str">
        <f>IFERROR(__xludf.DUMMYFUNCTION("GOOGLETRANSLATE(A9545, ""de"", ""en"")"),"grill")</f>
        <v>grill</v>
      </c>
    </row>
    <row r="9546">
      <c r="A9546" s="1" t="s">
        <v>9546</v>
      </c>
      <c r="B9546" s="2" t="str">
        <f>IFERROR(__xludf.DUMMYFUNCTION("GOOGLETRANSLATE(A9546, ""de"", ""en"")"),"ships")</f>
        <v>ships</v>
      </c>
    </row>
    <row r="9547">
      <c r="A9547" s="1" t="s">
        <v>9547</v>
      </c>
      <c r="B9547" s="2" t="str">
        <f>IFERROR(__xludf.DUMMYFUNCTION("GOOGLETRANSLATE(A9547, ""de"", ""en"")"),"fit")</f>
        <v>fit</v>
      </c>
    </row>
    <row r="9548">
      <c r="A9548" s="1" t="s">
        <v>9548</v>
      </c>
      <c r="B9548" s="2" t="str">
        <f>IFERROR(__xludf.DUMMYFUNCTION("GOOGLETRANSLATE(A9548, ""de"", ""en"")"),"deacon")</f>
        <v>deacon</v>
      </c>
    </row>
    <row r="9549">
      <c r="A9549" s="1" t="s">
        <v>9549</v>
      </c>
      <c r="B9549" s="2" t="str">
        <f>IFERROR(__xludf.DUMMYFUNCTION("GOOGLETRANSLATE(A9549, ""de"", ""en"")"),"bosses")</f>
        <v>bosses</v>
      </c>
    </row>
    <row r="9550">
      <c r="A9550" s="1" t="s">
        <v>9550</v>
      </c>
      <c r="B9550" s="2" t="str">
        <f>IFERROR(__xludf.DUMMYFUNCTION("GOOGLETRANSLATE(A9550, ""de"", ""en"")"),"connect")</f>
        <v>connect</v>
      </c>
    </row>
    <row r="9551">
      <c r="A9551" s="1" t="s">
        <v>9551</v>
      </c>
      <c r="B9551" s="2" t="str">
        <f>IFERROR(__xludf.DUMMYFUNCTION("GOOGLETRANSLATE(A9551, ""de"", ""en"")"),"dice")</f>
        <v>dice</v>
      </c>
    </row>
    <row r="9552">
      <c r="A9552" s="1" t="s">
        <v>9552</v>
      </c>
      <c r="B9552" s="2" t="str">
        <f>IFERROR(__xludf.DUMMYFUNCTION("GOOGLETRANSLATE(A9552, ""de"", ""en"")"),"physics")</f>
        <v>physics</v>
      </c>
    </row>
    <row r="9553">
      <c r="A9553" s="1" t="s">
        <v>9553</v>
      </c>
      <c r="B9553" s="2" t="str">
        <f>IFERROR(__xludf.DUMMYFUNCTION("GOOGLETRANSLATE(A9553, ""de"", ""en"")"),"cans")</f>
        <v>cans</v>
      </c>
    </row>
    <row r="9554">
      <c r="A9554" s="1" t="s">
        <v>9554</v>
      </c>
      <c r="B9554" s="2" t="str">
        <f>IFERROR(__xludf.DUMMYFUNCTION("GOOGLETRANSLATE(A9554, ""de"", ""en"")"),"grove")</f>
        <v>grove</v>
      </c>
    </row>
    <row r="9555">
      <c r="A9555" s="1" t="s">
        <v>9555</v>
      </c>
      <c r="B9555" s="2" t="str">
        <f>IFERROR(__xludf.DUMMYFUNCTION("GOOGLETRANSLATE(A9555, ""de"", ""en"")"),"champ")</f>
        <v>champ</v>
      </c>
    </row>
    <row r="9556">
      <c r="A9556" s="1" t="s">
        <v>9556</v>
      </c>
      <c r="B9556" s="2" t="str">
        <f>IFERROR(__xludf.DUMMYFUNCTION("GOOGLETRANSLATE(A9556, ""de"", ""en"")"),"would like")</f>
        <v>would like</v>
      </c>
    </row>
    <row r="9557">
      <c r="A9557" s="1" t="s">
        <v>9557</v>
      </c>
      <c r="B9557" s="2" t="str">
        <f>IFERROR(__xludf.DUMMYFUNCTION("GOOGLETRANSLATE(A9557, ""de"", ""en"")"),"porn")</f>
        <v>porn</v>
      </c>
    </row>
    <row r="9558">
      <c r="A9558" s="1" t="s">
        <v>9558</v>
      </c>
      <c r="B9558" s="2" t="str">
        <f>IFERROR(__xludf.DUMMYFUNCTION("GOOGLETRANSLATE(A9558, ""de"", ""en"")"),"more absolute")</f>
        <v>more absolute</v>
      </c>
    </row>
    <row r="9559">
      <c r="A9559" s="1" t="s">
        <v>9559</v>
      </c>
      <c r="B9559" s="2" t="str">
        <f>IFERROR(__xludf.DUMMYFUNCTION("GOOGLETRANSLATE(A9559, ""de"", ""en"")"),"stadium")</f>
        <v>stadium</v>
      </c>
    </row>
    <row r="9560">
      <c r="A9560" s="1" t="s">
        <v>9560</v>
      </c>
      <c r="B9560" s="2" t="str">
        <f>IFERROR(__xludf.DUMMYFUNCTION("GOOGLETRANSLATE(A9560, ""de"", ""en"")"),"shot down")</f>
        <v>shot down</v>
      </c>
    </row>
    <row r="9561">
      <c r="A9561" s="1" t="s">
        <v>9561</v>
      </c>
      <c r="B9561" s="2" t="str">
        <f>IFERROR(__xludf.DUMMYFUNCTION("GOOGLETRANSLATE(A9561, ""de"", ""en"")"),"strive")</f>
        <v>strive</v>
      </c>
    </row>
    <row r="9562">
      <c r="A9562" s="1" t="s">
        <v>9562</v>
      </c>
      <c r="B9562" s="2" t="str">
        <f>IFERROR(__xludf.DUMMYFUNCTION("GOOGLETRANSLATE(A9562, ""de"", ""en"")"),"get through")</f>
        <v>get through</v>
      </c>
    </row>
    <row r="9563">
      <c r="A9563" s="1" t="s">
        <v>9563</v>
      </c>
      <c r="B9563" s="2" t="str">
        <f>IFERROR(__xludf.DUMMYFUNCTION("GOOGLETRANSLATE(A9563, ""de"", ""en"")"),"committed")</f>
        <v>committed</v>
      </c>
    </row>
    <row r="9564">
      <c r="A9564" s="1" t="s">
        <v>9564</v>
      </c>
      <c r="B9564" s="2" t="str">
        <f>IFERROR(__xludf.DUMMYFUNCTION("GOOGLETRANSLATE(A9564, ""de"", ""en"")"),"strike")</f>
        <v>strike</v>
      </c>
    </row>
    <row r="9565">
      <c r="A9565" s="1" t="s">
        <v>9565</v>
      </c>
      <c r="B9565" s="2" t="str">
        <f>IFERROR(__xludf.DUMMYFUNCTION("GOOGLETRANSLATE(A9565, ""de"", ""en"")"),"continue")</f>
        <v>continue</v>
      </c>
    </row>
    <row r="9566">
      <c r="A9566" s="1" t="s">
        <v>9566</v>
      </c>
      <c r="B9566" s="2" t="str">
        <f>IFERROR(__xludf.DUMMYFUNCTION("GOOGLETRANSLATE(A9566, ""de"", ""en"")"),"ramon")</f>
        <v>ramon</v>
      </c>
    </row>
    <row r="9567">
      <c r="A9567" s="1" t="s">
        <v>9567</v>
      </c>
      <c r="B9567" s="2" t="str">
        <f>IFERROR(__xludf.DUMMYFUNCTION("GOOGLETRANSLATE(A9567, ""de"", ""en"")"),"tips")</f>
        <v>tips</v>
      </c>
    </row>
    <row r="9568">
      <c r="A9568" s="1" t="s">
        <v>9568</v>
      </c>
      <c r="B9568" s="2" t="str">
        <f>IFERROR(__xludf.DUMMYFUNCTION("GOOGLETRANSLATE(A9568, ""de"", ""en"")"),"sweet")</f>
        <v>sweet</v>
      </c>
    </row>
    <row r="9569">
      <c r="A9569" s="1" t="s">
        <v>9569</v>
      </c>
      <c r="B9569" s="2" t="str">
        <f>IFERROR(__xludf.DUMMYFUNCTION("GOOGLETRANSLATE(A9569, ""de"", ""en"")"),"look")</f>
        <v>look</v>
      </c>
    </row>
    <row r="9570">
      <c r="A9570" s="1" t="s">
        <v>9570</v>
      </c>
      <c r="B9570" s="2" t="str">
        <f>IFERROR(__xludf.DUMMYFUNCTION("GOOGLETRANSLATE(A9570, ""de"", ""en"")"),"Isabel")</f>
        <v>Isabel</v>
      </c>
    </row>
    <row r="9571">
      <c r="A9571" s="1" t="s">
        <v>9571</v>
      </c>
      <c r="B9571" s="2" t="str">
        <f>IFERROR(__xludf.DUMMYFUNCTION("GOOGLETRANSLATE(A9571, ""de"", ""en"")"),"start")</f>
        <v>start</v>
      </c>
    </row>
    <row r="9572">
      <c r="A9572" s="1" t="s">
        <v>9572</v>
      </c>
      <c r="B9572" s="2" t="str">
        <f>IFERROR(__xludf.DUMMYFUNCTION("GOOGLETRANSLATE(A9572, ""de"", ""en"")"),"cookie")</f>
        <v>cookie</v>
      </c>
    </row>
    <row r="9573">
      <c r="A9573" s="1" t="s">
        <v>9573</v>
      </c>
      <c r="B9573" s="2" t="str">
        <f>IFERROR(__xludf.DUMMYFUNCTION("GOOGLETRANSLATE(A9573, ""de"", ""en"")"),"magazine")</f>
        <v>magazine</v>
      </c>
    </row>
    <row r="9574">
      <c r="A9574" s="1" t="s">
        <v>9574</v>
      </c>
      <c r="B9574" s="2" t="str">
        <f>IFERROR(__xludf.DUMMYFUNCTION("GOOGLETRANSLATE(A9574, ""de"", ""en"")"),"Wanda")</f>
        <v>Wanda</v>
      </c>
    </row>
    <row r="9575">
      <c r="A9575" s="1" t="s">
        <v>9575</v>
      </c>
      <c r="B9575" s="2" t="str">
        <f>IFERROR(__xludf.DUMMYFUNCTION("GOOGLETRANSLATE(A9575, ""de"", ""en"")"),"is based")</f>
        <v>is based</v>
      </c>
    </row>
    <row r="9576">
      <c r="A9576" s="1" t="s">
        <v>9576</v>
      </c>
      <c r="B9576" s="2" t="str">
        <f>IFERROR(__xludf.DUMMYFUNCTION("GOOGLETRANSLATE(A9576, ""de"", ""en"")"),"ragnar")</f>
        <v>ragnar</v>
      </c>
    </row>
    <row r="9577">
      <c r="A9577" s="1" t="s">
        <v>9577</v>
      </c>
      <c r="B9577" s="2" t="str">
        <f>IFERROR(__xludf.DUMMYFUNCTION("GOOGLETRANSLATE(A9577, ""de"", ""en"")"),"corruption")</f>
        <v>corruption</v>
      </c>
    </row>
    <row r="9578">
      <c r="A9578" s="1" t="s">
        <v>9578</v>
      </c>
      <c r="B9578" s="2" t="str">
        <f>IFERROR(__xludf.DUMMYFUNCTION("GOOGLETRANSLATE(A9578, ""de"", ""en"")"),"teeming")</f>
        <v>teeming</v>
      </c>
    </row>
    <row r="9579">
      <c r="A9579" s="1" t="s">
        <v>9579</v>
      </c>
      <c r="B9579" s="2" t="str">
        <f>IFERROR(__xludf.DUMMYFUNCTION("GOOGLETRANSLATE(A9579, ""de"", ""en"")"),"hook")</f>
        <v>hook</v>
      </c>
    </row>
    <row r="9580">
      <c r="A9580" s="1" t="s">
        <v>9580</v>
      </c>
      <c r="B9580" s="2" t="str">
        <f>IFERROR(__xludf.DUMMYFUNCTION("GOOGLETRANSLATE(A9580, ""de"", ""en"")"),"lux")</f>
        <v>lux</v>
      </c>
    </row>
    <row r="9581">
      <c r="A9581" s="1" t="s">
        <v>9581</v>
      </c>
      <c r="B9581" s="2" t="str">
        <f>IFERROR(__xludf.DUMMYFUNCTION("GOOGLETRANSLATE(A9581, ""de"", ""en"")"),"turned off")</f>
        <v>turned off</v>
      </c>
    </row>
    <row r="9582">
      <c r="A9582" s="1" t="s">
        <v>9582</v>
      </c>
      <c r="B9582" s="2" t="str">
        <f>IFERROR(__xludf.DUMMYFUNCTION("GOOGLETRANSLATE(A9582, ""de"", ""en"")"),"deliver")</f>
        <v>deliver</v>
      </c>
    </row>
    <row r="9583">
      <c r="A9583" s="1" t="s">
        <v>9583</v>
      </c>
      <c r="B9583" s="2" t="str">
        <f>IFERROR(__xludf.DUMMYFUNCTION("GOOGLETRANSLATE(A9583, ""de"", ""en"")"),"afterward")</f>
        <v>afterward</v>
      </c>
    </row>
    <row r="9584">
      <c r="A9584" s="1" t="s">
        <v>9584</v>
      </c>
      <c r="B9584" s="2" t="str">
        <f>IFERROR(__xludf.DUMMYFUNCTION("GOOGLETRANSLATE(A9584, ""de"", ""en"")"),"pit")</f>
        <v>pit</v>
      </c>
    </row>
    <row r="9585">
      <c r="A9585" s="1" t="s">
        <v>9585</v>
      </c>
      <c r="B9585" s="2" t="str">
        <f>IFERROR(__xludf.DUMMYFUNCTION("GOOGLETRANSLATE(A9585, ""de"", ""en"")"),"my")</f>
        <v>my</v>
      </c>
    </row>
    <row r="9586">
      <c r="A9586" s="1" t="s">
        <v>9586</v>
      </c>
      <c r="B9586" s="2" t="str">
        <f>IFERROR(__xludf.DUMMYFUNCTION("GOOGLETRANSLATE(A9586, ""de"", ""en"")"),"flees")</f>
        <v>flees</v>
      </c>
    </row>
    <row r="9587">
      <c r="A9587" s="1" t="s">
        <v>9587</v>
      </c>
      <c r="B9587" s="2" t="str">
        <f>IFERROR(__xludf.DUMMYFUNCTION("GOOGLETRANSLATE(A9587, ""de"", ""en"")"),"in written form")</f>
        <v>in written form</v>
      </c>
    </row>
    <row r="9588">
      <c r="A9588" s="1" t="s">
        <v>9588</v>
      </c>
      <c r="B9588" s="2" t="str">
        <f>IFERROR(__xludf.DUMMYFUNCTION("GOOGLETRANSLATE(A9588, ""de"", ""en"")"),"mate")</f>
        <v>mate</v>
      </c>
    </row>
    <row r="9589">
      <c r="A9589" s="1" t="s">
        <v>9589</v>
      </c>
      <c r="B9589" s="2" t="str">
        <f>IFERROR(__xludf.DUMMYFUNCTION("GOOGLETRANSLATE(A9589, ""de"", ""en"")"),"irrelevant")</f>
        <v>irrelevant</v>
      </c>
    </row>
    <row r="9590">
      <c r="A9590" s="1" t="s">
        <v>9590</v>
      </c>
      <c r="B9590" s="2" t="str">
        <f>IFERROR(__xludf.DUMMYFUNCTION("GOOGLETRANSLATE(A9590, ""de"", ""en"")"),"ironic")</f>
        <v>ironic</v>
      </c>
    </row>
    <row r="9591">
      <c r="A9591" s="1" t="s">
        <v>9591</v>
      </c>
      <c r="B9591" s="2" t="str">
        <f>IFERROR(__xludf.DUMMYFUNCTION("GOOGLETRANSLATE(A9591, ""de"", ""en"")"),"down")</f>
        <v>down</v>
      </c>
    </row>
    <row r="9592">
      <c r="A9592" s="1" t="s">
        <v>9592</v>
      </c>
      <c r="B9592" s="2" t="str">
        <f>IFERROR(__xludf.DUMMYFUNCTION("GOOGLETRANSLATE(A9592, ""de"", ""en"")"),"Frederick")</f>
        <v>Frederick</v>
      </c>
    </row>
    <row r="9593">
      <c r="A9593" s="1" t="s">
        <v>9593</v>
      </c>
      <c r="B9593" s="2" t="str">
        <f>IFERROR(__xludf.DUMMYFUNCTION("GOOGLETRANSLATE(A9593, ""de"", ""en"")"),"bull")</f>
        <v>bull</v>
      </c>
    </row>
    <row r="9594">
      <c r="A9594" s="1" t="s">
        <v>9594</v>
      </c>
      <c r="B9594" s="2" t="str">
        <f>IFERROR(__xludf.DUMMYFUNCTION("GOOGLETRANSLATE(A9594, ""de"", ""en"")"),"decision")</f>
        <v>decision</v>
      </c>
    </row>
    <row r="9595">
      <c r="A9595" s="1" t="s">
        <v>9595</v>
      </c>
      <c r="B9595" s="2" t="str">
        <f>IFERROR(__xludf.DUMMYFUNCTION("GOOGLETRANSLATE(A9595, ""de"", ""en"")"),"failed")</f>
        <v>failed</v>
      </c>
    </row>
    <row r="9596">
      <c r="A9596" s="1" t="s">
        <v>9596</v>
      </c>
      <c r="B9596" s="2" t="str">
        <f>IFERROR(__xludf.DUMMYFUNCTION("GOOGLETRANSLATE(A9596, ""de"", ""en"")"),"welcome")</f>
        <v>welcome</v>
      </c>
    </row>
    <row r="9597">
      <c r="A9597" s="1" t="s">
        <v>9597</v>
      </c>
      <c r="B9597" s="2" t="str">
        <f>IFERROR(__xludf.DUMMYFUNCTION("GOOGLETRANSLATE(A9597, ""de"", ""en"")"),"putty")</f>
        <v>putty</v>
      </c>
    </row>
    <row r="9598">
      <c r="A9598" s="1" t="s">
        <v>9598</v>
      </c>
      <c r="B9598" s="2" t="str">
        <f>IFERROR(__xludf.DUMMYFUNCTION("GOOGLETRANSLATE(A9598, ""de"", ""en"")"),"disaster")</f>
        <v>disaster</v>
      </c>
    </row>
    <row r="9599">
      <c r="A9599" s="1" t="s">
        <v>9599</v>
      </c>
      <c r="B9599" s="2" t="str">
        <f>IFERROR(__xludf.DUMMYFUNCTION("GOOGLETRANSLATE(A9599, ""de"", ""en"")"),"vigilant")</f>
        <v>vigilant</v>
      </c>
    </row>
    <row r="9600">
      <c r="A9600" s="1" t="s">
        <v>9600</v>
      </c>
      <c r="B9600" s="2" t="str">
        <f>IFERROR(__xludf.DUMMYFUNCTION("GOOGLETRANSLATE(A9600, ""de"", ""en"")"),"ready to go")</f>
        <v>ready to go</v>
      </c>
    </row>
    <row r="9601">
      <c r="A9601" s="1" t="s">
        <v>9601</v>
      </c>
      <c r="B9601" s="2" t="str">
        <f>IFERROR(__xludf.DUMMYFUNCTION("GOOGLETRANSLATE(A9601, ""de"", ""en"")"),"make good")</f>
        <v>make good</v>
      </c>
    </row>
    <row r="9602">
      <c r="A9602" s="1" t="s">
        <v>9602</v>
      </c>
      <c r="B9602" s="2" t="str">
        <f>IFERROR(__xludf.DUMMYFUNCTION("GOOGLETRANSLATE(A9602, ""de"", ""en"")"),"log")</f>
        <v>log</v>
      </c>
    </row>
    <row r="9603">
      <c r="A9603" s="1" t="s">
        <v>9603</v>
      </c>
      <c r="B9603" s="2" t="str">
        <f>IFERROR(__xludf.DUMMYFUNCTION("GOOGLETRANSLATE(A9603, ""de"", ""en"")"),"luca")</f>
        <v>luca</v>
      </c>
    </row>
    <row r="9604">
      <c r="A9604" s="1" t="s">
        <v>9604</v>
      </c>
      <c r="B9604" s="2" t="str">
        <f>IFERROR(__xludf.DUMMYFUNCTION("GOOGLETRANSLATE(A9604, ""de"", ""en"")"),"mortgage")</f>
        <v>mortgage</v>
      </c>
    </row>
    <row r="9605">
      <c r="A9605" s="1" t="s">
        <v>9605</v>
      </c>
      <c r="B9605" s="2" t="str">
        <f>IFERROR(__xludf.DUMMYFUNCTION("GOOGLETRANSLATE(A9605, ""de"", ""en"")"),"based on")</f>
        <v>based on</v>
      </c>
    </row>
    <row r="9606">
      <c r="A9606" s="1" t="s">
        <v>9606</v>
      </c>
      <c r="B9606" s="2" t="str">
        <f>IFERROR(__xludf.DUMMYFUNCTION("GOOGLETRANSLATE(A9606, ""de"", ""en"")"),"headlines")</f>
        <v>headlines</v>
      </c>
    </row>
    <row r="9607">
      <c r="A9607" s="1" t="s">
        <v>9607</v>
      </c>
      <c r="B9607" s="2" t="str">
        <f>IFERROR(__xludf.DUMMYFUNCTION("GOOGLETRANSLATE(A9607, ""de"", ""en"")"),"trigger")</f>
        <v>trigger</v>
      </c>
    </row>
    <row r="9608">
      <c r="A9608" s="1" t="s">
        <v>9608</v>
      </c>
      <c r="B9608" s="2" t="str">
        <f>IFERROR(__xludf.DUMMYFUNCTION("GOOGLETRANSLATE(A9608, ""de"", ""en"")"),"gaius")</f>
        <v>gaius</v>
      </c>
    </row>
    <row r="9609">
      <c r="A9609" s="1" t="s">
        <v>9609</v>
      </c>
      <c r="B9609" s="2" t="str">
        <f>IFERROR(__xludf.DUMMYFUNCTION("GOOGLETRANSLATE(A9609, ""de"", ""en"")"),"termination")</f>
        <v>termination</v>
      </c>
    </row>
    <row r="9610">
      <c r="A9610" s="1" t="s">
        <v>9610</v>
      </c>
      <c r="B9610" s="2" t="str">
        <f>IFERROR(__xludf.DUMMYFUNCTION("GOOGLETRANSLATE(A9610, ""de"", ""en"")"),"atlantis")</f>
        <v>atlantis</v>
      </c>
    </row>
    <row r="9611">
      <c r="A9611" s="1" t="s">
        <v>9611</v>
      </c>
      <c r="B9611" s="2" t="str">
        <f>IFERROR(__xludf.DUMMYFUNCTION("GOOGLETRANSLATE(A9611, ""de"", ""en"")"),"withdrawal")</f>
        <v>withdrawal</v>
      </c>
    </row>
    <row r="9612">
      <c r="A9612" s="1" t="s">
        <v>9612</v>
      </c>
      <c r="B9612" s="2" t="str">
        <f>IFERROR(__xludf.DUMMYFUNCTION("GOOGLETRANSLATE(A9612, ""de"", ""en"")"),"server")</f>
        <v>server</v>
      </c>
    </row>
    <row r="9613">
      <c r="A9613" s="1" t="s">
        <v>9613</v>
      </c>
      <c r="B9613" s="2" t="str">
        <f>IFERROR(__xludf.DUMMYFUNCTION("GOOGLETRANSLATE(A9613, ""de"", ""en"")"),"Adele")</f>
        <v>Adele</v>
      </c>
    </row>
    <row r="9614">
      <c r="A9614" s="1" t="s">
        <v>9614</v>
      </c>
      <c r="B9614" s="2" t="str">
        <f>IFERROR(__xludf.DUMMYFUNCTION("GOOGLETRANSLATE(A9614, ""de"", ""en"")"),"bodyguard")</f>
        <v>bodyguard</v>
      </c>
    </row>
    <row r="9615">
      <c r="A9615" s="1" t="s">
        <v>9615</v>
      </c>
      <c r="B9615" s="2" t="str">
        <f>IFERROR(__xludf.DUMMYFUNCTION("GOOGLETRANSLATE(A9615, ""de"", ""en"")"),"to distract")</f>
        <v>to distract</v>
      </c>
    </row>
    <row r="9616">
      <c r="A9616" s="1" t="s">
        <v>9616</v>
      </c>
      <c r="B9616" s="2" t="str">
        <f>IFERROR(__xludf.DUMMYFUNCTION("GOOGLETRANSLATE(A9616, ""de"", ""en"")"),"indicate")</f>
        <v>indicate</v>
      </c>
    </row>
    <row r="9617">
      <c r="A9617" s="1" t="s">
        <v>9617</v>
      </c>
      <c r="B9617" s="2" t="str">
        <f>IFERROR(__xludf.DUMMYFUNCTION("GOOGLETRANSLATE(A9617, ""de"", ""en"")"),"shoot off")</f>
        <v>shoot off</v>
      </c>
    </row>
    <row r="9618">
      <c r="A9618" s="1" t="s">
        <v>9618</v>
      </c>
      <c r="B9618" s="2" t="str">
        <f>IFERROR(__xludf.DUMMYFUNCTION("GOOGLETRANSLATE(A9618, ""de"", ""en"")"),"guilty")</f>
        <v>guilty</v>
      </c>
    </row>
    <row r="9619">
      <c r="A9619" s="1" t="s">
        <v>9619</v>
      </c>
      <c r="B9619" s="2" t="str">
        <f>IFERROR(__xludf.DUMMYFUNCTION("GOOGLETRANSLATE(A9619, ""de"", ""en"")"),"thor")</f>
        <v>thor</v>
      </c>
    </row>
    <row r="9620">
      <c r="A9620" s="1" t="s">
        <v>9620</v>
      </c>
      <c r="B9620" s="2" t="str">
        <f>IFERROR(__xludf.DUMMYFUNCTION("GOOGLETRANSLATE(A9620, ""de"", ""en"")"),"frightened")</f>
        <v>frightened</v>
      </c>
    </row>
    <row r="9621">
      <c r="A9621" s="1" t="s">
        <v>9621</v>
      </c>
      <c r="B9621" s="2" t="str">
        <f>IFERROR(__xludf.DUMMYFUNCTION("GOOGLETRANSLATE(A9621, ""de"", ""en"")"),"taught")</f>
        <v>taught</v>
      </c>
    </row>
    <row r="9622">
      <c r="A9622" s="1" t="s">
        <v>9622</v>
      </c>
      <c r="B9622" s="2" t="str">
        <f>IFERROR(__xludf.DUMMYFUNCTION("GOOGLETRANSLATE(A9622, ""de"", ""en"")"),"bunny")</f>
        <v>bunny</v>
      </c>
    </row>
    <row r="9623">
      <c r="A9623" s="1" t="s">
        <v>9623</v>
      </c>
      <c r="B9623" s="2" t="str">
        <f>IFERROR(__xludf.DUMMYFUNCTION("GOOGLETRANSLATE(A9623, ""de"", ""en"")"),"daily")</f>
        <v>daily</v>
      </c>
    </row>
    <row r="9624">
      <c r="A9624" s="1" t="s">
        <v>9624</v>
      </c>
      <c r="B9624" s="2" t="str">
        <f>IFERROR(__xludf.DUMMYFUNCTION("GOOGLETRANSLATE(A9624, ""de"", ""en"")"),"glove")</f>
        <v>glove</v>
      </c>
    </row>
    <row r="9625">
      <c r="A9625" s="1" t="s">
        <v>9625</v>
      </c>
      <c r="B9625" s="2" t="str">
        <f>IFERROR(__xludf.DUMMYFUNCTION("GOOGLETRANSLATE(A9625, ""de"", ""en"")"),"silk")</f>
        <v>silk</v>
      </c>
    </row>
    <row r="9626">
      <c r="A9626" s="1" t="s">
        <v>9626</v>
      </c>
      <c r="B9626" s="2" t="str">
        <f>IFERROR(__xludf.DUMMYFUNCTION("GOOGLETRANSLATE(A9626, ""de"", ""en"")"),"armed")</f>
        <v>armed</v>
      </c>
    </row>
    <row r="9627">
      <c r="A9627" s="1" t="s">
        <v>9627</v>
      </c>
      <c r="B9627" s="2" t="str">
        <f>IFERROR(__xludf.DUMMYFUNCTION("GOOGLETRANSLATE(A9627, ""de"", ""en"")"),"Caesar")</f>
        <v>Caesar</v>
      </c>
    </row>
    <row r="9628">
      <c r="A9628" s="1" t="s">
        <v>9628</v>
      </c>
      <c r="B9628" s="2" t="str">
        <f>IFERROR(__xludf.DUMMYFUNCTION("GOOGLETRANSLATE(A9628, ""de"", ""en"")"),"slave")</f>
        <v>slave</v>
      </c>
    </row>
    <row r="9629">
      <c r="A9629" s="1" t="s">
        <v>9629</v>
      </c>
      <c r="B9629" s="2" t="str">
        <f>IFERROR(__xludf.DUMMYFUNCTION("GOOGLETRANSLATE(A9629, ""de"", ""en"")"),"canvas")</f>
        <v>canvas</v>
      </c>
    </row>
    <row r="9630">
      <c r="A9630" s="1" t="s">
        <v>9630</v>
      </c>
      <c r="B9630" s="2" t="str">
        <f>IFERROR(__xludf.DUMMYFUNCTION("GOOGLETRANSLATE(A9630, ""de"", ""en"")"),"told")</f>
        <v>told</v>
      </c>
    </row>
    <row r="9631">
      <c r="A9631" s="1" t="s">
        <v>9631</v>
      </c>
      <c r="B9631" s="2" t="str">
        <f>IFERROR(__xludf.DUMMYFUNCTION("GOOGLETRANSLATE(A9631, ""de"", ""en"")"),"watched")</f>
        <v>watched</v>
      </c>
    </row>
    <row r="9632">
      <c r="A9632" s="1" t="s">
        <v>9632</v>
      </c>
      <c r="B9632" s="2" t="str">
        <f>IFERROR(__xludf.DUMMYFUNCTION("GOOGLETRANSLATE(A9632, ""de"", ""en"")"),"georgie")</f>
        <v>georgie</v>
      </c>
    </row>
    <row r="9633">
      <c r="A9633" s="1" t="s">
        <v>9633</v>
      </c>
      <c r="B9633" s="2" t="str">
        <f>IFERROR(__xludf.DUMMYFUNCTION("GOOGLETRANSLATE(A9633, ""de"", ""en"")"),"right")</f>
        <v>right</v>
      </c>
    </row>
    <row r="9634">
      <c r="A9634" s="1" t="s">
        <v>9634</v>
      </c>
      <c r="B9634" s="2" t="str">
        <f>IFERROR(__xludf.DUMMYFUNCTION("GOOGLETRANSLATE(A9634, ""de"", ""en"")"),"Brendan")</f>
        <v>Brendan</v>
      </c>
    </row>
    <row r="9635">
      <c r="A9635" s="1" t="s">
        <v>9635</v>
      </c>
      <c r="B9635" s="2" t="str">
        <f>IFERROR(__xludf.DUMMYFUNCTION("GOOGLETRANSLATE(A9635, ""de"", ""en"")"),"light")</f>
        <v>light</v>
      </c>
    </row>
    <row r="9636">
      <c r="A9636" s="1" t="s">
        <v>9636</v>
      </c>
      <c r="B9636" s="2" t="str">
        <f>IFERROR(__xludf.DUMMYFUNCTION("GOOGLETRANSLATE(A9636, ""de"", ""en"")"),"phillips")</f>
        <v>phillips</v>
      </c>
    </row>
    <row r="9637">
      <c r="A9637" s="1" t="s">
        <v>9637</v>
      </c>
      <c r="B9637" s="2" t="str">
        <f>IFERROR(__xludf.DUMMYFUNCTION("GOOGLETRANSLATE(A9637, ""de"", ""en"")"),"pistols")</f>
        <v>pistols</v>
      </c>
    </row>
    <row r="9638">
      <c r="A9638" s="1" t="s">
        <v>9638</v>
      </c>
      <c r="B9638" s="2" t="str">
        <f>IFERROR(__xludf.DUMMYFUNCTION("GOOGLETRANSLATE(A9638, ""de"", ""en"")"),"spend")</f>
        <v>spend</v>
      </c>
    </row>
    <row r="9639">
      <c r="A9639" s="1" t="s">
        <v>9639</v>
      </c>
      <c r="B9639" s="2" t="str">
        <f>IFERROR(__xludf.DUMMYFUNCTION("GOOGLETRANSLATE(A9639, ""de"", ""en"")"),"scan")</f>
        <v>scan</v>
      </c>
    </row>
    <row r="9640">
      <c r="A9640" s="1" t="s">
        <v>9640</v>
      </c>
      <c r="B9640" s="2" t="str">
        <f>IFERROR(__xludf.DUMMYFUNCTION("GOOGLETRANSLATE(A9640, ""de"", ""en"")"),"richmond")</f>
        <v>richmond</v>
      </c>
    </row>
    <row r="9641">
      <c r="A9641" s="1" t="s">
        <v>9641</v>
      </c>
      <c r="B9641" s="2" t="str">
        <f>IFERROR(__xludf.DUMMYFUNCTION("GOOGLETRANSLATE(A9641, ""de"", ""en"")"),"clap")</f>
        <v>clap</v>
      </c>
    </row>
    <row r="9642">
      <c r="A9642" s="1" t="s">
        <v>9642</v>
      </c>
      <c r="B9642" s="2" t="str">
        <f>IFERROR(__xludf.DUMMYFUNCTION("GOOGLETRANSLATE(A9642, ""de"", ""en"")"),"cities")</f>
        <v>cities</v>
      </c>
    </row>
    <row r="9643">
      <c r="A9643" s="1" t="s">
        <v>9643</v>
      </c>
      <c r="B9643" s="2" t="str">
        <f>IFERROR(__xludf.DUMMYFUNCTION("GOOGLETRANSLATE(A9643, ""de"", ""en"")"),"earrings")</f>
        <v>earrings</v>
      </c>
    </row>
    <row r="9644">
      <c r="A9644" s="1" t="s">
        <v>9644</v>
      </c>
      <c r="B9644" s="2" t="str">
        <f>IFERROR(__xludf.DUMMYFUNCTION("GOOGLETRANSLATE(A9644, ""de"", ""en"")"),"presentation")</f>
        <v>presentation</v>
      </c>
    </row>
    <row r="9645">
      <c r="A9645" s="1" t="s">
        <v>9645</v>
      </c>
      <c r="B9645" s="2" t="str">
        <f>IFERROR(__xludf.DUMMYFUNCTION("GOOGLETRANSLATE(A9645, ""de"", ""en"")"),"gotham")</f>
        <v>gotham</v>
      </c>
    </row>
    <row r="9646">
      <c r="A9646" s="1" t="s">
        <v>9646</v>
      </c>
      <c r="B9646" s="2" t="str">
        <f>IFERROR(__xludf.DUMMYFUNCTION("GOOGLETRANSLATE(A9646, ""de"", ""en"")"),"cottage")</f>
        <v>cottage</v>
      </c>
    </row>
    <row r="9647">
      <c r="A9647" s="1" t="s">
        <v>9647</v>
      </c>
      <c r="B9647" s="2" t="str">
        <f>IFERROR(__xludf.DUMMYFUNCTION("GOOGLETRANSLATE(A9647, ""de"", ""en"")"),"mediation")</f>
        <v>mediation</v>
      </c>
    </row>
    <row r="9648">
      <c r="A9648" s="1" t="s">
        <v>9648</v>
      </c>
      <c r="B9648" s="2" t="str">
        <f>IFERROR(__xludf.DUMMYFUNCTION("GOOGLETRANSLATE(A9648, ""de"", ""en"")"),"toothbrush")</f>
        <v>toothbrush</v>
      </c>
    </row>
    <row r="9649">
      <c r="A9649" s="1" t="s">
        <v>9649</v>
      </c>
      <c r="B9649" s="2" t="str">
        <f>IFERROR(__xludf.DUMMYFUNCTION("GOOGLETRANSLATE(A9649, ""de"", ""en"")"),"fine")</f>
        <v>fine</v>
      </c>
    </row>
    <row r="9650">
      <c r="A9650" s="1" t="s">
        <v>9650</v>
      </c>
      <c r="B9650" s="2" t="str">
        <f>IFERROR(__xludf.DUMMYFUNCTION("GOOGLETRANSLATE(A9650, ""de"", ""en"")"),"lead")</f>
        <v>lead</v>
      </c>
    </row>
    <row r="9651">
      <c r="A9651" s="1" t="s">
        <v>9651</v>
      </c>
      <c r="B9651" s="2" t="str">
        <f>IFERROR(__xludf.DUMMYFUNCTION("GOOGLETRANSLATE(A9651, ""de"", ""en"")"),"treat")</f>
        <v>treat</v>
      </c>
    </row>
    <row r="9652">
      <c r="A9652" s="1" t="s">
        <v>9652</v>
      </c>
      <c r="B9652" s="2" t="str">
        <f>IFERROR(__xludf.DUMMYFUNCTION("GOOGLETRANSLATE(A9652, ""de"", ""en"")"),"hit")</f>
        <v>hit</v>
      </c>
    </row>
    <row r="9653">
      <c r="A9653" s="1" t="s">
        <v>9653</v>
      </c>
      <c r="B9653" s="2" t="str">
        <f>IFERROR(__xludf.DUMMYFUNCTION("GOOGLETRANSLATE(A9653, ""de"", ""en"")"),"sayings")</f>
        <v>sayings</v>
      </c>
    </row>
    <row r="9654">
      <c r="A9654" s="1" t="s">
        <v>9654</v>
      </c>
      <c r="B9654" s="2" t="str">
        <f>IFERROR(__xludf.DUMMYFUNCTION("GOOGLETRANSLATE(A9654, ""de"", ""en"")"),"reachable")</f>
        <v>reachable</v>
      </c>
    </row>
    <row r="9655">
      <c r="A9655" s="1" t="s">
        <v>9655</v>
      </c>
      <c r="B9655" s="2" t="str">
        <f>IFERROR(__xludf.DUMMYFUNCTION("GOOGLETRANSLATE(A9655, ""de"", ""en"")"),"shit")</f>
        <v>shit</v>
      </c>
    </row>
    <row r="9656">
      <c r="A9656" s="1" t="s">
        <v>9656</v>
      </c>
      <c r="B9656" s="2" t="str">
        <f>IFERROR(__xludf.DUMMYFUNCTION("GOOGLETRANSLATE(A9656, ""de"", ""en"")"),"guys")</f>
        <v>guys</v>
      </c>
    </row>
    <row r="9657">
      <c r="A9657" s="1" t="s">
        <v>9657</v>
      </c>
      <c r="B9657" s="2" t="str">
        <f>IFERROR(__xludf.DUMMYFUNCTION("GOOGLETRANSLATE(A9657, ""de"", ""en"")"),"reliable")</f>
        <v>reliable</v>
      </c>
    </row>
    <row r="9658">
      <c r="A9658" s="1" t="s">
        <v>9658</v>
      </c>
      <c r="B9658" s="2" t="str">
        <f>IFERROR(__xludf.DUMMYFUNCTION("GOOGLETRANSLATE(A9658, ""de"", ""en"")"),"sasha")</f>
        <v>sasha</v>
      </c>
    </row>
    <row r="9659">
      <c r="A9659" s="1" t="s">
        <v>9659</v>
      </c>
      <c r="B9659" s="2" t="str">
        <f>IFERROR(__xludf.DUMMYFUNCTION("GOOGLETRANSLATE(A9659, ""de"", ""en"")"),"impact")</f>
        <v>impact</v>
      </c>
    </row>
    <row r="9660">
      <c r="A9660" s="1" t="s">
        <v>9660</v>
      </c>
      <c r="B9660" s="2" t="str">
        <f>IFERROR(__xludf.DUMMYFUNCTION("GOOGLETRANSLATE(A9660, ""de"", ""en"")"),"stewart")</f>
        <v>stewart</v>
      </c>
    </row>
    <row r="9661">
      <c r="A9661" s="1" t="s">
        <v>9661</v>
      </c>
      <c r="B9661" s="2" t="str">
        <f>IFERROR(__xludf.DUMMYFUNCTION("GOOGLETRANSLATE(A9661, ""de"", ""en"")"),"weddings")</f>
        <v>weddings</v>
      </c>
    </row>
    <row r="9662">
      <c r="A9662" s="1" t="s">
        <v>9662</v>
      </c>
      <c r="B9662" s="2" t="str">
        <f>IFERROR(__xludf.DUMMYFUNCTION("GOOGLETRANSLATE(A9662, ""de"", ""en"")"),"to each other")</f>
        <v>to each other</v>
      </c>
    </row>
    <row r="9663">
      <c r="A9663" s="1" t="s">
        <v>9663</v>
      </c>
      <c r="B9663" s="2" t="str">
        <f>IFERROR(__xludf.DUMMYFUNCTION("GOOGLETRANSLATE(A9663, ""de"", ""en"")"),"accusation")</f>
        <v>accusation</v>
      </c>
    </row>
    <row r="9664">
      <c r="A9664" s="1" t="s">
        <v>9664</v>
      </c>
      <c r="B9664" s="2" t="str">
        <f>IFERROR(__xludf.DUMMYFUNCTION("GOOGLETRANSLATE(A9664, ""de"", ""en"")"),"belonged")</f>
        <v>belonged</v>
      </c>
    </row>
    <row r="9665">
      <c r="A9665" s="1" t="s">
        <v>9665</v>
      </c>
      <c r="B9665" s="2" t="str">
        <f>IFERROR(__xludf.DUMMYFUNCTION("GOOGLETRANSLATE(A9665, ""de"", ""en"")"),"freak out")</f>
        <v>freak out</v>
      </c>
    </row>
    <row r="9666">
      <c r="A9666" s="1" t="s">
        <v>9666</v>
      </c>
      <c r="B9666" s="2" t="str">
        <f>IFERROR(__xludf.DUMMYFUNCTION("GOOGLETRANSLATE(A9666, ""de"", ""en"")"),"returned")</f>
        <v>returned</v>
      </c>
    </row>
    <row r="9667">
      <c r="A9667" s="1" t="s">
        <v>9667</v>
      </c>
      <c r="B9667" s="2" t="str">
        <f>IFERROR(__xludf.DUMMYFUNCTION("GOOGLETRANSLATE(A9667, ""de"", ""en"")"),"Sunday")</f>
        <v>Sunday</v>
      </c>
    </row>
    <row r="9668">
      <c r="A9668" s="1" t="s">
        <v>9668</v>
      </c>
      <c r="B9668" s="2" t="str">
        <f>IFERROR(__xludf.DUMMYFUNCTION("GOOGLETRANSLATE(A9668, ""de"", ""en"")"),"cyrus")</f>
        <v>cyrus</v>
      </c>
    </row>
    <row r="9669">
      <c r="A9669" s="1" t="s">
        <v>9669</v>
      </c>
      <c r="B9669" s="2" t="str">
        <f>IFERROR(__xludf.DUMMYFUNCTION("GOOGLETRANSLATE(A9669, ""de"", ""en"")"),"guard")</f>
        <v>guard</v>
      </c>
    </row>
    <row r="9670">
      <c r="A9670" s="1" t="s">
        <v>9670</v>
      </c>
      <c r="B9670" s="2" t="str">
        <f>IFERROR(__xludf.DUMMYFUNCTION("GOOGLETRANSLATE(A9670, ""de"", ""en"")"),"probe")</f>
        <v>probe</v>
      </c>
    </row>
    <row r="9671">
      <c r="A9671" s="1" t="s">
        <v>9671</v>
      </c>
      <c r="B9671" s="2" t="str">
        <f>IFERROR(__xludf.DUMMYFUNCTION("GOOGLETRANSLATE(A9671, ""de"", ""en"")"),"bleeding")</f>
        <v>bleeding</v>
      </c>
    </row>
    <row r="9672">
      <c r="A9672" s="1" t="s">
        <v>9672</v>
      </c>
      <c r="B9672" s="2" t="str">
        <f>IFERROR(__xludf.DUMMYFUNCTION("GOOGLETRANSLATE(A9672, ""de"", ""en"")"),"roosevelt")</f>
        <v>roosevelt</v>
      </c>
    </row>
    <row r="9673">
      <c r="A9673" s="1" t="s">
        <v>9673</v>
      </c>
      <c r="B9673" s="2" t="str">
        <f>IFERROR(__xludf.DUMMYFUNCTION("GOOGLETRANSLATE(A9673, ""de"", ""en"")"),"refugees")</f>
        <v>refugees</v>
      </c>
    </row>
    <row r="9674">
      <c r="A9674" s="1" t="s">
        <v>9674</v>
      </c>
      <c r="B9674" s="2" t="str">
        <f>IFERROR(__xludf.DUMMYFUNCTION("GOOGLETRANSLATE(A9674, ""de"", ""en"")"),"underpants")</f>
        <v>underpants</v>
      </c>
    </row>
    <row r="9675">
      <c r="A9675" s="1" t="s">
        <v>9675</v>
      </c>
      <c r="B9675" s="2" t="str">
        <f>IFERROR(__xludf.DUMMYFUNCTION("GOOGLETRANSLATE(A9675, ""de"", ""en"")"),"Scotland")</f>
        <v>Scotland</v>
      </c>
    </row>
    <row r="9676">
      <c r="A9676" s="1" t="s">
        <v>9676</v>
      </c>
      <c r="B9676" s="2" t="str">
        <f>IFERROR(__xludf.DUMMYFUNCTION("GOOGLETRANSLATE(A9676, ""de"", ""en"")"),"instrumental music")</f>
        <v>instrumental music</v>
      </c>
    </row>
    <row r="9677">
      <c r="A9677" s="1" t="s">
        <v>9677</v>
      </c>
      <c r="B9677" s="2" t="str">
        <f>IFERROR(__xludf.DUMMYFUNCTION("GOOGLETRANSLATE(A9677, ""de"", ""en"")"),"Becca")</f>
        <v>Becca</v>
      </c>
    </row>
    <row r="9678">
      <c r="A9678" s="1" t="s">
        <v>9678</v>
      </c>
      <c r="B9678" s="2" t="str">
        <f>IFERROR(__xludf.DUMMYFUNCTION("GOOGLETRANSLATE(A9678, ""de"", ""en"")"),"heroine")</f>
        <v>heroine</v>
      </c>
    </row>
    <row r="9679">
      <c r="A9679" s="1" t="s">
        <v>9679</v>
      </c>
      <c r="B9679" s="2" t="str">
        <f>IFERROR(__xludf.DUMMYFUNCTION("GOOGLETRANSLATE(A9679, ""de"", ""en"")"),"tasted")</f>
        <v>tasted</v>
      </c>
    </row>
    <row r="9680">
      <c r="A9680" s="1" t="s">
        <v>9680</v>
      </c>
      <c r="B9680" s="2" t="str">
        <f>IFERROR(__xludf.DUMMYFUNCTION("GOOGLETRANSLATE(A9680, ""de"", ""en"")"),"rod")</f>
        <v>rod</v>
      </c>
    </row>
    <row r="9681">
      <c r="A9681" s="1" t="s">
        <v>9681</v>
      </c>
      <c r="B9681" s="2" t="str">
        <f>IFERROR(__xludf.DUMMYFUNCTION("GOOGLETRANSLATE(A9681, ""de"", ""en"")"),"support")</f>
        <v>support</v>
      </c>
    </row>
    <row r="9682">
      <c r="A9682" s="1" t="s">
        <v>9682</v>
      </c>
      <c r="B9682" s="2" t="str">
        <f>IFERROR(__xludf.DUMMYFUNCTION("GOOGLETRANSLATE(A9682, ""de"", ""en"")"),"sob")</f>
        <v>sob</v>
      </c>
    </row>
    <row r="9683">
      <c r="A9683" s="1" t="s">
        <v>9683</v>
      </c>
      <c r="B9683" s="2" t="str">
        <f>IFERROR(__xludf.DUMMYFUNCTION("GOOGLETRANSLATE(A9683, ""de"", ""en"")"),"sacks")</f>
        <v>sacks</v>
      </c>
    </row>
    <row r="9684">
      <c r="A9684" s="1" t="s">
        <v>9684</v>
      </c>
      <c r="B9684" s="2" t="str">
        <f>IFERROR(__xludf.DUMMYFUNCTION("GOOGLETRANSLATE(A9684, ""de"", ""en"")"),"psychopath")</f>
        <v>psychopath</v>
      </c>
    </row>
    <row r="9685">
      <c r="A9685" s="1" t="s">
        <v>9685</v>
      </c>
      <c r="B9685" s="2" t="str">
        <f>IFERROR(__xludf.DUMMYFUNCTION("GOOGLETRANSLATE(A9685, ""de"", ""en"")"),"Madonna")</f>
        <v>Madonna</v>
      </c>
    </row>
    <row r="9686">
      <c r="A9686" s="1" t="s">
        <v>9686</v>
      </c>
      <c r="B9686" s="2" t="str">
        <f>IFERROR(__xludf.DUMMYFUNCTION("GOOGLETRANSLATE(A9686, ""de"", ""en"")"),"testify")</f>
        <v>testify</v>
      </c>
    </row>
    <row r="9687">
      <c r="A9687" s="1" t="s">
        <v>9687</v>
      </c>
      <c r="B9687" s="2" t="str">
        <f>IFERROR(__xludf.DUMMYFUNCTION("GOOGLETRANSLATE(A9687, ""de"", ""en"")"),"massage")</f>
        <v>massage</v>
      </c>
    </row>
    <row r="9688">
      <c r="A9688" s="1" t="s">
        <v>9688</v>
      </c>
      <c r="B9688" s="2" t="str">
        <f>IFERROR(__xludf.DUMMYFUNCTION("GOOGLETRANSLATE(A9688, ""de"", ""en"")"),"thrown out")</f>
        <v>thrown out</v>
      </c>
    </row>
    <row r="9689">
      <c r="A9689" s="1" t="s">
        <v>9689</v>
      </c>
      <c r="B9689" s="2" t="str">
        <f>IFERROR(__xludf.DUMMYFUNCTION("GOOGLETRANSLATE(A9689, ""de"", ""en"")"),"pudding")</f>
        <v>pudding</v>
      </c>
    </row>
    <row r="9690">
      <c r="A9690" s="1" t="s">
        <v>9690</v>
      </c>
      <c r="B9690" s="2" t="str">
        <f>IFERROR(__xludf.DUMMYFUNCTION("GOOGLETRANSLATE(A9690, ""de"", ""en"")"),"to invite")</f>
        <v>to invite</v>
      </c>
    </row>
    <row r="9691">
      <c r="A9691" s="1" t="s">
        <v>9691</v>
      </c>
      <c r="B9691" s="2" t="str">
        <f>IFERROR(__xludf.DUMMYFUNCTION("GOOGLETRANSLATE(A9691, ""de"", ""en"")"),"reported")</f>
        <v>reported</v>
      </c>
    </row>
    <row r="9692">
      <c r="A9692" s="1" t="s">
        <v>9692</v>
      </c>
      <c r="B9692" s="2" t="str">
        <f>IFERROR(__xludf.DUMMYFUNCTION("GOOGLETRANSLATE(A9692, ""de"", ""en"")"),"corners")</f>
        <v>corners</v>
      </c>
    </row>
    <row r="9693">
      <c r="A9693" s="1" t="s">
        <v>9693</v>
      </c>
      <c r="B9693" s="2" t="str">
        <f>IFERROR(__xludf.DUMMYFUNCTION("GOOGLETRANSLATE(A9693, ""de"", ""en"")"),"threaten")</f>
        <v>threaten</v>
      </c>
    </row>
    <row r="9694">
      <c r="A9694" s="1" t="s">
        <v>9694</v>
      </c>
      <c r="B9694" s="2" t="str">
        <f>IFERROR(__xludf.DUMMYFUNCTION("GOOGLETRANSLATE(A9694, ""de"", ""en"")"),"lulu")</f>
        <v>lulu</v>
      </c>
    </row>
    <row r="9695">
      <c r="A9695" s="1" t="s">
        <v>9695</v>
      </c>
      <c r="B9695" s="2" t="str">
        <f>IFERROR(__xludf.DUMMYFUNCTION("GOOGLETRANSLATE(A9695, ""de"", ""en"")"),"light years")</f>
        <v>light years</v>
      </c>
    </row>
    <row r="9696">
      <c r="A9696" s="1" t="s">
        <v>9696</v>
      </c>
      <c r="B9696" s="2" t="str">
        <f>IFERROR(__xludf.DUMMYFUNCTION("GOOGLETRANSLATE(A9696, ""de"", ""en"")"),"line")</f>
        <v>line</v>
      </c>
    </row>
    <row r="9697">
      <c r="A9697" s="1" t="s">
        <v>9697</v>
      </c>
      <c r="B9697" s="2" t="str">
        <f>IFERROR(__xludf.DUMMYFUNCTION("GOOGLETRANSLATE(A9697, ""de"", ""en"")"),"keep quiet")</f>
        <v>keep quiet</v>
      </c>
    </row>
    <row r="9698">
      <c r="A9698" s="1" t="s">
        <v>9698</v>
      </c>
      <c r="B9698" s="2" t="str">
        <f>IFERROR(__xludf.DUMMYFUNCTION("GOOGLETRANSLATE(A9698, ""de"", ""en"")"),"pointless")</f>
        <v>pointless</v>
      </c>
    </row>
    <row r="9699">
      <c r="A9699" s="1" t="s">
        <v>9699</v>
      </c>
      <c r="B9699" s="2" t="str">
        <f>IFERROR(__xludf.DUMMYFUNCTION("GOOGLETRANSLATE(A9699, ""de"", ""en"")"),"participant")</f>
        <v>participant</v>
      </c>
    </row>
    <row r="9700">
      <c r="A9700" s="1" t="s">
        <v>9700</v>
      </c>
      <c r="B9700" s="2" t="str">
        <f>IFERROR(__xludf.DUMMYFUNCTION("GOOGLETRANSLATE(A9700, ""de"", ""en"")"),"charley")</f>
        <v>charley</v>
      </c>
    </row>
    <row r="9701">
      <c r="A9701" s="1" t="s">
        <v>9701</v>
      </c>
      <c r="B9701" s="2" t="str">
        <f>IFERROR(__xludf.DUMMYFUNCTION("GOOGLETRANSLATE(A9701, ""de"", ""en"")"),"boredom")</f>
        <v>boredom</v>
      </c>
    </row>
    <row r="9702">
      <c r="A9702" s="1" t="s">
        <v>9702</v>
      </c>
      <c r="B9702" s="2" t="str">
        <f>IFERROR(__xludf.DUMMYFUNCTION("GOOGLETRANSLATE(A9702, ""de"", ""en"")"),"official")</f>
        <v>official</v>
      </c>
    </row>
    <row r="9703">
      <c r="A9703" s="1" t="s">
        <v>9703</v>
      </c>
      <c r="B9703" s="2" t="str">
        <f>IFERROR(__xludf.DUMMYFUNCTION("GOOGLETRANSLATE(A9703, ""de"", ""en"")"),"rudi")</f>
        <v>rudi</v>
      </c>
    </row>
    <row r="9704">
      <c r="A9704" s="1" t="s">
        <v>9704</v>
      </c>
      <c r="B9704" s="2" t="str">
        <f>IFERROR(__xludf.DUMMYFUNCTION("GOOGLETRANSLATE(A9704, ""de"", ""en"")"),"forgive")</f>
        <v>forgive</v>
      </c>
    </row>
    <row r="9705">
      <c r="A9705" s="1" t="s">
        <v>9705</v>
      </c>
      <c r="B9705" s="2" t="str">
        <f>IFERROR(__xludf.DUMMYFUNCTION("GOOGLETRANSLATE(A9705, ""de"", ""en"")"),"ugly")</f>
        <v>ugly</v>
      </c>
    </row>
    <row r="9706">
      <c r="A9706" s="1" t="s">
        <v>9706</v>
      </c>
      <c r="B9706" s="2" t="str">
        <f>IFERROR(__xludf.DUMMYFUNCTION("GOOGLETRANSLATE(A9706, ""de"", ""en"")"),"dedicated")</f>
        <v>dedicated</v>
      </c>
    </row>
    <row r="9707">
      <c r="A9707" s="1" t="s">
        <v>9707</v>
      </c>
      <c r="B9707" s="2" t="str">
        <f>IFERROR(__xludf.DUMMYFUNCTION("GOOGLETRANSLATE(A9707, ""de"", ""en"")"),"tobacco")</f>
        <v>tobacco</v>
      </c>
    </row>
    <row r="9708">
      <c r="A9708" s="1" t="s">
        <v>9708</v>
      </c>
      <c r="B9708" s="2" t="str">
        <f>IFERROR(__xludf.DUMMYFUNCTION("GOOGLETRANSLATE(A9708, ""de"", ""en"")"),"appointed")</f>
        <v>appointed</v>
      </c>
    </row>
    <row r="9709">
      <c r="A9709" s="1" t="s">
        <v>9709</v>
      </c>
      <c r="B9709" s="2" t="str">
        <f>IFERROR(__xludf.DUMMYFUNCTION("GOOGLETRANSLATE(A9709, ""de"", ""en"")"),"nastier")</f>
        <v>nastier</v>
      </c>
    </row>
    <row r="9710">
      <c r="A9710" s="1" t="s">
        <v>9710</v>
      </c>
      <c r="B9710" s="2" t="str">
        <f>IFERROR(__xludf.DUMMYFUNCTION("GOOGLETRANSLATE(A9710, ""de"", ""en"")"),"sandwiches")</f>
        <v>sandwiches</v>
      </c>
    </row>
    <row r="9711">
      <c r="A9711" s="1" t="s">
        <v>9711</v>
      </c>
      <c r="B9711" s="2" t="str">
        <f>IFERROR(__xludf.DUMMYFUNCTION("GOOGLETRANSLATE(A9711, ""de"", ""en"")"),"adopt")</f>
        <v>adopt</v>
      </c>
    </row>
    <row r="9712">
      <c r="A9712" s="1" t="s">
        <v>9712</v>
      </c>
      <c r="B9712" s="2" t="str">
        <f>IFERROR(__xludf.DUMMYFUNCTION("GOOGLETRANSLATE(A9712, ""de"", ""en"")"),"ghosts")</f>
        <v>ghosts</v>
      </c>
    </row>
    <row r="9713">
      <c r="A9713" s="1" t="s">
        <v>9713</v>
      </c>
      <c r="B9713" s="2" t="str">
        <f>IFERROR(__xludf.DUMMYFUNCTION("GOOGLETRANSLATE(A9713, ""de"", ""en"")"),"sheriffs")</f>
        <v>sheriffs</v>
      </c>
    </row>
    <row r="9714">
      <c r="A9714" s="1" t="s">
        <v>9714</v>
      </c>
      <c r="B9714" s="2" t="str">
        <f>IFERROR(__xludf.DUMMYFUNCTION("GOOGLETRANSLATE(A9714, ""de"", ""en"")"),"superior")</f>
        <v>superior</v>
      </c>
    </row>
    <row r="9715">
      <c r="A9715" s="1" t="s">
        <v>9715</v>
      </c>
      <c r="B9715" s="2" t="str">
        <f>IFERROR(__xludf.DUMMYFUNCTION("GOOGLETRANSLATE(A9715, ""de"", ""en"")"),"codex")</f>
        <v>codex</v>
      </c>
    </row>
    <row r="9716">
      <c r="A9716" s="1" t="s">
        <v>9716</v>
      </c>
      <c r="B9716" s="2" t="str">
        <f>IFERROR(__xludf.DUMMYFUNCTION("GOOGLETRANSLATE(A9716, ""de"", ""en"")"),"South America")</f>
        <v>South America</v>
      </c>
    </row>
    <row r="9717">
      <c r="A9717" s="1" t="s">
        <v>9717</v>
      </c>
      <c r="B9717" s="2" t="str">
        <f>IFERROR(__xludf.DUMMYFUNCTION("GOOGLETRANSLATE(A9717, ""de"", ""en"")"),"cost")</f>
        <v>cost</v>
      </c>
    </row>
    <row r="9718">
      <c r="A9718" s="1" t="s">
        <v>9718</v>
      </c>
      <c r="B9718" s="2" t="str">
        <f>IFERROR(__xludf.DUMMYFUNCTION("GOOGLETRANSLATE(A9718, ""de"", ""en"")"),"seduced")</f>
        <v>seduced</v>
      </c>
    </row>
    <row r="9719">
      <c r="A9719" s="1" t="s">
        <v>9719</v>
      </c>
      <c r="B9719" s="2" t="str">
        <f>IFERROR(__xludf.DUMMYFUNCTION("GOOGLETRANSLATE(A9719, ""de"", ""en"")"),"protect")</f>
        <v>protect</v>
      </c>
    </row>
    <row r="9720">
      <c r="A9720" s="1" t="s">
        <v>9720</v>
      </c>
      <c r="B9720" s="2" t="str">
        <f>IFERROR(__xludf.DUMMYFUNCTION("GOOGLETRANSLATE(A9720, ""de"", ""en"")"),"Pauline")</f>
        <v>Pauline</v>
      </c>
    </row>
    <row r="9721">
      <c r="A9721" s="1" t="s">
        <v>9721</v>
      </c>
      <c r="B9721" s="2" t="str">
        <f>IFERROR(__xludf.DUMMYFUNCTION("GOOGLETRANSLATE(A9721, ""de"", ""en"")"),"powerless")</f>
        <v>powerless</v>
      </c>
    </row>
    <row r="9722">
      <c r="A9722" s="1" t="s">
        <v>9722</v>
      </c>
      <c r="B9722" s="2" t="str">
        <f>IFERROR(__xludf.DUMMYFUNCTION("GOOGLETRANSLATE(A9722, ""de"", ""en"")"),"see")</f>
        <v>see</v>
      </c>
    </row>
    <row r="9723">
      <c r="A9723" s="1" t="s">
        <v>9723</v>
      </c>
      <c r="B9723" s="2" t="str">
        <f>IFERROR(__xludf.DUMMYFUNCTION("GOOGLETRANSLATE(A9723, ""de"", ""en"")"),"myth")</f>
        <v>myth</v>
      </c>
    </row>
    <row r="9724">
      <c r="A9724" s="1" t="s">
        <v>9724</v>
      </c>
      <c r="B9724" s="2" t="str">
        <f>IFERROR(__xludf.DUMMYFUNCTION("GOOGLETRANSLATE(A9724, ""de"", ""en"")"),"responsible")</f>
        <v>responsible</v>
      </c>
    </row>
    <row r="9725">
      <c r="A9725" s="1" t="s">
        <v>9725</v>
      </c>
      <c r="B9725" s="2" t="str">
        <f>IFERROR(__xludf.DUMMYFUNCTION("GOOGLETRANSLATE(A9725, ""de"", ""en"")"),"exclusively")</f>
        <v>exclusively</v>
      </c>
    </row>
    <row r="9726">
      <c r="A9726" s="1" t="s">
        <v>9726</v>
      </c>
      <c r="B9726" s="2" t="str">
        <f>IFERROR(__xludf.DUMMYFUNCTION("GOOGLETRANSLATE(A9726, ""de"", ""en"")"),"ahh")</f>
        <v>ahh</v>
      </c>
    </row>
    <row r="9727">
      <c r="A9727" s="1" t="s">
        <v>9727</v>
      </c>
      <c r="B9727" s="2" t="str">
        <f>IFERROR(__xludf.DUMMYFUNCTION("GOOGLETRANSLATE(A9727, ""de"", ""en"")"),"Pamela")</f>
        <v>Pamela</v>
      </c>
    </row>
    <row r="9728">
      <c r="A9728" s="1" t="s">
        <v>9728</v>
      </c>
      <c r="B9728" s="2" t="str">
        <f>IFERROR(__xludf.DUMMYFUNCTION("GOOGLETRANSLATE(A9728, ""de"", ""en"")"),"shops")</f>
        <v>shops</v>
      </c>
    </row>
    <row r="9729">
      <c r="A9729" s="1" t="s">
        <v>9729</v>
      </c>
      <c r="B9729" s="2" t="str">
        <f>IFERROR(__xludf.DUMMYFUNCTION("GOOGLETRANSLATE(A9729, ""de"", ""en"")"),"get back")</f>
        <v>get back</v>
      </c>
    </row>
    <row r="9730">
      <c r="A9730" s="1" t="s">
        <v>9730</v>
      </c>
      <c r="B9730" s="2" t="str">
        <f>IFERROR(__xludf.DUMMYFUNCTION("GOOGLETRANSLATE(A9730, ""de"", ""en"")"),"you call")</f>
        <v>you call</v>
      </c>
    </row>
    <row r="9731">
      <c r="A9731" s="1" t="s">
        <v>9731</v>
      </c>
      <c r="B9731" s="2" t="str">
        <f>IFERROR(__xludf.DUMMYFUNCTION("GOOGLETRANSLATE(A9731, ""de"", ""en"")"),"marijuana")</f>
        <v>marijuana</v>
      </c>
    </row>
    <row r="9732">
      <c r="A9732" s="1" t="s">
        <v>9732</v>
      </c>
      <c r="B9732" s="2" t="str">
        <f>IFERROR(__xludf.DUMMYFUNCTION("GOOGLETRANSLATE(A9732, ""de"", ""en"")"),"keep up")</f>
        <v>keep up</v>
      </c>
    </row>
    <row r="9733">
      <c r="A9733" s="1" t="s">
        <v>9733</v>
      </c>
      <c r="B9733" s="2" t="str">
        <f>IFERROR(__xludf.DUMMYFUNCTION("GOOGLETRANSLATE(A9733, ""de"", ""en"")"),"signs of life")</f>
        <v>signs of life</v>
      </c>
    </row>
    <row r="9734">
      <c r="A9734" s="1" t="s">
        <v>9734</v>
      </c>
      <c r="B9734" s="2" t="str">
        <f>IFERROR(__xludf.DUMMYFUNCTION("GOOGLETRANSLATE(A9734, ""de"", ""en"")"),"woody")</f>
        <v>woody</v>
      </c>
    </row>
    <row r="9735">
      <c r="A9735" s="1" t="s">
        <v>9735</v>
      </c>
      <c r="B9735" s="2" t="str">
        <f>IFERROR(__xludf.DUMMYFUNCTION("GOOGLETRANSLATE(A9735, ""de"", ""en"")"),"turn on")</f>
        <v>turn on</v>
      </c>
    </row>
    <row r="9736">
      <c r="A9736" s="1" t="s">
        <v>9736</v>
      </c>
      <c r="B9736" s="2" t="str">
        <f>IFERROR(__xludf.DUMMYFUNCTION("GOOGLETRANSLATE(A9736, ""de"", ""en"")"),"slavery")</f>
        <v>slavery</v>
      </c>
    </row>
    <row r="9737">
      <c r="A9737" s="1" t="s">
        <v>9737</v>
      </c>
      <c r="B9737" s="2" t="str">
        <f>IFERROR(__xludf.DUMMYFUNCTION("GOOGLETRANSLATE(A9737, ""de"", ""en"")"),"pet")</f>
        <v>pet</v>
      </c>
    </row>
    <row r="9738">
      <c r="A9738" s="1" t="s">
        <v>9738</v>
      </c>
      <c r="B9738" s="2" t="str">
        <f>IFERROR(__xludf.DUMMYFUNCTION("GOOGLETRANSLATE(A9738, ""de"", ""en"")"),"islands")</f>
        <v>islands</v>
      </c>
    </row>
    <row r="9739">
      <c r="A9739" s="1" t="s">
        <v>9739</v>
      </c>
      <c r="B9739" s="2" t="str">
        <f>IFERROR(__xludf.DUMMYFUNCTION("GOOGLETRANSLATE(A9739, ""de"", ""en"")"),"ohh")</f>
        <v>ohh</v>
      </c>
    </row>
    <row r="9740">
      <c r="A9740" s="1" t="s">
        <v>9740</v>
      </c>
      <c r="B9740" s="2" t="str">
        <f>IFERROR(__xludf.DUMMYFUNCTION("GOOGLETRANSLATE(A9740, ""de"", ""en"")"),"base")</f>
        <v>base</v>
      </c>
    </row>
    <row r="9741">
      <c r="A9741" s="1" t="s">
        <v>9741</v>
      </c>
      <c r="B9741" s="2" t="str">
        <f>IFERROR(__xludf.DUMMYFUNCTION("GOOGLETRANSLATE(A9741, ""de"", ""en"")"),"separates")</f>
        <v>separates</v>
      </c>
    </row>
    <row r="9742">
      <c r="A9742" s="1" t="s">
        <v>9742</v>
      </c>
      <c r="B9742" s="2" t="str">
        <f>IFERROR(__xludf.DUMMYFUNCTION("GOOGLETRANSLATE(A9742, ""de"", ""en"")"),"facial expression")</f>
        <v>facial expression</v>
      </c>
    </row>
    <row r="9743">
      <c r="A9743" s="1" t="s">
        <v>9743</v>
      </c>
      <c r="B9743" s="2" t="str">
        <f>IFERROR(__xludf.DUMMYFUNCTION("GOOGLETRANSLATE(A9743, ""de"", ""en"")"),"andré")</f>
        <v>andré</v>
      </c>
    </row>
    <row r="9744">
      <c r="A9744" s="1" t="s">
        <v>9744</v>
      </c>
      <c r="B9744" s="2" t="str">
        <f>IFERROR(__xludf.DUMMYFUNCTION("GOOGLETRANSLATE(A9744, ""de"", ""en"")"),"sunk")</f>
        <v>sunk</v>
      </c>
    </row>
    <row r="9745">
      <c r="A9745" s="1" t="s">
        <v>9745</v>
      </c>
      <c r="B9745" s="2" t="str">
        <f>IFERROR(__xludf.DUMMYFUNCTION("GOOGLETRANSLATE(A9745, ""de"", ""en"")"),"remote control")</f>
        <v>remote control</v>
      </c>
    </row>
    <row r="9746">
      <c r="A9746" s="1" t="s">
        <v>9746</v>
      </c>
      <c r="B9746" s="2" t="str">
        <f>IFERROR(__xludf.DUMMYFUNCTION("GOOGLETRANSLATE(A9746, ""de"", ""en"")"),"reinforced")</f>
        <v>reinforced</v>
      </c>
    </row>
    <row r="9747">
      <c r="A9747" s="1" t="s">
        <v>9747</v>
      </c>
      <c r="B9747" s="2" t="str">
        <f>IFERROR(__xludf.DUMMYFUNCTION("GOOGLETRANSLATE(A9747, ""de"", ""en"")"),"fa")</f>
        <v>fa</v>
      </c>
    </row>
    <row r="9748">
      <c r="A9748" s="1" t="s">
        <v>9748</v>
      </c>
      <c r="B9748" s="2" t="str">
        <f>IFERROR(__xludf.DUMMYFUNCTION("GOOGLETRANSLATE(A9748, ""de"", ""en"")"),"Mark")</f>
        <v>Mark</v>
      </c>
    </row>
    <row r="9749">
      <c r="A9749" s="1" t="s">
        <v>9749</v>
      </c>
      <c r="B9749" s="2" t="str">
        <f>IFERROR(__xludf.DUMMYFUNCTION("GOOGLETRANSLATE(A9749, ""de"", ""en"")"),"element")</f>
        <v>element</v>
      </c>
    </row>
    <row r="9750">
      <c r="A9750" s="1" t="s">
        <v>9750</v>
      </c>
      <c r="B9750" s="2" t="str">
        <f>IFERROR(__xludf.DUMMYFUNCTION("GOOGLETRANSLATE(A9750, ""de"", ""en"")"),"sterling")</f>
        <v>sterling</v>
      </c>
    </row>
    <row r="9751">
      <c r="A9751" s="1" t="s">
        <v>9751</v>
      </c>
      <c r="B9751" s="2" t="str">
        <f>IFERROR(__xludf.DUMMYFUNCTION("GOOGLETRANSLATE(A9751, ""de"", ""en"")"),"Olga")</f>
        <v>Olga</v>
      </c>
    </row>
    <row r="9752">
      <c r="A9752" s="1" t="s">
        <v>9752</v>
      </c>
      <c r="B9752" s="2" t="str">
        <f>IFERROR(__xludf.DUMMYFUNCTION("GOOGLETRANSLATE(A9752, ""de"", ""en"")"),"embarrassment")</f>
        <v>embarrassment</v>
      </c>
    </row>
    <row r="9753">
      <c r="A9753" s="1" t="s">
        <v>9753</v>
      </c>
      <c r="B9753" s="2" t="str">
        <f>IFERROR(__xludf.DUMMYFUNCTION("GOOGLETRANSLATE(A9753, ""de"", ""en"")"),"metro")</f>
        <v>metro</v>
      </c>
    </row>
    <row r="9754">
      <c r="A9754" s="1" t="s">
        <v>9754</v>
      </c>
      <c r="B9754" s="2" t="str">
        <f>IFERROR(__xludf.DUMMYFUNCTION("GOOGLETRANSLATE(A9754, ""de"", ""en"")"),"brotherhood")</f>
        <v>brotherhood</v>
      </c>
    </row>
    <row r="9755">
      <c r="A9755" s="1" t="s">
        <v>9755</v>
      </c>
      <c r="B9755" s="2" t="str">
        <f>IFERROR(__xludf.DUMMYFUNCTION("GOOGLETRANSLATE(A9755, ""de"", ""en"")"),"try")</f>
        <v>try</v>
      </c>
    </row>
    <row r="9756">
      <c r="A9756" s="1" t="s">
        <v>9756</v>
      </c>
      <c r="B9756" s="2" t="str">
        <f>IFERROR(__xludf.DUMMYFUNCTION("GOOGLETRANSLATE(A9756, ""de"", ""en"")"),"again")</f>
        <v>again</v>
      </c>
    </row>
    <row r="9757">
      <c r="A9757" s="1" t="s">
        <v>9757</v>
      </c>
      <c r="B9757" s="2" t="str">
        <f>IFERROR(__xludf.DUMMYFUNCTION("GOOGLETRANSLATE(A9757, ""de"", ""en"")"),"willingness")</f>
        <v>willingness</v>
      </c>
    </row>
    <row r="9758">
      <c r="A9758" s="1" t="s">
        <v>9758</v>
      </c>
      <c r="B9758" s="2" t="str">
        <f>IFERROR(__xludf.DUMMYFUNCTION("GOOGLETRANSLATE(A9758, ""de"", ""en"")"),"chet")</f>
        <v>chet</v>
      </c>
    </row>
    <row r="9759">
      <c r="A9759" s="1" t="s">
        <v>9759</v>
      </c>
      <c r="B9759" s="2" t="str">
        <f>IFERROR(__xludf.DUMMYFUNCTION("GOOGLETRANSLATE(A9759, ""de"", ""en"")"),"stock exchange")</f>
        <v>stock exchange</v>
      </c>
    </row>
    <row r="9760">
      <c r="A9760" s="1" t="s">
        <v>9760</v>
      </c>
      <c r="B9760" s="2" t="str">
        <f>IFERROR(__xludf.DUMMYFUNCTION("GOOGLETRANSLATE(A9760, ""de"", ""en"")"),"essay")</f>
        <v>essay</v>
      </c>
    </row>
    <row r="9761">
      <c r="A9761" s="1" t="s">
        <v>9761</v>
      </c>
      <c r="B9761" s="2" t="str">
        <f>IFERROR(__xludf.DUMMYFUNCTION("GOOGLETRANSLATE(A9761, ""de"", ""en"")"),"underground")</f>
        <v>underground</v>
      </c>
    </row>
    <row r="9762">
      <c r="A9762" s="1" t="s">
        <v>9762</v>
      </c>
      <c r="B9762" s="2" t="str">
        <f>IFERROR(__xludf.DUMMYFUNCTION("GOOGLETRANSLATE(A9762, ""de"", ""en"")"),"sealed")</f>
        <v>sealed</v>
      </c>
    </row>
    <row r="9763">
      <c r="A9763" s="1" t="s">
        <v>9763</v>
      </c>
      <c r="B9763" s="2" t="str">
        <f>IFERROR(__xludf.DUMMYFUNCTION("GOOGLETRANSLATE(A9763, ""de"", ""en"")"),"objects")</f>
        <v>objects</v>
      </c>
    </row>
    <row r="9764">
      <c r="A9764" s="1" t="s">
        <v>9764</v>
      </c>
      <c r="B9764" s="2" t="str">
        <f>IFERROR(__xludf.DUMMYFUNCTION("GOOGLETRANSLATE(A9764, ""de"", ""en"")"),"formed")</f>
        <v>formed</v>
      </c>
    </row>
    <row r="9765">
      <c r="A9765" s="1" t="s">
        <v>9765</v>
      </c>
      <c r="B9765" s="2" t="str">
        <f>IFERROR(__xludf.DUMMYFUNCTION("GOOGLETRANSLATE(A9765, ""de"", ""en"")"),"racing")</f>
        <v>racing</v>
      </c>
    </row>
    <row r="9766">
      <c r="A9766" s="1" t="s">
        <v>9766</v>
      </c>
      <c r="B9766" s="2" t="str">
        <f>IFERROR(__xludf.DUMMYFUNCTION("GOOGLETRANSLATE(A9766, ""de"", ""en"")"),"regiment")</f>
        <v>regiment</v>
      </c>
    </row>
    <row r="9767">
      <c r="A9767" s="1" t="s">
        <v>9767</v>
      </c>
      <c r="B9767" s="2" t="str">
        <f>IFERROR(__xludf.DUMMYFUNCTION("GOOGLETRANSLATE(A9767, ""de"", ""en"")"),"for free")</f>
        <v>for free</v>
      </c>
    </row>
    <row r="9768">
      <c r="A9768" s="1" t="s">
        <v>9768</v>
      </c>
      <c r="B9768" s="2" t="str">
        <f>IFERROR(__xludf.DUMMYFUNCTION("GOOGLETRANSLATE(A9768, ""de"", ""en"")"),"committee")</f>
        <v>committee</v>
      </c>
    </row>
    <row r="9769">
      <c r="A9769" s="1" t="s">
        <v>9769</v>
      </c>
      <c r="B9769" s="2" t="str">
        <f>IFERROR(__xludf.DUMMYFUNCTION("GOOGLETRANSLATE(A9769, ""de"", ""en"")"),"DVD")</f>
        <v>DVD</v>
      </c>
    </row>
    <row r="9770">
      <c r="A9770" s="1" t="s">
        <v>9770</v>
      </c>
      <c r="B9770" s="2" t="str">
        <f>IFERROR(__xludf.DUMMYFUNCTION("GOOGLETRANSLATE(A9770, ""de"", ""en"")"),"blown up")</f>
        <v>blown up</v>
      </c>
    </row>
    <row r="9771">
      <c r="A9771" s="1" t="s">
        <v>9771</v>
      </c>
      <c r="B9771" s="2" t="str">
        <f>IFERROR(__xludf.DUMMYFUNCTION("GOOGLETRANSLATE(A9771, ""de"", ""en"")"),"ID cards")</f>
        <v>ID cards</v>
      </c>
    </row>
    <row r="9772">
      <c r="A9772" s="1" t="s">
        <v>9772</v>
      </c>
      <c r="B9772" s="2" t="str">
        <f>IFERROR(__xludf.DUMMYFUNCTION("GOOGLETRANSLATE(A9772, ""de"", ""en"")"),"allan")</f>
        <v>allan</v>
      </c>
    </row>
    <row r="9773">
      <c r="A9773" s="1" t="s">
        <v>9773</v>
      </c>
      <c r="B9773" s="2" t="str">
        <f>IFERROR(__xludf.DUMMYFUNCTION("GOOGLETRANSLATE(A9773, ""de"", ""en"")"),"hostile")</f>
        <v>hostile</v>
      </c>
    </row>
    <row r="9774">
      <c r="A9774" s="1" t="s">
        <v>9774</v>
      </c>
      <c r="B9774" s="2" t="str">
        <f>IFERROR(__xludf.DUMMYFUNCTION("GOOGLETRANSLATE(A9774, ""de"", ""en"")"),"irina")</f>
        <v>irina</v>
      </c>
    </row>
    <row r="9775">
      <c r="A9775" s="1" t="s">
        <v>9775</v>
      </c>
      <c r="B9775" s="2" t="str">
        <f>IFERROR(__xludf.DUMMYFUNCTION("GOOGLETRANSLATE(A9775, ""de"", ""en"")"),"sergeant")</f>
        <v>sergeant</v>
      </c>
    </row>
    <row r="9776">
      <c r="A9776" s="1" t="s">
        <v>9776</v>
      </c>
      <c r="B9776" s="2" t="str">
        <f>IFERROR(__xludf.DUMMYFUNCTION("GOOGLETRANSLATE(A9776, ""de"", ""en"")"),"breaks")</f>
        <v>breaks</v>
      </c>
    </row>
    <row r="9777">
      <c r="A9777" s="1" t="s">
        <v>9777</v>
      </c>
      <c r="B9777" s="2" t="str">
        <f>IFERROR(__xludf.DUMMYFUNCTION("GOOGLETRANSLATE(A9777, ""de"", ""en"")"),"directs")</f>
        <v>directs</v>
      </c>
    </row>
    <row r="9778">
      <c r="A9778" s="1" t="s">
        <v>9778</v>
      </c>
      <c r="B9778" s="2" t="str">
        <f>IFERROR(__xludf.DUMMYFUNCTION("GOOGLETRANSLATE(A9778, ""de"", ""en"")"),"go crazy")</f>
        <v>go crazy</v>
      </c>
    </row>
    <row r="9779">
      <c r="A9779" s="1" t="s">
        <v>9779</v>
      </c>
      <c r="B9779" s="2" t="str">
        <f>IFERROR(__xludf.DUMMYFUNCTION("GOOGLETRANSLATE(A9779, ""de"", ""en"")"),"left out")</f>
        <v>left out</v>
      </c>
    </row>
    <row r="9780">
      <c r="A9780" s="1" t="s">
        <v>9780</v>
      </c>
      <c r="B9780" s="2" t="str">
        <f>IFERROR(__xludf.DUMMYFUNCTION("GOOGLETRANSLATE(A9780, ""de"", ""en"")"),"chandler")</f>
        <v>chandler</v>
      </c>
    </row>
    <row r="9781">
      <c r="A9781" s="1" t="s">
        <v>9781</v>
      </c>
      <c r="B9781" s="2" t="str">
        <f>IFERROR(__xludf.DUMMYFUNCTION("GOOGLETRANSLATE(A9781, ""de"", ""en"")"),"tango")</f>
        <v>tango</v>
      </c>
    </row>
    <row r="9782">
      <c r="A9782" s="1" t="s">
        <v>9782</v>
      </c>
      <c r="B9782" s="2" t="str">
        <f>IFERROR(__xludf.DUMMYFUNCTION("GOOGLETRANSLATE(A9782, ""de"", ""en"")"),"disrespectful")</f>
        <v>disrespectful</v>
      </c>
    </row>
    <row r="9783">
      <c r="A9783" s="1" t="s">
        <v>9783</v>
      </c>
      <c r="B9783" s="2" t="str">
        <f>IFERROR(__xludf.DUMMYFUNCTION("GOOGLETRANSLATE(A9783, ""de"", ""en"")"),"stripper")</f>
        <v>stripper</v>
      </c>
    </row>
    <row r="9784">
      <c r="A9784" s="1" t="s">
        <v>9784</v>
      </c>
      <c r="B9784" s="2" t="str">
        <f>IFERROR(__xludf.DUMMYFUNCTION("GOOGLETRANSLATE(A9784, ""de"", ""en"")"),"stallion")</f>
        <v>stallion</v>
      </c>
    </row>
    <row r="9785">
      <c r="A9785" s="1" t="s">
        <v>9785</v>
      </c>
      <c r="B9785" s="2" t="str">
        <f>IFERROR(__xludf.DUMMYFUNCTION("GOOGLETRANSLATE(A9785, ""de"", ""en"")"),"cocksucker")</f>
        <v>cocksucker</v>
      </c>
    </row>
    <row r="9786">
      <c r="A9786" s="1" t="s">
        <v>9786</v>
      </c>
      <c r="B9786" s="2" t="str">
        <f>IFERROR(__xludf.DUMMYFUNCTION("GOOGLETRANSLATE(A9786, ""de"", ""en"")"),"solve")</f>
        <v>solve</v>
      </c>
    </row>
    <row r="9787">
      <c r="A9787" s="1" t="s">
        <v>9787</v>
      </c>
      <c r="B9787" s="2" t="str">
        <f>IFERROR(__xludf.DUMMYFUNCTION("GOOGLETRANSLATE(A9787, ""de"", ""en"")"),"banana")</f>
        <v>banana</v>
      </c>
    </row>
    <row r="9788">
      <c r="A9788" s="1" t="s">
        <v>9788</v>
      </c>
      <c r="B9788" s="2" t="str">
        <f>IFERROR(__xludf.DUMMYFUNCTION("GOOGLETRANSLATE(A9788, ""de"", ""en"")"),"just")</f>
        <v>just</v>
      </c>
    </row>
    <row r="9789">
      <c r="A9789" s="1" t="s">
        <v>9789</v>
      </c>
      <c r="B9789" s="2" t="str">
        <f>IFERROR(__xludf.DUMMYFUNCTION("GOOGLETRANSLATE(A9789, ""de"", ""en"")"),"Gavin")</f>
        <v>Gavin</v>
      </c>
    </row>
    <row r="9790">
      <c r="A9790" s="1" t="s">
        <v>9790</v>
      </c>
      <c r="B9790" s="2" t="str">
        <f>IFERROR(__xludf.DUMMYFUNCTION("GOOGLETRANSLATE(A9790, ""de"", ""en"")"),"skinner")</f>
        <v>skinner</v>
      </c>
    </row>
    <row r="9791">
      <c r="A9791" s="1" t="s">
        <v>9791</v>
      </c>
      <c r="B9791" s="2" t="str">
        <f>IFERROR(__xludf.DUMMYFUNCTION("GOOGLETRANSLATE(A9791, ""de"", ""en"")"),"villains")</f>
        <v>villains</v>
      </c>
    </row>
    <row r="9792">
      <c r="A9792" s="1" t="s">
        <v>9792</v>
      </c>
      <c r="B9792" s="2" t="str">
        <f>IFERROR(__xludf.DUMMYFUNCTION("GOOGLETRANSLATE(A9792, ""de"", ""en"")"),"washes")</f>
        <v>washes</v>
      </c>
    </row>
    <row r="9793">
      <c r="A9793" s="1" t="s">
        <v>9793</v>
      </c>
      <c r="B9793" s="2" t="str">
        <f>IFERROR(__xludf.DUMMYFUNCTION("GOOGLETRANSLATE(A9793, ""de"", ""en"")"),"thereupon")</f>
        <v>thereupon</v>
      </c>
    </row>
    <row r="9794">
      <c r="A9794" s="1" t="s">
        <v>9794</v>
      </c>
      <c r="B9794" s="2" t="str">
        <f>IFERROR(__xludf.DUMMYFUNCTION("GOOGLETRANSLATE(A9794, ""de"", ""en"")"),"Nico")</f>
        <v>Nico</v>
      </c>
    </row>
    <row r="9795">
      <c r="A9795" s="1" t="s">
        <v>9795</v>
      </c>
      <c r="B9795" s="2" t="str">
        <f>IFERROR(__xludf.DUMMYFUNCTION("GOOGLETRANSLATE(A9795, ""de"", ""en"")"),"walsh")</f>
        <v>walsh</v>
      </c>
    </row>
    <row r="9796">
      <c r="A9796" s="1" t="s">
        <v>9796</v>
      </c>
      <c r="B9796" s="2" t="str">
        <f>IFERROR(__xludf.DUMMYFUNCTION("GOOGLETRANSLATE(A9796, ""de"", ""en"")"),"business partner")</f>
        <v>business partner</v>
      </c>
    </row>
    <row r="9797">
      <c r="A9797" s="1" t="s">
        <v>9797</v>
      </c>
      <c r="B9797" s="2" t="str">
        <f>IFERROR(__xludf.DUMMYFUNCTION("GOOGLETRANSLATE(A9797, ""de"", ""en"")"),"drove away")</f>
        <v>drove away</v>
      </c>
    </row>
    <row r="9798">
      <c r="A9798" s="1" t="s">
        <v>9798</v>
      </c>
      <c r="B9798" s="2" t="str">
        <f>IFERROR(__xludf.DUMMYFUNCTION("GOOGLETRANSLATE(A9798, ""de"", ""en"")"),"psychology")</f>
        <v>psychology</v>
      </c>
    </row>
    <row r="9799">
      <c r="A9799" s="1" t="s">
        <v>9799</v>
      </c>
      <c r="B9799" s="2" t="str">
        <f>IFERROR(__xludf.DUMMYFUNCTION("GOOGLETRANSLATE(A9799, ""de"", ""en"")"),"force")</f>
        <v>force</v>
      </c>
    </row>
    <row r="9800">
      <c r="A9800" s="1" t="s">
        <v>9800</v>
      </c>
      <c r="B9800" s="2" t="str">
        <f>IFERROR(__xludf.DUMMYFUNCTION("GOOGLETRANSLATE(A9800, ""de"", ""en"")"),"communicate")</f>
        <v>communicate</v>
      </c>
    </row>
    <row r="9801">
      <c r="A9801" s="1" t="s">
        <v>9801</v>
      </c>
      <c r="B9801" s="2" t="str">
        <f>IFERROR(__xludf.DUMMYFUNCTION("GOOGLETRANSLATE(A9801, ""de"", ""en"")"),"burden")</f>
        <v>burden</v>
      </c>
    </row>
    <row r="9802">
      <c r="A9802" s="1" t="s">
        <v>9802</v>
      </c>
      <c r="B9802" s="2" t="str">
        <f>IFERROR(__xludf.DUMMYFUNCTION("GOOGLETRANSLATE(A9802, ""de"", ""en"")"),"bender")</f>
        <v>bender</v>
      </c>
    </row>
    <row r="9803">
      <c r="A9803" s="1" t="s">
        <v>9803</v>
      </c>
      <c r="B9803" s="2" t="str">
        <f>IFERROR(__xludf.DUMMYFUNCTION("GOOGLETRANSLATE(A9803, ""de"", ""en"")"),"binding")</f>
        <v>binding</v>
      </c>
    </row>
    <row r="9804">
      <c r="A9804" s="1" t="s">
        <v>9804</v>
      </c>
      <c r="B9804" s="2" t="str">
        <f>IFERROR(__xludf.DUMMYFUNCTION("GOOGLETRANSLATE(A9804, ""de"", ""en"")"),"Sherman")</f>
        <v>Sherman</v>
      </c>
    </row>
    <row r="9805">
      <c r="A9805" s="1" t="s">
        <v>9805</v>
      </c>
      <c r="B9805" s="2" t="str">
        <f>IFERROR(__xludf.DUMMYFUNCTION("GOOGLETRANSLATE(A9805, ""de"", ""en"")"),"hugged")</f>
        <v>hugged</v>
      </c>
    </row>
    <row r="9806">
      <c r="A9806" s="1" t="s">
        <v>9806</v>
      </c>
      <c r="B9806" s="2" t="str">
        <f>IFERROR(__xludf.DUMMYFUNCTION("GOOGLETRANSLATE(A9806, ""de"", ""en"")"),"escaped")</f>
        <v>escaped</v>
      </c>
    </row>
    <row r="9807">
      <c r="A9807" s="1" t="s">
        <v>9807</v>
      </c>
      <c r="B9807" s="2" t="str">
        <f>IFERROR(__xludf.DUMMYFUNCTION("GOOGLETRANSLATE(A9807, ""de"", ""en"")"),"spook")</f>
        <v>spook</v>
      </c>
    </row>
    <row r="9808">
      <c r="A9808" s="1" t="s">
        <v>9808</v>
      </c>
      <c r="B9808" s="2" t="str">
        <f>IFERROR(__xludf.DUMMYFUNCTION("GOOGLETRANSLATE(A9808, ""de"", ""en"")"),"could")</f>
        <v>could</v>
      </c>
    </row>
    <row r="9809">
      <c r="A9809" s="1" t="s">
        <v>9809</v>
      </c>
      <c r="B9809" s="2" t="str">
        <f>IFERROR(__xludf.DUMMYFUNCTION("GOOGLETRANSLATE(A9809, ""de"", ""en"")"),"human life")</f>
        <v>human life</v>
      </c>
    </row>
    <row r="9810">
      <c r="A9810" s="1" t="s">
        <v>9810</v>
      </c>
      <c r="B9810" s="2" t="str">
        <f>IFERROR(__xludf.DUMMYFUNCTION("GOOGLETRANSLATE(A9810, ""de"", ""en"")"),"became")</f>
        <v>became</v>
      </c>
    </row>
    <row r="9811">
      <c r="A9811" s="1" t="s">
        <v>9811</v>
      </c>
      <c r="B9811" s="2" t="str">
        <f>IFERROR(__xludf.DUMMYFUNCTION("GOOGLETRANSLATE(A9811, ""de"", ""en"")"),"dull")</f>
        <v>dull</v>
      </c>
    </row>
    <row r="9812">
      <c r="A9812" s="1" t="s">
        <v>9812</v>
      </c>
      <c r="B9812" s="2" t="str">
        <f>IFERROR(__xludf.DUMMYFUNCTION("GOOGLETRANSLATE(A9812, ""de"", ""en"")"),"origin")</f>
        <v>origin</v>
      </c>
    </row>
    <row r="9813">
      <c r="A9813" s="1" t="s">
        <v>9813</v>
      </c>
      <c r="B9813" s="2" t="str">
        <f>IFERROR(__xludf.DUMMYFUNCTION("GOOGLETRANSLATE(A9813, ""de"", ""en"")"),"cleaned")</f>
        <v>cleaned</v>
      </c>
    </row>
    <row r="9814">
      <c r="A9814" s="1" t="s">
        <v>9814</v>
      </c>
      <c r="B9814" s="2" t="str">
        <f>IFERROR(__xludf.DUMMYFUNCTION("GOOGLETRANSLATE(A9814, ""de"", ""en"")"),"section")</f>
        <v>section</v>
      </c>
    </row>
    <row r="9815">
      <c r="A9815" s="1" t="s">
        <v>9815</v>
      </c>
      <c r="B9815" s="2" t="str">
        <f>IFERROR(__xludf.DUMMYFUNCTION("GOOGLETRANSLATE(A9815, ""de"", ""en"")"),"drag")</f>
        <v>drag</v>
      </c>
    </row>
    <row r="9816">
      <c r="A9816" s="1" t="s">
        <v>9816</v>
      </c>
      <c r="B9816" s="2" t="str">
        <f>IFERROR(__xludf.DUMMYFUNCTION("GOOGLETRANSLATE(A9816, ""de"", ""en"")"),"capture")</f>
        <v>capture</v>
      </c>
    </row>
    <row r="9817">
      <c r="A9817" s="1" t="s">
        <v>9817</v>
      </c>
      <c r="B9817" s="2" t="str">
        <f>IFERROR(__xludf.DUMMYFUNCTION("GOOGLETRANSLATE(A9817, ""de"", ""en"")"),"terrace")</f>
        <v>terrace</v>
      </c>
    </row>
    <row r="9818">
      <c r="A9818" s="1" t="s">
        <v>9818</v>
      </c>
      <c r="B9818" s="2" t="str">
        <f>IFERROR(__xludf.DUMMYFUNCTION("GOOGLETRANSLATE(A9818, ""de"", ""en"")"),"William")</f>
        <v>William</v>
      </c>
    </row>
    <row r="9819">
      <c r="A9819" s="1" t="s">
        <v>9819</v>
      </c>
      <c r="B9819" s="2" t="str">
        <f>IFERROR(__xludf.DUMMYFUNCTION("GOOGLETRANSLATE(A9819, ""de"", ""en"")"),"worry free")</f>
        <v>worry free</v>
      </c>
    </row>
    <row r="9820">
      <c r="A9820" s="1" t="s">
        <v>9820</v>
      </c>
      <c r="B9820" s="2" t="str">
        <f>IFERROR(__xludf.DUMMYFUNCTION("GOOGLETRANSLATE(A9820, ""de"", ""en"")"),"waited")</f>
        <v>waited</v>
      </c>
    </row>
    <row r="9821">
      <c r="A9821" s="1" t="s">
        <v>9821</v>
      </c>
      <c r="B9821" s="2" t="str">
        <f>IFERROR(__xludf.DUMMYFUNCTION("GOOGLETRANSLATE(A9821, ""de"", ""en"")"),"submitted")</f>
        <v>submitted</v>
      </c>
    </row>
    <row r="9822">
      <c r="A9822" s="1" t="s">
        <v>9822</v>
      </c>
      <c r="B9822" s="2" t="str">
        <f>IFERROR(__xludf.DUMMYFUNCTION("GOOGLETRANSLATE(A9822, ""de"", ""en"")"),"secretary")</f>
        <v>secretary</v>
      </c>
    </row>
    <row r="9823">
      <c r="A9823" s="1" t="s">
        <v>9823</v>
      </c>
      <c r="B9823" s="2" t="str">
        <f>IFERROR(__xludf.DUMMYFUNCTION("GOOGLETRANSLATE(A9823, ""de"", ""en"")"),"Turk")</f>
        <v>Turk</v>
      </c>
    </row>
    <row r="9824">
      <c r="A9824" s="1" t="s">
        <v>9824</v>
      </c>
      <c r="B9824" s="2" t="str">
        <f>IFERROR(__xludf.DUMMYFUNCTION("GOOGLETRANSLATE(A9824, ""de"", ""en"")"),"calming")</f>
        <v>calming</v>
      </c>
    </row>
    <row r="9825">
      <c r="A9825" s="1" t="s">
        <v>9825</v>
      </c>
      <c r="B9825" s="2" t="str">
        <f>IFERROR(__xludf.DUMMYFUNCTION("GOOGLETRANSLATE(A9825, ""de"", ""en"")"),"lit")</f>
        <v>lit</v>
      </c>
    </row>
    <row r="9826">
      <c r="A9826" s="1" t="s">
        <v>9826</v>
      </c>
      <c r="B9826" s="2" t="str">
        <f>IFERROR(__xludf.DUMMYFUNCTION("GOOGLETRANSLATE(A9826, ""de"", ""en"")"),"crime")</f>
        <v>crime</v>
      </c>
    </row>
    <row r="9827">
      <c r="A9827" s="1" t="s">
        <v>9827</v>
      </c>
      <c r="B9827" s="2" t="str">
        <f>IFERROR(__xludf.DUMMYFUNCTION("GOOGLETRANSLATE(A9827, ""de"", ""en"")"),"pulse")</f>
        <v>pulse</v>
      </c>
    </row>
    <row r="9828">
      <c r="A9828" s="1" t="s">
        <v>9828</v>
      </c>
      <c r="B9828" s="2" t="str">
        <f>IFERROR(__xludf.DUMMYFUNCTION("GOOGLETRANSLATE(A9828, ""de"", ""en"")"),"hasty")</f>
        <v>hasty</v>
      </c>
    </row>
    <row r="9829">
      <c r="A9829" s="1" t="s">
        <v>9829</v>
      </c>
      <c r="B9829" s="2" t="str">
        <f>IFERROR(__xludf.DUMMYFUNCTION("GOOGLETRANSLATE(A9829, ""de"", ""en"")"),"whip")</f>
        <v>whip</v>
      </c>
    </row>
    <row r="9830">
      <c r="A9830" s="1" t="s">
        <v>9830</v>
      </c>
      <c r="B9830" s="2" t="str">
        <f>IFERROR(__xludf.DUMMYFUNCTION("GOOGLETRANSLATE(A9830, ""de"", ""en"")"),"Greeks")</f>
        <v>Greeks</v>
      </c>
    </row>
    <row r="9831">
      <c r="A9831" s="1" t="s">
        <v>9831</v>
      </c>
      <c r="B9831" s="2" t="str">
        <f>IFERROR(__xludf.DUMMYFUNCTION("GOOGLETRANSLATE(A9831, ""de"", ""en"")"),"bennet")</f>
        <v>bennet</v>
      </c>
    </row>
    <row r="9832">
      <c r="A9832" s="1" t="s">
        <v>9832</v>
      </c>
      <c r="B9832" s="2" t="str">
        <f>IFERROR(__xludf.DUMMYFUNCTION("GOOGLETRANSLATE(A9832, ""de"", ""en"")"),"installed")</f>
        <v>installed</v>
      </c>
    </row>
    <row r="9833">
      <c r="A9833" s="1" t="s">
        <v>9833</v>
      </c>
      <c r="B9833" s="2" t="str">
        <f>IFERROR(__xludf.DUMMYFUNCTION("GOOGLETRANSLATE(A9833, ""de"", ""en"")"),"lose")</f>
        <v>lose</v>
      </c>
    </row>
    <row r="9834">
      <c r="A9834" s="1" t="s">
        <v>9834</v>
      </c>
      <c r="B9834" s="2" t="str">
        <f>IFERROR(__xludf.DUMMYFUNCTION("GOOGLETRANSLATE(A9834, ""de"", ""en"")"),"rebellion")</f>
        <v>rebellion</v>
      </c>
    </row>
    <row r="9835">
      <c r="A9835" s="1" t="s">
        <v>9835</v>
      </c>
      <c r="B9835" s="2" t="str">
        <f>IFERROR(__xludf.DUMMYFUNCTION("GOOGLETRANSLATE(A9835, ""de"", ""en"")"),"karin")</f>
        <v>karin</v>
      </c>
    </row>
    <row r="9836">
      <c r="A9836" s="1" t="s">
        <v>9836</v>
      </c>
      <c r="B9836" s="2" t="str">
        <f>IFERROR(__xludf.DUMMYFUNCTION("GOOGLETRANSLATE(A9836, ""de"", ""en"")"),"sailor")</f>
        <v>sailor</v>
      </c>
    </row>
    <row r="9837">
      <c r="A9837" s="1" t="s">
        <v>9837</v>
      </c>
      <c r="B9837" s="2" t="str">
        <f>IFERROR(__xludf.DUMMYFUNCTION("GOOGLETRANSLATE(A9837, ""de"", ""en"")"),"bones")</f>
        <v>bones</v>
      </c>
    </row>
    <row r="9838">
      <c r="A9838" s="1" t="s">
        <v>9838</v>
      </c>
      <c r="B9838" s="2" t="str">
        <f>IFERROR(__xludf.DUMMYFUNCTION("GOOGLETRANSLATE(A9838, ""de"", ""en"")"),"cleaned up")</f>
        <v>cleaned up</v>
      </c>
    </row>
    <row r="9839">
      <c r="A9839" s="1" t="s">
        <v>9839</v>
      </c>
      <c r="B9839" s="2" t="str">
        <f>IFERROR(__xludf.DUMMYFUNCTION("GOOGLETRANSLATE(A9839, ""de"", ""en"")"),"earned")</f>
        <v>earned</v>
      </c>
    </row>
    <row r="9840">
      <c r="A9840" s="1" t="s">
        <v>9840</v>
      </c>
      <c r="B9840" s="2" t="str">
        <f>IFERROR(__xludf.DUMMYFUNCTION("GOOGLETRANSLATE(A9840, ""de"", ""en"")"),"miserable")</f>
        <v>miserable</v>
      </c>
    </row>
    <row r="9841">
      <c r="A9841" s="1" t="s">
        <v>9841</v>
      </c>
      <c r="B9841" s="2" t="str">
        <f>IFERROR(__xludf.DUMMYFUNCTION("GOOGLETRANSLATE(A9841, ""de"", ""en"")"),"sound")</f>
        <v>sound</v>
      </c>
    </row>
    <row r="9842">
      <c r="A9842" s="1" t="s">
        <v>9842</v>
      </c>
      <c r="B9842" s="2" t="str">
        <f>IFERROR(__xludf.DUMMYFUNCTION("GOOGLETRANSLATE(A9842, ""de"", ""en"")"),"crash")</f>
        <v>crash</v>
      </c>
    </row>
    <row r="9843">
      <c r="A9843" s="1" t="s">
        <v>9843</v>
      </c>
      <c r="B9843" s="2" t="str">
        <f>IFERROR(__xludf.DUMMYFUNCTION("GOOGLETRANSLATE(A9843, ""de"", ""en"")"),"settle")</f>
        <v>settle</v>
      </c>
    </row>
    <row r="9844">
      <c r="A9844" s="1" t="s">
        <v>9844</v>
      </c>
      <c r="B9844" s="2" t="str">
        <f>IFERROR(__xludf.DUMMYFUNCTION("GOOGLETRANSLATE(A9844, ""de"", ""en"")"),"orgasm")</f>
        <v>orgasm</v>
      </c>
    </row>
    <row r="9845">
      <c r="A9845" s="1" t="s">
        <v>9845</v>
      </c>
      <c r="B9845" s="2" t="str">
        <f>IFERROR(__xludf.DUMMYFUNCTION("GOOGLETRANSLATE(A9845, ""de"", ""en"")"),"toto")</f>
        <v>toto</v>
      </c>
    </row>
    <row r="9846">
      <c r="A9846" s="1" t="s">
        <v>9846</v>
      </c>
      <c r="B9846" s="2" t="str">
        <f>IFERROR(__xludf.DUMMYFUNCTION("GOOGLETRANSLATE(A9846, ""de"", ""en"")"),"birdie")</f>
        <v>birdie</v>
      </c>
    </row>
    <row r="9847">
      <c r="A9847" s="1" t="s">
        <v>9847</v>
      </c>
      <c r="B9847" s="2" t="str">
        <f>IFERROR(__xludf.DUMMYFUNCTION("GOOGLETRANSLATE(A9847, ""de"", ""en"")"),"comes in")</f>
        <v>comes in</v>
      </c>
    </row>
    <row r="9848">
      <c r="A9848" s="1" t="s">
        <v>9848</v>
      </c>
      <c r="B9848" s="2" t="str">
        <f>IFERROR(__xludf.DUMMYFUNCTION("GOOGLETRANSLATE(A9848, ""de"", ""en"")"),"Renee")</f>
        <v>Renee</v>
      </c>
    </row>
    <row r="9849">
      <c r="A9849" s="1" t="s">
        <v>9849</v>
      </c>
      <c r="B9849" s="2" t="str">
        <f>IFERROR(__xludf.DUMMYFUNCTION("GOOGLETRANSLATE(A9849, ""de"", ""en"")"),"notify")</f>
        <v>notify</v>
      </c>
    </row>
    <row r="9850">
      <c r="A9850" s="1" t="s">
        <v>9850</v>
      </c>
      <c r="B9850" s="2" t="str">
        <f>IFERROR(__xludf.DUMMYFUNCTION("GOOGLETRANSLATE(A9850, ""de"", ""en"")"),"cavalry")</f>
        <v>cavalry</v>
      </c>
    </row>
    <row r="9851">
      <c r="A9851" s="1" t="s">
        <v>9851</v>
      </c>
      <c r="B9851" s="2" t="str">
        <f>IFERROR(__xludf.DUMMYFUNCTION("GOOGLETRANSLATE(A9851, ""de"", ""en"")"),"everyone")</f>
        <v>everyone</v>
      </c>
    </row>
    <row r="9852">
      <c r="A9852" s="1" t="s">
        <v>9852</v>
      </c>
      <c r="B9852" s="2" t="str">
        <f>IFERROR(__xludf.DUMMYFUNCTION("GOOGLETRANSLATE(A9852, ""de"", ""en"")"),"practice")</f>
        <v>practice</v>
      </c>
    </row>
    <row r="9853">
      <c r="A9853" s="1" t="s">
        <v>9853</v>
      </c>
      <c r="B9853" s="2" t="str">
        <f>IFERROR(__xludf.DUMMYFUNCTION("GOOGLETRANSLATE(A9853, ""de"", ""en"")"),"constable")</f>
        <v>constable</v>
      </c>
    </row>
    <row r="9854">
      <c r="A9854" s="1" t="s">
        <v>9854</v>
      </c>
      <c r="B9854" s="2" t="str">
        <f>IFERROR(__xludf.DUMMYFUNCTION("GOOGLETRANSLATE(A9854, ""de"", ""en"")"),"refuse")</f>
        <v>refuse</v>
      </c>
    </row>
    <row r="9855">
      <c r="A9855" s="1" t="s">
        <v>9855</v>
      </c>
      <c r="B9855" s="2" t="str">
        <f>IFERROR(__xludf.DUMMYFUNCTION("GOOGLETRANSLATE(A9855, ""de"", ""en"")"),"real ones")</f>
        <v>real ones</v>
      </c>
    </row>
    <row r="9856">
      <c r="A9856" s="1" t="s">
        <v>9856</v>
      </c>
      <c r="B9856" s="2" t="str">
        <f>IFERROR(__xludf.DUMMYFUNCTION("GOOGLETRANSLATE(A9856, ""de"", ""en"")"),"orders")</f>
        <v>orders</v>
      </c>
    </row>
    <row r="9857">
      <c r="A9857" s="1" t="s">
        <v>9857</v>
      </c>
      <c r="B9857" s="2" t="str">
        <f>IFERROR(__xludf.DUMMYFUNCTION("GOOGLETRANSLATE(A9857, ""de"", ""en"")"),"applause")</f>
        <v>applause</v>
      </c>
    </row>
    <row r="9858">
      <c r="A9858" s="1" t="s">
        <v>9858</v>
      </c>
      <c r="B9858" s="2" t="str">
        <f>IFERROR(__xludf.DUMMYFUNCTION("GOOGLETRANSLATE(A9858, ""de"", ""en"")"),"cents")</f>
        <v>cents</v>
      </c>
    </row>
    <row r="9859">
      <c r="A9859" s="1" t="s">
        <v>9859</v>
      </c>
      <c r="B9859" s="2" t="str">
        <f>IFERROR(__xludf.DUMMYFUNCTION("GOOGLETRANSLATE(A9859, ""de"", ""en"")"),"relatives")</f>
        <v>relatives</v>
      </c>
    </row>
    <row r="9860">
      <c r="A9860" s="1" t="s">
        <v>9860</v>
      </c>
      <c r="B9860" s="2" t="str">
        <f>IFERROR(__xludf.DUMMYFUNCTION("GOOGLETRANSLATE(A9860, ""de"", ""en"")"),"damien")</f>
        <v>damien</v>
      </c>
    </row>
    <row r="9861">
      <c r="A9861" s="1" t="s">
        <v>9861</v>
      </c>
      <c r="B9861" s="2" t="str">
        <f>IFERROR(__xludf.DUMMYFUNCTION("GOOGLETRANSLATE(A9861, ""de"", ""en"")"),"result")</f>
        <v>result</v>
      </c>
    </row>
    <row r="9862">
      <c r="A9862" s="1" t="s">
        <v>9862</v>
      </c>
      <c r="B9862" s="2" t="str">
        <f>IFERROR(__xludf.DUMMYFUNCTION("GOOGLETRANSLATE(A9862, ""de"", ""en"")"),"global")</f>
        <v>global</v>
      </c>
    </row>
    <row r="9863">
      <c r="A9863" s="1" t="s">
        <v>9863</v>
      </c>
      <c r="B9863" s="2" t="str">
        <f>IFERROR(__xludf.DUMMYFUNCTION("GOOGLETRANSLATE(A9863, ""de"", ""en"")"),"Pennsylvania")</f>
        <v>Pennsylvania</v>
      </c>
    </row>
    <row r="9864">
      <c r="A9864" s="1" t="s">
        <v>9864</v>
      </c>
      <c r="B9864" s="2" t="str">
        <f>IFERROR(__xludf.DUMMYFUNCTION("GOOGLETRANSLATE(A9864, ""de"", ""en"")"),"warm")</f>
        <v>warm</v>
      </c>
    </row>
    <row r="9865">
      <c r="A9865" s="1" t="s">
        <v>9865</v>
      </c>
      <c r="B9865" s="2" t="str">
        <f>IFERROR(__xludf.DUMMYFUNCTION("GOOGLETRANSLATE(A9865, ""de"", ""en"")"),"Danielle")</f>
        <v>Danielle</v>
      </c>
    </row>
    <row r="9866">
      <c r="A9866" s="1" t="s">
        <v>9866</v>
      </c>
      <c r="B9866" s="2" t="str">
        <f>IFERROR(__xludf.DUMMYFUNCTION("GOOGLETRANSLATE(A9866, ""de"", ""en"")"),"forbid")</f>
        <v>forbid</v>
      </c>
    </row>
    <row r="9867">
      <c r="A9867" s="1" t="s">
        <v>9867</v>
      </c>
      <c r="B9867" s="2" t="str">
        <f>IFERROR(__xludf.DUMMYFUNCTION("GOOGLETRANSLATE(A9867, ""de"", ""en"")"),"excuse me")</f>
        <v>excuse me</v>
      </c>
    </row>
    <row r="9868">
      <c r="A9868" s="1" t="s">
        <v>9868</v>
      </c>
      <c r="B9868" s="2" t="str">
        <f>IFERROR(__xludf.DUMMYFUNCTION("GOOGLETRANSLATE(A9868, ""de"", ""en"")"),"choose")</f>
        <v>choose</v>
      </c>
    </row>
    <row r="9869">
      <c r="A9869" s="1" t="s">
        <v>9869</v>
      </c>
      <c r="B9869" s="2" t="str">
        <f>IFERROR(__xludf.DUMMYFUNCTION("GOOGLETRANSLATE(A9869, ""de"", ""en"")"),"raise")</f>
        <v>raise</v>
      </c>
    </row>
    <row r="9870">
      <c r="A9870" s="1" t="s">
        <v>9870</v>
      </c>
      <c r="B9870" s="2" t="str">
        <f>IFERROR(__xludf.DUMMYFUNCTION("GOOGLETRANSLATE(A9870, ""de"", ""en"")"),"far")</f>
        <v>far</v>
      </c>
    </row>
    <row r="9871">
      <c r="A9871" s="1" t="s">
        <v>9871</v>
      </c>
      <c r="B9871" s="2" t="str">
        <f>IFERROR(__xludf.DUMMYFUNCTION("GOOGLETRANSLATE(A9871, ""de"", ""en"")"),"twisted")</f>
        <v>twisted</v>
      </c>
    </row>
    <row r="9872">
      <c r="A9872" s="1" t="s">
        <v>9872</v>
      </c>
      <c r="B9872" s="2" t="str">
        <f>IFERROR(__xludf.DUMMYFUNCTION("GOOGLETRANSLATE(A9872, ""de"", ""en"")"),"powers")</f>
        <v>powers</v>
      </c>
    </row>
    <row r="9873">
      <c r="A9873" s="1" t="s">
        <v>9873</v>
      </c>
      <c r="B9873" s="2" t="str">
        <f>IFERROR(__xludf.DUMMYFUNCTION("GOOGLETRANSLATE(A9873, ""de"", ""en"")"),"advance")</f>
        <v>advance</v>
      </c>
    </row>
    <row r="9874">
      <c r="A9874" s="1" t="s">
        <v>9874</v>
      </c>
      <c r="B9874" s="2" t="str">
        <f>IFERROR(__xludf.DUMMYFUNCTION("GOOGLETRANSLATE(A9874, ""de"", ""en"")"),"bananas")</f>
        <v>bananas</v>
      </c>
    </row>
    <row r="9875">
      <c r="A9875" s="1" t="s">
        <v>9875</v>
      </c>
      <c r="B9875" s="2" t="str">
        <f>IFERROR(__xludf.DUMMYFUNCTION("GOOGLETRANSLATE(A9875, ""de"", ""en"")"),"dex")</f>
        <v>dex</v>
      </c>
    </row>
    <row r="9876">
      <c r="A9876" s="1" t="s">
        <v>9876</v>
      </c>
      <c r="B9876" s="2" t="str">
        <f>IFERROR(__xludf.DUMMYFUNCTION("GOOGLETRANSLATE(A9876, ""de"", ""en"")"),"created")</f>
        <v>created</v>
      </c>
    </row>
    <row r="9877">
      <c r="A9877" s="1" t="s">
        <v>9877</v>
      </c>
      <c r="B9877" s="2" t="str">
        <f>IFERROR(__xludf.DUMMYFUNCTION("GOOGLETRANSLATE(A9877, ""de"", ""en"")"),"protector")</f>
        <v>protector</v>
      </c>
    </row>
    <row r="9878">
      <c r="A9878" s="1" t="s">
        <v>9878</v>
      </c>
      <c r="B9878" s="2" t="str">
        <f>IFERROR(__xludf.DUMMYFUNCTION("GOOGLETRANSLATE(A9878, ""de"", ""en"")"),"for")</f>
        <v>for</v>
      </c>
    </row>
    <row r="9879">
      <c r="A9879" s="1" t="s">
        <v>9879</v>
      </c>
      <c r="B9879" s="2" t="str">
        <f>IFERROR(__xludf.DUMMYFUNCTION("GOOGLETRANSLATE(A9879, ""de"", ""en"")"),"truly")</f>
        <v>truly</v>
      </c>
    </row>
    <row r="9880">
      <c r="A9880" s="1" t="s">
        <v>9880</v>
      </c>
      <c r="B9880" s="2" t="str">
        <f>IFERROR(__xludf.DUMMYFUNCTION("GOOGLETRANSLATE(A9880, ""de"", ""en"")"),"hips")</f>
        <v>hips</v>
      </c>
    </row>
    <row r="9881">
      <c r="A9881" s="1" t="s">
        <v>9881</v>
      </c>
      <c r="B9881" s="2" t="str">
        <f>IFERROR(__xludf.DUMMYFUNCTION("GOOGLETRANSLATE(A9881, ""de"", ""en"")"),"q")</f>
        <v>q</v>
      </c>
    </row>
    <row r="9882">
      <c r="A9882" s="1" t="s">
        <v>9882</v>
      </c>
      <c r="B9882" s="2" t="str">
        <f>IFERROR(__xludf.DUMMYFUNCTION("GOOGLETRANSLATE(A9882, ""de"", ""en"")"),"amount")</f>
        <v>amount</v>
      </c>
    </row>
    <row r="9883">
      <c r="A9883" s="1" t="s">
        <v>9883</v>
      </c>
      <c r="B9883" s="2" t="str">
        <f>IFERROR(__xludf.DUMMYFUNCTION("GOOGLETRANSLATE(A9883, ""de"", ""en"")"),"hysterical")</f>
        <v>hysterical</v>
      </c>
    </row>
    <row r="9884">
      <c r="A9884" s="1" t="s">
        <v>9884</v>
      </c>
      <c r="B9884" s="2" t="str">
        <f>IFERROR(__xludf.DUMMYFUNCTION("GOOGLETRANSLATE(A9884, ""de"", ""en"")"),"swore")</f>
        <v>swore</v>
      </c>
    </row>
    <row r="9885">
      <c r="A9885" s="1" t="s">
        <v>9885</v>
      </c>
      <c r="B9885" s="2" t="str">
        <f>IFERROR(__xludf.DUMMYFUNCTION("GOOGLETRANSLATE(A9885, ""de"", ""en"")"),"brawl")</f>
        <v>brawl</v>
      </c>
    </row>
    <row r="9886">
      <c r="A9886" s="1" t="s">
        <v>9886</v>
      </c>
      <c r="B9886" s="2" t="str">
        <f>IFERROR(__xludf.DUMMYFUNCTION("GOOGLETRANSLATE(A9886, ""de"", ""en"")"),"flew")</f>
        <v>flew</v>
      </c>
    </row>
    <row r="9887">
      <c r="A9887" s="1" t="s">
        <v>9887</v>
      </c>
      <c r="B9887" s="2" t="str">
        <f>IFERROR(__xludf.DUMMYFUNCTION("GOOGLETRANSLATE(A9887, ""de"", ""en"")"),"villain")</f>
        <v>villain</v>
      </c>
    </row>
    <row r="9888">
      <c r="A9888" s="1" t="s">
        <v>9888</v>
      </c>
      <c r="B9888" s="2" t="str">
        <f>IFERROR(__xludf.DUMMYFUNCTION("GOOGLETRANSLATE(A9888, ""de"", ""en"")"),"grow up")</f>
        <v>grow up</v>
      </c>
    </row>
    <row r="9889">
      <c r="A9889" s="1" t="s">
        <v>9889</v>
      </c>
      <c r="B9889" s="2" t="str">
        <f>IFERROR(__xludf.DUMMYFUNCTION("GOOGLETRANSLATE(A9889, ""de"", ""en"")"),"Roman")</f>
        <v>Roman</v>
      </c>
    </row>
    <row r="9890">
      <c r="A9890" s="1" t="s">
        <v>9890</v>
      </c>
      <c r="B9890" s="2" t="str">
        <f>IFERROR(__xludf.DUMMYFUNCTION("GOOGLETRANSLATE(A9890, ""de"", ""en"")"),"Carolina")</f>
        <v>Carolina</v>
      </c>
    </row>
    <row r="9891">
      <c r="A9891" s="1" t="s">
        <v>9891</v>
      </c>
      <c r="B9891" s="2" t="str">
        <f>IFERROR(__xludf.DUMMYFUNCTION("GOOGLETRANSLATE(A9891, ""de"", ""en"")"),"award")</f>
        <v>award</v>
      </c>
    </row>
    <row r="9892">
      <c r="A9892" s="1" t="s">
        <v>9892</v>
      </c>
      <c r="B9892" s="2" t="str">
        <f>IFERROR(__xludf.DUMMYFUNCTION("GOOGLETRANSLATE(A9892, ""de"", ""en"")"),"risk")</f>
        <v>risk</v>
      </c>
    </row>
    <row r="9893">
      <c r="A9893" s="1" t="s">
        <v>9893</v>
      </c>
      <c r="B9893" s="2" t="str">
        <f>IFERROR(__xludf.DUMMYFUNCTION("GOOGLETRANSLATE(A9893, ""de"", ""en"")"),"florence")</f>
        <v>florence</v>
      </c>
    </row>
    <row r="9894">
      <c r="A9894" s="1" t="s">
        <v>9894</v>
      </c>
      <c r="B9894" s="2" t="str">
        <f>IFERROR(__xludf.DUMMYFUNCTION("GOOGLETRANSLATE(A9894, ""de"", ""en"")"),"make possible")</f>
        <v>make possible</v>
      </c>
    </row>
    <row r="9895">
      <c r="A9895" s="1" t="s">
        <v>9895</v>
      </c>
      <c r="B9895" s="2" t="str">
        <f>IFERROR(__xludf.DUMMYFUNCTION("GOOGLETRANSLATE(A9895, ""de"", ""en"")"),"comedian")</f>
        <v>comedian</v>
      </c>
    </row>
    <row r="9896">
      <c r="A9896" s="1" t="s">
        <v>9896</v>
      </c>
      <c r="B9896" s="2" t="str">
        <f>IFERROR(__xludf.DUMMYFUNCTION("GOOGLETRANSLATE(A9896, ""de"", ""en"")"),"stand out")</f>
        <v>stand out</v>
      </c>
    </row>
    <row r="9897">
      <c r="A9897" s="1" t="s">
        <v>9897</v>
      </c>
      <c r="B9897" s="2" t="str">
        <f>IFERROR(__xludf.DUMMYFUNCTION("GOOGLETRANSLATE(A9897, ""de"", ""en"")"),"received")</f>
        <v>received</v>
      </c>
    </row>
    <row r="9898">
      <c r="A9898" s="1" t="s">
        <v>9898</v>
      </c>
      <c r="B9898" s="2" t="str">
        <f>IFERROR(__xludf.DUMMYFUNCTION("GOOGLETRANSLATE(A9898, ""de"", ""en"")"),"condom")</f>
        <v>condom</v>
      </c>
    </row>
    <row r="9899">
      <c r="A9899" s="1" t="s">
        <v>9899</v>
      </c>
      <c r="B9899" s="2" t="str">
        <f>IFERROR(__xludf.DUMMYFUNCTION("GOOGLETRANSLATE(A9899, ""de"", ""en"")"),"improvement")</f>
        <v>improvement</v>
      </c>
    </row>
    <row r="9900">
      <c r="A9900" s="1" t="s">
        <v>9900</v>
      </c>
      <c r="B9900" s="2" t="str">
        <f>IFERROR(__xludf.DUMMYFUNCTION("GOOGLETRANSLATE(A9900, ""de"", ""en"")"),"vinnie")</f>
        <v>vinnie</v>
      </c>
    </row>
    <row r="9901">
      <c r="A9901" s="1" t="s">
        <v>9901</v>
      </c>
      <c r="B9901" s="2" t="str">
        <f>IFERROR(__xludf.DUMMYFUNCTION("GOOGLETRANSLATE(A9901, ""de"", ""en"")"),"cardboard")</f>
        <v>cardboard</v>
      </c>
    </row>
    <row r="9902">
      <c r="A9902" s="1" t="s">
        <v>9902</v>
      </c>
      <c r="B9902" s="2" t="str">
        <f>IFERROR(__xludf.DUMMYFUNCTION("GOOGLETRANSLATE(A9902, ""de"", ""en"")"),"late")</f>
        <v>late</v>
      </c>
    </row>
    <row r="9903">
      <c r="A9903" s="1" t="s">
        <v>9903</v>
      </c>
      <c r="B9903" s="2" t="str">
        <f>IFERROR(__xludf.DUMMYFUNCTION("GOOGLETRANSLATE(A9903, ""de"", ""en"")"),"care")</f>
        <v>care</v>
      </c>
    </row>
    <row r="9904">
      <c r="A9904" s="1" t="s">
        <v>9904</v>
      </c>
      <c r="B9904" s="2" t="str">
        <f>IFERROR(__xludf.DUMMYFUNCTION("GOOGLETRANSLATE(A9904, ""de"", ""en"")"),"performance")</f>
        <v>performance</v>
      </c>
    </row>
    <row r="9905">
      <c r="A9905" s="1" t="s">
        <v>9905</v>
      </c>
      <c r="B9905" s="2" t="str">
        <f>IFERROR(__xludf.DUMMYFUNCTION("GOOGLETRANSLATE(A9905, ""de"", ""en"")"),"ate")</f>
        <v>ate</v>
      </c>
    </row>
    <row r="9906">
      <c r="A9906" s="1" t="s">
        <v>9906</v>
      </c>
      <c r="B9906" s="2" t="str">
        <f>IFERROR(__xludf.DUMMYFUNCTION("GOOGLETRANSLATE(A9906, ""de"", ""en"")"),"departure")</f>
        <v>departure</v>
      </c>
    </row>
    <row r="9907">
      <c r="A9907" s="1" t="s">
        <v>9907</v>
      </c>
      <c r="B9907" s="2" t="str">
        <f>IFERROR(__xludf.DUMMYFUNCTION("GOOGLETRANSLATE(A9907, ""de"", ""en"")"),"Hydra")</f>
        <v>Hydra</v>
      </c>
    </row>
    <row r="9908">
      <c r="A9908" s="1" t="s">
        <v>9908</v>
      </c>
      <c r="B9908" s="2" t="str">
        <f>IFERROR(__xludf.DUMMYFUNCTION("GOOGLETRANSLATE(A9908, ""de"", ""en"")"),"mailbox")</f>
        <v>mailbox</v>
      </c>
    </row>
    <row r="9909">
      <c r="A9909" s="1" t="s">
        <v>9909</v>
      </c>
      <c r="B9909" s="2" t="str">
        <f>IFERROR(__xludf.DUMMYFUNCTION("GOOGLETRANSLATE(A9909, ""de"", ""en"")"),"prisoner")</f>
        <v>prisoner</v>
      </c>
    </row>
    <row r="9910">
      <c r="A9910" s="1" t="s">
        <v>9910</v>
      </c>
      <c r="B9910" s="2" t="str">
        <f>IFERROR(__xludf.DUMMYFUNCTION("GOOGLETRANSLATE(A9910, ""de"", ""en"")"),"ezra")</f>
        <v>ezra</v>
      </c>
    </row>
    <row r="9911">
      <c r="A9911" s="1" t="s">
        <v>9911</v>
      </c>
      <c r="B9911" s="2" t="str">
        <f>IFERROR(__xludf.DUMMYFUNCTION("GOOGLETRANSLATE(A9911, ""de"", ""en"")"),"cat")</f>
        <v>cat</v>
      </c>
    </row>
    <row r="9912">
      <c r="A9912" s="1" t="s">
        <v>9912</v>
      </c>
      <c r="B9912" s="2" t="str">
        <f>IFERROR(__xludf.DUMMYFUNCTION("GOOGLETRANSLATE(A9912, ""de"", ""en"")"),"underestimate")</f>
        <v>underestimate</v>
      </c>
    </row>
    <row r="9913">
      <c r="A9913" s="1" t="s">
        <v>9913</v>
      </c>
      <c r="B9913" s="2" t="str">
        <f>IFERROR(__xludf.DUMMYFUNCTION("GOOGLETRANSLATE(A9913, ""de"", ""en"")"),"sisko")</f>
        <v>sisko</v>
      </c>
    </row>
    <row r="9914">
      <c r="A9914" s="1" t="s">
        <v>9914</v>
      </c>
      <c r="B9914" s="2" t="str">
        <f>IFERROR(__xludf.DUMMYFUNCTION("GOOGLETRANSLATE(A9914, ""de"", ""en"")"),"housewife")</f>
        <v>housewife</v>
      </c>
    </row>
    <row r="9915">
      <c r="A9915" s="1" t="s">
        <v>9915</v>
      </c>
      <c r="B9915" s="2" t="str">
        <f>IFERROR(__xludf.DUMMYFUNCTION("GOOGLETRANSLATE(A9915, ""de"", ""en"")"),"hannes")</f>
        <v>hannes</v>
      </c>
    </row>
    <row r="9916">
      <c r="A9916" s="1" t="s">
        <v>9916</v>
      </c>
      <c r="B9916" s="2" t="str">
        <f>IFERROR(__xludf.DUMMYFUNCTION("GOOGLETRANSLATE(A9916, ""de"", ""en"")"),"build")</f>
        <v>build</v>
      </c>
    </row>
    <row r="9917">
      <c r="A9917" s="1" t="s">
        <v>9917</v>
      </c>
      <c r="B9917" s="2" t="str">
        <f>IFERROR(__xludf.DUMMYFUNCTION("GOOGLETRANSLATE(A9917, ""de"", ""en"")"),"stack")</f>
        <v>stack</v>
      </c>
    </row>
    <row r="9918">
      <c r="A9918" s="1" t="s">
        <v>9918</v>
      </c>
      <c r="B9918" s="2" t="str">
        <f>IFERROR(__xludf.DUMMYFUNCTION("GOOGLETRANSLATE(A9918, ""de"", ""en"")"),"repair")</f>
        <v>repair</v>
      </c>
    </row>
    <row r="9919">
      <c r="A9919" s="1" t="s">
        <v>9919</v>
      </c>
      <c r="B9919" s="2" t="str">
        <f>IFERROR(__xludf.DUMMYFUNCTION("GOOGLETRANSLATE(A9919, ""de"", ""en"")"),"pike")</f>
        <v>pike</v>
      </c>
    </row>
    <row r="9920">
      <c r="A9920" s="1" t="s">
        <v>9920</v>
      </c>
      <c r="B9920" s="2" t="str">
        <f>IFERROR(__xludf.DUMMYFUNCTION("GOOGLETRANSLATE(A9920, ""de"", ""en"")"),"leftovers")</f>
        <v>leftovers</v>
      </c>
    </row>
    <row r="9921">
      <c r="A9921" s="1" t="s">
        <v>9921</v>
      </c>
      <c r="B9921" s="2" t="str">
        <f>IFERROR(__xludf.DUMMYFUNCTION("GOOGLETRANSLATE(A9921, ""de"", ""en"")"),"accordance")</f>
        <v>accordance</v>
      </c>
    </row>
    <row r="9922">
      <c r="A9922" s="1" t="s">
        <v>9922</v>
      </c>
      <c r="B9922" s="2" t="str">
        <f>IFERROR(__xludf.DUMMYFUNCTION("GOOGLETRANSLATE(A9922, ""de"", ""en"")"),"draft")</f>
        <v>draft</v>
      </c>
    </row>
    <row r="9923">
      <c r="A9923" s="1" t="s">
        <v>9923</v>
      </c>
      <c r="B9923" s="2" t="str">
        <f>IFERROR(__xludf.DUMMYFUNCTION("GOOGLETRANSLATE(A9923, ""de"", ""en"")"),"shop")</f>
        <v>shop</v>
      </c>
    </row>
    <row r="9924">
      <c r="A9924" s="1" t="s">
        <v>9924</v>
      </c>
      <c r="B9924" s="2" t="str">
        <f>IFERROR(__xludf.DUMMYFUNCTION("GOOGLETRANSLATE(A9924, ""de"", ""en"")"),"issue")</f>
        <v>issue</v>
      </c>
    </row>
    <row r="9925">
      <c r="A9925" s="1" t="s">
        <v>9925</v>
      </c>
      <c r="B9925" s="2" t="str">
        <f>IFERROR(__xludf.DUMMYFUNCTION("GOOGLETRANSLATE(A9925, ""de"", ""en"")"),"illusion")</f>
        <v>illusion</v>
      </c>
    </row>
    <row r="9926">
      <c r="A9926" s="1" t="s">
        <v>9926</v>
      </c>
      <c r="B9926" s="2" t="str">
        <f>IFERROR(__xludf.DUMMYFUNCTION("GOOGLETRANSLATE(A9926, ""de"", ""en"")"),"doll")</f>
        <v>doll</v>
      </c>
    </row>
    <row r="9927">
      <c r="A9927" s="1" t="s">
        <v>9927</v>
      </c>
      <c r="B9927" s="2" t="str">
        <f>IFERROR(__xludf.DUMMYFUNCTION("GOOGLETRANSLATE(A9927, ""de"", ""en"")"),"eliminate")</f>
        <v>eliminate</v>
      </c>
    </row>
    <row r="9928">
      <c r="A9928" s="1" t="s">
        <v>9928</v>
      </c>
      <c r="B9928" s="2" t="str">
        <f>IFERROR(__xludf.DUMMYFUNCTION("GOOGLETRANSLATE(A9928, ""de"", ""en"")"),"strengthen")</f>
        <v>strengthen</v>
      </c>
    </row>
    <row r="9929">
      <c r="A9929" s="1" t="s">
        <v>9929</v>
      </c>
      <c r="B9929" s="2" t="str">
        <f>IFERROR(__xludf.DUMMYFUNCTION("GOOGLETRANSLATE(A9929, ""de"", ""en"")"),"inmates")</f>
        <v>inmates</v>
      </c>
    </row>
    <row r="9930">
      <c r="A9930" s="1" t="s">
        <v>9930</v>
      </c>
      <c r="B9930" s="2" t="str">
        <f>IFERROR(__xludf.DUMMYFUNCTION("GOOGLETRANSLATE(A9930, ""de"", ""en"")"),"using")</f>
        <v>using</v>
      </c>
    </row>
    <row r="9931">
      <c r="A9931" s="1" t="s">
        <v>9931</v>
      </c>
      <c r="B9931" s="2" t="str">
        <f>IFERROR(__xludf.DUMMYFUNCTION("GOOGLETRANSLATE(A9931, ""de"", ""en"")"),"pack")</f>
        <v>pack</v>
      </c>
    </row>
    <row r="9932">
      <c r="A9932" s="1" t="s">
        <v>9932</v>
      </c>
      <c r="B9932" s="2" t="str">
        <f>IFERROR(__xludf.DUMMYFUNCTION("GOOGLETRANSLATE(A9932, ""de"", ""en"")"),"u.s.")</f>
        <v>u.s.</v>
      </c>
    </row>
    <row r="9933">
      <c r="A9933" s="1" t="s">
        <v>9933</v>
      </c>
      <c r="B9933" s="2" t="str">
        <f>IFERROR(__xludf.DUMMYFUNCTION("GOOGLETRANSLATE(A9933, ""de"", ""en"")"),"addresses")</f>
        <v>addresses</v>
      </c>
    </row>
    <row r="9934">
      <c r="A9934" s="1" t="s">
        <v>9934</v>
      </c>
      <c r="B9934" s="2" t="str">
        <f>IFERROR(__xludf.DUMMYFUNCTION("GOOGLETRANSLATE(A9934, ""de"", ""en"")"),"kang")</f>
        <v>kang</v>
      </c>
    </row>
    <row r="9935">
      <c r="A9935" s="1" t="s">
        <v>9935</v>
      </c>
      <c r="B9935" s="2" t="str">
        <f>IFERROR(__xludf.DUMMYFUNCTION("GOOGLETRANSLATE(A9935, ""de"", ""en"")"),"topics")</f>
        <v>topics</v>
      </c>
    </row>
    <row r="9936">
      <c r="A9936" s="1" t="s">
        <v>9936</v>
      </c>
      <c r="B9936" s="2" t="str">
        <f>IFERROR(__xludf.DUMMYFUNCTION("GOOGLETRANSLATE(A9936, ""de"", ""en"")"),"divide")</f>
        <v>divide</v>
      </c>
    </row>
    <row r="9937">
      <c r="A9937" s="1" t="s">
        <v>9937</v>
      </c>
      <c r="B9937" s="2" t="str">
        <f>IFERROR(__xludf.DUMMYFUNCTION("GOOGLETRANSLATE(A9937, ""de"", ""en"")"),"unpredictable")</f>
        <v>unpredictable</v>
      </c>
    </row>
    <row r="9938">
      <c r="A9938" s="1" t="s">
        <v>9938</v>
      </c>
      <c r="B9938" s="2" t="str">
        <f>IFERROR(__xludf.DUMMYFUNCTION("GOOGLETRANSLATE(A9938, ""de"", ""en"")"),"struck")</f>
        <v>struck</v>
      </c>
    </row>
    <row r="9939">
      <c r="A9939" s="1" t="s">
        <v>9939</v>
      </c>
      <c r="B9939" s="2" t="str">
        <f>IFERROR(__xludf.DUMMYFUNCTION("GOOGLETRANSLATE(A9939, ""de"", ""en"")"),"sued")</f>
        <v>sued</v>
      </c>
    </row>
    <row r="9940">
      <c r="A9940" s="1" t="s">
        <v>9940</v>
      </c>
      <c r="B9940" s="2" t="str">
        <f>IFERROR(__xludf.DUMMYFUNCTION("GOOGLETRANSLATE(A9940, ""de"", ""en"")"),"drone")</f>
        <v>drone</v>
      </c>
    </row>
    <row r="9941">
      <c r="A9941" s="1" t="s">
        <v>9941</v>
      </c>
      <c r="B9941" s="2" t="str">
        <f>IFERROR(__xludf.DUMMYFUNCTION("GOOGLETRANSLATE(A9941, ""de"", ""en"")"),"vague")</f>
        <v>vague</v>
      </c>
    </row>
    <row r="9942">
      <c r="A9942" s="1" t="s">
        <v>9942</v>
      </c>
      <c r="B9942" s="2" t="str">
        <f>IFERROR(__xludf.DUMMYFUNCTION("GOOGLETRANSLATE(A9942, ""de"", ""en"")"),"obstacle")</f>
        <v>obstacle</v>
      </c>
    </row>
    <row r="9943">
      <c r="A9943" s="1" t="s">
        <v>9943</v>
      </c>
      <c r="B9943" s="2" t="str">
        <f>IFERROR(__xludf.DUMMYFUNCTION("GOOGLETRANSLATE(A9943, ""de"", ""en"")"),"izzy")</f>
        <v>izzy</v>
      </c>
    </row>
    <row r="9944">
      <c r="A9944" s="1" t="s">
        <v>9944</v>
      </c>
      <c r="B9944" s="2" t="str">
        <f>IFERROR(__xludf.DUMMYFUNCTION("GOOGLETRANSLATE(A9944, ""de"", ""en"")"),"qualified")</f>
        <v>qualified</v>
      </c>
    </row>
    <row r="9945">
      <c r="A9945" s="1" t="s">
        <v>9945</v>
      </c>
      <c r="B9945" s="2" t="str">
        <f>IFERROR(__xludf.DUMMYFUNCTION("GOOGLETRANSLATE(A9945, ""de"", ""en"")"),"solo")</f>
        <v>solo</v>
      </c>
    </row>
    <row r="9946">
      <c r="A9946" s="1" t="s">
        <v>9946</v>
      </c>
      <c r="B9946" s="2" t="str">
        <f>IFERROR(__xludf.DUMMYFUNCTION("GOOGLETRANSLATE(A9946, ""de"", ""en"")"),"greedy")</f>
        <v>greedy</v>
      </c>
    </row>
    <row r="9947">
      <c r="A9947" s="1" t="s">
        <v>9947</v>
      </c>
      <c r="B9947" s="2" t="str">
        <f>IFERROR(__xludf.DUMMYFUNCTION("GOOGLETRANSLATE(A9947, ""de"", ""en"")"),"fright")</f>
        <v>fright</v>
      </c>
    </row>
    <row r="9948">
      <c r="A9948" s="1" t="s">
        <v>9948</v>
      </c>
      <c r="B9948" s="2" t="str">
        <f>IFERROR(__xludf.DUMMYFUNCTION("GOOGLETRANSLATE(A9948, ""de"", ""en"")"),"rot")</f>
        <v>rot</v>
      </c>
    </row>
    <row r="9949">
      <c r="A9949" s="1" t="s">
        <v>9949</v>
      </c>
      <c r="B9949" s="2" t="str">
        <f>IFERROR(__xludf.DUMMYFUNCTION("GOOGLETRANSLATE(A9949, ""de"", ""en"")"),"integrity")</f>
        <v>integrity</v>
      </c>
    </row>
    <row r="9950">
      <c r="A9950" s="1" t="s">
        <v>9950</v>
      </c>
      <c r="B9950" s="2" t="str">
        <f>IFERROR(__xludf.DUMMYFUNCTION("GOOGLETRANSLATE(A9950, ""de"", ""en"")"),"back of head")</f>
        <v>back of head</v>
      </c>
    </row>
    <row r="9951">
      <c r="A9951" s="1" t="s">
        <v>9951</v>
      </c>
      <c r="B9951" s="2" t="str">
        <f>IFERROR(__xludf.DUMMYFUNCTION("GOOGLETRANSLATE(A9951, ""de"", ""en"")"),"wonderful")</f>
        <v>wonderful</v>
      </c>
    </row>
    <row r="9952">
      <c r="A9952" s="1" t="s">
        <v>9952</v>
      </c>
      <c r="B9952" s="2" t="str">
        <f>IFERROR(__xludf.DUMMYFUNCTION("GOOGLETRANSLATE(A9952, ""de"", ""en"")"),"lo")</f>
        <v>lo</v>
      </c>
    </row>
    <row r="9953">
      <c r="A9953" s="1" t="s">
        <v>9953</v>
      </c>
      <c r="B9953" s="2" t="str">
        <f>IFERROR(__xludf.DUMMYFUNCTION("GOOGLETRANSLATE(A9953, ""de"", ""en"")"),"praise")</f>
        <v>praise</v>
      </c>
    </row>
    <row r="9954">
      <c r="A9954" s="1" t="s">
        <v>9954</v>
      </c>
      <c r="B9954" s="2" t="str">
        <f>IFERROR(__xludf.DUMMYFUNCTION("GOOGLETRANSLATE(A9954, ""de"", ""en"")"),"confuse")</f>
        <v>confuse</v>
      </c>
    </row>
    <row r="9955">
      <c r="A9955" s="1" t="s">
        <v>9955</v>
      </c>
      <c r="B9955" s="2" t="str">
        <f>IFERROR(__xludf.DUMMYFUNCTION("GOOGLETRANSLATE(A9955, ""de"", ""en"")"),"general")</f>
        <v>general</v>
      </c>
    </row>
    <row r="9956">
      <c r="A9956" s="1" t="s">
        <v>9956</v>
      </c>
      <c r="B9956" s="2" t="str">
        <f>IFERROR(__xludf.DUMMYFUNCTION("GOOGLETRANSLATE(A9956, ""de"", ""en"")"),"frustrated")</f>
        <v>frustrated</v>
      </c>
    </row>
    <row r="9957">
      <c r="A9957" s="1" t="s">
        <v>9957</v>
      </c>
      <c r="B9957" s="2" t="str">
        <f>IFERROR(__xludf.DUMMYFUNCTION("GOOGLETRANSLATE(A9957, ""de"", ""en"")"),"faint")</f>
        <v>faint</v>
      </c>
    </row>
    <row r="9958">
      <c r="A9958" s="1" t="s">
        <v>9958</v>
      </c>
      <c r="B9958" s="2" t="str">
        <f>IFERROR(__xludf.DUMMYFUNCTION("GOOGLETRANSLATE(A9958, ""de"", ""en"")"),"car key")</f>
        <v>car key</v>
      </c>
    </row>
    <row r="9959">
      <c r="A9959" s="1" t="s">
        <v>9959</v>
      </c>
      <c r="B9959" s="2" t="str">
        <f>IFERROR(__xludf.DUMMYFUNCTION("GOOGLETRANSLATE(A9959, ""de"", ""en"")"),"find out")</f>
        <v>find out</v>
      </c>
    </row>
    <row r="9960">
      <c r="A9960" s="1" t="s">
        <v>9960</v>
      </c>
      <c r="B9960" s="2" t="str">
        <f>IFERROR(__xludf.DUMMYFUNCTION("GOOGLETRANSLATE(A9960, ""de"", ""en"")"),"image")</f>
        <v>image</v>
      </c>
    </row>
    <row r="9961">
      <c r="A9961" s="1" t="s">
        <v>9961</v>
      </c>
      <c r="B9961" s="2" t="str">
        <f>IFERROR(__xludf.DUMMYFUNCTION("GOOGLETRANSLATE(A9961, ""de"", ""en"")"),"Grady")</f>
        <v>Grady</v>
      </c>
    </row>
    <row r="9962">
      <c r="A9962" s="1" t="s">
        <v>9962</v>
      </c>
      <c r="B9962" s="2" t="str">
        <f>IFERROR(__xludf.DUMMYFUNCTION("GOOGLETRANSLATE(A9962, ""de"", ""en"")"),"people")</f>
        <v>people</v>
      </c>
    </row>
    <row r="9963">
      <c r="A9963" s="1" t="s">
        <v>9963</v>
      </c>
      <c r="B9963" s="2" t="str">
        <f>IFERROR(__xludf.DUMMYFUNCTION("GOOGLETRANSLATE(A9963, ""de"", ""en"")"),"ominous")</f>
        <v>ominous</v>
      </c>
    </row>
    <row r="9964">
      <c r="A9964" s="1" t="s">
        <v>9964</v>
      </c>
      <c r="B9964" s="2" t="str">
        <f>IFERROR(__xludf.DUMMYFUNCTION("GOOGLETRANSLATE(A9964, ""de"", ""en"")"),"get it")</f>
        <v>get it</v>
      </c>
    </row>
    <row r="9965">
      <c r="A9965" s="1" t="s">
        <v>9965</v>
      </c>
      <c r="B9965" s="2" t="str">
        <f>IFERROR(__xludf.DUMMYFUNCTION("GOOGLETRANSLATE(A9965, ""de"", ""en"")"),"cigars")</f>
        <v>cigars</v>
      </c>
    </row>
    <row r="9966">
      <c r="A9966" s="1" t="s">
        <v>9966</v>
      </c>
      <c r="B9966" s="2" t="str">
        <f>IFERROR(__xludf.DUMMYFUNCTION("GOOGLETRANSLATE(A9966, ""de"", ""en"")"),"Jose")</f>
        <v>Jose</v>
      </c>
    </row>
    <row r="9967">
      <c r="A9967" s="1" t="s">
        <v>9967</v>
      </c>
      <c r="B9967" s="2" t="str">
        <f>IFERROR(__xludf.DUMMYFUNCTION("GOOGLETRANSLATE(A9967, ""de"", ""en"")"),"joint")</f>
        <v>joint</v>
      </c>
    </row>
    <row r="9968">
      <c r="A9968" s="1" t="s">
        <v>9968</v>
      </c>
      <c r="B9968" s="2" t="str">
        <f>IFERROR(__xludf.DUMMYFUNCTION("GOOGLETRANSLATE(A9968, ""de"", ""en"")"),"follow up")</f>
        <v>follow up</v>
      </c>
    </row>
    <row r="9969">
      <c r="A9969" s="1" t="s">
        <v>9969</v>
      </c>
      <c r="B9969" s="2" t="str">
        <f>IFERROR(__xludf.DUMMYFUNCTION("GOOGLETRANSLATE(A9969, ""de"", ""en"")"),"urged")</f>
        <v>urged</v>
      </c>
    </row>
    <row r="9970">
      <c r="A9970" s="1" t="s">
        <v>9970</v>
      </c>
      <c r="B9970" s="2" t="str">
        <f>IFERROR(__xludf.DUMMYFUNCTION("GOOGLETRANSLATE(A9970, ""de"", ""en"")"),"social")</f>
        <v>social</v>
      </c>
    </row>
    <row r="9971">
      <c r="A9971" s="1" t="s">
        <v>9971</v>
      </c>
      <c r="B9971" s="2" t="str">
        <f>IFERROR(__xludf.DUMMYFUNCTION("GOOGLETRANSLATE(A9971, ""de"", ""en"")"),"served")</f>
        <v>served</v>
      </c>
    </row>
    <row r="9972">
      <c r="A9972" s="1" t="s">
        <v>9972</v>
      </c>
      <c r="B9972" s="2" t="str">
        <f>IFERROR(__xludf.DUMMYFUNCTION("GOOGLETRANSLATE(A9972, ""de"", ""en"")"),"many")</f>
        <v>many</v>
      </c>
    </row>
    <row r="9973">
      <c r="A9973" s="1" t="s">
        <v>9973</v>
      </c>
      <c r="B9973" s="2" t="str">
        <f>IFERROR(__xludf.DUMMYFUNCTION("GOOGLETRANSLATE(A9973, ""de"", ""en"")"),"scientific")</f>
        <v>scientific</v>
      </c>
    </row>
    <row r="9974">
      <c r="A9974" s="1" t="s">
        <v>9974</v>
      </c>
      <c r="B9974" s="2" t="str">
        <f>IFERROR(__xludf.DUMMYFUNCTION("GOOGLETRANSLATE(A9974, ""de"", ""en"")"),"stand there")</f>
        <v>stand there</v>
      </c>
    </row>
    <row r="9975">
      <c r="A9975" s="1" t="s">
        <v>9975</v>
      </c>
      <c r="B9975" s="2" t="str">
        <f>IFERROR(__xludf.DUMMYFUNCTION("GOOGLETRANSLATE(A9975, ""de"", ""en"")"),"in the middle")</f>
        <v>in the middle</v>
      </c>
    </row>
    <row r="9976">
      <c r="A9976" s="1" t="s">
        <v>9976</v>
      </c>
      <c r="B9976" s="2" t="str">
        <f>IFERROR(__xludf.DUMMYFUNCTION("GOOGLETRANSLATE(A9976, ""de"", ""en"")"),"millie")</f>
        <v>millie</v>
      </c>
    </row>
    <row r="9977">
      <c r="A9977" s="1" t="s">
        <v>9977</v>
      </c>
      <c r="B9977" s="2" t="str">
        <f>IFERROR(__xludf.DUMMYFUNCTION("GOOGLETRANSLATE(A9977, ""de"", ""en"")"),"burned")</f>
        <v>burned</v>
      </c>
    </row>
    <row r="9978">
      <c r="A9978" s="1" t="s">
        <v>9978</v>
      </c>
      <c r="B9978" s="2" t="str">
        <f>IFERROR(__xludf.DUMMYFUNCTION("GOOGLETRANSLATE(A9978, ""de"", ""en"")"),"quantities")</f>
        <v>quantities</v>
      </c>
    </row>
    <row r="9979">
      <c r="A9979" s="1" t="s">
        <v>9979</v>
      </c>
      <c r="B9979" s="2" t="str">
        <f>IFERROR(__xludf.DUMMYFUNCTION("GOOGLETRANSLATE(A9979, ""de"", ""en"")"),"exceptionally")</f>
        <v>exceptionally</v>
      </c>
    </row>
    <row r="9980">
      <c r="A9980" s="1" t="s">
        <v>9980</v>
      </c>
      <c r="B9980" s="2" t="str">
        <f>IFERROR(__xludf.DUMMYFUNCTION("GOOGLETRANSLATE(A9980, ""de"", ""en"")"),"New Year's Eve")</f>
        <v>New Year's Eve</v>
      </c>
    </row>
    <row r="9981">
      <c r="A9981" s="1" t="s">
        <v>9981</v>
      </c>
      <c r="B9981" s="2" t="str">
        <f>IFERROR(__xludf.DUMMYFUNCTION("GOOGLETRANSLATE(A9981, ""de"", ""en"")"),"appointed")</f>
        <v>appointed</v>
      </c>
    </row>
    <row r="9982">
      <c r="A9982" s="1" t="s">
        <v>9982</v>
      </c>
      <c r="B9982" s="2" t="str">
        <f>IFERROR(__xludf.DUMMYFUNCTION("GOOGLETRANSLATE(A9982, ""de"", ""en"")"),"locker")</f>
        <v>locker</v>
      </c>
    </row>
    <row r="9983">
      <c r="A9983" s="1" t="s">
        <v>9983</v>
      </c>
      <c r="B9983" s="2" t="str">
        <f>IFERROR(__xludf.DUMMYFUNCTION("GOOGLETRANSLATE(A9983, ""de"", ""en"")"),"bunny")</f>
        <v>bunny</v>
      </c>
    </row>
    <row r="9984">
      <c r="A9984" s="1" t="s">
        <v>9984</v>
      </c>
      <c r="B9984" s="2" t="str">
        <f>IFERROR(__xludf.DUMMYFUNCTION("GOOGLETRANSLATE(A9984, ""de"", ""en"")"),"kenneth")</f>
        <v>kenneth</v>
      </c>
    </row>
    <row r="9985">
      <c r="A9985" s="1" t="s">
        <v>9985</v>
      </c>
      <c r="B9985" s="2" t="str">
        <f>IFERROR(__xludf.DUMMYFUNCTION("GOOGLETRANSLATE(A9985, ""de"", ""en"")"),"tables")</f>
        <v>tables</v>
      </c>
    </row>
    <row r="9986">
      <c r="A9986" s="1" t="s">
        <v>9986</v>
      </c>
      <c r="B9986" s="2" t="str">
        <f>IFERROR(__xludf.DUMMYFUNCTION("GOOGLETRANSLATE(A9986, ""de"", ""en"")"),"wash")</f>
        <v>wash</v>
      </c>
    </row>
    <row r="9987">
      <c r="A9987" s="1" t="s">
        <v>9987</v>
      </c>
      <c r="B9987" s="2" t="str">
        <f>IFERROR(__xludf.DUMMYFUNCTION("GOOGLETRANSLATE(A9987, ""de"", ""en"")"),"vase")</f>
        <v>vase</v>
      </c>
    </row>
    <row r="9988">
      <c r="A9988" s="1" t="s">
        <v>9988</v>
      </c>
      <c r="B9988" s="2" t="str">
        <f>IFERROR(__xludf.DUMMYFUNCTION("GOOGLETRANSLATE(A9988, ""de"", ""en"")"),"retain")</f>
        <v>retain</v>
      </c>
    </row>
    <row r="9989">
      <c r="A9989" s="1" t="s">
        <v>9989</v>
      </c>
      <c r="B9989" s="2" t="str">
        <f>IFERROR(__xludf.DUMMYFUNCTION("GOOGLETRANSLATE(A9989, ""de"", ""en"")"),"helped")</f>
        <v>helped</v>
      </c>
    </row>
    <row r="9990">
      <c r="A9990" s="1" t="s">
        <v>9990</v>
      </c>
      <c r="B9990" s="2" t="str">
        <f>IFERROR(__xludf.DUMMYFUNCTION("GOOGLETRANSLATE(A9990, ""de"", ""en"")"),"took over")</f>
        <v>took over</v>
      </c>
    </row>
    <row r="9991">
      <c r="A9991" s="1" t="s">
        <v>9991</v>
      </c>
      <c r="B9991" s="2" t="str">
        <f>IFERROR(__xludf.DUMMYFUNCTION("GOOGLETRANSLATE(A9991, ""de"", ""en"")"),"millionaire")</f>
        <v>millionaire</v>
      </c>
    </row>
    <row r="9992">
      <c r="A9992" s="1" t="s">
        <v>9992</v>
      </c>
      <c r="B9992" s="2" t="str">
        <f>IFERROR(__xludf.DUMMYFUNCTION("GOOGLETRANSLATE(A9992, ""de"", ""en"")"),"thirty")</f>
        <v>thirty</v>
      </c>
    </row>
    <row r="9993">
      <c r="A9993" s="1" t="s">
        <v>9993</v>
      </c>
      <c r="B9993" s="2" t="str">
        <f>IFERROR(__xludf.DUMMYFUNCTION("GOOGLETRANSLATE(A9993, ""de"", ""en"")"),"Bernadette")</f>
        <v>Bernadette</v>
      </c>
    </row>
    <row r="9994">
      <c r="A9994" s="1" t="s">
        <v>9994</v>
      </c>
      <c r="B9994" s="2" t="str">
        <f>IFERROR(__xludf.DUMMYFUNCTION("GOOGLETRANSLATE(A9994, ""de"", ""en"")"),"those")</f>
        <v>those</v>
      </c>
    </row>
    <row r="9995">
      <c r="A9995" s="1" t="s">
        <v>9995</v>
      </c>
      <c r="B9995" s="2" t="str">
        <f>IFERROR(__xludf.DUMMYFUNCTION("GOOGLETRANSLATE(A9995, ""de"", ""en"")"),"enthusiasm")</f>
        <v>enthusiasm</v>
      </c>
    </row>
    <row r="9996">
      <c r="A9996" s="1" t="s">
        <v>9996</v>
      </c>
      <c r="B9996" s="2" t="str">
        <f>IFERROR(__xludf.DUMMYFUNCTION("GOOGLETRANSLATE(A9996, ""de"", ""en"")"),"researcher")</f>
        <v>researcher</v>
      </c>
    </row>
    <row r="9997">
      <c r="A9997" s="1" t="s">
        <v>9997</v>
      </c>
      <c r="B9997" s="2" t="str">
        <f>IFERROR(__xludf.DUMMYFUNCTION("GOOGLETRANSLATE(A9997, ""de"", ""en"")"),"gifted")</f>
        <v>gifted</v>
      </c>
    </row>
    <row r="9998">
      <c r="A9998" s="1" t="s">
        <v>9998</v>
      </c>
      <c r="B9998" s="2" t="str">
        <f>IFERROR(__xludf.DUMMYFUNCTION("GOOGLETRANSLATE(A9998, ""de"", ""en"")"),"design")</f>
        <v>design</v>
      </c>
    </row>
    <row r="9999">
      <c r="A9999" s="1" t="s">
        <v>9999</v>
      </c>
      <c r="B9999" s="2" t="str">
        <f>IFERROR(__xludf.DUMMYFUNCTION("GOOGLETRANSLATE(A9999, ""de"", ""en"")"),"Matthews")</f>
        <v>Matthews</v>
      </c>
    </row>
    <row r="10000">
      <c r="A10000" s="1" t="s">
        <v>10000</v>
      </c>
      <c r="B10000" s="2" t="str">
        <f>IFERROR(__xludf.DUMMYFUNCTION("GOOGLETRANSLATE(A10000, ""de"", ""en"")"),"baptism")</f>
        <v>baptism</v>
      </c>
    </row>
    <row r="10001">
      <c r="A10001" s="1" t="s">
        <v>10001</v>
      </c>
      <c r="B10001" s="2" t="str">
        <f>IFERROR(__xludf.DUMMYFUNCTION("GOOGLETRANSLATE(A10001, ""de"", ""en"")"),"decisive")</f>
        <v>decisive</v>
      </c>
    </row>
    <row r="10002">
      <c r="A10002" s="1" t="s">
        <v>10002</v>
      </c>
      <c r="B10002" s="2" t="str">
        <f>IFERROR(__xludf.DUMMYFUNCTION("GOOGLETRANSLATE(A10002, ""de"", ""en"")"),"have back")</f>
        <v>have back</v>
      </c>
    </row>
    <row r="10003">
      <c r="A10003" s="1" t="s">
        <v>10003</v>
      </c>
      <c r="B10003" s="2" t="str">
        <f>IFERROR(__xludf.DUMMYFUNCTION("GOOGLETRANSLATE(A10003, ""de"", ""en"")"),"Katrina")</f>
        <v>Katrina</v>
      </c>
    </row>
    <row r="10004">
      <c r="A10004" s="1" t="s">
        <v>10004</v>
      </c>
      <c r="B10004" s="2" t="str">
        <f>IFERROR(__xludf.DUMMYFUNCTION("GOOGLETRANSLATE(A10004, ""de"", ""en"")"),"annoying")</f>
        <v>annoying</v>
      </c>
    </row>
    <row r="10005">
      <c r="A10005" s="1" t="s">
        <v>10005</v>
      </c>
      <c r="B10005" s="2" t="str">
        <f>IFERROR(__xludf.DUMMYFUNCTION("GOOGLETRANSLATE(A10005, ""de"", ""en"")"),"enters")</f>
        <v>enters</v>
      </c>
    </row>
    <row r="10006">
      <c r="A10006" s="1" t="s">
        <v>10006</v>
      </c>
      <c r="B10006" s="2" t="str">
        <f>IFERROR(__xludf.DUMMYFUNCTION("GOOGLETRANSLATE(A10006, ""de"", ""en"")"),"Rodrigo")</f>
        <v>Rodrigo</v>
      </c>
    </row>
    <row r="10007">
      <c r="A10007" s="1" t="s">
        <v>10007</v>
      </c>
      <c r="B10007" s="2" t="str">
        <f>IFERROR(__xludf.DUMMYFUNCTION("GOOGLETRANSLATE(A10007, ""de"", ""en"")"),"cuckoo")</f>
        <v>cuckoo</v>
      </c>
    </row>
    <row r="10008">
      <c r="A10008" s="1" t="s">
        <v>10008</v>
      </c>
      <c r="B10008" s="2" t="str">
        <f>IFERROR(__xludf.DUMMYFUNCTION("GOOGLETRANSLATE(A10008, ""de"", ""en"")"),"changed")</f>
        <v>changed</v>
      </c>
    </row>
    <row r="10009">
      <c r="A10009" s="1" t="s">
        <v>10009</v>
      </c>
      <c r="B10009" s="2" t="str">
        <f>IFERROR(__xludf.DUMMYFUNCTION("GOOGLETRANSLATE(A10009, ""de"", ""en"")"),"accomplished")</f>
        <v>accomplished</v>
      </c>
    </row>
    <row r="10010">
      <c r="A10010" s="1" t="s">
        <v>10010</v>
      </c>
      <c r="B10010" s="2" t="str">
        <f>IFERROR(__xludf.DUMMYFUNCTION("GOOGLETRANSLATE(A10010, ""de"", ""en"")"),"respectively")</f>
        <v>respectively</v>
      </c>
    </row>
    <row r="10011">
      <c r="A10011" s="1" t="s">
        <v>10011</v>
      </c>
      <c r="B10011" s="2" t="str">
        <f>IFERROR(__xludf.DUMMYFUNCTION("GOOGLETRANSLATE(A10011, ""de"", ""en"")"),"suitable")</f>
        <v>suitable</v>
      </c>
    </row>
    <row r="10012">
      <c r="A10012" s="1" t="s">
        <v>10012</v>
      </c>
      <c r="B10012" s="2" t="str">
        <f>IFERROR(__xludf.DUMMYFUNCTION("GOOGLETRANSLATE(A10012, ""de"", ""en"")"),"independence")</f>
        <v>independence</v>
      </c>
    </row>
    <row r="10013">
      <c r="A10013" s="1" t="s">
        <v>10013</v>
      </c>
      <c r="B10013" s="2" t="str">
        <f>IFERROR(__xludf.DUMMYFUNCTION("GOOGLETRANSLATE(A10013, ""de"", ""en"")"),"door")</f>
        <v>door</v>
      </c>
    </row>
    <row r="10014">
      <c r="A10014" s="1" t="s">
        <v>10014</v>
      </c>
      <c r="B10014" s="2" t="str">
        <f>IFERROR(__xludf.DUMMYFUNCTION("GOOGLETRANSLATE(A10014, ""de"", ""en"")"),"break in")</f>
        <v>break in</v>
      </c>
    </row>
    <row r="10015">
      <c r="A10015" s="1" t="s">
        <v>10015</v>
      </c>
      <c r="B10015" s="2" t="str">
        <f>IFERROR(__xludf.DUMMYFUNCTION("GOOGLETRANSLATE(A10015, ""de"", ""en"")"),"follow")</f>
        <v>follow</v>
      </c>
    </row>
    <row r="10016">
      <c r="A10016" s="1" t="s">
        <v>10016</v>
      </c>
      <c r="B10016" s="2" t="str">
        <f>IFERROR(__xludf.DUMMYFUNCTION("GOOGLETRANSLATE(A10016, ""de"", ""en"")"),"gap")</f>
        <v>gap</v>
      </c>
    </row>
    <row r="10017">
      <c r="A10017" s="1" t="s">
        <v>10017</v>
      </c>
      <c r="B10017" s="2" t="str">
        <f>IFERROR(__xludf.DUMMYFUNCTION("GOOGLETRANSLATE(A10017, ""de"", ""en"")"),"younger")</f>
        <v>younger</v>
      </c>
    </row>
    <row r="10018">
      <c r="A10018" s="1" t="s">
        <v>10018</v>
      </c>
      <c r="B10018" s="2" t="str">
        <f>IFERROR(__xludf.DUMMYFUNCTION("GOOGLETRANSLATE(A10018, ""de"", ""en"")"),"property")</f>
        <v>property</v>
      </c>
    </row>
    <row r="10019">
      <c r="A10019" s="1" t="s">
        <v>10019</v>
      </c>
      <c r="B10019" s="2" t="str">
        <f>IFERROR(__xludf.DUMMYFUNCTION("GOOGLETRANSLATE(A10019, ""de"", ""en"")"),"industries")</f>
        <v>industries</v>
      </c>
    </row>
    <row r="10020">
      <c r="A10020" s="1" t="s">
        <v>10020</v>
      </c>
      <c r="B10020" s="2" t="str">
        <f>IFERROR(__xludf.DUMMYFUNCTION("GOOGLETRANSLATE(A10020, ""de"", ""en"")"),"pregnant women")</f>
        <v>pregnant women</v>
      </c>
    </row>
    <row r="10021">
      <c r="A10021" s="1" t="s">
        <v>10021</v>
      </c>
      <c r="B10021" s="2" t="str">
        <f>IFERROR(__xludf.DUMMYFUNCTION("GOOGLETRANSLATE(A10021, ""de"", ""en"")"),"mischief")</f>
        <v>mischief</v>
      </c>
    </row>
    <row r="10022">
      <c r="A10022" s="1" t="s">
        <v>10022</v>
      </c>
      <c r="B10022" s="2" t="str">
        <f>IFERROR(__xludf.DUMMYFUNCTION("GOOGLETRANSLATE(A10022, ""de"", ""en"")"),"female")</f>
        <v>female</v>
      </c>
    </row>
    <row r="10023">
      <c r="A10023" s="1" t="s">
        <v>10023</v>
      </c>
      <c r="B10023" s="2" t="str">
        <f>IFERROR(__xludf.DUMMYFUNCTION("GOOGLETRANSLATE(A10023, ""de"", ""en"")"),"seized")</f>
        <v>seized</v>
      </c>
    </row>
    <row r="10024">
      <c r="A10024" s="1" t="s">
        <v>10024</v>
      </c>
      <c r="B10024" s="2" t="str">
        <f>IFERROR(__xludf.DUMMYFUNCTION("GOOGLETRANSLATE(A10024, ""de"", ""en"")"),"anniversary")</f>
        <v>anniversary</v>
      </c>
    </row>
    <row r="10025">
      <c r="A10025" s="1" t="s">
        <v>10025</v>
      </c>
      <c r="B10025" s="2" t="str">
        <f>IFERROR(__xludf.DUMMYFUNCTION("GOOGLETRANSLATE(A10025, ""de"", ""en"")"),"oleson")</f>
        <v>oleson</v>
      </c>
    </row>
    <row r="10026">
      <c r="A10026" s="1" t="s">
        <v>10026</v>
      </c>
      <c r="B10026" s="2" t="str">
        <f>IFERROR(__xludf.DUMMYFUNCTION("GOOGLETRANSLATE(A10026, ""de"", ""en"")"),"fry")</f>
        <v>fry</v>
      </c>
    </row>
    <row r="10027">
      <c r="A10027" s="1" t="s">
        <v>10027</v>
      </c>
      <c r="B10027" s="2" t="str">
        <f>IFERROR(__xludf.DUMMYFUNCTION("GOOGLETRANSLATE(A10027, ""de"", ""en"")"),"excellent")</f>
        <v>excellent</v>
      </c>
    </row>
    <row r="10028">
      <c r="A10028" s="1" t="s">
        <v>10028</v>
      </c>
      <c r="B10028" s="2" t="str">
        <f>IFERROR(__xludf.DUMMYFUNCTION("GOOGLETRANSLATE(A10028, ""de"", ""en"")"),"shine")</f>
        <v>shine</v>
      </c>
    </row>
    <row r="10029">
      <c r="A10029" s="1" t="s">
        <v>10029</v>
      </c>
      <c r="B10029" s="2" t="str">
        <f>IFERROR(__xludf.DUMMYFUNCTION("GOOGLETRANSLATE(A10029, ""de"", ""en"")"),"made")</f>
        <v>made</v>
      </c>
    </row>
    <row r="10030">
      <c r="A10030" s="1" t="s">
        <v>10030</v>
      </c>
      <c r="B10030" s="2" t="str">
        <f>IFERROR(__xludf.DUMMYFUNCTION("GOOGLETRANSLATE(A10030, ""de"", ""en"")"),"recorded")</f>
        <v>recorded</v>
      </c>
    </row>
    <row r="10031">
      <c r="A10031" s="1" t="s">
        <v>10031</v>
      </c>
      <c r="B10031" s="2" t="str">
        <f>IFERROR(__xludf.DUMMYFUNCTION("GOOGLETRANSLATE(A10031, ""de"", ""en"")"),"business")</f>
        <v>business</v>
      </c>
    </row>
    <row r="10032">
      <c r="A10032" s="1" t="s">
        <v>10032</v>
      </c>
      <c r="B10032" s="2" t="str">
        <f>IFERROR(__xludf.DUMMYFUNCTION("GOOGLETRANSLATE(A10032, ""de"", ""en"")"),"depression")</f>
        <v>depression</v>
      </c>
    </row>
    <row r="10033">
      <c r="A10033" s="1" t="s">
        <v>10033</v>
      </c>
      <c r="B10033" s="2" t="str">
        <f>IFERROR(__xludf.DUMMYFUNCTION("GOOGLETRANSLATE(A10033, ""de"", ""en"")"),"private")</f>
        <v>private</v>
      </c>
    </row>
    <row r="10034">
      <c r="A10034" s="1" t="s">
        <v>10034</v>
      </c>
      <c r="B10034" s="2" t="str">
        <f>IFERROR(__xludf.DUMMYFUNCTION("GOOGLETRANSLATE(A10034, ""de"", ""en"")"),"strike")</f>
        <v>strike</v>
      </c>
    </row>
    <row r="10035">
      <c r="A10035" s="1" t="s">
        <v>10035</v>
      </c>
      <c r="B10035" s="2" t="str">
        <f>IFERROR(__xludf.DUMMYFUNCTION("GOOGLETRANSLATE(A10035, ""de"", ""en"")"),"Alaska")</f>
        <v>Alaska</v>
      </c>
    </row>
    <row r="10036">
      <c r="A10036" s="1" t="s">
        <v>10036</v>
      </c>
      <c r="B10036" s="2" t="str">
        <f>IFERROR(__xludf.DUMMYFUNCTION("GOOGLETRANSLATE(A10036, ""de"", ""en"")"),"frances")</f>
        <v>frances</v>
      </c>
    </row>
    <row r="10037">
      <c r="A10037" s="1" t="s">
        <v>10037</v>
      </c>
      <c r="B10037" s="2" t="str">
        <f>IFERROR(__xludf.DUMMYFUNCTION("GOOGLETRANSLATE(A10037, ""de"", ""en"")"),"walls")</f>
        <v>walls</v>
      </c>
    </row>
    <row r="10038">
      <c r="A10038" s="1" t="s">
        <v>10038</v>
      </c>
      <c r="B10038" s="2" t="str">
        <f>IFERROR(__xludf.DUMMYFUNCTION("GOOGLETRANSLATE(A10038, ""de"", ""en"")"),"awaken")</f>
        <v>awaken</v>
      </c>
    </row>
    <row r="10039">
      <c r="A10039" s="1" t="s">
        <v>10039</v>
      </c>
      <c r="B10039" s="2" t="str">
        <f>IFERROR(__xludf.DUMMYFUNCTION("GOOGLETRANSLATE(A10039, ""de"", ""en"")"),"sawyer")</f>
        <v>sawyer</v>
      </c>
    </row>
    <row r="10040">
      <c r="A10040" s="1" t="s">
        <v>10040</v>
      </c>
      <c r="B10040" s="2" t="str">
        <f>IFERROR(__xludf.DUMMYFUNCTION("GOOGLETRANSLATE(A10040, ""de"", ""en"")"),"male")</f>
        <v>male</v>
      </c>
    </row>
    <row r="10041">
      <c r="A10041" s="1" t="s">
        <v>10041</v>
      </c>
      <c r="B10041" s="2" t="str">
        <f>IFERROR(__xludf.DUMMYFUNCTION("GOOGLETRANSLATE(A10041, ""de"", ""en"")"),"reduce")</f>
        <v>reduce</v>
      </c>
    </row>
    <row r="10042">
      <c r="A10042" s="1" t="s">
        <v>10042</v>
      </c>
      <c r="B10042" s="2" t="str">
        <f>IFERROR(__xludf.DUMMYFUNCTION("GOOGLETRANSLATE(A10042, ""de"", ""en"")"),"otis")</f>
        <v>otis</v>
      </c>
    </row>
    <row r="10043">
      <c r="A10043" s="1" t="s">
        <v>10043</v>
      </c>
      <c r="B10043" s="2" t="str">
        <f>IFERROR(__xludf.DUMMYFUNCTION("GOOGLETRANSLATE(A10043, ""de"", ""en"")"),"Spanish")</f>
        <v>Spanish</v>
      </c>
    </row>
    <row r="10044">
      <c r="A10044" s="1" t="s">
        <v>10044</v>
      </c>
      <c r="B10044" s="2" t="str">
        <f>IFERROR(__xludf.DUMMYFUNCTION("GOOGLETRANSLATE(A10044, ""de"", ""en"")"),"official")</f>
        <v>official</v>
      </c>
    </row>
    <row r="10045">
      <c r="A10045" s="1" t="s">
        <v>10045</v>
      </c>
      <c r="B10045" s="2" t="str">
        <f>IFERROR(__xludf.DUMMYFUNCTION("GOOGLETRANSLATE(A10045, ""de"", ""en"")"),"commission")</f>
        <v>commission</v>
      </c>
    </row>
    <row r="10046">
      <c r="A10046" s="1" t="s">
        <v>10046</v>
      </c>
      <c r="B10046" s="2" t="str">
        <f>IFERROR(__xludf.DUMMYFUNCTION("GOOGLETRANSLATE(A10046, ""de"", ""en"")"),"fifty")</f>
        <v>fifty</v>
      </c>
    </row>
    <row r="10047">
      <c r="A10047" s="1" t="s">
        <v>10047</v>
      </c>
      <c r="B10047" s="2" t="str">
        <f>IFERROR(__xludf.DUMMYFUNCTION("GOOGLETRANSLATE(A10047, ""de"", ""en"")"),"humiliated")</f>
        <v>humiliated</v>
      </c>
    </row>
    <row r="10048">
      <c r="A10048" s="1" t="s">
        <v>10048</v>
      </c>
      <c r="B10048" s="2" t="str">
        <f>IFERROR(__xludf.DUMMYFUNCTION("GOOGLETRANSLATE(A10048, ""de"", ""en"")"),"look")</f>
        <v>look</v>
      </c>
    </row>
    <row r="10049">
      <c r="A10049" s="1" t="s">
        <v>10049</v>
      </c>
      <c r="B10049" s="2" t="str">
        <f>IFERROR(__xludf.DUMMYFUNCTION("GOOGLETRANSLATE(A10049, ""de"", ""en"")"),"majority")</f>
        <v>majority</v>
      </c>
    </row>
    <row r="10050">
      <c r="A10050" s="1" t="s">
        <v>10050</v>
      </c>
      <c r="B10050" s="2" t="str">
        <f>IFERROR(__xludf.DUMMYFUNCTION("GOOGLETRANSLATE(A10050, ""de"", ""en"")"),"expensive")</f>
        <v>expensive</v>
      </c>
    </row>
    <row r="10051">
      <c r="A10051" s="1" t="s">
        <v>10051</v>
      </c>
      <c r="B10051" s="2" t="str">
        <f>IFERROR(__xludf.DUMMYFUNCTION("GOOGLETRANSLATE(A10051, ""de"", ""en"")"),"tear off")</f>
        <v>tear off</v>
      </c>
    </row>
    <row r="10052">
      <c r="A10052" s="1" t="s">
        <v>10052</v>
      </c>
      <c r="B10052" s="2" t="str">
        <f>IFERROR(__xludf.DUMMYFUNCTION("GOOGLETRANSLATE(A10052, ""de"", ""en"")"),"comedy")</f>
        <v>comedy</v>
      </c>
    </row>
    <row r="10053">
      <c r="A10053" s="1" t="s">
        <v>10053</v>
      </c>
      <c r="B10053" s="2" t="str">
        <f>IFERROR(__xludf.DUMMYFUNCTION("GOOGLETRANSLATE(A10053, ""de"", ""en"")"),"confess")</f>
        <v>confess</v>
      </c>
    </row>
    <row r="10054">
      <c r="A10054" s="1" t="s">
        <v>10054</v>
      </c>
      <c r="B10054" s="2" t="str">
        <f>IFERROR(__xludf.DUMMYFUNCTION("GOOGLETRANSLATE(A10054, ""de"", ""en"")"),"extraordinary")</f>
        <v>extraordinary</v>
      </c>
    </row>
    <row r="10055">
      <c r="A10055" s="1" t="s">
        <v>10055</v>
      </c>
      <c r="B10055" s="2" t="str">
        <f>IFERROR(__xludf.DUMMYFUNCTION("GOOGLETRANSLATE(A10055, ""de"", ""en"")"),"hard")</f>
        <v>hard</v>
      </c>
    </row>
    <row r="10056">
      <c r="A10056" s="1" t="s">
        <v>10056</v>
      </c>
      <c r="B10056" s="2" t="str">
        <f>IFERROR(__xludf.DUMMYFUNCTION("GOOGLETRANSLATE(A10056, ""de"", ""en"")"),"tried")</f>
        <v>tried</v>
      </c>
    </row>
    <row r="10057">
      <c r="A10057" s="1" t="s">
        <v>10057</v>
      </c>
      <c r="B10057" s="2" t="str">
        <f>IFERROR(__xludf.DUMMYFUNCTION("GOOGLETRANSLATE(A10057, ""de"", ""en"")"),"come down")</f>
        <v>come down</v>
      </c>
    </row>
    <row r="10058">
      <c r="A10058" s="1" t="s">
        <v>10058</v>
      </c>
      <c r="B10058" s="2" t="str">
        <f>IFERROR(__xludf.DUMMYFUNCTION("GOOGLETRANSLATE(A10058, ""de"", ""en"")"),"carries")</f>
        <v>carries</v>
      </c>
    </row>
    <row r="10059">
      <c r="A10059" s="1" t="s">
        <v>10059</v>
      </c>
      <c r="B10059" s="2" t="str">
        <f>IFERROR(__xludf.DUMMYFUNCTION("GOOGLETRANSLATE(A10059, ""de"", ""en"")"),"saves")</f>
        <v>saves</v>
      </c>
    </row>
    <row r="10060">
      <c r="A10060" s="1" t="s">
        <v>10060</v>
      </c>
      <c r="B10060" s="2" t="str">
        <f>IFERROR(__xludf.DUMMYFUNCTION("GOOGLETRANSLATE(A10060, ""de"", ""en"")"),"balls")</f>
        <v>balls</v>
      </c>
    </row>
    <row r="10061">
      <c r="A10061" s="1" t="s">
        <v>10061</v>
      </c>
      <c r="B10061" s="2" t="str">
        <f>IFERROR(__xludf.DUMMYFUNCTION("GOOGLETRANSLATE(A10061, ""de"", ""en"")"),"vehicles")</f>
        <v>vehicles</v>
      </c>
    </row>
    <row r="10062">
      <c r="A10062" s="1" t="s">
        <v>10062</v>
      </c>
      <c r="B10062" s="2" t="str">
        <f>IFERROR(__xludf.DUMMYFUNCTION("GOOGLETRANSLATE(A10062, ""de"", ""en"")"),"freya")</f>
        <v>freya</v>
      </c>
    </row>
    <row r="10063">
      <c r="A10063" s="1" t="s">
        <v>10063</v>
      </c>
      <c r="B10063" s="2" t="str">
        <f>IFERROR(__xludf.DUMMYFUNCTION("GOOGLETRANSLATE(A10063, ""de"", ""en"")"),"count")</f>
        <v>count</v>
      </c>
    </row>
    <row r="10064">
      <c r="A10064" s="1" t="s">
        <v>10064</v>
      </c>
      <c r="B10064" s="2" t="str">
        <f>IFERROR(__xludf.DUMMYFUNCTION("GOOGLETRANSLATE(A10064, ""de"", ""en"")"),"admirer")</f>
        <v>admirer</v>
      </c>
    </row>
    <row r="10065">
      <c r="A10065" s="1" t="s">
        <v>10065</v>
      </c>
      <c r="B10065" s="2" t="str">
        <f>IFERROR(__xludf.DUMMYFUNCTION("GOOGLETRANSLATE(A10065, ""de"", ""en"")"),"stretch")</f>
        <v>stretch</v>
      </c>
    </row>
    <row r="10066">
      <c r="A10066" s="1" t="s">
        <v>10066</v>
      </c>
      <c r="B10066" s="2" t="str">
        <f>IFERROR(__xludf.DUMMYFUNCTION("GOOGLETRANSLATE(A10066, ""de"", ""en"")"),"against each other")</f>
        <v>against each other</v>
      </c>
    </row>
    <row r="10067">
      <c r="A10067" s="1" t="s">
        <v>10067</v>
      </c>
      <c r="B10067" s="2" t="str">
        <f>IFERROR(__xludf.DUMMYFUNCTION("GOOGLETRANSLATE(A10067, ""de"", ""en"")"),"fill out")</f>
        <v>fill out</v>
      </c>
    </row>
    <row r="10068">
      <c r="A10068" s="1" t="s">
        <v>10068</v>
      </c>
      <c r="B10068" s="2" t="str">
        <f>IFERROR(__xludf.DUMMYFUNCTION("GOOGLETRANSLATE(A10068, ""de"", ""en"")"),"olive")</f>
        <v>olive</v>
      </c>
    </row>
    <row r="10069">
      <c r="A10069" s="1" t="s">
        <v>10069</v>
      </c>
      <c r="B10069" s="2" t="str">
        <f>IFERROR(__xludf.DUMMYFUNCTION("GOOGLETRANSLATE(A10069, ""de"", ""en"")"),"crazy")</f>
        <v>crazy</v>
      </c>
    </row>
    <row r="10070">
      <c r="A10070" s="1" t="s">
        <v>10070</v>
      </c>
      <c r="B10070" s="2" t="str">
        <f>IFERROR(__xludf.DUMMYFUNCTION("GOOGLETRANSLATE(A10070, ""de"", ""en"")"),"legacy")</f>
        <v>legacy</v>
      </c>
    </row>
    <row r="10071">
      <c r="A10071" s="1" t="s">
        <v>10071</v>
      </c>
      <c r="B10071" s="2" t="str">
        <f>IFERROR(__xludf.DUMMYFUNCTION("GOOGLETRANSLATE(A10071, ""de"", ""en"")"),"participation")</f>
        <v>participation</v>
      </c>
    </row>
    <row r="10072">
      <c r="A10072" s="1" t="s">
        <v>10072</v>
      </c>
      <c r="B10072" s="2" t="str">
        <f>IFERROR(__xludf.DUMMYFUNCTION("GOOGLETRANSLATE(A10072, ""de"", ""en"")"),"brat")</f>
        <v>brat</v>
      </c>
    </row>
    <row r="10073">
      <c r="A10073" s="1" t="s">
        <v>10073</v>
      </c>
      <c r="B10073" s="2" t="str">
        <f>IFERROR(__xludf.DUMMYFUNCTION("GOOGLETRANSLATE(A10073, ""de"", ""en"")"),"p.")</f>
        <v>p.</v>
      </c>
    </row>
    <row r="10074">
      <c r="A10074" s="1" t="s">
        <v>10074</v>
      </c>
      <c r="B10074" s="2" t="str">
        <f>IFERROR(__xludf.DUMMYFUNCTION("GOOGLETRANSLATE(A10074, ""de"", ""en"")"),"goddammit")</f>
        <v>goddammit</v>
      </c>
    </row>
    <row r="10075">
      <c r="A10075" s="1" t="s">
        <v>10075</v>
      </c>
      <c r="B10075" s="2" t="str">
        <f>IFERROR(__xludf.DUMMYFUNCTION("GOOGLETRANSLATE(A10075, ""de"", ""en"")"),"tiny")</f>
        <v>tiny</v>
      </c>
    </row>
    <row r="10076">
      <c r="A10076" s="1" t="s">
        <v>10076</v>
      </c>
      <c r="B10076" s="2" t="str">
        <f>IFERROR(__xludf.DUMMYFUNCTION("GOOGLETRANSLATE(A10076, ""de"", ""en"")"),"nights")</f>
        <v>nights</v>
      </c>
    </row>
    <row r="10077">
      <c r="A10077" s="1" t="s">
        <v>10077</v>
      </c>
      <c r="B10077" s="2" t="str">
        <f>IFERROR(__xludf.DUMMYFUNCTION("GOOGLETRANSLATE(A10077, ""de"", ""en"")"),"corrosive")</f>
        <v>corrosive</v>
      </c>
    </row>
    <row r="10078">
      <c r="A10078" s="1" t="s">
        <v>10078</v>
      </c>
      <c r="B10078" s="2" t="str">
        <f>IFERROR(__xludf.DUMMYFUNCTION("GOOGLETRANSLATE(A10078, ""de"", ""en"")"),"capital")</f>
        <v>capital</v>
      </c>
    </row>
    <row r="10079">
      <c r="A10079" s="1" t="s">
        <v>10079</v>
      </c>
      <c r="B10079" s="2" t="str">
        <f>IFERROR(__xludf.DUMMYFUNCTION("GOOGLETRANSLATE(A10079, ""de"", ""en"")"),"attack")</f>
        <v>attack</v>
      </c>
    </row>
    <row r="10080">
      <c r="A10080" s="1" t="s">
        <v>10080</v>
      </c>
      <c r="B10080" s="2" t="str">
        <f>IFERROR(__xludf.DUMMYFUNCTION("GOOGLETRANSLATE(A10080, ""de"", ""en"")"),"job interview")</f>
        <v>job interview</v>
      </c>
    </row>
    <row r="10081">
      <c r="A10081" s="1" t="s">
        <v>10081</v>
      </c>
      <c r="B10081" s="2" t="str">
        <f>IFERROR(__xludf.DUMMYFUNCTION("GOOGLETRANSLATE(A10081, ""de"", ""en"")"),"interested")</f>
        <v>interested</v>
      </c>
    </row>
    <row r="10082">
      <c r="A10082" s="1" t="s">
        <v>10082</v>
      </c>
      <c r="B10082" s="2" t="str">
        <f>IFERROR(__xludf.DUMMYFUNCTION("GOOGLETRANSLATE(A10082, ""de"", ""en"")"),"medium")</f>
        <v>medium</v>
      </c>
    </row>
    <row r="10083">
      <c r="A10083" s="1" t="s">
        <v>10083</v>
      </c>
      <c r="B10083" s="2" t="str">
        <f>IFERROR(__xludf.DUMMYFUNCTION("GOOGLETRANSLATE(A10083, ""de"", ""en"")"),"apply")</f>
        <v>apply</v>
      </c>
    </row>
    <row r="10084">
      <c r="A10084" s="1" t="s">
        <v>10084</v>
      </c>
      <c r="B10084" s="2" t="str">
        <f>IFERROR(__xludf.DUMMYFUNCTION("GOOGLETRANSLATE(A10084, ""de"", ""en"")"),"Hamlet")</f>
        <v>Hamlet</v>
      </c>
    </row>
    <row r="10085">
      <c r="A10085" s="1" t="s">
        <v>10085</v>
      </c>
      <c r="B10085" s="2" t="str">
        <f>IFERROR(__xludf.DUMMYFUNCTION("GOOGLETRANSLATE(A10085, ""de"", ""en"")"),"floor")</f>
        <v>floor</v>
      </c>
    </row>
    <row r="10086">
      <c r="A10086" s="1" t="s">
        <v>10086</v>
      </c>
      <c r="B10086" s="2" t="str">
        <f>IFERROR(__xludf.DUMMYFUNCTION("GOOGLETRANSLATE(A10086, ""de"", ""en"")"),"hospitals")</f>
        <v>hospitals</v>
      </c>
    </row>
    <row r="10087">
      <c r="A10087" s="1" t="s">
        <v>10087</v>
      </c>
      <c r="B10087" s="2" t="str">
        <f>IFERROR(__xludf.DUMMYFUNCTION("GOOGLETRANSLATE(A10087, ""de"", ""en"")"),"direct")</f>
        <v>direct</v>
      </c>
    </row>
    <row r="10088">
      <c r="A10088" s="1" t="s">
        <v>10088</v>
      </c>
      <c r="B10088" s="2" t="str">
        <f>IFERROR(__xludf.DUMMYFUNCTION("GOOGLETRANSLATE(A10088, ""de"", ""en"")"),"need")</f>
        <v>need</v>
      </c>
    </row>
    <row r="10089">
      <c r="A10089" s="1" t="s">
        <v>10089</v>
      </c>
      <c r="B10089" s="2" t="str">
        <f>IFERROR(__xludf.DUMMYFUNCTION("GOOGLETRANSLATE(A10089, ""de"", ""en"")"),"extreme")</f>
        <v>extreme</v>
      </c>
    </row>
    <row r="10090">
      <c r="A10090" s="1" t="s">
        <v>10090</v>
      </c>
      <c r="B10090" s="2" t="str">
        <f>IFERROR(__xludf.DUMMYFUNCTION("GOOGLETRANSLATE(A10090, ""de"", ""en"")"),"individually")</f>
        <v>individually</v>
      </c>
    </row>
    <row r="10091">
      <c r="A10091" s="1" t="s">
        <v>10091</v>
      </c>
      <c r="B10091" s="2" t="str">
        <f>IFERROR(__xludf.DUMMYFUNCTION("GOOGLETRANSLATE(A10091, ""de"", ""en"")"),"sad")</f>
        <v>sad</v>
      </c>
    </row>
    <row r="10092">
      <c r="A10092" s="1" t="s">
        <v>10092</v>
      </c>
      <c r="B10092" s="2" t="str">
        <f>IFERROR(__xludf.DUMMYFUNCTION("GOOGLETRANSLATE(A10092, ""de"", ""en"")"),"warm up")</f>
        <v>warm up</v>
      </c>
    </row>
    <row r="10093">
      <c r="A10093" s="1" t="s">
        <v>10093</v>
      </c>
      <c r="B10093" s="2" t="str">
        <f>IFERROR(__xludf.DUMMYFUNCTION("GOOGLETRANSLATE(A10093, ""de"", ""en"")"),"to go out")</f>
        <v>to go out</v>
      </c>
    </row>
    <row r="10094">
      <c r="A10094" s="1" t="s">
        <v>10094</v>
      </c>
      <c r="B10094" s="2" t="str">
        <f>IFERROR(__xludf.DUMMYFUNCTION("GOOGLETRANSLATE(A10094, ""de"", ""en"")"),"liberation")</f>
        <v>liberation</v>
      </c>
    </row>
    <row r="10095">
      <c r="A10095" s="1" t="s">
        <v>10095</v>
      </c>
      <c r="B10095" s="2" t="str">
        <f>IFERROR(__xludf.DUMMYFUNCTION("GOOGLETRANSLATE(A10095, ""de"", ""en"")"),"down payment")</f>
        <v>down payment</v>
      </c>
    </row>
    <row r="10096">
      <c r="A10096" s="1" t="s">
        <v>10096</v>
      </c>
      <c r="B10096" s="2" t="str">
        <f>IFERROR(__xludf.DUMMYFUNCTION("GOOGLETRANSLATE(A10096, ""de"", ""en"")"),"Jensen")</f>
        <v>Jensen</v>
      </c>
    </row>
    <row r="10097">
      <c r="A10097" s="1" t="s">
        <v>10097</v>
      </c>
      <c r="B10097" s="2" t="str">
        <f>IFERROR(__xludf.DUMMYFUNCTION("GOOGLETRANSLATE(A10097, ""de"", ""en"")"),"complex")</f>
        <v>complex</v>
      </c>
    </row>
    <row r="10098">
      <c r="A10098" s="1" t="s">
        <v>10098</v>
      </c>
      <c r="B10098" s="2" t="str">
        <f>IFERROR(__xludf.DUMMYFUNCTION("GOOGLETRANSLATE(A10098, ""de"", ""en"")"),"alias")</f>
        <v>alias</v>
      </c>
    </row>
    <row r="10099">
      <c r="A10099" s="1" t="s">
        <v>10099</v>
      </c>
      <c r="B10099" s="2" t="str">
        <f>IFERROR(__xludf.DUMMYFUNCTION("GOOGLETRANSLATE(A10099, ""de"", ""en"")"),"counts")</f>
        <v>counts</v>
      </c>
    </row>
    <row r="10100">
      <c r="A10100" s="1" t="s">
        <v>10100</v>
      </c>
      <c r="B10100" s="2" t="str">
        <f>IFERROR(__xludf.DUMMYFUNCTION("GOOGLETRANSLATE(A10100, ""de"", ""en"")"),"owned")</f>
        <v>owned</v>
      </c>
    </row>
    <row r="10101">
      <c r="A10101" s="1" t="s">
        <v>10101</v>
      </c>
      <c r="B10101" s="2" t="str">
        <f>IFERROR(__xludf.DUMMYFUNCTION("GOOGLETRANSLATE(A10101, ""de"", ""en"")"),"collect")</f>
        <v>collect</v>
      </c>
    </row>
    <row r="10102">
      <c r="A10102" s="1" t="s">
        <v>10102</v>
      </c>
      <c r="B10102" s="2" t="str">
        <f>IFERROR(__xludf.DUMMYFUNCTION("GOOGLETRANSLATE(A10102, ""de"", ""en"")"),"holidays")</f>
        <v>holidays</v>
      </c>
    </row>
    <row r="10103">
      <c r="A10103" s="1" t="s">
        <v>10103</v>
      </c>
      <c r="B10103" s="2" t="str">
        <f>IFERROR(__xludf.DUMMYFUNCTION("GOOGLETRANSLATE(A10103, ""de"", ""en"")"),"stink")</f>
        <v>stink</v>
      </c>
    </row>
    <row r="10104">
      <c r="A10104" s="1" t="s">
        <v>10104</v>
      </c>
      <c r="B10104" s="2" t="str">
        <f>IFERROR(__xludf.DUMMYFUNCTION("GOOGLETRANSLATE(A10104, ""de"", ""en"")"),"franc")</f>
        <v>franc</v>
      </c>
    </row>
    <row r="10105">
      <c r="A10105" s="1" t="s">
        <v>10105</v>
      </c>
      <c r="B10105" s="2" t="str">
        <f>IFERROR(__xludf.DUMMYFUNCTION("GOOGLETRANSLATE(A10105, ""de"", ""en"")"),"neela")</f>
        <v>neela</v>
      </c>
    </row>
    <row r="10106">
      <c r="A10106" s="1" t="s">
        <v>10106</v>
      </c>
      <c r="B10106" s="2" t="str">
        <f>IFERROR(__xludf.DUMMYFUNCTION("GOOGLETRANSLATE(A10106, ""de"", ""en"")"),"free")</f>
        <v>free</v>
      </c>
    </row>
    <row r="10107">
      <c r="A10107" s="1" t="s">
        <v>10107</v>
      </c>
      <c r="B10107" s="2" t="str">
        <f>IFERROR(__xludf.DUMMYFUNCTION("GOOGLETRANSLATE(A10107, ""de"", ""en"")"),"electrical")</f>
        <v>electrical</v>
      </c>
    </row>
    <row r="10108">
      <c r="A10108" s="1" t="s">
        <v>10108</v>
      </c>
      <c r="B10108" s="2" t="str">
        <f>IFERROR(__xludf.DUMMYFUNCTION("GOOGLETRANSLATE(A10108, ""de"", ""en"")"),"happen")</f>
        <v>happen</v>
      </c>
    </row>
    <row r="10109">
      <c r="A10109" s="1" t="s">
        <v>10109</v>
      </c>
      <c r="B10109" s="2" t="str">
        <f>IFERROR(__xludf.DUMMYFUNCTION("GOOGLETRANSLATE(A10109, ""de"", ""en"")"),"smashed")</f>
        <v>smashed</v>
      </c>
    </row>
    <row r="10110">
      <c r="A10110" s="1" t="s">
        <v>10110</v>
      </c>
      <c r="B10110" s="2" t="str">
        <f>IFERROR(__xludf.DUMMYFUNCTION("GOOGLETRANSLATE(A10110, ""de"", ""en"")"),"honk")</f>
        <v>honk</v>
      </c>
    </row>
    <row r="10111">
      <c r="A10111" s="1" t="s">
        <v>10111</v>
      </c>
      <c r="B10111" s="2" t="str">
        <f>IFERROR(__xludf.DUMMYFUNCTION("GOOGLETRANSLATE(A10111, ""de"", ""en"")"),"Italian")</f>
        <v>Italian</v>
      </c>
    </row>
    <row r="10112">
      <c r="A10112" s="1" t="s">
        <v>10112</v>
      </c>
      <c r="B10112" s="2" t="str">
        <f>IFERROR(__xludf.DUMMYFUNCTION("GOOGLETRANSLATE(A10112, ""de"", ""en"")"),"managed")</f>
        <v>managed</v>
      </c>
    </row>
    <row r="10113">
      <c r="A10113" s="1" t="s">
        <v>10113</v>
      </c>
      <c r="B10113" s="2" t="str">
        <f>IFERROR(__xludf.DUMMYFUNCTION("GOOGLETRANSLATE(A10113, ""de"", ""en"")"),"Marseilles")</f>
        <v>Marseilles</v>
      </c>
    </row>
    <row r="10114">
      <c r="A10114" s="1" t="s">
        <v>10114</v>
      </c>
      <c r="B10114" s="2" t="str">
        <f>IFERROR(__xludf.DUMMYFUNCTION("GOOGLETRANSLATE(A10114, ""de"", ""en"")"),"Columbia")</f>
        <v>Columbia</v>
      </c>
    </row>
    <row r="10115">
      <c r="A10115" s="1" t="s">
        <v>10115</v>
      </c>
      <c r="B10115" s="2" t="str">
        <f>IFERROR(__xludf.DUMMYFUNCTION("GOOGLETRANSLATE(A10115, ""de"", ""en"")"),"different")</f>
        <v>different</v>
      </c>
    </row>
    <row r="10116">
      <c r="A10116" s="1" t="s">
        <v>10116</v>
      </c>
      <c r="B10116" s="2" t="str">
        <f>IFERROR(__xludf.DUMMYFUNCTION("GOOGLETRANSLATE(A10116, ""de"", ""en"")"),"Godsey")</f>
        <v>Godsey</v>
      </c>
    </row>
    <row r="10117">
      <c r="A10117" s="1" t="s">
        <v>10117</v>
      </c>
      <c r="B10117" s="2" t="str">
        <f>IFERROR(__xludf.DUMMYFUNCTION("GOOGLETRANSLATE(A10117, ""de"", ""en"")"),"layers")</f>
        <v>layers</v>
      </c>
    </row>
    <row r="10118">
      <c r="A10118" s="1" t="s">
        <v>10118</v>
      </c>
      <c r="B10118" s="2" t="str">
        <f>IFERROR(__xludf.DUMMYFUNCTION("GOOGLETRANSLATE(A10118, ""de"", ""en"")"),"target person")</f>
        <v>target person</v>
      </c>
    </row>
    <row r="10119">
      <c r="A10119" s="1" t="s">
        <v>10119</v>
      </c>
      <c r="B10119" s="2" t="str">
        <f>IFERROR(__xludf.DUMMYFUNCTION("GOOGLETRANSLATE(A10119, ""de"", ""en"")"),"Copenhagen")</f>
        <v>Copenhagen</v>
      </c>
    </row>
    <row r="10120">
      <c r="A10120" s="1" t="s">
        <v>10120</v>
      </c>
      <c r="B10120" s="2" t="str">
        <f>IFERROR(__xludf.DUMMYFUNCTION("GOOGLETRANSLATE(A10120, ""de"", ""en"")"),"terrible")</f>
        <v>terrible</v>
      </c>
    </row>
    <row r="10121">
      <c r="A10121" s="1" t="s">
        <v>10121</v>
      </c>
      <c r="B10121" s="2" t="str">
        <f>IFERROR(__xludf.DUMMYFUNCTION("GOOGLETRANSLATE(A10121, ""de"", ""en"")"),"feared")</f>
        <v>feared</v>
      </c>
    </row>
    <row r="10122">
      <c r="A10122" s="1" t="s">
        <v>10122</v>
      </c>
      <c r="B10122" s="2" t="str">
        <f>IFERROR(__xludf.DUMMYFUNCTION("GOOGLETRANSLATE(A10122, ""de"", ""en"")"),"passenger")</f>
        <v>passenger</v>
      </c>
    </row>
    <row r="10123">
      <c r="A10123" s="1" t="s">
        <v>10123</v>
      </c>
      <c r="B10123" s="2" t="str">
        <f>IFERROR(__xludf.DUMMYFUNCTION("GOOGLETRANSLATE(A10123, ""de"", ""en"")"),"imperium")</f>
        <v>imperium</v>
      </c>
    </row>
    <row r="10124">
      <c r="A10124" s="1" t="s">
        <v>10124</v>
      </c>
      <c r="B10124" s="2" t="str">
        <f>IFERROR(__xludf.DUMMYFUNCTION("GOOGLETRANSLATE(A10124, ""de"", ""en"")"),"would like")</f>
        <v>would like</v>
      </c>
    </row>
    <row r="10125">
      <c r="A10125" s="1" t="s">
        <v>10125</v>
      </c>
      <c r="B10125" s="2" t="str">
        <f>IFERROR(__xludf.DUMMYFUNCTION("GOOGLETRANSLATE(A10125, ""de"", ""en"")"),"drunkard")</f>
        <v>drunkard</v>
      </c>
    </row>
    <row r="10126">
      <c r="A10126" s="1" t="s">
        <v>10126</v>
      </c>
      <c r="B10126" s="2" t="str">
        <f>IFERROR(__xludf.DUMMYFUNCTION("GOOGLETRANSLATE(A10126, ""de"", ""en"")"),"left")</f>
        <v>left</v>
      </c>
    </row>
    <row r="10127">
      <c r="A10127" s="1" t="s">
        <v>10127</v>
      </c>
      <c r="B10127" s="2" t="str">
        <f>IFERROR(__xludf.DUMMYFUNCTION("GOOGLETRANSLATE(A10127, ""de"", ""en"")"),"wiser")</f>
        <v>wiser</v>
      </c>
    </row>
    <row r="10128">
      <c r="A10128" s="1" t="s">
        <v>10128</v>
      </c>
      <c r="B10128" s="2" t="str">
        <f>IFERROR(__xludf.DUMMYFUNCTION("GOOGLETRANSLATE(A10128, ""de"", ""en"")"),"to retrieve")</f>
        <v>to retrieve</v>
      </c>
    </row>
    <row r="10129">
      <c r="A10129" s="1" t="s">
        <v>10129</v>
      </c>
      <c r="B10129" s="2" t="str">
        <f>IFERROR(__xludf.DUMMYFUNCTION("GOOGLETRANSLATE(A10129, ""de"", ""en"")"),"cho")</f>
        <v>cho</v>
      </c>
    </row>
    <row r="10130">
      <c r="A10130" s="1" t="s">
        <v>10130</v>
      </c>
      <c r="B10130" s="2" t="str">
        <f>IFERROR(__xludf.DUMMYFUNCTION("GOOGLETRANSLATE(A10130, ""de"", ""en"")"),"renter")</f>
        <v>renter</v>
      </c>
    </row>
    <row r="10131">
      <c r="A10131" s="1" t="s">
        <v>10131</v>
      </c>
      <c r="B10131" s="2" t="str">
        <f>IFERROR(__xludf.DUMMYFUNCTION("GOOGLETRANSLATE(A10131, ""de"", ""en"")"),"castles")</f>
        <v>castles</v>
      </c>
    </row>
    <row r="10132">
      <c r="A10132" s="1" t="s">
        <v>10132</v>
      </c>
      <c r="B10132" s="2" t="str">
        <f>IFERROR(__xludf.DUMMYFUNCTION("GOOGLETRANSLATE(A10132, ""de"", ""en"")"),"privilege")</f>
        <v>privilege</v>
      </c>
    </row>
    <row r="10133">
      <c r="A10133" s="1" t="s">
        <v>10133</v>
      </c>
      <c r="B10133" s="2" t="str">
        <f>IFERROR(__xludf.DUMMYFUNCTION("GOOGLETRANSLATE(A10133, ""de"", ""en"")"),"condoms")</f>
        <v>condoms</v>
      </c>
    </row>
    <row r="10134">
      <c r="A10134" s="1" t="s">
        <v>10134</v>
      </c>
      <c r="B10134" s="2" t="str">
        <f>IFERROR(__xludf.DUMMYFUNCTION("GOOGLETRANSLATE(A10134, ""de"", ""en"")"),"Montana")</f>
        <v>Montana</v>
      </c>
    </row>
    <row r="10135">
      <c r="A10135" s="1" t="s">
        <v>10135</v>
      </c>
      <c r="B10135" s="2" t="str">
        <f>IFERROR(__xludf.DUMMYFUNCTION("GOOGLETRANSLATE(A10135, ""de"", ""en"")"),"touching")</f>
        <v>touching</v>
      </c>
    </row>
    <row r="10136">
      <c r="A10136" s="1" t="s">
        <v>10136</v>
      </c>
      <c r="B10136" s="2" t="str">
        <f>IFERROR(__xludf.DUMMYFUNCTION("GOOGLETRANSLATE(A10136, ""de"", ""en"")"),"silent")</f>
        <v>silent</v>
      </c>
    </row>
    <row r="10137">
      <c r="A10137" s="1" t="s">
        <v>10137</v>
      </c>
      <c r="B10137" s="2" t="str">
        <f>IFERROR(__xludf.DUMMYFUNCTION("GOOGLETRANSLATE(A10137, ""de"", ""en"")"),"winds")</f>
        <v>winds</v>
      </c>
    </row>
    <row r="10138">
      <c r="A10138" s="1" t="s">
        <v>10138</v>
      </c>
      <c r="B10138" s="2" t="str">
        <f>IFERROR(__xludf.DUMMYFUNCTION("GOOGLETRANSLATE(A10138, ""de"", ""en"")"),"vortex")</f>
        <v>vortex</v>
      </c>
    </row>
    <row r="10139">
      <c r="A10139" s="1" t="s">
        <v>10139</v>
      </c>
      <c r="B10139" s="2" t="str">
        <f>IFERROR(__xludf.DUMMYFUNCTION("GOOGLETRANSLATE(A10139, ""de"", ""en"")"),"investors")</f>
        <v>investors</v>
      </c>
    </row>
    <row r="10140">
      <c r="A10140" s="1" t="s">
        <v>10140</v>
      </c>
      <c r="B10140" s="2" t="str">
        <f>IFERROR(__xludf.DUMMYFUNCTION("GOOGLETRANSLATE(A10140, ""de"", ""en"")"),"cocoa")</f>
        <v>cocoa</v>
      </c>
    </row>
    <row r="10141">
      <c r="A10141" s="1" t="s">
        <v>10141</v>
      </c>
      <c r="B10141" s="2" t="str">
        <f>IFERROR(__xludf.DUMMYFUNCTION("GOOGLETRANSLATE(A10141, ""de"", ""en"")"),"sadie")</f>
        <v>sadie</v>
      </c>
    </row>
    <row r="10142">
      <c r="A10142" s="1" t="s">
        <v>10142</v>
      </c>
      <c r="B10142" s="2" t="str">
        <f>IFERROR(__xludf.DUMMYFUNCTION("GOOGLETRANSLATE(A10142, ""de"", ""en"")"),"got out")</f>
        <v>got out</v>
      </c>
    </row>
    <row r="10143">
      <c r="A10143" s="1" t="s">
        <v>10143</v>
      </c>
      <c r="B10143" s="2" t="str">
        <f>IFERROR(__xludf.DUMMYFUNCTION("GOOGLETRANSLATE(A10143, ""de"", ""en"")"),"piss")</f>
        <v>piss</v>
      </c>
    </row>
    <row r="10144">
      <c r="A10144" s="1" t="s">
        <v>10144</v>
      </c>
      <c r="B10144" s="2" t="str">
        <f>IFERROR(__xludf.DUMMYFUNCTION("GOOGLETRANSLATE(A10144, ""de"", ""en"")"),"lucifer")</f>
        <v>lucifer</v>
      </c>
    </row>
    <row r="10145">
      <c r="A10145" s="1" t="s">
        <v>10145</v>
      </c>
      <c r="B10145" s="2" t="str">
        <f>IFERROR(__xludf.DUMMYFUNCTION("GOOGLETRANSLATE(A10145, ""de"", ""en"")"),"Thailand")</f>
        <v>Thailand</v>
      </c>
    </row>
    <row r="10146">
      <c r="A10146" s="1" t="s">
        <v>10146</v>
      </c>
      <c r="B10146" s="2" t="str">
        <f>IFERROR(__xludf.DUMMYFUNCTION("GOOGLETRANSLATE(A10146, ""de"", ""en"")"),"container")</f>
        <v>container</v>
      </c>
    </row>
    <row r="10147">
      <c r="A10147" s="1" t="s">
        <v>10147</v>
      </c>
      <c r="B10147" s="2" t="str">
        <f>IFERROR(__xludf.DUMMYFUNCTION("GOOGLETRANSLATE(A10147, ""de"", ""en"")"),"beck")</f>
        <v>beck</v>
      </c>
    </row>
    <row r="10148">
      <c r="A10148" s="1" t="s">
        <v>10148</v>
      </c>
      <c r="B10148" s="2" t="str">
        <f>IFERROR(__xludf.DUMMYFUNCTION("GOOGLETRANSLATE(A10148, ""de"", ""en"")"),"hideous")</f>
        <v>hideous</v>
      </c>
    </row>
    <row r="10149">
      <c r="A10149" s="1" t="s">
        <v>10149</v>
      </c>
      <c r="B10149" s="2" t="str">
        <f>IFERROR(__xludf.DUMMYFUNCTION("GOOGLETRANSLATE(A10149, ""de"", ""en"")"),"courier")</f>
        <v>courier</v>
      </c>
    </row>
    <row r="10150">
      <c r="A10150" s="1" t="s">
        <v>10150</v>
      </c>
      <c r="B10150" s="2" t="str">
        <f>IFERROR(__xludf.DUMMYFUNCTION("GOOGLETRANSLATE(A10150, ""de"", ""en"")"),"abu")</f>
        <v>abu</v>
      </c>
    </row>
    <row r="10151">
      <c r="A10151" s="1" t="s">
        <v>10151</v>
      </c>
      <c r="B10151" s="2" t="str">
        <f>IFERROR(__xludf.DUMMYFUNCTION("GOOGLETRANSLATE(A10151, ""de"", ""en"")"),"decker")</f>
        <v>decker</v>
      </c>
    </row>
    <row r="10152">
      <c r="A10152" s="1" t="s">
        <v>10152</v>
      </c>
      <c r="B10152" s="2" t="str">
        <f>IFERROR(__xludf.DUMMYFUNCTION("GOOGLETRANSLATE(A10152, ""de"", ""en"")"),"irritated")</f>
        <v>irritated</v>
      </c>
    </row>
    <row r="10153">
      <c r="A10153" s="1" t="s">
        <v>10153</v>
      </c>
      <c r="B10153" s="2" t="str">
        <f>IFERROR(__xludf.DUMMYFUNCTION("GOOGLETRANSLATE(A10153, ""de"", ""en"")"),"version")</f>
        <v>version</v>
      </c>
    </row>
    <row r="10154">
      <c r="A10154" s="1" t="s">
        <v>10154</v>
      </c>
      <c r="B10154" s="2" t="str">
        <f>IFERROR(__xludf.DUMMYFUNCTION("GOOGLETRANSLATE(A10154, ""de"", ""en"")"),"lines")</f>
        <v>lines</v>
      </c>
    </row>
    <row r="10155">
      <c r="A10155" s="1" t="s">
        <v>10155</v>
      </c>
      <c r="B10155" s="2" t="str">
        <f>IFERROR(__xludf.DUMMYFUNCTION("GOOGLETRANSLATE(A10155, ""de"", ""en"")"),"caliber")</f>
        <v>caliber</v>
      </c>
    </row>
    <row r="10156">
      <c r="A10156" s="1" t="s">
        <v>10156</v>
      </c>
      <c r="B10156" s="2" t="str">
        <f>IFERROR(__xludf.DUMMYFUNCTION("GOOGLETRANSLATE(A10156, ""de"", ""en"")"),"and go")</f>
        <v>and go</v>
      </c>
    </row>
    <row r="10157">
      <c r="A10157" s="1" t="s">
        <v>10157</v>
      </c>
      <c r="B10157" s="2" t="str">
        <f>IFERROR(__xludf.DUMMYFUNCTION("GOOGLETRANSLATE(A10157, ""de"", ""en"")"),"mean")</f>
        <v>mean</v>
      </c>
    </row>
    <row r="10158">
      <c r="A10158" s="1" t="s">
        <v>10158</v>
      </c>
      <c r="B10158" s="2" t="str">
        <f>IFERROR(__xludf.DUMMYFUNCTION("GOOGLETRANSLATE(A10158, ""de"", ""en"")"),"for weeks")</f>
        <v>for weeks</v>
      </c>
    </row>
    <row r="10159">
      <c r="A10159" s="1" t="s">
        <v>10159</v>
      </c>
      <c r="B10159" s="2" t="str">
        <f>IFERROR(__xludf.DUMMYFUNCTION("GOOGLETRANSLATE(A10159, ""de"", ""en"")"),"lines")</f>
        <v>lines</v>
      </c>
    </row>
    <row r="10160">
      <c r="A10160" s="1" t="s">
        <v>10160</v>
      </c>
      <c r="B10160" s="2" t="str">
        <f>IFERROR(__xludf.DUMMYFUNCTION("GOOGLETRANSLATE(A10160, ""de"", ""en"")"),"grenade")</f>
        <v>grenade</v>
      </c>
    </row>
    <row r="10161">
      <c r="A10161" s="1" t="s">
        <v>10161</v>
      </c>
      <c r="B10161" s="2" t="str">
        <f>IFERROR(__xludf.DUMMYFUNCTION("GOOGLETRANSLATE(A10161, ""de"", ""en"")"),"dawn")</f>
        <v>dawn</v>
      </c>
    </row>
    <row r="10162">
      <c r="A10162" s="1" t="s">
        <v>10162</v>
      </c>
      <c r="B10162" s="2" t="str">
        <f>IFERROR(__xludf.DUMMYFUNCTION("GOOGLETRANSLATE(A10162, ""de"", ""en"")"),"crystal")</f>
        <v>crystal</v>
      </c>
    </row>
    <row r="10163">
      <c r="A10163" s="1" t="s">
        <v>10163</v>
      </c>
      <c r="B10163" s="2" t="str">
        <f>IFERROR(__xludf.DUMMYFUNCTION("GOOGLETRANSLATE(A10163, ""de"", ""en"")"),"captains")</f>
        <v>captains</v>
      </c>
    </row>
    <row r="10164">
      <c r="A10164" s="1" t="s">
        <v>10164</v>
      </c>
      <c r="B10164" s="2" t="str">
        <f>IFERROR(__xludf.DUMMYFUNCTION("GOOGLETRANSLATE(A10164, ""de"", ""en"")"),"sky")</f>
        <v>sky</v>
      </c>
    </row>
    <row r="10165">
      <c r="A10165" s="1" t="s">
        <v>10165</v>
      </c>
      <c r="B10165" s="2" t="str">
        <f>IFERROR(__xludf.DUMMYFUNCTION("GOOGLETRANSLATE(A10165, ""de"", ""en"")"),"civil war")</f>
        <v>civil war</v>
      </c>
    </row>
    <row r="10166">
      <c r="A10166" s="1" t="s">
        <v>10166</v>
      </c>
      <c r="B10166" s="2" t="str">
        <f>IFERROR(__xludf.DUMMYFUNCTION("GOOGLETRANSLATE(A10166, ""de"", ""en"")"),"tolerate")</f>
        <v>tolerate</v>
      </c>
    </row>
    <row r="10167">
      <c r="A10167" s="1" t="s">
        <v>10167</v>
      </c>
      <c r="B10167" s="2" t="str">
        <f>IFERROR(__xludf.DUMMYFUNCTION("GOOGLETRANSLATE(A10167, ""de"", ""en"")"),"to run away")</f>
        <v>to run away</v>
      </c>
    </row>
    <row r="10168">
      <c r="A10168" s="1" t="s">
        <v>10168</v>
      </c>
      <c r="B10168" s="2" t="str">
        <f>IFERROR(__xludf.DUMMYFUNCTION("GOOGLETRANSLATE(A10168, ""de"", ""en"")"),"cared")</f>
        <v>cared</v>
      </c>
    </row>
    <row r="10169">
      <c r="A10169" s="1" t="s">
        <v>10169</v>
      </c>
      <c r="B10169" s="2" t="str">
        <f>IFERROR(__xludf.DUMMYFUNCTION("GOOGLETRANSLATE(A10169, ""de"", ""en"")"),"negotiated")</f>
        <v>negotiated</v>
      </c>
    </row>
    <row r="10170">
      <c r="A10170" s="1" t="s">
        <v>10170</v>
      </c>
      <c r="B10170" s="2" t="str">
        <f>IFERROR(__xludf.DUMMYFUNCTION("GOOGLETRANSLATE(A10170, ""de"", ""en"")"),"objections")</f>
        <v>objections</v>
      </c>
    </row>
    <row r="10171">
      <c r="A10171" s="1" t="s">
        <v>10171</v>
      </c>
      <c r="B10171" s="2" t="str">
        <f>IFERROR(__xludf.DUMMYFUNCTION("GOOGLETRANSLATE(A10171, ""de"", ""en"")"),"lara")</f>
        <v>lara</v>
      </c>
    </row>
    <row r="10172">
      <c r="A10172" s="1" t="s">
        <v>10172</v>
      </c>
      <c r="B10172" s="2" t="str">
        <f>IFERROR(__xludf.DUMMYFUNCTION("GOOGLETRANSLATE(A10172, ""de"", ""en"")"),"disastrous")</f>
        <v>disastrous</v>
      </c>
    </row>
    <row r="10173">
      <c r="A10173" s="1" t="s">
        <v>10173</v>
      </c>
      <c r="B10173" s="2" t="str">
        <f>IFERROR(__xludf.DUMMYFUNCTION("GOOGLETRANSLATE(A10173, ""de"", ""en"")"),"shares")</f>
        <v>shares</v>
      </c>
    </row>
    <row r="10174">
      <c r="A10174" s="1" t="s">
        <v>10174</v>
      </c>
      <c r="B10174" s="2" t="str">
        <f>IFERROR(__xludf.DUMMYFUNCTION("GOOGLETRANSLATE(A10174, ""de"", ""en"")"),"cradle")</f>
        <v>cradle</v>
      </c>
    </row>
    <row r="10175">
      <c r="A10175" s="1" t="s">
        <v>10175</v>
      </c>
      <c r="B10175" s="2" t="str">
        <f>IFERROR(__xludf.DUMMYFUNCTION("GOOGLETRANSLATE(A10175, ""de"", ""en"")"),"yankees")</f>
        <v>yankees</v>
      </c>
    </row>
    <row r="10176">
      <c r="A10176" s="1" t="s">
        <v>10176</v>
      </c>
      <c r="B10176" s="2" t="str">
        <f>IFERROR(__xludf.DUMMYFUNCTION("GOOGLETRANSLATE(A10176, ""de"", ""en"")"),"tart")</f>
        <v>tart</v>
      </c>
    </row>
    <row r="10177">
      <c r="A10177" s="1" t="s">
        <v>10177</v>
      </c>
      <c r="B10177" s="2" t="str">
        <f>IFERROR(__xludf.DUMMYFUNCTION("GOOGLETRANSLATE(A10177, ""de"", ""en"")"),"freaks")</f>
        <v>freaks</v>
      </c>
    </row>
    <row r="10178">
      <c r="A10178" s="1" t="s">
        <v>10178</v>
      </c>
      <c r="B10178" s="2" t="str">
        <f>IFERROR(__xludf.DUMMYFUNCTION("GOOGLETRANSLATE(A10178, ""de"", ""en"")"),"prohibits")</f>
        <v>prohibits</v>
      </c>
    </row>
    <row r="10179">
      <c r="A10179" s="1" t="s">
        <v>10179</v>
      </c>
      <c r="B10179" s="2" t="str">
        <f>IFERROR(__xludf.DUMMYFUNCTION("GOOGLETRANSLATE(A10179, ""de"", ""en"")"),"use")</f>
        <v>use</v>
      </c>
    </row>
    <row r="10180">
      <c r="A10180" s="1" t="s">
        <v>10180</v>
      </c>
      <c r="B10180" s="2" t="str">
        <f>IFERROR(__xludf.DUMMYFUNCTION("GOOGLETRANSLATE(A10180, ""de"", ""en"")"),"rob")</f>
        <v>rob</v>
      </c>
    </row>
    <row r="10181">
      <c r="A10181" s="1" t="s">
        <v>10181</v>
      </c>
      <c r="B10181" s="2" t="str">
        <f>IFERROR(__xludf.DUMMYFUNCTION("GOOGLETRANSLATE(A10181, ""de"", ""en"")"),"cognac")</f>
        <v>cognac</v>
      </c>
    </row>
    <row r="10182">
      <c r="A10182" s="1" t="s">
        <v>10182</v>
      </c>
      <c r="B10182" s="2" t="str">
        <f>IFERROR(__xludf.DUMMYFUNCTION("GOOGLETRANSLATE(A10182, ""de"", ""en"")"),"generally")</f>
        <v>generally</v>
      </c>
    </row>
    <row r="10183">
      <c r="A10183" s="1" t="s">
        <v>10183</v>
      </c>
      <c r="B10183" s="2" t="str">
        <f>IFERROR(__xludf.DUMMYFUNCTION("GOOGLETRANSLATE(A10183, ""de"", ""en"")"),"kissed")</f>
        <v>kissed</v>
      </c>
    </row>
    <row r="10184">
      <c r="A10184" s="1" t="s">
        <v>10184</v>
      </c>
      <c r="B10184" s="2" t="str">
        <f>IFERROR(__xludf.DUMMYFUNCTION("GOOGLETRANSLATE(A10184, ""de"", ""en"")"),"more innocent")</f>
        <v>more innocent</v>
      </c>
    </row>
    <row r="10185">
      <c r="A10185" s="1" t="s">
        <v>10185</v>
      </c>
      <c r="B10185" s="2" t="str">
        <f>IFERROR(__xludf.DUMMYFUNCTION("GOOGLETRANSLATE(A10185, ""de"", ""en"")"),"evolution")</f>
        <v>evolution</v>
      </c>
    </row>
    <row r="10186">
      <c r="A10186" s="1" t="s">
        <v>10186</v>
      </c>
      <c r="B10186" s="2" t="str">
        <f>IFERROR(__xludf.DUMMYFUNCTION("GOOGLETRANSLATE(A10186, ""de"", ""en"")"),"blow")</f>
        <v>blow</v>
      </c>
    </row>
    <row r="10187">
      <c r="A10187" s="1" t="s">
        <v>10187</v>
      </c>
      <c r="B10187" s="2" t="str">
        <f>IFERROR(__xludf.DUMMYFUNCTION("GOOGLETRANSLATE(A10187, ""de"", ""en"")"),"Vulcan")</f>
        <v>Vulcan</v>
      </c>
    </row>
    <row r="10188">
      <c r="A10188" s="1" t="s">
        <v>10188</v>
      </c>
      <c r="B10188" s="2" t="str">
        <f>IFERROR(__xludf.DUMMYFUNCTION("GOOGLETRANSLATE(A10188, ""de"", ""en"")"),"inn")</f>
        <v>inn</v>
      </c>
    </row>
    <row r="10189">
      <c r="A10189" s="1" t="s">
        <v>10189</v>
      </c>
      <c r="B10189" s="2" t="str">
        <f>IFERROR(__xludf.DUMMYFUNCTION("GOOGLETRANSLATE(A10189, ""de"", ""en"")"),"congratulations")</f>
        <v>congratulations</v>
      </c>
    </row>
    <row r="10190">
      <c r="A10190" s="1" t="s">
        <v>10190</v>
      </c>
      <c r="B10190" s="2" t="str">
        <f>IFERROR(__xludf.DUMMYFUNCTION("GOOGLETRANSLATE(A10190, ""de"", ""en"")"),"jam")</f>
        <v>jam</v>
      </c>
    </row>
    <row r="10191">
      <c r="A10191" s="1" t="s">
        <v>10191</v>
      </c>
      <c r="B10191" s="2" t="str">
        <f>IFERROR(__xludf.DUMMYFUNCTION("GOOGLETRANSLATE(A10191, ""de"", ""en"")"),"pool")</f>
        <v>pool</v>
      </c>
    </row>
    <row r="10192">
      <c r="A10192" s="1" t="s">
        <v>10192</v>
      </c>
      <c r="B10192" s="2" t="str">
        <f>IFERROR(__xludf.DUMMYFUNCTION("GOOGLETRANSLATE(A10192, ""de"", ""en"")"),"Eden")</f>
        <v>Eden</v>
      </c>
    </row>
    <row r="10193">
      <c r="A10193" s="1" t="s">
        <v>10193</v>
      </c>
      <c r="B10193" s="2" t="str">
        <f>IFERROR(__xludf.DUMMYFUNCTION("GOOGLETRANSLATE(A10193, ""de"", ""en"")"),"however")</f>
        <v>however</v>
      </c>
    </row>
    <row r="10194">
      <c r="A10194" s="1" t="s">
        <v>10194</v>
      </c>
      <c r="B10194" s="2" t="str">
        <f>IFERROR(__xludf.DUMMYFUNCTION("GOOGLETRANSLATE(A10194, ""de"", ""en"")"),"torments")</f>
        <v>torments</v>
      </c>
    </row>
    <row r="10195">
      <c r="A10195" s="1" t="s">
        <v>10195</v>
      </c>
      <c r="B10195" s="2" t="str">
        <f>IFERROR(__xludf.DUMMYFUNCTION("GOOGLETRANSLATE(A10195, ""de"", ""en"")"),"Spartacus")</f>
        <v>Spartacus</v>
      </c>
    </row>
    <row r="10196">
      <c r="A10196" s="1" t="s">
        <v>10196</v>
      </c>
      <c r="B10196" s="2" t="str">
        <f>IFERROR(__xludf.DUMMYFUNCTION("GOOGLETRANSLATE(A10196, ""de"", ""en"")"),"intact")</f>
        <v>intact</v>
      </c>
    </row>
    <row r="10197">
      <c r="A10197" s="1" t="s">
        <v>10197</v>
      </c>
      <c r="B10197" s="2" t="str">
        <f>IFERROR(__xludf.DUMMYFUNCTION("GOOGLETRANSLATE(A10197, ""de"", ""en"")"),"small amount")</f>
        <v>small amount</v>
      </c>
    </row>
    <row r="10198">
      <c r="A10198" s="1" t="s">
        <v>10198</v>
      </c>
      <c r="B10198" s="2" t="str">
        <f>IFERROR(__xludf.DUMMYFUNCTION("GOOGLETRANSLATE(A10198, ""de"", ""en"")"),"janeway")</f>
        <v>janeway</v>
      </c>
    </row>
    <row r="10199">
      <c r="A10199" s="1" t="s">
        <v>10199</v>
      </c>
      <c r="B10199" s="2" t="str">
        <f>IFERROR(__xludf.DUMMYFUNCTION("GOOGLETRANSLATE(A10199, ""de"", ""en"")"),"voila")</f>
        <v>voila</v>
      </c>
    </row>
    <row r="10200">
      <c r="A10200" s="1" t="s">
        <v>10200</v>
      </c>
      <c r="B10200" s="2" t="str">
        <f>IFERROR(__xludf.DUMMYFUNCTION("GOOGLETRANSLATE(A10200, ""de"", ""en"")"),"younger")</f>
        <v>younger</v>
      </c>
    </row>
    <row r="10201">
      <c r="A10201" s="1" t="s">
        <v>10201</v>
      </c>
      <c r="B10201" s="2" t="str">
        <f>IFERROR(__xludf.DUMMYFUNCTION("GOOGLETRANSLATE(A10201, ""de"", ""en"")"),"powers")</f>
        <v>powers</v>
      </c>
    </row>
    <row r="10202">
      <c r="A10202" s="1" t="s">
        <v>10202</v>
      </c>
      <c r="B10202" s="2" t="str">
        <f>IFERROR(__xludf.DUMMYFUNCTION("GOOGLETRANSLATE(A10202, ""de"", ""en"")"),"Floyd")</f>
        <v>Floyd</v>
      </c>
    </row>
    <row r="10203">
      <c r="A10203" s="1" t="s">
        <v>10203</v>
      </c>
      <c r="B10203" s="2" t="str">
        <f>IFERROR(__xludf.DUMMYFUNCTION("GOOGLETRANSLATE(A10203, ""de"", ""en"")"),"sixth")</f>
        <v>sixth</v>
      </c>
    </row>
    <row r="10204">
      <c r="A10204" s="1" t="s">
        <v>10204</v>
      </c>
      <c r="B10204" s="2" t="str">
        <f>IFERROR(__xludf.DUMMYFUNCTION("GOOGLETRANSLATE(A10204, ""de"", ""en"")"),"producers")</f>
        <v>producers</v>
      </c>
    </row>
    <row r="10205">
      <c r="A10205" s="1" t="s">
        <v>10205</v>
      </c>
      <c r="B10205" s="2" t="str">
        <f>IFERROR(__xludf.DUMMYFUNCTION("GOOGLETRANSLATE(A10205, ""de"", ""en"")"),"rector")</f>
        <v>rector</v>
      </c>
    </row>
    <row r="10206">
      <c r="A10206" s="1" t="s">
        <v>10206</v>
      </c>
      <c r="B10206" s="2" t="str">
        <f>IFERROR(__xludf.DUMMYFUNCTION("GOOGLETRANSLATE(A10206, ""de"", ""en"")"),"lemon")</f>
        <v>lemon</v>
      </c>
    </row>
    <row r="10207">
      <c r="A10207" s="1" t="s">
        <v>10207</v>
      </c>
      <c r="B10207" s="2" t="str">
        <f>IFERROR(__xludf.DUMMYFUNCTION("GOOGLETRANSLATE(A10207, ""de"", ""en"")"),"disorders")</f>
        <v>disorders</v>
      </c>
    </row>
    <row r="10208">
      <c r="A10208" s="1" t="s">
        <v>10208</v>
      </c>
      <c r="B10208" s="2" t="str">
        <f>IFERROR(__xludf.DUMMYFUNCTION("GOOGLETRANSLATE(A10208, ""de"", ""en"")"),"was enough")</f>
        <v>was enough</v>
      </c>
    </row>
    <row r="10209">
      <c r="A10209" s="1" t="s">
        <v>10209</v>
      </c>
      <c r="B10209" s="2" t="str">
        <f>IFERROR(__xludf.DUMMYFUNCTION("GOOGLETRANSLATE(A10209, ""de"", ""en"")"),"creative")</f>
        <v>creative</v>
      </c>
    </row>
    <row r="10210">
      <c r="A10210" s="1" t="s">
        <v>10210</v>
      </c>
      <c r="B10210" s="2" t="str">
        <f>IFERROR(__xludf.DUMMYFUNCTION("GOOGLETRANSLATE(A10210, ""de"", ""en"")"),"caves")</f>
        <v>caves</v>
      </c>
    </row>
    <row r="10211">
      <c r="A10211" s="1" t="s">
        <v>10211</v>
      </c>
      <c r="B10211" s="2" t="str">
        <f>IFERROR(__xludf.DUMMYFUNCTION("GOOGLETRANSLATE(A10211, ""de"", ""en"")"),"winchester")</f>
        <v>winchester</v>
      </c>
    </row>
    <row r="10212">
      <c r="A10212" s="1" t="s">
        <v>10212</v>
      </c>
      <c r="B10212" s="2" t="str">
        <f>IFERROR(__xludf.DUMMYFUNCTION("GOOGLETRANSLATE(A10212, ""de"", ""en"")"),"Bianca")</f>
        <v>Bianca</v>
      </c>
    </row>
    <row r="10213">
      <c r="A10213" s="1" t="s">
        <v>10213</v>
      </c>
      <c r="B10213" s="2" t="str">
        <f>IFERROR(__xludf.DUMMYFUNCTION("GOOGLETRANSLATE(A10213, ""de"", ""en"")"),"willis")</f>
        <v>willis</v>
      </c>
    </row>
    <row r="10214">
      <c r="A10214" s="1" t="s">
        <v>10214</v>
      </c>
      <c r="B10214" s="2" t="str">
        <f>IFERROR(__xludf.DUMMYFUNCTION("GOOGLETRANSLATE(A10214, ""de"", ""en"")"),"quark")</f>
        <v>quark</v>
      </c>
    </row>
    <row r="10215">
      <c r="A10215" s="1" t="s">
        <v>10215</v>
      </c>
      <c r="B10215" s="2" t="str">
        <f>IFERROR(__xludf.DUMMYFUNCTION("GOOGLETRANSLATE(A10215, ""de"", ""en"")"),"gypsy")</f>
        <v>gypsy</v>
      </c>
    </row>
    <row r="10216">
      <c r="A10216" s="1" t="s">
        <v>10216</v>
      </c>
      <c r="B10216" s="2" t="str">
        <f>IFERROR(__xludf.DUMMYFUNCTION("GOOGLETRANSLATE(A10216, ""de"", ""en"")"),"snoring")</f>
        <v>snoring</v>
      </c>
    </row>
    <row r="10217">
      <c r="A10217" s="1" t="s">
        <v>10217</v>
      </c>
      <c r="B10217" s="2" t="str">
        <f>IFERROR(__xludf.DUMMYFUNCTION("GOOGLETRANSLATE(A10217, ""de"", ""en"")"),"dead")</f>
        <v>dead</v>
      </c>
    </row>
    <row r="10218">
      <c r="A10218" s="1" t="s">
        <v>10218</v>
      </c>
      <c r="B10218" s="2" t="str">
        <f>IFERROR(__xludf.DUMMYFUNCTION("GOOGLETRANSLATE(A10218, ""de"", ""en"")"),"annoying")</f>
        <v>annoying</v>
      </c>
    </row>
    <row r="10219">
      <c r="A10219" s="1" t="s">
        <v>10219</v>
      </c>
      <c r="B10219" s="2" t="str">
        <f>IFERROR(__xludf.DUMMYFUNCTION("GOOGLETRANSLATE(A10219, ""de"", ""en"")"),"declarations")</f>
        <v>declarations</v>
      </c>
    </row>
    <row r="10220">
      <c r="A10220" s="1" t="s">
        <v>10220</v>
      </c>
      <c r="B10220" s="2" t="str">
        <f>IFERROR(__xludf.DUMMYFUNCTION("GOOGLETRANSLATE(A10220, ""de"", ""en"")"),"Gibson")</f>
        <v>Gibson</v>
      </c>
    </row>
    <row r="10221">
      <c r="A10221" s="1" t="s">
        <v>10221</v>
      </c>
      <c r="B10221" s="2" t="str">
        <f>IFERROR(__xludf.DUMMYFUNCTION("GOOGLETRANSLATE(A10221, ""de"", ""en"")"),"chili")</f>
        <v>chili</v>
      </c>
    </row>
    <row r="10222">
      <c r="A10222" s="1" t="s">
        <v>10222</v>
      </c>
      <c r="B10222" s="2" t="str">
        <f>IFERROR(__xludf.DUMMYFUNCTION("GOOGLETRANSLATE(A10222, ""de"", ""en"")"),"discretion")</f>
        <v>discretion</v>
      </c>
    </row>
    <row r="10223">
      <c r="A10223" s="1" t="s">
        <v>10223</v>
      </c>
      <c r="B10223" s="2" t="str">
        <f>IFERROR(__xludf.DUMMYFUNCTION("GOOGLETRANSLATE(A10223, ""de"", ""en"")"),"armstrong")</f>
        <v>armstrong</v>
      </c>
    </row>
    <row r="10224">
      <c r="A10224" s="1" t="s">
        <v>10224</v>
      </c>
      <c r="B10224" s="2" t="str">
        <f>IFERROR(__xludf.DUMMYFUNCTION("GOOGLETRANSLATE(A10224, ""de"", ""en"")"),"underpants")</f>
        <v>underpants</v>
      </c>
    </row>
    <row r="10225">
      <c r="A10225" s="1" t="s">
        <v>10225</v>
      </c>
      <c r="B10225" s="2" t="str">
        <f>IFERROR(__xludf.DUMMYFUNCTION("GOOGLETRANSLATE(A10225, ""de"", ""en"")"),"necessary")</f>
        <v>necessary</v>
      </c>
    </row>
    <row r="10226">
      <c r="A10226" s="1" t="s">
        <v>10226</v>
      </c>
      <c r="B10226" s="2" t="str">
        <f>IFERROR(__xludf.DUMMYFUNCTION("GOOGLETRANSLATE(A10226, ""de"", ""en"")"),"Cassidy")</f>
        <v>Cassidy</v>
      </c>
    </row>
    <row r="10227">
      <c r="A10227" s="1" t="s">
        <v>10227</v>
      </c>
      <c r="B10227" s="2" t="str">
        <f>IFERROR(__xludf.DUMMYFUNCTION("GOOGLETRANSLATE(A10227, ""de"", ""en"")"),"appeared")</f>
        <v>appeared</v>
      </c>
    </row>
    <row r="10228">
      <c r="A10228" s="1" t="s">
        <v>10228</v>
      </c>
      <c r="B10228" s="2" t="str">
        <f>IFERROR(__xludf.DUMMYFUNCTION("GOOGLETRANSLATE(A10228, ""de"", ""en"")"),"pascha")</f>
        <v>pascha</v>
      </c>
    </row>
    <row r="10229">
      <c r="A10229" s="1" t="s">
        <v>10229</v>
      </c>
      <c r="B10229" s="2" t="str">
        <f>IFERROR(__xludf.DUMMYFUNCTION("GOOGLETRANSLATE(A10229, ""de"", ""en"")"),"suspend")</f>
        <v>suspend</v>
      </c>
    </row>
    <row r="10230">
      <c r="A10230" s="1" t="s">
        <v>10230</v>
      </c>
      <c r="B10230" s="2" t="str">
        <f>IFERROR(__xludf.DUMMYFUNCTION("GOOGLETRANSLATE(A10230, ""de"", ""en"")"),"sentimental")</f>
        <v>sentimental</v>
      </c>
    </row>
    <row r="10231">
      <c r="A10231" s="1" t="s">
        <v>10231</v>
      </c>
      <c r="B10231" s="2" t="str">
        <f>IFERROR(__xludf.DUMMYFUNCTION("GOOGLETRANSLATE(A10231, ""de"", ""en"")"),"receives")</f>
        <v>receives</v>
      </c>
    </row>
    <row r="10232">
      <c r="A10232" s="1" t="s">
        <v>10232</v>
      </c>
      <c r="B10232" s="2" t="str">
        <f>IFERROR(__xludf.DUMMYFUNCTION("GOOGLETRANSLATE(A10232, ""de"", ""en"")"),"evacuation")</f>
        <v>evacuation</v>
      </c>
    </row>
    <row r="10233">
      <c r="A10233" s="1" t="s">
        <v>10233</v>
      </c>
      <c r="B10233" s="2" t="str">
        <f>IFERROR(__xludf.DUMMYFUNCTION("GOOGLETRANSLATE(A10233, ""de"", ""en"")"),"side effects")</f>
        <v>side effects</v>
      </c>
    </row>
    <row r="10234">
      <c r="A10234" s="1" t="s">
        <v>10234</v>
      </c>
      <c r="B10234" s="2" t="str">
        <f>IFERROR(__xludf.DUMMYFUNCTION("GOOGLETRANSLATE(A10234, ""de"", ""en"")"),"mccormick")</f>
        <v>mccormick</v>
      </c>
    </row>
    <row r="10235">
      <c r="A10235" s="1" t="s">
        <v>10235</v>
      </c>
      <c r="B10235" s="2" t="str">
        <f>IFERROR(__xludf.DUMMYFUNCTION("GOOGLETRANSLATE(A10235, ""de"", ""en"")"),"created")</f>
        <v>created</v>
      </c>
    </row>
    <row r="10236">
      <c r="A10236" s="1" t="s">
        <v>10236</v>
      </c>
      <c r="B10236" s="2" t="str">
        <f>IFERROR(__xludf.DUMMYFUNCTION("GOOGLETRANSLATE(A10236, ""de"", ""en"")"),"destruction")</f>
        <v>destruction</v>
      </c>
    </row>
    <row r="10237">
      <c r="A10237" s="1" t="s">
        <v>10237</v>
      </c>
      <c r="B10237" s="2" t="str">
        <f>IFERROR(__xludf.DUMMYFUNCTION("GOOGLETRANSLATE(A10237, ""de"", ""en"")"),"idiotic")</f>
        <v>idiotic</v>
      </c>
    </row>
    <row r="10238">
      <c r="A10238" s="1" t="s">
        <v>10238</v>
      </c>
      <c r="B10238" s="2" t="str">
        <f>IFERROR(__xludf.DUMMYFUNCTION("GOOGLETRANSLATE(A10238, ""de"", ""en"")"),"cocktail")</f>
        <v>cocktail</v>
      </c>
    </row>
    <row r="10239">
      <c r="A10239" s="1" t="s">
        <v>10239</v>
      </c>
      <c r="B10239" s="2" t="str">
        <f>IFERROR(__xludf.DUMMYFUNCTION("GOOGLETRANSLATE(A10239, ""de"", ""en"")"),"clean")</f>
        <v>clean</v>
      </c>
    </row>
    <row r="10240">
      <c r="A10240" s="1" t="s">
        <v>10240</v>
      </c>
      <c r="B10240" s="2" t="str">
        <f>IFERROR(__xludf.DUMMYFUNCTION("GOOGLETRANSLATE(A10240, ""de"", ""en"")"),"treated")</f>
        <v>treated</v>
      </c>
    </row>
    <row r="10241">
      <c r="A10241" s="1" t="s">
        <v>10241</v>
      </c>
      <c r="B10241" s="2" t="str">
        <f>IFERROR(__xludf.DUMMYFUNCTION("GOOGLETRANSLATE(A10241, ""de"", ""en"")"),"packed")</f>
        <v>packed</v>
      </c>
    </row>
    <row r="10242">
      <c r="A10242" s="1" t="s">
        <v>10242</v>
      </c>
      <c r="B10242" s="2" t="str">
        <f>IFERROR(__xludf.DUMMYFUNCTION("GOOGLETRANSLATE(A10242, ""de"", ""en"")"),"masterpiece")</f>
        <v>masterpiece</v>
      </c>
    </row>
    <row r="10243">
      <c r="A10243" s="1" t="s">
        <v>10243</v>
      </c>
      <c r="B10243" s="2" t="str">
        <f>IFERROR(__xludf.DUMMYFUNCTION("GOOGLETRANSLATE(A10243, ""de"", ""en"")"),"feels")</f>
        <v>feels</v>
      </c>
    </row>
    <row r="10244">
      <c r="A10244" s="1" t="s">
        <v>10244</v>
      </c>
      <c r="B10244" s="2" t="str">
        <f>IFERROR(__xludf.DUMMYFUNCTION("GOOGLETRANSLATE(A10244, ""de"", ""en"")"),"beasts")</f>
        <v>beasts</v>
      </c>
    </row>
    <row r="10245">
      <c r="A10245" s="1" t="s">
        <v>10245</v>
      </c>
      <c r="B10245" s="2" t="str">
        <f>IFERROR(__xludf.DUMMYFUNCTION("GOOGLETRANSLATE(A10245, ""de"", ""en"")"),"countless")</f>
        <v>countless</v>
      </c>
    </row>
    <row r="10246">
      <c r="A10246" s="1" t="s">
        <v>10246</v>
      </c>
      <c r="B10246" s="2" t="str">
        <f>IFERROR(__xludf.DUMMYFUNCTION("GOOGLETRANSLATE(A10246, ""de"", ""en"")"),"bring in")</f>
        <v>bring in</v>
      </c>
    </row>
    <row r="10247">
      <c r="A10247" s="1" t="s">
        <v>10247</v>
      </c>
      <c r="B10247" s="2" t="str">
        <f>IFERROR(__xludf.DUMMYFUNCTION("GOOGLETRANSLATE(A10247, ""de"", ""en"")"),"Darryl")</f>
        <v>Darryl</v>
      </c>
    </row>
    <row r="10248">
      <c r="A10248" s="1" t="s">
        <v>10248</v>
      </c>
      <c r="B10248" s="2" t="str">
        <f>IFERROR(__xludf.DUMMYFUNCTION("GOOGLETRANSLATE(A10248, ""de"", ""en"")"),"nicknames")</f>
        <v>nicknames</v>
      </c>
    </row>
    <row r="10249">
      <c r="A10249" s="1" t="s">
        <v>10249</v>
      </c>
      <c r="B10249" s="2" t="str">
        <f>IFERROR(__xludf.DUMMYFUNCTION("GOOGLETRANSLATE(A10249, ""de"", ""en"")"),"smoking")</f>
        <v>smoking</v>
      </c>
    </row>
    <row r="10250">
      <c r="A10250" s="1" t="s">
        <v>10250</v>
      </c>
      <c r="B10250" s="2" t="str">
        <f>IFERROR(__xludf.DUMMYFUNCTION("GOOGLETRANSLATE(A10250, ""de"", ""en"")"),"waste")</f>
        <v>waste</v>
      </c>
    </row>
    <row r="10251">
      <c r="A10251" s="1" t="s">
        <v>10251</v>
      </c>
      <c r="B10251" s="2" t="str">
        <f>IFERROR(__xludf.DUMMYFUNCTION("GOOGLETRANSLATE(A10251, ""de"", ""en"")"),"iron")</f>
        <v>iron</v>
      </c>
    </row>
    <row r="10252">
      <c r="A10252" s="1" t="s">
        <v>10252</v>
      </c>
      <c r="B10252" s="2" t="str">
        <f>IFERROR(__xludf.DUMMYFUNCTION("GOOGLETRANSLATE(A10252, ""de"", ""en"")"),"distrust")</f>
        <v>distrust</v>
      </c>
    </row>
    <row r="10253">
      <c r="A10253" s="1" t="s">
        <v>10253</v>
      </c>
      <c r="B10253" s="2" t="str">
        <f>IFERROR(__xludf.DUMMYFUNCTION("GOOGLETRANSLATE(A10253, ""de"", ""en"")"),"at latest")</f>
        <v>at latest</v>
      </c>
    </row>
    <row r="10254">
      <c r="A10254" s="1" t="s">
        <v>10254</v>
      </c>
      <c r="B10254" s="2" t="str">
        <f>IFERROR(__xludf.DUMMYFUNCTION("GOOGLETRANSLATE(A10254, ""de"", ""en"")"),"Chinese")</f>
        <v>Chinese</v>
      </c>
    </row>
    <row r="10255">
      <c r="A10255" s="1" t="s">
        <v>10255</v>
      </c>
      <c r="B10255" s="2" t="str">
        <f>IFERROR(__xludf.DUMMYFUNCTION("GOOGLETRANSLATE(A10255, ""de"", ""en"")"),"cash")</f>
        <v>cash</v>
      </c>
    </row>
    <row r="10256">
      <c r="A10256" s="1" t="s">
        <v>10256</v>
      </c>
      <c r="B10256" s="2" t="str">
        <f>IFERROR(__xludf.DUMMYFUNCTION("GOOGLETRANSLATE(A10256, ""de"", ""en"")"),"gilmore")</f>
        <v>gilmore</v>
      </c>
    </row>
    <row r="10257">
      <c r="A10257" s="1" t="s">
        <v>10257</v>
      </c>
      <c r="B10257" s="2" t="str">
        <f>IFERROR(__xludf.DUMMYFUNCTION("GOOGLETRANSLATE(A10257, ""de"", ""en"")"),"Pooh")</f>
        <v>Pooh</v>
      </c>
    </row>
    <row r="10258">
      <c r="A10258" s="1" t="s">
        <v>10258</v>
      </c>
      <c r="B10258" s="2" t="str">
        <f>IFERROR(__xludf.DUMMYFUNCTION("GOOGLETRANSLATE(A10258, ""de"", ""en"")"),"witness stand")</f>
        <v>witness stand</v>
      </c>
    </row>
    <row r="10259">
      <c r="A10259" s="1" t="s">
        <v>10259</v>
      </c>
      <c r="B10259" s="2" t="str">
        <f>IFERROR(__xludf.DUMMYFUNCTION("GOOGLETRANSLATE(A10259, ""de"", ""en"")"),"guest room")</f>
        <v>guest room</v>
      </c>
    </row>
    <row r="10260">
      <c r="A10260" s="1" t="s">
        <v>10260</v>
      </c>
      <c r="B10260" s="2" t="str">
        <f>IFERROR(__xludf.DUMMYFUNCTION("GOOGLETRANSLATE(A10260, ""de"", ""en"")"),"departure")</f>
        <v>departure</v>
      </c>
    </row>
    <row r="10261">
      <c r="A10261" s="1" t="s">
        <v>10261</v>
      </c>
      <c r="B10261" s="2" t="str">
        <f>IFERROR(__xludf.DUMMYFUNCTION("GOOGLETRANSLATE(A10261, ""de"", ""en"")"),"starve")</f>
        <v>starve</v>
      </c>
    </row>
    <row r="10262">
      <c r="A10262" s="1" t="s">
        <v>10262</v>
      </c>
      <c r="B10262" s="2" t="str">
        <f>IFERROR(__xludf.DUMMYFUNCTION("GOOGLETRANSLATE(A10262, ""de"", ""en"")"),"disappeared")</f>
        <v>disappeared</v>
      </c>
    </row>
    <row r="10263">
      <c r="A10263" s="1" t="s">
        <v>10263</v>
      </c>
      <c r="B10263" s="2" t="str">
        <f>IFERROR(__xludf.DUMMYFUNCTION("GOOGLETRANSLATE(A10263, ""de"", ""en"")"),"serum")</f>
        <v>serum</v>
      </c>
    </row>
    <row r="10264">
      <c r="A10264" s="1" t="s">
        <v>10264</v>
      </c>
      <c r="B10264" s="2" t="str">
        <f>IFERROR(__xludf.DUMMYFUNCTION("GOOGLETRANSLATE(A10264, ""de"", ""en"")"),"julio")</f>
        <v>julio</v>
      </c>
    </row>
    <row r="10265">
      <c r="A10265" s="1" t="s">
        <v>10265</v>
      </c>
      <c r="B10265" s="2" t="str">
        <f>IFERROR(__xludf.DUMMYFUNCTION("GOOGLETRANSLATE(A10265, ""de"", ""en"")"),"place")</f>
        <v>place</v>
      </c>
    </row>
    <row r="10266">
      <c r="A10266" s="1" t="s">
        <v>10266</v>
      </c>
      <c r="B10266" s="2" t="str">
        <f>IFERROR(__xludf.DUMMYFUNCTION("GOOGLETRANSLATE(A10266, ""de"", ""en"")"),"imagination")</f>
        <v>imagination</v>
      </c>
    </row>
    <row r="10267">
      <c r="A10267" s="1" t="s">
        <v>10267</v>
      </c>
      <c r="B10267" s="2" t="str">
        <f>IFERROR(__xludf.DUMMYFUNCTION("GOOGLETRANSLATE(A10267, ""de"", ""en"")"),"therapists")</f>
        <v>therapists</v>
      </c>
    </row>
    <row r="10268">
      <c r="A10268" s="1" t="s">
        <v>10268</v>
      </c>
      <c r="B10268" s="2" t="str">
        <f>IFERROR(__xludf.DUMMYFUNCTION("GOOGLETRANSLATE(A10268, ""de"", ""en"")"),"terror")</f>
        <v>terror</v>
      </c>
    </row>
    <row r="10269">
      <c r="A10269" s="1" t="s">
        <v>10269</v>
      </c>
      <c r="B10269" s="2" t="str">
        <f>IFERROR(__xludf.DUMMYFUNCTION("GOOGLETRANSLATE(A10269, ""de"", ""en"")"),"service")</f>
        <v>service</v>
      </c>
    </row>
    <row r="10270">
      <c r="A10270" s="1" t="s">
        <v>10270</v>
      </c>
      <c r="B10270" s="2" t="str">
        <f>IFERROR(__xludf.DUMMYFUNCTION("GOOGLETRANSLATE(A10270, ""de"", ""en"")"),"bend")</f>
        <v>bend</v>
      </c>
    </row>
    <row r="10271">
      <c r="A10271" s="1" t="s">
        <v>10271</v>
      </c>
      <c r="B10271" s="2" t="str">
        <f>IFERROR(__xludf.DUMMYFUNCTION("GOOGLETRANSLATE(A10271, ""de"", ""en"")"),"trish")</f>
        <v>trish</v>
      </c>
    </row>
    <row r="10272">
      <c r="A10272" s="1" t="s">
        <v>10272</v>
      </c>
      <c r="B10272" s="2" t="str">
        <f>IFERROR(__xludf.DUMMYFUNCTION("GOOGLETRANSLATE(A10272, ""de"", ""en"")"),"Elise")</f>
        <v>Elise</v>
      </c>
    </row>
    <row r="10273">
      <c r="A10273" s="1" t="s">
        <v>10273</v>
      </c>
      <c r="B10273" s="2" t="str">
        <f>IFERROR(__xludf.DUMMYFUNCTION("GOOGLETRANSLATE(A10273, ""de"", ""en"")"),"locked")</f>
        <v>locked</v>
      </c>
    </row>
    <row r="10274">
      <c r="A10274" s="1" t="s">
        <v>10274</v>
      </c>
      <c r="B10274" s="2" t="str">
        <f>IFERROR(__xludf.DUMMYFUNCTION("GOOGLETRANSLATE(A10274, ""de"", ""en"")"),"sewn")</f>
        <v>sewn</v>
      </c>
    </row>
    <row r="10275">
      <c r="A10275" s="1" t="s">
        <v>10275</v>
      </c>
      <c r="B10275" s="2" t="str">
        <f>IFERROR(__xludf.DUMMYFUNCTION("GOOGLETRANSLATE(A10275, ""de"", ""en"")"),"securing evidence")</f>
        <v>securing evidence</v>
      </c>
    </row>
    <row r="10276">
      <c r="A10276" s="1" t="s">
        <v>10276</v>
      </c>
      <c r="B10276" s="2" t="str">
        <f>IFERROR(__xludf.DUMMYFUNCTION("GOOGLETRANSLATE(A10276, ""de"", ""en"")"),"fold")</f>
        <v>fold</v>
      </c>
    </row>
    <row r="10277">
      <c r="A10277" s="1" t="s">
        <v>10277</v>
      </c>
      <c r="B10277" s="2" t="str">
        <f>IFERROR(__xludf.DUMMYFUNCTION("GOOGLETRANSLATE(A10277, ""de"", ""en"")"),"suck")</f>
        <v>suck</v>
      </c>
    </row>
    <row r="10278">
      <c r="A10278" s="1" t="s">
        <v>10278</v>
      </c>
      <c r="B10278" s="2" t="str">
        <f>IFERROR(__xludf.DUMMYFUNCTION("GOOGLETRANSLATE(A10278, ""de"", ""en"")"),"gray ones")</f>
        <v>gray ones</v>
      </c>
    </row>
    <row r="10279">
      <c r="A10279" s="1" t="s">
        <v>10279</v>
      </c>
      <c r="B10279" s="2" t="str">
        <f>IFERROR(__xludf.DUMMYFUNCTION("GOOGLETRANSLATE(A10279, ""de"", ""en"")"),"more honest")</f>
        <v>more honest</v>
      </c>
    </row>
    <row r="10280">
      <c r="A10280" s="1" t="s">
        <v>10280</v>
      </c>
      <c r="B10280" s="2" t="str">
        <f>IFERROR(__xludf.DUMMYFUNCTION("GOOGLETRANSLATE(A10280, ""de"", ""en"")"),"walden")</f>
        <v>walden</v>
      </c>
    </row>
    <row r="10281">
      <c r="A10281" s="1" t="s">
        <v>10281</v>
      </c>
      <c r="B10281" s="2" t="str">
        <f>IFERROR(__xludf.DUMMYFUNCTION("GOOGLETRANSLATE(A10281, ""de"", ""en"")"),"morgue")</f>
        <v>morgue</v>
      </c>
    </row>
    <row r="10282">
      <c r="A10282" s="1" t="s">
        <v>10282</v>
      </c>
      <c r="B10282" s="2" t="str">
        <f>IFERROR(__xludf.DUMMYFUNCTION("GOOGLETRANSLATE(A10282, ""de"", ""en"")"),"would be")</f>
        <v>would be</v>
      </c>
    </row>
    <row r="10283">
      <c r="A10283" s="1" t="s">
        <v>10283</v>
      </c>
      <c r="B10283" s="2" t="str">
        <f>IFERROR(__xludf.DUMMYFUNCTION("GOOGLETRANSLATE(A10283, ""de"", ""en"")"),"rock")</f>
        <v>rock</v>
      </c>
    </row>
    <row r="10284">
      <c r="A10284" s="1" t="s">
        <v>10284</v>
      </c>
      <c r="B10284" s="2" t="str">
        <f>IFERROR(__xludf.DUMMYFUNCTION("GOOGLETRANSLATE(A10284, ""de"", ""en"")"),"drill")</f>
        <v>drill</v>
      </c>
    </row>
    <row r="10285">
      <c r="A10285" s="1" t="s">
        <v>10285</v>
      </c>
      <c r="B10285" s="2" t="str">
        <f>IFERROR(__xludf.DUMMYFUNCTION("GOOGLETRANSLATE(A10285, ""de"", ""en"")"),"hidden")</f>
        <v>hidden</v>
      </c>
    </row>
    <row r="10286">
      <c r="A10286" s="1" t="s">
        <v>10286</v>
      </c>
      <c r="B10286" s="2" t="str">
        <f>IFERROR(__xludf.DUMMYFUNCTION("GOOGLETRANSLATE(A10286, ""de"", ""en"")"),"desmond")</f>
        <v>desmond</v>
      </c>
    </row>
    <row r="10287">
      <c r="A10287" s="1" t="s">
        <v>10287</v>
      </c>
      <c r="B10287" s="2" t="str">
        <f>IFERROR(__xludf.DUMMYFUNCTION("GOOGLETRANSLATE(A10287, ""de"", ""en"")"),"noted")</f>
        <v>noted</v>
      </c>
    </row>
    <row r="10288">
      <c r="A10288" s="1" t="s">
        <v>10288</v>
      </c>
      <c r="B10288" s="2" t="str">
        <f>IFERROR(__xludf.DUMMYFUNCTION("GOOGLETRANSLATE(A10288, ""de"", ""en"")"),"billion")</f>
        <v>billion</v>
      </c>
    </row>
    <row r="10289">
      <c r="A10289" s="1" t="s">
        <v>10289</v>
      </c>
      <c r="B10289" s="2" t="str">
        <f>IFERROR(__xludf.DUMMYFUNCTION("GOOGLETRANSLATE(A10289, ""de"", ""en"")"),"building")</f>
        <v>building</v>
      </c>
    </row>
    <row r="10290">
      <c r="A10290" s="1" t="s">
        <v>10290</v>
      </c>
      <c r="B10290" s="2" t="str">
        <f>IFERROR(__xludf.DUMMYFUNCTION("GOOGLETRANSLATE(A10290, ""de"", ""en"")"),"scout")</f>
        <v>scout</v>
      </c>
    </row>
    <row r="10291">
      <c r="A10291" s="1" t="s">
        <v>10291</v>
      </c>
      <c r="B10291" s="2" t="str">
        <f>IFERROR(__xludf.DUMMYFUNCTION("GOOGLETRANSLATE(A10291, ""de"", ""en"")"),"gorilla")</f>
        <v>gorilla</v>
      </c>
    </row>
    <row r="10292">
      <c r="A10292" s="1" t="s">
        <v>10292</v>
      </c>
      <c r="B10292" s="2" t="str">
        <f>IFERROR(__xludf.DUMMYFUNCTION("GOOGLETRANSLATE(A10292, ""de"", ""en"")"),"smelled")</f>
        <v>smelled</v>
      </c>
    </row>
    <row r="10293">
      <c r="A10293" s="1" t="s">
        <v>10293</v>
      </c>
      <c r="B10293" s="2" t="str">
        <f>IFERROR(__xludf.DUMMYFUNCTION("GOOGLETRANSLATE(A10293, ""de"", ""en"")"),"Caitlin")</f>
        <v>Caitlin</v>
      </c>
    </row>
    <row r="10294">
      <c r="A10294" s="1" t="s">
        <v>10294</v>
      </c>
      <c r="B10294" s="2" t="str">
        <f>IFERROR(__xludf.DUMMYFUNCTION("GOOGLETRANSLATE(A10294, ""de"", ""en"")"),"tilt")</f>
        <v>tilt</v>
      </c>
    </row>
    <row r="10295">
      <c r="A10295" s="1" t="s">
        <v>10295</v>
      </c>
      <c r="B10295" s="2" t="str">
        <f>IFERROR(__xludf.DUMMYFUNCTION("GOOGLETRANSLATE(A10295, ""de"", ""en"")"),"equals")</f>
        <v>equals</v>
      </c>
    </row>
    <row r="10296">
      <c r="A10296" s="1" t="s">
        <v>10296</v>
      </c>
      <c r="B10296" s="2" t="str">
        <f>IFERROR(__xludf.DUMMYFUNCTION("GOOGLETRANSLATE(A10296, ""de"", ""en"")"),"pavement")</f>
        <v>pavement</v>
      </c>
    </row>
    <row r="10297">
      <c r="A10297" s="1" t="s">
        <v>10297</v>
      </c>
      <c r="B10297" s="2" t="str">
        <f>IFERROR(__xludf.DUMMYFUNCTION("GOOGLETRANSLATE(A10297, ""de"", ""en"")"),"l.")</f>
        <v>l.</v>
      </c>
    </row>
    <row r="10298">
      <c r="A10298" s="1" t="s">
        <v>10298</v>
      </c>
      <c r="B10298" s="2" t="str">
        <f>IFERROR(__xludf.DUMMYFUNCTION("GOOGLETRANSLATE(A10298, ""de"", ""en"")"),"used")</f>
        <v>used</v>
      </c>
    </row>
    <row r="10299">
      <c r="A10299" s="1" t="s">
        <v>10299</v>
      </c>
      <c r="B10299" s="2" t="str">
        <f>IFERROR(__xludf.DUMMYFUNCTION("GOOGLETRANSLATE(A10299, ""de"", ""en"")"),"to attract")</f>
        <v>to attract</v>
      </c>
    </row>
    <row r="10300">
      <c r="A10300" s="1" t="s">
        <v>10300</v>
      </c>
      <c r="B10300" s="2" t="str">
        <f>IFERROR(__xludf.DUMMYFUNCTION("GOOGLETRANSLATE(A10300, ""de"", ""en"")"),"tempting")</f>
        <v>tempting</v>
      </c>
    </row>
    <row r="10301">
      <c r="A10301" s="1" t="s">
        <v>10301</v>
      </c>
      <c r="B10301" s="2" t="str">
        <f>IFERROR(__xludf.DUMMYFUNCTION("GOOGLETRANSLATE(A10301, ""de"", ""en"")"),"bryce")</f>
        <v>bryce</v>
      </c>
    </row>
    <row r="10302">
      <c r="A10302" s="1" t="s">
        <v>10302</v>
      </c>
      <c r="B10302" s="2" t="str">
        <f>IFERROR(__xludf.DUMMYFUNCTION("GOOGLETRANSLATE(A10302, ""de"", ""en"")"),"traffic light")</f>
        <v>traffic light</v>
      </c>
    </row>
    <row r="10303">
      <c r="A10303" s="1" t="s">
        <v>10303</v>
      </c>
      <c r="B10303" s="2" t="str">
        <f>IFERROR(__xludf.DUMMYFUNCTION("GOOGLETRANSLATE(A10303, ""de"", ""en"")"),"Interpol")</f>
        <v>Interpol</v>
      </c>
    </row>
    <row r="10304">
      <c r="A10304" s="1" t="s">
        <v>10304</v>
      </c>
      <c r="B10304" s="2" t="str">
        <f>IFERROR(__xludf.DUMMYFUNCTION("GOOGLETRANSLATE(A10304, ""de"", ""en"")"),"dodge")</f>
        <v>dodge</v>
      </c>
    </row>
    <row r="10305">
      <c r="A10305" s="1" t="s">
        <v>10305</v>
      </c>
      <c r="B10305" s="2" t="str">
        <f>IFERROR(__xludf.DUMMYFUNCTION("GOOGLETRANSLATE(A10305, ""de"", ""en"")"),"technical")</f>
        <v>technical</v>
      </c>
    </row>
    <row r="10306">
      <c r="A10306" s="1" t="s">
        <v>10306</v>
      </c>
      <c r="B10306" s="2" t="str">
        <f>IFERROR(__xludf.DUMMYFUNCTION("GOOGLETRANSLATE(A10306, ""de"", ""en"")"),"room service")</f>
        <v>room service</v>
      </c>
    </row>
    <row r="10307">
      <c r="A10307" s="1" t="s">
        <v>10307</v>
      </c>
      <c r="B10307" s="2" t="str">
        <f>IFERROR(__xludf.DUMMYFUNCTION("GOOGLETRANSLATE(A10307, ""de"", ""en"")"),"lu")</f>
        <v>lu</v>
      </c>
    </row>
    <row r="10308">
      <c r="A10308" s="1" t="s">
        <v>10308</v>
      </c>
      <c r="B10308" s="2" t="str">
        <f>IFERROR(__xludf.DUMMYFUNCTION("GOOGLETRANSLATE(A10308, ""de"", ""en"")"),"deer")</f>
        <v>deer</v>
      </c>
    </row>
    <row r="10309">
      <c r="A10309" s="1" t="s">
        <v>10309</v>
      </c>
      <c r="B10309" s="2" t="str">
        <f>IFERROR(__xludf.DUMMYFUNCTION("GOOGLETRANSLATE(A10309, ""de"", ""en"")"),"Hayley")</f>
        <v>Hayley</v>
      </c>
    </row>
    <row r="10310">
      <c r="A10310" s="1" t="s">
        <v>10310</v>
      </c>
      <c r="B10310" s="2" t="str">
        <f>IFERROR(__xludf.DUMMYFUNCTION("GOOGLETRANSLATE(A10310, ""de"", ""en"")"),"promises")</f>
        <v>promises</v>
      </c>
    </row>
    <row r="10311">
      <c r="A10311" s="1" t="s">
        <v>10311</v>
      </c>
      <c r="B10311" s="2" t="str">
        <f>IFERROR(__xludf.DUMMYFUNCTION("GOOGLETRANSLATE(A10311, ""de"", ""en"")"),"laughing")</f>
        <v>laughing</v>
      </c>
    </row>
    <row r="10312">
      <c r="A10312" s="1" t="s">
        <v>10312</v>
      </c>
      <c r="B10312" s="2" t="str">
        <f>IFERROR(__xludf.DUMMYFUNCTION("GOOGLETRANSLATE(A10312, ""de"", ""en"")"),"more decent")</f>
        <v>more decent</v>
      </c>
    </row>
    <row r="10313">
      <c r="A10313" s="1" t="s">
        <v>10313</v>
      </c>
      <c r="B10313" s="2" t="str">
        <f>IFERROR(__xludf.DUMMYFUNCTION("GOOGLETRANSLATE(A10313, ""de"", ""en"")"),"fills")</f>
        <v>fills</v>
      </c>
    </row>
    <row r="10314">
      <c r="A10314" s="1" t="s">
        <v>10314</v>
      </c>
      <c r="B10314" s="2" t="str">
        <f>IFERROR(__xludf.DUMMYFUNCTION("GOOGLETRANSLATE(A10314, ""de"", ""en"")"),"appreciated")</f>
        <v>appreciated</v>
      </c>
    </row>
    <row r="10315">
      <c r="A10315" s="1" t="s">
        <v>10315</v>
      </c>
      <c r="B10315" s="2" t="str">
        <f>IFERROR(__xludf.DUMMYFUNCTION("GOOGLETRANSLATE(A10315, ""de"", ""en"")"),"allies")</f>
        <v>allies</v>
      </c>
    </row>
    <row r="10316">
      <c r="A10316" s="1" t="s">
        <v>10316</v>
      </c>
      <c r="B10316" s="2" t="str">
        <f>IFERROR(__xludf.DUMMYFUNCTION("GOOGLETRANSLATE(A10316, ""de"", ""en"")"),"watch")</f>
        <v>watch</v>
      </c>
    </row>
    <row r="10317">
      <c r="A10317" s="1" t="s">
        <v>10317</v>
      </c>
      <c r="B10317" s="2" t="str">
        <f>IFERROR(__xludf.DUMMYFUNCTION("GOOGLETRANSLATE(A10317, ""de"", ""en"")"),"vote")</f>
        <v>vote</v>
      </c>
    </row>
    <row r="10318">
      <c r="A10318" s="1" t="s">
        <v>10318</v>
      </c>
      <c r="B10318" s="2" t="str">
        <f>IFERROR(__xludf.DUMMYFUNCTION("GOOGLETRANSLATE(A10318, ""de"", ""en"")"),"sister-in-law")</f>
        <v>sister-in-law</v>
      </c>
    </row>
    <row r="10319">
      <c r="A10319" s="1" t="s">
        <v>10319</v>
      </c>
      <c r="B10319" s="2" t="str">
        <f>IFERROR(__xludf.DUMMYFUNCTION("GOOGLETRANSLATE(A10319, ""de"", ""en"")"),"cybill")</f>
        <v>cybill</v>
      </c>
    </row>
    <row r="10320">
      <c r="A10320" s="1" t="s">
        <v>10320</v>
      </c>
      <c r="B10320" s="2" t="str">
        <f>IFERROR(__xludf.DUMMYFUNCTION("GOOGLETRANSLATE(A10320, ""de"", ""en"")"),"deactivate")</f>
        <v>deactivate</v>
      </c>
    </row>
    <row r="10321">
      <c r="A10321" s="1" t="s">
        <v>10321</v>
      </c>
      <c r="B10321" s="2" t="str">
        <f>IFERROR(__xludf.DUMMYFUNCTION("GOOGLETRANSLATE(A10321, ""de"", ""en"")"),"back")</f>
        <v>back</v>
      </c>
    </row>
    <row r="10322">
      <c r="A10322" s="1" t="s">
        <v>10322</v>
      </c>
      <c r="B10322" s="2" t="str">
        <f>IFERROR(__xludf.DUMMYFUNCTION("GOOGLETRANSLATE(A10322, ""de"", ""en"")"),"edmund")</f>
        <v>edmund</v>
      </c>
    </row>
    <row r="10323">
      <c r="A10323" s="1" t="s">
        <v>10323</v>
      </c>
      <c r="B10323" s="2" t="str">
        <f>IFERROR(__xludf.DUMMYFUNCTION("GOOGLETRANSLATE(A10323, ""de"", ""en"")"),"drones")</f>
        <v>drones</v>
      </c>
    </row>
    <row r="10324">
      <c r="A10324" s="1" t="s">
        <v>10324</v>
      </c>
      <c r="B10324" s="2" t="str">
        <f>IFERROR(__xludf.DUMMYFUNCTION("GOOGLETRANSLATE(A10324, ""de"", ""en"")"),"desired")</f>
        <v>desired</v>
      </c>
    </row>
    <row r="10325">
      <c r="A10325" s="1" t="s">
        <v>10325</v>
      </c>
      <c r="B10325" s="2" t="str">
        <f>IFERROR(__xludf.DUMMYFUNCTION("GOOGLETRANSLATE(A10325, ""de"", ""en"")"),"gang")</f>
        <v>gang</v>
      </c>
    </row>
    <row r="10326">
      <c r="A10326" s="1" t="s">
        <v>10326</v>
      </c>
      <c r="B10326" s="2" t="str">
        <f>IFERROR(__xludf.DUMMYFUNCTION("GOOGLETRANSLATE(A10326, ""de"", ""en"")"),"mess")</f>
        <v>mess</v>
      </c>
    </row>
    <row r="10327">
      <c r="A10327" s="1" t="s">
        <v>10327</v>
      </c>
      <c r="B10327" s="2" t="str">
        <f>IFERROR(__xludf.DUMMYFUNCTION("GOOGLETRANSLATE(A10327, ""de"", ""en"")"),"portion")</f>
        <v>portion</v>
      </c>
    </row>
    <row r="10328">
      <c r="A10328" s="1" t="s">
        <v>10328</v>
      </c>
      <c r="B10328" s="2" t="str">
        <f>IFERROR(__xludf.DUMMYFUNCTION("GOOGLETRANSLATE(A10328, ""de"", ""en"")"),"robbed")</f>
        <v>robbed</v>
      </c>
    </row>
    <row r="10329">
      <c r="A10329" s="1" t="s">
        <v>10329</v>
      </c>
      <c r="B10329" s="2" t="str">
        <f>IFERROR(__xludf.DUMMYFUNCTION("GOOGLETRANSLATE(A10329, ""de"", ""en"")"),"constance")</f>
        <v>constance</v>
      </c>
    </row>
    <row r="10330">
      <c r="A10330" s="1" t="s">
        <v>10330</v>
      </c>
      <c r="B10330" s="2" t="str">
        <f>IFERROR(__xludf.DUMMYFUNCTION("GOOGLETRANSLATE(A10330, ""de"", ""en"")"),"bull")</f>
        <v>bull</v>
      </c>
    </row>
    <row r="10331">
      <c r="A10331" s="1" t="s">
        <v>10331</v>
      </c>
      <c r="B10331" s="2" t="str">
        <f>IFERROR(__xludf.DUMMYFUNCTION("GOOGLETRANSLATE(A10331, ""de"", ""en"")"),"cheers")</f>
        <v>cheers</v>
      </c>
    </row>
    <row r="10332">
      <c r="A10332" s="1" t="s">
        <v>10332</v>
      </c>
      <c r="B10332" s="2" t="str">
        <f>IFERROR(__xludf.DUMMYFUNCTION("GOOGLETRANSLATE(A10332, ""de"", ""en"")"),"young people")</f>
        <v>young people</v>
      </c>
    </row>
    <row r="10333">
      <c r="A10333" s="1" t="s">
        <v>10333</v>
      </c>
      <c r="B10333" s="2" t="str">
        <f>IFERROR(__xludf.DUMMYFUNCTION("GOOGLETRANSLATE(A10333, ""de"", ""en"")"),"remark")</f>
        <v>remark</v>
      </c>
    </row>
    <row r="10334">
      <c r="A10334" s="1" t="s">
        <v>10334</v>
      </c>
      <c r="B10334" s="2" t="str">
        <f>IFERROR(__xludf.DUMMYFUNCTION("GOOGLETRANSLATE(A10334, ""de"", ""en"")"),"AIDS")</f>
        <v>AIDS</v>
      </c>
    </row>
    <row r="10335">
      <c r="A10335" s="1" t="s">
        <v>10335</v>
      </c>
      <c r="B10335" s="2" t="str">
        <f>IFERROR(__xludf.DUMMYFUNCTION("GOOGLETRANSLATE(A10335, ""de"", ""en"")"),"cate")</f>
        <v>cate</v>
      </c>
    </row>
    <row r="10336">
      <c r="A10336" s="1" t="s">
        <v>10336</v>
      </c>
      <c r="B10336" s="2" t="str">
        <f>IFERROR(__xludf.DUMMYFUNCTION("GOOGLETRANSLATE(A10336, ""de"", ""en"")"),"John")</f>
        <v>John</v>
      </c>
    </row>
    <row r="10337">
      <c r="A10337" s="1" t="s">
        <v>10337</v>
      </c>
      <c r="B10337" s="2" t="str">
        <f>IFERROR(__xludf.DUMMYFUNCTION("GOOGLETRANSLATE(A10337, ""de"", ""en"")"),"belongs")</f>
        <v>belongs</v>
      </c>
    </row>
    <row r="10338">
      <c r="A10338" s="1" t="s">
        <v>10338</v>
      </c>
      <c r="B10338" s="2" t="str">
        <f>IFERROR(__xludf.DUMMYFUNCTION("GOOGLETRANSLATE(A10338, ""de"", ""en"")"),"maryann")</f>
        <v>maryann</v>
      </c>
    </row>
    <row r="10339">
      <c r="A10339" s="1" t="s">
        <v>10339</v>
      </c>
      <c r="B10339" s="2" t="str">
        <f>IFERROR(__xludf.DUMMYFUNCTION("GOOGLETRANSLATE(A10339, ""de"", ""en"")"),"necklace")</f>
        <v>necklace</v>
      </c>
    </row>
    <row r="10340">
      <c r="A10340" s="1" t="s">
        <v>10340</v>
      </c>
      <c r="B10340" s="2" t="str">
        <f>IFERROR(__xludf.DUMMYFUNCTION("GOOGLETRANSLATE(A10340, ""de"", ""en"")"),"Istanbul")</f>
        <v>Istanbul</v>
      </c>
    </row>
    <row r="10341">
      <c r="A10341" s="1" t="s">
        <v>10341</v>
      </c>
      <c r="B10341" s="2" t="str">
        <f>IFERROR(__xludf.DUMMYFUNCTION("GOOGLETRANSLATE(A10341, ""de"", ""en"")"),"been")</f>
        <v>been</v>
      </c>
    </row>
    <row r="10342">
      <c r="A10342" s="1" t="s">
        <v>10342</v>
      </c>
      <c r="B10342" s="2" t="str">
        <f>IFERROR(__xludf.DUMMYFUNCTION("GOOGLETRANSLATE(A10342, ""de"", ""en"")"),"worry")</f>
        <v>worry</v>
      </c>
    </row>
    <row r="10343">
      <c r="A10343" s="1" t="s">
        <v>10343</v>
      </c>
      <c r="B10343" s="2" t="str">
        <f>IFERROR(__xludf.DUMMYFUNCTION("GOOGLETRANSLATE(A10343, ""de"", ""en"")"),"shear")</f>
        <v>shear</v>
      </c>
    </row>
    <row r="10344">
      <c r="A10344" s="1" t="s">
        <v>10344</v>
      </c>
      <c r="B10344" s="2" t="str">
        <f>IFERROR(__xludf.DUMMYFUNCTION("GOOGLETRANSLATE(A10344, ""de"", ""en"")"),"is silent")</f>
        <v>is silent</v>
      </c>
    </row>
    <row r="10345">
      <c r="A10345" s="1" t="s">
        <v>10345</v>
      </c>
      <c r="B10345" s="2" t="str">
        <f>IFERROR(__xludf.DUMMYFUNCTION("GOOGLETRANSLATE(A10345, ""de"", ""en"")"),"porridge")</f>
        <v>porridge</v>
      </c>
    </row>
    <row r="10346">
      <c r="A10346" s="1" t="s">
        <v>10346</v>
      </c>
      <c r="B10346" s="2" t="str">
        <f>IFERROR(__xludf.DUMMYFUNCTION("GOOGLETRANSLATE(A10346, ""de"", ""en"")"),"replied")</f>
        <v>replied</v>
      </c>
    </row>
    <row r="10347">
      <c r="A10347" s="1" t="s">
        <v>10347</v>
      </c>
      <c r="B10347" s="2" t="str">
        <f>IFERROR(__xludf.DUMMYFUNCTION("GOOGLETRANSLATE(A10347, ""de"", ""en"")"),"threads")</f>
        <v>threads</v>
      </c>
    </row>
    <row r="10348">
      <c r="A10348" s="1" t="s">
        <v>10348</v>
      </c>
      <c r="B10348" s="2" t="str">
        <f>IFERROR(__xludf.DUMMYFUNCTION("GOOGLETRANSLATE(A10348, ""de"", ""en"")"),"cool")</f>
        <v>cool</v>
      </c>
    </row>
    <row r="10349">
      <c r="A10349" s="1" t="s">
        <v>10349</v>
      </c>
      <c r="B10349" s="2" t="str">
        <f>IFERROR(__xludf.DUMMYFUNCTION("GOOGLETRANSLATE(A10349, ""de"", ""en"")"),"ashamed")</f>
        <v>ashamed</v>
      </c>
    </row>
    <row r="10350">
      <c r="A10350" s="1" t="s">
        <v>10350</v>
      </c>
      <c r="B10350" s="2" t="str">
        <f>IFERROR(__xludf.DUMMYFUNCTION("GOOGLETRANSLATE(A10350, ""de"", ""en"")"),"flour")</f>
        <v>flour</v>
      </c>
    </row>
    <row r="10351">
      <c r="A10351" s="1" t="s">
        <v>10351</v>
      </c>
      <c r="B10351" s="2" t="str">
        <f>IFERROR(__xludf.DUMMYFUNCTION("GOOGLETRANSLATE(A10351, ""de"", ""en"")"),"full")</f>
        <v>full</v>
      </c>
    </row>
    <row r="10352">
      <c r="A10352" s="1" t="s">
        <v>10352</v>
      </c>
      <c r="B10352" s="2" t="str">
        <f>IFERROR(__xludf.DUMMYFUNCTION("GOOGLETRANSLATE(A10352, ""de"", ""en"")"),"broken up")</f>
        <v>broken up</v>
      </c>
    </row>
    <row r="10353">
      <c r="A10353" s="1" t="s">
        <v>10353</v>
      </c>
      <c r="B10353" s="2" t="str">
        <f>IFERROR(__xludf.DUMMYFUNCTION("GOOGLETRANSLATE(A10353, ""de"", ""en"")"),"expedition")</f>
        <v>expedition</v>
      </c>
    </row>
    <row r="10354">
      <c r="A10354" s="1" t="s">
        <v>10354</v>
      </c>
      <c r="B10354" s="2" t="str">
        <f>IFERROR(__xludf.DUMMYFUNCTION("GOOGLETRANSLATE(A10354, ""de"", ""en"")"),"the change")</f>
        <v>the change</v>
      </c>
    </row>
    <row r="10355">
      <c r="A10355" s="1" t="s">
        <v>10355</v>
      </c>
      <c r="B10355" s="2" t="str">
        <f>IFERROR(__xludf.DUMMYFUNCTION("GOOGLETRANSLATE(A10355, ""de"", ""en"")"),"surveillance cameras")</f>
        <v>surveillance cameras</v>
      </c>
    </row>
    <row r="10356">
      <c r="A10356" s="1" t="s">
        <v>10356</v>
      </c>
      <c r="B10356" s="2" t="str">
        <f>IFERROR(__xludf.DUMMYFUNCTION("GOOGLETRANSLATE(A10356, ""de"", ""en"")"),"those")</f>
        <v>those</v>
      </c>
    </row>
    <row r="10357">
      <c r="A10357" s="1" t="s">
        <v>10357</v>
      </c>
      <c r="B10357" s="2" t="str">
        <f>IFERROR(__xludf.DUMMYFUNCTION("GOOGLETRANSLATE(A10357, ""de"", ""en"")"),"blinder")</f>
        <v>blinder</v>
      </c>
    </row>
    <row r="10358">
      <c r="A10358" s="1" t="s">
        <v>10358</v>
      </c>
      <c r="B10358" s="2" t="str">
        <f>IFERROR(__xludf.DUMMYFUNCTION("GOOGLETRANSLATE(A10358, ""de"", ""en"")"),"to carry out")</f>
        <v>to carry out</v>
      </c>
    </row>
    <row r="10359">
      <c r="A10359" s="1" t="s">
        <v>10359</v>
      </c>
      <c r="B10359" s="2" t="str">
        <f>IFERROR(__xludf.DUMMYFUNCTION("GOOGLETRANSLATE(A10359, ""de"", ""en"")"),"parliament")</f>
        <v>parliament</v>
      </c>
    </row>
    <row r="10360">
      <c r="A10360" s="1" t="s">
        <v>10360</v>
      </c>
      <c r="B10360" s="2" t="str">
        <f>IFERROR(__xludf.DUMMYFUNCTION("GOOGLETRANSLATE(A10360, ""de"", ""en"")"),"direct")</f>
        <v>direct</v>
      </c>
    </row>
    <row r="10361">
      <c r="A10361" s="1" t="s">
        <v>10361</v>
      </c>
      <c r="B10361" s="2" t="str">
        <f>IFERROR(__xludf.DUMMYFUNCTION("GOOGLETRANSLATE(A10361, ""de"", ""en"")"),"dawson")</f>
        <v>dawson</v>
      </c>
    </row>
    <row r="10362">
      <c r="A10362" s="1" t="s">
        <v>10362</v>
      </c>
      <c r="B10362" s="2" t="str">
        <f>IFERROR(__xludf.DUMMYFUNCTION("GOOGLETRANSLATE(A10362, ""de"", ""en"")"),"Tanya")</f>
        <v>Tanya</v>
      </c>
    </row>
    <row r="10363">
      <c r="A10363" s="1" t="s">
        <v>10363</v>
      </c>
      <c r="B10363" s="2" t="str">
        <f>IFERROR(__xludf.DUMMYFUNCTION("GOOGLETRANSLATE(A10363, ""de"", ""en"")"),"environment")</f>
        <v>environment</v>
      </c>
    </row>
    <row r="10364">
      <c r="A10364" s="1" t="s">
        <v>10364</v>
      </c>
      <c r="B10364" s="2" t="str">
        <f>IFERROR(__xludf.DUMMYFUNCTION("GOOGLETRANSLATE(A10364, ""de"", ""en"")"),"wrote")</f>
        <v>wrote</v>
      </c>
    </row>
    <row r="10365">
      <c r="A10365" s="1" t="s">
        <v>10365</v>
      </c>
      <c r="B10365" s="2" t="str">
        <f>IFERROR(__xludf.DUMMYFUNCTION("GOOGLETRANSLATE(A10365, ""de"", ""en"")"),"Michigan")</f>
        <v>Michigan</v>
      </c>
    </row>
    <row r="10366">
      <c r="A10366" s="1" t="s">
        <v>10366</v>
      </c>
      <c r="B10366" s="2" t="str">
        <f>IFERROR(__xludf.DUMMYFUNCTION("GOOGLETRANSLATE(A10366, ""de"", ""en"")"),"fly up")</f>
        <v>fly up</v>
      </c>
    </row>
    <row r="10367">
      <c r="A10367" s="1" t="s">
        <v>10367</v>
      </c>
      <c r="B10367" s="2" t="str">
        <f>IFERROR(__xludf.DUMMYFUNCTION("GOOGLETRANSLATE(A10367, ""de"", ""en"")"),"woman")</f>
        <v>woman</v>
      </c>
    </row>
    <row r="10368">
      <c r="A10368" s="1" t="s">
        <v>10368</v>
      </c>
      <c r="B10368" s="2" t="str">
        <f>IFERROR(__xludf.DUMMYFUNCTION("GOOGLETRANSLATE(A10368, ""de"", ""en"")"),"sent here")</f>
        <v>sent here</v>
      </c>
    </row>
    <row r="10369">
      <c r="A10369" s="1" t="s">
        <v>10369</v>
      </c>
      <c r="B10369" s="2" t="str">
        <f>IFERROR(__xludf.DUMMYFUNCTION("GOOGLETRANSLATE(A10369, ""de"", ""en"")"),"demonstrate")</f>
        <v>demonstrate</v>
      </c>
    </row>
    <row r="10370">
      <c r="A10370" s="1" t="s">
        <v>10370</v>
      </c>
      <c r="B10370" s="2" t="str">
        <f>IFERROR(__xludf.DUMMYFUNCTION("GOOGLETRANSLATE(A10370, ""de"", ""en"")"),"criminal record")</f>
        <v>criminal record</v>
      </c>
    </row>
    <row r="10371">
      <c r="A10371" s="1" t="s">
        <v>10371</v>
      </c>
      <c r="B10371" s="2" t="str">
        <f>IFERROR(__xludf.DUMMYFUNCTION("GOOGLETRANSLATE(A10371, ""de"", ""en"")"),"goes")</f>
        <v>goes</v>
      </c>
    </row>
    <row r="10372">
      <c r="A10372" s="1" t="s">
        <v>10372</v>
      </c>
      <c r="B10372" s="2" t="str">
        <f>IFERROR(__xludf.DUMMYFUNCTION("GOOGLETRANSLATE(A10372, ""de"", ""en"")"),"horrible")</f>
        <v>horrible</v>
      </c>
    </row>
    <row r="10373">
      <c r="A10373" s="1" t="s">
        <v>10373</v>
      </c>
      <c r="B10373" s="2" t="str">
        <f>IFERROR(__xludf.DUMMYFUNCTION("GOOGLETRANSLATE(A10373, ""de"", ""en"")"),"mother-in-law")</f>
        <v>mother-in-law</v>
      </c>
    </row>
    <row r="10374">
      <c r="A10374" s="1" t="s">
        <v>10374</v>
      </c>
      <c r="B10374" s="2" t="str">
        <f>IFERROR(__xludf.DUMMYFUNCTION("GOOGLETRANSLATE(A10374, ""de"", ""en"")"),"teaches")</f>
        <v>teaches</v>
      </c>
    </row>
    <row r="10375">
      <c r="A10375" s="1" t="s">
        <v>10375</v>
      </c>
      <c r="B10375" s="2" t="str">
        <f>IFERROR(__xludf.DUMMYFUNCTION("GOOGLETRANSLATE(A10375, ""de"", ""en"")"),"Langley")</f>
        <v>Langley</v>
      </c>
    </row>
    <row r="10376">
      <c r="A10376" s="1" t="s">
        <v>10376</v>
      </c>
      <c r="B10376" s="2" t="str">
        <f>IFERROR(__xludf.DUMMYFUNCTION("GOOGLETRANSLATE(A10376, ""de"", ""en"")"),"strangled")</f>
        <v>strangled</v>
      </c>
    </row>
    <row r="10377">
      <c r="A10377" s="1" t="s">
        <v>10377</v>
      </c>
      <c r="B10377" s="2" t="str">
        <f>IFERROR(__xludf.DUMMYFUNCTION("GOOGLETRANSLATE(A10377, ""de"", ""en"")"),"cups")</f>
        <v>cups</v>
      </c>
    </row>
    <row r="10378">
      <c r="A10378" s="1" t="s">
        <v>10378</v>
      </c>
      <c r="B10378" s="2" t="str">
        <f>IFERROR(__xludf.DUMMYFUNCTION("GOOGLETRANSLATE(A10378, ""de"", ""en"")"),"plague")</f>
        <v>plague</v>
      </c>
    </row>
    <row r="10379">
      <c r="A10379" s="1" t="s">
        <v>10379</v>
      </c>
      <c r="B10379" s="2" t="str">
        <f>IFERROR(__xludf.DUMMYFUNCTION("GOOGLETRANSLATE(A10379, ""de"", ""en"")"),"magic spell")</f>
        <v>magic spell</v>
      </c>
    </row>
    <row r="10380">
      <c r="A10380" s="1" t="s">
        <v>10380</v>
      </c>
      <c r="B10380" s="2" t="str">
        <f>IFERROR(__xludf.DUMMYFUNCTION("GOOGLETRANSLATE(A10380, ""de"", ""en"")"),"Lucien")</f>
        <v>Lucien</v>
      </c>
    </row>
    <row r="10381">
      <c r="A10381" s="1" t="s">
        <v>10381</v>
      </c>
      <c r="B10381" s="2" t="str">
        <f>IFERROR(__xludf.DUMMYFUNCTION("GOOGLETRANSLATE(A10381, ""de"", ""en"")"),"runner")</f>
        <v>runner</v>
      </c>
    </row>
    <row r="10382">
      <c r="A10382" s="1" t="s">
        <v>10382</v>
      </c>
      <c r="B10382" s="2" t="str">
        <f>IFERROR(__xludf.DUMMYFUNCTION("GOOGLETRANSLATE(A10382, ""de"", ""en"")"),"drive")</f>
        <v>drive</v>
      </c>
    </row>
    <row r="10383">
      <c r="A10383" s="1" t="s">
        <v>10383</v>
      </c>
      <c r="B10383" s="2" t="str">
        <f>IFERROR(__xludf.DUMMYFUNCTION("GOOGLETRANSLATE(A10383, ""de"", ""en"")"),"effective")</f>
        <v>effective</v>
      </c>
    </row>
    <row r="10384">
      <c r="A10384" s="1" t="s">
        <v>10384</v>
      </c>
      <c r="B10384" s="2" t="str">
        <f>IFERROR(__xludf.DUMMYFUNCTION("GOOGLETRANSLATE(A10384, ""de"", ""en"")"),"north")</f>
        <v>north</v>
      </c>
    </row>
    <row r="10385">
      <c r="A10385" s="1" t="s">
        <v>10385</v>
      </c>
      <c r="B10385" s="2" t="str">
        <f>IFERROR(__xludf.DUMMYFUNCTION("GOOGLETRANSLATE(A10385, ""de"", ""en"")"),"Callie")</f>
        <v>Callie</v>
      </c>
    </row>
    <row r="10386">
      <c r="A10386" s="1" t="s">
        <v>10386</v>
      </c>
      <c r="B10386" s="2" t="str">
        <f>IFERROR(__xludf.DUMMYFUNCTION("GOOGLETRANSLATE(A10386, ""de"", ""en"")"),"hu")</f>
        <v>hu</v>
      </c>
    </row>
    <row r="10387">
      <c r="A10387" s="1" t="s">
        <v>10387</v>
      </c>
      <c r="B10387" s="2" t="str">
        <f>IFERROR(__xludf.DUMMYFUNCTION("GOOGLETRANSLATE(A10387, ""de"", ""en"")"),"get along")</f>
        <v>get along</v>
      </c>
    </row>
    <row r="10388">
      <c r="A10388" s="1" t="s">
        <v>10388</v>
      </c>
      <c r="B10388" s="2" t="str">
        <f>IFERROR(__xludf.DUMMYFUNCTION("GOOGLETRANSLATE(A10388, ""de"", ""en"")"),"cheerful")</f>
        <v>cheerful</v>
      </c>
    </row>
    <row r="10389">
      <c r="A10389" s="1" t="s">
        <v>10389</v>
      </c>
      <c r="B10389" s="2" t="str">
        <f>IFERROR(__xludf.DUMMYFUNCTION("GOOGLETRANSLATE(A10389, ""de"", ""en"")"),"Jupiter")</f>
        <v>Jupiter</v>
      </c>
    </row>
    <row r="10390">
      <c r="A10390" s="1" t="s">
        <v>10390</v>
      </c>
      <c r="B10390" s="2" t="str">
        <f>IFERROR(__xludf.DUMMYFUNCTION("GOOGLETRANSLATE(A10390, ""de"", ""en"")"),"nut")</f>
        <v>nut</v>
      </c>
    </row>
    <row r="10391">
      <c r="A10391" s="1" t="s">
        <v>10391</v>
      </c>
      <c r="B10391" s="2" t="str">
        <f>IFERROR(__xludf.DUMMYFUNCTION("GOOGLETRANSLATE(A10391, ""de"", ""en"")"),"best man")</f>
        <v>best man</v>
      </c>
    </row>
    <row r="10392">
      <c r="A10392" s="1" t="s">
        <v>10392</v>
      </c>
      <c r="B10392" s="2" t="str">
        <f>IFERROR(__xludf.DUMMYFUNCTION("GOOGLETRANSLATE(A10392, ""de"", ""en"")"),"stones")</f>
        <v>stones</v>
      </c>
    </row>
    <row r="10393">
      <c r="A10393" s="1" t="s">
        <v>10393</v>
      </c>
      <c r="B10393" s="2" t="str">
        <f>IFERROR(__xludf.DUMMYFUNCTION("GOOGLETRANSLATE(A10393, ""de"", ""en"")"),"Phew")</f>
        <v>Phew</v>
      </c>
    </row>
    <row r="10394">
      <c r="A10394" s="1" t="s">
        <v>10394</v>
      </c>
      <c r="B10394" s="2" t="str">
        <f>IFERROR(__xludf.DUMMYFUNCTION("GOOGLETRANSLATE(A10394, ""de"", ""en"")"),"Austria")</f>
        <v>Austria</v>
      </c>
    </row>
    <row r="10395">
      <c r="A10395" s="1" t="s">
        <v>10395</v>
      </c>
      <c r="B10395" s="2" t="str">
        <f>IFERROR(__xludf.DUMMYFUNCTION("GOOGLETRANSLATE(A10395, ""de"", ""en"")"),"income")</f>
        <v>income</v>
      </c>
    </row>
    <row r="10396">
      <c r="A10396" s="1" t="s">
        <v>10396</v>
      </c>
      <c r="B10396" s="2" t="str">
        <f>IFERROR(__xludf.DUMMYFUNCTION("GOOGLETRANSLATE(A10396, ""de"", ""en"")"),"association")</f>
        <v>association</v>
      </c>
    </row>
    <row r="10397">
      <c r="A10397" s="1" t="s">
        <v>10397</v>
      </c>
      <c r="B10397" s="2" t="str">
        <f>IFERROR(__xludf.DUMMYFUNCTION("GOOGLETRANSLATE(A10397, ""de"", ""en"")"),"center")</f>
        <v>center</v>
      </c>
    </row>
    <row r="10398">
      <c r="A10398" s="1" t="s">
        <v>10398</v>
      </c>
      <c r="B10398" s="2" t="str">
        <f>IFERROR(__xludf.DUMMYFUNCTION("GOOGLETRANSLATE(A10398, ""de"", ""en"")"),"page")</f>
        <v>page</v>
      </c>
    </row>
    <row r="10399">
      <c r="A10399" s="1" t="s">
        <v>10399</v>
      </c>
      <c r="B10399" s="2" t="str">
        <f>IFERROR(__xludf.DUMMYFUNCTION("GOOGLETRANSLATE(A10399, ""de"", ""en"")"),"indicate")</f>
        <v>indicate</v>
      </c>
    </row>
    <row r="10400">
      <c r="A10400" s="1" t="s">
        <v>10400</v>
      </c>
      <c r="B10400" s="2" t="str">
        <f>IFERROR(__xludf.DUMMYFUNCTION("GOOGLETRANSLATE(A10400, ""de"", ""en"")"),"Helene")</f>
        <v>Helene</v>
      </c>
    </row>
    <row r="10401">
      <c r="A10401" s="1" t="s">
        <v>10401</v>
      </c>
      <c r="B10401" s="2" t="str">
        <f>IFERROR(__xludf.DUMMYFUNCTION("GOOGLETRANSLATE(A10401, ""de"", ""en"")"),"incomprehensible")</f>
        <v>incomprehensible</v>
      </c>
    </row>
    <row r="10402">
      <c r="A10402" s="1" t="s">
        <v>10402</v>
      </c>
      <c r="B10402" s="2" t="str">
        <f>IFERROR(__xludf.DUMMYFUNCTION("GOOGLETRANSLATE(A10402, ""de"", ""en"")"),"apparently")</f>
        <v>apparently</v>
      </c>
    </row>
    <row r="10403">
      <c r="A10403" s="1" t="s">
        <v>10403</v>
      </c>
      <c r="B10403" s="2" t="str">
        <f>IFERROR(__xludf.DUMMYFUNCTION("GOOGLETRANSLATE(A10403, ""de"", ""en"")"),"courtesy")</f>
        <v>courtesy</v>
      </c>
    </row>
    <row r="10404">
      <c r="A10404" s="1" t="s">
        <v>10404</v>
      </c>
      <c r="B10404" s="2" t="str">
        <f>IFERROR(__xludf.DUMMYFUNCTION("GOOGLETRANSLATE(A10404, ""de"", ""en"")"),"recording")</f>
        <v>recording</v>
      </c>
    </row>
    <row r="10405">
      <c r="A10405" s="1" t="s">
        <v>10405</v>
      </c>
      <c r="B10405" s="2" t="str">
        <f>IFERROR(__xludf.DUMMYFUNCTION("GOOGLETRANSLATE(A10405, ""de"", ""en"")"),"complications")</f>
        <v>complications</v>
      </c>
    </row>
    <row r="10406">
      <c r="A10406" s="1" t="s">
        <v>10406</v>
      </c>
      <c r="B10406" s="2" t="str">
        <f>IFERROR(__xludf.DUMMYFUNCTION("GOOGLETRANSLATE(A10406, ""de"", ""en"")"),"rise")</f>
        <v>rise</v>
      </c>
    </row>
    <row r="10407">
      <c r="A10407" s="1" t="s">
        <v>10407</v>
      </c>
      <c r="B10407" s="2" t="str">
        <f>IFERROR(__xludf.DUMMYFUNCTION("GOOGLETRANSLATE(A10407, ""de"", ""en"")"),"obeys")</f>
        <v>obeys</v>
      </c>
    </row>
    <row r="10408">
      <c r="A10408" s="1" t="s">
        <v>10408</v>
      </c>
      <c r="B10408" s="2" t="str">
        <f>IFERROR(__xludf.DUMMYFUNCTION("GOOGLETRANSLATE(A10408, ""de"", ""en"")"),"hollow")</f>
        <v>hollow</v>
      </c>
    </row>
    <row r="10409">
      <c r="A10409" s="1" t="s">
        <v>10409</v>
      </c>
      <c r="B10409" s="2" t="str">
        <f>IFERROR(__xludf.DUMMYFUNCTION("GOOGLETRANSLATE(A10409, ""de"", ""en"")"),"obliging")</f>
        <v>obliging</v>
      </c>
    </row>
    <row r="10410">
      <c r="A10410" s="1" t="s">
        <v>10410</v>
      </c>
      <c r="B10410" s="2" t="str">
        <f>IFERROR(__xludf.DUMMYFUNCTION("GOOGLETRANSLATE(A10410, ""de"", ""en"")"),"simple")</f>
        <v>simple</v>
      </c>
    </row>
    <row r="10411">
      <c r="A10411" s="1" t="s">
        <v>10411</v>
      </c>
      <c r="B10411" s="2" t="str">
        <f>IFERROR(__xludf.DUMMYFUNCTION("GOOGLETRANSLATE(A10411, ""de"", ""en"")"),"equipped")</f>
        <v>equipped</v>
      </c>
    </row>
    <row r="10412">
      <c r="A10412" s="1" t="s">
        <v>10412</v>
      </c>
      <c r="B10412" s="2" t="str">
        <f>IFERROR(__xludf.DUMMYFUNCTION("GOOGLETRANSLATE(A10412, ""de"", ""en"")"),"tear")</f>
        <v>tear</v>
      </c>
    </row>
    <row r="10413">
      <c r="A10413" s="1" t="s">
        <v>10413</v>
      </c>
      <c r="B10413" s="2" t="str">
        <f>IFERROR(__xludf.DUMMYFUNCTION("GOOGLETRANSLATE(A10413, ""de"", ""en"")"),"think")</f>
        <v>think</v>
      </c>
    </row>
    <row r="10414">
      <c r="A10414" s="1" t="s">
        <v>10414</v>
      </c>
      <c r="B10414" s="2" t="str">
        <f>IFERROR(__xludf.DUMMYFUNCTION("GOOGLETRANSLATE(A10414, ""de"", ""en"")"),"parks")</f>
        <v>parks</v>
      </c>
    </row>
    <row r="10415">
      <c r="A10415" s="1" t="s">
        <v>10415</v>
      </c>
      <c r="B10415" s="2" t="str">
        <f>IFERROR(__xludf.DUMMYFUNCTION("GOOGLETRANSLATE(A10415, ""de"", ""en"")"),"exert")</f>
        <v>exert</v>
      </c>
    </row>
    <row r="10416">
      <c r="A10416" s="1" t="s">
        <v>10416</v>
      </c>
      <c r="B10416" s="2" t="str">
        <f>IFERROR(__xludf.DUMMYFUNCTION("GOOGLETRANSLATE(A10416, ""de"", ""en"")"),"judge")</f>
        <v>judge</v>
      </c>
    </row>
    <row r="10417">
      <c r="A10417" s="1" t="s">
        <v>10417</v>
      </c>
      <c r="B10417" s="2" t="str">
        <f>IFERROR(__xludf.DUMMYFUNCTION("GOOGLETRANSLATE(A10417, ""de"", ""en"")"),"binds")</f>
        <v>binds</v>
      </c>
    </row>
    <row r="10418">
      <c r="A10418" s="1" t="s">
        <v>10418</v>
      </c>
      <c r="B10418" s="2" t="str">
        <f>IFERROR(__xludf.DUMMYFUNCTION("GOOGLETRANSLATE(A10418, ""de"", ""en"")"),"alternatives")</f>
        <v>alternatives</v>
      </c>
    </row>
    <row r="10419">
      <c r="A10419" s="1" t="s">
        <v>10419</v>
      </c>
      <c r="B10419" s="2" t="str">
        <f>IFERROR(__xludf.DUMMYFUNCTION("GOOGLETRANSLATE(A10419, ""de"", ""en"")"),"say goodbye")</f>
        <v>say goodbye</v>
      </c>
    </row>
    <row r="10420">
      <c r="A10420" s="1" t="s">
        <v>10420</v>
      </c>
      <c r="B10420" s="2" t="str">
        <f>IFERROR(__xludf.DUMMYFUNCTION("GOOGLETRANSLATE(A10420, ""de"", ""en"")"),"vito")</f>
        <v>vito</v>
      </c>
    </row>
    <row r="10421">
      <c r="A10421" s="1" t="s">
        <v>10421</v>
      </c>
      <c r="B10421" s="2" t="str">
        <f>IFERROR(__xludf.DUMMYFUNCTION("GOOGLETRANSLATE(A10421, ""de"", ""en"")"),"goes off")</f>
        <v>goes off</v>
      </c>
    </row>
    <row r="10422">
      <c r="A10422" s="1" t="s">
        <v>10422</v>
      </c>
      <c r="B10422" s="2" t="str">
        <f>IFERROR(__xludf.DUMMYFUNCTION("GOOGLETRANSLATE(A10422, ""de"", ""en"")"),"stupid")</f>
        <v>stupid</v>
      </c>
    </row>
    <row r="10423">
      <c r="A10423" s="1" t="s">
        <v>10423</v>
      </c>
      <c r="B10423" s="2" t="str">
        <f>IFERROR(__xludf.DUMMYFUNCTION("GOOGLETRANSLATE(A10423, ""de"", ""en"")"),"eddie")</f>
        <v>eddie</v>
      </c>
    </row>
    <row r="10424">
      <c r="A10424" s="1" t="s">
        <v>10424</v>
      </c>
      <c r="B10424" s="2" t="str">
        <f>IFERROR(__xludf.DUMMYFUNCTION("GOOGLETRANSLATE(A10424, ""de"", ""en"")"),"pressure medium")</f>
        <v>pressure medium</v>
      </c>
    </row>
    <row r="10425">
      <c r="A10425" s="1" t="s">
        <v>10425</v>
      </c>
      <c r="B10425" s="2" t="str">
        <f>IFERROR(__xludf.DUMMYFUNCTION("GOOGLETRANSLATE(A10425, ""de"", ""en"")"),"float")</f>
        <v>float</v>
      </c>
    </row>
    <row r="10426">
      <c r="A10426" s="1" t="s">
        <v>10426</v>
      </c>
      <c r="B10426" s="2" t="str">
        <f>IFERROR(__xludf.DUMMYFUNCTION("GOOGLETRANSLATE(A10426, ""de"", ""en"")"),"arrived")</f>
        <v>arrived</v>
      </c>
    </row>
    <row r="10427">
      <c r="A10427" s="1" t="s">
        <v>10427</v>
      </c>
      <c r="B10427" s="2" t="str">
        <f>IFERROR(__xludf.DUMMYFUNCTION("GOOGLETRANSLATE(A10427, ""de"", ""en"")"),"crack")</f>
        <v>crack</v>
      </c>
    </row>
    <row r="10428">
      <c r="A10428" s="1" t="s">
        <v>10428</v>
      </c>
      <c r="B10428" s="2" t="str">
        <f>IFERROR(__xludf.DUMMYFUNCTION("GOOGLETRANSLATE(A10428, ""de"", ""en"")"),"form")</f>
        <v>form</v>
      </c>
    </row>
    <row r="10429">
      <c r="A10429" s="1" t="s">
        <v>10429</v>
      </c>
      <c r="B10429" s="2" t="str">
        <f>IFERROR(__xludf.DUMMYFUNCTION("GOOGLETRANSLATE(A10429, ""de"", ""en"")"),"to hold on")</f>
        <v>to hold on</v>
      </c>
    </row>
    <row r="10430">
      <c r="A10430" s="1" t="s">
        <v>10430</v>
      </c>
      <c r="B10430" s="2" t="str">
        <f>IFERROR(__xludf.DUMMYFUNCTION("GOOGLETRANSLATE(A10430, ""de"", ""en"")"),"architect")</f>
        <v>architect</v>
      </c>
    </row>
    <row r="10431">
      <c r="A10431" s="1" t="s">
        <v>10431</v>
      </c>
      <c r="B10431" s="2" t="str">
        <f>IFERROR(__xludf.DUMMYFUNCTION("GOOGLETRANSLATE(A10431, ""de"", ""en"")"),"fell down")</f>
        <v>fell down</v>
      </c>
    </row>
    <row r="10432">
      <c r="A10432" s="1" t="s">
        <v>10432</v>
      </c>
      <c r="B10432" s="2" t="str">
        <f>IFERROR(__xludf.DUMMYFUNCTION("GOOGLETRANSLATE(A10432, ""de"", ""en"")"),"intruder")</f>
        <v>intruder</v>
      </c>
    </row>
    <row r="10433">
      <c r="A10433" s="1" t="s">
        <v>10433</v>
      </c>
      <c r="B10433" s="2" t="str">
        <f>IFERROR(__xludf.DUMMYFUNCTION("GOOGLETRANSLATE(A10433, ""de"", ""en"")"),"election campaign")</f>
        <v>election campaign</v>
      </c>
    </row>
    <row r="10434">
      <c r="A10434" s="1" t="s">
        <v>10434</v>
      </c>
      <c r="B10434" s="2" t="str">
        <f>IFERROR(__xludf.DUMMYFUNCTION("GOOGLETRANSLATE(A10434, ""de"", ""en"")"),"country")</f>
        <v>country</v>
      </c>
    </row>
    <row r="10435">
      <c r="A10435" s="1" t="s">
        <v>10435</v>
      </c>
      <c r="B10435" s="2" t="str">
        <f>IFERROR(__xludf.DUMMYFUNCTION("GOOGLETRANSLATE(A10435, ""de"", ""en"")"),"marvel")</f>
        <v>marvel</v>
      </c>
    </row>
    <row r="10436">
      <c r="A10436" s="1" t="s">
        <v>10436</v>
      </c>
      <c r="B10436" s="2" t="str">
        <f>IFERROR(__xludf.DUMMYFUNCTION("GOOGLETRANSLATE(A10436, ""de"", ""en"")"),"store")</f>
        <v>store</v>
      </c>
    </row>
    <row r="10437">
      <c r="A10437" s="1" t="s">
        <v>10437</v>
      </c>
      <c r="B10437" s="2" t="str">
        <f>IFERROR(__xludf.DUMMYFUNCTION("GOOGLETRANSLATE(A10437, ""de"", ""en"")"),"to a certain extent")</f>
        <v>to a certain extent</v>
      </c>
    </row>
    <row r="10438">
      <c r="A10438" s="1" t="s">
        <v>10438</v>
      </c>
      <c r="B10438" s="2" t="str">
        <f>IFERROR(__xludf.DUMMYFUNCTION("GOOGLETRANSLATE(A10438, ""de"", ""en"")"),"ponder")</f>
        <v>ponder</v>
      </c>
    </row>
    <row r="10439">
      <c r="A10439" s="1" t="s">
        <v>10439</v>
      </c>
      <c r="B10439" s="2" t="str">
        <f>IFERROR(__xludf.DUMMYFUNCTION("GOOGLETRANSLATE(A10439, ""de"", ""en"")"),"consumed")</f>
        <v>consumed</v>
      </c>
    </row>
    <row r="10440">
      <c r="A10440" s="1" t="s">
        <v>10440</v>
      </c>
      <c r="B10440" s="2" t="str">
        <f>IFERROR(__xludf.DUMMYFUNCTION("GOOGLETRANSLATE(A10440, ""de"", ""en"")"),"brake")</f>
        <v>brake</v>
      </c>
    </row>
    <row r="10441">
      <c r="A10441" s="1" t="s">
        <v>10441</v>
      </c>
      <c r="B10441" s="2" t="str">
        <f>IFERROR(__xludf.DUMMYFUNCTION("GOOGLETRANSLATE(A10441, ""de"", ""en"")"),"idiot")</f>
        <v>idiot</v>
      </c>
    </row>
    <row r="10442">
      <c r="A10442" s="1" t="s">
        <v>10442</v>
      </c>
      <c r="B10442" s="2" t="str">
        <f>IFERROR(__xludf.DUMMYFUNCTION("GOOGLETRANSLATE(A10442, ""de"", ""en"")"),"indifferent")</f>
        <v>indifferent</v>
      </c>
    </row>
    <row r="10443">
      <c r="A10443" s="1" t="s">
        <v>10443</v>
      </c>
      <c r="B10443" s="2" t="str">
        <f>IFERROR(__xludf.DUMMYFUNCTION("GOOGLETRANSLATE(A10443, ""de"", ""en"")"),"captivity")</f>
        <v>captivity</v>
      </c>
    </row>
    <row r="10444">
      <c r="A10444" s="1" t="s">
        <v>10444</v>
      </c>
      <c r="B10444" s="2" t="str">
        <f>IFERROR(__xludf.DUMMYFUNCTION("GOOGLETRANSLATE(A10444, ""de"", ""en"")"),"daktari")</f>
        <v>daktari</v>
      </c>
    </row>
    <row r="10445">
      <c r="A10445" s="1" t="s">
        <v>10445</v>
      </c>
      <c r="B10445" s="2" t="str">
        <f>IFERROR(__xludf.DUMMYFUNCTION("GOOGLETRANSLATE(A10445, ""de"", ""en"")"),"soot")</f>
        <v>soot</v>
      </c>
    </row>
    <row r="10446">
      <c r="A10446" s="1" t="s">
        <v>10446</v>
      </c>
      <c r="B10446" s="2" t="str">
        <f>IFERROR(__xludf.DUMMYFUNCTION("GOOGLETRANSLATE(A10446, ""de"", ""en"")"),"west")</f>
        <v>west</v>
      </c>
    </row>
    <row r="10447">
      <c r="A10447" s="1" t="s">
        <v>10447</v>
      </c>
      <c r="B10447" s="2" t="str">
        <f>IFERROR(__xludf.DUMMYFUNCTION("GOOGLETRANSLATE(A10447, ""de"", ""en"")"),"men")</f>
        <v>men</v>
      </c>
    </row>
    <row r="10448">
      <c r="A10448" s="1" t="s">
        <v>10448</v>
      </c>
      <c r="B10448" s="2" t="str">
        <f>IFERROR(__xludf.DUMMYFUNCTION("GOOGLETRANSLATE(A10448, ""de"", ""en"")"),"nixon")</f>
        <v>nixon</v>
      </c>
    </row>
    <row r="10449">
      <c r="A10449" s="1" t="s">
        <v>10449</v>
      </c>
      <c r="B10449" s="2" t="str">
        <f>IFERROR(__xludf.DUMMYFUNCTION("GOOGLETRANSLATE(A10449, ""de"", ""en"")"),"velvet")</f>
        <v>velvet</v>
      </c>
    </row>
    <row r="10450">
      <c r="A10450" s="1" t="s">
        <v>10450</v>
      </c>
      <c r="B10450" s="2" t="str">
        <f>IFERROR(__xludf.DUMMYFUNCTION("GOOGLETRANSLATE(A10450, ""de"", ""en"")"),"email")</f>
        <v>email</v>
      </c>
    </row>
    <row r="10451">
      <c r="A10451" s="1" t="s">
        <v>10451</v>
      </c>
      <c r="B10451" s="2" t="str">
        <f>IFERROR(__xludf.DUMMYFUNCTION("GOOGLETRANSLATE(A10451, ""de"", ""en"")"),"laurie")</f>
        <v>laurie</v>
      </c>
    </row>
    <row r="10452">
      <c r="A10452" s="1" t="s">
        <v>10452</v>
      </c>
      <c r="B10452" s="2" t="str">
        <f>IFERROR(__xludf.DUMMYFUNCTION("GOOGLETRANSLATE(A10452, ""de"", ""en"")"),"available")</f>
        <v>available</v>
      </c>
    </row>
    <row r="10453">
      <c r="A10453" s="1" t="s">
        <v>10453</v>
      </c>
      <c r="B10453" s="2" t="str">
        <f>IFERROR(__xludf.DUMMYFUNCTION("GOOGLETRANSLATE(A10453, ""de"", ""en"")"),"order")</f>
        <v>order</v>
      </c>
    </row>
    <row r="10454">
      <c r="A10454" s="1" t="s">
        <v>10454</v>
      </c>
      <c r="B10454" s="2" t="str">
        <f>IFERROR(__xludf.DUMMYFUNCTION("GOOGLETRANSLATE(A10454, ""de"", ""en"")"),"Klara")</f>
        <v>Klara</v>
      </c>
    </row>
    <row r="10455">
      <c r="A10455" s="1" t="s">
        <v>10455</v>
      </c>
      <c r="B10455" s="2" t="str">
        <f>IFERROR(__xludf.DUMMYFUNCTION("GOOGLETRANSLATE(A10455, ""de"", ""en"")"),"only")</f>
        <v>only</v>
      </c>
    </row>
    <row r="10456">
      <c r="A10456" s="1" t="s">
        <v>10456</v>
      </c>
      <c r="B10456" s="2" t="str">
        <f>IFERROR(__xludf.DUMMYFUNCTION("GOOGLETRANSLATE(A10456, ""de"", ""en"")"),"face")</f>
        <v>face</v>
      </c>
    </row>
    <row r="10457">
      <c r="A10457" s="1" t="s">
        <v>10457</v>
      </c>
      <c r="B10457" s="2" t="str">
        <f>IFERROR(__xludf.DUMMYFUNCTION("GOOGLETRANSLATE(A10457, ""de"", ""en"")"),"get it done")</f>
        <v>get it done</v>
      </c>
    </row>
    <row r="10458">
      <c r="A10458" s="1" t="s">
        <v>10458</v>
      </c>
      <c r="B10458" s="2" t="str">
        <f>IFERROR(__xludf.DUMMYFUNCTION("GOOGLETRANSLATE(A10458, ""de"", ""en"")"),"adoption")</f>
        <v>adoption</v>
      </c>
    </row>
    <row r="10459">
      <c r="A10459" s="1" t="s">
        <v>10459</v>
      </c>
      <c r="B10459" s="2" t="str">
        <f>IFERROR(__xludf.DUMMYFUNCTION("GOOGLETRANSLATE(A10459, ""de"", ""en"")"),"acted")</f>
        <v>acted</v>
      </c>
    </row>
    <row r="10460">
      <c r="A10460" s="1" t="s">
        <v>10460</v>
      </c>
      <c r="B10460" s="2" t="str">
        <f>IFERROR(__xludf.DUMMYFUNCTION("GOOGLETRANSLATE(A10460, ""de"", ""en"")"),"reveals")</f>
        <v>reveals</v>
      </c>
    </row>
    <row r="10461">
      <c r="A10461" s="1" t="s">
        <v>10461</v>
      </c>
      <c r="B10461" s="2" t="str">
        <f>IFERROR(__xludf.DUMMYFUNCTION("GOOGLETRANSLATE(A10461, ""de"", ""en"")"),"behind")</f>
        <v>behind</v>
      </c>
    </row>
    <row r="10462">
      <c r="A10462" s="1" t="s">
        <v>10462</v>
      </c>
      <c r="B10462" s="2" t="str">
        <f>IFERROR(__xludf.DUMMYFUNCTION("GOOGLETRANSLATE(A10462, ""de"", ""en"")"),"edge")</f>
        <v>edge</v>
      </c>
    </row>
    <row r="10463">
      <c r="A10463" s="1" t="s">
        <v>10463</v>
      </c>
      <c r="B10463" s="2" t="str">
        <f>IFERROR(__xludf.DUMMYFUNCTION("GOOGLETRANSLATE(A10463, ""de"", ""en"")"),"break")</f>
        <v>break</v>
      </c>
    </row>
    <row r="10464">
      <c r="A10464" s="1" t="s">
        <v>10464</v>
      </c>
      <c r="B10464" s="2" t="str">
        <f>IFERROR(__xludf.DUMMYFUNCTION("GOOGLETRANSLATE(A10464, ""de"", ""en"")"),"pull in")</f>
        <v>pull in</v>
      </c>
    </row>
    <row r="10465">
      <c r="A10465" s="1" t="s">
        <v>10465</v>
      </c>
      <c r="B10465" s="2" t="str">
        <f>IFERROR(__xludf.DUMMYFUNCTION("GOOGLETRANSLATE(A10465, ""de"", ""en"")"),"tender")</f>
        <v>tender</v>
      </c>
    </row>
    <row r="10466">
      <c r="A10466" s="1" t="s">
        <v>10466</v>
      </c>
      <c r="B10466" s="2" t="str">
        <f>IFERROR(__xludf.DUMMYFUNCTION("GOOGLETRANSLATE(A10466, ""de"", ""en"")"),"eternities")</f>
        <v>eternities</v>
      </c>
    </row>
    <row r="10467">
      <c r="A10467" s="1" t="s">
        <v>10467</v>
      </c>
      <c r="B10467" s="2" t="str">
        <f>IFERROR(__xludf.DUMMYFUNCTION("GOOGLETRANSLATE(A10467, ""de"", ""en"")"),"immunity")</f>
        <v>immunity</v>
      </c>
    </row>
    <row r="10468">
      <c r="A10468" s="1" t="s">
        <v>10468</v>
      </c>
      <c r="B10468" s="2" t="str">
        <f>IFERROR(__xludf.DUMMYFUNCTION("GOOGLETRANSLATE(A10468, ""de"", ""en"")"),"admitted")</f>
        <v>admitted</v>
      </c>
    </row>
    <row r="10469">
      <c r="A10469" s="1" t="s">
        <v>10469</v>
      </c>
      <c r="B10469" s="2" t="str">
        <f>IFERROR(__xludf.DUMMYFUNCTION("GOOGLETRANSLATE(A10469, ""de"", ""en"")"),"bet")</f>
        <v>bet</v>
      </c>
    </row>
    <row r="10470">
      <c r="A10470" s="1" t="s">
        <v>10470</v>
      </c>
      <c r="B10470" s="2" t="str">
        <f>IFERROR(__xludf.DUMMYFUNCTION("GOOGLETRANSLATE(A10470, ""de"", ""en"")"),"resulted")</f>
        <v>resulted</v>
      </c>
    </row>
    <row r="10471">
      <c r="A10471" s="1" t="s">
        <v>10471</v>
      </c>
      <c r="B10471" s="2" t="str">
        <f>IFERROR(__xludf.DUMMYFUNCTION("GOOGLETRANSLATE(A10471, ""de"", ""en"")"),"stated")</f>
        <v>stated</v>
      </c>
    </row>
    <row r="10472">
      <c r="A10472" s="1" t="s">
        <v>10472</v>
      </c>
      <c r="B10472" s="2" t="str">
        <f>IFERROR(__xludf.DUMMYFUNCTION("GOOGLETRANSLATE(A10472, ""de"", ""en"")"),"study")</f>
        <v>study</v>
      </c>
    </row>
    <row r="10473">
      <c r="A10473" s="1" t="s">
        <v>10473</v>
      </c>
      <c r="B10473" s="2" t="str">
        <f>IFERROR(__xludf.DUMMYFUNCTION("GOOGLETRANSLATE(A10473, ""de"", ""en"")"),"paints")</f>
        <v>paints</v>
      </c>
    </row>
    <row r="10474">
      <c r="A10474" s="1" t="s">
        <v>10474</v>
      </c>
      <c r="B10474" s="2" t="str">
        <f>IFERROR(__xludf.DUMMYFUNCTION("GOOGLETRANSLATE(A10474, ""de"", ""en"")"),"tonne")</f>
        <v>tonne</v>
      </c>
    </row>
    <row r="10475">
      <c r="A10475" s="1" t="s">
        <v>10475</v>
      </c>
      <c r="B10475" s="2" t="str">
        <f>IFERROR(__xludf.DUMMYFUNCTION("GOOGLETRANSLATE(A10475, ""de"", ""en"")"),"regulate")</f>
        <v>regulate</v>
      </c>
    </row>
    <row r="10476">
      <c r="A10476" s="1" t="s">
        <v>10476</v>
      </c>
      <c r="B10476" s="2" t="str">
        <f>IFERROR(__xludf.DUMMYFUNCTION("GOOGLETRANSLATE(A10476, ""de"", ""en"")"),"borrow")</f>
        <v>borrow</v>
      </c>
    </row>
    <row r="10477">
      <c r="A10477" s="1" t="s">
        <v>10477</v>
      </c>
      <c r="B10477" s="2" t="str">
        <f>IFERROR(__xludf.DUMMYFUNCTION("GOOGLETRANSLATE(A10477, ""de"", ""en"")"),"special unit")</f>
        <v>special unit</v>
      </c>
    </row>
    <row r="10478">
      <c r="A10478" s="1" t="s">
        <v>10478</v>
      </c>
      <c r="B10478" s="2" t="str">
        <f>IFERROR(__xludf.DUMMYFUNCTION("GOOGLETRANSLATE(A10478, ""de"", ""en"")"),"treat")</f>
        <v>treat</v>
      </c>
    </row>
    <row r="10479">
      <c r="A10479" s="1" t="s">
        <v>10479</v>
      </c>
      <c r="B10479" s="2" t="str">
        <f>IFERROR(__xludf.DUMMYFUNCTION("GOOGLETRANSLATE(A10479, ""de"", ""en"")"),"tear")</f>
        <v>tear</v>
      </c>
    </row>
    <row r="10480">
      <c r="A10480" s="1" t="s">
        <v>10480</v>
      </c>
      <c r="B10480" s="2" t="str">
        <f>IFERROR(__xludf.DUMMYFUNCTION("GOOGLETRANSLATE(A10480, ""de"", ""en"")"),"hermann")</f>
        <v>hermann</v>
      </c>
    </row>
    <row r="10481">
      <c r="A10481" s="1" t="s">
        <v>10481</v>
      </c>
      <c r="B10481" s="2" t="str">
        <f>IFERROR(__xludf.DUMMYFUNCTION("GOOGLETRANSLATE(A10481, ""de"", ""en"")"),"hand over")</f>
        <v>hand over</v>
      </c>
    </row>
    <row r="10482">
      <c r="A10482" s="1" t="s">
        <v>10482</v>
      </c>
      <c r="B10482" s="2" t="str">
        <f>IFERROR(__xludf.DUMMYFUNCTION("GOOGLETRANSLATE(A10482, ""de"", ""en"")"),"alma")</f>
        <v>alma</v>
      </c>
    </row>
    <row r="10483">
      <c r="A10483" s="1" t="s">
        <v>10483</v>
      </c>
      <c r="B10483" s="2" t="str">
        <f>IFERROR(__xludf.DUMMYFUNCTION("GOOGLETRANSLATE(A10483, ""de"", ""en"")"),"bug")</f>
        <v>bug</v>
      </c>
    </row>
    <row r="10484">
      <c r="A10484" s="1" t="s">
        <v>10484</v>
      </c>
      <c r="B10484" s="2" t="str">
        <f>IFERROR(__xludf.DUMMYFUNCTION("GOOGLETRANSLATE(A10484, ""de"", ""en"")"),"transcript")</f>
        <v>transcript</v>
      </c>
    </row>
    <row r="10485">
      <c r="A10485" s="1" t="s">
        <v>10485</v>
      </c>
      <c r="B10485" s="2" t="str">
        <f>IFERROR(__xludf.DUMMYFUNCTION("GOOGLETRANSLATE(A10485, ""de"", ""en"")"),"local")</f>
        <v>local</v>
      </c>
    </row>
    <row r="10486">
      <c r="A10486" s="1" t="s">
        <v>10486</v>
      </c>
      <c r="B10486" s="2" t="str">
        <f>IFERROR(__xludf.DUMMYFUNCTION("GOOGLETRANSLATE(A10486, ""de"", ""en"")"),"phenomenon")</f>
        <v>phenomenon</v>
      </c>
    </row>
    <row r="10487">
      <c r="A10487" s="1" t="s">
        <v>10487</v>
      </c>
      <c r="B10487" s="2" t="str">
        <f>IFERROR(__xludf.DUMMYFUNCTION("GOOGLETRANSLATE(A10487, ""de"", ""en"")"),"bypasses")</f>
        <v>bypasses</v>
      </c>
    </row>
    <row r="10488">
      <c r="A10488" s="1" t="s">
        <v>10488</v>
      </c>
      <c r="B10488" s="2" t="str">
        <f>IFERROR(__xludf.DUMMYFUNCTION("GOOGLETRANSLATE(A10488, ""de"", ""en"")"),"far")</f>
        <v>far</v>
      </c>
    </row>
    <row r="10489">
      <c r="A10489" s="1" t="s">
        <v>10489</v>
      </c>
      <c r="B10489" s="2" t="str">
        <f>IFERROR(__xludf.DUMMYFUNCTION("GOOGLETRANSLATE(A10489, ""de"", ""en"")"),"police station")</f>
        <v>police station</v>
      </c>
    </row>
    <row r="10490">
      <c r="A10490" s="1" t="s">
        <v>10490</v>
      </c>
      <c r="B10490" s="2" t="str">
        <f>IFERROR(__xludf.DUMMYFUNCTION("GOOGLETRANSLATE(A10490, ""de"", ""en"")"),"more often")</f>
        <v>more often</v>
      </c>
    </row>
    <row r="10491">
      <c r="A10491" s="1" t="s">
        <v>10491</v>
      </c>
      <c r="B10491" s="2" t="str">
        <f>IFERROR(__xludf.DUMMYFUNCTION("GOOGLETRANSLATE(A10491, ""de"", ""en"")"),"achieve")</f>
        <v>achieve</v>
      </c>
    </row>
    <row r="10492">
      <c r="A10492" s="1" t="s">
        <v>10492</v>
      </c>
      <c r="B10492" s="2" t="str">
        <f>IFERROR(__xludf.DUMMYFUNCTION("GOOGLETRANSLATE(A10492, ""de"", ""en"")"),"products")</f>
        <v>products</v>
      </c>
    </row>
    <row r="10493">
      <c r="A10493" s="1" t="s">
        <v>10493</v>
      </c>
      <c r="B10493" s="2" t="str">
        <f>IFERROR(__xludf.DUMMYFUNCTION("GOOGLETRANSLATE(A10493, ""de"", ""en"")"),"mixed")</f>
        <v>mixed</v>
      </c>
    </row>
    <row r="10494">
      <c r="A10494" s="1" t="s">
        <v>10494</v>
      </c>
      <c r="B10494" s="2" t="str">
        <f>IFERROR(__xludf.DUMMYFUNCTION("GOOGLETRANSLATE(A10494, ""de"", ""en"")"),"complain")</f>
        <v>complain</v>
      </c>
    </row>
    <row r="10495">
      <c r="A10495" s="1" t="s">
        <v>10495</v>
      </c>
      <c r="B10495" s="2" t="str">
        <f>IFERROR(__xludf.DUMMYFUNCTION("GOOGLETRANSLATE(A10495, ""de"", ""en"")"),"villain")</f>
        <v>villain</v>
      </c>
    </row>
    <row r="10496">
      <c r="A10496" s="1" t="s">
        <v>10496</v>
      </c>
      <c r="B10496" s="2" t="str">
        <f>IFERROR(__xludf.DUMMYFUNCTION("GOOGLETRANSLATE(A10496, ""de"", ""en"")"),"smaller")</f>
        <v>smaller</v>
      </c>
    </row>
    <row r="10497">
      <c r="A10497" s="1" t="s">
        <v>10497</v>
      </c>
      <c r="B10497" s="2" t="str">
        <f>IFERROR(__xludf.DUMMYFUNCTION("GOOGLETRANSLATE(A10497, ""de"", ""en"")"),"sunglasses")</f>
        <v>sunglasses</v>
      </c>
    </row>
    <row r="10498">
      <c r="A10498" s="1" t="s">
        <v>10498</v>
      </c>
      <c r="B10498" s="2" t="str">
        <f>IFERROR(__xludf.DUMMYFUNCTION("GOOGLETRANSLATE(A10498, ""de"", ""en"")"),"strict")</f>
        <v>strict</v>
      </c>
    </row>
    <row r="10499">
      <c r="A10499" s="1" t="s">
        <v>10499</v>
      </c>
      <c r="B10499" s="2" t="str">
        <f>IFERROR(__xludf.DUMMYFUNCTION("GOOGLETRANSLATE(A10499, ""de"", ""en"")"),"phantom")</f>
        <v>phantom</v>
      </c>
    </row>
    <row r="10500">
      <c r="A10500" s="1" t="s">
        <v>10500</v>
      </c>
      <c r="B10500" s="2" t="str">
        <f>IFERROR(__xludf.DUMMYFUNCTION("GOOGLETRANSLATE(A10500, ""de"", ""en"")"),"double")</f>
        <v>double</v>
      </c>
    </row>
    <row r="10501">
      <c r="A10501" s="1" t="s">
        <v>10501</v>
      </c>
      <c r="B10501" s="2" t="str">
        <f>IFERROR(__xludf.DUMMYFUNCTION("GOOGLETRANSLATE(A10501, ""de"", ""en"")"),"to admit")</f>
        <v>to admit</v>
      </c>
    </row>
    <row r="10502">
      <c r="A10502" s="1" t="s">
        <v>10502</v>
      </c>
      <c r="B10502" s="2" t="str">
        <f>IFERROR(__xludf.DUMMYFUNCTION("GOOGLETRANSLATE(A10502, ""de"", ""en"")"),"front page")</f>
        <v>front page</v>
      </c>
    </row>
    <row r="10503">
      <c r="A10503" s="1" t="s">
        <v>10503</v>
      </c>
      <c r="B10503" s="2" t="str">
        <f>IFERROR(__xludf.DUMMYFUNCTION("GOOGLETRANSLATE(A10503, ""de"", ""en"")"),"father-in-law")</f>
        <v>father-in-law</v>
      </c>
    </row>
    <row r="10504">
      <c r="A10504" s="1" t="s">
        <v>10504</v>
      </c>
      <c r="B10504" s="2" t="str">
        <f>IFERROR(__xludf.DUMMYFUNCTION("GOOGLETRANSLATE(A10504, ""de"", ""en"")"),"disgusting")</f>
        <v>disgusting</v>
      </c>
    </row>
    <row r="10505">
      <c r="A10505" s="1" t="s">
        <v>10505</v>
      </c>
      <c r="B10505" s="2" t="str">
        <f>IFERROR(__xludf.DUMMYFUNCTION("GOOGLETRANSLATE(A10505, ""de"", ""en"")"),"Nigel")</f>
        <v>Nigel</v>
      </c>
    </row>
    <row r="10506">
      <c r="A10506" s="1" t="s">
        <v>10506</v>
      </c>
      <c r="B10506" s="2" t="str">
        <f>IFERROR(__xludf.DUMMYFUNCTION("GOOGLETRANSLATE(A10506, ""de"", ""en"")"),"little things")</f>
        <v>little things</v>
      </c>
    </row>
    <row r="10507">
      <c r="A10507" s="1" t="s">
        <v>10507</v>
      </c>
      <c r="B10507" s="2" t="str">
        <f>IFERROR(__xludf.DUMMYFUNCTION("GOOGLETRANSLATE(A10507, ""de"", ""en"")"),"compass")</f>
        <v>compass</v>
      </c>
    </row>
    <row r="10508">
      <c r="A10508" s="1" t="s">
        <v>10508</v>
      </c>
      <c r="B10508" s="2" t="str">
        <f>IFERROR(__xludf.DUMMYFUNCTION("GOOGLETRANSLATE(A10508, ""de"", ""en"")"),"yoga")</f>
        <v>yoga</v>
      </c>
    </row>
    <row r="10509">
      <c r="A10509" s="1" t="s">
        <v>10509</v>
      </c>
      <c r="B10509" s="2" t="str">
        <f>IFERROR(__xludf.DUMMYFUNCTION("GOOGLETRANSLATE(A10509, ""de"", ""en"")"),"electrical")</f>
        <v>electrical</v>
      </c>
    </row>
    <row r="10510">
      <c r="A10510" s="1" t="s">
        <v>10510</v>
      </c>
      <c r="B10510" s="2" t="str">
        <f>IFERROR(__xludf.DUMMYFUNCTION("GOOGLETRANSLATE(A10510, ""de"", ""en"")"),"worked")</f>
        <v>worked</v>
      </c>
    </row>
    <row r="10511">
      <c r="A10511" s="1" t="s">
        <v>10511</v>
      </c>
      <c r="B10511" s="2" t="str">
        <f>IFERROR(__xludf.DUMMYFUNCTION("GOOGLETRANSLATE(A10511, ""de"", ""en"")"),"caviar")</f>
        <v>caviar</v>
      </c>
    </row>
    <row r="10512">
      <c r="A10512" s="1" t="s">
        <v>10512</v>
      </c>
      <c r="B10512" s="2" t="str">
        <f>IFERROR(__xludf.DUMMYFUNCTION("GOOGLETRANSLATE(A10512, ""de"", ""en"")"),"rub")</f>
        <v>rub</v>
      </c>
    </row>
    <row r="10513">
      <c r="A10513" s="1" t="s">
        <v>10513</v>
      </c>
      <c r="B10513" s="2" t="str">
        <f>IFERROR(__xludf.DUMMYFUNCTION("GOOGLETRANSLATE(A10513, ""de"", ""en"")"),"plague")</f>
        <v>plague</v>
      </c>
    </row>
    <row r="10514">
      <c r="A10514" s="1" t="s">
        <v>10514</v>
      </c>
      <c r="B10514" s="2" t="str">
        <f>IFERROR(__xludf.DUMMYFUNCTION("GOOGLETRANSLATE(A10514, ""de"", ""en"")"),"educate")</f>
        <v>educate</v>
      </c>
    </row>
    <row r="10515">
      <c r="A10515" s="1" t="s">
        <v>10515</v>
      </c>
      <c r="B10515" s="2" t="str">
        <f>IFERROR(__xludf.DUMMYFUNCTION("GOOGLETRANSLATE(A10515, ""de"", ""en"")"),"would get")</f>
        <v>would get</v>
      </c>
    </row>
    <row r="10516">
      <c r="A10516" s="1" t="s">
        <v>10516</v>
      </c>
      <c r="B10516" s="2" t="str">
        <f>IFERROR(__xludf.DUMMYFUNCTION("GOOGLETRANSLATE(A10516, ""de"", ""en"")"),"patrol")</f>
        <v>patrol</v>
      </c>
    </row>
    <row r="10517">
      <c r="A10517" s="1" t="s">
        <v>10517</v>
      </c>
      <c r="B10517" s="2" t="str">
        <f>IFERROR(__xludf.DUMMYFUNCTION("GOOGLETRANSLATE(A10517, ""de"", ""en"")"),"raised")</f>
        <v>raised</v>
      </c>
    </row>
    <row r="10518">
      <c r="A10518" s="1" t="s">
        <v>10518</v>
      </c>
      <c r="B10518" s="2" t="str">
        <f>IFERROR(__xludf.DUMMYFUNCTION("GOOGLETRANSLATE(A10518, ""de"", ""en"")"),"analyzed")</f>
        <v>analyzed</v>
      </c>
    </row>
    <row r="10519">
      <c r="A10519" s="1" t="s">
        <v>10519</v>
      </c>
      <c r="B10519" s="2" t="str">
        <f>IFERROR(__xludf.DUMMYFUNCTION("GOOGLETRANSLATE(A10519, ""de"", ""en"")"),"Norway")</f>
        <v>Norway</v>
      </c>
    </row>
    <row r="10520">
      <c r="A10520" s="1" t="s">
        <v>10520</v>
      </c>
      <c r="B10520" s="2" t="str">
        <f>IFERROR(__xludf.DUMMYFUNCTION("GOOGLETRANSLATE(A10520, ""de"", ""en"")"),"cap")</f>
        <v>cap</v>
      </c>
    </row>
    <row r="10521">
      <c r="A10521" s="1" t="s">
        <v>10521</v>
      </c>
      <c r="B10521" s="2" t="str">
        <f>IFERROR(__xludf.DUMMYFUNCTION("GOOGLETRANSLATE(A10521, ""de"", ""en"")"),"Iran")</f>
        <v>Iran</v>
      </c>
    </row>
    <row r="10522">
      <c r="A10522" s="1" t="s">
        <v>10522</v>
      </c>
      <c r="B10522" s="2" t="str">
        <f>IFERROR(__xludf.DUMMYFUNCTION("GOOGLETRANSLATE(A10522, ""de"", ""en"")"),"to get up")</f>
        <v>to get up</v>
      </c>
    </row>
    <row r="10523">
      <c r="A10523" s="1" t="s">
        <v>10523</v>
      </c>
      <c r="B10523" s="2" t="str">
        <f>IFERROR(__xludf.DUMMYFUNCTION("GOOGLETRANSLATE(A10523, ""de"", ""en"")"),"full")</f>
        <v>full</v>
      </c>
    </row>
    <row r="10524">
      <c r="A10524" s="1" t="s">
        <v>10524</v>
      </c>
      <c r="B10524" s="2" t="str">
        <f>IFERROR(__xludf.DUMMYFUNCTION("GOOGLETRANSLATE(A10524, ""de"", ""en"")"),"lever")</f>
        <v>lever</v>
      </c>
    </row>
    <row r="10525">
      <c r="A10525" s="1" t="s">
        <v>10525</v>
      </c>
      <c r="B10525" s="2" t="str">
        <f>IFERROR(__xludf.DUMMYFUNCTION("GOOGLETRANSLATE(A10525, ""de"", ""en"")"),"urine")</f>
        <v>urine</v>
      </c>
    </row>
    <row r="10526">
      <c r="A10526" s="1" t="s">
        <v>10526</v>
      </c>
      <c r="B10526" s="2" t="str">
        <f>IFERROR(__xludf.DUMMYFUNCTION("GOOGLETRANSLATE(A10526, ""de"", ""en"")"),"Irish")</f>
        <v>Irish</v>
      </c>
    </row>
    <row r="10527">
      <c r="A10527" s="1" t="s">
        <v>10527</v>
      </c>
      <c r="B10527" s="2" t="str">
        <f>IFERROR(__xludf.DUMMYFUNCTION("GOOGLETRANSLATE(A10527, ""de"", ""en"")"),"triumph")</f>
        <v>triumph</v>
      </c>
    </row>
    <row r="10528">
      <c r="A10528" s="1" t="s">
        <v>10528</v>
      </c>
      <c r="B10528" s="2" t="str">
        <f>IFERROR(__xludf.DUMMYFUNCTION("GOOGLETRANSLATE(A10528, ""de"", ""en"")"),"limited")</f>
        <v>limited</v>
      </c>
    </row>
    <row r="10529">
      <c r="A10529" s="1" t="s">
        <v>10529</v>
      </c>
      <c r="B10529" s="2" t="str">
        <f>IFERROR(__xludf.DUMMYFUNCTION("GOOGLETRANSLATE(A10529, ""de"", ""en"")"),"ham")</f>
        <v>ham</v>
      </c>
    </row>
    <row r="10530">
      <c r="A10530" s="1" t="s">
        <v>10530</v>
      </c>
      <c r="B10530" s="2" t="str">
        <f>IFERROR(__xludf.DUMMYFUNCTION("GOOGLETRANSLATE(A10530, ""de"", ""en"")"),"gil")</f>
        <v>gil</v>
      </c>
    </row>
    <row r="10531">
      <c r="A10531" s="1" t="s">
        <v>10531</v>
      </c>
      <c r="B10531" s="2" t="str">
        <f>IFERROR(__xludf.DUMMYFUNCTION("GOOGLETRANSLATE(A10531, ""de"", ""en"")"),"matches")</f>
        <v>matches</v>
      </c>
    </row>
    <row r="10532">
      <c r="A10532" s="1" t="s">
        <v>10532</v>
      </c>
      <c r="B10532" s="2" t="str">
        <f>IFERROR(__xludf.DUMMYFUNCTION("GOOGLETRANSLATE(A10532, ""de"", ""en"")"),"martinez")</f>
        <v>martinez</v>
      </c>
    </row>
    <row r="10533">
      <c r="A10533" s="1" t="s">
        <v>10533</v>
      </c>
      <c r="B10533" s="2" t="str">
        <f>IFERROR(__xludf.DUMMYFUNCTION("GOOGLETRANSLATE(A10533, ""de"", ""en"")"),"appearance")</f>
        <v>appearance</v>
      </c>
    </row>
    <row r="10534">
      <c r="A10534" s="1" t="s">
        <v>10534</v>
      </c>
      <c r="B10534" s="2" t="str">
        <f>IFERROR(__xludf.DUMMYFUNCTION("GOOGLETRANSLATE(A10534, ""de"", ""en"")"),"envy")</f>
        <v>envy</v>
      </c>
    </row>
    <row r="10535">
      <c r="A10535" s="1" t="s">
        <v>10535</v>
      </c>
      <c r="B10535" s="2" t="str">
        <f>IFERROR(__xludf.DUMMYFUNCTION("GOOGLETRANSLATE(A10535, ""de"", ""en"")"),"taboo")</f>
        <v>taboo</v>
      </c>
    </row>
    <row r="10536">
      <c r="A10536" s="1" t="s">
        <v>10536</v>
      </c>
      <c r="B10536" s="2" t="str">
        <f>IFERROR(__xludf.DUMMYFUNCTION("GOOGLETRANSLATE(A10536, ""de"", ""en"")"),"eyes")</f>
        <v>eyes</v>
      </c>
    </row>
    <row r="10537">
      <c r="A10537" s="1" t="s">
        <v>10537</v>
      </c>
      <c r="B10537" s="2" t="str">
        <f>IFERROR(__xludf.DUMMYFUNCTION("GOOGLETRANSLATE(A10537, ""de"", ""en"")"),"calculations")</f>
        <v>calculations</v>
      </c>
    </row>
    <row r="10538">
      <c r="A10538" s="1" t="s">
        <v>10538</v>
      </c>
      <c r="B10538" s="2" t="str">
        <f>IFERROR(__xludf.DUMMYFUNCTION("GOOGLETRANSLATE(A10538, ""de"", ""en"")"),"information")</f>
        <v>information</v>
      </c>
    </row>
    <row r="10539">
      <c r="A10539" s="1" t="s">
        <v>10539</v>
      </c>
      <c r="B10539" s="2" t="str">
        <f>IFERROR(__xludf.DUMMYFUNCTION("GOOGLETRANSLATE(A10539, ""de"", ""en"")"),"Denmark")</f>
        <v>Denmark</v>
      </c>
    </row>
    <row r="10540">
      <c r="A10540" s="1" t="s">
        <v>10540</v>
      </c>
      <c r="B10540" s="2" t="str">
        <f>IFERROR(__xludf.DUMMYFUNCTION("GOOGLETRANSLATE(A10540, ""de"", ""en"")"),"deceived")</f>
        <v>deceived</v>
      </c>
    </row>
    <row r="10541">
      <c r="A10541" s="1" t="s">
        <v>10541</v>
      </c>
      <c r="B10541" s="2" t="str">
        <f>IFERROR(__xludf.DUMMYFUNCTION("GOOGLETRANSLATE(A10541, ""de"", ""en"")"),"flint")</f>
        <v>flint</v>
      </c>
    </row>
    <row r="10542">
      <c r="A10542" s="1" t="s">
        <v>10542</v>
      </c>
      <c r="B10542" s="2" t="str">
        <f>IFERROR(__xludf.DUMMYFUNCTION("GOOGLETRANSLATE(A10542, ""de"", ""en"")"),"cartridges")</f>
        <v>cartridges</v>
      </c>
    </row>
    <row r="10543">
      <c r="A10543" s="1" t="s">
        <v>10543</v>
      </c>
      <c r="B10543" s="2" t="str">
        <f>IFERROR(__xludf.DUMMYFUNCTION("GOOGLETRANSLATE(A10543, ""de"", ""en"")"),"comes back")</f>
        <v>comes back</v>
      </c>
    </row>
    <row r="10544">
      <c r="A10544" s="1" t="s">
        <v>10544</v>
      </c>
      <c r="B10544" s="2" t="str">
        <f>IFERROR(__xludf.DUMMYFUNCTION("GOOGLETRANSLATE(A10544, ""de"", ""en"")"),"dangerous")</f>
        <v>dangerous</v>
      </c>
    </row>
    <row r="10545">
      <c r="A10545" s="1" t="s">
        <v>10545</v>
      </c>
      <c r="B10545" s="2" t="str">
        <f>IFERROR(__xludf.DUMMYFUNCTION("GOOGLETRANSLATE(A10545, ""de"", ""en"")"),"expand")</f>
        <v>expand</v>
      </c>
    </row>
    <row r="10546">
      <c r="A10546" s="1" t="s">
        <v>10546</v>
      </c>
      <c r="B10546" s="2" t="str">
        <f>IFERROR(__xludf.DUMMYFUNCTION("GOOGLETRANSLATE(A10546, ""de"", ""en"")"),"regretted")</f>
        <v>regretted</v>
      </c>
    </row>
    <row r="10547">
      <c r="A10547" s="1" t="s">
        <v>10547</v>
      </c>
      <c r="B10547" s="2" t="str">
        <f>IFERROR(__xludf.DUMMYFUNCTION("GOOGLETRANSLATE(A10547, ""de"", ""en"")"),"cherry")</f>
        <v>cherry</v>
      </c>
    </row>
    <row r="10548">
      <c r="A10548" s="1" t="s">
        <v>10548</v>
      </c>
      <c r="B10548" s="2" t="str">
        <f>IFERROR(__xludf.DUMMYFUNCTION("GOOGLETRANSLATE(A10548, ""de"", ""en"")"),"ami")</f>
        <v>ami</v>
      </c>
    </row>
    <row r="10549">
      <c r="A10549" s="1" t="s">
        <v>10549</v>
      </c>
      <c r="B10549" s="2" t="str">
        <f>IFERROR(__xludf.DUMMYFUNCTION("GOOGLETRANSLATE(A10549, ""de"", ""en"")"),"won")</f>
        <v>won</v>
      </c>
    </row>
    <row r="10550">
      <c r="A10550" s="1" t="s">
        <v>10550</v>
      </c>
      <c r="B10550" s="2" t="str">
        <f>IFERROR(__xludf.DUMMYFUNCTION("GOOGLETRANSLATE(A10550, ""de"", ""en"")"),"shh")</f>
        <v>shh</v>
      </c>
    </row>
    <row r="10551">
      <c r="A10551" s="1" t="s">
        <v>10551</v>
      </c>
      <c r="B10551" s="2" t="str">
        <f>IFERROR(__xludf.DUMMYFUNCTION("GOOGLETRANSLATE(A10551, ""de"", ""en"")"),"take over")</f>
        <v>take over</v>
      </c>
    </row>
    <row r="10552">
      <c r="A10552" s="1" t="s">
        <v>10552</v>
      </c>
      <c r="B10552" s="2" t="str">
        <f>IFERROR(__xludf.DUMMYFUNCTION("GOOGLETRANSLATE(A10552, ""de"", ""en"")"),"armistice")</f>
        <v>armistice</v>
      </c>
    </row>
    <row r="10553">
      <c r="A10553" s="1" t="s">
        <v>10553</v>
      </c>
      <c r="B10553" s="2" t="str">
        <f>IFERROR(__xludf.DUMMYFUNCTION("GOOGLETRANSLATE(A10553, ""de"", ""en"")"),"banks")</f>
        <v>banks</v>
      </c>
    </row>
    <row r="10554">
      <c r="A10554" s="1" t="s">
        <v>10554</v>
      </c>
      <c r="B10554" s="2" t="str">
        <f>IFERROR(__xludf.DUMMYFUNCTION("GOOGLETRANSLATE(A10554, ""de"", ""en"")"),"sonia")</f>
        <v>sonia</v>
      </c>
    </row>
    <row r="10555">
      <c r="A10555" s="1" t="s">
        <v>10555</v>
      </c>
      <c r="B10555" s="2" t="str">
        <f>IFERROR(__xludf.DUMMYFUNCTION("GOOGLETRANSLATE(A10555, ""de"", ""en"")"),"occurs")</f>
        <v>occurs</v>
      </c>
    </row>
    <row r="10556">
      <c r="A10556" s="1" t="s">
        <v>10556</v>
      </c>
      <c r="B10556" s="2" t="str">
        <f>IFERROR(__xludf.DUMMYFUNCTION("GOOGLETRANSLATE(A10556, ""de"", ""en"")"),"astronauts")</f>
        <v>astronauts</v>
      </c>
    </row>
    <row r="10557">
      <c r="A10557" s="1" t="s">
        <v>10557</v>
      </c>
      <c r="B10557" s="2" t="str">
        <f>IFERROR(__xludf.DUMMYFUNCTION("GOOGLETRANSLATE(A10557, ""de"", ""en"")"),"virgil")</f>
        <v>virgil</v>
      </c>
    </row>
    <row r="10558">
      <c r="A10558" s="1" t="s">
        <v>10558</v>
      </c>
      <c r="B10558" s="2" t="str">
        <f>IFERROR(__xludf.DUMMYFUNCTION("GOOGLETRANSLATE(A10558, ""de"", ""en"")"),"cycle")</f>
        <v>cycle</v>
      </c>
    </row>
    <row r="10559">
      <c r="A10559" s="1" t="s">
        <v>10559</v>
      </c>
      <c r="B10559" s="2" t="str">
        <f>IFERROR(__xludf.DUMMYFUNCTION("GOOGLETRANSLATE(A10559, ""de"", ""en"")"),"nash")</f>
        <v>nash</v>
      </c>
    </row>
    <row r="10560">
      <c r="A10560" s="1" t="s">
        <v>10560</v>
      </c>
      <c r="B10560" s="2" t="str">
        <f>IFERROR(__xludf.DUMMYFUNCTION("GOOGLETRANSLATE(A10560, ""de"", ""en"")"),"directions")</f>
        <v>directions</v>
      </c>
    </row>
    <row r="10561">
      <c r="A10561" s="1" t="s">
        <v>10561</v>
      </c>
      <c r="B10561" s="2" t="str">
        <f>IFERROR(__xludf.DUMMYFUNCTION("GOOGLETRANSLATE(A10561, ""de"", ""en"")"),"to be sure")</f>
        <v>to be sure</v>
      </c>
    </row>
    <row r="10562">
      <c r="A10562" s="1" t="s">
        <v>10562</v>
      </c>
      <c r="B10562" s="2" t="str">
        <f>IFERROR(__xludf.DUMMYFUNCTION("GOOGLETRANSLATE(A10562, ""de"", ""en"")"),"ran away")</f>
        <v>ran away</v>
      </c>
    </row>
    <row r="10563">
      <c r="A10563" s="1" t="s">
        <v>10563</v>
      </c>
      <c r="B10563" s="2" t="str">
        <f>IFERROR(__xludf.DUMMYFUNCTION("GOOGLETRANSLATE(A10563, ""de"", ""en"")"),"happen")</f>
        <v>happen</v>
      </c>
    </row>
    <row r="10564">
      <c r="A10564" s="1" t="s">
        <v>10564</v>
      </c>
      <c r="B10564" s="2" t="str">
        <f>IFERROR(__xludf.DUMMYFUNCTION("GOOGLETRANSLATE(A10564, ""de"", ""en"")"),"livelihood")</f>
        <v>livelihood</v>
      </c>
    </row>
    <row r="10565">
      <c r="A10565" s="1" t="s">
        <v>10565</v>
      </c>
      <c r="B10565" s="2" t="str">
        <f>IFERROR(__xludf.DUMMYFUNCTION("GOOGLETRANSLATE(A10565, ""de"", ""en"")"),"one after the other")</f>
        <v>one after the other</v>
      </c>
    </row>
    <row r="10566">
      <c r="A10566" s="1" t="s">
        <v>10566</v>
      </c>
      <c r="B10566" s="2" t="str">
        <f>IFERROR(__xludf.DUMMYFUNCTION("GOOGLETRANSLATE(A10566, ""de"", ""en"")"),"things")</f>
        <v>things</v>
      </c>
    </row>
    <row r="10567">
      <c r="A10567" s="1" t="s">
        <v>10567</v>
      </c>
      <c r="B10567" s="2" t="str">
        <f>IFERROR(__xludf.DUMMYFUNCTION("GOOGLETRANSLATE(A10567, ""de"", ""en"")"),"attacks")</f>
        <v>attacks</v>
      </c>
    </row>
    <row r="10568">
      <c r="A10568" s="1" t="s">
        <v>10568</v>
      </c>
      <c r="B10568" s="2" t="str">
        <f>IFERROR(__xludf.DUMMYFUNCTION("GOOGLETRANSLATE(A10568, ""de"", ""en"")"),"goats")</f>
        <v>goats</v>
      </c>
    </row>
    <row r="10569">
      <c r="A10569" s="1" t="s">
        <v>10569</v>
      </c>
      <c r="B10569" s="2" t="str">
        <f>IFERROR(__xludf.DUMMYFUNCTION("GOOGLETRANSLATE(A10569, ""de"", ""en"")"),"outsider")</f>
        <v>outsider</v>
      </c>
    </row>
    <row r="10570">
      <c r="A10570" s="1" t="s">
        <v>10570</v>
      </c>
      <c r="B10570" s="2" t="str">
        <f>IFERROR(__xludf.DUMMYFUNCTION("GOOGLETRANSLATE(A10570, ""de"", ""en"")"),"crocket")</f>
        <v>crocket</v>
      </c>
    </row>
    <row r="10571">
      <c r="A10571" s="1" t="s">
        <v>10571</v>
      </c>
      <c r="B10571" s="2" t="str">
        <f>IFERROR(__xludf.DUMMYFUNCTION("GOOGLETRANSLATE(A10571, ""de"", ""en"")"),"license plate")</f>
        <v>license plate</v>
      </c>
    </row>
    <row r="10572">
      <c r="A10572" s="1" t="s">
        <v>10572</v>
      </c>
      <c r="B10572" s="2" t="str">
        <f>IFERROR(__xludf.DUMMYFUNCTION("GOOGLETRANSLATE(A10572, ""de"", ""en"")"),"starboard")</f>
        <v>starboard</v>
      </c>
    </row>
    <row r="10573">
      <c r="A10573" s="1" t="s">
        <v>10573</v>
      </c>
      <c r="B10573" s="2" t="str">
        <f>IFERROR(__xludf.DUMMYFUNCTION("GOOGLETRANSLATE(A10573, ""de"", ""en"")"),"passionate")</f>
        <v>passionate</v>
      </c>
    </row>
    <row r="10574">
      <c r="A10574" s="1" t="s">
        <v>10574</v>
      </c>
      <c r="B10574" s="2" t="str">
        <f>IFERROR(__xludf.DUMMYFUNCTION("GOOGLETRANSLATE(A10574, ""de"", ""en"")"),"authors")</f>
        <v>authors</v>
      </c>
    </row>
    <row r="10575">
      <c r="A10575" s="1" t="s">
        <v>10575</v>
      </c>
      <c r="B10575" s="2" t="str">
        <f>IFERROR(__xludf.DUMMYFUNCTION("GOOGLETRANSLATE(A10575, ""de"", ""en"")"),"cared")</f>
        <v>cared</v>
      </c>
    </row>
    <row r="10576">
      <c r="A10576" s="1" t="s">
        <v>10576</v>
      </c>
      <c r="B10576" s="2" t="str">
        <f>IFERROR(__xludf.DUMMYFUNCTION("GOOGLETRANSLATE(A10576, ""de"", ""en"")"),"dissolve")</f>
        <v>dissolve</v>
      </c>
    </row>
    <row r="10577">
      <c r="A10577" s="1" t="s">
        <v>10577</v>
      </c>
      <c r="B10577" s="2" t="str">
        <f>IFERROR(__xludf.DUMMYFUNCTION("GOOGLETRANSLATE(A10577, ""de"", ""en"")"),"squeaks")</f>
        <v>squeaks</v>
      </c>
    </row>
    <row r="10578">
      <c r="A10578" s="1" t="s">
        <v>10578</v>
      </c>
      <c r="B10578" s="2" t="str">
        <f>IFERROR(__xludf.DUMMYFUNCTION("GOOGLETRANSLATE(A10578, ""de"", ""en"")"),"cleaned")</f>
        <v>cleaned</v>
      </c>
    </row>
    <row r="10579">
      <c r="A10579" s="1" t="s">
        <v>10579</v>
      </c>
      <c r="B10579" s="2" t="str">
        <f>IFERROR(__xludf.DUMMYFUNCTION("GOOGLETRANSLATE(A10579, ""de"", ""en"")"),"spare")</f>
        <v>spare</v>
      </c>
    </row>
    <row r="10580">
      <c r="A10580" s="1" t="s">
        <v>10580</v>
      </c>
      <c r="B10580" s="2" t="str">
        <f>IFERROR(__xludf.DUMMYFUNCTION("GOOGLETRANSLATE(A10580, ""de"", ""en"")"),"raised")</f>
        <v>raised</v>
      </c>
    </row>
    <row r="10581">
      <c r="A10581" s="1" t="s">
        <v>10581</v>
      </c>
      <c r="B10581" s="2" t="str">
        <f>IFERROR(__xludf.DUMMYFUNCTION("GOOGLETRANSLATE(A10581, ""de"", ""en"")"),"jaw")</f>
        <v>jaw</v>
      </c>
    </row>
    <row r="10582">
      <c r="A10582" s="1" t="s">
        <v>10582</v>
      </c>
      <c r="B10582" s="2" t="str">
        <f>IFERROR(__xludf.DUMMYFUNCTION("GOOGLETRANSLATE(A10582, ""de"", ""en"")"),"mina")</f>
        <v>mina</v>
      </c>
    </row>
    <row r="10583">
      <c r="A10583" s="1" t="s">
        <v>10583</v>
      </c>
      <c r="B10583" s="2" t="str">
        <f>IFERROR(__xludf.DUMMYFUNCTION("GOOGLETRANSLATE(A10583, ""de"", ""en"")"),"cafeteria")</f>
        <v>cafeteria</v>
      </c>
    </row>
    <row r="10584">
      <c r="A10584" s="1" t="s">
        <v>10584</v>
      </c>
      <c r="B10584" s="2" t="str">
        <f>IFERROR(__xludf.DUMMYFUNCTION("GOOGLETRANSLATE(A10584, ""de"", ""en"")"),"stay together")</f>
        <v>stay together</v>
      </c>
    </row>
    <row r="10585">
      <c r="A10585" s="1" t="s">
        <v>10585</v>
      </c>
      <c r="B10585" s="2" t="str">
        <f>IFERROR(__xludf.DUMMYFUNCTION("GOOGLETRANSLATE(A10585, ""de"", ""en"")"),"get")</f>
        <v>get</v>
      </c>
    </row>
    <row r="10586">
      <c r="A10586" s="1" t="s">
        <v>10586</v>
      </c>
      <c r="B10586" s="2" t="str">
        <f>IFERROR(__xludf.DUMMYFUNCTION("GOOGLETRANSLATE(A10586, ""de"", ""en"")"),"regret")</f>
        <v>regret</v>
      </c>
    </row>
    <row r="10587">
      <c r="A10587" s="1" t="s">
        <v>10587</v>
      </c>
      <c r="B10587" s="2" t="str">
        <f>IFERROR(__xludf.DUMMYFUNCTION("GOOGLETRANSLATE(A10587, ""de"", ""en"")"),"promised")</f>
        <v>promised</v>
      </c>
    </row>
    <row r="10588">
      <c r="A10588" s="1" t="s">
        <v>10588</v>
      </c>
      <c r="B10588" s="2" t="str">
        <f>IFERROR(__xludf.DUMMYFUNCTION("GOOGLETRANSLATE(A10588, ""de"", ""en"")"),"jr")</f>
        <v>jr</v>
      </c>
    </row>
    <row r="10589">
      <c r="A10589" s="1" t="s">
        <v>10589</v>
      </c>
      <c r="B10589" s="2" t="str">
        <f>IFERROR(__xludf.DUMMYFUNCTION("GOOGLETRANSLATE(A10589, ""de"", ""en"")"),"fix")</f>
        <v>fix</v>
      </c>
    </row>
    <row r="10590">
      <c r="A10590" s="1" t="s">
        <v>10590</v>
      </c>
      <c r="B10590" s="2" t="str">
        <f>IFERROR(__xludf.DUMMYFUNCTION("GOOGLETRANSLATE(A10590, ""de"", ""en"")"),"oath")</f>
        <v>oath</v>
      </c>
    </row>
    <row r="10591">
      <c r="A10591" s="1" t="s">
        <v>10591</v>
      </c>
      <c r="B10591" s="2" t="str">
        <f>IFERROR(__xludf.DUMMYFUNCTION("GOOGLETRANSLATE(A10591, ""de"", ""en"")"),"armed")</f>
        <v>armed</v>
      </c>
    </row>
    <row r="10592">
      <c r="A10592" s="1" t="s">
        <v>10592</v>
      </c>
      <c r="B10592" s="2" t="str">
        <f>IFERROR(__xludf.DUMMYFUNCTION("GOOGLETRANSLATE(A10592, ""de"", ""en"")"),"himself")</f>
        <v>himself</v>
      </c>
    </row>
    <row r="10593">
      <c r="A10593" s="1" t="s">
        <v>10593</v>
      </c>
      <c r="B10593" s="2" t="str">
        <f>IFERROR(__xludf.DUMMYFUNCTION("GOOGLETRANSLATE(A10593, ""de"", ""en"")"),"giovanni")</f>
        <v>giovanni</v>
      </c>
    </row>
    <row r="10594">
      <c r="A10594" s="1" t="s">
        <v>10594</v>
      </c>
      <c r="B10594" s="2" t="str">
        <f>IFERROR(__xludf.DUMMYFUNCTION("GOOGLETRANSLATE(A10594, ""de"", ""en"")"),"caller")</f>
        <v>caller</v>
      </c>
    </row>
    <row r="10595">
      <c r="A10595" s="1" t="s">
        <v>10595</v>
      </c>
      <c r="B10595" s="2" t="str">
        <f>IFERROR(__xludf.DUMMYFUNCTION("GOOGLETRANSLATE(A10595, ""de"", ""en"")"),"slide")</f>
        <v>slide</v>
      </c>
    </row>
    <row r="10596">
      <c r="A10596" s="1" t="s">
        <v>10596</v>
      </c>
      <c r="B10596" s="2" t="str">
        <f>IFERROR(__xludf.DUMMYFUNCTION("GOOGLETRANSLATE(A10596, ""de"", ""en"")"),"supergirl")</f>
        <v>supergirl</v>
      </c>
    </row>
    <row r="10597">
      <c r="A10597" s="1" t="s">
        <v>10597</v>
      </c>
      <c r="B10597" s="2" t="str">
        <f>IFERROR(__xludf.DUMMYFUNCTION("GOOGLETRANSLATE(A10597, ""de"", ""en"")"),"juliet")</f>
        <v>juliet</v>
      </c>
    </row>
    <row r="10598">
      <c r="A10598" s="1" t="s">
        <v>10598</v>
      </c>
      <c r="B10598" s="2" t="str">
        <f>IFERROR(__xludf.DUMMYFUNCTION("GOOGLETRANSLATE(A10598, ""de"", ""en"")"),"bloodbath")</f>
        <v>bloodbath</v>
      </c>
    </row>
    <row r="10599">
      <c r="A10599" s="1" t="s">
        <v>10599</v>
      </c>
      <c r="B10599" s="2" t="str">
        <f>IFERROR(__xludf.DUMMYFUNCTION("GOOGLETRANSLATE(A10599, ""de"", ""en"")"),"bankrupt")</f>
        <v>bankrupt</v>
      </c>
    </row>
    <row r="10600">
      <c r="A10600" s="1" t="s">
        <v>10600</v>
      </c>
      <c r="B10600" s="2" t="str">
        <f>IFERROR(__xludf.DUMMYFUNCTION("GOOGLETRANSLATE(A10600, ""de"", ""en"")"),"bear")</f>
        <v>bear</v>
      </c>
    </row>
    <row r="10601">
      <c r="A10601" s="1" t="s">
        <v>10601</v>
      </c>
      <c r="B10601" s="2" t="str">
        <f>IFERROR(__xludf.DUMMYFUNCTION("GOOGLETRANSLATE(A10601, ""de"", ""en"")"),"brides")</f>
        <v>brides</v>
      </c>
    </row>
    <row r="10602">
      <c r="A10602" s="1" t="s">
        <v>10602</v>
      </c>
      <c r="B10602" s="2" t="str">
        <f>IFERROR(__xludf.DUMMYFUNCTION("GOOGLETRANSLATE(A10602, ""de"", ""en"")"),"foreman")</f>
        <v>foreman</v>
      </c>
    </row>
    <row r="10603">
      <c r="A10603" s="1" t="s">
        <v>10603</v>
      </c>
      <c r="B10603" s="2" t="str">
        <f>IFERROR(__xludf.DUMMYFUNCTION("GOOGLETRANSLATE(A10603, ""de"", ""en"")"),"drive off")</f>
        <v>drive off</v>
      </c>
    </row>
    <row r="10604">
      <c r="A10604" s="1" t="s">
        <v>10604</v>
      </c>
      <c r="B10604" s="2" t="str">
        <f>IFERROR(__xludf.DUMMYFUNCTION("GOOGLETRANSLATE(A10604, ""de"", ""en"")"),"breath")</f>
        <v>breath</v>
      </c>
    </row>
    <row r="10605">
      <c r="A10605" s="1" t="s">
        <v>10605</v>
      </c>
      <c r="B10605" s="2" t="str">
        <f>IFERROR(__xludf.DUMMYFUNCTION("GOOGLETRANSLATE(A10605, ""de"", ""en"")"),"legends")</f>
        <v>legends</v>
      </c>
    </row>
    <row r="10606">
      <c r="A10606" s="1" t="s">
        <v>10606</v>
      </c>
      <c r="B10606" s="2" t="str">
        <f>IFERROR(__xludf.DUMMYFUNCTION("GOOGLETRANSLATE(A10606, ""de"", ""en"")"),"bounty")</f>
        <v>bounty</v>
      </c>
    </row>
    <row r="10607">
      <c r="A10607" s="1" t="s">
        <v>10607</v>
      </c>
      <c r="B10607" s="2" t="str">
        <f>IFERROR(__xludf.DUMMYFUNCTION("GOOGLETRANSLATE(A10607, ""de"", ""en"")"),"needles")</f>
        <v>needles</v>
      </c>
    </row>
    <row r="10608">
      <c r="A10608" s="1" t="s">
        <v>10608</v>
      </c>
      <c r="B10608" s="2" t="str">
        <f>IFERROR(__xludf.DUMMYFUNCTION("GOOGLETRANSLATE(A10608, ""de"", ""en"")"),"senora")</f>
        <v>senora</v>
      </c>
    </row>
    <row r="10609">
      <c r="A10609" s="1" t="s">
        <v>10609</v>
      </c>
      <c r="B10609" s="2" t="str">
        <f>IFERROR(__xludf.DUMMYFUNCTION("GOOGLETRANSLATE(A10609, ""de"", ""en"")"),"johns")</f>
        <v>johns</v>
      </c>
    </row>
    <row r="10610">
      <c r="A10610" s="1" t="s">
        <v>10610</v>
      </c>
      <c r="B10610" s="2" t="str">
        <f>IFERROR(__xludf.DUMMYFUNCTION("GOOGLETRANSLATE(A10610, ""de"", ""en"")"),"otaru")</f>
        <v>otaru</v>
      </c>
    </row>
    <row r="10611">
      <c r="A10611" s="1" t="s">
        <v>10611</v>
      </c>
      <c r="B10611" s="2" t="str">
        <f>IFERROR(__xludf.DUMMYFUNCTION("GOOGLETRANSLATE(A10611, ""de"", ""en"")"),"Nils")</f>
        <v>Nils</v>
      </c>
    </row>
    <row r="10612">
      <c r="A10612" s="1" t="s">
        <v>10612</v>
      </c>
      <c r="B10612" s="2" t="str">
        <f>IFERROR(__xludf.DUMMYFUNCTION("GOOGLETRANSLATE(A10612, ""de"", ""en"")"),"parrot")</f>
        <v>parrot</v>
      </c>
    </row>
    <row r="10613">
      <c r="A10613" s="1" t="s">
        <v>10613</v>
      </c>
      <c r="B10613" s="2" t="str">
        <f>IFERROR(__xludf.DUMMYFUNCTION("GOOGLETRANSLATE(A10613, ""de"", ""en"")"),"warmer")</f>
        <v>warmer</v>
      </c>
    </row>
    <row r="10614">
      <c r="A10614" s="1" t="s">
        <v>10614</v>
      </c>
      <c r="B10614" s="2" t="str">
        <f>IFERROR(__xludf.DUMMYFUNCTION("GOOGLETRANSLATE(A10614, ""de"", ""en"")"),"resentful")</f>
        <v>resentful</v>
      </c>
    </row>
    <row r="10615">
      <c r="A10615" s="1" t="s">
        <v>10615</v>
      </c>
      <c r="B10615" s="2" t="str">
        <f>IFERROR(__xludf.DUMMYFUNCTION("GOOGLETRANSLATE(A10615, ""de"", ""en"")"),"ketchup")</f>
        <v>ketchup</v>
      </c>
    </row>
    <row r="10616">
      <c r="A10616" s="1" t="s">
        <v>10616</v>
      </c>
      <c r="B10616" s="2" t="str">
        <f>IFERROR(__xludf.DUMMYFUNCTION("GOOGLETRANSLATE(A10616, ""de"", ""en"")"),"actions")</f>
        <v>actions</v>
      </c>
    </row>
    <row r="10617">
      <c r="A10617" s="1" t="s">
        <v>10617</v>
      </c>
      <c r="B10617" s="2" t="str">
        <f>IFERROR(__xludf.DUMMYFUNCTION("GOOGLETRANSLATE(A10617, ""de"", ""en"")"),"sew")</f>
        <v>sew</v>
      </c>
    </row>
    <row r="10618">
      <c r="A10618" s="1" t="s">
        <v>10618</v>
      </c>
      <c r="B10618" s="2" t="str">
        <f>IFERROR(__xludf.DUMMYFUNCTION("GOOGLETRANSLATE(A10618, ""de"", ""en"")"),"stumbled")</f>
        <v>stumbled</v>
      </c>
    </row>
    <row r="10619">
      <c r="A10619" s="1" t="s">
        <v>10619</v>
      </c>
      <c r="B10619" s="2" t="str">
        <f>IFERROR(__xludf.DUMMYFUNCTION("GOOGLETRANSLATE(A10619, ""de"", ""en"")"),"holiday")</f>
        <v>holiday</v>
      </c>
    </row>
    <row r="10620">
      <c r="A10620" s="1" t="s">
        <v>10620</v>
      </c>
      <c r="B10620" s="2" t="str">
        <f>IFERROR(__xludf.DUMMYFUNCTION("GOOGLETRANSLATE(A10620, ""de"", ""en"")"),"bar")</f>
        <v>bar</v>
      </c>
    </row>
    <row r="10621">
      <c r="A10621" s="1" t="s">
        <v>10621</v>
      </c>
      <c r="B10621" s="2" t="str">
        <f>IFERROR(__xludf.DUMMYFUNCTION("GOOGLETRANSLATE(A10621, ""de"", ""en"")"),"caught")</f>
        <v>caught</v>
      </c>
    </row>
    <row r="10622">
      <c r="A10622" s="1" t="s">
        <v>10622</v>
      </c>
      <c r="B10622" s="2" t="str">
        <f>IFERROR(__xludf.DUMMYFUNCTION("GOOGLETRANSLATE(A10622, ""de"", ""en"")"),"nickname")</f>
        <v>nickname</v>
      </c>
    </row>
    <row r="10623">
      <c r="A10623" s="1" t="s">
        <v>10623</v>
      </c>
      <c r="B10623" s="2" t="str">
        <f>IFERROR(__xludf.DUMMYFUNCTION("GOOGLETRANSLATE(A10623, ""de"", ""en"")"),"hardcastle")</f>
        <v>hardcastle</v>
      </c>
    </row>
    <row r="10624">
      <c r="A10624" s="1" t="s">
        <v>10624</v>
      </c>
      <c r="B10624" s="2" t="str">
        <f>IFERROR(__xludf.DUMMYFUNCTION("GOOGLETRANSLATE(A10624, ""de"", ""en"")"),"senior")</f>
        <v>senior</v>
      </c>
    </row>
    <row r="10625">
      <c r="A10625" s="1" t="s">
        <v>10625</v>
      </c>
      <c r="B10625" s="2" t="str">
        <f>IFERROR(__xludf.DUMMYFUNCTION("GOOGLETRANSLATE(A10625, ""de"", ""en"")"),"blows")</f>
        <v>blows</v>
      </c>
    </row>
    <row r="10626">
      <c r="A10626" s="1" t="s">
        <v>10626</v>
      </c>
      <c r="B10626" s="2" t="str">
        <f>IFERROR(__xludf.DUMMYFUNCTION("GOOGLETRANSLATE(A10626, ""de"", ""en"")"),"pursued")</f>
        <v>pursued</v>
      </c>
    </row>
    <row r="10627">
      <c r="A10627" s="1" t="s">
        <v>10627</v>
      </c>
      <c r="B10627" s="2" t="str">
        <f>IFERROR(__xludf.DUMMYFUNCTION("GOOGLETRANSLATE(A10627, ""de"", ""en"")"),"show-off")</f>
        <v>show-off</v>
      </c>
    </row>
    <row r="10628">
      <c r="A10628" s="1" t="s">
        <v>10628</v>
      </c>
      <c r="B10628" s="2" t="str">
        <f>IFERROR(__xludf.DUMMYFUNCTION("GOOGLETRANSLATE(A10628, ""de"", ""en"")"),"deal with")</f>
        <v>deal with</v>
      </c>
    </row>
    <row r="10629">
      <c r="A10629" s="1" t="s">
        <v>10629</v>
      </c>
      <c r="B10629" s="2" t="str">
        <f>IFERROR(__xludf.DUMMYFUNCTION("GOOGLETRANSLATE(A10629, ""de"", ""en"")"),"fantasies")</f>
        <v>fantasies</v>
      </c>
    </row>
    <row r="10630">
      <c r="A10630" s="1" t="s">
        <v>10630</v>
      </c>
      <c r="B10630" s="2" t="str">
        <f>IFERROR(__xludf.DUMMYFUNCTION("GOOGLETRANSLATE(A10630, ""de"", ""en"")"),"liberate")</f>
        <v>liberate</v>
      </c>
    </row>
    <row r="10631">
      <c r="A10631" s="1" t="s">
        <v>10631</v>
      </c>
      <c r="B10631" s="2" t="str">
        <f>IFERROR(__xludf.DUMMYFUNCTION("GOOGLETRANSLATE(A10631, ""de"", ""en"")"),"capture")</f>
        <v>capture</v>
      </c>
    </row>
    <row r="10632">
      <c r="A10632" s="1" t="s">
        <v>10632</v>
      </c>
      <c r="B10632" s="2" t="str">
        <f>IFERROR(__xludf.DUMMYFUNCTION("GOOGLETRANSLATE(A10632, ""de"", ""en"")"),"prophet")</f>
        <v>prophet</v>
      </c>
    </row>
    <row r="10633">
      <c r="A10633" s="1" t="s">
        <v>10633</v>
      </c>
      <c r="B10633" s="2" t="str">
        <f>IFERROR(__xludf.DUMMYFUNCTION("GOOGLETRANSLATE(A10633, ""de"", ""en"")"),"for no reason")</f>
        <v>for no reason</v>
      </c>
    </row>
    <row r="10634">
      <c r="A10634" s="1" t="s">
        <v>10634</v>
      </c>
      <c r="B10634" s="2" t="str">
        <f>IFERROR(__xludf.DUMMYFUNCTION("GOOGLETRANSLATE(A10634, ""de"", ""en"")"),"to complete")</f>
        <v>to complete</v>
      </c>
    </row>
    <row r="10635">
      <c r="A10635" s="1" t="s">
        <v>10635</v>
      </c>
      <c r="B10635" s="2" t="str">
        <f>IFERROR(__xludf.DUMMYFUNCTION("GOOGLETRANSLATE(A10635, ""de"", ""en"")"),"tight")</f>
        <v>tight</v>
      </c>
    </row>
    <row r="10636">
      <c r="A10636" s="1" t="s">
        <v>10636</v>
      </c>
      <c r="B10636" s="2" t="str">
        <f>IFERROR(__xludf.DUMMYFUNCTION("GOOGLETRANSLATE(A10636, ""de"", ""en"")"),"signor")</f>
        <v>signor</v>
      </c>
    </row>
    <row r="10637">
      <c r="A10637" s="1" t="s">
        <v>10637</v>
      </c>
      <c r="B10637" s="2" t="str">
        <f>IFERROR(__xludf.DUMMYFUNCTION("GOOGLETRANSLATE(A10637, ""de"", ""en"")"),"Ha-Ha")</f>
        <v>Ha-Ha</v>
      </c>
    </row>
    <row r="10638">
      <c r="A10638" s="1" t="s">
        <v>10638</v>
      </c>
      <c r="B10638" s="2" t="str">
        <f>IFERROR(__xludf.DUMMYFUNCTION("GOOGLETRANSLATE(A10638, ""de"", ""en"")"),"craft")</f>
        <v>craft</v>
      </c>
    </row>
    <row r="10639">
      <c r="A10639" s="1" t="s">
        <v>10639</v>
      </c>
      <c r="B10639" s="2" t="str">
        <f>IFERROR(__xludf.DUMMYFUNCTION("GOOGLETRANSLATE(A10639, ""de"", ""en"")"),"daddy's")</f>
        <v>daddy's</v>
      </c>
    </row>
    <row r="10640">
      <c r="A10640" s="1" t="s">
        <v>10640</v>
      </c>
      <c r="B10640" s="2" t="str">
        <f>IFERROR(__xludf.DUMMYFUNCTION("GOOGLETRANSLATE(A10640, ""de"", ""en"")"),"shears")</f>
        <v>shears</v>
      </c>
    </row>
    <row r="10641">
      <c r="A10641" s="1" t="s">
        <v>10641</v>
      </c>
      <c r="B10641" s="2" t="str">
        <f>IFERROR(__xludf.DUMMYFUNCTION("GOOGLETRANSLATE(A10641, ""de"", ""en"")"),"loose")</f>
        <v>loose</v>
      </c>
    </row>
    <row r="10642">
      <c r="A10642" s="1" t="s">
        <v>10642</v>
      </c>
      <c r="B10642" s="2" t="str">
        <f>IFERROR(__xludf.DUMMYFUNCTION("GOOGLETRANSLATE(A10642, ""de"", ""en"")"),"responsible")</f>
        <v>responsible</v>
      </c>
    </row>
    <row r="10643">
      <c r="A10643" s="1" t="s">
        <v>10643</v>
      </c>
      <c r="B10643" s="2" t="str">
        <f>IFERROR(__xludf.DUMMYFUNCTION("GOOGLETRANSLATE(A10643, ""de"", ""en"")"),"most likely")</f>
        <v>most likely</v>
      </c>
    </row>
    <row r="10644">
      <c r="A10644" s="1" t="s">
        <v>10644</v>
      </c>
      <c r="B10644" s="2" t="str">
        <f>IFERROR(__xludf.DUMMYFUNCTION("GOOGLETRANSLATE(A10644, ""de"", ""en"")"),"perverse")</f>
        <v>perverse</v>
      </c>
    </row>
    <row r="10645">
      <c r="A10645" s="1" t="s">
        <v>10645</v>
      </c>
      <c r="B10645" s="2" t="str">
        <f>IFERROR(__xludf.DUMMYFUNCTION("GOOGLETRANSLATE(A10645, ""de"", ""en"")"),"communicated")</f>
        <v>communicated</v>
      </c>
    </row>
    <row r="10646">
      <c r="A10646" s="1" t="s">
        <v>10646</v>
      </c>
      <c r="B10646" s="2" t="str">
        <f>IFERROR(__xludf.DUMMYFUNCTION("GOOGLETRANSLATE(A10646, ""de"", ""en"")"),"interviews")</f>
        <v>interviews</v>
      </c>
    </row>
    <row r="10647">
      <c r="A10647" s="1" t="s">
        <v>10647</v>
      </c>
      <c r="B10647" s="2" t="str">
        <f>IFERROR(__xludf.DUMMYFUNCTION("GOOGLETRANSLATE(A10647, ""de"", ""en"")"),"added")</f>
        <v>added</v>
      </c>
    </row>
    <row r="10648">
      <c r="A10648" s="1" t="s">
        <v>10648</v>
      </c>
      <c r="B10648" s="2" t="str">
        <f>IFERROR(__xludf.DUMMYFUNCTION("GOOGLETRANSLATE(A10648, ""de"", ""en"")"),"landlord")</f>
        <v>landlord</v>
      </c>
    </row>
    <row r="10649">
      <c r="A10649" s="1" t="s">
        <v>10649</v>
      </c>
      <c r="B10649" s="2" t="str">
        <f>IFERROR(__xludf.DUMMYFUNCTION("GOOGLETRANSLATE(A10649, ""de"", ""en"")"),"ate")</f>
        <v>ate</v>
      </c>
    </row>
    <row r="10650">
      <c r="A10650" s="1" t="s">
        <v>10650</v>
      </c>
      <c r="B10650" s="2" t="str">
        <f>IFERROR(__xludf.DUMMYFUNCTION("GOOGLETRANSLATE(A10650, ""de"", ""en"")"),"chest")</f>
        <v>chest</v>
      </c>
    </row>
    <row r="10651">
      <c r="A10651" s="1" t="s">
        <v>10651</v>
      </c>
      <c r="B10651" s="2" t="str">
        <f>IFERROR(__xludf.DUMMYFUNCTION("GOOGLETRANSLATE(A10651, ""de"", ""en"")"),"moral")</f>
        <v>moral</v>
      </c>
    </row>
    <row r="10652">
      <c r="A10652" s="1" t="s">
        <v>10652</v>
      </c>
      <c r="B10652" s="2" t="str">
        <f>IFERROR(__xludf.DUMMYFUNCTION("GOOGLETRANSLATE(A10652, ""de"", ""en"")"),"blonde")</f>
        <v>blonde</v>
      </c>
    </row>
    <row r="10653">
      <c r="A10653" s="1" t="s">
        <v>10653</v>
      </c>
      <c r="B10653" s="2" t="str">
        <f>IFERROR(__xludf.DUMMYFUNCTION("GOOGLETRANSLATE(A10653, ""de"", ""en"")"),"alvarez")</f>
        <v>alvarez</v>
      </c>
    </row>
    <row r="10654">
      <c r="A10654" s="1" t="s">
        <v>10654</v>
      </c>
      <c r="B10654" s="2" t="str">
        <f>IFERROR(__xludf.DUMMYFUNCTION("GOOGLETRANSLATE(A10654, ""de"", ""en"")"),"headlights")</f>
        <v>headlights</v>
      </c>
    </row>
    <row r="10655">
      <c r="A10655" s="1" t="s">
        <v>10655</v>
      </c>
      <c r="B10655" s="2" t="str">
        <f>IFERROR(__xludf.DUMMYFUNCTION("GOOGLETRANSLATE(A10655, ""de"", ""en"")"),"move")</f>
        <v>move</v>
      </c>
    </row>
    <row r="10656">
      <c r="A10656" s="1" t="s">
        <v>10656</v>
      </c>
      <c r="B10656" s="2" t="str">
        <f>IFERROR(__xludf.DUMMYFUNCTION("GOOGLETRANSLATE(A10656, ""de"", ""en"")"),"yup")</f>
        <v>yup</v>
      </c>
    </row>
    <row r="10657">
      <c r="A10657" s="1" t="s">
        <v>10657</v>
      </c>
      <c r="B10657" s="2" t="str">
        <f>IFERROR(__xludf.DUMMYFUNCTION("GOOGLETRANSLATE(A10657, ""de"", ""en"")"),"underlying")</f>
        <v>underlying</v>
      </c>
    </row>
    <row r="10658">
      <c r="A10658" s="1" t="s">
        <v>10658</v>
      </c>
      <c r="B10658" s="2" t="str">
        <f>IFERROR(__xludf.DUMMYFUNCTION("GOOGLETRANSLATE(A10658, ""de"", ""en"")"),"mixes")</f>
        <v>mixes</v>
      </c>
    </row>
    <row r="10659">
      <c r="A10659" s="1" t="s">
        <v>10659</v>
      </c>
      <c r="B10659" s="2" t="str">
        <f>IFERROR(__xludf.DUMMYFUNCTION("GOOGLETRANSLATE(A10659, ""de"", ""en"")"),"woke up")</f>
        <v>woke up</v>
      </c>
    </row>
    <row r="10660">
      <c r="A10660" s="1" t="s">
        <v>10660</v>
      </c>
      <c r="B10660" s="2" t="str">
        <f>IFERROR(__xludf.DUMMYFUNCTION("GOOGLETRANSLATE(A10660, ""de"", ""en"")"),"lift up")</f>
        <v>lift up</v>
      </c>
    </row>
    <row r="10661">
      <c r="A10661" s="1" t="s">
        <v>10661</v>
      </c>
      <c r="B10661" s="2" t="str">
        <f>IFERROR(__xludf.DUMMYFUNCTION("GOOGLETRANSLATE(A10661, ""de"", ""en"")"),"female")</f>
        <v>female</v>
      </c>
    </row>
    <row r="10662">
      <c r="A10662" s="1" t="s">
        <v>10662</v>
      </c>
      <c r="B10662" s="2" t="str">
        <f>IFERROR(__xludf.DUMMYFUNCTION("GOOGLETRANSLATE(A10662, ""de"", ""en"")"),"has")</f>
        <v>has</v>
      </c>
    </row>
    <row r="10663">
      <c r="A10663" s="1" t="s">
        <v>10663</v>
      </c>
      <c r="B10663" s="2" t="str">
        <f>IFERROR(__xludf.DUMMYFUNCTION("GOOGLETRANSLATE(A10663, ""de"", ""en"")"),"tap")</f>
        <v>tap</v>
      </c>
    </row>
    <row r="10664">
      <c r="A10664" s="1" t="s">
        <v>10664</v>
      </c>
      <c r="B10664" s="2" t="str">
        <f>IFERROR(__xludf.DUMMYFUNCTION("GOOGLETRANSLATE(A10664, ""de"", ""en"")"),"accounting")</f>
        <v>accounting</v>
      </c>
    </row>
    <row r="10665">
      <c r="A10665" s="1" t="s">
        <v>10665</v>
      </c>
      <c r="B10665" s="2" t="str">
        <f>IFERROR(__xludf.DUMMYFUNCTION("GOOGLETRANSLATE(A10665, ""de"", ""en"")"),"at the")</f>
        <v>at the</v>
      </c>
    </row>
    <row r="10666">
      <c r="A10666" s="1" t="s">
        <v>10666</v>
      </c>
      <c r="B10666" s="2" t="str">
        <f>IFERROR(__xludf.DUMMYFUNCTION("GOOGLETRANSLATE(A10666, ""de"", ""en"")"),"buffalo")</f>
        <v>buffalo</v>
      </c>
    </row>
    <row r="10667">
      <c r="A10667" s="1" t="s">
        <v>10667</v>
      </c>
      <c r="B10667" s="2" t="str">
        <f>IFERROR(__xludf.DUMMYFUNCTION("GOOGLETRANSLATE(A10667, ""de"", ""en"")"),"add")</f>
        <v>add</v>
      </c>
    </row>
    <row r="10668">
      <c r="A10668" s="1" t="s">
        <v>10668</v>
      </c>
      <c r="B10668" s="2" t="str">
        <f>IFERROR(__xludf.DUMMYFUNCTION("GOOGLETRANSLATE(A10668, ""de"", ""en"")"),"seventh")</f>
        <v>seventh</v>
      </c>
    </row>
    <row r="10669">
      <c r="A10669" s="1" t="s">
        <v>10669</v>
      </c>
      <c r="B10669" s="2" t="str">
        <f>IFERROR(__xludf.DUMMYFUNCTION("GOOGLETRANSLATE(A10669, ""de"", ""en"")"),"commands")</f>
        <v>commands</v>
      </c>
    </row>
    <row r="10670">
      <c r="A10670" s="1" t="s">
        <v>10670</v>
      </c>
      <c r="B10670" s="2" t="str">
        <f>IFERROR(__xludf.DUMMYFUNCTION("GOOGLETRANSLATE(A10670, ""de"", ""en"")"),"clicks")</f>
        <v>clicks</v>
      </c>
    </row>
    <row r="10671">
      <c r="A10671" s="1" t="s">
        <v>10671</v>
      </c>
      <c r="B10671" s="2" t="str">
        <f>IFERROR(__xludf.DUMMYFUNCTION("GOOGLETRANSLATE(A10671, ""de"", ""en"")"),"dracula")</f>
        <v>dracula</v>
      </c>
    </row>
    <row r="10672">
      <c r="A10672" s="1" t="s">
        <v>10672</v>
      </c>
      <c r="B10672" s="2" t="str">
        <f>IFERROR(__xludf.DUMMYFUNCTION("GOOGLETRANSLATE(A10672, ""de"", ""en"")"),"murdered")</f>
        <v>murdered</v>
      </c>
    </row>
    <row r="10673">
      <c r="A10673" s="1" t="s">
        <v>10673</v>
      </c>
      <c r="B10673" s="2" t="str">
        <f>IFERROR(__xludf.DUMMYFUNCTION("GOOGLETRANSLATE(A10673, ""de"", ""en"")"),"law")</f>
        <v>law</v>
      </c>
    </row>
    <row r="10674">
      <c r="A10674" s="1" t="s">
        <v>10674</v>
      </c>
      <c r="B10674" s="2" t="str">
        <f>IFERROR(__xludf.DUMMYFUNCTION("GOOGLETRANSLATE(A10674, ""de"", ""en"")"),"well")</f>
        <v>well</v>
      </c>
    </row>
    <row r="10675">
      <c r="A10675" s="1" t="s">
        <v>10675</v>
      </c>
      <c r="B10675" s="2" t="str">
        <f>IFERROR(__xludf.DUMMYFUNCTION("GOOGLETRANSLATE(A10675, ""de"", ""en"")"),"lonelier")</f>
        <v>lonelier</v>
      </c>
    </row>
    <row r="10676">
      <c r="A10676" s="1" t="s">
        <v>10676</v>
      </c>
      <c r="B10676" s="2" t="str">
        <f>IFERROR(__xludf.DUMMYFUNCTION("GOOGLETRANSLATE(A10676, ""de"", ""en"")"),"pearl")</f>
        <v>pearl</v>
      </c>
    </row>
    <row r="10677">
      <c r="A10677" s="1" t="s">
        <v>10677</v>
      </c>
      <c r="B10677" s="2" t="str">
        <f>IFERROR(__xludf.DUMMYFUNCTION("GOOGLETRANSLATE(A10677, ""de"", ""en"")"),"funny")</f>
        <v>funny</v>
      </c>
    </row>
    <row r="10678">
      <c r="A10678" s="1" t="s">
        <v>10678</v>
      </c>
      <c r="B10678" s="2" t="str">
        <f>IFERROR(__xludf.DUMMYFUNCTION("GOOGLETRANSLATE(A10678, ""de"", ""en"")"),"artificial")</f>
        <v>artificial</v>
      </c>
    </row>
    <row r="10679">
      <c r="A10679" s="1" t="s">
        <v>10679</v>
      </c>
      <c r="B10679" s="2" t="str">
        <f>IFERROR(__xludf.DUMMYFUNCTION("GOOGLETRANSLATE(A10679, ""de"", ""en"")"),"cape")</f>
        <v>cape</v>
      </c>
    </row>
    <row r="10680">
      <c r="A10680" s="1" t="s">
        <v>10680</v>
      </c>
      <c r="B10680" s="2" t="str">
        <f>IFERROR(__xludf.DUMMYFUNCTION("GOOGLETRANSLATE(A10680, ""de"", ""en"")"),"extraordinary")</f>
        <v>extraordinary</v>
      </c>
    </row>
    <row r="10681">
      <c r="A10681" s="1" t="s">
        <v>10681</v>
      </c>
      <c r="B10681" s="2" t="str">
        <f>IFERROR(__xludf.DUMMYFUNCTION("GOOGLETRANSLATE(A10681, ""de"", ""en"")"),"hawk")</f>
        <v>hawk</v>
      </c>
    </row>
    <row r="10682">
      <c r="A10682" s="1" t="s">
        <v>10682</v>
      </c>
      <c r="B10682" s="2" t="str">
        <f>IFERROR(__xludf.DUMMYFUNCTION("GOOGLETRANSLATE(A10682, ""de"", ""en"")"),"click")</f>
        <v>click</v>
      </c>
    </row>
    <row r="10683">
      <c r="A10683" s="1" t="s">
        <v>10683</v>
      </c>
      <c r="B10683" s="2" t="str">
        <f>IFERROR(__xludf.DUMMYFUNCTION("GOOGLETRANSLATE(A10683, ""de"", ""en"")"),"dizzy")</f>
        <v>dizzy</v>
      </c>
    </row>
    <row r="10684">
      <c r="A10684" s="1" t="s">
        <v>10684</v>
      </c>
      <c r="B10684" s="2" t="str">
        <f>IFERROR(__xludf.DUMMYFUNCTION("GOOGLETRANSLATE(A10684, ""de"", ""en"")"),"brought there")</f>
        <v>brought there</v>
      </c>
    </row>
    <row r="10685">
      <c r="A10685" s="1" t="s">
        <v>10685</v>
      </c>
      <c r="B10685" s="2" t="str">
        <f>IFERROR(__xludf.DUMMYFUNCTION("GOOGLETRANSLATE(A10685, ""de"", ""en"")"),"rush")</f>
        <v>rush</v>
      </c>
    </row>
    <row r="10686">
      <c r="A10686" s="1" t="s">
        <v>10686</v>
      </c>
      <c r="B10686" s="2" t="str">
        <f>IFERROR(__xludf.DUMMYFUNCTION("GOOGLETRANSLATE(A10686, ""de"", ""en"")"),"let in")</f>
        <v>let in</v>
      </c>
    </row>
    <row r="10687">
      <c r="A10687" s="1" t="s">
        <v>10687</v>
      </c>
      <c r="B10687" s="2" t="str">
        <f>IFERROR(__xludf.DUMMYFUNCTION("GOOGLETRANSLATE(A10687, ""de"", ""en"")"),"wife")</f>
        <v>wife</v>
      </c>
    </row>
    <row r="10688">
      <c r="A10688" s="1" t="s">
        <v>10688</v>
      </c>
      <c r="B10688" s="2" t="str">
        <f>IFERROR(__xludf.DUMMYFUNCTION("GOOGLETRANSLATE(A10688, ""de"", ""en"")"),"east")</f>
        <v>east</v>
      </c>
    </row>
    <row r="10689">
      <c r="A10689" s="1" t="s">
        <v>10689</v>
      </c>
      <c r="B10689" s="2" t="str">
        <f>IFERROR(__xludf.DUMMYFUNCTION("GOOGLETRANSLATE(A10689, ""de"", ""en"")"),"his")</f>
        <v>his</v>
      </c>
    </row>
    <row r="10690">
      <c r="A10690" s="1" t="s">
        <v>10690</v>
      </c>
      <c r="B10690" s="2" t="str">
        <f>IFERROR(__xludf.DUMMYFUNCTION("GOOGLETRANSLATE(A10690, ""de"", ""en"")"),"accurate")</f>
        <v>accurate</v>
      </c>
    </row>
    <row r="10691">
      <c r="A10691" s="1" t="s">
        <v>10691</v>
      </c>
      <c r="B10691" s="2" t="str">
        <f>IFERROR(__xludf.DUMMYFUNCTION("GOOGLETRANSLATE(A10691, ""de"", ""en"")"),"weigh")</f>
        <v>weigh</v>
      </c>
    </row>
    <row r="10692">
      <c r="A10692" s="1" t="s">
        <v>10692</v>
      </c>
      <c r="B10692" s="2" t="str">
        <f>IFERROR(__xludf.DUMMYFUNCTION("GOOGLETRANSLATE(A10692, ""de"", ""en"")"),"labyrinth")</f>
        <v>labyrinth</v>
      </c>
    </row>
    <row r="10693">
      <c r="A10693" s="1" t="s">
        <v>10693</v>
      </c>
      <c r="B10693" s="2" t="str">
        <f>IFERROR(__xludf.DUMMYFUNCTION("GOOGLETRANSLATE(A10693, ""de"", ""en"")"),"meanwhile")</f>
        <v>meanwhile</v>
      </c>
    </row>
    <row r="10694">
      <c r="A10694" s="1" t="s">
        <v>10694</v>
      </c>
      <c r="B10694" s="2" t="str">
        <f>IFERROR(__xludf.DUMMYFUNCTION("GOOGLETRANSLATE(A10694, ""de"", ""en"")"),"foolish")</f>
        <v>foolish</v>
      </c>
    </row>
    <row r="10695">
      <c r="A10695" s="1" t="s">
        <v>10695</v>
      </c>
      <c r="B10695" s="2" t="str">
        <f>IFERROR(__xludf.DUMMYFUNCTION("GOOGLETRANSLATE(A10695, ""de"", ""en"")"),"rob")</f>
        <v>rob</v>
      </c>
    </row>
    <row r="10696">
      <c r="A10696" s="1" t="s">
        <v>10696</v>
      </c>
      <c r="B10696" s="2" t="str">
        <f>IFERROR(__xludf.DUMMYFUNCTION("GOOGLETRANSLATE(A10696, ""de"", ""en"")"),"silently")</f>
        <v>silently</v>
      </c>
    </row>
    <row r="10697">
      <c r="A10697" s="1" t="s">
        <v>10697</v>
      </c>
      <c r="B10697" s="2" t="str">
        <f>IFERROR(__xludf.DUMMYFUNCTION("GOOGLETRANSLATE(A10697, ""de"", ""en"")"),"quote")</f>
        <v>quote</v>
      </c>
    </row>
    <row r="10698">
      <c r="A10698" s="1" t="s">
        <v>10698</v>
      </c>
      <c r="B10698" s="2" t="str">
        <f>IFERROR(__xludf.DUMMYFUNCTION("GOOGLETRANSLATE(A10698, ""de"", ""en"")"),"held")</f>
        <v>held</v>
      </c>
    </row>
    <row r="10699">
      <c r="A10699" s="1" t="s">
        <v>10699</v>
      </c>
      <c r="B10699" s="2" t="str">
        <f>IFERROR(__xludf.DUMMYFUNCTION("GOOGLETRANSLATE(A10699, ""de"", ""en"")"),"hale")</f>
        <v>hale</v>
      </c>
    </row>
    <row r="10700">
      <c r="A10700" s="1" t="s">
        <v>10700</v>
      </c>
      <c r="B10700" s="2" t="str">
        <f>IFERROR(__xludf.DUMMYFUNCTION("GOOGLETRANSLATE(A10700, ""de"", ""en"")"),"two")</f>
        <v>two</v>
      </c>
    </row>
    <row r="10701">
      <c r="A10701" s="1" t="s">
        <v>10701</v>
      </c>
      <c r="B10701" s="2" t="str">
        <f>IFERROR(__xludf.DUMMYFUNCTION("GOOGLETRANSLATE(A10701, ""de"", ""en"")"),"attracted")</f>
        <v>attracted</v>
      </c>
    </row>
    <row r="10702">
      <c r="A10702" s="1" t="s">
        <v>10702</v>
      </c>
      <c r="B10702" s="2" t="str">
        <f>IFERROR(__xludf.DUMMYFUNCTION("GOOGLETRANSLATE(A10702, ""de"", ""en"")"),"ty")</f>
        <v>ty</v>
      </c>
    </row>
    <row r="10703">
      <c r="A10703" s="1" t="s">
        <v>10703</v>
      </c>
      <c r="B10703" s="2" t="str">
        <f>IFERROR(__xludf.DUMMYFUNCTION("GOOGLETRANSLATE(A10703, ""de"", ""en"")"),"infinite")</f>
        <v>infinite</v>
      </c>
    </row>
    <row r="10704">
      <c r="A10704" s="1" t="s">
        <v>10704</v>
      </c>
      <c r="B10704" s="2" t="str">
        <f>IFERROR(__xludf.DUMMYFUNCTION("GOOGLETRANSLATE(A10704, ""de"", ""en"")"),"antibiotics")</f>
        <v>antibiotics</v>
      </c>
    </row>
    <row r="10705">
      <c r="A10705" s="1" t="s">
        <v>10705</v>
      </c>
      <c r="B10705" s="2" t="str">
        <f>IFERROR(__xludf.DUMMYFUNCTION("GOOGLETRANSLATE(A10705, ""de"", ""en"")"),"emil")</f>
        <v>emil</v>
      </c>
    </row>
    <row r="10706">
      <c r="A10706" s="1" t="s">
        <v>10706</v>
      </c>
      <c r="B10706" s="2" t="str">
        <f>IFERROR(__xludf.DUMMYFUNCTION("GOOGLETRANSLATE(A10706, ""de"", ""en"")"),"go")</f>
        <v>go</v>
      </c>
    </row>
    <row r="10707">
      <c r="A10707" s="1" t="s">
        <v>10707</v>
      </c>
      <c r="B10707" s="2" t="str">
        <f>IFERROR(__xludf.DUMMYFUNCTION("GOOGLETRANSLATE(A10707, ""de"", ""en"")"),"prisoners")</f>
        <v>prisoners</v>
      </c>
    </row>
    <row r="10708">
      <c r="A10708" s="1" t="s">
        <v>10708</v>
      </c>
      <c r="B10708" s="2" t="str">
        <f>IFERROR(__xludf.DUMMYFUNCTION("GOOGLETRANSLATE(A10708, ""de"", ""en"")"),"police chief")</f>
        <v>police chief</v>
      </c>
    </row>
    <row r="10709">
      <c r="A10709" s="1" t="s">
        <v>10709</v>
      </c>
      <c r="B10709" s="2" t="str">
        <f>IFERROR(__xludf.DUMMYFUNCTION("GOOGLETRANSLATE(A10709, ""de"", ""en"")"),"psychiatry")</f>
        <v>psychiatry</v>
      </c>
    </row>
    <row r="10710">
      <c r="A10710" s="1" t="s">
        <v>10710</v>
      </c>
      <c r="B10710" s="2" t="str">
        <f>IFERROR(__xludf.DUMMYFUNCTION("GOOGLETRANSLATE(A10710, ""de"", ""en"")"),"crazy")</f>
        <v>crazy</v>
      </c>
    </row>
    <row r="10711">
      <c r="A10711" s="1" t="s">
        <v>10711</v>
      </c>
      <c r="B10711" s="2" t="str">
        <f>IFERROR(__xludf.DUMMYFUNCTION("GOOGLETRANSLATE(A10711, ""de"", ""en"")"),"hypocrite")</f>
        <v>hypocrite</v>
      </c>
    </row>
    <row r="10712">
      <c r="A10712" s="1" t="s">
        <v>10712</v>
      </c>
      <c r="B10712" s="2" t="str">
        <f>IFERROR(__xludf.DUMMYFUNCTION("GOOGLETRANSLATE(A10712, ""de"", ""en"")"),"Jerusalem")</f>
        <v>Jerusalem</v>
      </c>
    </row>
    <row r="10713">
      <c r="A10713" s="1" t="s">
        <v>10713</v>
      </c>
      <c r="B10713" s="2" t="str">
        <f>IFERROR(__xludf.DUMMYFUNCTION("GOOGLETRANSLATE(A10713, ""de"", ""en"")"),"immune")</f>
        <v>immune</v>
      </c>
    </row>
    <row r="10714">
      <c r="A10714" s="1" t="s">
        <v>10714</v>
      </c>
      <c r="B10714" s="2" t="str">
        <f>IFERROR(__xludf.DUMMYFUNCTION("GOOGLETRANSLATE(A10714, ""de"", ""en"")"),"temperament")</f>
        <v>temperament</v>
      </c>
    </row>
    <row r="10715">
      <c r="A10715" s="1" t="s">
        <v>10715</v>
      </c>
      <c r="B10715" s="2" t="str">
        <f>IFERROR(__xludf.DUMMYFUNCTION("GOOGLETRANSLATE(A10715, ""de"", ""en"")"),"boulevard")</f>
        <v>boulevard</v>
      </c>
    </row>
    <row r="10716">
      <c r="A10716" s="1" t="s">
        <v>10716</v>
      </c>
      <c r="B10716" s="2" t="str">
        <f>IFERROR(__xludf.DUMMYFUNCTION("GOOGLETRANSLATE(A10716, ""de"", ""en"")"),"cape")</f>
        <v>cape</v>
      </c>
    </row>
    <row r="10717">
      <c r="A10717" s="1" t="s">
        <v>10717</v>
      </c>
      <c r="B10717" s="2" t="str">
        <f>IFERROR(__xludf.DUMMYFUNCTION("GOOGLETRANSLATE(A10717, ""de"", ""en"")"),"assigned")</f>
        <v>assigned</v>
      </c>
    </row>
    <row r="10718">
      <c r="A10718" s="1" t="s">
        <v>10718</v>
      </c>
      <c r="B10718" s="2" t="str">
        <f>IFERROR(__xludf.DUMMYFUNCTION("GOOGLETRANSLATE(A10718, ""de"", ""en"")"),"alarm system")</f>
        <v>alarm system</v>
      </c>
    </row>
    <row r="10719">
      <c r="A10719" s="1" t="s">
        <v>10719</v>
      </c>
      <c r="B10719" s="2" t="str">
        <f>IFERROR(__xludf.DUMMYFUNCTION("GOOGLETRANSLATE(A10719, ""de"", ""en"")"),"meets")</f>
        <v>meets</v>
      </c>
    </row>
    <row r="10720">
      <c r="A10720" s="1" t="s">
        <v>10720</v>
      </c>
      <c r="B10720" s="2" t="str">
        <f>IFERROR(__xludf.DUMMYFUNCTION("GOOGLETRANSLATE(A10720, ""de"", ""en"")"),"overwhelmed")</f>
        <v>overwhelmed</v>
      </c>
    </row>
    <row r="10721">
      <c r="A10721" s="1" t="s">
        <v>10721</v>
      </c>
      <c r="B10721" s="2" t="str">
        <f>IFERROR(__xludf.DUMMYFUNCTION("GOOGLETRANSLATE(A10721, ""de"", ""en"")"),"gallows")</f>
        <v>gallows</v>
      </c>
    </row>
    <row r="10722">
      <c r="A10722" s="1" t="s">
        <v>10722</v>
      </c>
      <c r="B10722" s="2" t="str">
        <f>IFERROR(__xludf.DUMMYFUNCTION("GOOGLETRANSLATE(A10722, ""de"", ""en"")"),"hubert")</f>
        <v>hubert</v>
      </c>
    </row>
    <row r="10723">
      <c r="A10723" s="1" t="s">
        <v>10723</v>
      </c>
      <c r="B10723" s="2" t="str">
        <f>IFERROR(__xludf.DUMMYFUNCTION("GOOGLETRANSLATE(A10723, ""de"", ""en"")"),"run away")</f>
        <v>run away</v>
      </c>
    </row>
    <row r="10724">
      <c r="A10724" s="1" t="s">
        <v>10724</v>
      </c>
      <c r="B10724" s="2" t="str">
        <f>IFERROR(__xludf.DUMMYFUNCTION("GOOGLETRANSLATE(A10724, ""de"", ""en"")"),"stiles")</f>
        <v>stiles</v>
      </c>
    </row>
    <row r="10725">
      <c r="A10725" s="1" t="s">
        <v>10725</v>
      </c>
      <c r="B10725" s="2" t="str">
        <f>IFERROR(__xludf.DUMMYFUNCTION("GOOGLETRANSLATE(A10725, ""de"", ""en"")"),"monte")</f>
        <v>monte</v>
      </c>
    </row>
    <row r="10726">
      <c r="A10726" s="1" t="s">
        <v>10726</v>
      </c>
      <c r="B10726" s="2" t="str">
        <f>IFERROR(__xludf.DUMMYFUNCTION("GOOGLETRANSLATE(A10726, ""de"", ""en"")"),"courtney")</f>
        <v>courtney</v>
      </c>
    </row>
    <row r="10727">
      <c r="A10727" s="1" t="s">
        <v>10727</v>
      </c>
      <c r="B10727" s="2" t="str">
        <f>IFERROR(__xludf.DUMMYFUNCTION("GOOGLETRANSLATE(A10727, ""de"", ""en"")"),"movie star")</f>
        <v>movie star</v>
      </c>
    </row>
    <row r="10728">
      <c r="A10728" s="1" t="s">
        <v>10728</v>
      </c>
      <c r="B10728" s="2" t="str">
        <f>IFERROR(__xludf.DUMMYFUNCTION("GOOGLETRANSLATE(A10728, ""de"", ""en"")"),"have")</f>
        <v>have</v>
      </c>
    </row>
    <row r="10729">
      <c r="A10729" s="1" t="s">
        <v>10729</v>
      </c>
      <c r="B10729" s="2" t="str">
        <f>IFERROR(__xludf.DUMMYFUNCTION("GOOGLETRANSLATE(A10729, ""de"", ""en"")"),"expense")</f>
        <v>expense</v>
      </c>
    </row>
    <row r="10730">
      <c r="A10730" s="1" t="s">
        <v>10730</v>
      </c>
      <c r="B10730" s="2" t="str">
        <f>IFERROR(__xludf.DUMMYFUNCTION("GOOGLETRANSLATE(A10730, ""de"", ""en"")"),"internal")</f>
        <v>internal</v>
      </c>
    </row>
    <row r="10731">
      <c r="A10731" s="1" t="s">
        <v>10731</v>
      </c>
      <c r="B10731" s="2" t="str">
        <f>IFERROR(__xludf.DUMMYFUNCTION("GOOGLETRANSLATE(A10731, ""de"", ""en"")"),"cliff")</f>
        <v>cliff</v>
      </c>
    </row>
    <row r="10732">
      <c r="A10732" s="1" t="s">
        <v>10732</v>
      </c>
      <c r="B10732" s="2" t="str">
        <f>IFERROR(__xludf.DUMMYFUNCTION("GOOGLETRANSLATE(A10732, ""de"", ""en"")"),"condemnation")</f>
        <v>condemnation</v>
      </c>
    </row>
    <row r="10733">
      <c r="A10733" s="1" t="s">
        <v>10733</v>
      </c>
      <c r="B10733" s="2" t="str">
        <f>IFERROR(__xludf.DUMMYFUNCTION("GOOGLETRANSLATE(A10733, ""de"", ""en"")"),"detour")</f>
        <v>detour</v>
      </c>
    </row>
    <row r="10734">
      <c r="A10734" s="1" t="s">
        <v>10734</v>
      </c>
      <c r="B10734" s="2" t="str">
        <f>IFERROR(__xludf.DUMMYFUNCTION("GOOGLETRANSLATE(A10734, ""de"", ""en"")"),"cisco")</f>
        <v>cisco</v>
      </c>
    </row>
    <row r="10735">
      <c r="A10735" s="1" t="s">
        <v>10735</v>
      </c>
      <c r="B10735" s="2" t="str">
        <f>IFERROR(__xludf.DUMMYFUNCTION("GOOGLETRANSLATE(A10735, ""de"", ""en"")"),"convened")</f>
        <v>convened</v>
      </c>
    </row>
    <row r="10736">
      <c r="A10736" s="1" t="s">
        <v>10736</v>
      </c>
      <c r="B10736" s="2" t="str">
        <f>IFERROR(__xludf.DUMMYFUNCTION("GOOGLETRANSLATE(A10736, ""de"", ""en"")"),"evacuated")</f>
        <v>evacuated</v>
      </c>
    </row>
    <row r="10737">
      <c r="A10737" s="1" t="s">
        <v>10737</v>
      </c>
      <c r="B10737" s="2" t="str">
        <f>IFERROR(__xludf.DUMMYFUNCTION("GOOGLETRANSLATE(A10737, ""de"", ""en"")"),"discernment")</f>
        <v>discernment</v>
      </c>
    </row>
    <row r="10738">
      <c r="A10738" s="1" t="s">
        <v>10738</v>
      </c>
      <c r="B10738" s="2" t="str">
        <f>IFERROR(__xludf.DUMMYFUNCTION("GOOGLETRANSLATE(A10738, ""de"", ""en"")"),"malone")</f>
        <v>malone</v>
      </c>
    </row>
    <row r="10739">
      <c r="A10739" s="1" t="s">
        <v>10739</v>
      </c>
      <c r="B10739" s="2" t="str">
        <f>IFERROR(__xludf.DUMMYFUNCTION("GOOGLETRANSLATE(A10739, ""de"", ""en"")"),"christy")</f>
        <v>christy</v>
      </c>
    </row>
    <row r="10740">
      <c r="A10740" s="1" t="s">
        <v>10740</v>
      </c>
      <c r="B10740" s="2" t="str">
        <f>IFERROR(__xludf.DUMMYFUNCTION("GOOGLETRANSLATE(A10740, ""de"", ""en"")"),"expire")</f>
        <v>expire</v>
      </c>
    </row>
    <row r="10741">
      <c r="A10741" s="1" t="s">
        <v>10741</v>
      </c>
      <c r="B10741" s="2" t="str">
        <f>IFERROR(__xludf.DUMMYFUNCTION("GOOGLETRANSLATE(A10741, ""de"", ""en"")"),"to enter")</f>
        <v>to enter</v>
      </c>
    </row>
    <row r="10742">
      <c r="A10742" s="1" t="s">
        <v>10742</v>
      </c>
      <c r="B10742" s="2" t="str">
        <f>IFERROR(__xludf.DUMMYFUNCTION("GOOGLETRANSLATE(A10742, ""de"", ""en"")"),"purposes")</f>
        <v>purposes</v>
      </c>
    </row>
    <row r="10743">
      <c r="A10743" s="1" t="s">
        <v>10743</v>
      </c>
      <c r="B10743" s="2" t="str">
        <f>IFERROR(__xludf.DUMMYFUNCTION("GOOGLETRANSLATE(A10743, ""de"", ""en"")"),"Zeus")</f>
        <v>Zeus</v>
      </c>
    </row>
    <row r="10744">
      <c r="A10744" s="1" t="s">
        <v>10744</v>
      </c>
      <c r="B10744" s="2" t="str">
        <f>IFERROR(__xludf.DUMMYFUNCTION("GOOGLETRANSLATE(A10744, ""de"", ""en"")"),"simple")</f>
        <v>simple</v>
      </c>
    </row>
    <row r="10745">
      <c r="A10745" s="1" t="s">
        <v>10745</v>
      </c>
      <c r="B10745" s="2" t="str">
        <f>IFERROR(__xludf.DUMMYFUNCTION("GOOGLETRANSLATE(A10745, ""de"", ""en"")"),"successful")</f>
        <v>successful</v>
      </c>
    </row>
    <row r="10746">
      <c r="A10746" s="1" t="s">
        <v>10746</v>
      </c>
      <c r="B10746" s="2" t="str">
        <f>IFERROR(__xludf.DUMMYFUNCTION("GOOGLETRANSLATE(A10746, ""de"", ""en"")"),"vaccine")</f>
        <v>vaccine</v>
      </c>
    </row>
    <row r="10747">
      <c r="A10747" s="1" t="s">
        <v>10747</v>
      </c>
      <c r="B10747" s="2" t="str">
        <f>IFERROR(__xludf.DUMMYFUNCTION("GOOGLETRANSLATE(A10747, ""de"", ""en"")"),"bribery")</f>
        <v>bribery</v>
      </c>
    </row>
    <row r="10748">
      <c r="A10748" s="1" t="s">
        <v>10748</v>
      </c>
      <c r="B10748" s="2" t="str">
        <f>IFERROR(__xludf.DUMMYFUNCTION("GOOGLETRANSLATE(A10748, ""de"", ""en"")"),"cruz")</f>
        <v>cruz</v>
      </c>
    </row>
    <row r="10749">
      <c r="A10749" s="1" t="s">
        <v>10749</v>
      </c>
      <c r="B10749" s="2" t="str">
        <f>IFERROR(__xludf.DUMMYFUNCTION("GOOGLETRANSLATE(A10749, ""de"", ""en"")"),"refuse")</f>
        <v>refuse</v>
      </c>
    </row>
    <row r="10750">
      <c r="A10750" s="1" t="s">
        <v>10750</v>
      </c>
      <c r="B10750" s="2" t="str">
        <f>IFERROR(__xludf.DUMMYFUNCTION("GOOGLETRANSLATE(A10750, ""de"", ""en"")"),"salvatore")</f>
        <v>salvatore</v>
      </c>
    </row>
    <row r="10751">
      <c r="A10751" s="1" t="s">
        <v>10751</v>
      </c>
      <c r="B10751" s="2" t="str">
        <f>IFERROR(__xludf.DUMMYFUNCTION("GOOGLETRANSLATE(A10751, ""de"", ""en"")"),"concealment")</f>
        <v>concealment</v>
      </c>
    </row>
    <row r="10752">
      <c r="A10752" s="1" t="s">
        <v>10752</v>
      </c>
      <c r="B10752" s="2" t="str">
        <f>IFERROR(__xludf.DUMMYFUNCTION("GOOGLETRANSLATE(A10752, ""de"", ""en"")"),"course")</f>
        <v>course</v>
      </c>
    </row>
    <row r="10753">
      <c r="A10753" s="1" t="s">
        <v>10753</v>
      </c>
      <c r="B10753" s="2" t="str">
        <f>IFERROR(__xludf.DUMMYFUNCTION("GOOGLETRANSLATE(A10753, ""de"", ""en"")"),"current")</f>
        <v>current</v>
      </c>
    </row>
    <row r="10754">
      <c r="A10754" s="1" t="s">
        <v>10754</v>
      </c>
      <c r="B10754" s="2" t="str">
        <f>IFERROR(__xludf.DUMMYFUNCTION("GOOGLETRANSLATE(A10754, ""de"", ""en"")"),"lamps")</f>
        <v>lamps</v>
      </c>
    </row>
    <row r="10755">
      <c r="A10755" s="1" t="s">
        <v>10755</v>
      </c>
      <c r="B10755" s="2" t="str">
        <f>IFERROR(__xludf.DUMMYFUNCTION("GOOGLETRANSLATE(A10755, ""de"", ""en"")"),"sadder")</f>
        <v>sadder</v>
      </c>
    </row>
    <row r="10756">
      <c r="A10756" s="1" t="s">
        <v>10756</v>
      </c>
      <c r="B10756" s="2" t="str">
        <f>IFERROR(__xludf.DUMMYFUNCTION("GOOGLETRANSLATE(A10756, ""de"", ""en"")"),"felt")</f>
        <v>felt</v>
      </c>
    </row>
    <row r="10757">
      <c r="A10757" s="1" t="s">
        <v>10757</v>
      </c>
      <c r="B10757" s="2" t="str">
        <f>IFERROR(__xludf.DUMMYFUNCTION("GOOGLETRANSLATE(A10757, ""de"", ""en"")"),"journalist")</f>
        <v>journalist</v>
      </c>
    </row>
    <row r="10758">
      <c r="A10758" s="1" t="s">
        <v>10758</v>
      </c>
      <c r="B10758" s="2" t="str">
        <f>IFERROR(__xludf.DUMMYFUNCTION("GOOGLETRANSLATE(A10758, ""de"", ""en"")"),"end")</f>
        <v>end</v>
      </c>
    </row>
    <row r="10759">
      <c r="A10759" s="1" t="s">
        <v>10759</v>
      </c>
      <c r="B10759" s="2" t="str">
        <f>IFERROR(__xludf.DUMMYFUNCTION("GOOGLETRANSLATE(A10759, ""de"", ""en"")"),"casino")</f>
        <v>casino</v>
      </c>
    </row>
    <row r="10760">
      <c r="A10760" s="1" t="s">
        <v>10760</v>
      </c>
      <c r="B10760" s="2" t="str">
        <f>IFERROR(__xludf.DUMMYFUNCTION("GOOGLETRANSLATE(A10760, ""de"", ""en"")"),"titus")</f>
        <v>titus</v>
      </c>
    </row>
    <row r="10761">
      <c r="A10761" s="1" t="s">
        <v>10761</v>
      </c>
      <c r="B10761" s="2" t="str">
        <f>IFERROR(__xludf.DUMMYFUNCTION("GOOGLETRANSLATE(A10761, ""de"", ""en"")"),"caused")</f>
        <v>caused</v>
      </c>
    </row>
    <row r="10762">
      <c r="A10762" s="1" t="s">
        <v>10762</v>
      </c>
      <c r="B10762" s="2" t="str">
        <f>IFERROR(__xludf.DUMMYFUNCTION("GOOGLETRANSLATE(A10762, ""de"", ""en"")"),"backup")</f>
        <v>backup</v>
      </c>
    </row>
    <row r="10763">
      <c r="A10763" s="1" t="s">
        <v>10763</v>
      </c>
      <c r="B10763" s="2" t="str">
        <f>IFERROR(__xludf.DUMMYFUNCTION("GOOGLETRANSLATE(A10763, ""de"", ""en"")"),"ticket")</f>
        <v>ticket</v>
      </c>
    </row>
    <row r="10764">
      <c r="A10764" s="1" t="s">
        <v>10764</v>
      </c>
      <c r="B10764" s="2" t="str">
        <f>IFERROR(__xludf.DUMMYFUNCTION("GOOGLETRANSLATE(A10764, ""de"", ""en"")"),"go away")</f>
        <v>go away</v>
      </c>
    </row>
    <row r="10765">
      <c r="A10765" s="1" t="s">
        <v>10765</v>
      </c>
      <c r="B10765" s="2" t="str">
        <f>IFERROR(__xludf.DUMMYFUNCTION("GOOGLETRANSLATE(A10765, ""de"", ""en"")"),"Jared")</f>
        <v>Jared</v>
      </c>
    </row>
    <row r="10766">
      <c r="A10766" s="1" t="s">
        <v>10766</v>
      </c>
      <c r="B10766" s="2" t="str">
        <f>IFERROR(__xludf.DUMMYFUNCTION("GOOGLETRANSLATE(A10766, ""de"", ""en"")"),"listed")</f>
        <v>listed</v>
      </c>
    </row>
    <row r="10767">
      <c r="A10767" s="1" t="s">
        <v>10767</v>
      </c>
      <c r="B10767" s="2" t="str">
        <f>IFERROR(__xludf.DUMMYFUNCTION("GOOGLETRANSLATE(A10767, ""de"", ""en"")"),"list")</f>
        <v>list</v>
      </c>
    </row>
    <row r="10768">
      <c r="A10768" s="1" t="s">
        <v>10768</v>
      </c>
      <c r="B10768" s="2" t="str">
        <f>IFERROR(__xludf.DUMMYFUNCTION("GOOGLETRANSLATE(A10768, ""de"", ""en"")"),"tiffany")</f>
        <v>tiffany</v>
      </c>
    </row>
    <row r="10769">
      <c r="A10769" s="1" t="s">
        <v>10769</v>
      </c>
      <c r="B10769" s="2" t="str">
        <f>IFERROR(__xludf.DUMMYFUNCTION("GOOGLETRANSLATE(A10769, ""de"", ""en"")"),"express")</f>
        <v>express</v>
      </c>
    </row>
    <row r="10770">
      <c r="A10770" s="1" t="s">
        <v>10770</v>
      </c>
      <c r="B10770" s="2" t="str">
        <f>IFERROR(__xludf.DUMMYFUNCTION("GOOGLETRANSLATE(A10770, ""de"", ""en"")"),"adrenaline")</f>
        <v>adrenaline</v>
      </c>
    </row>
    <row r="10771">
      <c r="A10771" s="1" t="s">
        <v>10771</v>
      </c>
      <c r="B10771" s="2" t="str">
        <f>IFERROR(__xludf.DUMMYFUNCTION("GOOGLETRANSLATE(A10771, ""de"", ""en"")"),"earlier")</f>
        <v>earlier</v>
      </c>
    </row>
    <row r="10772">
      <c r="A10772" s="1" t="s">
        <v>10772</v>
      </c>
      <c r="B10772" s="2" t="str">
        <f>IFERROR(__xludf.DUMMYFUNCTION("GOOGLETRANSLATE(A10772, ""de"", ""en"")"),"abuse")</f>
        <v>abuse</v>
      </c>
    </row>
    <row r="10773">
      <c r="A10773" s="1" t="s">
        <v>10773</v>
      </c>
      <c r="B10773" s="2" t="str">
        <f>IFERROR(__xludf.DUMMYFUNCTION("GOOGLETRANSLATE(A10773, ""de"", ""en"")"),"seminar")</f>
        <v>seminar</v>
      </c>
    </row>
    <row r="10774">
      <c r="A10774" s="1" t="s">
        <v>10774</v>
      </c>
      <c r="B10774" s="2" t="str">
        <f>IFERROR(__xludf.DUMMYFUNCTION("GOOGLETRANSLATE(A10774, ""de"", ""en"")"),"third")</f>
        <v>third</v>
      </c>
    </row>
    <row r="10775">
      <c r="A10775" s="1" t="s">
        <v>10775</v>
      </c>
      <c r="B10775" s="2" t="str">
        <f>IFERROR(__xludf.DUMMYFUNCTION("GOOGLETRANSLATE(A10775, ""de"", ""en"")"),"Fernando")</f>
        <v>Fernando</v>
      </c>
    </row>
    <row r="10776">
      <c r="A10776" s="1" t="s">
        <v>10776</v>
      </c>
      <c r="B10776" s="2" t="str">
        <f>IFERROR(__xludf.DUMMYFUNCTION("GOOGLETRANSLATE(A10776, ""de"", ""en"")"),"bend")</f>
        <v>bend</v>
      </c>
    </row>
    <row r="10777">
      <c r="A10777" s="1" t="s">
        <v>10777</v>
      </c>
      <c r="B10777" s="2" t="str">
        <f>IFERROR(__xludf.DUMMYFUNCTION("GOOGLETRANSLATE(A10777, ""de"", ""en"")"),"demonstration")</f>
        <v>demonstration</v>
      </c>
    </row>
    <row r="10778">
      <c r="A10778" s="1" t="s">
        <v>10778</v>
      </c>
      <c r="B10778" s="2" t="str">
        <f>IFERROR(__xludf.DUMMYFUNCTION("GOOGLETRANSLATE(A10778, ""de"", ""en"")"),"Porsche")</f>
        <v>Porsche</v>
      </c>
    </row>
    <row r="10779">
      <c r="A10779" s="1" t="s">
        <v>10779</v>
      </c>
      <c r="B10779" s="2" t="str">
        <f>IFERROR(__xludf.DUMMYFUNCTION("GOOGLETRANSLATE(A10779, ""de"", ""en"")"),"disabled")</f>
        <v>disabled</v>
      </c>
    </row>
    <row r="10780">
      <c r="A10780" s="1" t="s">
        <v>10780</v>
      </c>
      <c r="B10780" s="2" t="str">
        <f>IFERROR(__xludf.DUMMYFUNCTION("GOOGLETRANSLATE(A10780, ""de"", ""en"")"),"represents")</f>
        <v>represents</v>
      </c>
    </row>
    <row r="10781">
      <c r="A10781" s="1" t="s">
        <v>10781</v>
      </c>
      <c r="B10781" s="2" t="str">
        <f>IFERROR(__xludf.DUMMYFUNCTION("GOOGLETRANSLATE(A10781, ""de"", ""en"")"),"explain")</f>
        <v>explain</v>
      </c>
    </row>
    <row r="10782">
      <c r="A10782" s="1" t="s">
        <v>10782</v>
      </c>
      <c r="B10782" s="2" t="str">
        <f>IFERROR(__xludf.DUMMYFUNCTION("GOOGLETRANSLATE(A10782, ""de"", ""en"")"),"lovingly")</f>
        <v>lovingly</v>
      </c>
    </row>
    <row r="10783">
      <c r="A10783" s="1" t="s">
        <v>10783</v>
      </c>
      <c r="B10783" s="2" t="str">
        <f>IFERROR(__xludf.DUMMYFUNCTION("GOOGLETRANSLATE(A10783, ""de"", ""en"")"),"turned around")</f>
        <v>turned around</v>
      </c>
    </row>
    <row r="10784">
      <c r="A10784" s="1" t="s">
        <v>10784</v>
      </c>
      <c r="B10784" s="2" t="str">
        <f>IFERROR(__xludf.DUMMYFUNCTION("GOOGLETRANSLATE(A10784, ""de"", ""en"")"),"conversation")</f>
        <v>conversation</v>
      </c>
    </row>
    <row r="10785">
      <c r="A10785" s="1" t="s">
        <v>10785</v>
      </c>
      <c r="B10785" s="2" t="str">
        <f>IFERROR(__xludf.DUMMYFUNCTION("GOOGLETRANSLATE(A10785, ""de"", ""en"")"),"friendly")</f>
        <v>friendly</v>
      </c>
    </row>
    <row r="10786">
      <c r="A10786" s="1" t="s">
        <v>10786</v>
      </c>
      <c r="B10786" s="2" t="str">
        <f>IFERROR(__xludf.DUMMYFUNCTION("GOOGLETRANSLATE(A10786, ""de"", ""en"")"),"trace back")</f>
        <v>trace back</v>
      </c>
    </row>
    <row r="10787">
      <c r="A10787" s="1" t="s">
        <v>10787</v>
      </c>
      <c r="B10787" s="2" t="str">
        <f>IFERROR(__xludf.DUMMYFUNCTION("GOOGLETRANSLATE(A10787, ""de"", ""en"")"),"more perverted")</f>
        <v>more perverted</v>
      </c>
    </row>
    <row r="10788">
      <c r="A10788" s="1" t="s">
        <v>10788</v>
      </c>
      <c r="B10788" s="2" t="str">
        <f>IFERROR(__xludf.DUMMYFUNCTION("GOOGLETRANSLATE(A10788, ""de"", ""en"")"),"madeline")</f>
        <v>madeline</v>
      </c>
    </row>
    <row r="10789">
      <c r="A10789" s="1" t="s">
        <v>10789</v>
      </c>
      <c r="B10789" s="2" t="str">
        <f>IFERROR(__xludf.DUMMYFUNCTION("GOOGLETRANSLATE(A10789, ""de"", ""en"")"),"break out")</f>
        <v>break out</v>
      </c>
    </row>
    <row r="10790">
      <c r="A10790" s="1" t="s">
        <v>10790</v>
      </c>
      <c r="B10790" s="2" t="str">
        <f>IFERROR(__xludf.DUMMYFUNCTION("GOOGLETRANSLATE(A10790, ""de"", ""en"")"),"sadness")</f>
        <v>sadness</v>
      </c>
    </row>
    <row r="10791">
      <c r="A10791" s="1" t="s">
        <v>10791</v>
      </c>
      <c r="B10791" s="2" t="str">
        <f>IFERROR(__xludf.DUMMYFUNCTION("GOOGLETRANSLATE(A10791, ""de"", ""en"")"),"ming")</f>
        <v>ming</v>
      </c>
    </row>
    <row r="10792">
      <c r="A10792" s="1" t="s">
        <v>10792</v>
      </c>
      <c r="B10792" s="2" t="str">
        <f>IFERROR(__xludf.DUMMYFUNCTION("GOOGLETRANSLATE(A10792, ""de"", ""en"")"),"dine")</f>
        <v>dine</v>
      </c>
    </row>
    <row r="10793">
      <c r="A10793" s="1" t="s">
        <v>10793</v>
      </c>
      <c r="B10793" s="2" t="str">
        <f>IFERROR(__xludf.DUMMYFUNCTION("GOOGLETRANSLATE(A10793, ""de"", ""en"")"),"expire")</f>
        <v>expire</v>
      </c>
    </row>
    <row r="10794">
      <c r="A10794" s="1" t="s">
        <v>10794</v>
      </c>
      <c r="B10794" s="2" t="str">
        <f>IFERROR(__xludf.DUMMYFUNCTION("GOOGLETRANSLATE(A10794, ""de"", ""en"")"),"grids")</f>
        <v>grids</v>
      </c>
    </row>
    <row r="10795">
      <c r="A10795" s="1" t="s">
        <v>10795</v>
      </c>
      <c r="B10795" s="2" t="str">
        <f>IFERROR(__xludf.DUMMYFUNCTION("GOOGLETRANSLATE(A10795, ""de"", ""en"")"),"marks")</f>
        <v>marks</v>
      </c>
    </row>
    <row r="10796">
      <c r="A10796" s="1" t="s">
        <v>10796</v>
      </c>
      <c r="B10796" s="2" t="str">
        <f>IFERROR(__xludf.DUMMYFUNCTION("GOOGLETRANSLATE(A10796, ""de"", ""en"")"),"madhouse")</f>
        <v>madhouse</v>
      </c>
    </row>
    <row r="10797">
      <c r="A10797" s="1" t="s">
        <v>10797</v>
      </c>
      <c r="B10797" s="2" t="str">
        <f>IFERROR(__xludf.DUMMYFUNCTION("GOOGLETRANSLATE(A10797, ""de"", ""en"")"),"dance")</f>
        <v>dance</v>
      </c>
    </row>
    <row r="10798">
      <c r="A10798" s="1" t="s">
        <v>10798</v>
      </c>
      <c r="B10798" s="2" t="str">
        <f>IFERROR(__xludf.DUMMYFUNCTION("GOOGLETRANSLATE(A10798, ""de"", ""en"")"),"accountability")</f>
        <v>accountability</v>
      </c>
    </row>
    <row r="10799">
      <c r="A10799" s="1" t="s">
        <v>10799</v>
      </c>
      <c r="B10799" s="2" t="str">
        <f>IFERROR(__xludf.DUMMYFUNCTION("GOOGLETRANSLATE(A10799, ""de"", ""en"")"),"bare")</f>
        <v>bare</v>
      </c>
    </row>
    <row r="10800">
      <c r="A10800" s="1" t="s">
        <v>10800</v>
      </c>
      <c r="B10800" s="2" t="str">
        <f>IFERROR(__xludf.DUMMYFUNCTION("GOOGLETRANSLATE(A10800, ""de"", ""en"")"),"swears")</f>
        <v>swears</v>
      </c>
    </row>
    <row r="10801">
      <c r="A10801" s="1" t="s">
        <v>10801</v>
      </c>
      <c r="B10801" s="2" t="str">
        <f>IFERROR(__xludf.DUMMYFUNCTION("GOOGLETRANSLATE(A10801, ""de"", ""en"")"),"gives")</f>
        <v>gives</v>
      </c>
    </row>
    <row r="10802">
      <c r="A10802" s="1" t="s">
        <v>10802</v>
      </c>
      <c r="B10802" s="2" t="str">
        <f>IFERROR(__xludf.DUMMYFUNCTION("GOOGLETRANSLATE(A10802, ""de"", ""en"")"),"Henrik")</f>
        <v>Henrik</v>
      </c>
    </row>
    <row r="10803">
      <c r="A10803" s="1" t="s">
        <v>10803</v>
      </c>
      <c r="B10803" s="2" t="str">
        <f>IFERROR(__xludf.DUMMYFUNCTION("GOOGLETRANSLATE(A10803, ""de"", ""en"")"),"canyon")</f>
        <v>canyon</v>
      </c>
    </row>
    <row r="10804">
      <c r="A10804" s="1" t="s">
        <v>10804</v>
      </c>
      <c r="B10804" s="2" t="str">
        <f>IFERROR(__xludf.DUMMYFUNCTION("GOOGLETRANSLATE(A10804, ""de"", ""en"")"),"chew")</f>
        <v>chew</v>
      </c>
    </row>
    <row r="10805">
      <c r="A10805" s="1" t="s">
        <v>10805</v>
      </c>
      <c r="B10805" s="2" t="str">
        <f>IFERROR(__xludf.DUMMYFUNCTION("GOOGLETRANSLATE(A10805, ""de"", ""en"")"),"five")</f>
        <v>five</v>
      </c>
    </row>
    <row r="10806">
      <c r="A10806" s="1" t="s">
        <v>10806</v>
      </c>
      <c r="B10806" s="2" t="str">
        <f>IFERROR(__xludf.DUMMYFUNCTION("GOOGLETRANSLATE(A10806, ""de"", ""en"")"),"awakening")</f>
        <v>awakening</v>
      </c>
    </row>
    <row r="10807">
      <c r="A10807" s="1" t="s">
        <v>10807</v>
      </c>
      <c r="B10807" s="2" t="str">
        <f>IFERROR(__xludf.DUMMYFUNCTION("GOOGLETRANSLATE(A10807, ""de"", ""en"")"),"light")</f>
        <v>light</v>
      </c>
    </row>
    <row r="10808">
      <c r="A10808" s="1" t="s">
        <v>10808</v>
      </c>
      <c r="B10808" s="2" t="str">
        <f>IFERROR(__xludf.DUMMYFUNCTION("GOOGLETRANSLATE(A10808, ""de"", ""en"")"),"clan")</f>
        <v>clan</v>
      </c>
    </row>
    <row r="10809">
      <c r="A10809" s="1" t="s">
        <v>10809</v>
      </c>
      <c r="B10809" s="2" t="str">
        <f>IFERROR(__xludf.DUMMYFUNCTION("GOOGLETRANSLATE(A10809, ""de"", ""en"")"),"calculate")</f>
        <v>calculate</v>
      </c>
    </row>
    <row r="10810">
      <c r="A10810" s="1" t="s">
        <v>10810</v>
      </c>
      <c r="B10810" s="2" t="str">
        <f>IFERROR(__xludf.DUMMYFUNCTION("GOOGLETRANSLATE(A10810, ""de"", ""en"")"),"undisturbed")</f>
        <v>undisturbed</v>
      </c>
    </row>
    <row r="10811">
      <c r="A10811" s="1" t="s">
        <v>10811</v>
      </c>
      <c r="B10811" s="2" t="str">
        <f>IFERROR(__xludf.DUMMYFUNCTION("GOOGLETRANSLATE(A10811, ""de"", ""en"")"),"stationed")</f>
        <v>stationed</v>
      </c>
    </row>
    <row r="10812">
      <c r="A10812" s="1" t="s">
        <v>10812</v>
      </c>
      <c r="B10812" s="2" t="str">
        <f>IFERROR(__xludf.DUMMYFUNCTION("GOOGLETRANSLATE(A10812, ""de"", ""en"")"),"pack")</f>
        <v>pack</v>
      </c>
    </row>
    <row r="10813">
      <c r="A10813" s="1" t="s">
        <v>10813</v>
      </c>
      <c r="B10813" s="2" t="str">
        <f>IFERROR(__xludf.DUMMYFUNCTION("GOOGLETRANSLATE(A10813, ""de"", ""en"")"),"habit")</f>
        <v>habit</v>
      </c>
    </row>
    <row r="10814">
      <c r="A10814" s="1" t="s">
        <v>10814</v>
      </c>
      <c r="B10814" s="2" t="str">
        <f>IFERROR(__xludf.DUMMYFUNCTION("GOOGLETRANSLATE(A10814, ""de"", ""en"")"),"lyle")</f>
        <v>lyle</v>
      </c>
    </row>
    <row r="10815">
      <c r="A10815" s="1" t="s">
        <v>10815</v>
      </c>
      <c r="B10815" s="2" t="str">
        <f>IFERROR(__xludf.DUMMYFUNCTION("GOOGLETRANSLATE(A10815, ""de"", ""en"")"),"sunlight")</f>
        <v>sunlight</v>
      </c>
    </row>
    <row r="10816">
      <c r="A10816" s="1" t="s">
        <v>10816</v>
      </c>
      <c r="B10816" s="2" t="str">
        <f>IFERROR(__xludf.DUMMYFUNCTION("GOOGLETRANSLATE(A10816, ""de"", ""en"")"),"threw")</f>
        <v>threw</v>
      </c>
    </row>
    <row r="10817">
      <c r="A10817" s="1" t="s">
        <v>10817</v>
      </c>
      <c r="B10817" s="2" t="str">
        <f>IFERROR(__xludf.DUMMYFUNCTION("GOOGLETRANSLATE(A10817, ""de"", ""en"")"),"loan")</f>
        <v>loan</v>
      </c>
    </row>
    <row r="10818">
      <c r="A10818" s="1" t="s">
        <v>10818</v>
      </c>
      <c r="B10818" s="2" t="str">
        <f>IFERROR(__xludf.DUMMYFUNCTION("GOOGLETRANSLATE(A10818, ""de"", ""en"")"),"separates")</f>
        <v>separates</v>
      </c>
    </row>
    <row r="10819">
      <c r="A10819" s="1" t="s">
        <v>10819</v>
      </c>
      <c r="B10819" s="2" t="str">
        <f>IFERROR(__xludf.DUMMYFUNCTION("GOOGLETRANSLATE(A10819, ""de"", ""en"")"),"Josie")</f>
        <v>Josie</v>
      </c>
    </row>
    <row r="10820">
      <c r="A10820" s="1" t="s">
        <v>10820</v>
      </c>
      <c r="B10820" s="2" t="str">
        <f>IFERROR(__xludf.DUMMYFUNCTION("GOOGLETRANSLATE(A10820, ""de"", ""en"")"),"voted")</f>
        <v>voted</v>
      </c>
    </row>
    <row r="10821">
      <c r="A10821" s="1" t="s">
        <v>10821</v>
      </c>
      <c r="B10821" s="2" t="str">
        <f>IFERROR(__xludf.DUMMYFUNCTION("GOOGLETRANSLATE(A10821, ""de"", ""en"")"),"standard")</f>
        <v>standard</v>
      </c>
    </row>
    <row r="10822">
      <c r="A10822" s="1" t="s">
        <v>10822</v>
      </c>
      <c r="B10822" s="2" t="str">
        <f>IFERROR(__xludf.DUMMYFUNCTION("GOOGLETRANSLATE(A10822, ""de"", ""en"")"),"senator")</f>
        <v>senator</v>
      </c>
    </row>
    <row r="10823">
      <c r="A10823" s="1" t="s">
        <v>10823</v>
      </c>
      <c r="B10823" s="2" t="str">
        <f>IFERROR(__xludf.DUMMYFUNCTION("GOOGLETRANSLATE(A10823, ""de"", ""en"")"),"Beethoven")</f>
        <v>Beethoven</v>
      </c>
    </row>
    <row r="10824">
      <c r="A10824" s="1" t="s">
        <v>10824</v>
      </c>
      <c r="B10824" s="2" t="str">
        <f>IFERROR(__xludf.DUMMYFUNCTION("GOOGLETRANSLATE(A10824, ""de"", ""en"")"),"late morning")</f>
        <v>late morning</v>
      </c>
    </row>
    <row r="10825">
      <c r="A10825" s="1" t="s">
        <v>10825</v>
      </c>
      <c r="B10825" s="2" t="str">
        <f>IFERROR(__xludf.DUMMYFUNCTION("GOOGLETRANSLATE(A10825, ""de"", ""en"")"),"advises")</f>
        <v>advises</v>
      </c>
    </row>
    <row r="10826">
      <c r="A10826" s="1" t="s">
        <v>10826</v>
      </c>
      <c r="B10826" s="2" t="str">
        <f>IFERROR(__xludf.DUMMYFUNCTION("GOOGLETRANSLATE(A10826, ""de"", ""en"")"),"Johanna")</f>
        <v>Johanna</v>
      </c>
    </row>
    <row r="10827">
      <c r="A10827" s="1" t="s">
        <v>10827</v>
      </c>
      <c r="B10827" s="2" t="str">
        <f>IFERROR(__xludf.DUMMYFUNCTION("GOOGLETRANSLATE(A10827, ""de"", ""en"")"),"kidding")</f>
        <v>kidding</v>
      </c>
    </row>
    <row r="10828">
      <c r="A10828" s="1" t="s">
        <v>10828</v>
      </c>
      <c r="B10828" s="2" t="str">
        <f>IFERROR(__xludf.DUMMYFUNCTION("GOOGLETRANSLATE(A10828, ""de"", ""en"")"),"sushi")</f>
        <v>sushi</v>
      </c>
    </row>
    <row r="10829">
      <c r="A10829" s="1" t="s">
        <v>10829</v>
      </c>
      <c r="B10829" s="2" t="str">
        <f>IFERROR(__xludf.DUMMYFUNCTION("GOOGLETRANSLATE(A10829, ""de"", ""en"")"),"choose")</f>
        <v>choose</v>
      </c>
    </row>
    <row r="10830">
      <c r="A10830" s="1" t="s">
        <v>10830</v>
      </c>
      <c r="B10830" s="2" t="str">
        <f>IFERROR(__xludf.DUMMYFUNCTION("GOOGLETRANSLATE(A10830, ""de"", ""en"")"),"strike")</f>
        <v>strike</v>
      </c>
    </row>
    <row r="10831">
      <c r="A10831" s="1" t="s">
        <v>10831</v>
      </c>
      <c r="B10831" s="2" t="str">
        <f>IFERROR(__xludf.DUMMYFUNCTION("GOOGLETRANSLATE(A10831, ""de"", ""en"")"),"chatter")</f>
        <v>chatter</v>
      </c>
    </row>
    <row r="10832">
      <c r="A10832" s="1" t="s">
        <v>10832</v>
      </c>
      <c r="B10832" s="2" t="str">
        <f>IFERROR(__xludf.DUMMYFUNCTION("GOOGLETRANSLATE(A10832, ""de"", ""en"")"),"enormous")</f>
        <v>enormous</v>
      </c>
    </row>
    <row r="10833">
      <c r="A10833" s="1" t="s">
        <v>10833</v>
      </c>
      <c r="B10833" s="2" t="str">
        <f>IFERROR(__xludf.DUMMYFUNCTION("GOOGLETRANSLATE(A10833, ""de"", ""en"")"),"collect")</f>
        <v>collect</v>
      </c>
    </row>
    <row r="10834">
      <c r="A10834" s="1" t="s">
        <v>10834</v>
      </c>
      <c r="B10834" s="2" t="str">
        <f>IFERROR(__xludf.DUMMYFUNCTION("GOOGLETRANSLATE(A10834, ""de"", ""en"")"),"bee")</f>
        <v>bee</v>
      </c>
    </row>
    <row r="10835">
      <c r="A10835" s="1" t="s">
        <v>10835</v>
      </c>
      <c r="B10835" s="2" t="str">
        <f>IFERROR(__xludf.DUMMYFUNCTION("GOOGLETRANSLATE(A10835, ""de"", ""en"")"),"performs")</f>
        <v>performs</v>
      </c>
    </row>
    <row r="10836">
      <c r="A10836" s="1" t="s">
        <v>10836</v>
      </c>
      <c r="B10836" s="2" t="str">
        <f>IFERROR(__xludf.DUMMYFUNCTION("GOOGLETRANSLATE(A10836, ""de"", ""en"")"),"dead")</f>
        <v>dead</v>
      </c>
    </row>
    <row r="10837">
      <c r="A10837" s="1" t="s">
        <v>10837</v>
      </c>
      <c r="B10837" s="2" t="str">
        <f>IFERROR(__xludf.DUMMYFUNCTION("GOOGLETRANSLATE(A10837, ""de"", ""en"")"),"you answer")</f>
        <v>you answer</v>
      </c>
    </row>
    <row r="10838">
      <c r="A10838" s="1" t="s">
        <v>10838</v>
      </c>
      <c r="B10838" s="2" t="str">
        <f>IFERROR(__xludf.DUMMYFUNCTION("GOOGLETRANSLATE(A10838, ""de"", ""en"")"),"third")</f>
        <v>third</v>
      </c>
    </row>
    <row r="10839">
      <c r="A10839" s="1" t="s">
        <v>10839</v>
      </c>
      <c r="B10839" s="2" t="str">
        <f>IFERROR(__xludf.DUMMYFUNCTION("GOOGLETRANSLATE(A10839, ""de"", ""en"")"),"candy")</f>
        <v>candy</v>
      </c>
    </row>
    <row r="10840">
      <c r="A10840" s="1" t="s">
        <v>10840</v>
      </c>
      <c r="B10840" s="2" t="str">
        <f>IFERROR(__xludf.DUMMYFUNCTION("GOOGLETRANSLATE(A10840, ""de"", ""en"")"),"tormented")</f>
        <v>tormented</v>
      </c>
    </row>
    <row r="10841">
      <c r="A10841" s="1" t="s">
        <v>10841</v>
      </c>
      <c r="B10841" s="2" t="str">
        <f>IFERROR(__xludf.DUMMYFUNCTION("GOOGLETRANSLATE(A10841, ""de"", ""en"")"),"sharpen")</f>
        <v>sharpen</v>
      </c>
    </row>
    <row r="10842">
      <c r="A10842" s="1" t="s">
        <v>10842</v>
      </c>
      <c r="B10842" s="2" t="str">
        <f>IFERROR(__xludf.DUMMYFUNCTION("GOOGLETRANSLATE(A10842, ""de"", ""en"")"),"fix")</f>
        <v>fix</v>
      </c>
    </row>
    <row r="10843">
      <c r="A10843" s="1" t="s">
        <v>10843</v>
      </c>
      <c r="B10843" s="2" t="str">
        <f>IFERROR(__xludf.DUMMYFUNCTION("GOOGLETRANSLATE(A10843, ""de"", ""en"")"),"decision")</f>
        <v>decision</v>
      </c>
    </row>
    <row r="10844">
      <c r="A10844" s="1" t="s">
        <v>10844</v>
      </c>
      <c r="B10844" s="2" t="str">
        <f>IFERROR(__xludf.DUMMYFUNCTION("GOOGLETRANSLATE(A10844, ""de"", ""en"")"),"branch")</f>
        <v>branch</v>
      </c>
    </row>
    <row r="10845">
      <c r="A10845" s="1" t="s">
        <v>10845</v>
      </c>
      <c r="B10845" s="2" t="str">
        <f>IFERROR(__xludf.DUMMYFUNCTION("GOOGLETRANSLATE(A10845, ""de"", ""en"")"),"come in")</f>
        <v>come in</v>
      </c>
    </row>
    <row r="10846">
      <c r="A10846" s="1" t="s">
        <v>10846</v>
      </c>
      <c r="B10846" s="2" t="str">
        <f>IFERROR(__xludf.DUMMYFUNCTION("GOOGLETRANSLATE(A10846, ""de"", ""en"")"),"frightened")</f>
        <v>frightened</v>
      </c>
    </row>
    <row r="10847">
      <c r="A10847" s="1" t="s">
        <v>10847</v>
      </c>
      <c r="B10847" s="2" t="str">
        <f>IFERROR(__xludf.DUMMYFUNCTION("GOOGLETRANSLATE(A10847, ""de"", ""en"")"),"away")</f>
        <v>away</v>
      </c>
    </row>
    <row r="10848">
      <c r="A10848" s="1" t="s">
        <v>10848</v>
      </c>
      <c r="B10848" s="2" t="str">
        <f>IFERROR(__xludf.DUMMYFUNCTION("GOOGLETRANSLATE(A10848, ""de"", ""en"")"),"press")</f>
        <v>press</v>
      </c>
    </row>
    <row r="10849">
      <c r="A10849" s="1" t="s">
        <v>10849</v>
      </c>
      <c r="B10849" s="2" t="str">
        <f>IFERROR(__xludf.DUMMYFUNCTION("GOOGLETRANSLATE(A10849, ""de"", ""en"")"),"painkillers")</f>
        <v>painkillers</v>
      </c>
    </row>
    <row r="10850">
      <c r="A10850" s="1" t="s">
        <v>10850</v>
      </c>
      <c r="B10850" s="2" t="str">
        <f>IFERROR(__xludf.DUMMYFUNCTION("GOOGLETRANSLATE(A10850, ""de"", ""en"")"),"rag")</f>
        <v>rag</v>
      </c>
    </row>
    <row r="10851">
      <c r="A10851" s="1" t="s">
        <v>10851</v>
      </c>
      <c r="B10851" s="2" t="str">
        <f>IFERROR(__xludf.DUMMYFUNCTION("GOOGLETRANSLATE(A10851, ""de"", ""en"")"),"to bring back")</f>
        <v>to bring back</v>
      </c>
    </row>
    <row r="10852">
      <c r="A10852" s="1" t="s">
        <v>10852</v>
      </c>
      <c r="B10852" s="2" t="str">
        <f>IFERROR(__xludf.DUMMYFUNCTION("GOOGLETRANSLATE(A10852, ""de"", ""en"")"),"restlessness")</f>
        <v>restlessness</v>
      </c>
    </row>
    <row r="10853">
      <c r="A10853" s="1" t="s">
        <v>10853</v>
      </c>
      <c r="B10853" s="2" t="str">
        <f>IFERROR(__xludf.DUMMYFUNCTION("GOOGLETRANSLATE(A10853, ""de"", ""en"")"),"commanders")</f>
        <v>commanders</v>
      </c>
    </row>
    <row r="10854">
      <c r="A10854" s="1" t="s">
        <v>10854</v>
      </c>
      <c r="B10854" s="2" t="str">
        <f>IFERROR(__xludf.DUMMYFUNCTION("GOOGLETRANSLATE(A10854, ""de"", ""en"")"),"flying")</f>
        <v>flying</v>
      </c>
    </row>
    <row r="10855">
      <c r="A10855" s="1" t="s">
        <v>10855</v>
      </c>
      <c r="B10855" s="2" t="str">
        <f>IFERROR(__xludf.DUMMYFUNCTION("GOOGLETRANSLATE(A10855, ""de"", ""en"")"),"aria")</f>
        <v>aria</v>
      </c>
    </row>
    <row r="10856">
      <c r="A10856" s="1" t="s">
        <v>10856</v>
      </c>
      <c r="B10856" s="2" t="str">
        <f>IFERROR(__xludf.DUMMYFUNCTION("GOOGLETRANSLATE(A10856, ""de"", ""en"")"),"used")</f>
        <v>used</v>
      </c>
    </row>
    <row r="10857">
      <c r="A10857" s="1" t="s">
        <v>10857</v>
      </c>
      <c r="B10857" s="2" t="str">
        <f>IFERROR(__xludf.DUMMYFUNCTION("GOOGLETRANSLATE(A10857, ""de"", ""en"")"),"director")</f>
        <v>director</v>
      </c>
    </row>
    <row r="10858">
      <c r="A10858" s="1" t="s">
        <v>10858</v>
      </c>
      <c r="B10858" s="2" t="str">
        <f>IFERROR(__xludf.DUMMYFUNCTION("GOOGLETRANSLATE(A10858, ""de"", ""en"")"),"I-I")</f>
        <v>I-I</v>
      </c>
    </row>
    <row r="10859">
      <c r="A10859" s="1" t="s">
        <v>10859</v>
      </c>
      <c r="B10859" s="2" t="str">
        <f>IFERROR(__xludf.DUMMYFUNCTION("GOOGLETRANSLATE(A10859, ""de"", ""en"")"),"blow")</f>
        <v>blow</v>
      </c>
    </row>
    <row r="10860">
      <c r="A10860" s="1" t="s">
        <v>10860</v>
      </c>
      <c r="B10860" s="2" t="str">
        <f>IFERROR(__xludf.DUMMYFUNCTION("GOOGLETRANSLATE(A10860, ""de"", ""en"")"),"deceiving")</f>
        <v>deceiving</v>
      </c>
    </row>
    <row r="10861">
      <c r="A10861" s="1" t="s">
        <v>10861</v>
      </c>
      <c r="B10861" s="2" t="str">
        <f>IFERROR(__xludf.DUMMYFUNCTION("GOOGLETRANSLATE(A10861, ""de"", ""en"")"),"change")</f>
        <v>change</v>
      </c>
    </row>
    <row r="10862">
      <c r="A10862" s="1" t="s">
        <v>10862</v>
      </c>
      <c r="B10862" s="2" t="str">
        <f>IFERROR(__xludf.DUMMYFUNCTION("GOOGLETRANSLATE(A10862, ""de"", ""en"")"),"chow")</f>
        <v>chow</v>
      </c>
    </row>
    <row r="10863">
      <c r="A10863" s="1" t="s">
        <v>10863</v>
      </c>
      <c r="B10863" s="2" t="str">
        <f>IFERROR(__xludf.DUMMYFUNCTION("GOOGLETRANSLATE(A10863, ""de"", ""en"")"),"Gabrielle")</f>
        <v>Gabrielle</v>
      </c>
    </row>
    <row r="10864">
      <c r="A10864" s="1" t="s">
        <v>10864</v>
      </c>
      <c r="B10864" s="2" t="str">
        <f>IFERROR(__xludf.DUMMYFUNCTION("GOOGLETRANSLATE(A10864, ""de"", ""en"")"),"atomic bomb")</f>
        <v>atomic bomb</v>
      </c>
    </row>
    <row r="10865">
      <c r="A10865" s="1" t="s">
        <v>10865</v>
      </c>
      <c r="B10865" s="2" t="str">
        <f>IFERROR(__xludf.DUMMYFUNCTION("GOOGLETRANSLATE(A10865, ""de"", ""en"")"),"Turks")</f>
        <v>Turks</v>
      </c>
    </row>
    <row r="10866">
      <c r="A10866" s="1" t="s">
        <v>10866</v>
      </c>
      <c r="B10866" s="2" t="str">
        <f>IFERROR(__xludf.DUMMYFUNCTION("GOOGLETRANSLATE(A10866, ""de"", ""en"")"),"misunderstood")</f>
        <v>misunderstood</v>
      </c>
    </row>
    <row r="10867">
      <c r="A10867" s="1" t="s">
        <v>10867</v>
      </c>
      <c r="B10867" s="2" t="str">
        <f>IFERROR(__xludf.DUMMYFUNCTION("GOOGLETRANSLATE(A10867, ""de"", ""en"")"),"nels")</f>
        <v>nels</v>
      </c>
    </row>
    <row r="10868">
      <c r="A10868" s="1" t="s">
        <v>10868</v>
      </c>
      <c r="B10868" s="2" t="str">
        <f>IFERROR(__xludf.DUMMYFUNCTION("GOOGLETRANSLATE(A10868, ""de"", ""en"")"),"suppressed")</f>
        <v>suppressed</v>
      </c>
    </row>
    <row r="10869">
      <c r="A10869" s="1" t="s">
        <v>10869</v>
      </c>
      <c r="B10869" s="2" t="str">
        <f>IFERROR(__xludf.DUMMYFUNCTION("GOOGLETRANSLATE(A10869, ""de"", ""en"")"),"extent")</f>
        <v>extent</v>
      </c>
    </row>
    <row r="10870">
      <c r="A10870" s="1" t="s">
        <v>10870</v>
      </c>
      <c r="B10870" s="2" t="str">
        <f>IFERROR(__xludf.DUMMYFUNCTION("GOOGLETRANSLATE(A10870, ""de"", ""en"")"),"made")</f>
        <v>made</v>
      </c>
    </row>
    <row r="10871">
      <c r="A10871" s="1" t="s">
        <v>10871</v>
      </c>
      <c r="B10871" s="2" t="str">
        <f>IFERROR(__xludf.DUMMYFUNCTION("GOOGLETRANSLATE(A10871, ""de"", ""en"")"),"manuscript")</f>
        <v>manuscript</v>
      </c>
    </row>
    <row r="10872">
      <c r="A10872" s="1" t="s">
        <v>10872</v>
      </c>
      <c r="B10872" s="2" t="str">
        <f>IFERROR(__xludf.DUMMYFUNCTION("GOOGLETRANSLATE(A10872, ""de"", ""en"")"),"Annika")</f>
        <v>Annika</v>
      </c>
    </row>
    <row r="10873">
      <c r="A10873" s="1" t="s">
        <v>10873</v>
      </c>
      <c r="B10873" s="2" t="str">
        <f>IFERROR(__xludf.DUMMYFUNCTION("GOOGLETRANSLATE(A10873, ""de"", ""en"")"),"Hello there")</f>
        <v>Hello there</v>
      </c>
    </row>
    <row r="10874">
      <c r="A10874" s="1" t="s">
        <v>10874</v>
      </c>
      <c r="B10874" s="2" t="str">
        <f>IFERROR(__xludf.DUMMYFUNCTION("GOOGLETRANSLATE(A10874, ""de"", ""en"")"),"ct")</f>
        <v>ct</v>
      </c>
    </row>
    <row r="10875">
      <c r="A10875" s="1" t="s">
        <v>10875</v>
      </c>
      <c r="B10875" s="2" t="str">
        <f>IFERROR(__xludf.DUMMYFUNCTION("GOOGLETRANSLATE(A10875, ""de"", ""en"")"),"released")</f>
        <v>released</v>
      </c>
    </row>
    <row r="10876">
      <c r="A10876" s="1" t="s">
        <v>10876</v>
      </c>
      <c r="B10876" s="2" t="str">
        <f>IFERROR(__xludf.DUMMYFUNCTION("GOOGLETRANSLATE(A10876, ""de"", ""en"")"),"blood type")</f>
        <v>blood type</v>
      </c>
    </row>
    <row r="10877">
      <c r="A10877" s="1" t="s">
        <v>10877</v>
      </c>
      <c r="B10877" s="2" t="str">
        <f>IFERROR(__xludf.DUMMYFUNCTION("GOOGLETRANSLATE(A10877, ""de"", ""en"")"),"slept")</f>
        <v>slept</v>
      </c>
    </row>
    <row r="10878">
      <c r="A10878" s="1" t="s">
        <v>10878</v>
      </c>
      <c r="B10878" s="2" t="str">
        <f>IFERROR(__xludf.DUMMYFUNCTION("GOOGLETRANSLATE(A10878, ""de"", ""en"")"),"symbols")</f>
        <v>symbols</v>
      </c>
    </row>
    <row r="10879">
      <c r="A10879" s="1" t="s">
        <v>10879</v>
      </c>
      <c r="B10879" s="2" t="str">
        <f>IFERROR(__xludf.DUMMYFUNCTION("GOOGLETRANSLATE(A10879, ""de"", ""en"")"),"expressly")</f>
        <v>expressly</v>
      </c>
    </row>
    <row r="10880">
      <c r="A10880" s="1" t="s">
        <v>10880</v>
      </c>
      <c r="B10880" s="2" t="str">
        <f>IFERROR(__xludf.DUMMYFUNCTION("GOOGLETRANSLATE(A10880, ""de"", ""en"")"),"reduce")</f>
        <v>reduce</v>
      </c>
    </row>
    <row r="10881">
      <c r="A10881" s="1" t="s">
        <v>10881</v>
      </c>
      <c r="B10881" s="2" t="str">
        <f>IFERROR(__xludf.DUMMYFUNCTION("GOOGLETRANSLATE(A10881, ""de"", ""en"")"),"clumsy")</f>
        <v>clumsy</v>
      </c>
    </row>
    <row r="10882">
      <c r="A10882" s="1" t="s">
        <v>10882</v>
      </c>
      <c r="B10882" s="2" t="str">
        <f>IFERROR(__xludf.DUMMYFUNCTION("GOOGLETRANSLATE(A10882, ""de"", ""en"")"),"rent")</f>
        <v>rent</v>
      </c>
    </row>
    <row r="10883">
      <c r="A10883" s="1" t="s">
        <v>10883</v>
      </c>
      <c r="B10883" s="2" t="str">
        <f>IFERROR(__xludf.DUMMYFUNCTION("GOOGLETRANSLATE(A10883, ""de"", ""en"")"),"te")</f>
        <v>te</v>
      </c>
    </row>
    <row r="10884">
      <c r="A10884" s="1" t="s">
        <v>10884</v>
      </c>
      <c r="B10884" s="2" t="str">
        <f>IFERROR(__xludf.DUMMYFUNCTION("GOOGLETRANSLATE(A10884, ""de"", ""en"")"),"to teach")</f>
        <v>to teach</v>
      </c>
    </row>
    <row r="10885">
      <c r="A10885" s="1" t="s">
        <v>10885</v>
      </c>
      <c r="B10885" s="2" t="str">
        <f>IFERROR(__xludf.DUMMYFUNCTION("GOOGLETRANSLATE(A10885, ""de"", ""en"")"),"evade")</f>
        <v>evade</v>
      </c>
    </row>
    <row r="10886">
      <c r="A10886" s="1" t="s">
        <v>10886</v>
      </c>
      <c r="B10886" s="2" t="str">
        <f>IFERROR(__xludf.DUMMYFUNCTION("GOOGLETRANSLATE(A10886, ""de"", ""en"")"),"licks")</f>
        <v>licks</v>
      </c>
    </row>
    <row r="10887">
      <c r="A10887" s="1" t="s">
        <v>10887</v>
      </c>
      <c r="B10887" s="2" t="str">
        <f>IFERROR(__xludf.DUMMYFUNCTION("GOOGLETRANSLATE(A10887, ""de"", ""en"")"),"look at")</f>
        <v>look at</v>
      </c>
    </row>
    <row r="10888">
      <c r="A10888" s="1" t="s">
        <v>10888</v>
      </c>
      <c r="B10888" s="2" t="str">
        <f>IFERROR(__xludf.DUMMYFUNCTION("GOOGLETRANSLATE(A10888, ""de"", ""en"")"),"certainty")</f>
        <v>certainty</v>
      </c>
    </row>
    <row r="10889">
      <c r="A10889" s="1" t="s">
        <v>10889</v>
      </c>
      <c r="B10889" s="2" t="str">
        <f>IFERROR(__xludf.DUMMYFUNCTION("GOOGLETRANSLATE(A10889, ""de"", ""en"")"),"burns")</f>
        <v>burns</v>
      </c>
    </row>
    <row r="10890">
      <c r="A10890" s="1" t="s">
        <v>10890</v>
      </c>
      <c r="B10890" s="2" t="str">
        <f>IFERROR(__xludf.DUMMYFUNCTION("GOOGLETRANSLATE(A10890, ""de"", ""en"")"),"clarity")</f>
        <v>clarity</v>
      </c>
    </row>
    <row r="10891">
      <c r="A10891" s="1" t="s">
        <v>10891</v>
      </c>
      <c r="B10891" s="2" t="str">
        <f>IFERROR(__xludf.DUMMYFUNCTION("GOOGLETRANSLATE(A10891, ""de"", ""en"")"),"kick")</f>
        <v>kick</v>
      </c>
    </row>
    <row r="10892">
      <c r="A10892" s="1" t="s">
        <v>10892</v>
      </c>
      <c r="B10892" s="2" t="str">
        <f>IFERROR(__xludf.DUMMYFUNCTION("GOOGLETRANSLATE(A10892, ""de"", ""en"")"),"discussed")</f>
        <v>discussed</v>
      </c>
    </row>
    <row r="10893">
      <c r="A10893" s="1" t="s">
        <v>10893</v>
      </c>
      <c r="B10893" s="2" t="str">
        <f>IFERROR(__xludf.DUMMYFUNCTION("GOOGLETRANSLATE(A10893, ""de"", ""en"")"),"scratches")</f>
        <v>scratches</v>
      </c>
    </row>
    <row r="10894">
      <c r="A10894" s="1" t="s">
        <v>10894</v>
      </c>
      <c r="B10894" s="2" t="str">
        <f>IFERROR(__xludf.DUMMYFUNCTION("GOOGLETRANSLATE(A10894, ""de"", ""en"")"),"typical")</f>
        <v>typical</v>
      </c>
    </row>
    <row r="10895">
      <c r="A10895" s="1" t="s">
        <v>10895</v>
      </c>
      <c r="B10895" s="2" t="str">
        <f>IFERROR(__xludf.DUMMYFUNCTION("GOOGLETRANSLATE(A10895, ""de"", ""en"")"),"imprint")</f>
        <v>imprint</v>
      </c>
    </row>
    <row r="10896">
      <c r="A10896" s="1" t="s">
        <v>10896</v>
      </c>
      <c r="B10896" s="2" t="str">
        <f>IFERROR(__xludf.DUMMYFUNCTION("GOOGLETRANSLATE(A10896, ""de"", ""en"")"),"in a good mood")</f>
        <v>in a good mood</v>
      </c>
    </row>
    <row r="10897">
      <c r="A10897" s="1" t="s">
        <v>10897</v>
      </c>
      <c r="B10897" s="2" t="str">
        <f>IFERROR(__xludf.DUMMYFUNCTION("GOOGLETRANSLATE(A10897, ""de"", ""en"")"),"am")</f>
        <v>am</v>
      </c>
    </row>
    <row r="10898">
      <c r="A10898" s="1" t="s">
        <v>10898</v>
      </c>
      <c r="B10898" s="2" t="str">
        <f>IFERROR(__xludf.DUMMYFUNCTION("GOOGLETRANSLATE(A10898, ""de"", ""en"")"),"revenue")</f>
        <v>revenue</v>
      </c>
    </row>
    <row r="10899">
      <c r="A10899" s="1" t="s">
        <v>10899</v>
      </c>
      <c r="B10899" s="2" t="str">
        <f>IFERROR(__xludf.DUMMYFUNCTION("GOOGLETRANSLATE(A10899, ""de"", ""en"")"),"hawkins")</f>
        <v>hawkins</v>
      </c>
    </row>
    <row r="10900">
      <c r="A10900" s="1" t="s">
        <v>10900</v>
      </c>
      <c r="B10900" s="2" t="str">
        <f>IFERROR(__xludf.DUMMYFUNCTION("GOOGLETRANSLATE(A10900, ""de"", ""en"")"),"tell")</f>
        <v>tell</v>
      </c>
    </row>
    <row r="10901">
      <c r="A10901" s="1" t="s">
        <v>10901</v>
      </c>
      <c r="B10901" s="2" t="str">
        <f>IFERROR(__xludf.DUMMYFUNCTION("GOOGLETRANSLATE(A10901, ""de"", ""en"")"),"discovered")</f>
        <v>discovered</v>
      </c>
    </row>
    <row r="10902">
      <c r="A10902" s="1" t="s">
        <v>10902</v>
      </c>
      <c r="B10902" s="2" t="str">
        <f>IFERROR(__xludf.DUMMYFUNCTION("GOOGLETRANSLATE(A10902, ""de"", ""en"")"),"confident")</f>
        <v>confident</v>
      </c>
    </row>
    <row r="10903">
      <c r="A10903" s="1" t="s">
        <v>10903</v>
      </c>
      <c r="B10903" s="2" t="str">
        <f>IFERROR(__xludf.DUMMYFUNCTION("GOOGLETRANSLATE(A10903, ""de"", ""en"")"),"pump")</f>
        <v>pump</v>
      </c>
    </row>
    <row r="10904">
      <c r="A10904" s="1" t="s">
        <v>10904</v>
      </c>
      <c r="B10904" s="2" t="str">
        <f>IFERROR(__xludf.DUMMYFUNCTION("GOOGLETRANSLATE(A10904, ""de"", ""en"")"),"Powell")</f>
        <v>Powell</v>
      </c>
    </row>
    <row r="10905">
      <c r="A10905" s="1" t="s">
        <v>10905</v>
      </c>
      <c r="B10905" s="2" t="str">
        <f>IFERROR(__xludf.DUMMYFUNCTION("GOOGLETRANSLATE(A10905, ""de"", ""en"")"),"fatass")</f>
        <v>fatass</v>
      </c>
    </row>
    <row r="10906">
      <c r="A10906" s="1" t="s">
        <v>10906</v>
      </c>
      <c r="B10906" s="2" t="str">
        <f>IFERROR(__xludf.DUMMYFUNCTION("GOOGLETRANSLATE(A10906, ""de"", ""en"")"),"arrows")</f>
        <v>arrows</v>
      </c>
    </row>
    <row r="10907">
      <c r="A10907" s="1" t="s">
        <v>10907</v>
      </c>
      <c r="B10907" s="2" t="str">
        <f>IFERROR(__xludf.DUMMYFUNCTION("GOOGLETRANSLATE(A10907, ""de"", ""en"")"),"willing")</f>
        <v>willing</v>
      </c>
    </row>
    <row r="10908">
      <c r="A10908" s="1" t="s">
        <v>10908</v>
      </c>
      <c r="B10908" s="2" t="str">
        <f>IFERROR(__xludf.DUMMYFUNCTION("GOOGLETRANSLATE(A10908, ""de"", ""en"")"),"stinks")</f>
        <v>stinks</v>
      </c>
    </row>
    <row r="10909">
      <c r="A10909" s="1" t="s">
        <v>10909</v>
      </c>
      <c r="B10909" s="2" t="str">
        <f>IFERROR(__xludf.DUMMYFUNCTION("GOOGLETRANSLATE(A10909, ""de"", ""en"")"),"forms of life")</f>
        <v>forms of life</v>
      </c>
    </row>
    <row r="10910">
      <c r="A10910" s="1" t="s">
        <v>10910</v>
      </c>
      <c r="B10910" s="2" t="str">
        <f>IFERROR(__xludf.DUMMYFUNCTION("GOOGLETRANSLATE(A10910, ""de"", ""en"")"),"still")</f>
        <v>still</v>
      </c>
    </row>
    <row r="10911">
      <c r="A10911" s="1" t="s">
        <v>10911</v>
      </c>
      <c r="B10911" s="2" t="str">
        <f>IFERROR(__xludf.DUMMYFUNCTION("GOOGLETRANSLATE(A10911, ""de"", ""en"")"),"cage")</f>
        <v>cage</v>
      </c>
    </row>
    <row r="10912">
      <c r="A10912" s="1" t="s">
        <v>10912</v>
      </c>
      <c r="B10912" s="2" t="str">
        <f>IFERROR(__xludf.DUMMYFUNCTION("GOOGLETRANSLATE(A10912, ""de"", ""en"")"),"get drunk")</f>
        <v>get drunk</v>
      </c>
    </row>
    <row r="10913">
      <c r="A10913" s="1" t="s">
        <v>10913</v>
      </c>
      <c r="B10913" s="2" t="str">
        <f>IFERROR(__xludf.DUMMYFUNCTION("GOOGLETRANSLATE(A10913, ""de"", ""en"")"),"chug")</f>
        <v>chug</v>
      </c>
    </row>
    <row r="10914">
      <c r="A10914" s="1" t="s">
        <v>10914</v>
      </c>
      <c r="B10914" s="2" t="str">
        <f>IFERROR(__xludf.DUMMYFUNCTION("GOOGLETRANSLATE(A10914, ""de"", ""en"")"),"town")</f>
        <v>town</v>
      </c>
    </row>
    <row r="10915">
      <c r="A10915" s="1" t="s">
        <v>10915</v>
      </c>
      <c r="B10915" s="2" t="str">
        <f>IFERROR(__xludf.DUMMYFUNCTION("GOOGLETRANSLATE(A10915, ""de"", ""en"")"),"Carolyn")</f>
        <v>Carolyn</v>
      </c>
    </row>
    <row r="10916">
      <c r="A10916" s="1" t="s">
        <v>10916</v>
      </c>
      <c r="B10916" s="2" t="str">
        <f>IFERROR(__xludf.DUMMYFUNCTION("GOOGLETRANSLATE(A10916, ""de"", ""en"")"),"tough")</f>
        <v>tough</v>
      </c>
    </row>
    <row r="10917">
      <c r="A10917" s="1" t="s">
        <v>10917</v>
      </c>
      <c r="B10917" s="2" t="str">
        <f>IFERROR(__xludf.DUMMYFUNCTION("GOOGLETRANSLATE(A10917, ""de"", ""en"")"),"liu")</f>
        <v>liu</v>
      </c>
    </row>
    <row r="10918">
      <c r="A10918" s="1" t="s">
        <v>10918</v>
      </c>
      <c r="B10918" s="2" t="str">
        <f>IFERROR(__xludf.DUMMYFUNCTION("GOOGLETRANSLATE(A10918, ""de"", ""en"")"),"exit")</f>
        <v>exit</v>
      </c>
    </row>
    <row r="10919">
      <c r="A10919" s="1" t="s">
        <v>10919</v>
      </c>
      <c r="B10919" s="2" t="str">
        <f>IFERROR(__xludf.DUMMYFUNCTION("GOOGLETRANSLATE(A10919, ""de"", ""en"")"),"to express")</f>
        <v>to express</v>
      </c>
    </row>
    <row r="10920">
      <c r="A10920" s="1" t="s">
        <v>10920</v>
      </c>
      <c r="B10920" s="2" t="str">
        <f>IFERROR(__xludf.DUMMYFUNCTION("GOOGLETRANSLATE(A10920, ""de"", ""en"")"),"floor")</f>
        <v>floor</v>
      </c>
    </row>
    <row r="10921">
      <c r="A10921" s="1" t="s">
        <v>10921</v>
      </c>
      <c r="B10921" s="2" t="str">
        <f>IFERROR(__xludf.DUMMYFUNCTION("GOOGLETRANSLATE(A10921, ""de"", ""en"")"),"meaner")</f>
        <v>meaner</v>
      </c>
    </row>
    <row r="10922">
      <c r="A10922" s="1" t="s">
        <v>10922</v>
      </c>
      <c r="B10922" s="2" t="str">
        <f>IFERROR(__xludf.DUMMYFUNCTION("GOOGLETRANSLATE(A10922, ""de"", ""en"")"),"harvest")</f>
        <v>harvest</v>
      </c>
    </row>
    <row r="10923">
      <c r="A10923" s="1" t="s">
        <v>10923</v>
      </c>
      <c r="B10923" s="2" t="str">
        <f>IFERROR(__xludf.DUMMYFUNCTION("GOOGLETRANSLATE(A10923, ""de"", ""en"")"),"able")</f>
        <v>able</v>
      </c>
    </row>
    <row r="10924">
      <c r="A10924" s="1" t="s">
        <v>10924</v>
      </c>
      <c r="B10924" s="2" t="str">
        <f>IFERROR(__xludf.DUMMYFUNCTION("GOOGLETRANSLATE(A10924, ""de"", ""en"")"),"takes place")</f>
        <v>takes place</v>
      </c>
    </row>
    <row r="10925">
      <c r="A10925" s="1" t="s">
        <v>10925</v>
      </c>
      <c r="B10925" s="2" t="str">
        <f>IFERROR(__xludf.DUMMYFUNCTION("GOOGLETRANSLATE(A10925, ""de"", ""en"")"),"truthfully")</f>
        <v>truthfully</v>
      </c>
    </row>
    <row r="10926">
      <c r="A10926" s="1" t="s">
        <v>10926</v>
      </c>
      <c r="B10926" s="2" t="str">
        <f>IFERROR(__xludf.DUMMYFUNCTION("GOOGLETRANSLATE(A10926, ""de"", ""en"")"),"obsession")</f>
        <v>obsession</v>
      </c>
    </row>
    <row r="10927">
      <c r="A10927" s="1" t="s">
        <v>10927</v>
      </c>
      <c r="B10927" s="2" t="str">
        <f>IFERROR(__xludf.DUMMYFUNCTION("GOOGLETRANSLATE(A10927, ""de"", ""en"")"),"ashamed")</f>
        <v>ashamed</v>
      </c>
    </row>
    <row r="10928">
      <c r="A10928" s="1" t="s">
        <v>10928</v>
      </c>
      <c r="B10928" s="2" t="str">
        <f>IFERROR(__xludf.DUMMYFUNCTION("GOOGLETRANSLATE(A10928, ""de"", ""en"")"),"returned")</f>
        <v>returned</v>
      </c>
    </row>
    <row r="10929">
      <c r="A10929" s="1" t="s">
        <v>10929</v>
      </c>
      <c r="B10929" s="2" t="str">
        <f>IFERROR(__xludf.DUMMYFUNCTION("GOOGLETRANSLATE(A10929, ""de"", ""en"")"),"lance")</f>
        <v>lance</v>
      </c>
    </row>
    <row r="10930">
      <c r="A10930" s="1" t="s">
        <v>10930</v>
      </c>
      <c r="B10930" s="2" t="str">
        <f>IFERROR(__xludf.DUMMYFUNCTION("GOOGLETRANSLATE(A10930, ""de"", ""en"")"),"facilitate")</f>
        <v>facilitate</v>
      </c>
    </row>
    <row r="10931">
      <c r="A10931" s="1" t="s">
        <v>10931</v>
      </c>
      <c r="B10931" s="2" t="str">
        <f>IFERROR(__xludf.DUMMYFUNCTION("GOOGLETRANSLATE(A10931, ""de"", ""en"")"),"springs")</f>
        <v>springs</v>
      </c>
    </row>
    <row r="10932">
      <c r="A10932" s="1" t="s">
        <v>10932</v>
      </c>
      <c r="B10932" s="2" t="str">
        <f>IFERROR(__xludf.DUMMYFUNCTION("GOOGLETRANSLATE(A10932, ""de"", ""en"")"),"stepmother")</f>
        <v>stepmother</v>
      </c>
    </row>
    <row r="10933">
      <c r="A10933" s="1" t="s">
        <v>10933</v>
      </c>
      <c r="B10933" s="2" t="str">
        <f>IFERROR(__xludf.DUMMYFUNCTION("GOOGLETRANSLATE(A10933, ""de"", ""en"")"),"association")</f>
        <v>association</v>
      </c>
    </row>
    <row r="10934">
      <c r="A10934" s="1" t="s">
        <v>10934</v>
      </c>
      <c r="B10934" s="2" t="str">
        <f>IFERROR(__xludf.DUMMYFUNCTION("GOOGLETRANSLATE(A10934, ""de"", ""en"")"),"yakuza")</f>
        <v>yakuza</v>
      </c>
    </row>
    <row r="10935">
      <c r="A10935" s="1" t="s">
        <v>10935</v>
      </c>
      <c r="B10935" s="2" t="str">
        <f>IFERROR(__xludf.DUMMYFUNCTION("GOOGLETRANSLATE(A10935, ""de"", ""en"")"),"not even")</f>
        <v>not even</v>
      </c>
    </row>
    <row r="10936">
      <c r="A10936" s="1" t="s">
        <v>10936</v>
      </c>
      <c r="B10936" s="2" t="str">
        <f>IFERROR(__xludf.DUMMYFUNCTION("GOOGLETRANSLATE(A10936, ""de"", ""en"")"),"comics")</f>
        <v>comics</v>
      </c>
    </row>
    <row r="10937">
      <c r="A10937" s="1" t="s">
        <v>10937</v>
      </c>
      <c r="B10937" s="2" t="str">
        <f>IFERROR(__xludf.DUMMYFUNCTION("GOOGLETRANSLATE(A10937, ""de"", ""en"")"),"three")</f>
        <v>three</v>
      </c>
    </row>
    <row r="10938">
      <c r="A10938" s="1" t="s">
        <v>10938</v>
      </c>
      <c r="B10938" s="2" t="str">
        <f>IFERROR(__xludf.DUMMYFUNCTION("GOOGLETRANSLATE(A10938, ""de"", ""en"")"),"metaphor")</f>
        <v>metaphor</v>
      </c>
    </row>
    <row r="10939">
      <c r="A10939" s="1" t="s">
        <v>10939</v>
      </c>
      <c r="B10939" s="2" t="str">
        <f>IFERROR(__xludf.DUMMYFUNCTION("GOOGLETRANSLATE(A10939, ""de"", ""en"")"),"rises")</f>
        <v>rises</v>
      </c>
    </row>
    <row r="10940">
      <c r="A10940" s="1" t="s">
        <v>10940</v>
      </c>
      <c r="B10940" s="2" t="str">
        <f>IFERROR(__xludf.DUMMYFUNCTION("GOOGLETRANSLATE(A10940, ""de"", ""en"")"),"maximum")</f>
        <v>maximum</v>
      </c>
    </row>
    <row r="10941">
      <c r="A10941" s="1" t="s">
        <v>10941</v>
      </c>
      <c r="B10941" s="2" t="str">
        <f>IFERROR(__xludf.DUMMYFUNCTION("GOOGLETRANSLATE(A10941, ""de"", ""en"")"),"rigid")</f>
        <v>rigid</v>
      </c>
    </row>
    <row r="10942">
      <c r="A10942" s="1" t="s">
        <v>10942</v>
      </c>
      <c r="B10942" s="2" t="str">
        <f>IFERROR(__xludf.DUMMYFUNCTION("GOOGLETRANSLATE(A10942, ""de"", ""en"")"),"eat")</f>
        <v>eat</v>
      </c>
    </row>
    <row r="10943">
      <c r="A10943" s="1" t="s">
        <v>10943</v>
      </c>
      <c r="B10943" s="2" t="str">
        <f>IFERROR(__xludf.DUMMYFUNCTION("GOOGLETRANSLATE(A10943, ""de"", ""en"")"),"brain")</f>
        <v>brain</v>
      </c>
    </row>
    <row r="10944">
      <c r="A10944" s="1" t="s">
        <v>10944</v>
      </c>
      <c r="B10944" s="2" t="str">
        <f>IFERROR(__xludf.DUMMYFUNCTION("GOOGLETRANSLATE(A10944, ""de"", ""en"")"),"tear open")</f>
        <v>tear open</v>
      </c>
    </row>
    <row r="10945">
      <c r="A10945" s="1" t="s">
        <v>10945</v>
      </c>
      <c r="B10945" s="2" t="str">
        <f>IFERROR(__xludf.DUMMYFUNCTION("GOOGLETRANSLATE(A10945, ""de"", ""en"")"),"lost")</f>
        <v>lost</v>
      </c>
    </row>
    <row r="10946">
      <c r="A10946" s="1" t="s">
        <v>10946</v>
      </c>
      <c r="B10946" s="2" t="str">
        <f>IFERROR(__xludf.DUMMYFUNCTION("GOOGLETRANSLATE(A10946, ""de"", ""en"")"),"raid")</f>
        <v>raid</v>
      </c>
    </row>
    <row r="10947">
      <c r="A10947" s="1" t="s">
        <v>10947</v>
      </c>
      <c r="B10947" s="2" t="str">
        <f>IFERROR(__xludf.DUMMYFUNCTION("GOOGLETRANSLATE(A10947, ""de"", ""en"")"),"clairvoyant")</f>
        <v>clairvoyant</v>
      </c>
    </row>
    <row r="10948">
      <c r="A10948" s="1" t="s">
        <v>10948</v>
      </c>
      <c r="B10948" s="2" t="str">
        <f>IFERROR(__xludf.DUMMYFUNCTION("GOOGLETRANSLATE(A10948, ""de"", ""en"")"),"cleaning lady")</f>
        <v>cleaning lady</v>
      </c>
    </row>
    <row r="10949">
      <c r="A10949" s="1" t="s">
        <v>10949</v>
      </c>
      <c r="B10949" s="2" t="str">
        <f>IFERROR(__xludf.DUMMYFUNCTION("GOOGLETRANSLATE(A10949, ""de"", ""en"")"),"prosperity")</f>
        <v>prosperity</v>
      </c>
    </row>
    <row r="10950">
      <c r="A10950" s="1" t="s">
        <v>10950</v>
      </c>
      <c r="B10950" s="2" t="str">
        <f>IFERROR(__xludf.DUMMYFUNCTION("GOOGLETRANSLATE(A10950, ""de"", ""en"")"),"beatrice")</f>
        <v>beatrice</v>
      </c>
    </row>
    <row r="10951">
      <c r="A10951" s="1" t="s">
        <v>10951</v>
      </c>
      <c r="B10951" s="2" t="str">
        <f>IFERROR(__xludf.DUMMYFUNCTION("GOOGLETRANSLATE(A10951, ""de"", ""en"")"),"Alberto")</f>
        <v>Alberto</v>
      </c>
    </row>
    <row r="10952">
      <c r="A10952" s="1" t="s">
        <v>10952</v>
      </c>
      <c r="B10952" s="2" t="str">
        <f>IFERROR(__xludf.DUMMYFUNCTION("GOOGLETRANSLATE(A10952, ""de"", ""en"")"),"fetched")</f>
        <v>fetched</v>
      </c>
    </row>
    <row r="10953">
      <c r="A10953" s="1" t="s">
        <v>10953</v>
      </c>
      <c r="B10953" s="2" t="str">
        <f>IFERROR(__xludf.DUMMYFUNCTION("GOOGLETRANSLATE(A10953, ""de"", ""en"")"),"peaks")</f>
        <v>peaks</v>
      </c>
    </row>
    <row r="10954">
      <c r="A10954" s="1" t="s">
        <v>10954</v>
      </c>
      <c r="B10954" s="2" t="str">
        <f>IFERROR(__xludf.DUMMYFUNCTION("GOOGLETRANSLATE(A10954, ""de"", ""en"")"),"rumble")</f>
        <v>rumble</v>
      </c>
    </row>
    <row r="10955">
      <c r="A10955" s="1" t="s">
        <v>10955</v>
      </c>
      <c r="B10955" s="2" t="str">
        <f>IFERROR(__xludf.DUMMYFUNCTION("GOOGLETRANSLATE(A10955, ""de"", ""en"")"),"delight")</f>
        <v>delight</v>
      </c>
    </row>
    <row r="10956">
      <c r="A10956" s="1" t="s">
        <v>10956</v>
      </c>
      <c r="B10956" s="2" t="str">
        <f>IFERROR(__xludf.DUMMYFUNCTION("GOOGLETRANSLATE(A10956, ""de"", ""en"")"),"daryl")</f>
        <v>daryl</v>
      </c>
    </row>
    <row r="10957">
      <c r="A10957" s="1" t="s">
        <v>10957</v>
      </c>
      <c r="B10957" s="2" t="str">
        <f>IFERROR(__xludf.DUMMYFUNCTION("GOOGLETRANSLATE(A10957, ""de"", ""en"")"),"lunch")</f>
        <v>lunch</v>
      </c>
    </row>
    <row r="10958">
      <c r="A10958" s="1" t="s">
        <v>10958</v>
      </c>
      <c r="B10958" s="2" t="str">
        <f>IFERROR(__xludf.DUMMYFUNCTION("GOOGLETRANSLATE(A10958, ""de"", ""en"")"),"tattoos")</f>
        <v>tattoos</v>
      </c>
    </row>
    <row r="10959">
      <c r="A10959" s="1" t="s">
        <v>10959</v>
      </c>
      <c r="B10959" s="2" t="str">
        <f>IFERROR(__xludf.DUMMYFUNCTION("GOOGLETRANSLATE(A10959, ""de"", ""en"")"),"brothel")</f>
        <v>brothel</v>
      </c>
    </row>
    <row r="10960">
      <c r="A10960" s="1" t="s">
        <v>10960</v>
      </c>
      <c r="B10960" s="2" t="str">
        <f>IFERROR(__xludf.DUMMYFUNCTION("GOOGLETRANSLATE(A10960, ""de"", ""en"")"),"suppress")</f>
        <v>suppress</v>
      </c>
    </row>
    <row r="10961">
      <c r="A10961" s="1" t="s">
        <v>10961</v>
      </c>
      <c r="B10961" s="2" t="str">
        <f>IFERROR(__xludf.DUMMYFUNCTION("GOOGLETRANSLATE(A10961, ""de"", ""en"")"),"Connecticut")</f>
        <v>Connecticut</v>
      </c>
    </row>
    <row r="10962">
      <c r="A10962" s="1" t="s">
        <v>10962</v>
      </c>
      <c r="B10962" s="2" t="str">
        <f>IFERROR(__xludf.DUMMYFUNCTION("GOOGLETRANSLATE(A10962, ""de"", ""en"")"),"please")</f>
        <v>please</v>
      </c>
    </row>
    <row r="10963">
      <c r="A10963" s="1" t="s">
        <v>10963</v>
      </c>
      <c r="B10963" s="2" t="str">
        <f>IFERROR(__xludf.DUMMYFUNCTION("GOOGLETRANSLATE(A10963, ""de"", ""en"")"),"crime")</f>
        <v>crime</v>
      </c>
    </row>
    <row r="10964">
      <c r="A10964" s="1" t="s">
        <v>10964</v>
      </c>
      <c r="B10964" s="2" t="str">
        <f>IFERROR(__xludf.DUMMYFUNCTION("GOOGLETRANSLATE(A10964, ""de"", ""en"")"),"current")</f>
        <v>current</v>
      </c>
    </row>
    <row r="10965">
      <c r="A10965" s="1" t="s">
        <v>10965</v>
      </c>
      <c r="B10965" s="2" t="str">
        <f>IFERROR(__xludf.DUMMYFUNCTION("GOOGLETRANSLATE(A10965, ""de"", ""en"")"),"dolly")</f>
        <v>dolly</v>
      </c>
    </row>
    <row r="10966">
      <c r="A10966" s="1" t="s">
        <v>10966</v>
      </c>
      <c r="B10966" s="2" t="str">
        <f>IFERROR(__xludf.DUMMYFUNCTION("GOOGLETRANSLATE(A10966, ""de"", ""en"")"),"delighted")</f>
        <v>delighted</v>
      </c>
    </row>
    <row r="10967">
      <c r="A10967" s="1" t="s">
        <v>10967</v>
      </c>
      <c r="B10967" s="2" t="str">
        <f>IFERROR(__xludf.DUMMYFUNCTION("GOOGLETRANSLATE(A10967, ""de"", ""en"")"),"interruption")</f>
        <v>interruption</v>
      </c>
    </row>
    <row r="10968">
      <c r="A10968" s="1" t="s">
        <v>10968</v>
      </c>
      <c r="B10968" s="2" t="str">
        <f>IFERROR(__xludf.DUMMYFUNCTION("GOOGLETRANSLATE(A10968, ""de"", ""en"")"),"knox")</f>
        <v>knox</v>
      </c>
    </row>
    <row r="10969">
      <c r="A10969" s="1" t="s">
        <v>10969</v>
      </c>
      <c r="B10969" s="2" t="str">
        <f>IFERROR(__xludf.DUMMYFUNCTION("GOOGLETRANSLATE(A10969, ""de"", ""en"")"),"cook")</f>
        <v>cook</v>
      </c>
    </row>
    <row r="10970">
      <c r="A10970" s="1" t="s">
        <v>10970</v>
      </c>
      <c r="B10970" s="2" t="str">
        <f>IFERROR(__xludf.DUMMYFUNCTION("GOOGLETRANSLATE(A10970, ""de"", ""en"")"),"slammed")</f>
        <v>slammed</v>
      </c>
    </row>
    <row r="10971">
      <c r="A10971" s="1" t="s">
        <v>10971</v>
      </c>
      <c r="B10971" s="2" t="str">
        <f>IFERROR(__xludf.DUMMYFUNCTION("GOOGLETRANSLATE(A10971, ""de"", ""en"")"),"students")</f>
        <v>students</v>
      </c>
    </row>
    <row r="10972">
      <c r="A10972" s="1" t="s">
        <v>10972</v>
      </c>
      <c r="B10972" s="2" t="str">
        <f>IFERROR(__xludf.DUMMYFUNCTION("GOOGLETRANSLATE(A10972, ""de"", ""en"")"),"darren")</f>
        <v>darren</v>
      </c>
    </row>
    <row r="10973">
      <c r="A10973" s="1" t="s">
        <v>10973</v>
      </c>
      <c r="B10973" s="2" t="str">
        <f>IFERROR(__xludf.DUMMYFUNCTION("GOOGLETRANSLATE(A10973, ""de"", ""en"")"),"ethel")</f>
        <v>ethel</v>
      </c>
    </row>
    <row r="10974">
      <c r="A10974" s="1" t="s">
        <v>10974</v>
      </c>
      <c r="B10974" s="2" t="str">
        <f>IFERROR(__xludf.DUMMYFUNCTION("GOOGLETRANSLATE(A10974, ""de"", ""en"")"),"use")</f>
        <v>use</v>
      </c>
    </row>
    <row r="10975">
      <c r="A10975" s="1" t="s">
        <v>10975</v>
      </c>
      <c r="B10975" s="2" t="str">
        <f>IFERROR(__xludf.DUMMYFUNCTION("GOOGLETRANSLATE(A10975, ""de"", ""en"")"),"defended")</f>
        <v>defended</v>
      </c>
    </row>
    <row r="10976">
      <c r="A10976" s="1" t="s">
        <v>10976</v>
      </c>
      <c r="B10976" s="2" t="str">
        <f>IFERROR(__xludf.DUMMYFUNCTION("GOOGLETRANSLATE(A10976, ""de"", ""en"")"),"base")</f>
        <v>base</v>
      </c>
    </row>
    <row r="10977">
      <c r="A10977" s="1" t="s">
        <v>10977</v>
      </c>
      <c r="B10977" s="2" t="str">
        <f>IFERROR(__xludf.DUMMYFUNCTION("GOOGLETRANSLATE(A10977, ""de"", ""en"")"),"space")</f>
        <v>space</v>
      </c>
    </row>
    <row r="10978">
      <c r="A10978" s="1" t="s">
        <v>10978</v>
      </c>
      <c r="B10978" s="2" t="str">
        <f>IFERROR(__xludf.DUMMYFUNCTION("GOOGLETRANSLATE(A10978, ""de"", ""en"")"),"brains")</f>
        <v>brains</v>
      </c>
    </row>
    <row r="10979">
      <c r="A10979" s="1" t="s">
        <v>10979</v>
      </c>
      <c r="B10979" s="2" t="str">
        <f>IFERROR(__xludf.DUMMYFUNCTION("GOOGLETRANSLATE(A10979, ""de"", ""en"")"),"calm")</f>
        <v>calm</v>
      </c>
    </row>
    <row r="10980">
      <c r="A10980" s="1" t="s">
        <v>10980</v>
      </c>
      <c r="B10980" s="2" t="str">
        <f>IFERROR(__xludf.DUMMYFUNCTION("GOOGLETRANSLATE(A10980, ""de"", ""en"")"),"wake up")</f>
        <v>wake up</v>
      </c>
    </row>
    <row r="10981">
      <c r="A10981" s="1" t="s">
        <v>10981</v>
      </c>
      <c r="B10981" s="2" t="str">
        <f>IFERROR(__xludf.DUMMYFUNCTION("GOOGLETRANSLATE(A10981, ""de"", ""en"")"),"listens")</f>
        <v>listens</v>
      </c>
    </row>
    <row r="10982">
      <c r="A10982" s="1" t="s">
        <v>10982</v>
      </c>
      <c r="B10982" s="2" t="str">
        <f>IFERROR(__xludf.DUMMYFUNCTION("GOOGLETRANSLATE(A10982, ""de"", ""en"")"),"live together")</f>
        <v>live together</v>
      </c>
    </row>
    <row r="10983">
      <c r="A10983" s="1" t="s">
        <v>10983</v>
      </c>
      <c r="B10983" s="2" t="str">
        <f>IFERROR(__xludf.DUMMYFUNCTION("GOOGLETRANSLATE(A10983, ""de"", ""en"")"),"confused")</f>
        <v>confused</v>
      </c>
    </row>
    <row r="10984">
      <c r="A10984" s="1" t="s">
        <v>10984</v>
      </c>
      <c r="B10984" s="2" t="str">
        <f>IFERROR(__xludf.DUMMYFUNCTION("GOOGLETRANSLATE(A10984, ""de"", ""en"")"),"O.")</f>
        <v>O.</v>
      </c>
    </row>
    <row r="10985">
      <c r="A10985" s="1" t="s">
        <v>10985</v>
      </c>
      <c r="B10985" s="2" t="str">
        <f>IFERROR(__xludf.DUMMYFUNCTION("GOOGLETRANSLATE(A10985, ""de"", ""en"")"),"flynn")</f>
        <v>flynn</v>
      </c>
    </row>
    <row r="10986">
      <c r="A10986" s="1" t="s">
        <v>10986</v>
      </c>
      <c r="B10986" s="2" t="str">
        <f>IFERROR(__xludf.DUMMYFUNCTION("GOOGLETRANSLATE(A10986, ""de"", ""en"")"),"preferred")</f>
        <v>preferred</v>
      </c>
    </row>
    <row r="10987">
      <c r="A10987" s="1" t="s">
        <v>10987</v>
      </c>
      <c r="B10987" s="2" t="str">
        <f>IFERROR(__xludf.DUMMYFUNCTION("GOOGLETRANSLATE(A10987, ""de"", ""en"")"),"horror")</f>
        <v>horror</v>
      </c>
    </row>
    <row r="10988">
      <c r="A10988" s="1" t="s">
        <v>10988</v>
      </c>
      <c r="B10988" s="2" t="str">
        <f>IFERROR(__xludf.DUMMYFUNCTION("GOOGLETRANSLATE(A10988, ""de"", ""en"")"),"Dominic")</f>
        <v>Dominic</v>
      </c>
    </row>
    <row r="10989">
      <c r="A10989" s="1" t="s">
        <v>10989</v>
      </c>
      <c r="B10989" s="2" t="str">
        <f>IFERROR(__xludf.DUMMYFUNCTION("GOOGLETRANSLATE(A10989, ""de"", ""en"")"),"jug")</f>
        <v>jug</v>
      </c>
    </row>
    <row r="10990">
      <c r="A10990" s="1" t="s">
        <v>10990</v>
      </c>
      <c r="B10990" s="2" t="str">
        <f>IFERROR(__xludf.DUMMYFUNCTION("GOOGLETRANSLATE(A10990, ""de"", ""en"")"),"imitated")</f>
        <v>imitated</v>
      </c>
    </row>
    <row r="10991">
      <c r="A10991" s="1" t="s">
        <v>10991</v>
      </c>
      <c r="B10991" s="2" t="str">
        <f>IFERROR(__xludf.DUMMYFUNCTION("GOOGLETRANSLATE(A10991, ""de"", ""en"")"),"peace")</f>
        <v>peace</v>
      </c>
    </row>
    <row r="10992">
      <c r="A10992" s="1" t="s">
        <v>10992</v>
      </c>
      <c r="B10992" s="2" t="str">
        <f>IFERROR(__xludf.DUMMYFUNCTION("GOOGLETRANSLATE(A10992, ""de"", ""en"")"),"Tick")</f>
        <v>Tick</v>
      </c>
    </row>
    <row r="10993">
      <c r="A10993" s="1" t="s">
        <v>10993</v>
      </c>
      <c r="B10993" s="2" t="str">
        <f>IFERROR(__xludf.DUMMYFUNCTION("GOOGLETRANSLATE(A10993, ""de"", ""en"")"),"without a trace")</f>
        <v>without a trace</v>
      </c>
    </row>
    <row r="10994">
      <c r="A10994" s="1" t="s">
        <v>10994</v>
      </c>
      <c r="B10994" s="2" t="str">
        <f>IFERROR(__xludf.DUMMYFUNCTION("GOOGLETRANSLATE(A10994, ""de"", ""en"")"),"came along")</f>
        <v>came along</v>
      </c>
    </row>
    <row r="10995">
      <c r="A10995" s="1" t="s">
        <v>10995</v>
      </c>
      <c r="B10995" s="2" t="str">
        <f>IFERROR(__xludf.DUMMYFUNCTION("GOOGLETRANSLATE(A10995, ""de"", ""en"")"),"reserve")</f>
        <v>reserve</v>
      </c>
    </row>
    <row r="10996">
      <c r="A10996" s="1" t="s">
        <v>10996</v>
      </c>
      <c r="B10996" s="2" t="str">
        <f>IFERROR(__xludf.DUMMYFUNCTION("GOOGLETRANSLATE(A10996, ""de"", ""en"")"),"get it")</f>
        <v>get it</v>
      </c>
    </row>
    <row r="10997">
      <c r="A10997" s="1" t="s">
        <v>10997</v>
      </c>
      <c r="B10997" s="2" t="str">
        <f>IFERROR(__xludf.DUMMYFUNCTION("GOOGLETRANSLATE(A10997, ""de"", ""en"")"),"wagner")</f>
        <v>wagner</v>
      </c>
    </row>
    <row r="10998">
      <c r="A10998" s="1" t="s">
        <v>10998</v>
      </c>
      <c r="B10998" s="2" t="str">
        <f>IFERROR(__xludf.DUMMYFUNCTION("GOOGLETRANSLATE(A10998, ""de"", ""en"")"),"gardner")</f>
        <v>gardner</v>
      </c>
    </row>
    <row r="10999">
      <c r="A10999" s="1" t="s">
        <v>10999</v>
      </c>
      <c r="B10999" s="2" t="str">
        <f>IFERROR(__xludf.DUMMYFUNCTION("GOOGLETRANSLATE(A10999, ""de"", ""en"")"),"bored")</f>
        <v>bored</v>
      </c>
    </row>
    <row r="11000">
      <c r="A11000" s="1" t="s">
        <v>11000</v>
      </c>
      <c r="B11000" s="2" t="str">
        <f>IFERROR(__xludf.DUMMYFUNCTION("GOOGLETRANSLATE(A11000, ""de"", ""en"")"),"Benji")</f>
        <v>Benji</v>
      </c>
    </row>
    <row r="11001">
      <c r="A11001" s="1" t="s">
        <v>11001</v>
      </c>
      <c r="B11001" s="2" t="str">
        <f>IFERROR(__xludf.DUMMYFUNCTION("GOOGLETRANSLATE(A11001, ""de"", ""en"")"),"emperor")</f>
        <v>emperor</v>
      </c>
    </row>
    <row r="11002">
      <c r="A11002" s="1" t="s">
        <v>11002</v>
      </c>
      <c r="B11002" s="2" t="str">
        <f>IFERROR(__xludf.DUMMYFUNCTION("GOOGLETRANSLATE(A11002, ""de"", ""en"")"),"Norris")</f>
        <v>Norris</v>
      </c>
    </row>
    <row r="11003">
      <c r="A11003" s="1" t="s">
        <v>11003</v>
      </c>
      <c r="B11003" s="2" t="str">
        <f>IFERROR(__xludf.DUMMYFUNCTION("GOOGLETRANSLATE(A11003, ""de"", ""en"")"),"fast")</f>
        <v>fast</v>
      </c>
    </row>
    <row r="11004">
      <c r="A11004" s="1" t="s">
        <v>11004</v>
      </c>
      <c r="B11004" s="2" t="str">
        <f>IFERROR(__xludf.DUMMYFUNCTION("GOOGLETRANSLATE(A11004, ""de"", ""en"")"),"colonies")</f>
        <v>colonies</v>
      </c>
    </row>
    <row r="11005">
      <c r="A11005" s="1" t="s">
        <v>11005</v>
      </c>
      <c r="B11005" s="2" t="str">
        <f>IFERROR(__xludf.DUMMYFUNCTION("GOOGLETRANSLATE(A11005, ""de"", ""en"")"),"constructed")</f>
        <v>constructed</v>
      </c>
    </row>
    <row r="11006">
      <c r="A11006" s="1" t="s">
        <v>11006</v>
      </c>
      <c r="B11006" s="2" t="str">
        <f>IFERROR(__xludf.DUMMYFUNCTION("GOOGLETRANSLATE(A11006, ""de"", ""en"")"),"mentor")</f>
        <v>mentor</v>
      </c>
    </row>
    <row r="11007">
      <c r="A11007" s="1" t="s">
        <v>11007</v>
      </c>
      <c r="B11007" s="2" t="str">
        <f>IFERROR(__xludf.DUMMYFUNCTION("GOOGLETRANSLATE(A11007, ""de"", ""en"")"),"blues")</f>
        <v>blues</v>
      </c>
    </row>
    <row r="11008">
      <c r="A11008" s="1" t="s">
        <v>11008</v>
      </c>
      <c r="B11008" s="2" t="str">
        <f>IFERROR(__xludf.DUMMYFUNCTION("GOOGLETRANSLATE(A11008, ""de"", ""en"")"),"break through")</f>
        <v>break through</v>
      </c>
    </row>
    <row r="11009">
      <c r="A11009" s="1" t="s">
        <v>11009</v>
      </c>
      <c r="B11009" s="2" t="str">
        <f>IFERROR(__xludf.DUMMYFUNCTION("GOOGLETRANSLATE(A11009, ""de"", ""en"")"),"orson")</f>
        <v>orson</v>
      </c>
    </row>
    <row r="11010">
      <c r="A11010" s="1" t="s">
        <v>11010</v>
      </c>
      <c r="B11010" s="2" t="str">
        <f>IFERROR(__xludf.DUMMYFUNCTION("GOOGLETRANSLATE(A11010, ""de"", ""en"")"),"greener")</f>
        <v>greener</v>
      </c>
    </row>
    <row r="11011">
      <c r="A11011" s="1" t="s">
        <v>11011</v>
      </c>
      <c r="B11011" s="2" t="str">
        <f>IFERROR(__xludf.DUMMYFUNCTION("GOOGLETRANSLATE(A11011, ""de"", ""en"")"),"Lucie")</f>
        <v>Lucie</v>
      </c>
    </row>
    <row r="11012">
      <c r="A11012" s="1" t="s">
        <v>11012</v>
      </c>
      <c r="B11012" s="2" t="str">
        <f>IFERROR(__xludf.DUMMYFUNCTION("GOOGLETRANSLATE(A11012, ""de"", ""en"")"),"unsatisfied")</f>
        <v>unsatisfied</v>
      </c>
    </row>
    <row r="11013">
      <c r="A11013" s="1" t="s">
        <v>11013</v>
      </c>
      <c r="B11013" s="2" t="str">
        <f>IFERROR(__xludf.DUMMYFUNCTION("GOOGLETRANSLATE(A11013, ""de"", ""en"")"),"ashamed")</f>
        <v>ashamed</v>
      </c>
    </row>
    <row r="11014">
      <c r="A11014" s="1" t="s">
        <v>11014</v>
      </c>
      <c r="B11014" s="2" t="str">
        <f>IFERROR(__xludf.DUMMYFUNCTION("GOOGLETRANSLATE(A11014, ""de"", ""en"")"),"annoying")</f>
        <v>annoying</v>
      </c>
    </row>
    <row r="11015">
      <c r="A11015" s="1" t="s">
        <v>11015</v>
      </c>
      <c r="B11015" s="2" t="str">
        <f>IFERROR(__xludf.DUMMYFUNCTION("GOOGLETRANSLATE(A11015, ""de"", ""en"")"),"locker")</f>
        <v>locker</v>
      </c>
    </row>
    <row r="11016">
      <c r="A11016" s="1" t="s">
        <v>11016</v>
      </c>
      <c r="B11016" s="2" t="str">
        <f>IFERROR(__xludf.DUMMYFUNCTION("GOOGLETRANSLATE(A11016, ""de"", ""en"")"),"stayed overnight")</f>
        <v>stayed overnight</v>
      </c>
    </row>
    <row r="11017">
      <c r="A11017" s="1" t="s">
        <v>11017</v>
      </c>
      <c r="B11017" s="2" t="str">
        <f>IFERROR(__xludf.DUMMYFUNCTION("GOOGLETRANSLATE(A11017, ""de"", ""en"")"),"Spanish")</f>
        <v>Spanish</v>
      </c>
    </row>
    <row r="11018">
      <c r="A11018" s="1" t="s">
        <v>11018</v>
      </c>
      <c r="B11018" s="2" t="str">
        <f>IFERROR(__xludf.DUMMYFUNCTION("GOOGLETRANSLATE(A11018, ""de"", ""en"")"),"definition")</f>
        <v>definition</v>
      </c>
    </row>
    <row r="11019">
      <c r="A11019" s="1" t="s">
        <v>11019</v>
      </c>
      <c r="B11019" s="2" t="str">
        <f>IFERROR(__xludf.DUMMYFUNCTION("GOOGLETRANSLATE(A11019, ""de"", ""en"")"),"disorder")</f>
        <v>disorder</v>
      </c>
    </row>
    <row r="11020">
      <c r="A11020" s="1" t="s">
        <v>11020</v>
      </c>
      <c r="B11020" s="2" t="str">
        <f>IFERROR(__xludf.DUMMYFUNCTION("GOOGLETRANSLATE(A11020, ""de"", ""en"")"),"yuri")</f>
        <v>yuri</v>
      </c>
    </row>
    <row r="11021">
      <c r="A11021" s="1" t="s">
        <v>11021</v>
      </c>
      <c r="B11021" s="2" t="str">
        <f>IFERROR(__xludf.DUMMYFUNCTION("GOOGLETRANSLATE(A11021, ""de"", ""en"")"),"in the middle")</f>
        <v>in the middle</v>
      </c>
    </row>
    <row r="11022">
      <c r="A11022" s="1" t="s">
        <v>11022</v>
      </c>
      <c r="B11022" s="2" t="str">
        <f>IFERROR(__xludf.DUMMYFUNCTION("GOOGLETRANSLATE(A11022, ""de"", ""en"")"),"optimistic")</f>
        <v>optimistic</v>
      </c>
    </row>
    <row r="11023">
      <c r="A11023" s="1" t="s">
        <v>11023</v>
      </c>
      <c r="B11023" s="2" t="str">
        <f>IFERROR(__xludf.DUMMYFUNCTION("GOOGLETRANSLATE(A11023, ""de"", ""en"")"),"sect")</f>
        <v>sect</v>
      </c>
    </row>
    <row r="11024">
      <c r="A11024" s="1" t="s">
        <v>11024</v>
      </c>
      <c r="B11024" s="2" t="str">
        <f>IFERROR(__xludf.DUMMYFUNCTION("GOOGLETRANSLATE(A11024, ""de"", ""en"")"),"rapist")</f>
        <v>rapist</v>
      </c>
    </row>
    <row r="11025">
      <c r="A11025" s="1" t="s">
        <v>11025</v>
      </c>
      <c r="B11025" s="2" t="str">
        <f>IFERROR(__xludf.DUMMYFUNCTION("GOOGLETRANSLATE(A11025, ""de"", ""en"")"),"shocked")</f>
        <v>shocked</v>
      </c>
    </row>
    <row r="11026">
      <c r="A11026" s="1" t="s">
        <v>11026</v>
      </c>
      <c r="B11026" s="2" t="str">
        <f>IFERROR(__xludf.DUMMYFUNCTION("GOOGLETRANSLATE(A11026, ""de"", ""en"")"),"gracie")</f>
        <v>gracie</v>
      </c>
    </row>
    <row r="11027">
      <c r="A11027" s="1" t="s">
        <v>11027</v>
      </c>
      <c r="B11027" s="2" t="str">
        <f>IFERROR(__xludf.DUMMYFUNCTION("GOOGLETRANSLATE(A11027, ""de"", ""en"")"),"micro")</f>
        <v>micro</v>
      </c>
    </row>
    <row r="11028">
      <c r="A11028" s="1" t="s">
        <v>11028</v>
      </c>
      <c r="B11028" s="2" t="str">
        <f>IFERROR(__xludf.DUMMYFUNCTION("GOOGLETRANSLATE(A11028, ""de"", ""en"")"),"committed")</f>
        <v>committed</v>
      </c>
    </row>
    <row r="11029">
      <c r="A11029" s="1" t="s">
        <v>11029</v>
      </c>
      <c r="B11029" s="2" t="str">
        <f>IFERROR(__xludf.DUMMYFUNCTION("GOOGLETRANSLATE(A11029, ""de"", ""en"")"),"would stand")</f>
        <v>would stand</v>
      </c>
    </row>
    <row r="11030">
      <c r="A11030" s="1" t="s">
        <v>11030</v>
      </c>
      <c r="B11030" s="2" t="str">
        <f>IFERROR(__xludf.DUMMYFUNCTION("GOOGLETRANSLATE(A11030, ""de"", ""en"")"),"confiscated")</f>
        <v>confiscated</v>
      </c>
    </row>
    <row r="11031">
      <c r="A11031" s="1" t="s">
        <v>11031</v>
      </c>
      <c r="B11031" s="2" t="str">
        <f>IFERROR(__xludf.DUMMYFUNCTION("GOOGLETRANSLATE(A11031, ""de"", ""en"")"),"madeleine")</f>
        <v>madeleine</v>
      </c>
    </row>
    <row r="11032">
      <c r="A11032" s="1" t="s">
        <v>11032</v>
      </c>
      <c r="B11032" s="2" t="str">
        <f>IFERROR(__xludf.DUMMYFUNCTION("GOOGLETRANSLATE(A11032, ""de"", ""en"")"),"solitary")</f>
        <v>solitary</v>
      </c>
    </row>
    <row r="11033">
      <c r="A11033" s="1" t="s">
        <v>11033</v>
      </c>
      <c r="B11033" s="2" t="str">
        <f>IFERROR(__xludf.DUMMYFUNCTION("GOOGLETRANSLATE(A11033, ""de"", ""en"")"),"bug")</f>
        <v>bug</v>
      </c>
    </row>
    <row r="11034">
      <c r="A11034" s="1" t="s">
        <v>11034</v>
      </c>
      <c r="B11034" s="2" t="str">
        <f>IFERROR(__xludf.DUMMYFUNCTION("GOOGLETRANSLATE(A11034, ""de"", ""en"")"),"Italian")</f>
        <v>Italian</v>
      </c>
    </row>
    <row r="11035">
      <c r="A11035" s="1" t="s">
        <v>11035</v>
      </c>
      <c r="B11035" s="2" t="str">
        <f>IFERROR(__xludf.DUMMYFUNCTION("GOOGLETRANSLATE(A11035, ""de"", ""en"")"),"frederick")</f>
        <v>frederick</v>
      </c>
    </row>
    <row r="11036">
      <c r="A11036" s="1" t="s">
        <v>11036</v>
      </c>
      <c r="B11036" s="2" t="str">
        <f>IFERROR(__xludf.DUMMYFUNCTION("GOOGLETRANSLATE(A11036, ""de"", ""en"")"),"solved")</f>
        <v>solved</v>
      </c>
    </row>
    <row r="11037">
      <c r="A11037" s="1" t="s">
        <v>11037</v>
      </c>
      <c r="B11037" s="2" t="str">
        <f>IFERROR(__xludf.DUMMYFUNCTION("GOOGLETRANSLATE(A11037, ""de"", ""en"")"),"Apache")</f>
        <v>Apache</v>
      </c>
    </row>
    <row r="11038">
      <c r="A11038" s="1" t="s">
        <v>11038</v>
      </c>
      <c r="B11038" s="2" t="str">
        <f>IFERROR(__xludf.DUMMYFUNCTION("GOOGLETRANSLATE(A11038, ""de"", ""en"")"),"specialists")</f>
        <v>specialists</v>
      </c>
    </row>
    <row r="11039">
      <c r="A11039" s="1" t="s">
        <v>11039</v>
      </c>
      <c r="B11039" s="2" t="str">
        <f>IFERROR(__xludf.DUMMYFUNCTION("GOOGLETRANSLATE(A11039, ""de"", ""en"")"),"Nazi")</f>
        <v>Nazi</v>
      </c>
    </row>
    <row r="11040">
      <c r="A11040" s="1" t="s">
        <v>11040</v>
      </c>
      <c r="B11040" s="2" t="str">
        <f>IFERROR(__xludf.DUMMYFUNCTION("GOOGLETRANSLATE(A11040, ""de"", ""en"")"),"bravery")</f>
        <v>bravery</v>
      </c>
    </row>
    <row r="11041">
      <c r="A11041" s="1" t="s">
        <v>11041</v>
      </c>
      <c r="B11041" s="2" t="str">
        <f>IFERROR(__xludf.DUMMYFUNCTION("GOOGLETRANSLATE(A11041, ""de"", ""en"")"),"ingredients")</f>
        <v>ingredients</v>
      </c>
    </row>
    <row r="11042">
      <c r="A11042" s="1" t="s">
        <v>11042</v>
      </c>
      <c r="B11042" s="2" t="str">
        <f>IFERROR(__xludf.DUMMYFUNCTION("GOOGLETRANSLATE(A11042, ""de"", ""en"")"),"invisible")</f>
        <v>invisible</v>
      </c>
    </row>
    <row r="11043">
      <c r="A11043" s="1" t="s">
        <v>11043</v>
      </c>
      <c r="B11043" s="2" t="str">
        <f>IFERROR(__xludf.DUMMYFUNCTION("GOOGLETRANSLATE(A11043, ""de"", ""en"")"),"called back")</f>
        <v>called back</v>
      </c>
    </row>
    <row r="11044">
      <c r="A11044" s="1" t="s">
        <v>11044</v>
      </c>
      <c r="B11044" s="2" t="str">
        <f>IFERROR(__xludf.DUMMYFUNCTION("GOOGLETRANSLATE(A11044, ""de"", ""en"")"),"Saturday evening")</f>
        <v>Saturday evening</v>
      </c>
    </row>
    <row r="11045">
      <c r="A11045" s="1" t="s">
        <v>11045</v>
      </c>
      <c r="B11045" s="2" t="str">
        <f>IFERROR(__xludf.DUMMYFUNCTION("GOOGLETRANSLATE(A11045, ""de"", ""en"")"),"incomprehensible")</f>
        <v>incomprehensible</v>
      </c>
    </row>
    <row r="11046">
      <c r="A11046" s="1" t="s">
        <v>11046</v>
      </c>
      <c r="B11046" s="2" t="str">
        <f>IFERROR(__xludf.DUMMYFUNCTION("GOOGLETRANSLATE(A11046, ""de"", ""en"")"),"pesos")</f>
        <v>pesos</v>
      </c>
    </row>
    <row r="11047">
      <c r="A11047" s="1" t="s">
        <v>11047</v>
      </c>
      <c r="B11047" s="2" t="str">
        <f>IFERROR(__xludf.DUMMYFUNCTION("GOOGLETRANSLATE(A11047, ""de"", ""en"")"),"original")</f>
        <v>original</v>
      </c>
    </row>
    <row r="11048">
      <c r="A11048" s="1" t="s">
        <v>11048</v>
      </c>
      <c r="B11048" s="2" t="str">
        <f>IFERROR(__xludf.DUMMYFUNCTION("GOOGLETRANSLATE(A11048, ""de"", ""en"")"),"Sol")</f>
        <v>Sol</v>
      </c>
    </row>
    <row r="11049">
      <c r="A11049" s="1" t="s">
        <v>11049</v>
      </c>
      <c r="B11049" s="2" t="str">
        <f>IFERROR(__xludf.DUMMYFUNCTION("GOOGLETRANSLATE(A11049, ""de"", ""en"")"),"results")</f>
        <v>results</v>
      </c>
    </row>
    <row r="11050">
      <c r="A11050" s="1" t="s">
        <v>11050</v>
      </c>
      <c r="B11050" s="2" t="str">
        <f>IFERROR(__xludf.DUMMYFUNCTION("GOOGLETRANSLATE(A11050, ""de"", ""en"")"),"r.")</f>
        <v>r.</v>
      </c>
    </row>
    <row r="11051">
      <c r="A11051" s="1" t="s">
        <v>11051</v>
      </c>
      <c r="B11051" s="2" t="str">
        <f>IFERROR(__xludf.DUMMYFUNCTION("GOOGLETRANSLATE(A11051, ""de"", ""en"")"),"alexis")</f>
        <v>alexis</v>
      </c>
    </row>
    <row r="11052">
      <c r="A11052" s="1" t="s">
        <v>11052</v>
      </c>
      <c r="B11052" s="2" t="str">
        <f>IFERROR(__xludf.DUMMYFUNCTION("GOOGLETRANSLATE(A11052, ""de"", ""en"")"),"send")</f>
        <v>send</v>
      </c>
    </row>
    <row r="11053">
      <c r="A11053" s="1" t="s">
        <v>11053</v>
      </c>
      <c r="B11053" s="2" t="str">
        <f>IFERROR(__xludf.DUMMYFUNCTION("GOOGLETRANSLATE(A11053, ""de"", ""en"")"),"client")</f>
        <v>client</v>
      </c>
    </row>
    <row r="11054">
      <c r="A11054" s="1" t="s">
        <v>11054</v>
      </c>
      <c r="B11054" s="2" t="str">
        <f>IFERROR(__xludf.DUMMYFUNCTION("GOOGLETRANSLATE(A11054, ""de"", ""en"")"),"friendly")</f>
        <v>friendly</v>
      </c>
    </row>
    <row r="11055">
      <c r="A11055" s="1" t="s">
        <v>11055</v>
      </c>
      <c r="B11055" s="2" t="str">
        <f>IFERROR(__xludf.DUMMYFUNCTION("GOOGLETRANSLATE(A11055, ""de"", ""en"")"),"spoiled")</f>
        <v>spoiled</v>
      </c>
    </row>
    <row r="11056">
      <c r="A11056" s="1" t="s">
        <v>11056</v>
      </c>
      <c r="B11056" s="2" t="str">
        <f>IFERROR(__xludf.DUMMYFUNCTION("GOOGLETRANSLATE(A11056, ""de"", ""en"")"),"ship")</f>
        <v>ship</v>
      </c>
    </row>
    <row r="11057">
      <c r="A11057" s="1" t="s">
        <v>11057</v>
      </c>
      <c r="B11057" s="2" t="str">
        <f>IFERROR(__xludf.DUMMYFUNCTION("GOOGLETRANSLATE(A11057, ""de"", ""en"")"),"boredom")</f>
        <v>boredom</v>
      </c>
    </row>
    <row r="11058">
      <c r="A11058" s="1" t="s">
        <v>11058</v>
      </c>
      <c r="B11058" s="2" t="str">
        <f>IFERROR(__xludf.DUMMYFUNCTION("GOOGLETRANSLATE(A11058, ""de"", ""en"")"),"acquaintance")</f>
        <v>acquaintance</v>
      </c>
    </row>
    <row r="11059">
      <c r="A11059" s="1" t="s">
        <v>11059</v>
      </c>
      <c r="B11059" s="2" t="str">
        <f>IFERROR(__xludf.DUMMYFUNCTION("GOOGLETRANSLATE(A11059, ""de"", ""en"")"),"jog")</f>
        <v>jog</v>
      </c>
    </row>
    <row r="11060">
      <c r="A11060" s="1" t="s">
        <v>11060</v>
      </c>
      <c r="B11060" s="2" t="str">
        <f>IFERROR(__xludf.DUMMYFUNCTION("GOOGLETRANSLATE(A11060, ""de"", ""en"")"),"save")</f>
        <v>save</v>
      </c>
    </row>
    <row r="11061">
      <c r="A11061" s="1" t="s">
        <v>11061</v>
      </c>
      <c r="B11061" s="2" t="str">
        <f>IFERROR(__xludf.DUMMYFUNCTION("GOOGLETRANSLATE(A11061, ""de"", ""en"")"),"carrier")</f>
        <v>carrier</v>
      </c>
    </row>
    <row r="11062">
      <c r="A11062" s="1" t="s">
        <v>11062</v>
      </c>
      <c r="B11062" s="2" t="str">
        <f>IFERROR(__xludf.DUMMYFUNCTION("GOOGLETRANSLATE(A11062, ""de"", ""en"")"),"financially")</f>
        <v>financially</v>
      </c>
    </row>
    <row r="11063">
      <c r="A11063" s="1" t="s">
        <v>11063</v>
      </c>
      <c r="B11063" s="2" t="str">
        <f>IFERROR(__xludf.DUMMYFUNCTION("GOOGLETRANSLATE(A11063, ""de"", ""en"")"),"depression")</f>
        <v>depression</v>
      </c>
    </row>
    <row r="11064">
      <c r="A11064" s="1" t="s">
        <v>11064</v>
      </c>
      <c r="B11064" s="2" t="str">
        <f>IFERROR(__xludf.DUMMYFUNCTION("GOOGLETRANSLATE(A11064, ""de"", ""en"")"),"pass along")</f>
        <v>pass along</v>
      </c>
    </row>
    <row r="11065">
      <c r="A11065" s="1" t="s">
        <v>11065</v>
      </c>
      <c r="B11065" s="2" t="str">
        <f>IFERROR(__xludf.DUMMYFUNCTION("GOOGLETRANSLATE(A11065, ""de"", ""en"")"),"snail")</f>
        <v>snail</v>
      </c>
    </row>
    <row r="11066">
      <c r="A11066" s="1" t="s">
        <v>11066</v>
      </c>
      <c r="B11066" s="2" t="str">
        <f>IFERROR(__xludf.DUMMYFUNCTION("GOOGLETRANSLATE(A11066, ""de"", ""en"")"),"printed")</f>
        <v>printed</v>
      </c>
    </row>
    <row r="11067">
      <c r="A11067" s="1" t="s">
        <v>11067</v>
      </c>
      <c r="B11067" s="2" t="str">
        <f>IFERROR(__xludf.DUMMYFUNCTION("GOOGLETRANSLATE(A11067, ""de"", ""en"")"),"hostile")</f>
        <v>hostile</v>
      </c>
    </row>
    <row r="11068">
      <c r="A11068" s="1" t="s">
        <v>11068</v>
      </c>
      <c r="B11068" s="2" t="str">
        <f>IFERROR(__xludf.DUMMYFUNCTION("GOOGLETRANSLATE(A11068, ""de"", ""en"")"),"bovine")</f>
        <v>bovine</v>
      </c>
    </row>
    <row r="11069">
      <c r="A11069" s="1" t="s">
        <v>11069</v>
      </c>
      <c r="B11069" s="2" t="str">
        <f>IFERROR(__xludf.DUMMYFUNCTION("GOOGLETRANSLATE(A11069, ""de"", ""en"")"),"orphans")</f>
        <v>orphans</v>
      </c>
    </row>
    <row r="11070">
      <c r="A11070" s="1" t="s">
        <v>11070</v>
      </c>
      <c r="B11070" s="2" t="str">
        <f>IFERROR(__xludf.DUMMYFUNCTION("GOOGLETRANSLATE(A11070, ""de"", ""en"")"),"chemical")</f>
        <v>chemical</v>
      </c>
    </row>
    <row r="11071">
      <c r="A11071" s="1" t="s">
        <v>11071</v>
      </c>
      <c r="B11071" s="2" t="str">
        <f>IFERROR(__xludf.DUMMYFUNCTION("GOOGLETRANSLATE(A11071, ""de"", ""en"")"),"build")</f>
        <v>build</v>
      </c>
    </row>
    <row r="11072">
      <c r="A11072" s="1" t="s">
        <v>11072</v>
      </c>
      <c r="B11072" s="2" t="str">
        <f>IFERROR(__xludf.DUMMYFUNCTION("GOOGLETRANSLATE(A11072, ""de"", ""en"")"),"married")</f>
        <v>married</v>
      </c>
    </row>
    <row r="11073">
      <c r="A11073" s="1" t="s">
        <v>11073</v>
      </c>
      <c r="B11073" s="2" t="str">
        <f>IFERROR(__xludf.DUMMYFUNCTION("GOOGLETRANSLATE(A11073, ""de"", ""en"")"),"igniter")</f>
        <v>igniter</v>
      </c>
    </row>
    <row r="11074">
      <c r="A11074" s="1" t="s">
        <v>11074</v>
      </c>
      <c r="B11074" s="2" t="str">
        <f>IFERROR(__xludf.DUMMYFUNCTION("GOOGLETRANSLATE(A11074, ""de"", ""en"")"),"laughed")</f>
        <v>laughed</v>
      </c>
    </row>
    <row r="11075">
      <c r="A11075" s="1" t="s">
        <v>11075</v>
      </c>
      <c r="B11075" s="2" t="str">
        <f>IFERROR(__xludf.DUMMYFUNCTION("GOOGLETRANSLATE(A11075, ""de"", ""en"")"),"haircut")</f>
        <v>haircut</v>
      </c>
    </row>
    <row r="11076">
      <c r="A11076" s="1" t="s">
        <v>11076</v>
      </c>
      <c r="B11076" s="2" t="str">
        <f>IFERROR(__xludf.DUMMYFUNCTION("GOOGLETRANSLATE(A11076, ""de"", ""en"")"),"snow white")</f>
        <v>snow white</v>
      </c>
    </row>
    <row r="11077">
      <c r="A11077" s="1" t="s">
        <v>11077</v>
      </c>
      <c r="B11077" s="2" t="str">
        <f>IFERROR(__xludf.DUMMYFUNCTION("GOOGLETRANSLATE(A11077, ""de"", ""en"")"),"Gerry")</f>
        <v>Gerry</v>
      </c>
    </row>
    <row r="11078">
      <c r="A11078" s="1" t="s">
        <v>11078</v>
      </c>
      <c r="B11078" s="2" t="str">
        <f>IFERROR(__xludf.DUMMYFUNCTION("GOOGLETRANSLATE(A11078, ""de"", ""en"")"),"ducks")</f>
        <v>ducks</v>
      </c>
    </row>
    <row r="11079">
      <c r="A11079" s="1" t="s">
        <v>11079</v>
      </c>
      <c r="B11079" s="2" t="str">
        <f>IFERROR(__xludf.DUMMYFUNCTION("GOOGLETRANSLATE(A11079, ""de"", ""en"")"),"Parisian")</f>
        <v>Parisian</v>
      </c>
    </row>
    <row r="11080">
      <c r="A11080" s="1" t="s">
        <v>11080</v>
      </c>
      <c r="B11080" s="2" t="str">
        <f>IFERROR(__xludf.DUMMYFUNCTION("GOOGLETRANSLATE(A11080, ""de"", ""en"")"),"unique")</f>
        <v>unique</v>
      </c>
    </row>
    <row r="11081">
      <c r="A11081" s="1" t="s">
        <v>11081</v>
      </c>
      <c r="B11081" s="2" t="str">
        <f>IFERROR(__xludf.DUMMYFUNCTION("GOOGLETRANSLATE(A11081, ""de"", ""en"")"),"wasted")</f>
        <v>wasted</v>
      </c>
    </row>
    <row r="11082">
      <c r="A11082" s="1" t="s">
        <v>11082</v>
      </c>
      <c r="B11082" s="2" t="str">
        <f>IFERROR(__xludf.DUMMYFUNCTION("GOOGLETRANSLATE(A11082, ""de"", ""en"")"),"tomas")</f>
        <v>tomas</v>
      </c>
    </row>
    <row r="11083">
      <c r="A11083" s="1" t="s">
        <v>11083</v>
      </c>
      <c r="B11083" s="2" t="str">
        <f>IFERROR(__xludf.DUMMYFUNCTION("GOOGLETRANSLATE(A11083, ""de"", ""en"")"),"depressed")</f>
        <v>depressed</v>
      </c>
    </row>
    <row r="11084">
      <c r="A11084" s="1" t="s">
        <v>11084</v>
      </c>
      <c r="B11084" s="2" t="str">
        <f>IFERROR(__xludf.DUMMYFUNCTION("GOOGLETRANSLATE(A11084, ""de"", ""en"")"),"commander")</f>
        <v>commander</v>
      </c>
    </row>
    <row r="11085">
      <c r="A11085" s="1" t="s">
        <v>11085</v>
      </c>
      <c r="B11085" s="2" t="str">
        <f>IFERROR(__xludf.DUMMYFUNCTION("GOOGLETRANSLATE(A11085, ""de"", ""en"")"),"broken in")</f>
        <v>broken in</v>
      </c>
    </row>
    <row r="11086">
      <c r="A11086" s="1" t="s">
        <v>11086</v>
      </c>
      <c r="B11086" s="2" t="str">
        <f>IFERROR(__xludf.DUMMYFUNCTION("GOOGLETRANSLATE(A11086, ""de"", ""en"")"),"typewriter")</f>
        <v>typewriter</v>
      </c>
    </row>
    <row r="11087">
      <c r="A11087" s="1" t="s">
        <v>11087</v>
      </c>
      <c r="B11087" s="2" t="str">
        <f>IFERROR(__xludf.DUMMYFUNCTION("GOOGLETRANSLATE(A11087, ""de"", ""en"")"),"blessed")</f>
        <v>blessed</v>
      </c>
    </row>
    <row r="11088">
      <c r="A11088" s="1" t="s">
        <v>11088</v>
      </c>
      <c r="B11088" s="2" t="str">
        <f>IFERROR(__xludf.DUMMYFUNCTION("GOOGLETRANSLATE(A11088, ""de"", ""en"")"),"missed")</f>
        <v>missed</v>
      </c>
    </row>
    <row r="11089">
      <c r="A11089" s="1" t="s">
        <v>11089</v>
      </c>
      <c r="B11089" s="2" t="str">
        <f>IFERROR(__xludf.DUMMYFUNCTION("GOOGLETRANSLATE(A11089, ""de"", ""en"")"),"worth it")</f>
        <v>worth it</v>
      </c>
    </row>
    <row r="11090">
      <c r="A11090" s="1" t="s">
        <v>11090</v>
      </c>
      <c r="B11090" s="2" t="str">
        <f>IFERROR(__xludf.DUMMYFUNCTION("GOOGLETRANSLATE(A11090, ""de"", ""en"")"),"notebook")</f>
        <v>notebook</v>
      </c>
    </row>
    <row r="11091">
      <c r="A11091" s="1" t="s">
        <v>11091</v>
      </c>
      <c r="B11091" s="2" t="str">
        <f>IFERROR(__xludf.DUMMYFUNCTION("GOOGLETRANSLATE(A11091, ""de"", ""en"")"),"change")</f>
        <v>change</v>
      </c>
    </row>
    <row r="11092">
      <c r="A11092" s="1" t="s">
        <v>11092</v>
      </c>
      <c r="B11092" s="2" t="str">
        <f>IFERROR(__xludf.DUMMYFUNCTION("GOOGLETRANSLATE(A11092, ""de"", ""en"")"),"stare")</f>
        <v>stare</v>
      </c>
    </row>
    <row r="11093">
      <c r="A11093" s="1" t="s">
        <v>11093</v>
      </c>
      <c r="B11093" s="2" t="str">
        <f>IFERROR(__xludf.DUMMYFUNCTION("GOOGLETRANSLATE(A11093, ""de"", ""en"")"),"e.g.")</f>
        <v>e.g.</v>
      </c>
    </row>
    <row r="11094">
      <c r="A11094" s="1" t="s">
        <v>11094</v>
      </c>
      <c r="B11094" s="2" t="str">
        <f>IFERROR(__xludf.DUMMYFUNCTION("GOOGLETRANSLATE(A11094, ""de"", ""en"")"),"homeless")</f>
        <v>homeless</v>
      </c>
    </row>
    <row r="11095">
      <c r="A11095" s="1" t="s">
        <v>11095</v>
      </c>
      <c r="B11095" s="2" t="str">
        <f>IFERROR(__xludf.DUMMYFUNCTION("GOOGLETRANSLATE(A11095, ""de"", ""en"")"),"divine")</f>
        <v>divine</v>
      </c>
    </row>
    <row r="11096">
      <c r="A11096" s="1" t="s">
        <v>11096</v>
      </c>
      <c r="B11096" s="2" t="str">
        <f>IFERROR(__xludf.DUMMYFUNCTION("GOOGLETRANSLATE(A11096, ""de"", ""en"")"),"survived")</f>
        <v>survived</v>
      </c>
    </row>
    <row r="11097">
      <c r="A11097" s="1" t="s">
        <v>11097</v>
      </c>
      <c r="B11097" s="2" t="str">
        <f>IFERROR(__xludf.DUMMYFUNCTION("GOOGLETRANSLATE(A11097, ""de"", ""en"")"),"strange")</f>
        <v>strange</v>
      </c>
    </row>
    <row r="11098">
      <c r="A11098" s="1" t="s">
        <v>11098</v>
      </c>
      <c r="B11098" s="2" t="str">
        <f>IFERROR(__xludf.DUMMYFUNCTION("GOOGLETRANSLATE(A11098, ""de"", ""en"")"),"France")</f>
        <v>France</v>
      </c>
    </row>
    <row r="11099">
      <c r="A11099" s="1" t="s">
        <v>11099</v>
      </c>
      <c r="B11099" s="2" t="str">
        <f>IFERROR(__xludf.DUMMYFUNCTION("GOOGLETRANSLATE(A11099, ""de"", ""en"")"),"withdraw")</f>
        <v>withdraw</v>
      </c>
    </row>
    <row r="11100">
      <c r="A11100" s="1" t="s">
        <v>11100</v>
      </c>
      <c r="B11100" s="2" t="str">
        <f>IFERROR(__xludf.DUMMYFUNCTION("GOOGLETRANSLATE(A11100, ""de"", ""en"")"),"jacks")</f>
        <v>jacks</v>
      </c>
    </row>
    <row r="11101">
      <c r="A11101" s="1" t="s">
        <v>11101</v>
      </c>
      <c r="B11101" s="2" t="str">
        <f>IFERROR(__xludf.DUMMYFUNCTION("GOOGLETRANSLATE(A11101, ""de"", ""en"")"),"please")</f>
        <v>please</v>
      </c>
    </row>
    <row r="11102">
      <c r="A11102" s="1" t="s">
        <v>11102</v>
      </c>
      <c r="B11102" s="2" t="str">
        <f>IFERROR(__xludf.DUMMYFUNCTION("GOOGLETRANSLATE(A11102, ""de"", ""en"")"),"horn")</f>
        <v>horn</v>
      </c>
    </row>
    <row r="11103">
      <c r="A11103" s="1" t="s">
        <v>11103</v>
      </c>
      <c r="B11103" s="2" t="str">
        <f>IFERROR(__xludf.DUMMYFUNCTION("GOOGLETRANSLATE(A11103, ""de"", ""en"")"),"mainland")</f>
        <v>mainland</v>
      </c>
    </row>
    <row r="11104">
      <c r="A11104" s="1" t="s">
        <v>11104</v>
      </c>
      <c r="B11104" s="2" t="str">
        <f>IFERROR(__xludf.DUMMYFUNCTION("GOOGLETRANSLATE(A11104, ""de"", ""en"")"),"backbone")</f>
        <v>backbone</v>
      </c>
    </row>
    <row r="11105">
      <c r="A11105" s="1" t="s">
        <v>11105</v>
      </c>
      <c r="B11105" s="2" t="str">
        <f>IFERROR(__xludf.DUMMYFUNCTION("GOOGLETRANSLATE(A11105, ""de"", ""en"")"),"smuggle")</f>
        <v>smuggle</v>
      </c>
    </row>
    <row r="11106">
      <c r="A11106" s="1" t="s">
        <v>11106</v>
      </c>
      <c r="B11106" s="2" t="str">
        <f>IFERROR(__xludf.DUMMYFUNCTION("GOOGLETRANSLATE(A11106, ""de"", ""en"")"),"garlic")</f>
        <v>garlic</v>
      </c>
    </row>
    <row r="11107">
      <c r="A11107" s="1" t="s">
        <v>11107</v>
      </c>
      <c r="B11107" s="2" t="str">
        <f>IFERROR(__xludf.DUMMYFUNCTION("GOOGLETRANSLATE(A11107, ""de"", ""en"")"),"murderer")</f>
        <v>murderer</v>
      </c>
    </row>
    <row r="11108">
      <c r="A11108" s="1" t="s">
        <v>11108</v>
      </c>
      <c r="B11108" s="2" t="str">
        <f>IFERROR(__xludf.DUMMYFUNCTION("GOOGLETRANSLATE(A11108, ""de"", ""en"")"),"engines")</f>
        <v>engines</v>
      </c>
    </row>
    <row r="11109">
      <c r="A11109" s="1" t="s">
        <v>11109</v>
      </c>
      <c r="B11109" s="2" t="str">
        <f>IFERROR(__xludf.DUMMYFUNCTION("GOOGLETRANSLATE(A11109, ""de"", ""en"")"),"corridor")</f>
        <v>corridor</v>
      </c>
    </row>
    <row r="11110">
      <c r="A11110" s="1" t="s">
        <v>11110</v>
      </c>
      <c r="B11110" s="2" t="str">
        <f>IFERROR(__xludf.DUMMYFUNCTION("GOOGLETRANSLATE(A11110, ""de"", ""en"")"),"sugar")</f>
        <v>sugar</v>
      </c>
    </row>
    <row r="11111">
      <c r="A11111" s="1" t="s">
        <v>11111</v>
      </c>
      <c r="B11111" s="2" t="str">
        <f>IFERROR(__xludf.DUMMYFUNCTION("GOOGLETRANSLATE(A11111, ""de"", ""en"")"),"countdown")</f>
        <v>countdown</v>
      </c>
    </row>
    <row r="11112">
      <c r="A11112" s="1" t="s">
        <v>11112</v>
      </c>
      <c r="B11112" s="2" t="str">
        <f>IFERROR(__xludf.DUMMYFUNCTION("GOOGLETRANSLATE(A11112, ""de"", ""en"")"),"sock")</f>
        <v>sock</v>
      </c>
    </row>
    <row r="11113">
      <c r="A11113" s="1" t="s">
        <v>11113</v>
      </c>
      <c r="B11113" s="2" t="str">
        <f>IFERROR(__xludf.DUMMYFUNCTION("GOOGLETRANSLATE(A11113, ""de"", ""en"")"),"beggar")</f>
        <v>beggar</v>
      </c>
    </row>
    <row r="11114">
      <c r="A11114" s="1" t="s">
        <v>11114</v>
      </c>
      <c r="B11114" s="2" t="str">
        <f>IFERROR(__xludf.DUMMYFUNCTION("GOOGLETRANSLATE(A11114, ""de"", ""en"")"),"signor")</f>
        <v>signor</v>
      </c>
    </row>
    <row r="11115">
      <c r="A11115" s="1" t="s">
        <v>11115</v>
      </c>
      <c r="B11115" s="2" t="str">
        <f>IFERROR(__xludf.DUMMYFUNCTION("GOOGLETRANSLATE(A11115, ""de"", ""en"")"),"Russian")</f>
        <v>Russian</v>
      </c>
    </row>
    <row r="11116">
      <c r="A11116" s="1" t="s">
        <v>11116</v>
      </c>
      <c r="B11116" s="2" t="str">
        <f>IFERROR(__xludf.DUMMYFUNCTION("GOOGLETRANSLATE(A11116, ""de"", ""en"")"),"forge")</f>
        <v>forge</v>
      </c>
    </row>
    <row r="11117">
      <c r="A11117" s="1" t="s">
        <v>11117</v>
      </c>
      <c r="B11117" s="2" t="str">
        <f>IFERROR(__xludf.DUMMYFUNCTION("GOOGLETRANSLATE(A11117, ""de"", ""en"")"),"lopez")</f>
        <v>lopez</v>
      </c>
    </row>
    <row r="11118">
      <c r="A11118" s="1" t="s">
        <v>11118</v>
      </c>
      <c r="B11118" s="2" t="str">
        <f>IFERROR(__xludf.DUMMYFUNCTION("GOOGLETRANSLATE(A11118, ""de"", ""en"")"),"salute")</f>
        <v>salute</v>
      </c>
    </row>
    <row r="11119">
      <c r="A11119" s="1" t="s">
        <v>11119</v>
      </c>
      <c r="B11119" s="2" t="str">
        <f>IFERROR(__xludf.DUMMYFUNCTION("GOOGLETRANSLATE(A11119, ""de"", ""en"")"),"stand out")</f>
        <v>stand out</v>
      </c>
    </row>
    <row r="11120">
      <c r="A11120" s="1" t="s">
        <v>11120</v>
      </c>
      <c r="B11120" s="2" t="str">
        <f>IFERROR(__xludf.DUMMYFUNCTION("GOOGLETRANSLATE(A11120, ""de"", ""en"")"),"toe")</f>
        <v>toe</v>
      </c>
    </row>
    <row r="11121">
      <c r="A11121" s="1" t="s">
        <v>11121</v>
      </c>
      <c r="B11121" s="2" t="str">
        <f>IFERROR(__xludf.DUMMYFUNCTION("GOOGLETRANSLATE(A11121, ""de"", ""en"")"),"Freud")</f>
        <v>Freud</v>
      </c>
    </row>
    <row r="11122">
      <c r="A11122" s="1" t="s">
        <v>11122</v>
      </c>
      <c r="B11122" s="2" t="str">
        <f>IFERROR(__xludf.DUMMYFUNCTION("GOOGLETRANSLATE(A11122, ""de"", ""en"")"),"external")</f>
        <v>external</v>
      </c>
    </row>
    <row r="11123">
      <c r="A11123" s="1" t="s">
        <v>11123</v>
      </c>
      <c r="B11123" s="2" t="str">
        <f>IFERROR(__xludf.DUMMYFUNCTION("GOOGLETRANSLATE(A11123, ""de"", ""en"")"),"cruel")</f>
        <v>cruel</v>
      </c>
    </row>
    <row r="11124">
      <c r="A11124" s="1" t="s">
        <v>11124</v>
      </c>
      <c r="B11124" s="2" t="str">
        <f>IFERROR(__xludf.DUMMYFUNCTION("GOOGLETRANSLATE(A11124, ""de"", ""en"")"),"cool")</f>
        <v>cool</v>
      </c>
    </row>
    <row r="11125">
      <c r="A11125" s="1" t="s">
        <v>11125</v>
      </c>
      <c r="B11125" s="2" t="str">
        <f>IFERROR(__xludf.DUMMYFUNCTION("GOOGLETRANSLATE(A11125, ""de"", ""en"")"),"bacteria")</f>
        <v>bacteria</v>
      </c>
    </row>
    <row r="11126">
      <c r="A11126" s="1" t="s">
        <v>11126</v>
      </c>
      <c r="B11126" s="2" t="str">
        <f>IFERROR(__xludf.DUMMYFUNCTION("GOOGLETRANSLATE(A11126, ""de"", ""en"")"),"olsen")</f>
        <v>olsen</v>
      </c>
    </row>
    <row r="11127">
      <c r="A11127" s="1" t="s">
        <v>11127</v>
      </c>
      <c r="B11127" s="2" t="str">
        <f>IFERROR(__xludf.DUMMYFUNCTION("GOOGLETRANSLATE(A11127, ""de"", ""en"")"),"enemy")</f>
        <v>enemy</v>
      </c>
    </row>
    <row r="11128">
      <c r="A11128" s="1" t="s">
        <v>11128</v>
      </c>
      <c r="B11128" s="2" t="str">
        <f>IFERROR(__xludf.DUMMYFUNCTION("GOOGLETRANSLATE(A11128, ""de"", ""en"")"),"reception")</f>
        <v>reception</v>
      </c>
    </row>
    <row r="11129">
      <c r="A11129" s="1" t="s">
        <v>11129</v>
      </c>
      <c r="B11129" s="2" t="str">
        <f>IFERROR(__xludf.DUMMYFUNCTION("GOOGLETRANSLATE(A11129, ""de"", ""en"")"),"reached")</f>
        <v>reached</v>
      </c>
    </row>
    <row r="11130">
      <c r="A11130" s="1" t="s">
        <v>11130</v>
      </c>
      <c r="B11130" s="2" t="str">
        <f>IFERROR(__xludf.DUMMYFUNCTION("GOOGLETRANSLATE(A11130, ""de"", ""en"")"),"thirteen")</f>
        <v>thirteen</v>
      </c>
    </row>
    <row r="11131">
      <c r="A11131" s="1" t="s">
        <v>11131</v>
      </c>
      <c r="B11131" s="2" t="str">
        <f>IFERROR(__xludf.DUMMYFUNCTION("GOOGLETRANSLATE(A11131, ""de"", ""en"")"),"paolo")</f>
        <v>paolo</v>
      </c>
    </row>
    <row r="11132">
      <c r="A11132" s="1" t="s">
        <v>11132</v>
      </c>
      <c r="B11132" s="2" t="str">
        <f>IFERROR(__xludf.DUMMYFUNCTION("GOOGLETRANSLATE(A11132, ""de"", ""en"")"),"approach")</f>
        <v>approach</v>
      </c>
    </row>
    <row r="11133">
      <c r="A11133" s="1" t="s">
        <v>11133</v>
      </c>
      <c r="B11133" s="2" t="str">
        <f>IFERROR(__xludf.DUMMYFUNCTION("GOOGLETRANSLATE(A11133, ""de"", ""en"")"),"penelope")</f>
        <v>penelope</v>
      </c>
    </row>
    <row r="11134">
      <c r="A11134" s="1" t="s">
        <v>11134</v>
      </c>
      <c r="B11134" s="2" t="str">
        <f>IFERROR(__xludf.DUMMYFUNCTION("GOOGLETRANSLATE(A11134, ""de"", ""en"")"),"so-called")</f>
        <v>so-called</v>
      </c>
    </row>
    <row r="11135">
      <c r="A11135" s="1" t="s">
        <v>11135</v>
      </c>
      <c r="B11135" s="2" t="str">
        <f>IFERROR(__xludf.DUMMYFUNCTION("GOOGLETRANSLATE(A11135, ""de"", ""en"")"),"you waste")</f>
        <v>you waste</v>
      </c>
    </row>
    <row r="11136">
      <c r="A11136" s="1" t="s">
        <v>11136</v>
      </c>
      <c r="B11136" s="2" t="str">
        <f>IFERROR(__xludf.DUMMYFUNCTION("GOOGLETRANSLATE(A11136, ""de"", ""en"")"),"donny")</f>
        <v>donny</v>
      </c>
    </row>
    <row r="11137">
      <c r="A11137" s="1" t="s">
        <v>11137</v>
      </c>
      <c r="B11137" s="2" t="str">
        <f>IFERROR(__xludf.DUMMYFUNCTION("GOOGLETRANSLATE(A11137, ""de"", ""en"")"),"permit")</f>
        <v>permit</v>
      </c>
    </row>
    <row r="11138">
      <c r="A11138" s="1" t="s">
        <v>11138</v>
      </c>
      <c r="B11138" s="2" t="str">
        <f>IFERROR(__xludf.DUMMYFUNCTION("GOOGLETRANSLATE(A11138, ""de"", ""en"")"),"abortion")</f>
        <v>abortion</v>
      </c>
    </row>
    <row r="11139">
      <c r="A11139" s="1" t="s">
        <v>11139</v>
      </c>
      <c r="B11139" s="2" t="str">
        <f>IFERROR(__xludf.DUMMYFUNCTION("GOOGLETRANSLATE(A11139, ""de"", ""en"")"),"planning")</f>
        <v>planning</v>
      </c>
    </row>
    <row r="11140">
      <c r="A11140" s="1" t="s">
        <v>11140</v>
      </c>
      <c r="B11140" s="2" t="str">
        <f>IFERROR(__xludf.DUMMYFUNCTION("GOOGLETRANSLATE(A11140, ""de"", ""en"")"),"territory")</f>
        <v>territory</v>
      </c>
    </row>
    <row r="11141">
      <c r="A11141" s="1" t="s">
        <v>11141</v>
      </c>
      <c r="B11141" s="2" t="str">
        <f>IFERROR(__xludf.DUMMYFUNCTION("GOOGLETRANSLATE(A11141, ""de"", ""en"")"),"pope")</f>
        <v>pope</v>
      </c>
    </row>
    <row r="11142">
      <c r="A11142" s="1" t="s">
        <v>11142</v>
      </c>
      <c r="B11142" s="2" t="str">
        <f>IFERROR(__xludf.DUMMYFUNCTION("GOOGLETRANSLATE(A11142, ""de"", ""en"")"),"wallet")</f>
        <v>wallet</v>
      </c>
    </row>
    <row r="11143">
      <c r="A11143" s="1" t="s">
        <v>11143</v>
      </c>
      <c r="B11143" s="2" t="str">
        <f>IFERROR(__xludf.DUMMYFUNCTION("GOOGLETRANSLATE(A11143, ""de"", ""en"")"),"monkey noises")</f>
        <v>monkey noises</v>
      </c>
    </row>
    <row r="11144">
      <c r="A11144" s="1" t="s">
        <v>11144</v>
      </c>
      <c r="B11144" s="2" t="str">
        <f>IFERROR(__xludf.DUMMYFUNCTION("GOOGLETRANSLATE(A11144, ""de"", ""en"")"),"improvise")</f>
        <v>improvise</v>
      </c>
    </row>
    <row r="11145">
      <c r="A11145" s="1" t="s">
        <v>11145</v>
      </c>
      <c r="B11145" s="2" t="str">
        <f>IFERROR(__xludf.DUMMYFUNCTION("GOOGLETRANSLATE(A11145, ""de"", ""en"")"),"to come in")</f>
        <v>to come in</v>
      </c>
    </row>
    <row r="11146">
      <c r="A11146" s="1" t="s">
        <v>11146</v>
      </c>
      <c r="B11146" s="2" t="str">
        <f>IFERROR(__xludf.DUMMYFUNCTION("GOOGLETRANSLATE(A11146, ""de"", ""en"")"),"refuel")</f>
        <v>refuel</v>
      </c>
    </row>
    <row r="11147">
      <c r="A11147" s="1" t="s">
        <v>11147</v>
      </c>
      <c r="B11147" s="2" t="str">
        <f>IFERROR(__xludf.DUMMYFUNCTION("GOOGLETRANSLATE(A11147, ""de"", ""en"")"),"intimidate")</f>
        <v>intimidate</v>
      </c>
    </row>
    <row r="11148">
      <c r="A11148" s="1" t="s">
        <v>11148</v>
      </c>
      <c r="B11148" s="2" t="str">
        <f>IFERROR(__xludf.DUMMYFUNCTION("GOOGLETRANSLATE(A11148, ""de"", ""en"")"),"exploded")</f>
        <v>exploded</v>
      </c>
    </row>
    <row r="11149">
      <c r="A11149" s="1" t="s">
        <v>11149</v>
      </c>
      <c r="B11149" s="2" t="str">
        <f>IFERROR(__xludf.DUMMYFUNCTION("GOOGLETRANSLATE(A11149, ""de"", ""en"")"),"ribbon")</f>
        <v>ribbon</v>
      </c>
    </row>
    <row r="11150">
      <c r="A11150" s="1" t="s">
        <v>11150</v>
      </c>
      <c r="B11150" s="2" t="str">
        <f>IFERROR(__xludf.DUMMYFUNCTION("GOOGLETRANSLATE(A11150, ""de"", ""en"")"),"calculate")</f>
        <v>calculate</v>
      </c>
    </row>
    <row r="11151">
      <c r="A11151" s="1" t="s">
        <v>11151</v>
      </c>
      <c r="B11151" s="2" t="str">
        <f>IFERROR(__xludf.DUMMYFUNCTION("GOOGLETRANSLATE(A11151, ""de"", ""en"")"),"transport")</f>
        <v>transport</v>
      </c>
    </row>
    <row r="11152">
      <c r="A11152" s="1" t="s">
        <v>11152</v>
      </c>
      <c r="B11152" s="2" t="str">
        <f>IFERROR(__xludf.DUMMYFUNCTION("GOOGLETRANSLATE(A11152, ""de"", ""en"")"),"Newton")</f>
        <v>Newton</v>
      </c>
    </row>
    <row r="11153">
      <c r="A11153" s="1" t="s">
        <v>11153</v>
      </c>
      <c r="B11153" s="2" t="str">
        <f>IFERROR(__xludf.DUMMYFUNCTION("GOOGLETRANSLATE(A11153, ""de"", ""en"")"),"tracked down")</f>
        <v>tracked down</v>
      </c>
    </row>
    <row r="11154">
      <c r="A11154" s="1" t="s">
        <v>11154</v>
      </c>
      <c r="B11154" s="2" t="str">
        <f>IFERROR(__xludf.DUMMYFUNCTION("GOOGLETRANSLATE(A11154, ""de"", ""en"")"),"stroke")</f>
        <v>stroke</v>
      </c>
    </row>
    <row r="11155">
      <c r="A11155" s="1" t="s">
        <v>11155</v>
      </c>
      <c r="B11155" s="2" t="str">
        <f>IFERROR(__xludf.DUMMYFUNCTION("GOOGLETRANSLATE(A11155, ""de"", ""en"")"),"spear")</f>
        <v>spear</v>
      </c>
    </row>
    <row r="11156">
      <c r="A11156" s="1" t="s">
        <v>11156</v>
      </c>
      <c r="B11156" s="2" t="str">
        <f>IFERROR(__xludf.DUMMYFUNCTION("GOOGLETRANSLATE(A11156, ""de"", ""en"")"),"reactions")</f>
        <v>reactions</v>
      </c>
    </row>
    <row r="11157">
      <c r="A11157" s="1" t="s">
        <v>11157</v>
      </c>
      <c r="B11157" s="2" t="str">
        <f>IFERROR(__xludf.DUMMYFUNCTION("GOOGLETRANSLATE(A11157, ""de"", ""en"")"),"maxwell")</f>
        <v>maxwell</v>
      </c>
    </row>
    <row r="11158">
      <c r="A11158" s="1" t="s">
        <v>11158</v>
      </c>
      <c r="B11158" s="2" t="str">
        <f>IFERROR(__xludf.DUMMYFUNCTION("GOOGLETRANSLATE(A11158, ""de"", ""en"")"),"director")</f>
        <v>director</v>
      </c>
    </row>
    <row r="11159">
      <c r="A11159" s="1" t="s">
        <v>11159</v>
      </c>
      <c r="B11159" s="2" t="str">
        <f>IFERROR(__xludf.DUMMYFUNCTION("GOOGLETRANSLATE(A11159, ""de"", ""en"")"),"increase")</f>
        <v>increase</v>
      </c>
    </row>
    <row r="11160">
      <c r="A11160" s="1" t="s">
        <v>11160</v>
      </c>
      <c r="B11160" s="2" t="str">
        <f>IFERROR(__xludf.DUMMYFUNCTION("GOOGLETRANSLATE(A11160, ""de"", ""en"")"),"rear")</f>
        <v>rear</v>
      </c>
    </row>
    <row r="11161">
      <c r="A11161" s="1" t="s">
        <v>11161</v>
      </c>
      <c r="B11161" s="2" t="str">
        <f>IFERROR(__xludf.DUMMYFUNCTION("GOOGLETRANSLATE(A11161, ""de"", ""en"")"),"worked together")</f>
        <v>worked together</v>
      </c>
    </row>
    <row r="11162">
      <c r="A11162" s="1" t="s">
        <v>11162</v>
      </c>
      <c r="B11162" s="2" t="str">
        <f>IFERROR(__xludf.DUMMYFUNCTION("GOOGLETRANSLATE(A11162, ""de"", ""en"")"),"hanson")</f>
        <v>hanson</v>
      </c>
    </row>
    <row r="11163">
      <c r="A11163" s="1" t="s">
        <v>11163</v>
      </c>
      <c r="B11163" s="2" t="str">
        <f>IFERROR(__xludf.DUMMYFUNCTION("GOOGLETRANSLATE(A11163, ""de"", ""en"")"),"let alone")</f>
        <v>let alone</v>
      </c>
    </row>
    <row r="11164">
      <c r="A11164" s="1" t="s">
        <v>11164</v>
      </c>
      <c r="B11164" s="2" t="str">
        <f>IFERROR(__xludf.DUMMYFUNCTION("GOOGLETRANSLATE(A11164, ""de"", ""en"")"),"puff")</f>
        <v>puff</v>
      </c>
    </row>
    <row r="11165">
      <c r="A11165" s="1" t="s">
        <v>11165</v>
      </c>
      <c r="B11165" s="2" t="str">
        <f>IFERROR(__xludf.DUMMYFUNCTION("GOOGLETRANSLATE(A11165, ""de"", ""en"")"),"stupider")</f>
        <v>stupider</v>
      </c>
    </row>
    <row r="11166">
      <c r="A11166" s="1" t="s">
        <v>11166</v>
      </c>
      <c r="B11166" s="2" t="str">
        <f>IFERROR(__xludf.DUMMYFUNCTION("GOOGLETRANSLATE(A11166, ""de"", ""en"")"),"process")</f>
        <v>process</v>
      </c>
    </row>
    <row r="11167">
      <c r="A11167" s="1" t="s">
        <v>11167</v>
      </c>
      <c r="B11167" s="2" t="str">
        <f>IFERROR(__xludf.DUMMYFUNCTION("GOOGLETRANSLATE(A11167, ""de"", ""en"")"),"rolls")</f>
        <v>rolls</v>
      </c>
    </row>
    <row r="11168">
      <c r="A11168" s="1" t="s">
        <v>11168</v>
      </c>
      <c r="B11168" s="2" t="str">
        <f>IFERROR(__xludf.DUMMYFUNCTION("GOOGLETRANSLATE(A11168, ""de"", ""en"")"),"microphone")</f>
        <v>microphone</v>
      </c>
    </row>
    <row r="11169">
      <c r="A11169" s="1" t="s">
        <v>11169</v>
      </c>
      <c r="B11169" s="2" t="str">
        <f>IFERROR(__xludf.DUMMYFUNCTION("GOOGLETRANSLATE(A11169, ""de"", ""en"")"),"wounded")</f>
        <v>wounded</v>
      </c>
    </row>
    <row r="11170">
      <c r="A11170" s="1" t="s">
        <v>11170</v>
      </c>
      <c r="B11170" s="2" t="str">
        <f>IFERROR(__xludf.DUMMYFUNCTION("GOOGLETRANSLATE(A11170, ""de"", ""en"")"),"agitated")</f>
        <v>agitated</v>
      </c>
    </row>
    <row r="11171">
      <c r="A11171" s="1" t="s">
        <v>11171</v>
      </c>
      <c r="B11171" s="2" t="str">
        <f>IFERROR(__xludf.DUMMYFUNCTION("GOOGLETRANSLATE(A11171, ""de"", ""en"")"),"air force")</f>
        <v>air force</v>
      </c>
    </row>
    <row r="11172">
      <c r="A11172" s="1" t="s">
        <v>11172</v>
      </c>
      <c r="B11172" s="2" t="str">
        <f>IFERROR(__xludf.DUMMYFUNCTION("GOOGLETRANSLATE(A11172, ""de"", ""en"")"),"meadow")</f>
        <v>meadow</v>
      </c>
    </row>
    <row r="11173">
      <c r="A11173" s="1" t="s">
        <v>11173</v>
      </c>
      <c r="B11173" s="2" t="str">
        <f>IFERROR(__xludf.DUMMYFUNCTION("GOOGLETRANSLATE(A11173, ""de"", ""en"")"),"shitty")</f>
        <v>shitty</v>
      </c>
    </row>
    <row r="11174">
      <c r="A11174" s="1" t="s">
        <v>11174</v>
      </c>
      <c r="B11174" s="2" t="str">
        <f>IFERROR(__xludf.DUMMYFUNCTION("GOOGLETRANSLATE(A11174, ""de"", ""en"")"),"disguise")</f>
        <v>disguise</v>
      </c>
    </row>
    <row r="11175">
      <c r="A11175" s="1" t="s">
        <v>11175</v>
      </c>
      <c r="B11175" s="2" t="str">
        <f>IFERROR(__xludf.DUMMYFUNCTION("GOOGLETRANSLATE(A11175, ""de"", ""en"")"),"Scarlett")</f>
        <v>Scarlett</v>
      </c>
    </row>
    <row r="11176">
      <c r="A11176" s="1" t="s">
        <v>11176</v>
      </c>
      <c r="B11176" s="2" t="str">
        <f>IFERROR(__xludf.DUMMYFUNCTION("GOOGLETRANSLATE(A11176, ""de"", ""en"")"),"intensive care unit")</f>
        <v>intensive care unit</v>
      </c>
    </row>
    <row r="11177">
      <c r="A11177" s="1" t="s">
        <v>11177</v>
      </c>
      <c r="B11177" s="2" t="str">
        <f>IFERROR(__xludf.DUMMYFUNCTION("GOOGLETRANSLATE(A11177, ""de"", ""en"")"),"loop")</f>
        <v>loop</v>
      </c>
    </row>
    <row r="11178">
      <c r="A11178" s="1" t="s">
        <v>11178</v>
      </c>
      <c r="B11178" s="2" t="str">
        <f>IFERROR(__xludf.DUMMYFUNCTION("GOOGLETRANSLATE(A11178, ""de"", ""en"")"),"meals")</f>
        <v>meals</v>
      </c>
    </row>
    <row r="11179">
      <c r="A11179" s="1" t="s">
        <v>11179</v>
      </c>
      <c r="B11179" s="2" t="str">
        <f>IFERROR(__xludf.DUMMYFUNCTION("GOOGLETRANSLATE(A11179, ""de"", ""en"")"),"list")</f>
        <v>list</v>
      </c>
    </row>
    <row r="11180">
      <c r="A11180" s="1" t="s">
        <v>11180</v>
      </c>
      <c r="B11180" s="2" t="str">
        <f>IFERROR(__xludf.DUMMYFUNCTION("GOOGLETRANSLATE(A11180, ""de"", ""en"")"),"handful")</f>
        <v>handful</v>
      </c>
    </row>
    <row r="11181">
      <c r="A11181" s="1" t="s">
        <v>11181</v>
      </c>
      <c r="B11181" s="2" t="str">
        <f>IFERROR(__xludf.DUMMYFUNCTION("GOOGLETRANSLATE(A11181, ""de"", ""en"")"),"leaned")</f>
        <v>leaned</v>
      </c>
    </row>
    <row r="11182">
      <c r="A11182" s="1" t="s">
        <v>11182</v>
      </c>
      <c r="B11182" s="2" t="str">
        <f>IFERROR(__xludf.DUMMYFUNCTION("GOOGLETRANSLATE(A11182, ""de"", ""en"")"),"strongest")</f>
        <v>strongest</v>
      </c>
    </row>
    <row r="11183">
      <c r="A11183" s="1" t="s">
        <v>11183</v>
      </c>
      <c r="B11183" s="2" t="str">
        <f>IFERROR(__xludf.DUMMYFUNCTION("GOOGLETRANSLATE(A11183, ""de"", ""en"")"),"piece of evidence")</f>
        <v>piece of evidence</v>
      </c>
    </row>
    <row r="11184">
      <c r="A11184" s="1" t="s">
        <v>11184</v>
      </c>
      <c r="B11184" s="2" t="str">
        <f>IFERROR(__xludf.DUMMYFUNCTION("GOOGLETRANSLATE(A11184, ""de"", ""en"")"),"pretty")</f>
        <v>pretty</v>
      </c>
    </row>
    <row r="11185">
      <c r="A11185" s="1" t="s">
        <v>11185</v>
      </c>
      <c r="B11185" s="2" t="str">
        <f>IFERROR(__xludf.DUMMYFUNCTION("GOOGLETRANSLATE(A11185, ""de"", ""en"")"),"unique")</f>
        <v>unique</v>
      </c>
    </row>
    <row r="11186">
      <c r="A11186" s="1" t="s">
        <v>11186</v>
      </c>
      <c r="B11186" s="2" t="str">
        <f>IFERROR(__xludf.DUMMYFUNCTION("GOOGLETRANSLATE(A11186, ""de"", ""en"")"),"brains")</f>
        <v>brains</v>
      </c>
    </row>
    <row r="11187">
      <c r="A11187" s="1" t="s">
        <v>11187</v>
      </c>
      <c r="B11187" s="2" t="str">
        <f>IFERROR(__xludf.DUMMYFUNCTION("GOOGLETRANSLATE(A11187, ""de"", ""en"")"),"pepper")</f>
        <v>pepper</v>
      </c>
    </row>
    <row r="11188">
      <c r="A11188" s="1" t="s">
        <v>11188</v>
      </c>
      <c r="B11188" s="2" t="str">
        <f>IFERROR(__xludf.DUMMYFUNCTION("GOOGLETRANSLATE(A11188, ""de"", ""en"")"),"give in")</f>
        <v>give in</v>
      </c>
    </row>
    <row r="11189">
      <c r="A11189" s="1" t="s">
        <v>11189</v>
      </c>
      <c r="B11189" s="2" t="str">
        <f>IFERROR(__xludf.DUMMYFUNCTION("GOOGLETRANSLATE(A11189, ""de"", ""en"")"),"Pittsburgh")</f>
        <v>Pittsburgh</v>
      </c>
    </row>
    <row r="11190">
      <c r="A11190" s="1" t="s">
        <v>11190</v>
      </c>
      <c r="B11190" s="2" t="str">
        <f>IFERROR(__xludf.DUMMYFUNCTION("GOOGLETRANSLATE(A11190, ""de"", ""en"")"),"stage")</f>
        <v>stage</v>
      </c>
    </row>
    <row r="11191">
      <c r="A11191" s="1" t="s">
        <v>11191</v>
      </c>
      <c r="B11191" s="2" t="str">
        <f>IFERROR(__xludf.DUMMYFUNCTION("GOOGLETRANSLATE(A11191, ""de"", ""en"")"),"argued")</f>
        <v>argued</v>
      </c>
    </row>
    <row r="11192">
      <c r="A11192" s="1" t="s">
        <v>11192</v>
      </c>
      <c r="B11192" s="2" t="str">
        <f>IFERROR(__xludf.DUMMYFUNCTION("GOOGLETRANSLATE(A11192, ""de"", ""en"")"),"jam")</f>
        <v>jam</v>
      </c>
    </row>
    <row r="11193">
      <c r="A11193" s="1" t="s">
        <v>11193</v>
      </c>
      <c r="B11193" s="2" t="str">
        <f>IFERROR(__xludf.DUMMYFUNCTION("GOOGLETRANSLATE(A11193, ""de"", ""en"")"),"immortality")</f>
        <v>immortality</v>
      </c>
    </row>
    <row r="11194">
      <c r="A11194" s="1" t="s">
        <v>11194</v>
      </c>
      <c r="B11194" s="2" t="str">
        <f>IFERROR(__xludf.DUMMYFUNCTION("GOOGLETRANSLATE(A11194, ""de"", ""en"")"),"karev")</f>
        <v>karev</v>
      </c>
    </row>
    <row r="11195">
      <c r="A11195" s="1" t="s">
        <v>11195</v>
      </c>
      <c r="B11195" s="2" t="str">
        <f>IFERROR(__xludf.DUMMYFUNCTION("GOOGLETRANSLATE(A11195, ""de"", ""en"")"),"Ginny")</f>
        <v>Ginny</v>
      </c>
    </row>
    <row r="11196">
      <c r="A11196" s="1" t="s">
        <v>11196</v>
      </c>
      <c r="B11196" s="2" t="str">
        <f>IFERROR(__xludf.DUMMYFUNCTION("GOOGLETRANSLATE(A11196, ""de"", ""en"")"),"neigh")</f>
        <v>neigh</v>
      </c>
    </row>
    <row r="11197">
      <c r="A11197" s="1" t="s">
        <v>11197</v>
      </c>
      <c r="B11197" s="2" t="str">
        <f>IFERROR(__xludf.DUMMYFUNCTION("GOOGLETRANSLATE(A11197, ""de"", ""en"")"),"knowledge")</f>
        <v>knowledge</v>
      </c>
    </row>
    <row r="11198">
      <c r="A11198" s="1" t="s">
        <v>11198</v>
      </c>
      <c r="B11198" s="2" t="str">
        <f>IFERROR(__xludf.DUMMYFUNCTION("GOOGLETRANSLATE(A11198, ""de"", ""en"")"),"awakened")</f>
        <v>awakened</v>
      </c>
    </row>
    <row r="11199">
      <c r="A11199" s="1" t="s">
        <v>11199</v>
      </c>
      <c r="B11199" s="2" t="str">
        <f>IFERROR(__xludf.DUMMYFUNCTION("GOOGLETRANSLATE(A11199, ""de"", ""en"")"),"category")</f>
        <v>category</v>
      </c>
    </row>
    <row r="11200">
      <c r="A11200" s="1" t="s">
        <v>11200</v>
      </c>
      <c r="B11200" s="2" t="str">
        <f>IFERROR(__xludf.DUMMYFUNCTION("GOOGLETRANSLATE(A11200, ""de"", ""en"")"),"overwhelming")</f>
        <v>overwhelming</v>
      </c>
    </row>
    <row r="11201">
      <c r="A11201" s="1" t="s">
        <v>11201</v>
      </c>
      <c r="B11201" s="2" t="str">
        <f>IFERROR(__xludf.DUMMYFUNCTION("GOOGLETRANSLATE(A11201, ""de"", ""en"")"),"underwood")</f>
        <v>underwood</v>
      </c>
    </row>
    <row r="11202">
      <c r="A11202" s="1" t="s">
        <v>11202</v>
      </c>
      <c r="B11202" s="2" t="str">
        <f>IFERROR(__xludf.DUMMYFUNCTION("GOOGLETRANSLATE(A11202, ""de"", ""en"")"),"neelix")</f>
        <v>neelix</v>
      </c>
    </row>
    <row r="11203">
      <c r="A11203" s="1" t="s">
        <v>11203</v>
      </c>
      <c r="B11203" s="2" t="str">
        <f>IFERROR(__xludf.DUMMYFUNCTION("GOOGLETRANSLATE(A11203, ""de"", ""en"")"),"explosions")</f>
        <v>explosions</v>
      </c>
    </row>
    <row r="11204">
      <c r="A11204" s="1" t="s">
        <v>11204</v>
      </c>
      <c r="B11204" s="2" t="str">
        <f>IFERROR(__xludf.DUMMYFUNCTION("GOOGLETRANSLATE(A11204, ""de"", ""en"")"),"telephone booth")</f>
        <v>telephone booth</v>
      </c>
    </row>
    <row r="11205">
      <c r="A11205" s="1" t="s">
        <v>11205</v>
      </c>
      <c r="B11205" s="2" t="str">
        <f>IFERROR(__xludf.DUMMYFUNCTION("GOOGLETRANSLATE(A11205, ""de"", ""en"")"),"plaza")</f>
        <v>plaza</v>
      </c>
    </row>
    <row r="11206">
      <c r="A11206" s="1" t="s">
        <v>11206</v>
      </c>
      <c r="B11206" s="2" t="str">
        <f>IFERROR(__xludf.DUMMYFUNCTION("GOOGLETRANSLATE(A11206, ""de"", ""en"")"),"close")</f>
        <v>close</v>
      </c>
    </row>
    <row r="11207">
      <c r="A11207" s="1" t="s">
        <v>11207</v>
      </c>
      <c r="B11207" s="2" t="str">
        <f>IFERROR(__xludf.DUMMYFUNCTION("GOOGLETRANSLATE(A11207, ""de"", ""en"")"),"announced")</f>
        <v>announced</v>
      </c>
    </row>
    <row r="11208">
      <c r="A11208" s="1" t="s">
        <v>11208</v>
      </c>
      <c r="B11208" s="2" t="str">
        <f>IFERROR(__xludf.DUMMYFUNCTION("GOOGLETRANSLATE(A11208, ""de"", ""en"")"),"western")</f>
        <v>western</v>
      </c>
    </row>
    <row r="11209">
      <c r="A11209" s="1" t="s">
        <v>11209</v>
      </c>
      <c r="B11209" s="2" t="str">
        <f>IFERROR(__xludf.DUMMYFUNCTION("GOOGLETRANSLATE(A11209, ""de"", ""en"")"),"paragraph")</f>
        <v>paragraph</v>
      </c>
    </row>
    <row r="11210">
      <c r="A11210" s="1" t="s">
        <v>11210</v>
      </c>
      <c r="B11210" s="2" t="str">
        <f>IFERROR(__xludf.DUMMYFUNCTION("GOOGLETRANSLATE(A11210, ""de"", ""en"")"),"describes")</f>
        <v>describes</v>
      </c>
    </row>
    <row r="11211">
      <c r="A11211" s="1" t="s">
        <v>11211</v>
      </c>
      <c r="B11211" s="2" t="str">
        <f>IFERROR(__xludf.DUMMYFUNCTION("GOOGLETRANSLATE(A11211, ""de"", ""en"")"),"learn")</f>
        <v>learn</v>
      </c>
    </row>
    <row r="11212">
      <c r="A11212" s="1" t="s">
        <v>11212</v>
      </c>
      <c r="B11212" s="2" t="str">
        <f>IFERROR(__xludf.DUMMYFUNCTION("GOOGLETRANSLATE(A11212, ""de"", ""en"")"),"Main")</f>
        <v>Main</v>
      </c>
    </row>
    <row r="11213">
      <c r="A11213" s="1" t="s">
        <v>11213</v>
      </c>
      <c r="B11213" s="2" t="str">
        <f>IFERROR(__xludf.DUMMYFUNCTION("GOOGLETRANSLATE(A11213, ""de"", ""en"")"),"rest")</f>
        <v>rest</v>
      </c>
    </row>
    <row r="11214">
      <c r="A11214" s="1" t="s">
        <v>11214</v>
      </c>
      <c r="B11214" s="2" t="str">
        <f>IFERROR(__xludf.DUMMYFUNCTION("GOOGLETRANSLATE(A11214, ""de"", ""en"")"),"easy")</f>
        <v>easy</v>
      </c>
    </row>
    <row r="11215">
      <c r="A11215" s="1" t="s">
        <v>11215</v>
      </c>
      <c r="B11215" s="2" t="str">
        <f>IFERROR(__xludf.DUMMYFUNCTION("GOOGLETRANSLATE(A11215, ""de"", ""en"")"),"repent")</f>
        <v>repent</v>
      </c>
    </row>
    <row r="11216">
      <c r="A11216" s="1" t="s">
        <v>11216</v>
      </c>
      <c r="B11216" s="2" t="str">
        <f>IFERROR(__xludf.DUMMYFUNCTION("GOOGLETRANSLATE(A11216, ""de"", ""en"")"),"missing")</f>
        <v>missing</v>
      </c>
    </row>
    <row r="11217">
      <c r="A11217" s="1" t="s">
        <v>11217</v>
      </c>
      <c r="B11217" s="2" t="str">
        <f>IFERROR(__xludf.DUMMYFUNCTION("GOOGLETRANSLATE(A11217, ""de"", ""en"")"),"decent")</f>
        <v>decent</v>
      </c>
    </row>
    <row r="11218">
      <c r="A11218" s="1" t="s">
        <v>11218</v>
      </c>
      <c r="B11218" s="2" t="str">
        <f>IFERROR(__xludf.DUMMYFUNCTION("GOOGLETRANSLATE(A11218, ""de"", ""en"")"),"more often")</f>
        <v>more often</v>
      </c>
    </row>
    <row r="11219">
      <c r="A11219" s="1" t="s">
        <v>11219</v>
      </c>
      <c r="B11219" s="2" t="str">
        <f>IFERROR(__xludf.DUMMYFUNCTION("GOOGLETRANSLATE(A11219, ""de"", ""en"")"),"boo")</f>
        <v>boo</v>
      </c>
    </row>
    <row r="11220">
      <c r="A11220" s="1" t="s">
        <v>11220</v>
      </c>
      <c r="B11220" s="2" t="str">
        <f>IFERROR(__xludf.DUMMYFUNCTION("GOOGLETRANSLATE(A11220, ""de"", ""en"")"),"at the beginning")</f>
        <v>at the beginning</v>
      </c>
    </row>
    <row r="11221">
      <c r="A11221" s="1" t="s">
        <v>11221</v>
      </c>
      <c r="B11221" s="2" t="str">
        <f>IFERROR(__xludf.DUMMYFUNCTION("GOOGLETRANSLATE(A11221, ""de"", ""en"")"),"found")</f>
        <v>found</v>
      </c>
    </row>
    <row r="11222">
      <c r="A11222" s="1" t="s">
        <v>11222</v>
      </c>
      <c r="B11222" s="2" t="str">
        <f>IFERROR(__xludf.DUMMYFUNCTION("GOOGLETRANSLATE(A11222, ""de"", ""en"")"),"yeah yeah")</f>
        <v>yeah yeah</v>
      </c>
    </row>
    <row r="11223">
      <c r="A11223" s="1" t="s">
        <v>11223</v>
      </c>
      <c r="B11223" s="2" t="str">
        <f>IFERROR(__xludf.DUMMYFUNCTION("GOOGLETRANSLATE(A11223, ""de"", ""en"")"),"poisonous")</f>
        <v>poisonous</v>
      </c>
    </row>
    <row r="11224">
      <c r="A11224" s="1" t="s">
        <v>11224</v>
      </c>
      <c r="B11224" s="2" t="str">
        <f>IFERROR(__xludf.DUMMYFUNCTION("GOOGLETRANSLATE(A11224, ""de"", ""en"")"),"rush")</f>
        <v>rush</v>
      </c>
    </row>
    <row r="11225">
      <c r="A11225" s="1" t="s">
        <v>11225</v>
      </c>
      <c r="B11225" s="2" t="str">
        <f>IFERROR(__xludf.DUMMYFUNCTION("GOOGLETRANSLATE(A11225, ""de"", ""en"")"),"jarvis")</f>
        <v>jarvis</v>
      </c>
    </row>
    <row r="11226">
      <c r="A11226" s="1" t="s">
        <v>11226</v>
      </c>
      <c r="B11226" s="2" t="str">
        <f>IFERROR(__xludf.DUMMYFUNCTION("GOOGLETRANSLATE(A11226, ""de"", ""en"")"),"would be exalted")</f>
        <v>would be exalted</v>
      </c>
    </row>
    <row r="11227">
      <c r="A11227" s="1" t="s">
        <v>11227</v>
      </c>
      <c r="B11227" s="2" t="str">
        <f>IFERROR(__xludf.DUMMYFUNCTION("GOOGLETRANSLATE(A11227, ""de"", ""en"")"),"snails")</f>
        <v>snails</v>
      </c>
    </row>
    <row r="11228">
      <c r="A11228" s="1" t="s">
        <v>11228</v>
      </c>
      <c r="B11228" s="2" t="str">
        <f>IFERROR(__xludf.DUMMYFUNCTION("GOOGLETRANSLATE(A11228, ""de"", ""en"")"),"locals")</f>
        <v>locals</v>
      </c>
    </row>
    <row r="11229">
      <c r="A11229" s="1" t="s">
        <v>11229</v>
      </c>
      <c r="B11229" s="2" t="str">
        <f>IFERROR(__xludf.DUMMYFUNCTION("GOOGLETRANSLATE(A11229, ""de"", ""en"")"),"impossible ones")</f>
        <v>impossible ones</v>
      </c>
    </row>
    <row r="11230">
      <c r="A11230" s="1" t="s">
        <v>11230</v>
      </c>
      <c r="B11230" s="2" t="str">
        <f>IFERROR(__xludf.DUMMYFUNCTION("GOOGLETRANSLATE(A11230, ""de"", ""en"")"),"weaver")</f>
        <v>weaver</v>
      </c>
    </row>
    <row r="11231">
      <c r="A11231" s="1" t="s">
        <v>11231</v>
      </c>
      <c r="B11231" s="2" t="str">
        <f>IFERROR(__xludf.DUMMYFUNCTION("GOOGLETRANSLATE(A11231, ""de"", ""en"")"),"release")</f>
        <v>release</v>
      </c>
    </row>
    <row r="11232">
      <c r="A11232" s="1" t="s">
        <v>11232</v>
      </c>
      <c r="B11232" s="2" t="str">
        <f>IFERROR(__xludf.DUMMYFUNCTION("GOOGLETRANSLATE(A11232, ""de"", ""en"")"),"strange")</f>
        <v>strange</v>
      </c>
    </row>
    <row r="11233">
      <c r="A11233" s="1" t="s">
        <v>11233</v>
      </c>
      <c r="B11233" s="2" t="str">
        <f>IFERROR(__xludf.DUMMYFUNCTION("GOOGLETRANSLATE(A11233, ""de"", ""en"")"),"facade")</f>
        <v>facade</v>
      </c>
    </row>
    <row r="11234">
      <c r="A11234" s="1" t="s">
        <v>11234</v>
      </c>
      <c r="B11234" s="2" t="str">
        <f>IFERROR(__xludf.DUMMYFUNCTION("GOOGLETRANSLATE(A11234, ""de"", ""en"")"),"sniper")</f>
        <v>sniper</v>
      </c>
    </row>
    <row r="11235">
      <c r="A11235" s="1" t="s">
        <v>11235</v>
      </c>
      <c r="B11235" s="2" t="str">
        <f>IFERROR(__xludf.DUMMYFUNCTION("GOOGLETRANSLATE(A11235, ""de"", ""en"")"),"inquiry")</f>
        <v>inquiry</v>
      </c>
    </row>
    <row r="11236">
      <c r="A11236" s="1" t="s">
        <v>11236</v>
      </c>
      <c r="B11236" s="2" t="str">
        <f>IFERROR(__xludf.DUMMYFUNCTION("GOOGLETRANSLATE(A11236, ""de"", ""en"")"),"moved")</f>
        <v>moved</v>
      </c>
    </row>
    <row r="11237">
      <c r="A11237" s="1" t="s">
        <v>11237</v>
      </c>
      <c r="B11237" s="2" t="str">
        <f>IFERROR(__xludf.DUMMYFUNCTION("GOOGLETRANSLATE(A11237, ""de"", ""en"")"),"ex-husband")</f>
        <v>ex-husband</v>
      </c>
    </row>
    <row r="11238">
      <c r="A11238" s="1" t="s">
        <v>11238</v>
      </c>
      <c r="B11238" s="2" t="str">
        <f>IFERROR(__xludf.DUMMYFUNCTION("GOOGLETRANSLATE(A11238, ""de"", ""en"")"),"photographers")</f>
        <v>photographers</v>
      </c>
    </row>
    <row r="11239">
      <c r="A11239" s="1" t="s">
        <v>11239</v>
      </c>
      <c r="B11239" s="2" t="str">
        <f>IFERROR(__xludf.DUMMYFUNCTION("GOOGLETRANSLATE(A11239, ""de"", ""en"")"),"monika")</f>
        <v>monika</v>
      </c>
    </row>
    <row r="11240">
      <c r="A11240" s="1" t="s">
        <v>11240</v>
      </c>
      <c r="B11240" s="2" t="str">
        <f>IFERROR(__xludf.DUMMYFUNCTION("GOOGLETRANSLATE(A11240, ""de"", ""en"")"),"cardassian")</f>
        <v>cardassian</v>
      </c>
    </row>
    <row r="11241">
      <c r="A11241" s="1" t="s">
        <v>11241</v>
      </c>
      <c r="B11241" s="2" t="str">
        <f>IFERROR(__xludf.DUMMYFUNCTION("GOOGLETRANSLATE(A11241, ""de"", ""en"")"),"solid")</f>
        <v>solid</v>
      </c>
    </row>
    <row r="11242">
      <c r="A11242" s="1" t="s">
        <v>11242</v>
      </c>
      <c r="B11242" s="2" t="str">
        <f>IFERROR(__xludf.DUMMYFUNCTION("GOOGLETRANSLATE(A11242, ""de"", ""en"")"),"look at")</f>
        <v>look at</v>
      </c>
    </row>
    <row r="11243">
      <c r="A11243" s="1" t="s">
        <v>11243</v>
      </c>
      <c r="B11243" s="2" t="str">
        <f>IFERROR(__xludf.DUMMYFUNCTION("GOOGLETRANSLATE(A11243, ""de"", ""en"")"),"Friday evening")</f>
        <v>Friday evening</v>
      </c>
    </row>
    <row r="11244">
      <c r="A11244" s="1" t="s">
        <v>11244</v>
      </c>
      <c r="B11244" s="2" t="str">
        <f>IFERROR(__xludf.DUMMYFUNCTION("GOOGLETRANSLATE(A11244, ""de"", ""en"")"),"laid")</f>
        <v>laid</v>
      </c>
    </row>
    <row r="11245">
      <c r="A11245" s="1" t="s">
        <v>11245</v>
      </c>
      <c r="B11245" s="2" t="str">
        <f>IFERROR(__xludf.DUMMYFUNCTION("GOOGLETRANSLATE(A11245, ""de"", ""en"")"),"gossip")</f>
        <v>gossip</v>
      </c>
    </row>
    <row r="11246">
      <c r="A11246" s="1" t="s">
        <v>11246</v>
      </c>
      <c r="B11246" s="2" t="str">
        <f>IFERROR(__xludf.DUMMYFUNCTION("GOOGLETRANSLATE(A11246, ""de"", ""en"")"),"dewey")</f>
        <v>dewey</v>
      </c>
    </row>
    <row r="11247">
      <c r="A11247" s="1" t="s">
        <v>11247</v>
      </c>
      <c r="B11247" s="2" t="str">
        <f>IFERROR(__xludf.DUMMYFUNCTION("GOOGLETRANSLATE(A11247, ""de"", ""en"")"),"fate")</f>
        <v>fate</v>
      </c>
    </row>
    <row r="11248">
      <c r="A11248" s="1" t="s">
        <v>11248</v>
      </c>
      <c r="B11248" s="2" t="str">
        <f>IFERROR(__xludf.DUMMYFUNCTION("GOOGLETRANSLATE(A11248, ""de"", ""en"")"),"stubborn")</f>
        <v>stubborn</v>
      </c>
    </row>
    <row r="11249">
      <c r="A11249" s="1" t="s">
        <v>11249</v>
      </c>
      <c r="B11249" s="2" t="str">
        <f>IFERROR(__xludf.DUMMYFUNCTION("GOOGLETRANSLATE(A11249, ""de"", ""en"")"),"bars")</f>
        <v>bars</v>
      </c>
    </row>
    <row r="11250">
      <c r="A11250" s="1" t="s">
        <v>11250</v>
      </c>
      <c r="B11250" s="2" t="str">
        <f>IFERROR(__xludf.DUMMYFUNCTION("GOOGLETRANSLATE(A11250, ""de"", ""en"")"),"Paddy")</f>
        <v>Paddy</v>
      </c>
    </row>
    <row r="11251">
      <c r="A11251" s="1" t="s">
        <v>11251</v>
      </c>
      <c r="B11251" s="2" t="str">
        <f>IFERROR(__xludf.DUMMYFUNCTION("GOOGLETRANSLATE(A11251, ""de"", ""en"")"),"immediate")</f>
        <v>immediate</v>
      </c>
    </row>
    <row r="11252">
      <c r="A11252" s="1" t="s">
        <v>11252</v>
      </c>
      <c r="B11252" s="2" t="str">
        <f>IFERROR(__xludf.DUMMYFUNCTION("GOOGLETRANSLATE(A11252, ""de"", ""en"")"),"coast guard")</f>
        <v>coast guard</v>
      </c>
    </row>
    <row r="11253">
      <c r="A11253" s="1" t="s">
        <v>11253</v>
      </c>
      <c r="B11253" s="2" t="str">
        <f>IFERROR(__xludf.DUMMYFUNCTION("GOOGLETRANSLATE(A11253, ""de"", ""en"")"),"horrified")</f>
        <v>horrified</v>
      </c>
    </row>
    <row r="11254">
      <c r="A11254" s="1" t="s">
        <v>11254</v>
      </c>
      <c r="B11254" s="2" t="str">
        <f>IFERROR(__xludf.DUMMYFUNCTION("GOOGLETRANSLATE(A11254, ""de"", ""en"")"),"moe")</f>
        <v>moe</v>
      </c>
    </row>
    <row r="11255">
      <c r="A11255" s="1" t="s">
        <v>11255</v>
      </c>
      <c r="B11255" s="2" t="str">
        <f>IFERROR(__xludf.DUMMYFUNCTION("GOOGLETRANSLATE(A11255, ""de"", ""en"")"),"noble")</f>
        <v>noble</v>
      </c>
    </row>
    <row r="11256">
      <c r="A11256" s="1" t="s">
        <v>11256</v>
      </c>
      <c r="B11256" s="2" t="str">
        <f>IFERROR(__xludf.DUMMYFUNCTION("GOOGLETRANSLATE(A11256, ""de"", ""en"")"),"unnoticed")</f>
        <v>unnoticed</v>
      </c>
    </row>
    <row r="11257">
      <c r="A11257" s="1" t="s">
        <v>11257</v>
      </c>
      <c r="B11257" s="2" t="str">
        <f>IFERROR(__xludf.DUMMYFUNCTION("GOOGLETRANSLATE(A11257, ""de"", ""en"")"),"religious")</f>
        <v>religious</v>
      </c>
    </row>
    <row r="11258">
      <c r="A11258" s="1" t="s">
        <v>11258</v>
      </c>
      <c r="B11258" s="2" t="str">
        <f>IFERROR(__xludf.DUMMYFUNCTION("GOOGLETRANSLATE(A11258, ""de"", ""en"")"),"slices")</f>
        <v>slices</v>
      </c>
    </row>
    <row r="11259">
      <c r="A11259" s="1" t="s">
        <v>11259</v>
      </c>
      <c r="B11259" s="2" t="str">
        <f>IFERROR(__xludf.DUMMYFUNCTION("GOOGLETRANSLATE(A11259, ""de"", ""en"")"),"plan")</f>
        <v>plan</v>
      </c>
    </row>
    <row r="11260">
      <c r="A11260" s="1" t="s">
        <v>11260</v>
      </c>
      <c r="B11260" s="2" t="str">
        <f>IFERROR(__xludf.DUMMYFUNCTION("GOOGLETRANSLATE(A11260, ""de"", ""en"")"),"grind")</f>
        <v>grind</v>
      </c>
    </row>
    <row r="11261">
      <c r="A11261" s="1" t="s">
        <v>11261</v>
      </c>
      <c r="B11261" s="2" t="str">
        <f>IFERROR(__xludf.DUMMYFUNCTION("GOOGLETRANSLATE(A11261, ""de"", ""en"")"),"more wonderful")</f>
        <v>more wonderful</v>
      </c>
    </row>
    <row r="11262">
      <c r="A11262" s="1" t="s">
        <v>11262</v>
      </c>
      <c r="B11262" s="2" t="str">
        <f>IFERROR(__xludf.DUMMYFUNCTION("GOOGLETRANSLATE(A11262, ""de"", ""en"")"),"Mozart")</f>
        <v>Mozart</v>
      </c>
    </row>
    <row r="11263">
      <c r="A11263" s="1" t="s">
        <v>11263</v>
      </c>
      <c r="B11263" s="2" t="str">
        <f>IFERROR(__xludf.DUMMYFUNCTION("GOOGLETRANSLATE(A11263, ""de"", ""en"")"),"Shelly")</f>
        <v>Shelly</v>
      </c>
    </row>
    <row r="11264">
      <c r="A11264" s="1" t="s">
        <v>11264</v>
      </c>
      <c r="B11264" s="2" t="str">
        <f>IFERROR(__xludf.DUMMYFUNCTION("GOOGLETRANSLATE(A11264, ""de"", ""en"")"),"depressing")</f>
        <v>depressing</v>
      </c>
    </row>
    <row r="11265">
      <c r="A11265" s="1" t="s">
        <v>11265</v>
      </c>
      <c r="B11265" s="2" t="str">
        <f>IFERROR(__xludf.DUMMYFUNCTION("GOOGLETRANSLATE(A11265, ""de"", ""en"")"),"uncle's")</f>
        <v>uncle's</v>
      </c>
    </row>
    <row r="11266">
      <c r="A11266" s="1" t="s">
        <v>11266</v>
      </c>
      <c r="B11266" s="2" t="str">
        <f>IFERROR(__xludf.DUMMYFUNCTION("GOOGLETRANSLATE(A11266, ""de"", ""en"")"),"jade")</f>
        <v>jade</v>
      </c>
    </row>
    <row r="11267">
      <c r="A11267" s="1" t="s">
        <v>11267</v>
      </c>
      <c r="B11267" s="2" t="str">
        <f>IFERROR(__xludf.DUMMYFUNCTION("GOOGLETRANSLATE(A11267, ""de"", ""en"")"),"pole")</f>
        <v>pole</v>
      </c>
    </row>
    <row r="11268">
      <c r="A11268" s="1" t="s">
        <v>11268</v>
      </c>
      <c r="B11268" s="2" t="str">
        <f>IFERROR(__xludf.DUMMYFUNCTION("GOOGLETRANSLATE(A11268, ""de"", ""en"")"),"thanks")</f>
        <v>thanks</v>
      </c>
    </row>
    <row r="11269">
      <c r="A11269" s="1" t="s">
        <v>11269</v>
      </c>
      <c r="B11269" s="2" t="str">
        <f>IFERROR(__xludf.DUMMYFUNCTION("GOOGLETRANSLATE(A11269, ""de"", ""en"")"),"fi")</f>
        <v>fi</v>
      </c>
    </row>
    <row r="11270">
      <c r="A11270" s="1" t="s">
        <v>11270</v>
      </c>
      <c r="B11270" s="2" t="str">
        <f>IFERROR(__xludf.DUMMYFUNCTION("GOOGLETRANSLATE(A11270, ""de"", ""en"")"),"harmony")</f>
        <v>harmony</v>
      </c>
    </row>
    <row r="11271">
      <c r="A11271" s="1" t="s">
        <v>11271</v>
      </c>
      <c r="B11271" s="2" t="str">
        <f>IFERROR(__xludf.DUMMYFUNCTION("GOOGLETRANSLATE(A11271, ""de"", ""en"")"),"Alexandra")</f>
        <v>Alexandra</v>
      </c>
    </row>
    <row r="11272">
      <c r="A11272" s="1" t="s">
        <v>11272</v>
      </c>
      <c r="B11272" s="2" t="str">
        <f>IFERROR(__xludf.DUMMYFUNCTION("GOOGLETRANSLATE(A11272, ""de"", ""en"")"),"Jacqueline")</f>
        <v>Jacqueline</v>
      </c>
    </row>
    <row r="11273">
      <c r="A11273" s="1" t="s">
        <v>11273</v>
      </c>
      <c r="B11273" s="2" t="str">
        <f>IFERROR(__xludf.DUMMYFUNCTION("GOOGLETRANSLATE(A11273, ""de"", ""en"")"),"chalice")</f>
        <v>chalice</v>
      </c>
    </row>
    <row r="11274">
      <c r="A11274" s="1" t="s">
        <v>11274</v>
      </c>
      <c r="B11274" s="2" t="str">
        <f>IFERROR(__xludf.DUMMYFUNCTION("GOOGLETRANSLATE(A11274, ""de"", ""en"")"),"reddington")</f>
        <v>reddington</v>
      </c>
    </row>
    <row r="11275">
      <c r="A11275" s="1" t="s">
        <v>11275</v>
      </c>
      <c r="B11275" s="2" t="str">
        <f>IFERROR(__xludf.DUMMYFUNCTION("GOOGLETRANSLATE(A11275, ""de"", ""en"")"),"guardian")</f>
        <v>guardian</v>
      </c>
    </row>
    <row r="11276">
      <c r="A11276" s="1" t="s">
        <v>11276</v>
      </c>
      <c r="B11276" s="2" t="str">
        <f>IFERROR(__xludf.DUMMYFUNCTION("GOOGLETRANSLATE(A11276, ""de"", ""en"")"),"current")</f>
        <v>current</v>
      </c>
    </row>
    <row r="11277">
      <c r="A11277" s="1" t="s">
        <v>11277</v>
      </c>
      <c r="B11277" s="2" t="str">
        <f>IFERROR(__xludf.DUMMYFUNCTION("GOOGLETRANSLATE(A11277, ""de"", ""en"")"),"book")</f>
        <v>book</v>
      </c>
    </row>
    <row r="11278">
      <c r="A11278" s="1" t="s">
        <v>11278</v>
      </c>
      <c r="B11278" s="2" t="str">
        <f>IFERROR(__xludf.DUMMYFUNCTION("GOOGLETRANSLATE(A11278, ""de"", ""en"")"),"bar")</f>
        <v>bar</v>
      </c>
    </row>
    <row r="11279">
      <c r="A11279" s="1" t="s">
        <v>11279</v>
      </c>
      <c r="B11279" s="2" t="str">
        <f>IFERROR(__xludf.DUMMYFUNCTION("GOOGLETRANSLATE(A11279, ""de"", ""en"")"),"dee")</f>
        <v>dee</v>
      </c>
    </row>
    <row r="11280">
      <c r="A11280" s="1" t="s">
        <v>11280</v>
      </c>
      <c r="B11280" s="2" t="str">
        <f>IFERROR(__xludf.DUMMYFUNCTION("GOOGLETRANSLATE(A11280, ""de"", ""en"")"),"enlightened")</f>
        <v>enlightened</v>
      </c>
    </row>
    <row r="11281">
      <c r="A11281" s="1" t="s">
        <v>11281</v>
      </c>
      <c r="B11281" s="2" t="str">
        <f>IFERROR(__xludf.DUMMYFUNCTION("GOOGLETRANSLATE(A11281, ""de"", ""en"")"),"short")</f>
        <v>short</v>
      </c>
    </row>
    <row r="11282">
      <c r="A11282" s="1" t="s">
        <v>11282</v>
      </c>
      <c r="B11282" s="2" t="str">
        <f>IFERROR(__xludf.DUMMYFUNCTION("GOOGLETRANSLATE(A11282, ""de"", ""en"")"),"foreign ministry")</f>
        <v>foreign ministry</v>
      </c>
    </row>
    <row r="11283">
      <c r="A11283" s="1" t="s">
        <v>11283</v>
      </c>
      <c r="B11283" s="2" t="str">
        <f>IFERROR(__xludf.DUMMYFUNCTION("GOOGLETRANSLATE(A11283, ""de"", ""en"")"),"wheeler")</f>
        <v>wheeler</v>
      </c>
    </row>
    <row r="11284">
      <c r="A11284" s="1" t="s">
        <v>11284</v>
      </c>
      <c r="B11284" s="2" t="str">
        <f>IFERROR(__xludf.DUMMYFUNCTION("GOOGLETRANSLATE(A11284, ""de"", ""en"")"),"adios")</f>
        <v>adios</v>
      </c>
    </row>
    <row r="11285">
      <c r="A11285" s="1" t="s">
        <v>11285</v>
      </c>
      <c r="B11285" s="2" t="str">
        <f>IFERROR(__xludf.DUMMYFUNCTION("GOOGLETRANSLATE(A11285, ""de"", ""en"")"),"arrest")</f>
        <v>arrest</v>
      </c>
    </row>
    <row r="11286">
      <c r="A11286" s="1" t="s">
        <v>11286</v>
      </c>
      <c r="B11286" s="2" t="str">
        <f>IFERROR(__xludf.DUMMYFUNCTION("GOOGLETRANSLATE(A11286, ""de"", ""en"")"),"oxford")</f>
        <v>oxford</v>
      </c>
    </row>
    <row r="11287">
      <c r="A11287" s="1" t="s">
        <v>11287</v>
      </c>
      <c r="B11287" s="2" t="str">
        <f>IFERROR(__xludf.DUMMYFUNCTION("GOOGLETRANSLATE(A11287, ""de"", ""en"")"),"form of life")</f>
        <v>form of life</v>
      </c>
    </row>
    <row r="11288">
      <c r="A11288" s="1" t="s">
        <v>11288</v>
      </c>
      <c r="B11288" s="2" t="str">
        <f>IFERROR(__xludf.DUMMYFUNCTION("GOOGLETRANSLATE(A11288, ""de"", ""en"")"),"clint")</f>
        <v>clint</v>
      </c>
    </row>
    <row r="11289">
      <c r="A11289" s="1" t="s">
        <v>11289</v>
      </c>
      <c r="B11289" s="2" t="str">
        <f>IFERROR(__xludf.DUMMYFUNCTION("GOOGLETRANSLATE(A11289, ""de"", ""en"")"),"touches")</f>
        <v>touches</v>
      </c>
    </row>
    <row r="11290">
      <c r="A11290" s="1" t="s">
        <v>11290</v>
      </c>
      <c r="B11290" s="2" t="str">
        <f>IFERROR(__xludf.DUMMYFUNCTION("GOOGLETRANSLATE(A11290, ""de"", ""en"")"),"organized")</f>
        <v>organized</v>
      </c>
    </row>
    <row r="11291">
      <c r="A11291" s="1" t="s">
        <v>11291</v>
      </c>
      <c r="B11291" s="2" t="str">
        <f>IFERROR(__xludf.DUMMYFUNCTION("GOOGLETRANSLATE(A11291, ""de"", ""en"")"),"surrounded")</f>
        <v>surrounded</v>
      </c>
    </row>
    <row r="11292">
      <c r="A11292" s="1" t="s">
        <v>11292</v>
      </c>
      <c r="B11292" s="2" t="str">
        <f>IFERROR(__xludf.DUMMYFUNCTION("GOOGLETRANSLATE(A11292, ""de"", ""en"")"),"relates")</f>
        <v>relates</v>
      </c>
    </row>
    <row r="11293">
      <c r="A11293" s="1" t="s">
        <v>11293</v>
      </c>
      <c r="B11293" s="2" t="str">
        <f>IFERROR(__xludf.DUMMYFUNCTION("GOOGLETRANSLATE(A11293, ""de"", ""en"")"),"occupation")</f>
        <v>occupation</v>
      </c>
    </row>
    <row r="11294">
      <c r="A11294" s="1" t="s">
        <v>11294</v>
      </c>
      <c r="B11294" s="2" t="str">
        <f>IFERROR(__xludf.DUMMYFUNCTION("GOOGLETRANSLATE(A11294, ""de"", ""en"")"),"murdock")</f>
        <v>murdock</v>
      </c>
    </row>
    <row r="11295">
      <c r="A11295" s="1" t="s">
        <v>11295</v>
      </c>
      <c r="B11295" s="2" t="str">
        <f>IFERROR(__xludf.DUMMYFUNCTION("GOOGLETRANSLATE(A11295, ""de"", ""en"")"),"cut")</f>
        <v>cut</v>
      </c>
    </row>
    <row r="11296">
      <c r="A11296" s="1" t="s">
        <v>11296</v>
      </c>
      <c r="B11296" s="2" t="str">
        <f>IFERROR(__xludf.DUMMYFUNCTION("GOOGLETRANSLATE(A11296, ""de"", ""en"")"),"criminal")</f>
        <v>criminal</v>
      </c>
    </row>
    <row r="11297">
      <c r="A11297" s="1" t="s">
        <v>11297</v>
      </c>
      <c r="B11297" s="2" t="str">
        <f>IFERROR(__xludf.DUMMYFUNCTION("GOOGLETRANSLATE(A11297, ""de"", ""en"")"),"internship")</f>
        <v>internship</v>
      </c>
    </row>
    <row r="11298">
      <c r="A11298" s="1" t="s">
        <v>11298</v>
      </c>
      <c r="B11298" s="2" t="str">
        <f>IFERROR(__xludf.DUMMYFUNCTION("GOOGLETRANSLATE(A11298, ""de"", ""en"")"),"big ones")</f>
        <v>big ones</v>
      </c>
    </row>
    <row r="11299">
      <c r="A11299" s="1" t="s">
        <v>11299</v>
      </c>
      <c r="B11299" s="2" t="str">
        <f>IFERROR(__xludf.DUMMYFUNCTION("GOOGLETRANSLATE(A11299, ""de"", ""en"")"),"offers")</f>
        <v>offers</v>
      </c>
    </row>
    <row r="11300">
      <c r="A11300" s="1" t="s">
        <v>11300</v>
      </c>
      <c r="B11300" s="2" t="str">
        <f>IFERROR(__xludf.DUMMYFUNCTION("GOOGLETRANSLATE(A11300, ""de"", ""en"")"),"martyr")</f>
        <v>martyr</v>
      </c>
    </row>
    <row r="11301">
      <c r="A11301" s="1" t="s">
        <v>11301</v>
      </c>
      <c r="B11301" s="2" t="str">
        <f>IFERROR(__xludf.DUMMYFUNCTION("GOOGLETRANSLATE(A11301, ""de"", ""en"")"),"bleed")</f>
        <v>bleed</v>
      </c>
    </row>
    <row r="11302">
      <c r="A11302" s="1" t="s">
        <v>11302</v>
      </c>
      <c r="B11302" s="2" t="str">
        <f>IFERROR(__xludf.DUMMYFUNCTION("GOOGLETRANSLATE(A11302, ""de"", ""en"")"),"start")</f>
        <v>start</v>
      </c>
    </row>
    <row r="11303">
      <c r="A11303" s="1" t="s">
        <v>11303</v>
      </c>
      <c r="B11303" s="2" t="str">
        <f>IFERROR(__xludf.DUMMYFUNCTION("GOOGLETRANSLATE(A11303, ""de"", ""en"")"),"kick")</f>
        <v>kick</v>
      </c>
    </row>
    <row r="11304">
      <c r="A11304" s="1" t="s">
        <v>11304</v>
      </c>
      <c r="B11304" s="2" t="str">
        <f>IFERROR(__xludf.DUMMYFUNCTION("GOOGLETRANSLATE(A11304, ""de"", ""en"")"),"passport")</f>
        <v>passport</v>
      </c>
    </row>
    <row r="11305">
      <c r="A11305" s="1" t="s">
        <v>11305</v>
      </c>
      <c r="B11305" s="2" t="str">
        <f>IFERROR(__xludf.DUMMYFUNCTION("GOOGLETRANSLATE(A11305, ""de"", ""en"")"),"bogg")</f>
        <v>bogg</v>
      </c>
    </row>
    <row r="11306">
      <c r="A11306" s="1" t="s">
        <v>11306</v>
      </c>
      <c r="B11306" s="2" t="str">
        <f>IFERROR(__xludf.DUMMYFUNCTION("GOOGLETRANSLATE(A11306, ""de"", ""en"")"),"brave")</f>
        <v>brave</v>
      </c>
    </row>
    <row r="11307">
      <c r="A11307" s="1" t="s">
        <v>11307</v>
      </c>
      <c r="B11307" s="2" t="str">
        <f>IFERROR(__xludf.DUMMYFUNCTION("GOOGLETRANSLATE(A11307, ""de"", ""en"")"),"main")</f>
        <v>main</v>
      </c>
    </row>
    <row r="11308">
      <c r="A11308" s="1" t="s">
        <v>11308</v>
      </c>
      <c r="B11308" s="2" t="str">
        <f>IFERROR(__xludf.DUMMYFUNCTION("GOOGLETRANSLATE(A11308, ""de"", ""en"")"),"night shift")</f>
        <v>night shift</v>
      </c>
    </row>
    <row r="11309">
      <c r="A11309" s="1" t="s">
        <v>11309</v>
      </c>
      <c r="B11309" s="2" t="str">
        <f>IFERROR(__xludf.DUMMYFUNCTION("GOOGLETRANSLATE(A11309, ""de"", ""en"")"),"broken ones")</f>
        <v>broken ones</v>
      </c>
    </row>
    <row r="11310">
      <c r="A11310" s="1" t="s">
        <v>11310</v>
      </c>
      <c r="B11310" s="2" t="str">
        <f>IFERROR(__xludf.DUMMYFUNCTION("GOOGLETRANSLATE(A11310, ""de"", ""en"")"),"tape")</f>
        <v>tape</v>
      </c>
    </row>
    <row r="11311">
      <c r="A11311" s="1" t="s">
        <v>11311</v>
      </c>
      <c r="B11311" s="2" t="str">
        <f>IFERROR(__xludf.DUMMYFUNCTION("GOOGLETRANSLATE(A11311, ""de"", ""en"")"),"butcher")</f>
        <v>butcher</v>
      </c>
    </row>
    <row r="11312">
      <c r="A11312" s="1" t="s">
        <v>11312</v>
      </c>
      <c r="B11312" s="2" t="str">
        <f>IFERROR(__xludf.DUMMYFUNCTION("GOOGLETRANSLATE(A11312, ""de"", ""en"")"),"Marlene")</f>
        <v>Marlene</v>
      </c>
    </row>
    <row r="11313">
      <c r="A11313" s="1" t="s">
        <v>11313</v>
      </c>
      <c r="B11313" s="2" t="str">
        <f>IFERROR(__xludf.DUMMYFUNCTION("GOOGLETRANSLATE(A11313, ""de"", ""en"")"),"ordinary")</f>
        <v>ordinary</v>
      </c>
    </row>
    <row r="11314">
      <c r="A11314" s="1" t="s">
        <v>11314</v>
      </c>
      <c r="B11314" s="2" t="str">
        <f>IFERROR(__xludf.DUMMYFUNCTION("GOOGLETRANSLATE(A11314, ""de"", ""en"")"),"hug")</f>
        <v>hug</v>
      </c>
    </row>
    <row r="11315">
      <c r="A11315" s="1" t="s">
        <v>11315</v>
      </c>
      <c r="B11315" s="2" t="str">
        <f>IFERROR(__xludf.DUMMYFUNCTION("GOOGLETRANSLATE(A11315, ""de"", ""en"")"),"Philip")</f>
        <v>Philip</v>
      </c>
    </row>
    <row r="11316">
      <c r="A11316" s="1" t="s">
        <v>11316</v>
      </c>
      <c r="B11316" s="2" t="str">
        <f>IFERROR(__xludf.DUMMYFUNCTION("GOOGLETRANSLATE(A11316, ""de"", ""en"")"),"services")</f>
        <v>services</v>
      </c>
    </row>
    <row r="11317">
      <c r="A11317" s="1" t="s">
        <v>11317</v>
      </c>
      <c r="B11317" s="2" t="str">
        <f>IFERROR(__xludf.DUMMYFUNCTION("GOOGLETRANSLATE(A11317, ""de"", ""en"")"),"thanks")</f>
        <v>thanks</v>
      </c>
    </row>
    <row r="11318">
      <c r="A11318" s="1" t="s">
        <v>11318</v>
      </c>
      <c r="B11318" s="2" t="str">
        <f>IFERROR(__xludf.DUMMYFUNCTION("GOOGLETRANSLATE(A11318, ""de"", ""en"")"),"fitzgerald")</f>
        <v>fitzgerald</v>
      </c>
    </row>
    <row r="11319">
      <c r="A11319" s="1" t="s">
        <v>11319</v>
      </c>
      <c r="B11319" s="2" t="str">
        <f>IFERROR(__xludf.DUMMYFUNCTION("GOOGLETRANSLATE(A11319, ""de"", ""en"")"),"lesbians")</f>
        <v>lesbians</v>
      </c>
    </row>
    <row r="11320">
      <c r="A11320" s="1" t="s">
        <v>11320</v>
      </c>
      <c r="B11320" s="2" t="str">
        <f>IFERROR(__xludf.DUMMYFUNCTION("GOOGLETRANSLATE(A11320, ""de"", ""en"")"),"wedding ring")</f>
        <v>wedding ring</v>
      </c>
    </row>
    <row r="11321">
      <c r="A11321" s="1" t="s">
        <v>11321</v>
      </c>
      <c r="B11321" s="2" t="str">
        <f>IFERROR(__xludf.DUMMYFUNCTION("GOOGLETRANSLATE(A11321, ""de"", ""en"")"),"U.N")</f>
        <v>U.N</v>
      </c>
    </row>
    <row r="11322">
      <c r="A11322" s="1" t="s">
        <v>11322</v>
      </c>
      <c r="B11322" s="2" t="str">
        <f>IFERROR(__xludf.DUMMYFUNCTION("GOOGLETRANSLATE(A11322, ""de"", ""en"")"),"bouquet")</f>
        <v>bouquet</v>
      </c>
    </row>
    <row r="11323">
      <c r="A11323" s="1" t="s">
        <v>11323</v>
      </c>
      <c r="B11323" s="2" t="str">
        <f>IFERROR(__xludf.DUMMYFUNCTION("GOOGLETRANSLATE(A11323, ""de"", ""en"")"),"Great Britain")</f>
        <v>Great Britain</v>
      </c>
    </row>
    <row r="11324">
      <c r="A11324" s="1" t="s">
        <v>11324</v>
      </c>
      <c r="B11324" s="2" t="str">
        <f>IFERROR(__xludf.DUMMYFUNCTION("GOOGLETRANSLATE(A11324, ""de"", ""en"")"),"armies")</f>
        <v>armies</v>
      </c>
    </row>
    <row r="11325">
      <c r="A11325" s="1" t="s">
        <v>11325</v>
      </c>
      <c r="B11325" s="2" t="str">
        <f>IFERROR(__xludf.DUMMYFUNCTION("GOOGLETRANSLATE(A11325, ""de"", ""en"")"),"look up")</f>
        <v>look up</v>
      </c>
    </row>
    <row r="11326">
      <c r="A11326" s="1" t="s">
        <v>11326</v>
      </c>
      <c r="B11326" s="2" t="str">
        <f>IFERROR(__xludf.DUMMYFUNCTION("GOOGLETRANSLATE(A11326, ""de"", ""en"")"),"hay")</f>
        <v>hay</v>
      </c>
    </row>
    <row r="11327">
      <c r="A11327" s="1" t="s">
        <v>11327</v>
      </c>
      <c r="B11327" s="2" t="str">
        <f>IFERROR(__xludf.DUMMYFUNCTION("GOOGLETRANSLATE(A11327, ""de"", ""en"")"),"swarm")</f>
        <v>swarm</v>
      </c>
    </row>
    <row r="11328">
      <c r="A11328" s="1" t="s">
        <v>11328</v>
      </c>
      <c r="B11328" s="2" t="str">
        <f>IFERROR(__xludf.DUMMYFUNCTION("GOOGLETRANSLATE(A11328, ""de"", ""en"")"),"pretty")</f>
        <v>pretty</v>
      </c>
    </row>
    <row r="11329">
      <c r="A11329" s="1" t="s">
        <v>11329</v>
      </c>
      <c r="B11329" s="2" t="str">
        <f>IFERROR(__xludf.DUMMYFUNCTION("GOOGLETRANSLATE(A11329, ""de"", ""en"")"),"owl")</f>
        <v>owl</v>
      </c>
    </row>
    <row r="11330">
      <c r="A11330" s="1" t="s">
        <v>11330</v>
      </c>
      <c r="B11330" s="2" t="str">
        <f>IFERROR(__xludf.DUMMYFUNCTION("GOOGLETRANSLATE(A11330, ""de"", ""en"")"),"notice")</f>
        <v>notice</v>
      </c>
    </row>
    <row r="11331">
      <c r="A11331" s="1" t="s">
        <v>11331</v>
      </c>
      <c r="B11331" s="2" t="str">
        <f>IFERROR(__xludf.DUMMYFUNCTION("GOOGLETRANSLATE(A11331, ""de"", ""en"")"),"torn open")</f>
        <v>torn open</v>
      </c>
    </row>
    <row r="11332">
      <c r="A11332" s="1" t="s">
        <v>11332</v>
      </c>
      <c r="B11332" s="2" t="str">
        <f>IFERROR(__xludf.DUMMYFUNCTION("GOOGLETRANSLATE(A11332, ""de"", ""en"")"),"sentences")</f>
        <v>sentences</v>
      </c>
    </row>
    <row r="11333">
      <c r="A11333" s="1" t="s">
        <v>11333</v>
      </c>
      <c r="B11333" s="2" t="str">
        <f>IFERROR(__xludf.DUMMYFUNCTION("GOOGLETRANSLATE(A11333, ""de"", ""en"")"),"goddamn")</f>
        <v>goddamn</v>
      </c>
    </row>
    <row r="11334">
      <c r="A11334" s="1" t="s">
        <v>11334</v>
      </c>
      <c r="B11334" s="2" t="str">
        <f>IFERROR(__xludf.DUMMYFUNCTION("GOOGLETRANSLATE(A11334, ""de"", ""en"")"),"lured")</f>
        <v>lured</v>
      </c>
    </row>
    <row r="11335">
      <c r="A11335" s="1" t="s">
        <v>11335</v>
      </c>
      <c r="B11335" s="2" t="str">
        <f>IFERROR(__xludf.DUMMYFUNCTION("GOOGLETRANSLATE(A11335, ""de"", ""en"")"),"consideration")</f>
        <v>consideration</v>
      </c>
    </row>
    <row r="11336">
      <c r="A11336" s="1" t="s">
        <v>11336</v>
      </c>
      <c r="B11336" s="2" t="str">
        <f>IFERROR(__xludf.DUMMYFUNCTION("GOOGLETRANSLATE(A11336, ""de"", ""en"")"),"slow")</f>
        <v>slow</v>
      </c>
    </row>
    <row r="11337">
      <c r="A11337" s="1" t="s">
        <v>11337</v>
      </c>
      <c r="B11337" s="2" t="str">
        <f>IFERROR(__xludf.DUMMYFUNCTION("GOOGLETRANSLATE(A11337, ""de"", ""en"")"),"nope")</f>
        <v>nope</v>
      </c>
    </row>
    <row r="11338">
      <c r="A11338" s="1" t="s">
        <v>11338</v>
      </c>
      <c r="B11338" s="2" t="str">
        <f>IFERROR(__xludf.DUMMYFUNCTION("GOOGLETRANSLATE(A11338, ""de"", ""en"")"),"favor")</f>
        <v>favor</v>
      </c>
    </row>
    <row r="11339">
      <c r="A11339" s="1" t="s">
        <v>11339</v>
      </c>
      <c r="B11339" s="2" t="str">
        <f>IFERROR(__xludf.DUMMYFUNCTION("GOOGLETRANSLATE(A11339, ""de"", ""en"")"),"spell")</f>
        <v>spell</v>
      </c>
    </row>
    <row r="11340">
      <c r="A11340" s="1" t="s">
        <v>11340</v>
      </c>
      <c r="B11340" s="2" t="str">
        <f>IFERROR(__xludf.DUMMYFUNCTION("GOOGLETRANSLATE(A11340, ""de"", ""en"")"),"morgue")</f>
        <v>morgue</v>
      </c>
    </row>
    <row r="11341">
      <c r="A11341" s="1" t="s">
        <v>11341</v>
      </c>
      <c r="B11341" s="2" t="str">
        <f>IFERROR(__xludf.DUMMYFUNCTION("GOOGLETRANSLATE(A11341, ""de"", ""en"")"),"oppose")</f>
        <v>oppose</v>
      </c>
    </row>
    <row r="11342">
      <c r="A11342" s="1" t="s">
        <v>11342</v>
      </c>
      <c r="B11342" s="2" t="str">
        <f>IFERROR(__xludf.DUMMYFUNCTION("GOOGLETRANSLATE(A11342, ""de"", ""en"")"),"fled")</f>
        <v>fled</v>
      </c>
    </row>
    <row r="11343">
      <c r="A11343" s="1" t="s">
        <v>11343</v>
      </c>
      <c r="B11343" s="2" t="str">
        <f>IFERROR(__xludf.DUMMYFUNCTION("GOOGLETRANSLATE(A11343, ""de"", ""en"")"),"therapist")</f>
        <v>therapist</v>
      </c>
    </row>
    <row r="11344">
      <c r="A11344" s="1" t="s">
        <v>11344</v>
      </c>
      <c r="B11344" s="2" t="str">
        <f>IFERROR(__xludf.DUMMYFUNCTION("GOOGLETRANSLATE(A11344, ""de"", ""en"")"),"pull the trigger")</f>
        <v>pull the trigger</v>
      </c>
    </row>
    <row r="11345">
      <c r="A11345" s="1" t="s">
        <v>11345</v>
      </c>
      <c r="B11345" s="2" t="str">
        <f>IFERROR(__xludf.DUMMYFUNCTION("GOOGLETRANSLATE(A11345, ""de"", ""en"")"),"go")</f>
        <v>go</v>
      </c>
    </row>
    <row r="11346">
      <c r="A11346" s="1" t="s">
        <v>11346</v>
      </c>
      <c r="B11346" s="2" t="str">
        <f>IFERROR(__xludf.DUMMYFUNCTION("GOOGLETRANSLATE(A11346, ""de"", ""en"")"),"local")</f>
        <v>local</v>
      </c>
    </row>
    <row r="11347">
      <c r="A11347" s="1" t="s">
        <v>11347</v>
      </c>
      <c r="B11347" s="2" t="str">
        <f>IFERROR(__xludf.DUMMYFUNCTION("GOOGLETRANSLATE(A11347, ""de"", ""en"")"),"noble")</f>
        <v>noble</v>
      </c>
    </row>
    <row r="11348">
      <c r="A11348" s="1" t="s">
        <v>11348</v>
      </c>
      <c r="B11348" s="2" t="str">
        <f>IFERROR(__xludf.DUMMYFUNCTION("GOOGLETRANSLATE(A11348, ""de"", ""en"")"),"dialog")</f>
        <v>dialog</v>
      </c>
    </row>
    <row r="11349">
      <c r="A11349" s="1" t="s">
        <v>11349</v>
      </c>
      <c r="B11349" s="2" t="str">
        <f>IFERROR(__xludf.DUMMYFUNCTION("GOOGLETRANSLATE(A11349, ""de"", ""en"")"),"broken ones")</f>
        <v>broken ones</v>
      </c>
    </row>
    <row r="11350">
      <c r="A11350" s="1" t="s">
        <v>11350</v>
      </c>
      <c r="B11350" s="2" t="str">
        <f>IFERROR(__xludf.DUMMYFUNCTION("GOOGLETRANSLATE(A11350, ""de"", ""en"")"),"Susan")</f>
        <v>Susan</v>
      </c>
    </row>
    <row r="11351">
      <c r="A11351" s="1" t="s">
        <v>11351</v>
      </c>
      <c r="B11351" s="2" t="str">
        <f>IFERROR(__xludf.DUMMYFUNCTION("GOOGLETRANSLATE(A11351, ""de"", ""en"")"),"Tokyo")</f>
        <v>Tokyo</v>
      </c>
    </row>
    <row r="11352">
      <c r="A11352" s="1" t="s">
        <v>11352</v>
      </c>
      <c r="B11352" s="2" t="str">
        <f>IFERROR(__xludf.DUMMYFUNCTION("GOOGLETRANSLATE(A11352, ""de"", ""en"")"),"lordship")</f>
        <v>lordship</v>
      </c>
    </row>
    <row r="11353">
      <c r="A11353" s="1" t="s">
        <v>11353</v>
      </c>
      <c r="B11353" s="2" t="str">
        <f>IFERROR(__xludf.DUMMYFUNCTION("GOOGLETRANSLATE(A11353, ""de"", ""en"")"),"listens")</f>
        <v>listens</v>
      </c>
    </row>
    <row r="11354">
      <c r="A11354" s="1" t="s">
        <v>11354</v>
      </c>
      <c r="B11354" s="2" t="str">
        <f>IFERROR(__xludf.DUMMYFUNCTION("GOOGLETRANSLATE(A11354, ""de"", ""en"")"),"financial")</f>
        <v>financial</v>
      </c>
    </row>
    <row r="11355">
      <c r="A11355" s="1" t="s">
        <v>11355</v>
      </c>
      <c r="B11355" s="2" t="str">
        <f>IFERROR(__xludf.DUMMYFUNCTION("GOOGLETRANSLATE(A11355, ""de"", ""en"")"),"camelot")</f>
        <v>camelot</v>
      </c>
    </row>
    <row r="11356">
      <c r="A11356" s="1" t="s">
        <v>11356</v>
      </c>
      <c r="B11356" s="2" t="str">
        <f>IFERROR(__xludf.DUMMYFUNCTION("GOOGLETRANSLATE(A11356, ""de"", ""en"")"),"bakery")</f>
        <v>bakery</v>
      </c>
    </row>
    <row r="11357">
      <c r="A11357" s="1" t="s">
        <v>11357</v>
      </c>
      <c r="B11357" s="2" t="str">
        <f>IFERROR(__xludf.DUMMYFUNCTION("GOOGLETRANSLATE(A11357, ""de"", ""en"")"),"hewn")</f>
        <v>hewn</v>
      </c>
    </row>
    <row r="11358">
      <c r="A11358" s="1" t="s">
        <v>11358</v>
      </c>
      <c r="B11358" s="2" t="str">
        <f>IFERROR(__xludf.DUMMYFUNCTION("GOOGLETRANSLATE(A11358, ""de"", ""en"")"),"quite")</f>
        <v>quite</v>
      </c>
    </row>
    <row r="11359">
      <c r="A11359" s="1" t="s">
        <v>11359</v>
      </c>
      <c r="B11359" s="2" t="str">
        <f>IFERROR(__xludf.DUMMYFUNCTION("GOOGLETRANSLATE(A11359, ""de"", ""en"")"),"bronx")</f>
        <v>bronx</v>
      </c>
    </row>
    <row r="11360">
      <c r="A11360" s="1" t="s">
        <v>11360</v>
      </c>
      <c r="B11360" s="2" t="str">
        <f>IFERROR(__xludf.DUMMYFUNCTION("GOOGLETRANSLATE(A11360, ""de"", ""en"")"),"original")</f>
        <v>original</v>
      </c>
    </row>
    <row r="11361">
      <c r="A11361" s="1" t="s">
        <v>11361</v>
      </c>
      <c r="B11361" s="2" t="str">
        <f>IFERROR(__xludf.DUMMYFUNCTION("GOOGLETRANSLATE(A11361, ""de"", ""en"")"),"security system")</f>
        <v>security system</v>
      </c>
    </row>
    <row r="11362">
      <c r="A11362" s="1" t="s">
        <v>11362</v>
      </c>
      <c r="B11362" s="2" t="str">
        <f>IFERROR(__xludf.DUMMYFUNCTION("GOOGLETRANSLATE(A11362, ""de"", ""en"")"),"electronic")</f>
        <v>electronic</v>
      </c>
    </row>
    <row r="11363">
      <c r="A11363" s="1" t="s">
        <v>11363</v>
      </c>
      <c r="B11363" s="2" t="str">
        <f>IFERROR(__xludf.DUMMYFUNCTION("GOOGLETRANSLATE(A11363, ""de"", ""en"")"),"twilight")</f>
        <v>twilight</v>
      </c>
    </row>
    <row r="11364">
      <c r="A11364" s="1" t="s">
        <v>11364</v>
      </c>
      <c r="B11364" s="2" t="str">
        <f>IFERROR(__xludf.DUMMYFUNCTION("GOOGLETRANSLATE(A11364, ""de"", ""en"")"),"faith")</f>
        <v>faith</v>
      </c>
    </row>
    <row r="11365">
      <c r="A11365" s="1" t="s">
        <v>11365</v>
      </c>
      <c r="B11365" s="2" t="str">
        <f>IFERROR(__xludf.DUMMYFUNCTION("GOOGLETRANSLATE(A11365, ""de"", ""en"")"),"charlene")</f>
        <v>charlene</v>
      </c>
    </row>
    <row r="11366">
      <c r="A11366" s="1" t="s">
        <v>11366</v>
      </c>
      <c r="B11366" s="2" t="str">
        <f>IFERROR(__xludf.DUMMYFUNCTION("GOOGLETRANSLATE(A11366, ""de"", ""en"")"),"almost")</f>
        <v>almost</v>
      </c>
    </row>
    <row r="11367">
      <c r="A11367" s="1" t="s">
        <v>11367</v>
      </c>
      <c r="B11367" s="2" t="str">
        <f>IFERROR(__xludf.DUMMYFUNCTION("GOOGLETRANSLATE(A11367, ""de"", ""en"")"),"visual contact")</f>
        <v>visual contact</v>
      </c>
    </row>
    <row r="11368">
      <c r="A11368" s="1" t="s">
        <v>11368</v>
      </c>
      <c r="B11368" s="2" t="str">
        <f>IFERROR(__xludf.DUMMYFUNCTION("GOOGLETRANSLATE(A11368, ""de"", ""en"")"),"punish")</f>
        <v>punish</v>
      </c>
    </row>
    <row r="11369">
      <c r="A11369" s="1" t="s">
        <v>11369</v>
      </c>
      <c r="B11369" s="2" t="str">
        <f>IFERROR(__xludf.DUMMYFUNCTION("GOOGLETRANSLATE(A11369, ""de"", ""en"")"),"obedience")</f>
        <v>obedience</v>
      </c>
    </row>
    <row r="11370">
      <c r="A11370" s="1" t="s">
        <v>11370</v>
      </c>
      <c r="B11370" s="2" t="str">
        <f>IFERROR(__xludf.DUMMYFUNCTION("GOOGLETRANSLATE(A11370, ""de"", ""en"")"),"sportsman")</f>
        <v>sportsman</v>
      </c>
    </row>
    <row r="11371">
      <c r="A11371" s="1" t="s">
        <v>11371</v>
      </c>
      <c r="B11371" s="2" t="str">
        <f>IFERROR(__xludf.DUMMYFUNCTION("GOOGLETRANSLATE(A11371, ""de"", ""en"")"),"braver")</f>
        <v>braver</v>
      </c>
    </row>
    <row r="11372">
      <c r="A11372" s="1" t="s">
        <v>11372</v>
      </c>
      <c r="B11372" s="2" t="str">
        <f>IFERROR(__xludf.DUMMYFUNCTION("GOOGLETRANSLATE(A11372, ""de"", ""en"")"),"Becker")</f>
        <v>Becker</v>
      </c>
    </row>
    <row r="11373">
      <c r="A11373" s="1" t="s">
        <v>11373</v>
      </c>
      <c r="B11373" s="2" t="str">
        <f>IFERROR(__xludf.DUMMYFUNCTION("GOOGLETRANSLATE(A11373, ""de"", ""en"")"),"det")</f>
        <v>det</v>
      </c>
    </row>
    <row r="11374">
      <c r="A11374" s="1" t="s">
        <v>11374</v>
      </c>
      <c r="B11374" s="2" t="str">
        <f>IFERROR(__xludf.DUMMYFUNCTION("GOOGLETRANSLATE(A11374, ""de"", ""en"")"),"saga")</f>
        <v>saga</v>
      </c>
    </row>
    <row r="11375">
      <c r="A11375" s="1" t="s">
        <v>11375</v>
      </c>
      <c r="B11375" s="2" t="str">
        <f>IFERROR(__xludf.DUMMYFUNCTION("GOOGLETRANSLATE(A11375, ""de"", ""en"")"),"ski")</f>
        <v>ski</v>
      </c>
    </row>
    <row r="11376">
      <c r="A11376" s="1" t="s">
        <v>11376</v>
      </c>
      <c r="B11376" s="2" t="str">
        <f>IFERROR(__xludf.DUMMYFUNCTION("GOOGLETRANSLATE(A11376, ""de"", ""en"")"),"escapes")</f>
        <v>escapes</v>
      </c>
    </row>
    <row r="11377">
      <c r="A11377" s="1" t="s">
        <v>11377</v>
      </c>
      <c r="B11377" s="2" t="str">
        <f>IFERROR(__xludf.DUMMYFUNCTION("GOOGLETRANSLATE(A11377, ""de"", ""en"")"),"expires")</f>
        <v>expires</v>
      </c>
    </row>
    <row r="11378">
      <c r="A11378" s="1" t="s">
        <v>11378</v>
      </c>
      <c r="B11378" s="2" t="str">
        <f>IFERROR(__xludf.DUMMYFUNCTION("GOOGLETRANSLATE(A11378, ""de"", ""en"")"),"timothy")</f>
        <v>timothy</v>
      </c>
    </row>
    <row r="11379">
      <c r="A11379" s="1" t="s">
        <v>11379</v>
      </c>
      <c r="B11379" s="2" t="str">
        <f>IFERROR(__xludf.DUMMYFUNCTION("GOOGLETRANSLATE(A11379, ""de"", ""en"")"),"exhilarated")</f>
        <v>exhilarated</v>
      </c>
    </row>
    <row r="11380">
      <c r="A11380" s="1" t="s">
        <v>11380</v>
      </c>
      <c r="B11380" s="2" t="str">
        <f>IFERROR(__xludf.DUMMYFUNCTION("GOOGLETRANSLATE(A11380, ""de"", ""en"")"),"lindsay")</f>
        <v>lindsay</v>
      </c>
    </row>
    <row r="11381">
      <c r="A11381" s="1" t="s">
        <v>11381</v>
      </c>
      <c r="B11381" s="2" t="str">
        <f>IFERROR(__xludf.DUMMYFUNCTION("GOOGLETRANSLATE(A11381, ""de"", ""en"")"),"enlightenment")</f>
        <v>enlightenment</v>
      </c>
    </row>
    <row r="11382">
      <c r="A11382" s="1" t="s">
        <v>11382</v>
      </c>
      <c r="B11382" s="2" t="str">
        <f>IFERROR(__xludf.DUMMYFUNCTION("GOOGLETRANSLATE(A11382, ""de"", ""en"")"),"fantastic")</f>
        <v>fantastic</v>
      </c>
    </row>
    <row r="11383">
      <c r="A11383" s="1" t="s">
        <v>11383</v>
      </c>
      <c r="B11383" s="2" t="str">
        <f>IFERROR(__xludf.DUMMYFUNCTION("GOOGLETRANSLATE(A11383, ""de"", ""en"")"),"Zane")</f>
        <v>Zane</v>
      </c>
    </row>
    <row r="11384">
      <c r="A11384" s="1" t="s">
        <v>11384</v>
      </c>
      <c r="B11384" s="2" t="str">
        <f>IFERROR(__xludf.DUMMYFUNCTION("GOOGLETRANSLATE(A11384, ""de"", ""en"")"),"own")</f>
        <v>own</v>
      </c>
    </row>
    <row r="11385">
      <c r="A11385" s="1" t="s">
        <v>11385</v>
      </c>
      <c r="B11385" s="2" t="str">
        <f>IFERROR(__xludf.DUMMYFUNCTION("GOOGLETRANSLATE(A11385, ""de"", ""en"")"),"haven")</f>
        <v>haven</v>
      </c>
    </row>
    <row r="11386">
      <c r="A11386" s="1" t="s">
        <v>11386</v>
      </c>
      <c r="B11386" s="2" t="str">
        <f>IFERROR(__xludf.DUMMYFUNCTION("GOOGLETRANSLATE(A11386, ""de"", ""en"")"),"gracias")</f>
        <v>gracias</v>
      </c>
    </row>
    <row r="11387">
      <c r="A11387" s="1" t="s">
        <v>11387</v>
      </c>
      <c r="B11387" s="2" t="str">
        <f>IFERROR(__xludf.DUMMYFUNCTION("GOOGLETRANSLATE(A11387, ""de"", ""en"")"),"Justine")</f>
        <v>Justine</v>
      </c>
    </row>
    <row r="11388">
      <c r="A11388" s="1" t="s">
        <v>11388</v>
      </c>
      <c r="B11388" s="2" t="str">
        <f>IFERROR(__xludf.DUMMYFUNCTION("GOOGLETRANSLATE(A11388, ""de"", ""en"")"),"blondes")</f>
        <v>blondes</v>
      </c>
    </row>
    <row r="11389">
      <c r="A11389" s="1" t="s">
        <v>11389</v>
      </c>
      <c r="B11389" s="2" t="str">
        <f>IFERROR(__xludf.DUMMYFUNCTION("GOOGLETRANSLATE(A11389, ""de"", ""en"")"),"cobra")</f>
        <v>cobra</v>
      </c>
    </row>
    <row r="11390">
      <c r="A11390" s="1" t="s">
        <v>11390</v>
      </c>
      <c r="B11390" s="2" t="str">
        <f>IFERROR(__xludf.DUMMYFUNCTION("GOOGLETRANSLATE(A11390, ""de"", ""en"")"),"apply for")</f>
        <v>apply for</v>
      </c>
    </row>
    <row r="11391">
      <c r="A11391" s="1" t="s">
        <v>11391</v>
      </c>
      <c r="B11391" s="2" t="str">
        <f>IFERROR(__xludf.DUMMYFUNCTION("GOOGLETRANSLATE(A11391, ""de"", ""en"")"),"mussels")</f>
        <v>mussels</v>
      </c>
    </row>
    <row r="11392">
      <c r="A11392" s="1" t="s">
        <v>11392</v>
      </c>
      <c r="B11392" s="2" t="str">
        <f>IFERROR(__xludf.DUMMYFUNCTION("GOOGLETRANSLATE(A11392, ""de"", ""en"")"),"spot")</f>
        <v>spot</v>
      </c>
    </row>
    <row r="11393">
      <c r="A11393" s="1" t="s">
        <v>11393</v>
      </c>
      <c r="B11393" s="2" t="str">
        <f>IFERROR(__xludf.DUMMYFUNCTION("GOOGLETRANSLATE(A11393, ""de"", ""en"")"),"application")</f>
        <v>application</v>
      </c>
    </row>
    <row r="11394">
      <c r="A11394" s="1" t="s">
        <v>11394</v>
      </c>
      <c r="B11394" s="2" t="str">
        <f>IFERROR(__xludf.DUMMYFUNCTION("GOOGLETRANSLATE(A11394, ""de"", ""en"")"),"biological")</f>
        <v>biological</v>
      </c>
    </row>
    <row r="11395">
      <c r="A11395" s="1" t="s">
        <v>11395</v>
      </c>
      <c r="B11395" s="2" t="str">
        <f>IFERROR(__xludf.DUMMYFUNCTION("GOOGLETRANSLATE(A11395, ""de"", ""en"")"),"refined")</f>
        <v>refined</v>
      </c>
    </row>
    <row r="11396">
      <c r="A11396" s="1" t="s">
        <v>11396</v>
      </c>
      <c r="B11396" s="2" t="str">
        <f>IFERROR(__xludf.DUMMYFUNCTION("GOOGLETRANSLATE(A11396, ""de"", ""en"")"),"protest")</f>
        <v>protest</v>
      </c>
    </row>
    <row r="11397">
      <c r="A11397" s="1" t="s">
        <v>11397</v>
      </c>
      <c r="B11397" s="2" t="str">
        <f>IFERROR(__xludf.DUMMYFUNCTION("GOOGLETRANSLATE(A11397, ""de"", ""en"")"),"texts")</f>
        <v>texts</v>
      </c>
    </row>
    <row r="11398">
      <c r="A11398" s="1" t="s">
        <v>11398</v>
      </c>
      <c r="B11398" s="2" t="str">
        <f>IFERROR(__xludf.DUMMYFUNCTION("GOOGLETRANSLATE(A11398, ""de"", ""en"")"),"get it")</f>
        <v>get it</v>
      </c>
    </row>
    <row r="11399">
      <c r="A11399" s="1" t="s">
        <v>11399</v>
      </c>
      <c r="B11399" s="2" t="str">
        <f>IFERROR(__xludf.DUMMYFUNCTION("GOOGLETRANSLATE(A11399, ""de"", ""en"")"),"linus")</f>
        <v>linus</v>
      </c>
    </row>
    <row r="11400">
      <c r="A11400" s="1" t="s">
        <v>11400</v>
      </c>
      <c r="B11400" s="2" t="str">
        <f>IFERROR(__xludf.DUMMYFUNCTION("GOOGLETRANSLATE(A11400, ""de"", ""en"")"),"glitch")</f>
        <v>glitch</v>
      </c>
    </row>
    <row r="11401">
      <c r="A11401" s="1" t="s">
        <v>11401</v>
      </c>
      <c r="B11401" s="2" t="str">
        <f>IFERROR(__xludf.DUMMYFUNCTION("GOOGLETRANSLATE(A11401, ""de"", ""en"")"),"willing")</f>
        <v>willing</v>
      </c>
    </row>
    <row r="11402">
      <c r="A11402" s="1" t="s">
        <v>11402</v>
      </c>
      <c r="B11402" s="2" t="str">
        <f>IFERROR(__xludf.DUMMYFUNCTION("GOOGLETRANSLATE(A11402, ""de"", ""en"")"),"Argentina")</f>
        <v>Argentina</v>
      </c>
    </row>
    <row r="11403">
      <c r="A11403" s="1" t="s">
        <v>11403</v>
      </c>
      <c r="B11403" s="2" t="str">
        <f>IFERROR(__xludf.DUMMYFUNCTION("GOOGLETRANSLATE(A11403, ""de"", ""en"")"),"bite")</f>
        <v>bite</v>
      </c>
    </row>
    <row r="11404">
      <c r="A11404" s="1" t="s">
        <v>11404</v>
      </c>
      <c r="B11404" s="2" t="str">
        <f>IFERROR(__xludf.DUMMYFUNCTION("GOOGLETRANSLATE(A11404, ""de"", ""en"")"),"turn")</f>
        <v>turn</v>
      </c>
    </row>
    <row r="11405">
      <c r="A11405" s="1" t="s">
        <v>11405</v>
      </c>
      <c r="B11405" s="2" t="str">
        <f>IFERROR(__xludf.DUMMYFUNCTION("GOOGLETRANSLATE(A11405, ""de"", ""en"")"),"harbor")</f>
        <v>harbor</v>
      </c>
    </row>
    <row r="11406">
      <c r="A11406" s="1" t="s">
        <v>11406</v>
      </c>
      <c r="B11406" s="2" t="str">
        <f>IFERROR(__xludf.DUMMYFUNCTION("GOOGLETRANSLATE(A11406, ""de"", ""en"")"),"distant")</f>
        <v>distant</v>
      </c>
    </row>
    <row r="11407">
      <c r="A11407" s="1" t="s">
        <v>11407</v>
      </c>
      <c r="B11407" s="2" t="str">
        <f>IFERROR(__xludf.DUMMYFUNCTION("GOOGLETRANSLATE(A11407, ""de"", ""en"")"),"missed")</f>
        <v>missed</v>
      </c>
    </row>
    <row r="11408">
      <c r="A11408" s="1" t="s">
        <v>11408</v>
      </c>
      <c r="B11408" s="2" t="str">
        <f>IFERROR(__xludf.DUMMYFUNCTION("GOOGLETRANSLATE(A11408, ""de"", ""en"")"),"early")</f>
        <v>early</v>
      </c>
    </row>
    <row r="11409">
      <c r="A11409" s="1" t="s">
        <v>11409</v>
      </c>
      <c r="B11409" s="2" t="str">
        <f>IFERROR(__xludf.DUMMYFUNCTION("GOOGLETRANSLATE(A11409, ""de"", ""en"")"),"tube")</f>
        <v>tube</v>
      </c>
    </row>
    <row r="11410">
      <c r="A11410" s="1" t="s">
        <v>11410</v>
      </c>
      <c r="B11410" s="2" t="str">
        <f>IFERROR(__xludf.DUMMYFUNCTION("GOOGLETRANSLATE(A11410, ""de"", ""en"")"),"grabbed")</f>
        <v>grabbed</v>
      </c>
    </row>
    <row r="11411">
      <c r="A11411" s="1" t="s">
        <v>11411</v>
      </c>
      <c r="B11411" s="2" t="str">
        <f>IFERROR(__xludf.DUMMYFUNCTION("GOOGLETRANSLATE(A11411, ""de"", ""en"")"),"time machine")</f>
        <v>time machine</v>
      </c>
    </row>
    <row r="11412">
      <c r="A11412" s="1" t="s">
        <v>11412</v>
      </c>
      <c r="B11412" s="2" t="str">
        <f>IFERROR(__xludf.DUMMYFUNCTION("GOOGLETRANSLATE(A11412, ""de"", ""en"")"),"to carry on")</f>
        <v>to carry on</v>
      </c>
    </row>
    <row r="11413">
      <c r="A11413" s="1" t="s">
        <v>11413</v>
      </c>
      <c r="B11413" s="2" t="str">
        <f>IFERROR(__xludf.DUMMYFUNCTION("GOOGLETRANSLATE(A11413, ""de"", ""en"")"),"bite")</f>
        <v>bite</v>
      </c>
    </row>
    <row r="11414">
      <c r="A11414" s="1" t="s">
        <v>11414</v>
      </c>
      <c r="B11414" s="2" t="str">
        <f>IFERROR(__xludf.DUMMYFUNCTION("GOOGLETRANSLATE(A11414, ""de"", ""en"")"),"smallest")</f>
        <v>smallest</v>
      </c>
    </row>
    <row r="11415">
      <c r="A11415" s="1" t="s">
        <v>11415</v>
      </c>
      <c r="B11415" s="2" t="str">
        <f>IFERROR(__xludf.DUMMYFUNCTION("GOOGLETRANSLATE(A11415, ""de"", ""en"")"),"delay")</f>
        <v>delay</v>
      </c>
    </row>
    <row r="11416">
      <c r="A11416" s="1" t="s">
        <v>11416</v>
      </c>
      <c r="B11416" s="2" t="str">
        <f>IFERROR(__xludf.DUMMYFUNCTION("GOOGLETRANSLATE(A11416, ""de"", ""en"")"),"fuel")</f>
        <v>fuel</v>
      </c>
    </row>
    <row r="11417">
      <c r="A11417" s="1" t="s">
        <v>11417</v>
      </c>
      <c r="B11417" s="2" t="str">
        <f>IFERROR(__xludf.DUMMYFUNCTION("GOOGLETRANSLATE(A11417, ""de"", ""en"")"),"initials")</f>
        <v>initials</v>
      </c>
    </row>
    <row r="11418">
      <c r="A11418" s="1" t="s">
        <v>11418</v>
      </c>
      <c r="B11418" s="2" t="str">
        <f>IFERROR(__xludf.DUMMYFUNCTION("GOOGLETRANSLATE(A11418, ""de"", ""en"")"),"speech")</f>
        <v>speech</v>
      </c>
    </row>
    <row r="11419">
      <c r="A11419" s="1" t="s">
        <v>11419</v>
      </c>
      <c r="B11419" s="2" t="str">
        <f>IFERROR(__xludf.DUMMYFUNCTION("GOOGLETRANSLATE(A11419, ""de"", ""en"")"),"researched")</f>
        <v>researched</v>
      </c>
    </row>
    <row r="11420">
      <c r="A11420" s="1" t="s">
        <v>11420</v>
      </c>
      <c r="B11420" s="2" t="str">
        <f>IFERROR(__xludf.DUMMYFUNCTION("GOOGLETRANSLATE(A11420, ""de"", ""en"")"),"malley")</f>
        <v>malley</v>
      </c>
    </row>
    <row r="11421">
      <c r="A11421" s="1" t="s">
        <v>11421</v>
      </c>
      <c r="B11421" s="2" t="str">
        <f>IFERROR(__xludf.DUMMYFUNCTION("GOOGLETRANSLATE(A11421, ""de"", ""en"")"),"learned")</f>
        <v>learned</v>
      </c>
    </row>
    <row r="11422">
      <c r="A11422" s="1" t="s">
        <v>11422</v>
      </c>
      <c r="B11422" s="2" t="str">
        <f>IFERROR(__xludf.DUMMYFUNCTION("GOOGLETRANSLATE(A11422, ""de"", ""en"")"),"Yes.")</f>
        <v>Yes.</v>
      </c>
    </row>
    <row r="11423">
      <c r="A11423" s="1" t="s">
        <v>11423</v>
      </c>
      <c r="B11423" s="2" t="str">
        <f>IFERROR(__xludf.DUMMYFUNCTION("GOOGLETRANSLATE(A11423, ""de"", ""en"")"),"paid")</f>
        <v>paid</v>
      </c>
    </row>
    <row r="11424">
      <c r="A11424" s="1" t="s">
        <v>11424</v>
      </c>
      <c r="B11424" s="2" t="str">
        <f>IFERROR(__xludf.DUMMYFUNCTION("GOOGLETRANSLATE(A11424, ""de"", ""en"")"),"installed")</f>
        <v>installed</v>
      </c>
    </row>
    <row r="11425">
      <c r="A11425" s="1" t="s">
        <v>11425</v>
      </c>
      <c r="B11425" s="2" t="str">
        <f>IFERROR(__xludf.DUMMYFUNCTION("GOOGLETRANSLATE(A11425, ""de"", ""en"")"),"more open")</f>
        <v>more open</v>
      </c>
    </row>
    <row r="11426">
      <c r="A11426" s="1" t="s">
        <v>11426</v>
      </c>
      <c r="B11426" s="2" t="str">
        <f>IFERROR(__xludf.DUMMYFUNCTION("GOOGLETRANSLATE(A11426, ""de"", ""en"")"),"mysterious")</f>
        <v>mysterious</v>
      </c>
    </row>
    <row r="11427">
      <c r="A11427" s="1" t="s">
        <v>11427</v>
      </c>
      <c r="B11427" s="2" t="str">
        <f>IFERROR(__xludf.DUMMYFUNCTION("GOOGLETRANSLATE(A11427, ""de"", ""en"")"),"creature")</f>
        <v>creature</v>
      </c>
    </row>
    <row r="11428">
      <c r="A11428" s="1" t="s">
        <v>11428</v>
      </c>
      <c r="B11428" s="2" t="str">
        <f>IFERROR(__xludf.DUMMYFUNCTION("GOOGLETRANSLATE(A11428, ""de"", ""en"")"),"inappropriate")</f>
        <v>inappropriate</v>
      </c>
    </row>
    <row r="11429">
      <c r="A11429" s="1" t="s">
        <v>11429</v>
      </c>
      <c r="B11429" s="2" t="str">
        <f>IFERROR(__xludf.DUMMYFUNCTION("GOOGLETRANSLATE(A11429, ""de"", ""en"")"),"conclusions")</f>
        <v>conclusions</v>
      </c>
    </row>
    <row r="11430">
      <c r="A11430" s="1" t="s">
        <v>11430</v>
      </c>
      <c r="B11430" s="2" t="str">
        <f>IFERROR(__xludf.DUMMYFUNCTION("GOOGLETRANSLATE(A11430, ""de"", ""en"")"),"captured")</f>
        <v>captured</v>
      </c>
    </row>
    <row r="11431">
      <c r="A11431" s="1" t="s">
        <v>11431</v>
      </c>
      <c r="B11431" s="2" t="str">
        <f>IFERROR(__xludf.DUMMYFUNCTION("GOOGLETRANSLATE(A11431, ""de"", ""en"")"),"wait")</f>
        <v>wait</v>
      </c>
    </row>
    <row r="11432">
      <c r="A11432" s="1" t="s">
        <v>11432</v>
      </c>
      <c r="B11432" s="2" t="str">
        <f>IFERROR(__xludf.DUMMYFUNCTION("GOOGLETRANSLATE(A11432, ""de"", ""en"")"),"probation officer")</f>
        <v>probation officer</v>
      </c>
    </row>
    <row r="11433">
      <c r="A11433" s="1" t="s">
        <v>11433</v>
      </c>
      <c r="B11433" s="2" t="str">
        <f>IFERROR(__xludf.DUMMYFUNCTION("GOOGLETRANSLATE(A11433, ""de"", ""en"")"),"followed")</f>
        <v>followed</v>
      </c>
    </row>
    <row r="11434">
      <c r="A11434" s="1" t="s">
        <v>11434</v>
      </c>
      <c r="B11434" s="2" t="str">
        <f>IFERROR(__xludf.DUMMYFUNCTION("GOOGLETRANSLATE(A11434, ""de"", ""en"")"),"raise")</f>
        <v>raise</v>
      </c>
    </row>
    <row r="11435">
      <c r="A11435" s="1" t="s">
        <v>11435</v>
      </c>
      <c r="B11435" s="2" t="str">
        <f>IFERROR(__xludf.DUMMYFUNCTION("GOOGLETRANSLATE(A11435, ""de"", ""en"")"),"burner")</f>
        <v>burner</v>
      </c>
    </row>
    <row r="11436">
      <c r="A11436" s="1" t="s">
        <v>11436</v>
      </c>
      <c r="B11436" s="2" t="str">
        <f>IFERROR(__xludf.DUMMYFUNCTION("GOOGLETRANSLATE(A11436, ""de"", ""en"")"),"surfing")</f>
        <v>surfing</v>
      </c>
    </row>
    <row r="11437">
      <c r="A11437" s="1" t="s">
        <v>11437</v>
      </c>
      <c r="B11437" s="2" t="str">
        <f>IFERROR(__xludf.DUMMYFUNCTION("GOOGLETRANSLATE(A11437, ""de"", ""en"")"),"deceive")</f>
        <v>deceive</v>
      </c>
    </row>
    <row r="11438">
      <c r="A11438" s="1" t="s">
        <v>11438</v>
      </c>
      <c r="B11438" s="2" t="str">
        <f>IFERROR(__xludf.DUMMYFUNCTION("GOOGLETRANSLATE(A11438, ""de"", ""en"")"),"horns")</f>
        <v>horns</v>
      </c>
    </row>
    <row r="11439">
      <c r="A11439" s="1" t="s">
        <v>11439</v>
      </c>
      <c r="B11439" s="2" t="str">
        <f>IFERROR(__xludf.DUMMYFUNCTION("GOOGLETRANSLATE(A11439, ""de"", ""en"")"),"fear")</f>
        <v>fear</v>
      </c>
    </row>
    <row r="11440">
      <c r="A11440" s="1" t="s">
        <v>11440</v>
      </c>
      <c r="B11440" s="2" t="str">
        <f>IFERROR(__xludf.DUMMYFUNCTION("GOOGLETRANSLATE(A11440, ""de"", ""en"")"),"reactor")</f>
        <v>reactor</v>
      </c>
    </row>
    <row r="11441">
      <c r="A11441" s="1" t="s">
        <v>11441</v>
      </c>
      <c r="B11441" s="2" t="str">
        <f>IFERROR(__xludf.DUMMYFUNCTION("GOOGLETRANSLATE(A11441, ""de"", ""en"")"),"run")</f>
        <v>run</v>
      </c>
    </row>
    <row r="11442">
      <c r="A11442" s="1" t="s">
        <v>11442</v>
      </c>
      <c r="B11442" s="2" t="str">
        <f>IFERROR(__xludf.DUMMYFUNCTION("GOOGLETRANSLATE(A11442, ""de"", ""en"")"),"two and a half")</f>
        <v>two and a half</v>
      </c>
    </row>
    <row r="11443">
      <c r="A11443" s="1" t="s">
        <v>11443</v>
      </c>
      <c r="B11443" s="2" t="str">
        <f>IFERROR(__xludf.DUMMYFUNCTION("GOOGLETRANSLATE(A11443, ""de"", ""en"")"),"broken")</f>
        <v>broken</v>
      </c>
    </row>
    <row r="11444">
      <c r="A11444" s="1" t="s">
        <v>11444</v>
      </c>
      <c r="B11444" s="2" t="str">
        <f>IFERROR(__xludf.DUMMYFUNCTION("GOOGLETRANSLATE(A11444, ""de"", ""en"")"),"announcement")</f>
        <v>announcement</v>
      </c>
    </row>
    <row r="11445">
      <c r="A11445" s="1" t="s">
        <v>11445</v>
      </c>
      <c r="B11445" s="2" t="str">
        <f>IFERROR(__xludf.DUMMYFUNCTION("GOOGLETRANSLATE(A11445, ""de"", ""en"")"),"compromise")</f>
        <v>compromise</v>
      </c>
    </row>
    <row r="11446">
      <c r="A11446" s="1" t="s">
        <v>11446</v>
      </c>
      <c r="B11446" s="2" t="str">
        <f>IFERROR(__xludf.DUMMYFUNCTION("GOOGLETRANSLATE(A11446, ""de"", ""en"")"),"badge")</f>
        <v>badge</v>
      </c>
    </row>
    <row r="11447">
      <c r="A11447" s="1" t="s">
        <v>11447</v>
      </c>
      <c r="B11447" s="2" t="str">
        <f>IFERROR(__xludf.DUMMYFUNCTION("GOOGLETRANSLATE(A11447, ""de"", ""en"")"),"multiple times")</f>
        <v>multiple times</v>
      </c>
    </row>
    <row r="11448">
      <c r="A11448" s="1" t="s">
        <v>11448</v>
      </c>
      <c r="B11448" s="2" t="str">
        <f>IFERROR(__xludf.DUMMYFUNCTION("GOOGLETRANSLATE(A11448, ""de"", ""en"")"),"dolores")</f>
        <v>dolores</v>
      </c>
    </row>
    <row r="11449">
      <c r="A11449" s="1" t="s">
        <v>11449</v>
      </c>
      <c r="B11449" s="2" t="str">
        <f>IFERROR(__xludf.DUMMYFUNCTION("GOOGLETRANSLATE(A11449, ""de"", ""en"")"),"cox")</f>
        <v>cox</v>
      </c>
    </row>
    <row r="11450">
      <c r="A11450" s="1" t="s">
        <v>11450</v>
      </c>
      <c r="B11450" s="2" t="str">
        <f>IFERROR(__xludf.DUMMYFUNCTION("GOOGLETRANSLATE(A11450, ""de"", ""en"")"),"aims")</f>
        <v>aims</v>
      </c>
    </row>
    <row r="11451">
      <c r="A11451" s="1" t="s">
        <v>11451</v>
      </c>
      <c r="B11451" s="2" t="str">
        <f>IFERROR(__xludf.DUMMYFUNCTION("GOOGLETRANSLATE(A11451, ""de"", ""en"")"),"lecture")</f>
        <v>lecture</v>
      </c>
    </row>
    <row r="11452">
      <c r="A11452" s="1" t="s">
        <v>11452</v>
      </c>
      <c r="B11452" s="2" t="str">
        <f>IFERROR(__xludf.DUMMYFUNCTION("GOOGLETRANSLATE(A11452, ""de"", ""en"")"),"entire")</f>
        <v>entire</v>
      </c>
    </row>
    <row r="11453">
      <c r="A11453" s="1" t="s">
        <v>11453</v>
      </c>
      <c r="B11453" s="2" t="str">
        <f>IFERROR(__xludf.DUMMYFUNCTION("GOOGLETRANSLATE(A11453, ""de"", ""en"")"),"calculated")</f>
        <v>calculated</v>
      </c>
    </row>
    <row r="11454">
      <c r="A11454" s="1" t="s">
        <v>11454</v>
      </c>
      <c r="B11454" s="2" t="str">
        <f>IFERROR(__xludf.DUMMYFUNCTION("GOOGLETRANSLATE(A11454, ""de"", ""en"")"),"Roman")</f>
        <v>Roman</v>
      </c>
    </row>
    <row r="11455">
      <c r="A11455" s="1" t="s">
        <v>11455</v>
      </c>
      <c r="B11455" s="2" t="str">
        <f>IFERROR(__xludf.DUMMYFUNCTION("GOOGLETRANSLATE(A11455, ""de"", ""en"")"),"noticeable")</f>
        <v>noticeable</v>
      </c>
    </row>
    <row r="11456">
      <c r="A11456" s="1" t="s">
        <v>11456</v>
      </c>
      <c r="B11456" s="2" t="str">
        <f>IFERROR(__xludf.DUMMYFUNCTION("GOOGLETRANSLATE(A11456, ""de"", ""en"")"),"steering wheel")</f>
        <v>steering wheel</v>
      </c>
    </row>
    <row r="11457">
      <c r="A11457" s="1" t="s">
        <v>11457</v>
      </c>
      <c r="B11457" s="2" t="str">
        <f>IFERROR(__xludf.DUMMYFUNCTION("GOOGLETRANSLATE(A11457, ""de"", ""en"")"),"engagement")</f>
        <v>engagement</v>
      </c>
    </row>
    <row r="11458">
      <c r="A11458" s="1" t="s">
        <v>11458</v>
      </c>
      <c r="B11458" s="2" t="str">
        <f>IFERROR(__xludf.DUMMYFUNCTION("GOOGLETRANSLATE(A11458, ""de"", ""en"")"),"American")</f>
        <v>American</v>
      </c>
    </row>
    <row r="11459">
      <c r="A11459" s="1" t="s">
        <v>11459</v>
      </c>
      <c r="B11459" s="2" t="str">
        <f>IFERROR(__xludf.DUMMYFUNCTION("GOOGLETRANSLATE(A11459, ""de"", ""en"")"),"Harlem")</f>
        <v>Harlem</v>
      </c>
    </row>
    <row r="11460">
      <c r="A11460" s="1" t="s">
        <v>11460</v>
      </c>
      <c r="B11460" s="2" t="str">
        <f>IFERROR(__xludf.DUMMYFUNCTION("GOOGLETRANSLATE(A11460, ""de"", ""en"")"),"jose")</f>
        <v>jose</v>
      </c>
    </row>
    <row r="11461">
      <c r="A11461" s="1" t="s">
        <v>11461</v>
      </c>
      <c r="B11461" s="2" t="str">
        <f>IFERROR(__xludf.DUMMYFUNCTION("GOOGLETRANSLATE(A11461, ""de"", ""en"")"),"chakotay")</f>
        <v>chakotay</v>
      </c>
    </row>
    <row r="11462">
      <c r="A11462" s="1" t="s">
        <v>11462</v>
      </c>
      <c r="B11462" s="2" t="str">
        <f>IFERROR(__xludf.DUMMYFUNCTION("GOOGLETRANSLATE(A11462, ""de"", ""en"")"),"keep away")</f>
        <v>keep away</v>
      </c>
    </row>
    <row r="11463">
      <c r="A11463" s="1" t="s">
        <v>11463</v>
      </c>
      <c r="B11463" s="2" t="str">
        <f>IFERROR(__xludf.DUMMYFUNCTION("GOOGLETRANSLATE(A11463, ""de"", ""en"")"),"founder")</f>
        <v>founder</v>
      </c>
    </row>
    <row r="11464">
      <c r="A11464" s="1" t="s">
        <v>11464</v>
      </c>
      <c r="B11464" s="2" t="str">
        <f>IFERROR(__xludf.DUMMYFUNCTION("GOOGLETRANSLATE(A11464, ""de"", ""en"")"),"technical")</f>
        <v>technical</v>
      </c>
    </row>
    <row r="11465">
      <c r="A11465" s="1" t="s">
        <v>11465</v>
      </c>
      <c r="B11465" s="2" t="str">
        <f>IFERROR(__xludf.DUMMYFUNCTION("GOOGLETRANSLATE(A11465, ""de"", ""en"")"),"Hassan")</f>
        <v>Hassan</v>
      </c>
    </row>
    <row r="11466">
      <c r="A11466" s="1" t="s">
        <v>11466</v>
      </c>
      <c r="B11466" s="2" t="str">
        <f>IFERROR(__xludf.DUMMYFUNCTION("GOOGLETRANSLATE(A11466, ""de"", ""en"")"),"guts")</f>
        <v>guts</v>
      </c>
    </row>
    <row r="11467">
      <c r="A11467" s="1" t="s">
        <v>11467</v>
      </c>
      <c r="B11467" s="2" t="str">
        <f>IFERROR(__xludf.DUMMYFUNCTION("GOOGLETRANSLATE(A11467, ""de"", ""en"")"),"sent")</f>
        <v>sent</v>
      </c>
    </row>
    <row r="11468">
      <c r="A11468" s="1" t="s">
        <v>11468</v>
      </c>
      <c r="B11468" s="2" t="str">
        <f>IFERROR(__xludf.DUMMYFUNCTION("GOOGLETRANSLATE(A11468, ""de"", ""en"")"),"studied")</f>
        <v>studied</v>
      </c>
    </row>
    <row r="11469">
      <c r="A11469" s="1" t="s">
        <v>11469</v>
      </c>
      <c r="B11469" s="2" t="str">
        <f>IFERROR(__xludf.DUMMYFUNCTION("GOOGLETRANSLATE(A11469, ""de"", ""en"")"),"industry")</f>
        <v>industry</v>
      </c>
    </row>
    <row r="11470">
      <c r="A11470" s="1" t="s">
        <v>11470</v>
      </c>
      <c r="B11470" s="2" t="str">
        <f>IFERROR(__xludf.DUMMYFUNCTION("GOOGLETRANSLATE(A11470, ""de"", ""en"")"),"spring")</f>
        <v>spring</v>
      </c>
    </row>
    <row r="11471">
      <c r="A11471" s="1" t="s">
        <v>11471</v>
      </c>
      <c r="B11471" s="2" t="str">
        <f>IFERROR(__xludf.DUMMYFUNCTION("GOOGLETRANSLATE(A11471, ""de"", ""en"")"),"Christmas Eve")</f>
        <v>Christmas Eve</v>
      </c>
    </row>
    <row r="11472">
      <c r="A11472" s="1" t="s">
        <v>11472</v>
      </c>
      <c r="B11472" s="2" t="str">
        <f>IFERROR(__xludf.DUMMYFUNCTION("GOOGLETRANSLATE(A11472, ""de"", ""en"")"),"deputy")</f>
        <v>deputy</v>
      </c>
    </row>
    <row r="11473">
      <c r="A11473" s="1" t="s">
        <v>11473</v>
      </c>
      <c r="B11473" s="2" t="str">
        <f>IFERROR(__xludf.DUMMYFUNCTION("GOOGLETRANSLATE(A11473, ""de"", ""en"")"),"unimaginable")</f>
        <v>unimaginable</v>
      </c>
    </row>
    <row r="11474">
      <c r="A11474" s="1" t="s">
        <v>11474</v>
      </c>
      <c r="B11474" s="2" t="str">
        <f>IFERROR(__xludf.DUMMYFUNCTION("GOOGLETRANSLATE(A11474, ""de"", ""en"")"),"secures")</f>
        <v>secures</v>
      </c>
    </row>
    <row r="11475">
      <c r="A11475" s="1" t="s">
        <v>11475</v>
      </c>
      <c r="B11475" s="2" t="str">
        <f>IFERROR(__xludf.DUMMYFUNCTION("GOOGLETRANSLATE(A11475, ""de"", ""en"")"),"shits")</f>
        <v>shits</v>
      </c>
    </row>
    <row r="11476">
      <c r="A11476" s="1" t="s">
        <v>11476</v>
      </c>
      <c r="B11476" s="2" t="str">
        <f>IFERROR(__xludf.DUMMYFUNCTION("GOOGLETRANSLATE(A11476, ""de"", ""en"")"),"space")</f>
        <v>space</v>
      </c>
    </row>
    <row r="11477">
      <c r="A11477" s="1" t="s">
        <v>11477</v>
      </c>
      <c r="B11477" s="2" t="str">
        <f>IFERROR(__xludf.DUMMYFUNCTION("GOOGLETRANSLATE(A11477, ""de"", ""en"")"),"doubt")</f>
        <v>doubt</v>
      </c>
    </row>
    <row r="11478">
      <c r="A11478" s="1" t="s">
        <v>11478</v>
      </c>
      <c r="B11478" s="2" t="str">
        <f>IFERROR(__xludf.DUMMYFUNCTION("GOOGLETRANSLATE(A11478, ""de"", ""en"")"),"burned")</f>
        <v>burned</v>
      </c>
    </row>
    <row r="11479">
      <c r="A11479" s="1" t="s">
        <v>11479</v>
      </c>
      <c r="B11479" s="2" t="str">
        <f>IFERROR(__xludf.DUMMYFUNCTION("GOOGLETRANSLATE(A11479, ""de"", ""en"")"),"chicken")</f>
        <v>chicken</v>
      </c>
    </row>
    <row r="11480">
      <c r="A11480" s="1" t="s">
        <v>11480</v>
      </c>
      <c r="B11480" s="2" t="str">
        <f>IFERROR(__xludf.DUMMYFUNCTION("GOOGLETRANSLATE(A11480, ""de"", ""en"")"),"ren")</f>
        <v>ren</v>
      </c>
    </row>
    <row r="11481">
      <c r="A11481" s="1" t="s">
        <v>11481</v>
      </c>
      <c r="B11481" s="2" t="str">
        <f>IFERROR(__xludf.DUMMYFUNCTION("GOOGLETRANSLATE(A11481, ""de"", ""en"")"),"ex-wife")</f>
        <v>ex-wife</v>
      </c>
    </row>
    <row r="11482">
      <c r="A11482" s="1" t="s">
        <v>11482</v>
      </c>
      <c r="B11482" s="2" t="str">
        <f>IFERROR(__xludf.DUMMYFUNCTION("GOOGLETRANSLATE(A11482, ""de"", ""en"")"),"cultures")</f>
        <v>cultures</v>
      </c>
    </row>
    <row r="11483">
      <c r="A11483" s="1" t="s">
        <v>11483</v>
      </c>
      <c r="B11483" s="2" t="str">
        <f>IFERROR(__xludf.DUMMYFUNCTION("GOOGLETRANSLATE(A11483, ""de"", ""en"")"),"ambitious")</f>
        <v>ambitious</v>
      </c>
    </row>
    <row r="11484">
      <c r="A11484" s="1" t="s">
        <v>11484</v>
      </c>
      <c r="B11484" s="2" t="str">
        <f>IFERROR(__xludf.DUMMYFUNCTION("GOOGLETRANSLATE(A11484, ""de"", ""en"")"),"register")</f>
        <v>register</v>
      </c>
    </row>
    <row r="11485">
      <c r="A11485" s="1" t="s">
        <v>11485</v>
      </c>
      <c r="B11485" s="2" t="str">
        <f>IFERROR(__xludf.DUMMYFUNCTION("GOOGLETRANSLATE(A11485, ""de"", ""en"")"),"moves")</f>
        <v>moves</v>
      </c>
    </row>
    <row r="11486">
      <c r="A11486" s="1" t="s">
        <v>11486</v>
      </c>
      <c r="B11486" s="2" t="str">
        <f>IFERROR(__xludf.DUMMYFUNCTION("GOOGLETRANSLATE(A11486, ""de"", ""en"")"),"spilled")</f>
        <v>spilled</v>
      </c>
    </row>
    <row r="11487">
      <c r="A11487" s="1" t="s">
        <v>11487</v>
      </c>
      <c r="B11487" s="2" t="str">
        <f>IFERROR(__xludf.DUMMYFUNCTION("GOOGLETRANSLATE(A11487, ""de"", ""en"")"),"whirlpool")</f>
        <v>whirlpool</v>
      </c>
    </row>
    <row r="11488">
      <c r="A11488" s="1" t="s">
        <v>11488</v>
      </c>
      <c r="B11488" s="2" t="str">
        <f>IFERROR(__xludf.DUMMYFUNCTION("GOOGLETRANSLATE(A11488, ""de"", ""en"")"),"breathing")</f>
        <v>breathing</v>
      </c>
    </row>
    <row r="11489">
      <c r="A11489" s="1" t="s">
        <v>11489</v>
      </c>
      <c r="B11489" s="2" t="str">
        <f>IFERROR(__xludf.DUMMYFUNCTION("GOOGLETRANSLATE(A11489, ""de"", ""en"")"),"cold-blooded")</f>
        <v>cold-blooded</v>
      </c>
    </row>
    <row r="11490">
      <c r="A11490" s="1" t="s">
        <v>11490</v>
      </c>
      <c r="B11490" s="2" t="str">
        <f>IFERROR(__xludf.DUMMYFUNCTION("GOOGLETRANSLATE(A11490, ""de"", ""en"")"),"handyman")</f>
        <v>handyman</v>
      </c>
    </row>
    <row r="11491">
      <c r="A11491" s="1" t="s">
        <v>11491</v>
      </c>
      <c r="B11491" s="2" t="str">
        <f>IFERROR(__xludf.DUMMYFUNCTION("GOOGLETRANSLATE(A11491, ""de"", ""en"")"),"courses")</f>
        <v>courses</v>
      </c>
    </row>
    <row r="11492">
      <c r="A11492" s="1" t="s">
        <v>11492</v>
      </c>
      <c r="B11492" s="2" t="str">
        <f>IFERROR(__xludf.DUMMYFUNCTION("GOOGLETRANSLATE(A11492, ""de"", ""en"")"),"grabbed")</f>
        <v>grabbed</v>
      </c>
    </row>
    <row r="11493">
      <c r="A11493" s="1" t="s">
        <v>11493</v>
      </c>
      <c r="B11493" s="2" t="str">
        <f>IFERROR(__xludf.DUMMYFUNCTION("GOOGLETRANSLATE(A11493, ""de"", ""en"")"),"unpleasant")</f>
        <v>unpleasant</v>
      </c>
    </row>
    <row r="11494">
      <c r="A11494" s="1" t="s">
        <v>11494</v>
      </c>
      <c r="B11494" s="2" t="str">
        <f>IFERROR(__xludf.DUMMYFUNCTION("GOOGLETRANSLATE(A11494, ""de"", ""en"")"),"exhibit")</f>
        <v>exhibit</v>
      </c>
    </row>
    <row r="11495">
      <c r="A11495" s="1" t="s">
        <v>11495</v>
      </c>
      <c r="B11495" s="2" t="str">
        <f>IFERROR(__xludf.DUMMYFUNCTION("GOOGLETRANSLATE(A11495, ""de"", ""en"")"),"otherwise")</f>
        <v>otherwise</v>
      </c>
    </row>
    <row r="11496">
      <c r="A11496" s="1" t="s">
        <v>11496</v>
      </c>
      <c r="B11496" s="2" t="str">
        <f>IFERROR(__xludf.DUMMYFUNCTION("GOOGLETRANSLATE(A11496, ""de"", ""en"")"),"special")</f>
        <v>special</v>
      </c>
    </row>
    <row r="11497">
      <c r="A11497" s="1" t="s">
        <v>11497</v>
      </c>
      <c r="B11497" s="2" t="str">
        <f>IFERROR(__xludf.DUMMYFUNCTION("GOOGLETRANSLATE(A11497, ""de"", ""en"")"),"felt")</f>
        <v>felt</v>
      </c>
    </row>
    <row r="11498">
      <c r="A11498" s="1" t="s">
        <v>11498</v>
      </c>
      <c r="B11498" s="2" t="str">
        <f>IFERROR(__xludf.DUMMYFUNCTION("GOOGLETRANSLATE(A11498, ""de"", ""en"")"),"Prague")</f>
        <v>Prague</v>
      </c>
    </row>
    <row r="11499">
      <c r="A11499" s="1" t="s">
        <v>11499</v>
      </c>
      <c r="B11499" s="2" t="str">
        <f>IFERROR(__xludf.DUMMYFUNCTION("GOOGLETRANSLATE(A11499, ""de"", ""en"")"),"frogs")</f>
        <v>frogs</v>
      </c>
    </row>
    <row r="11500">
      <c r="A11500" s="1" t="s">
        <v>11500</v>
      </c>
      <c r="B11500" s="2" t="str">
        <f>IFERROR(__xludf.DUMMYFUNCTION("GOOGLETRANSLATE(A11500, ""de"", ""en"")"),"found out")</f>
        <v>found out</v>
      </c>
    </row>
    <row r="11501">
      <c r="A11501" s="1" t="s">
        <v>11501</v>
      </c>
      <c r="B11501" s="2" t="str">
        <f>IFERROR(__xludf.DUMMYFUNCTION("GOOGLETRANSLATE(A11501, ""de"", ""en"")"),"vega")</f>
        <v>vega</v>
      </c>
    </row>
    <row r="11502">
      <c r="A11502" s="1" t="s">
        <v>11502</v>
      </c>
      <c r="B11502" s="2" t="str">
        <f>IFERROR(__xludf.DUMMYFUNCTION("GOOGLETRANSLATE(A11502, ""de"", ""en"")"),"vance")</f>
        <v>vance</v>
      </c>
    </row>
    <row r="11503">
      <c r="A11503" s="1" t="s">
        <v>11503</v>
      </c>
      <c r="B11503" s="2" t="str">
        <f>IFERROR(__xludf.DUMMYFUNCTION("GOOGLETRANSLATE(A11503, ""de"", ""en"")"),"tender")</f>
        <v>tender</v>
      </c>
    </row>
    <row r="11504">
      <c r="A11504" s="1" t="s">
        <v>11504</v>
      </c>
      <c r="B11504" s="2" t="str">
        <f>IFERROR(__xludf.DUMMYFUNCTION("GOOGLETRANSLATE(A11504, ""de"", ""en"")"),"doe")</f>
        <v>doe</v>
      </c>
    </row>
    <row r="11505">
      <c r="A11505" s="1" t="s">
        <v>11505</v>
      </c>
      <c r="B11505" s="2" t="str">
        <f>IFERROR(__xludf.DUMMYFUNCTION("GOOGLETRANSLATE(A11505, ""de"", ""en"")"),"Jewish")</f>
        <v>Jewish</v>
      </c>
    </row>
    <row r="11506">
      <c r="A11506" s="1" t="s">
        <v>11506</v>
      </c>
      <c r="B11506" s="2" t="str">
        <f>IFERROR(__xludf.DUMMYFUNCTION("GOOGLETRANSLATE(A11506, ""de"", ""en"")"),"steering")</f>
        <v>steering</v>
      </c>
    </row>
    <row r="11507">
      <c r="A11507" s="1" t="s">
        <v>11507</v>
      </c>
      <c r="B11507" s="2" t="str">
        <f>IFERROR(__xludf.DUMMYFUNCTION("GOOGLETRANSLATE(A11507, ""de"", ""en"")"),"magazines")</f>
        <v>magazines</v>
      </c>
    </row>
    <row r="11508">
      <c r="A11508" s="1" t="s">
        <v>11508</v>
      </c>
      <c r="B11508" s="2" t="str">
        <f>IFERROR(__xludf.DUMMYFUNCTION("GOOGLETRANSLATE(A11508, ""de"", ""en"")"),"screwed up")</f>
        <v>screwed up</v>
      </c>
    </row>
    <row r="11509">
      <c r="A11509" s="1" t="s">
        <v>11509</v>
      </c>
      <c r="B11509" s="2" t="str">
        <f>IFERROR(__xludf.DUMMYFUNCTION("GOOGLETRANSLATE(A11509, ""de"", ""en"")"),"huge")</f>
        <v>huge</v>
      </c>
    </row>
    <row r="11510">
      <c r="A11510" s="1" t="s">
        <v>11510</v>
      </c>
      <c r="B11510" s="2" t="str">
        <f>IFERROR(__xludf.DUMMYFUNCTION("GOOGLETRANSLATE(A11510, ""de"", ""en"")"),"recovery")</f>
        <v>recovery</v>
      </c>
    </row>
    <row r="11511">
      <c r="A11511" s="1" t="s">
        <v>11511</v>
      </c>
      <c r="B11511" s="2" t="str">
        <f>IFERROR(__xludf.DUMMYFUNCTION("GOOGLETRANSLATE(A11511, ""de"", ""en"")"),"client")</f>
        <v>client</v>
      </c>
    </row>
    <row r="11512">
      <c r="A11512" s="1" t="s">
        <v>11512</v>
      </c>
      <c r="B11512" s="2" t="str">
        <f>IFERROR(__xludf.DUMMYFUNCTION("GOOGLETRANSLATE(A11512, ""de"", ""en"")"),"wanna")</f>
        <v>wanna</v>
      </c>
    </row>
    <row r="11513">
      <c r="A11513" s="1" t="s">
        <v>11513</v>
      </c>
      <c r="B11513" s="2" t="str">
        <f>IFERROR(__xludf.DUMMYFUNCTION("GOOGLETRANSLATE(A11513, ""de"", ""en"")"),"listened to")</f>
        <v>listened to</v>
      </c>
    </row>
    <row r="11514">
      <c r="A11514" s="1" t="s">
        <v>11514</v>
      </c>
      <c r="B11514" s="2" t="str">
        <f>IFERROR(__xludf.DUMMYFUNCTION("GOOGLETRANSLATE(A11514, ""de"", ""en"")"),"Oregon")</f>
        <v>Oregon</v>
      </c>
    </row>
    <row r="11515">
      <c r="A11515" s="1" t="s">
        <v>11515</v>
      </c>
      <c r="B11515" s="2" t="str">
        <f>IFERROR(__xludf.DUMMYFUNCTION("GOOGLETRANSLATE(A11515, ""de"", ""en"")"),"checked")</f>
        <v>checked</v>
      </c>
    </row>
    <row r="11516">
      <c r="A11516" s="1" t="s">
        <v>11516</v>
      </c>
      <c r="B11516" s="2" t="str">
        <f>IFERROR(__xludf.DUMMYFUNCTION("GOOGLETRANSLATE(A11516, ""de"", ""en"")"),"collapse")</f>
        <v>collapse</v>
      </c>
    </row>
    <row r="11517">
      <c r="A11517" s="1" t="s">
        <v>11517</v>
      </c>
      <c r="B11517" s="2" t="str">
        <f>IFERROR(__xludf.DUMMYFUNCTION("GOOGLETRANSLATE(A11517, ""de"", ""en"")"),"observed")</f>
        <v>observed</v>
      </c>
    </row>
    <row r="11518">
      <c r="A11518" s="1" t="s">
        <v>11518</v>
      </c>
      <c r="B11518" s="2" t="str">
        <f>IFERROR(__xludf.DUMMYFUNCTION("GOOGLETRANSLATE(A11518, ""de"", ""en"")"),"united")</f>
        <v>united</v>
      </c>
    </row>
    <row r="11519">
      <c r="A11519" s="1" t="s">
        <v>11519</v>
      </c>
      <c r="B11519" s="2" t="str">
        <f>IFERROR(__xludf.DUMMYFUNCTION("GOOGLETRANSLATE(A11519, ""de"", ""en"")"),"cowboys")</f>
        <v>cowboys</v>
      </c>
    </row>
    <row r="11520">
      <c r="A11520" s="1" t="s">
        <v>11520</v>
      </c>
      <c r="B11520" s="2" t="str">
        <f>IFERROR(__xludf.DUMMYFUNCTION("GOOGLETRANSLATE(A11520, ""de"", ""en"")"),"pump")</f>
        <v>pump</v>
      </c>
    </row>
    <row r="11521">
      <c r="A11521" s="1" t="s">
        <v>11521</v>
      </c>
      <c r="B11521" s="2" t="str">
        <f>IFERROR(__xludf.DUMMYFUNCTION("GOOGLETRANSLATE(A11521, ""de"", ""en"")"),"eagle")</f>
        <v>eagle</v>
      </c>
    </row>
    <row r="11522">
      <c r="A11522" s="1" t="s">
        <v>11522</v>
      </c>
      <c r="B11522" s="2" t="str">
        <f>IFERROR(__xludf.DUMMYFUNCTION("GOOGLETRANSLATE(A11522, ""de"", ""en"")"),"logbook")</f>
        <v>logbook</v>
      </c>
    </row>
    <row r="11523">
      <c r="A11523" s="1" t="s">
        <v>11523</v>
      </c>
      <c r="B11523" s="2" t="str">
        <f>IFERROR(__xludf.DUMMYFUNCTION("GOOGLETRANSLATE(A11523, ""de"", ""en"")"),"anyone")</f>
        <v>anyone</v>
      </c>
    </row>
    <row r="11524">
      <c r="A11524" s="1" t="s">
        <v>11524</v>
      </c>
      <c r="B11524" s="2" t="str">
        <f>IFERROR(__xludf.DUMMYFUNCTION("GOOGLETRANSLATE(A11524, ""de"", ""en"")"),"excepted")</f>
        <v>excepted</v>
      </c>
    </row>
    <row r="11525">
      <c r="A11525" s="1" t="s">
        <v>11525</v>
      </c>
      <c r="B11525" s="2" t="str">
        <f>IFERROR(__xludf.DUMMYFUNCTION("GOOGLETRANSLATE(A11525, ""de"", ""en"")"),"Churchill")</f>
        <v>Churchill</v>
      </c>
    </row>
    <row r="11526">
      <c r="A11526" s="1" t="s">
        <v>11526</v>
      </c>
      <c r="B11526" s="2" t="str">
        <f>IFERROR(__xludf.DUMMYFUNCTION("GOOGLETRANSLATE(A11526, ""de"", ""en"")"),"get there")</f>
        <v>get there</v>
      </c>
    </row>
    <row r="11527">
      <c r="A11527" s="1" t="s">
        <v>11527</v>
      </c>
      <c r="B11527" s="2" t="str">
        <f>IFERROR(__xludf.DUMMYFUNCTION("GOOGLETRANSLATE(A11527, ""de"", ""en"")"),"relevant")</f>
        <v>relevant</v>
      </c>
    </row>
    <row r="11528">
      <c r="A11528" s="1" t="s">
        <v>11528</v>
      </c>
      <c r="B11528" s="2" t="str">
        <f>IFERROR(__xludf.DUMMYFUNCTION("GOOGLETRANSLATE(A11528, ""de"", ""en"")"),"t-shirts")</f>
        <v>t-shirts</v>
      </c>
    </row>
    <row r="11529">
      <c r="A11529" s="1" t="s">
        <v>11529</v>
      </c>
      <c r="B11529" s="2" t="str">
        <f>IFERROR(__xludf.DUMMYFUNCTION("GOOGLETRANSLATE(A11529, ""de"", ""en"")"),"visit")</f>
        <v>visit</v>
      </c>
    </row>
    <row r="11530">
      <c r="A11530" s="1" t="s">
        <v>11530</v>
      </c>
      <c r="B11530" s="2" t="str">
        <f>IFERROR(__xludf.DUMMYFUNCTION("GOOGLETRANSLATE(A11530, ""de"", ""en"")"),"deepest")</f>
        <v>deepest</v>
      </c>
    </row>
    <row r="11531">
      <c r="A11531" s="1" t="s">
        <v>11531</v>
      </c>
      <c r="B11531" s="2" t="str">
        <f>IFERROR(__xludf.DUMMYFUNCTION("GOOGLETRANSLATE(A11531, ""de"", ""en"")"),"imagination")</f>
        <v>imagination</v>
      </c>
    </row>
    <row r="11532">
      <c r="A11532" s="1" t="s">
        <v>11532</v>
      </c>
      <c r="B11532" s="2" t="str">
        <f>IFERROR(__xludf.DUMMYFUNCTION("GOOGLETRANSLATE(A11532, ""de"", ""en"")"),"unstable")</f>
        <v>unstable</v>
      </c>
    </row>
    <row r="11533">
      <c r="A11533" s="1" t="s">
        <v>11533</v>
      </c>
      <c r="B11533" s="2" t="str">
        <f>IFERROR(__xludf.DUMMYFUNCTION("GOOGLETRANSLATE(A11533, ""de"", ""en"")"),"felt")</f>
        <v>felt</v>
      </c>
    </row>
    <row r="11534">
      <c r="A11534" s="1" t="s">
        <v>11534</v>
      </c>
      <c r="B11534" s="2" t="str">
        <f>IFERROR(__xludf.DUMMYFUNCTION("GOOGLETRANSLATE(A11534, ""de"", ""en"")"),"hr")</f>
        <v>hr</v>
      </c>
    </row>
    <row r="11535">
      <c r="A11535" s="1" t="s">
        <v>11535</v>
      </c>
      <c r="B11535" s="2" t="str">
        <f>IFERROR(__xludf.DUMMYFUNCTION("GOOGLETRANSLATE(A11535, ""de"", ""en"")"),"transported")</f>
        <v>transported</v>
      </c>
    </row>
    <row r="11536">
      <c r="A11536" s="1" t="s">
        <v>11536</v>
      </c>
      <c r="B11536" s="2" t="str">
        <f>IFERROR(__xludf.DUMMYFUNCTION("GOOGLETRANSLATE(A11536, ""de"", ""en"")"),"monks")</f>
        <v>monks</v>
      </c>
    </row>
    <row r="11537">
      <c r="A11537" s="1" t="s">
        <v>11537</v>
      </c>
      <c r="B11537" s="2" t="str">
        <f>IFERROR(__xludf.DUMMYFUNCTION("GOOGLETRANSLATE(A11537, ""de"", ""en"")"),"lina")</f>
        <v>lina</v>
      </c>
    </row>
    <row r="11538">
      <c r="A11538" s="1" t="s">
        <v>11538</v>
      </c>
      <c r="B11538" s="2" t="str">
        <f>IFERROR(__xludf.DUMMYFUNCTION("GOOGLETRANSLATE(A11538, ""de"", ""en"")"),"riggs")</f>
        <v>riggs</v>
      </c>
    </row>
    <row r="11539">
      <c r="A11539" s="1" t="s">
        <v>11539</v>
      </c>
      <c r="B11539" s="2" t="str">
        <f>IFERROR(__xludf.DUMMYFUNCTION("GOOGLETRANSLATE(A11539, ""de"", ""en"")"),"Stacy")</f>
        <v>Stacy</v>
      </c>
    </row>
    <row r="11540">
      <c r="A11540" s="1" t="s">
        <v>11540</v>
      </c>
      <c r="B11540" s="2" t="str">
        <f>IFERROR(__xludf.DUMMYFUNCTION("GOOGLETRANSLATE(A11540, ""de"", ""en"")"),"bombardment")</f>
        <v>bombardment</v>
      </c>
    </row>
    <row r="11541">
      <c r="A11541" s="1" t="s">
        <v>11541</v>
      </c>
      <c r="B11541" s="2" t="str">
        <f>IFERROR(__xludf.DUMMYFUNCTION("GOOGLETRANSLATE(A11541, ""de"", ""en"")"),"bat")</f>
        <v>bat</v>
      </c>
    </row>
    <row r="11542">
      <c r="A11542" s="1" t="s">
        <v>11542</v>
      </c>
      <c r="B11542" s="2" t="str">
        <f>IFERROR(__xludf.DUMMYFUNCTION("GOOGLETRANSLATE(A11542, ""de"", ""en"")"),"bless")</f>
        <v>bless</v>
      </c>
    </row>
    <row r="11543">
      <c r="A11543" s="1" t="s">
        <v>11543</v>
      </c>
      <c r="B11543" s="2" t="str">
        <f>IFERROR(__xludf.DUMMYFUNCTION("GOOGLETRANSLATE(A11543, ""de"", ""en"")"),"took place")</f>
        <v>took place</v>
      </c>
    </row>
    <row r="11544">
      <c r="A11544" s="1" t="s">
        <v>11544</v>
      </c>
      <c r="B11544" s="2" t="str">
        <f>IFERROR(__xludf.DUMMYFUNCTION("GOOGLETRANSLATE(A11544, ""de"", ""en"")"),"nell")</f>
        <v>nell</v>
      </c>
    </row>
    <row r="11545">
      <c r="A11545" s="1" t="s">
        <v>11545</v>
      </c>
      <c r="B11545" s="2" t="str">
        <f>IFERROR(__xludf.DUMMYFUNCTION("GOOGLETRANSLATE(A11545, ""de"", ""en"")"),"lebeau")</f>
        <v>lebeau</v>
      </c>
    </row>
    <row r="11546">
      <c r="A11546" s="1" t="s">
        <v>11546</v>
      </c>
      <c r="B11546" s="2" t="str">
        <f>IFERROR(__xludf.DUMMYFUNCTION("GOOGLETRANSLATE(A11546, ""de"", ""en"")"),"claw")</f>
        <v>claw</v>
      </c>
    </row>
    <row r="11547">
      <c r="A11547" s="1" t="s">
        <v>11547</v>
      </c>
      <c r="B11547" s="2" t="str">
        <f>IFERROR(__xludf.DUMMYFUNCTION("GOOGLETRANSLATE(A11547, ""de"", ""en"")"),"moss")</f>
        <v>moss</v>
      </c>
    </row>
    <row r="11548">
      <c r="A11548" s="1" t="s">
        <v>11548</v>
      </c>
      <c r="B11548" s="2" t="str">
        <f>IFERROR(__xludf.DUMMYFUNCTION("GOOGLETRANSLATE(A11548, ""de"", ""en"")"),"KGB")</f>
        <v>KGB</v>
      </c>
    </row>
    <row r="11549">
      <c r="A11549" s="1" t="s">
        <v>11549</v>
      </c>
      <c r="B11549" s="2" t="str">
        <f>IFERROR(__xludf.DUMMYFUNCTION("GOOGLETRANSLATE(A11549, ""de"", ""en"")"),"romantic")</f>
        <v>romantic</v>
      </c>
    </row>
    <row r="11550">
      <c r="A11550" s="1" t="s">
        <v>11550</v>
      </c>
      <c r="B11550" s="2" t="str">
        <f>IFERROR(__xludf.DUMMYFUNCTION("GOOGLETRANSLATE(A11550, ""de"", ""en"")"),"bloody")</f>
        <v>bloody</v>
      </c>
    </row>
    <row r="11551">
      <c r="A11551" s="1" t="s">
        <v>11551</v>
      </c>
      <c r="B11551" s="2" t="str">
        <f>IFERROR(__xludf.DUMMYFUNCTION("GOOGLETRANSLATE(A11551, ""de"", ""en"")"),"allies")</f>
        <v>allies</v>
      </c>
    </row>
    <row r="11552">
      <c r="A11552" s="1" t="s">
        <v>11552</v>
      </c>
      <c r="B11552" s="2" t="str">
        <f>IFERROR(__xludf.DUMMYFUNCTION("GOOGLETRANSLATE(A11552, ""de"", ""en"")"),"Mara")</f>
        <v>Mara</v>
      </c>
    </row>
    <row r="11553">
      <c r="A11553" s="1" t="s">
        <v>11553</v>
      </c>
      <c r="B11553" s="2" t="str">
        <f>IFERROR(__xludf.DUMMYFUNCTION("GOOGLETRANSLATE(A11553, ""de"", ""en"")"),"superficial")</f>
        <v>superficial</v>
      </c>
    </row>
    <row r="11554">
      <c r="A11554" s="1" t="s">
        <v>11554</v>
      </c>
      <c r="B11554" s="2" t="str">
        <f>IFERROR(__xludf.DUMMYFUNCTION("GOOGLETRANSLATE(A11554, ""de"", ""en"")"),"sanders")</f>
        <v>sanders</v>
      </c>
    </row>
    <row r="11555">
      <c r="A11555" s="1" t="s">
        <v>11555</v>
      </c>
      <c r="B11555" s="2" t="str">
        <f>IFERROR(__xludf.DUMMYFUNCTION("GOOGLETRANSLATE(A11555, ""de"", ""en"")"),"hiccup")</f>
        <v>hiccup</v>
      </c>
    </row>
    <row r="11556">
      <c r="A11556" s="1" t="s">
        <v>11556</v>
      </c>
      <c r="B11556" s="2" t="str">
        <f>IFERROR(__xludf.DUMMYFUNCTION("GOOGLETRANSLATE(A11556, ""de"", ""en"")"),"Easter")</f>
        <v>Easter</v>
      </c>
    </row>
    <row r="11557">
      <c r="A11557" s="1" t="s">
        <v>11557</v>
      </c>
      <c r="B11557" s="2" t="str">
        <f>IFERROR(__xludf.DUMMYFUNCTION("GOOGLETRANSLATE(A11557, ""de"", ""en"")"),"orange juice")</f>
        <v>orange juice</v>
      </c>
    </row>
    <row r="11558">
      <c r="A11558" s="1" t="s">
        <v>11558</v>
      </c>
      <c r="B11558" s="2" t="str">
        <f>IFERROR(__xludf.DUMMYFUNCTION("GOOGLETRANSLATE(A11558, ""de"", ""en"")"),"unknown")</f>
        <v>unknown</v>
      </c>
    </row>
    <row r="11559">
      <c r="A11559" s="1" t="s">
        <v>11559</v>
      </c>
      <c r="B11559" s="2" t="str">
        <f>IFERROR(__xludf.DUMMYFUNCTION("GOOGLETRANSLATE(A11559, ""de"", ""en"")"),"thornton")</f>
        <v>thornton</v>
      </c>
    </row>
    <row r="11560">
      <c r="A11560" s="1" t="s">
        <v>11560</v>
      </c>
      <c r="B11560" s="2" t="str">
        <f>IFERROR(__xludf.DUMMYFUNCTION("GOOGLETRANSLATE(A11560, ""de"", ""en"")"),"slipped")</f>
        <v>slipped</v>
      </c>
    </row>
    <row r="11561">
      <c r="A11561" s="1" t="s">
        <v>11561</v>
      </c>
      <c r="B11561" s="2" t="str">
        <f>IFERROR(__xludf.DUMMYFUNCTION("GOOGLETRANSLATE(A11561, ""de"", ""en"")"),"aurora")</f>
        <v>aurora</v>
      </c>
    </row>
    <row r="11562">
      <c r="A11562" s="1" t="s">
        <v>11562</v>
      </c>
      <c r="B11562" s="2" t="str">
        <f>IFERROR(__xludf.DUMMYFUNCTION("GOOGLETRANSLATE(A11562, ""de"", ""en"")"),"friendlier")</f>
        <v>friendlier</v>
      </c>
    </row>
    <row r="11563">
      <c r="A11563" s="1" t="s">
        <v>11563</v>
      </c>
      <c r="B11563" s="2" t="str">
        <f>IFERROR(__xludf.DUMMYFUNCTION("GOOGLETRANSLATE(A11563, ""de"", ""en"")"),"exile")</f>
        <v>exile</v>
      </c>
    </row>
    <row r="11564">
      <c r="A11564" s="1" t="s">
        <v>11564</v>
      </c>
      <c r="B11564" s="2" t="str">
        <f>IFERROR(__xludf.DUMMYFUNCTION("GOOGLETRANSLATE(A11564, ""de"", ""en"")"),"clary")</f>
        <v>clary</v>
      </c>
    </row>
    <row r="11565">
      <c r="A11565" s="1" t="s">
        <v>11565</v>
      </c>
      <c r="B11565" s="2" t="str">
        <f>IFERROR(__xludf.DUMMYFUNCTION("GOOGLETRANSLATE(A11565, ""de"", ""en"")"),"blog")</f>
        <v>blog</v>
      </c>
    </row>
    <row r="11566">
      <c r="A11566" s="1" t="s">
        <v>11566</v>
      </c>
      <c r="B11566" s="2" t="str">
        <f>IFERROR(__xludf.DUMMYFUNCTION("GOOGLETRANSLATE(A11566, ""de"", ""en"")"),"melt")</f>
        <v>melt</v>
      </c>
    </row>
    <row r="11567">
      <c r="A11567" s="1" t="s">
        <v>11567</v>
      </c>
      <c r="B11567" s="2" t="str">
        <f>IFERROR(__xludf.DUMMYFUNCTION("GOOGLETRANSLATE(A11567, ""de"", ""en"")"),"mysterious")</f>
        <v>mysterious</v>
      </c>
    </row>
    <row r="11568">
      <c r="A11568" s="1" t="s">
        <v>11568</v>
      </c>
      <c r="B11568" s="2" t="str">
        <f>IFERROR(__xludf.DUMMYFUNCTION("GOOGLETRANSLATE(A11568, ""de"", ""en"")"),"overcome")</f>
        <v>overcome</v>
      </c>
    </row>
    <row r="11569">
      <c r="A11569" s="1" t="s">
        <v>11569</v>
      </c>
      <c r="B11569" s="2" t="str">
        <f>IFERROR(__xludf.DUMMYFUNCTION("GOOGLETRANSLATE(A11569, ""de"", ""en"")"),"strawberries")</f>
        <v>strawberries</v>
      </c>
    </row>
    <row r="11570">
      <c r="A11570" s="1" t="s">
        <v>11570</v>
      </c>
      <c r="B11570" s="2" t="str">
        <f>IFERROR(__xludf.DUMMYFUNCTION("GOOGLETRANSLATE(A11570, ""de"", ""en"")"),"era")</f>
        <v>era</v>
      </c>
    </row>
    <row r="11571">
      <c r="A11571" s="1" t="s">
        <v>11571</v>
      </c>
      <c r="B11571" s="2" t="str">
        <f>IFERROR(__xludf.DUMMYFUNCTION("GOOGLETRANSLATE(A11571, ""de"", ""en"")"),"frozen")</f>
        <v>frozen</v>
      </c>
    </row>
    <row r="11572">
      <c r="A11572" s="1" t="s">
        <v>11572</v>
      </c>
      <c r="B11572" s="2" t="str">
        <f>IFERROR(__xludf.DUMMYFUNCTION("GOOGLETRANSLATE(A11572, ""de"", ""en"")"),"generosity")</f>
        <v>generosity</v>
      </c>
    </row>
    <row r="11573">
      <c r="A11573" s="1" t="s">
        <v>11573</v>
      </c>
      <c r="B11573" s="2" t="str">
        <f>IFERROR(__xludf.DUMMYFUNCTION("GOOGLETRANSLATE(A11573, ""de"", ""en"")"),"submit")</f>
        <v>submit</v>
      </c>
    </row>
    <row r="11574">
      <c r="A11574" s="1" t="s">
        <v>11574</v>
      </c>
      <c r="B11574" s="2" t="str">
        <f>IFERROR(__xludf.DUMMYFUNCTION("GOOGLETRANSLATE(A11574, ""de"", ""en"")"),"elsewhere")</f>
        <v>elsewhere</v>
      </c>
    </row>
    <row r="11575">
      <c r="A11575" s="1" t="s">
        <v>11575</v>
      </c>
      <c r="B11575" s="2" t="str">
        <f>IFERROR(__xludf.DUMMYFUNCTION("GOOGLETRANSLATE(A11575, ""de"", ""en"")"),"because of him")</f>
        <v>because of him</v>
      </c>
    </row>
    <row r="11576">
      <c r="A11576" s="1" t="s">
        <v>11576</v>
      </c>
      <c r="B11576" s="2" t="str">
        <f>IFERROR(__xludf.DUMMYFUNCTION("GOOGLETRANSLATE(A11576, ""de"", ""en"")"),"ferguson")</f>
        <v>ferguson</v>
      </c>
    </row>
    <row r="11577">
      <c r="A11577" s="1" t="s">
        <v>11577</v>
      </c>
      <c r="B11577" s="2" t="str">
        <f>IFERROR(__xludf.DUMMYFUNCTION("GOOGLETRANSLATE(A11577, ""de"", ""en"")"),"twin")</f>
        <v>twin</v>
      </c>
    </row>
    <row r="11578">
      <c r="A11578" s="1" t="s">
        <v>11578</v>
      </c>
      <c r="B11578" s="2" t="str">
        <f>IFERROR(__xludf.DUMMYFUNCTION("GOOGLETRANSLATE(A11578, ""de"", ""en"")"),"idiots")</f>
        <v>idiots</v>
      </c>
    </row>
    <row r="11579">
      <c r="A11579" s="1" t="s">
        <v>11579</v>
      </c>
      <c r="B11579" s="2" t="str">
        <f>IFERROR(__xludf.DUMMYFUNCTION("GOOGLETRANSLATE(A11579, ""de"", ""en"")"),"demanded")</f>
        <v>demanded</v>
      </c>
    </row>
    <row r="11580">
      <c r="A11580" s="1" t="s">
        <v>11580</v>
      </c>
      <c r="B11580" s="2" t="str">
        <f>IFERROR(__xludf.DUMMYFUNCTION("GOOGLETRANSLATE(A11580, ""de"", ""en"")"),"Geneva")</f>
        <v>Geneva</v>
      </c>
    </row>
    <row r="11581">
      <c r="A11581" s="1" t="s">
        <v>11581</v>
      </c>
      <c r="B11581" s="2" t="str">
        <f>IFERROR(__xludf.DUMMYFUNCTION("GOOGLETRANSLATE(A11581, ""de"", ""en"")"),"trophy")</f>
        <v>trophy</v>
      </c>
    </row>
    <row r="11582">
      <c r="A11582" s="1" t="s">
        <v>11582</v>
      </c>
      <c r="B11582" s="2" t="str">
        <f>IFERROR(__xludf.DUMMYFUNCTION("GOOGLETRANSLATE(A11582, ""de"", ""en"")"),"lucia")</f>
        <v>lucia</v>
      </c>
    </row>
    <row r="11583">
      <c r="A11583" s="1" t="s">
        <v>11583</v>
      </c>
      <c r="B11583" s="2" t="str">
        <f>IFERROR(__xludf.DUMMYFUNCTION("GOOGLETRANSLATE(A11583, ""de"", ""en"")"),"wipe")</f>
        <v>wipe</v>
      </c>
    </row>
    <row r="11584">
      <c r="A11584" s="1" t="s">
        <v>11584</v>
      </c>
      <c r="B11584" s="2" t="str">
        <f>IFERROR(__xludf.DUMMYFUNCTION("GOOGLETRANSLATE(A11584, ""de"", ""en"")"),"reduced")</f>
        <v>reduced</v>
      </c>
    </row>
    <row r="11585">
      <c r="A11585" s="1" t="s">
        <v>11585</v>
      </c>
      <c r="B11585" s="2" t="str">
        <f>IFERROR(__xludf.DUMMYFUNCTION("GOOGLETRANSLATE(A11585, ""de"", ""en"")"),"fed")</f>
        <v>fed</v>
      </c>
    </row>
    <row r="11586">
      <c r="A11586" s="1" t="s">
        <v>11586</v>
      </c>
      <c r="B11586" s="2" t="str">
        <f>IFERROR(__xludf.DUMMYFUNCTION("GOOGLETRANSLATE(A11586, ""de"", ""en"")"),"anyone")</f>
        <v>anyone</v>
      </c>
    </row>
    <row r="11587">
      <c r="A11587" s="1" t="s">
        <v>11587</v>
      </c>
      <c r="B11587" s="2" t="str">
        <f>IFERROR(__xludf.DUMMYFUNCTION("GOOGLETRANSLATE(A11587, ""de"", ""en"")"),"empress")</f>
        <v>empress</v>
      </c>
    </row>
    <row r="11588">
      <c r="A11588" s="1" t="s">
        <v>11588</v>
      </c>
      <c r="B11588" s="2" t="str">
        <f>IFERROR(__xludf.DUMMYFUNCTION("GOOGLETRANSLATE(A11588, ""de"", ""en"")"),"cost")</f>
        <v>cost</v>
      </c>
    </row>
    <row r="11589">
      <c r="A11589" s="1" t="s">
        <v>11589</v>
      </c>
      <c r="B11589" s="2" t="str">
        <f>IFERROR(__xludf.DUMMYFUNCTION("GOOGLETRANSLATE(A11589, ""de"", ""en"")"),"traveled")</f>
        <v>traveled</v>
      </c>
    </row>
    <row r="11590">
      <c r="A11590" s="1" t="s">
        <v>11590</v>
      </c>
      <c r="B11590" s="2" t="str">
        <f>IFERROR(__xludf.DUMMYFUNCTION("GOOGLETRANSLATE(A11590, ""de"", ""en"")"),"lucrezia")</f>
        <v>lucrezia</v>
      </c>
    </row>
    <row r="11591">
      <c r="A11591" s="1" t="s">
        <v>11591</v>
      </c>
      <c r="B11591" s="2" t="str">
        <f>IFERROR(__xludf.DUMMYFUNCTION("GOOGLETRANSLATE(A11591, ""de"", ""en"")"),"therapist")</f>
        <v>therapist</v>
      </c>
    </row>
    <row r="11592">
      <c r="A11592" s="1" t="s">
        <v>11592</v>
      </c>
      <c r="B11592" s="2" t="str">
        <f>IFERROR(__xludf.DUMMYFUNCTION("GOOGLETRANSLATE(A11592, ""de"", ""en"")"),"pan")</f>
        <v>pan</v>
      </c>
    </row>
    <row r="11593">
      <c r="A11593" s="1" t="s">
        <v>11593</v>
      </c>
      <c r="B11593" s="2" t="str">
        <f>IFERROR(__xludf.DUMMYFUNCTION("GOOGLETRANSLATE(A11593, ""de"", ""en"")"),"comma")</f>
        <v>comma</v>
      </c>
    </row>
    <row r="11594">
      <c r="A11594" s="1" t="s">
        <v>11594</v>
      </c>
      <c r="B11594" s="2" t="str">
        <f>IFERROR(__xludf.DUMMYFUNCTION("GOOGLETRANSLATE(A11594, ""de"", ""en"")"),"keep still")</f>
        <v>keep still</v>
      </c>
    </row>
    <row r="11595">
      <c r="A11595" s="1" t="s">
        <v>11595</v>
      </c>
      <c r="B11595" s="2" t="str">
        <f>IFERROR(__xludf.DUMMYFUNCTION("GOOGLETRANSLATE(A11595, ""de"", ""en"")"),"friendliness")</f>
        <v>friendliness</v>
      </c>
    </row>
    <row r="11596">
      <c r="A11596" s="1" t="s">
        <v>11596</v>
      </c>
      <c r="B11596" s="2" t="str">
        <f>IFERROR(__xludf.DUMMYFUNCTION("GOOGLETRANSLATE(A11596, ""de"", ""en"")"),"Stockholm")</f>
        <v>Stockholm</v>
      </c>
    </row>
    <row r="11597">
      <c r="A11597" s="1" t="s">
        <v>11597</v>
      </c>
      <c r="B11597" s="2" t="str">
        <f>IFERROR(__xludf.DUMMYFUNCTION("GOOGLETRANSLATE(A11597, ""de"", ""en"")"),"inform")</f>
        <v>inform</v>
      </c>
    </row>
    <row r="11598">
      <c r="A11598" s="1" t="s">
        <v>11598</v>
      </c>
      <c r="B11598" s="2" t="str">
        <f>IFERROR(__xludf.DUMMYFUNCTION("GOOGLETRANSLATE(A11598, ""de"", ""en"")"),"consul")</f>
        <v>consul</v>
      </c>
    </row>
    <row r="11599">
      <c r="A11599" s="1" t="s">
        <v>11599</v>
      </c>
      <c r="B11599" s="2" t="str">
        <f>IFERROR(__xludf.DUMMYFUNCTION("GOOGLETRANSLATE(A11599, ""de"", ""en"")"),"Dante")</f>
        <v>Dante</v>
      </c>
    </row>
    <row r="11600">
      <c r="A11600" s="1" t="s">
        <v>11600</v>
      </c>
      <c r="B11600" s="2" t="str">
        <f>IFERROR(__xludf.DUMMYFUNCTION("GOOGLETRANSLATE(A11600, ""de"", ""en"")"),"gears")</f>
        <v>gears</v>
      </c>
    </row>
    <row r="11601">
      <c r="A11601" s="1" t="s">
        <v>11601</v>
      </c>
      <c r="B11601" s="2" t="str">
        <f>IFERROR(__xludf.DUMMYFUNCTION("GOOGLETRANSLATE(A11601, ""de"", ""en"")"),"anyone")</f>
        <v>anyone</v>
      </c>
    </row>
    <row r="11602">
      <c r="A11602" s="1" t="s">
        <v>11602</v>
      </c>
      <c r="B11602" s="2" t="str">
        <f>IFERROR(__xludf.DUMMYFUNCTION("GOOGLETRANSLATE(A11602, ""de"", ""en"")"),"unheard of")</f>
        <v>unheard of</v>
      </c>
    </row>
    <row r="11603">
      <c r="A11603" s="1" t="s">
        <v>11603</v>
      </c>
      <c r="B11603" s="2" t="str">
        <f>IFERROR(__xludf.DUMMYFUNCTION("GOOGLETRANSLATE(A11603, ""de"", ""en"")"),"clearer")</f>
        <v>clearer</v>
      </c>
    </row>
    <row r="11604">
      <c r="A11604" s="1" t="s">
        <v>11604</v>
      </c>
      <c r="B11604" s="2" t="str">
        <f>IFERROR(__xludf.DUMMYFUNCTION("GOOGLETRANSLATE(A11604, ""de"", ""en"")"),"bomber")</f>
        <v>bomber</v>
      </c>
    </row>
    <row r="11605">
      <c r="A11605" s="1" t="s">
        <v>11605</v>
      </c>
      <c r="B11605" s="2" t="str">
        <f>IFERROR(__xludf.DUMMYFUNCTION("GOOGLETRANSLATE(A11605, ""de"", ""en"")"),"borrowed")</f>
        <v>borrowed</v>
      </c>
    </row>
    <row r="11606">
      <c r="A11606" s="1" t="s">
        <v>11606</v>
      </c>
      <c r="B11606" s="2" t="str">
        <f>IFERROR(__xludf.DUMMYFUNCTION("GOOGLETRANSLATE(A11606, ""de"", ""en"")"),"turned")</f>
        <v>turned</v>
      </c>
    </row>
    <row r="11607">
      <c r="A11607" s="1" t="s">
        <v>11607</v>
      </c>
      <c r="B11607" s="2" t="str">
        <f>IFERROR(__xludf.DUMMYFUNCTION("GOOGLETRANSLATE(A11607, ""de"", ""en"")"),"prostitution")</f>
        <v>prostitution</v>
      </c>
    </row>
    <row r="11608">
      <c r="A11608" s="1" t="s">
        <v>11608</v>
      </c>
      <c r="B11608" s="2" t="str">
        <f>IFERROR(__xludf.DUMMYFUNCTION("GOOGLETRANSLATE(A11608, ""de"", ""en"")"),"unofficially")</f>
        <v>unofficially</v>
      </c>
    </row>
    <row r="11609">
      <c r="A11609" s="1" t="s">
        <v>11609</v>
      </c>
      <c r="B11609" s="2" t="str">
        <f>IFERROR(__xludf.DUMMYFUNCTION("GOOGLETRANSLATE(A11609, ""de"", ""en"")"),"motherfuckers")</f>
        <v>motherfuckers</v>
      </c>
    </row>
    <row r="11610">
      <c r="A11610" s="1" t="s">
        <v>11610</v>
      </c>
      <c r="B11610" s="2" t="str">
        <f>IFERROR(__xludf.DUMMYFUNCTION("GOOGLETRANSLATE(A11610, ""de"", ""en"")"),"happiest")</f>
        <v>happiest</v>
      </c>
    </row>
    <row r="11611">
      <c r="A11611" s="1" t="s">
        <v>11611</v>
      </c>
      <c r="B11611" s="2" t="str">
        <f>IFERROR(__xludf.DUMMYFUNCTION("GOOGLETRANSLATE(A11611, ""de"", ""en"")"),"frightening")</f>
        <v>frightening</v>
      </c>
    </row>
    <row r="11612">
      <c r="A11612" s="1" t="s">
        <v>11612</v>
      </c>
      <c r="B11612" s="2" t="str">
        <f>IFERROR(__xludf.DUMMYFUNCTION("GOOGLETRANSLATE(A11612, ""de"", ""en"")"),"isolate")</f>
        <v>isolate</v>
      </c>
    </row>
    <row r="11613">
      <c r="A11613" s="1" t="s">
        <v>11613</v>
      </c>
      <c r="B11613" s="2" t="str">
        <f>IFERROR(__xludf.DUMMYFUNCTION("GOOGLETRANSLATE(A11613, ""de"", ""en"")"),"airport")</f>
        <v>airport</v>
      </c>
    </row>
    <row r="11614">
      <c r="A11614" s="1" t="s">
        <v>11614</v>
      </c>
      <c r="B11614" s="2" t="str">
        <f>IFERROR(__xludf.DUMMYFUNCTION("GOOGLETRANSLATE(A11614, ""de"", ""en"")"),"peaceful")</f>
        <v>peaceful</v>
      </c>
    </row>
    <row r="11615">
      <c r="A11615" s="1" t="s">
        <v>11615</v>
      </c>
      <c r="B11615" s="2" t="str">
        <f>IFERROR(__xludf.DUMMYFUNCTION("GOOGLETRANSLATE(A11615, ""de"", ""en"")"),"salmon")</f>
        <v>salmon</v>
      </c>
    </row>
    <row r="11616">
      <c r="A11616" s="1" t="s">
        <v>11616</v>
      </c>
      <c r="B11616" s="2" t="str">
        <f>IFERROR(__xludf.DUMMYFUNCTION("GOOGLETRANSLATE(A11616, ""de"", ""en"")"),"more terrible")</f>
        <v>more terrible</v>
      </c>
    </row>
    <row r="11617">
      <c r="A11617" s="1" t="s">
        <v>11617</v>
      </c>
      <c r="B11617" s="2" t="str">
        <f>IFERROR(__xludf.DUMMYFUNCTION("GOOGLETRANSLATE(A11617, ""de"", ""en"")"),"caught a cold")</f>
        <v>caught a cold</v>
      </c>
    </row>
    <row r="11618">
      <c r="A11618" s="1" t="s">
        <v>11618</v>
      </c>
      <c r="B11618" s="2" t="str">
        <f>IFERROR(__xludf.DUMMYFUNCTION("GOOGLETRANSLATE(A11618, ""de"", ""en"")"),"boyle")</f>
        <v>boyle</v>
      </c>
    </row>
    <row r="11619">
      <c r="A11619" s="1" t="s">
        <v>11619</v>
      </c>
      <c r="B11619" s="2" t="str">
        <f>IFERROR(__xludf.DUMMYFUNCTION("GOOGLETRANSLATE(A11619, ""de"", ""en"")"),"Nadine")</f>
        <v>Nadine</v>
      </c>
    </row>
    <row r="11620">
      <c r="A11620" s="1" t="s">
        <v>11620</v>
      </c>
      <c r="B11620" s="2" t="str">
        <f>IFERROR(__xludf.DUMMYFUNCTION("GOOGLETRANSLATE(A11620, ""de"", ""en"")"),"slim")</f>
        <v>slim</v>
      </c>
    </row>
    <row r="11621">
      <c r="A11621" s="1" t="s">
        <v>11621</v>
      </c>
      <c r="B11621" s="2" t="str">
        <f>IFERROR(__xludf.DUMMYFUNCTION("GOOGLETRANSLATE(A11621, ""de"", ""en"")"),"employee")</f>
        <v>employee</v>
      </c>
    </row>
    <row r="11622">
      <c r="A11622" s="1" t="s">
        <v>11622</v>
      </c>
      <c r="B11622" s="2" t="str">
        <f>IFERROR(__xludf.DUMMYFUNCTION("GOOGLETRANSLATE(A11622, ""de"", ""en"")"),"anomaly")</f>
        <v>anomaly</v>
      </c>
    </row>
    <row r="11623">
      <c r="A11623" s="1" t="s">
        <v>11623</v>
      </c>
      <c r="B11623" s="2" t="str">
        <f>IFERROR(__xludf.DUMMYFUNCTION("GOOGLETRANSLATE(A11623, ""de"", ""en"")"),"determine")</f>
        <v>determine</v>
      </c>
    </row>
    <row r="11624">
      <c r="A11624" s="1" t="s">
        <v>11624</v>
      </c>
      <c r="B11624" s="2" t="str">
        <f>IFERROR(__xludf.DUMMYFUNCTION("GOOGLETRANSLATE(A11624, ""de"", ""en"")"),"off")</f>
        <v>off</v>
      </c>
    </row>
    <row r="11625">
      <c r="A11625" s="1" t="s">
        <v>11625</v>
      </c>
      <c r="B11625" s="2" t="str">
        <f>IFERROR(__xludf.DUMMYFUNCTION("GOOGLETRANSLATE(A11625, ""de"", ""en"")"),"provoked")</f>
        <v>provoked</v>
      </c>
    </row>
    <row r="11626">
      <c r="A11626" s="1" t="s">
        <v>11626</v>
      </c>
      <c r="B11626" s="2" t="str">
        <f>IFERROR(__xludf.DUMMYFUNCTION("GOOGLETRANSLATE(A11626, ""de"", ""en"")"),"see")</f>
        <v>see</v>
      </c>
    </row>
    <row r="11627">
      <c r="A11627" s="1" t="s">
        <v>11627</v>
      </c>
      <c r="B11627" s="2" t="str">
        <f>IFERROR(__xludf.DUMMYFUNCTION("GOOGLETRANSLATE(A11627, ""de"", ""en"")"),"store")</f>
        <v>store</v>
      </c>
    </row>
    <row r="11628">
      <c r="A11628" s="1" t="s">
        <v>11628</v>
      </c>
      <c r="B11628" s="2" t="str">
        <f>IFERROR(__xludf.DUMMYFUNCTION("GOOGLETRANSLATE(A11628, ""de"", ""en"")"),"diamond")</f>
        <v>diamond</v>
      </c>
    </row>
    <row r="11629">
      <c r="A11629" s="1" t="s">
        <v>11629</v>
      </c>
      <c r="B11629" s="2" t="str">
        <f>IFERROR(__xludf.DUMMYFUNCTION("GOOGLETRANSLATE(A11629, ""de"", ""en"")"),"come out")</f>
        <v>come out</v>
      </c>
    </row>
    <row r="11630">
      <c r="A11630" s="1" t="s">
        <v>11630</v>
      </c>
      <c r="B11630" s="2" t="str">
        <f>IFERROR(__xludf.DUMMYFUNCTION("GOOGLETRANSLATE(A11630, ""de"", ""en"")"),"posters")</f>
        <v>posters</v>
      </c>
    </row>
    <row r="11631">
      <c r="A11631" s="1" t="s">
        <v>11631</v>
      </c>
      <c r="B11631" s="2" t="str">
        <f>IFERROR(__xludf.DUMMYFUNCTION("GOOGLETRANSLATE(A11631, ""de"", ""en"")"),"graves")</f>
        <v>graves</v>
      </c>
    </row>
    <row r="11632">
      <c r="A11632" s="1" t="s">
        <v>11632</v>
      </c>
      <c r="B11632" s="2" t="str">
        <f>IFERROR(__xludf.DUMMYFUNCTION("GOOGLETRANSLATE(A11632, ""de"", ""en"")"),"savage")</f>
        <v>savage</v>
      </c>
    </row>
    <row r="11633">
      <c r="A11633" s="1" t="s">
        <v>11633</v>
      </c>
      <c r="B11633" s="2" t="str">
        <f>IFERROR(__xludf.DUMMYFUNCTION("GOOGLETRANSLATE(A11633, ""de"", ""en"")"),"heh")</f>
        <v>heh</v>
      </c>
    </row>
    <row r="11634">
      <c r="A11634" s="1" t="s">
        <v>11634</v>
      </c>
      <c r="B11634" s="2" t="str">
        <f>IFERROR(__xludf.DUMMYFUNCTION("GOOGLETRANSLATE(A11634, ""de"", ""en"")"),"every time")</f>
        <v>every time</v>
      </c>
    </row>
    <row r="11635">
      <c r="A11635" s="1" t="s">
        <v>11635</v>
      </c>
      <c r="B11635" s="2" t="str">
        <f>IFERROR(__xludf.DUMMYFUNCTION("GOOGLETRANSLATE(A11635, ""de"", ""en"")"),"bajor")</f>
        <v>bajor</v>
      </c>
    </row>
    <row r="11636">
      <c r="A11636" s="1" t="s">
        <v>11636</v>
      </c>
      <c r="B11636" s="2" t="str">
        <f>IFERROR(__xludf.DUMMYFUNCTION("GOOGLETRANSLATE(A11636, ""de"", ""en"")"),"adjusted")</f>
        <v>adjusted</v>
      </c>
    </row>
    <row r="11637">
      <c r="A11637" s="1" t="s">
        <v>11637</v>
      </c>
      <c r="B11637" s="2" t="str">
        <f>IFERROR(__xludf.DUMMYFUNCTION("GOOGLETRANSLATE(A11637, ""de"", ""en"")"),"knit")</f>
        <v>knit</v>
      </c>
    </row>
    <row r="11638">
      <c r="A11638" s="1" t="s">
        <v>11638</v>
      </c>
      <c r="B11638" s="2" t="str">
        <f>IFERROR(__xludf.DUMMYFUNCTION("GOOGLETRANSLATE(A11638, ""de"", ""en"")"),"exaggerate")</f>
        <v>exaggerate</v>
      </c>
    </row>
    <row r="11639">
      <c r="A11639" s="1" t="s">
        <v>11639</v>
      </c>
      <c r="B11639" s="2" t="str">
        <f>IFERROR(__xludf.DUMMYFUNCTION("GOOGLETRANSLATE(A11639, ""de"", ""en"")"),"piggy")</f>
        <v>piggy</v>
      </c>
    </row>
    <row r="11640">
      <c r="A11640" s="1" t="s">
        <v>11640</v>
      </c>
      <c r="B11640" s="2" t="str">
        <f>IFERROR(__xludf.DUMMYFUNCTION("GOOGLETRANSLATE(A11640, ""de"", ""en"")"),"here")</f>
        <v>here</v>
      </c>
    </row>
    <row r="11641">
      <c r="A11641" s="1" t="s">
        <v>11641</v>
      </c>
      <c r="B11641" s="2" t="str">
        <f>IFERROR(__xludf.DUMMYFUNCTION("GOOGLETRANSLATE(A11641, ""de"", ""en"")"),"suspected")</f>
        <v>suspected</v>
      </c>
    </row>
    <row r="11642">
      <c r="A11642" s="1" t="s">
        <v>11642</v>
      </c>
      <c r="B11642" s="2" t="str">
        <f>IFERROR(__xludf.DUMMYFUNCTION("GOOGLETRANSLATE(A11642, ""de"", ""en"")"),"dirk")</f>
        <v>dirk</v>
      </c>
    </row>
    <row r="11643">
      <c r="A11643" s="1" t="s">
        <v>11643</v>
      </c>
      <c r="B11643" s="2" t="str">
        <f>IFERROR(__xludf.DUMMYFUNCTION("GOOGLETRANSLATE(A11643, ""de"", ""en"")"),"get over")</f>
        <v>get over</v>
      </c>
    </row>
    <row r="11644">
      <c r="A11644" s="1" t="s">
        <v>11644</v>
      </c>
      <c r="B11644" s="2" t="str">
        <f>IFERROR(__xludf.DUMMYFUNCTION("GOOGLETRANSLATE(A11644, ""de"", ""en"")"),"bottle")</f>
        <v>bottle</v>
      </c>
    </row>
    <row r="11645">
      <c r="A11645" s="1" t="s">
        <v>11645</v>
      </c>
      <c r="B11645" s="2" t="str">
        <f>IFERROR(__xludf.DUMMYFUNCTION("GOOGLETRANSLATE(A11645, ""de"", ""en"")"),"sams")</f>
        <v>sams</v>
      </c>
    </row>
    <row r="11646">
      <c r="A11646" s="1" t="s">
        <v>11646</v>
      </c>
      <c r="B11646" s="2" t="str">
        <f>IFERROR(__xludf.DUMMYFUNCTION("GOOGLETRANSLATE(A11646, ""de"", ""en"")"),"vomit")</f>
        <v>vomit</v>
      </c>
    </row>
    <row r="11647">
      <c r="A11647" s="1" t="s">
        <v>11647</v>
      </c>
      <c r="B11647" s="2" t="str">
        <f>IFERROR(__xludf.DUMMYFUNCTION("GOOGLETRANSLATE(A11647, ""de"", ""en"")"),"practices")</f>
        <v>practices</v>
      </c>
    </row>
    <row r="11648">
      <c r="A11648" s="1" t="s">
        <v>11648</v>
      </c>
      <c r="B11648" s="2" t="str">
        <f>IFERROR(__xludf.DUMMYFUNCTION("GOOGLETRANSLATE(A11648, ""de"", ""en"")"),"magnifying glass")</f>
        <v>magnifying glass</v>
      </c>
    </row>
    <row r="11649">
      <c r="A11649" s="1" t="s">
        <v>11649</v>
      </c>
      <c r="B11649" s="2" t="str">
        <f>IFERROR(__xludf.DUMMYFUNCTION("GOOGLETRANSLATE(A11649, ""de"", ""en"")"),"Stanford")</f>
        <v>Stanford</v>
      </c>
    </row>
    <row r="11650">
      <c r="A11650" s="1" t="s">
        <v>11650</v>
      </c>
      <c r="B11650" s="2" t="str">
        <f>IFERROR(__xludf.DUMMYFUNCTION("GOOGLETRANSLATE(A11650, ""de"", ""en"")"),"run away")</f>
        <v>run away</v>
      </c>
    </row>
    <row r="11651">
      <c r="A11651" s="1" t="s">
        <v>11651</v>
      </c>
      <c r="B11651" s="2" t="str">
        <f>IFERROR(__xludf.DUMMYFUNCTION("GOOGLETRANSLATE(A11651, ""de"", ""en"")"),"climate")</f>
        <v>climate</v>
      </c>
    </row>
    <row r="11652">
      <c r="A11652" s="1" t="s">
        <v>11652</v>
      </c>
      <c r="B11652" s="2" t="str">
        <f>IFERROR(__xludf.DUMMYFUNCTION("GOOGLETRANSLATE(A11652, ""de"", ""en"")"),"destroy")</f>
        <v>destroy</v>
      </c>
    </row>
    <row r="11653">
      <c r="A11653" s="1" t="s">
        <v>11653</v>
      </c>
      <c r="B11653" s="2" t="str">
        <f>IFERROR(__xludf.DUMMYFUNCTION("GOOGLETRANSLATE(A11653, ""de"", ""en"")"),"Jerome")</f>
        <v>Jerome</v>
      </c>
    </row>
    <row r="11654">
      <c r="A11654" s="1" t="s">
        <v>11654</v>
      </c>
      <c r="B11654" s="2" t="str">
        <f>IFERROR(__xludf.DUMMYFUNCTION("GOOGLETRANSLATE(A11654, ""de"", ""en"")"),"creation")</f>
        <v>creation</v>
      </c>
    </row>
    <row r="11655">
      <c r="A11655" s="1" t="s">
        <v>11655</v>
      </c>
      <c r="B11655" s="2" t="str">
        <f>IFERROR(__xludf.DUMMYFUNCTION("GOOGLETRANSLATE(A11655, ""de"", ""en"")"),"satisfy")</f>
        <v>satisfy</v>
      </c>
    </row>
    <row r="11656">
      <c r="A11656" s="1" t="s">
        <v>11656</v>
      </c>
      <c r="B11656" s="2" t="str">
        <f>IFERROR(__xludf.DUMMYFUNCTION("GOOGLETRANSLATE(A11656, ""de"", ""en"")"),"shot")</f>
        <v>shot</v>
      </c>
    </row>
    <row r="11657">
      <c r="A11657" s="1" t="s">
        <v>11657</v>
      </c>
      <c r="B11657" s="2" t="str">
        <f>IFERROR(__xludf.DUMMYFUNCTION("GOOGLETRANSLATE(A11657, ""de"", ""en"")"),"soul")</f>
        <v>soul</v>
      </c>
    </row>
    <row r="11658">
      <c r="A11658" s="1" t="s">
        <v>11658</v>
      </c>
      <c r="B11658" s="2" t="str">
        <f>IFERROR(__xludf.DUMMYFUNCTION("GOOGLETRANSLATE(A11658, ""de"", ""en"")"),"overslept")</f>
        <v>overslept</v>
      </c>
    </row>
    <row r="11659">
      <c r="A11659" s="1" t="s">
        <v>11659</v>
      </c>
      <c r="B11659" s="2" t="str">
        <f>IFERROR(__xludf.DUMMYFUNCTION("GOOGLETRANSLATE(A11659, ""de"", ""en"")"),"Indiana")</f>
        <v>Indiana</v>
      </c>
    </row>
    <row r="11660">
      <c r="A11660" s="1" t="s">
        <v>11660</v>
      </c>
      <c r="B11660" s="2" t="str">
        <f>IFERROR(__xludf.DUMMYFUNCTION("GOOGLETRANSLATE(A11660, ""de"", ""en"")"),"cleans")</f>
        <v>cleans</v>
      </c>
    </row>
    <row r="11661">
      <c r="A11661" s="1" t="s">
        <v>11661</v>
      </c>
      <c r="B11661" s="2" t="str">
        <f>IFERROR(__xludf.DUMMYFUNCTION("GOOGLETRANSLATE(A11661, ""de"", ""en"")"),"doubled")</f>
        <v>doubled</v>
      </c>
    </row>
    <row r="11662">
      <c r="A11662" s="1" t="s">
        <v>11662</v>
      </c>
      <c r="B11662" s="2" t="str">
        <f>IFERROR(__xludf.DUMMYFUNCTION("GOOGLETRANSLATE(A11662, ""de"", ""en"")"),"apologies")</f>
        <v>apologies</v>
      </c>
    </row>
    <row r="11663">
      <c r="A11663" s="1" t="s">
        <v>11663</v>
      </c>
      <c r="B11663" s="2" t="str">
        <f>IFERROR(__xludf.DUMMYFUNCTION("GOOGLETRANSLATE(A11663, ""de"", ""en"")"),"unacceptable")</f>
        <v>unacceptable</v>
      </c>
    </row>
    <row r="11664">
      <c r="A11664" s="1" t="s">
        <v>11664</v>
      </c>
      <c r="B11664" s="2" t="str">
        <f>IFERROR(__xludf.DUMMYFUNCTION("GOOGLETRANSLATE(A11664, ""de"", ""en"")"),"priorities")</f>
        <v>priorities</v>
      </c>
    </row>
    <row r="11665">
      <c r="A11665" s="1" t="s">
        <v>11665</v>
      </c>
      <c r="B11665" s="2" t="str">
        <f>IFERROR(__xludf.DUMMYFUNCTION("GOOGLETRANSLATE(A11665, ""de"", ""en"")"),"Bryan")</f>
        <v>Bryan</v>
      </c>
    </row>
    <row r="11666">
      <c r="A11666" s="1" t="s">
        <v>11666</v>
      </c>
      <c r="B11666" s="2" t="str">
        <f>IFERROR(__xludf.DUMMYFUNCTION("GOOGLETRANSLATE(A11666, ""de"", ""en"")"),"dominion")</f>
        <v>dominion</v>
      </c>
    </row>
    <row r="11667">
      <c r="A11667" s="1" t="s">
        <v>11667</v>
      </c>
      <c r="B11667" s="2" t="str">
        <f>IFERROR(__xludf.DUMMYFUNCTION("GOOGLETRANSLATE(A11667, ""de"", ""en"")"),"jem")</f>
        <v>jem</v>
      </c>
    </row>
    <row r="11668">
      <c r="A11668" s="1" t="s">
        <v>11668</v>
      </c>
      <c r="B11668" s="2" t="str">
        <f>IFERROR(__xludf.DUMMYFUNCTION("GOOGLETRANSLATE(A11668, ""de"", ""en"")"),"karate")</f>
        <v>karate</v>
      </c>
    </row>
    <row r="11669">
      <c r="A11669" s="1" t="s">
        <v>11669</v>
      </c>
      <c r="B11669" s="2" t="str">
        <f>IFERROR(__xludf.DUMMYFUNCTION("GOOGLETRANSLATE(A11669, ""de"", ""en"")"),"sign")</f>
        <v>sign</v>
      </c>
    </row>
    <row r="11670">
      <c r="A11670" s="1" t="s">
        <v>11670</v>
      </c>
      <c r="B11670" s="2" t="str">
        <f>IFERROR(__xludf.DUMMYFUNCTION("GOOGLETRANSLATE(A11670, ""de"", ""en"")"),"clinton")</f>
        <v>clinton</v>
      </c>
    </row>
    <row r="11671">
      <c r="A11671" s="1" t="s">
        <v>11671</v>
      </c>
      <c r="B11671" s="2" t="str">
        <f>IFERROR(__xludf.DUMMYFUNCTION("GOOGLETRANSLATE(A11671, ""de"", ""en"")"),"Louisiana")</f>
        <v>Louisiana</v>
      </c>
    </row>
    <row r="11672">
      <c r="A11672" s="1" t="s">
        <v>11672</v>
      </c>
      <c r="B11672" s="2" t="str">
        <f>IFERROR(__xludf.DUMMYFUNCTION("GOOGLETRANSLATE(A11672, ""de"", ""en"")"),"fat")</f>
        <v>fat</v>
      </c>
    </row>
    <row r="11673">
      <c r="A11673" s="1" t="s">
        <v>11673</v>
      </c>
      <c r="B11673" s="2" t="str">
        <f>IFERROR(__xludf.DUMMYFUNCTION("GOOGLETRANSLATE(A11673, ""de"", ""en"")"),"f.")</f>
        <v>f.</v>
      </c>
    </row>
    <row r="11674">
      <c r="A11674" s="1" t="s">
        <v>11674</v>
      </c>
      <c r="B11674" s="2" t="str">
        <f>IFERROR(__xludf.DUMMYFUNCTION("GOOGLETRANSLATE(A11674, ""de"", ""en"")"),"fight")</f>
        <v>fight</v>
      </c>
    </row>
    <row r="11675">
      <c r="A11675" s="1" t="s">
        <v>11675</v>
      </c>
      <c r="B11675" s="2" t="str">
        <f>IFERROR(__xludf.DUMMYFUNCTION("GOOGLETRANSLATE(A11675, ""de"", ""en"")"),"degrees")</f>
        <v>degrees</v>
      </c>
    </row>
    <row r="11676">
      <c r="A11676" s="1" t="s">
        <v>11676</v>
      </c>
      <c r="B11676" s="2" t="str">
        <f>IFERROR(__xludf.DUMMYFUNCTION("GOOGLETRANSLATE(A11676, ""de"", ""en"")"),"complicated")</f>
        <v>complicated</v>
      </c>
    </row>
    <row r="11677">
      <c r="A11677" s="1" t="s">
        <v>11677</v>
      </c>
      <c r="B11677" s="2" t="str">
        <f>IFERROR(__xludf.DUMMYFUNCTION("GOOGLETRANSLATE(A11677, ""de"", ""en"")"),"j.d.")</f>
        <v>j.d.</v>
      </c>
    </row>
    <row r="11678">
      <c r="A11678" s="1" t="s">
        <v>11678</v>
      </c>
      <c r="B11678" s="2" t="str">
        <f>IFERROR(__xludf.DUMMYFUNCTION("GOOGLETRANSLATE(A11678, ""de"", ""en"")"),"orphan")</f>
        <v>orphan</v>
      </c>
    </row>
    <row r="11679">
      <c r="A11679" s="1" t="s">
        <v>11679</v>
      </c>
      <c r="B11679" s="2" t="str">
        <f>IFERROR(__xludf.DUMMYFUNCTION("GOOGLETRANSLATE(A11679, ""de"", ""en"")"),"alain")</f>
        <v>alain</v>
      </c>
    </row>
    <row r="11680">
      <c r="A11680" s="1" t="s">
        <v>11680</v>
      </c>
      <c r="B11680" s="2" t="str">
        <f>IFERROR(__xludf.DUMMYFUNCTION("GOOGLETRANSLATE(A11680, ""de"", ""en"")"),"appreciate")</f>
        <v>appreciate</v>
      </c>
    </row>
    <row r="11681">
      <c r="A11681" s="1" t="s">
        <v>11681</v>
      </c>
      <c r="B11681" s="2" t="str">
        <f>IFERROR(__xludf.DUMMYFUNCTION("GOOGLETRANSLATE(A11681, ""de"", ""en"")"),"stock")</f>
        <v>stock</v>
      </c>
    </row>
    <row r="11682">
      <c r="A11682" s="1" t="s">
        <v>11682</v>
      </c>
      <c r="B11682" s="2" t="str">
        <f>IFERROR(__xludf.DUMMYFUNCTION("GOOGLETRANSLATE(A11682, ""de"", ""en"")"),"dry")</f>
        <v>dry</v>
      </c>
    </row>
    <row r="11683">
      <c r="A11683" s="1" t="s">
        <v>11683</v>
      </c>
      <c r="B11683" s="2" t="str">
        <f>IFERROR(__xludf.DUMMYFUNCTION("GOOGLETRANSLATE(A11683, ""de"", ""en"")"),"removed")</f>
        <v>removed</v>
      </c>
    </row>
    <row r="11684">
      <c r="A11684" s="1" t="s">
        <v>11684</v>
      </c>
      <c r="B11684" s="2" t="str">
        <f>IFERROR(__xludf.DUMMYFUNCTION("GOOGLETRANSLATE(A11684, ""de"", ""en"")"),"Katya")</f>
        <v>Katya</v>
      </c>
    </row>
    <row r="11685">
      <c r="A11685" s="1" t="s">
        <v>11685</v>
      </c>
      <c r="B11685" s="2" t="str">
        <f>IFERROR(__xludf.DUMMYFUNCTION("GOOGLETRANSLATE(A11685, ""de"", ""en"")"),"library")</f>
        <v>library</v>
      </c>
    </row>
    <row r="11686">
      <c r="A11686" s="1" t="s">
        <v>11686</v>
      </c>
      <c r="B11686" s="2" t="str">
        <f>IFERROR(__xludf.DUMMYFUNCTION("GOOGLETRANSLATE(A11686, ""de"", ""en"")"),"parachute")</f>
        <v>parachute</v>
      </c>
    </row>
    <row r="11687">
      <c r="A11687" s="1" t="s">
        <v>11687</v>
      </c>
      <c r="B11687" s="2" t="str">
        <f>IFERROR(__xludf.DUMMYFUNCTION("GOOGLETRANSLATE(A11687, ""de"", ""en"")"),"laurent")</f>
        <v>laurent</v>
      </c>
    </row>
    <row r="11688">
      <c r="A11688" s="1" t="s">
        <v>11688</v>
      </c>
      <c r="B11688" s="2" t="str">
        <f>IFERROR(__xludf.DUMMYFUNCTION("GOOGLETRANSLATE(A11688, ""de"", ""en"")"),"fusion")</f>
        <v>fusion</v>
      </c>
    </row>
    <row r="11689">
      <c r="A11689" s="1" t="s">
        <v>11689</v>
      </c>
      <c r="B11689" s="2" t="str">
        <f>IFERROR(__xludf.DUMMYFUNCTION("GOOGLETRANSLATE(A11689, ""de"", ""en"")"),"freighter")</f>
        <v>freighter</v>
      </c>
    </row>
    <row r="11690">
      <c r="A11690" s="1" t="s">
        <v>11690</v>
      </c>
      <c r="B11690" s="2" t="str">
        <f>IFERROR(__xludf.DUMMYFUNCTION("GOOGLETRANSLATE(A11690, ""de"", ""en"")"),"accomplice")</f>
        <v>accomplice</v>
      </c>
    </row>
    <row r="11691">
      <c r="A11691" s="1" t="s">
        <v>11691</v>
      </c>
      <c r="B11691" s="2" t="str">
        <f>IFERROR(__xludf.DUMMYFUNCTION("GOOGLETRANSLATE(A11691, ""de"", ""en"")"),"sharks")</f>
        <v>sharks</v>
      </c>
    </row>
    <row r="11692">
      <c r="A11692" s="1" t="s">
        <v>11692</v>
      </c>
      <c r="B11692" s="2" t="str">
        <f>IFERROR(__xludf.DUMMYFUNCTION("GOOGLETRANSLATE(A11692, ""de"", ""en"")"),"joker")</f>
        <v>joker</v>
      </c>
    </row>
    <row r="11693">
      <c r="A11693" s="1" t="s">
        <v>11693</v>
      </c>
      <c r="B11693" s="2" t="str">
        <f>IFERROR(__xludf.DUMMYFUNCTION("GOOGLETRANSLATE(A11693, ""de"", ""en"")"),"dirty work")</f>
        <v>dirty work</v>
      </c>
    </row>
    <row r="11694">
      <c r="A11694" s="1" t="s">
        <v>11694</v>
      </c>
      <c r="B11694" s="2" t="str">
        <f>IFERROR(__xludf.DUMMYFUNCTION("GOOGLETRANSLATE(A11694, ""de"", ""en"")"),"referee")</f>
        <v>referee</v>
      </c>
    </row>
    <row r="11695">
      <c r="A11695" s="1" t="s">
        <v>11695</v>
      </c>
      <c r="B11695" s="2" t="str">
        <f>IFERROR(__xludf.DUMMYFUNCTION("GOOGLETRANSLATE(A11695, ""de"", ""en"")"),"specialized")</f>
        <v>specialized</v>
      </c>
    </row>
    <row r="11696">
      <c r="A11696" s="1" t="s">
        <v>11696</v>
      </c>
      <c r="B11696" s="2" t="str">
        <f>IFERROR(__xludf.DUMMYFUNCTION("GOOGLETRANSLATE(A11696, ""de"", ""en"")"),"inside")</f>
        <v>inside</v>
      </c>
    </row>
    <row r="11697">
      <c r="A11697" s="1" t="s">
        <v>11697</v>
      </c>
      <c r="B11697" s="2" t="str">
        <f>IFERROR(__xludf.DUMMYFUNCTION("GOOGLETRANSLATE(A11697, ""de"", ""en"")"),"encrypted")</f>
        <v>encrypted</v>
      </c>
    </row>
    <row r="11698">
      <c r="A11698" s="1" t="s">
        <v>11698</v>
      </c>
      <c r="B11698" s="2" t="str">
        <f>IFERROR(__xludf.DUMMYFUNCTION("GOOGLETRANSLATE(A11698, ""de"", ""en"")"),"surgery")</f>
        <v>surgery</v>
      </c>
    </row>
    <row r="11699">
      <c r="A11699" s="1" t="s">
        <v>11699</v>
      </c>
      <c r="B11699" s="2" t="str">
        <f>IFERROR(__xludf.DUMMYFUNCTION("GOOGLETRANSLATE(A11699, ""de"", ""en"")"),"chff409b")</f>
        <v>chff409b</v>
      </c>
    </row>
    <row r="11700">
      <c r="A11700" s="1" t="s">
        <v>11700</v>
      </c>
      <c r="B11700" s="2" t="str">
        <f>IFERROR(__xludf.DUMMYFUNCTION("GOOGLETRANSLATE(A11700, ""de"", ""en"")"),"hop")</f>
        <v>hop</v>
      </c>
    </row>
    <row r="11701">
      <c r="A11701" s="1" t="s">
        <v>11701</v>
      </c>
      <c r="B11701" s="2" t="str">
        <f>IFERROR(__xludf.DUMMYFUNCTION("GOOGLETRANSLATE(A11701, ""de"", ""en"")"),"to determine")</f>
        <v>to determine</v>
      </c>
    </row>
    <row r="11702">
      <c r="A11702" s="1" t="s">
        <v>11702</v>
      </c>
      <c r="B11702" s="2" t="str">
        <f>IFERROR(__xludf.DUMMYFUNCTION("GOOGLETRANSLATE(A11702, ""de"", ""en"")"),"Harlan")</f>
        <v>Harlan</v>
      </c>
    </row>
    <row r="11703">
      <c r="A11703" s="1" t="s">
        <v>11703</v>
      </c>
      <c r="B11703" s="2" t="str">
        <f>IFERROR(__xludf.DUMMYFUNCTION("GOOGLETRANSLATE(A11703, ""de"", ""en"")"),"court")</f>
        <v>court</v>
      </c>
    </row>
    <row r="11704">
      <c r="A11704" s="1" t="s">
        <v>11704</v>
      </c>
      <c r="B11704" s="2" t="str">
        <f>IFERROR(__xludf.DUMMYFUNCTION("GOOGLETRANSLATE(A11704, ""de"", ""en"")"),"sailors")</f>
        <v>sailors</v>
      </c>
    </row>
    <row r="11705">
      <c r="A11705" s="1" t="s">
        <v>11705</v>
      </c>
      <c r="B11705" s="2" t="str">
        <f>IFERROR(__xludf.DUMMYFUNCTION("GOOGLETRANSLATE(A11705, ""de"", ""en"")"),"mess")</f>
        <v>mess</v>
      </c>
    </row>
    <row r="11706">
      <c r="A11706" s="1" t="s">
        <v>11706</v>
      </c>
      <c r="B11706" s="2" t="str">
        <f>IFERROR(__xludf.DUMMYFUNCTION("GOOGLETRANSLATE(A11706, ""de"", ""en"")"),"snores")</f>
        <v>snores</v>
      </c>
    </row>
    <row r="11707">
      <c r="A11707" s="1" t="s">
        <v>11707</v>
      </c>
      <c r="B11707" s="2" t="str">
        <f>IFERROR(__xludf.DUMMYFUNCTION("GOOGLETRANSLATE(A11707, ""de"", ""en"")"),"to listen")</f>
        <v>to listen</v>
      </c>
    </row>
    <row r="11708">
      <c r="A11708" s="1" t="s">
        <v>11708</v>
      </c>
      <c r="B11708" s="2" t="str">
        <f>IFERROR(__xludf.DUMMYFUNCTION("GOOGLETRANSLATE(A11708, ""de"", ""en"")"),"check")</f>
        <v>check</v>
      </c>
    </row>
    <row r="11709">
      <c r="A11709" s="1" t="s">
        <v>11709</v>
      </c>
      <c r="B11709" s="2" t="str">
        <f>IFERROR(__xludf.DUMMYFUNCTION("GOOGLETRANSLATE(A11709, ""de"", ""en"")"),"examination")</f>
        <v>examination</v>
      </c>
    </row>
    <row r="11710">
      <c r="A11710" s="1" t="s">
        <v>11710</v>
      </c>
      <c r="B11710" s="2" t="str">
        <f>IFERROR(__xludf.DUMMYFUNCTION("GOOGLETRANSLATE(A11710, ""de"", ""en"")"),"Florence")</f>
        <v>Florence</v>
      </c>
    </row>
    <row r="11711">
      <c r="A11711" s="1" t="s">
        <v>11711</v>
      </c>
      <c r="B11711" s="2" t="str">
        <f>IFERROR(__xludf.DUMMYFUNCTION("GOOGLETRANSLATE(A11711, ""de"", ""en"")"),"blanche")</f>
        <v>blanche</v>
      </c>
    </row>
    <row r="11712">
      <c r="A11712" s="1" t="s">
        <v>11712</v>
      </c>
      <c r="B11712" s="2" t="str">
        <f>IFERROR(__xludf.DUMMYFUNCTION("GOOGLETRANSLATE(A11712, ""de"", ""en"")"),"maddie")</f>
        <v>maddie</v>
      </c>
    </row>
    <row r="11713">
      <c r="A11713" s="1" t="s">
        <v>11713</v>
      </c>
      <c r="B11713" s="2" t="str">
        <f>IFERROR(__xludf.DUMMYFUNCTION("GOOGLETRANSLATE(A11713, ""de"", ""en"")"),"exchanged")</f>
        <v>exchanged</v>
      </c>
    </row>
    <row r="11714">
      <c r="A11714" s="1" t="s">
        <v>11714</v>
      </c>
      <c r="B11714" s="2" t="str">
        <f>IFERROR(__xludf.DUMMYFUNCTION("GOOGLETRANSLATE(A11714, ""de"", ""en"")"),"committed")</f>
        <v>committed</v>
      </c>
    </row>
    <row r="11715">
      <c r="A11715" s="1" t="s">
        <v>11715</v>
      </c>
      <c r="B11715" s="2" t="str">
        <f>IFERROR(__xludf.DUMMYFUNCTION("GOOGLETRANSLATE(A11715, ""de"", ""en"")"),"bloody")</f>
        <v>bloody</v>
      </c>
    </row>
    <row r="11716">
      <c r="A11716" s="1" t="s">
        <v>11716</v>
      </c>
      <c r="B11716" s="2" t="str">
        <f>IFERROR(__xludf.DUMMYFUNCTION("GOOGLETRANSLATE(A11716, ""de"", ""en"")"),"galaxies")</f>
        <v>galaxies</v>
      </c>
    </row>
    <row r="11717">
      <c r="A11717" s="1" t="s">
        <v>11717</v>
      </c>
      <c r="B11717" s="2" t="str">
        <f>IFERROR(__xludf.DUMMYFUNCTION("GOOGLETRANSLATE(A11717, ""de"", ""en"")"),"antiques")</f>
        <v>antiques</v>
      </c>
    </row>
    <row r="11718">
      <c r="A11718" s="1" t="s">
        <v>11718</v>
      </c>
      <c r="B11718" s="2" t="str">
        <f>IFERROR(__xludf.DUMMYFUNCTION("GOOGLETRANSLATE(A11718, ""de"", ""en"")"),"wanders")</f>
        <v>wanders</v>
      </c>
    </row>
    <row r="11719">
      <c r="A11719" s="1" t="s">
        <v>11719</v>
      </c>
      <c r="B11719" s="2" t="str">
        <f>IFERROR(__xludf.DUMMYFUNCTION("GOOGLETRANSLATE(A11719, ""de"", ""en"")"),"hormones")</f>
        <v>hormones</v>
      </c>
    </row>
    <row r="11720">
      <c r="A11720" s="1" t="s">
        <v>11720</v>
      </c>
      <c r="B11720" s="2" t="str">
        <f>IFERROR(__xludf.DUMMYFUNCTION("GOOGLETRANSLATE(A11720, ""de"", ""en"")"),"homo")</f>
        <v>homo</v>
      </c>
    </row>
    <row r="11721">
      <c r="A11721" s="1" t="s">
        <v>11721</v>
      </c>
      <c r="B11721" s="2" t="str">
        <f>IFERROR(__xludf.DUMMYFUNCTION("GOOGLETRANSLATE(A11721, ""de"", ""en"")"),"slade")</f>
        <v>slade</v>
      </c>
    </row>
    <row r="11722">
      <c r="A11722" s="1" t="s">
        <v>11722</v>
      </c>
      <c r="B11722" s="2" t="str">
        <f>IFERROR(__xludf.DUMMYFUNCTION("GOOGLETRANSLATE(A11722, ""de"", ""en"")"),"chapman")</f>
        <v>chapman</v>
      </c>
    </row>
    <row r="11723">
      <c r="A11723" s="1" t="s">
        <v>11723</v>
      </c>
      <c r="B11723" s="2" t="str">
        <f>IFERROR(__xludf.DUMMYFUNCTION("GOOGLETRANSLATE(A11723, ""de"", ""en"")"),"replenishment")</f>
        <v>replenishment</v>
      </c>
    </row>
    <row r="11724">
      <c r="A11724" s="1" t="s">
        <v>11724</v>
      </c>
      <c r="B11724" s="2" t="str">
        <f>IFERROR(__xludf.DUMMYFUNCTION("GOOGLETRANSLATE(A11724, ""de"", ""en"")"),"america")</f>
        <v>america</v>
      </c>
    </row>
    <row r="11725">
      <c r="A11725" s="1" t="s">
        <v>11725</v>
      </c>
      <c r="B11725" s="2" t="str">
        <f>IFERROR(__xludf.DUMMYFUNCTION("GOOGLETRANSLATE(A11725, ""de"", ""en"")"),"fragile")</f>
        <v>fragile</v>
      </c>
    </row>
    <row r="11726">
      <c r="A11726" s="1" t="s">
        <v>11726</v>
      </c>
      <c r="B11726" s="2" t="str">
        <f>IFERROR(__xludf.DUMMYFUNCTION("GOOGLETRANSLATE(A11726, ""de"", ""en"")"),"palm")</f>
        <v>palm</v>
      </c>
    </row>
    <row r="11727">
      <c r="A11727" s="1" t="s">
        <v>11727</v>
      </c>
      <c r="B11727" s="2" t="str">
        <f>IFERROR(__xludf.DUMMYFUNCTION("GOOGLETRANSLATE(A11727, ""de"", ""en"")"),"that’s it")</f>
        <v>that’s it</v>
      </c>
    </row>
    <row r="11728">
      <c r="A11728" s="1" t="s">
        <v>11728</v>
      </c>
      <c r="B11728" s="2" t="str">
        <f>IFERROR(__xludf.DUMMYFUNCTION("GOOGLETRANSLATE(A11728, ""de"", ""en"")"),"giant")</f>
        <v>giant</v>
      </c>
    </row>
    <row r="11729">
      <c r="A11729" s="1" t="s">
        <v>11729</v>
      </c>
      <c r="B11729" s="2" t="str">
        <f>IFERROR(__xludf.DUMMYFUNCTION("GOOGLETRANSLATE(A11729, ""de"", ""en"")"),"burn")</f>
        <v>burn</v>
      </c>
    </row>
    <row r="11730">
      <c r="A11730" s="1" t="s">
        <v>11730</v>
      </c>
      <c r="B11730" s="2" t="str">
        <f>IFERROR(__xludf.DUMMYFUNCTION("GOOGLETRANSLATE(A11730, ""de"", ""en"")"),"stings")</f>
        <v>stings</v>
      </c>
    </row>
    <row r="11731">
      <c r="A11731" s="1" t="s">
        <v>11731</v>
      </c>
      <c r="B11731" s="2" t="str">
        <f>IFERROR(__xludf.DUMMYFUNCTION("GOOGLETRANSLATE(A11731, ""de"", ""en"")"),"hang")</f>
        <v>hang</v>
      </c>
    </row>
    <row r="11732">
      <c r="A11732" s="1" t="s">
        <v>11732</v>
      </c>
      <c r="B11732" s="2" t="str">
        <f>IFERROR(__xludf.DUMMYFUNCTION("GOOGLETRANSLATE(A11732, ""de"", ""en"")"),"reader")</f>
        <v>reader</v>
      </c>
    </row>
    <row r="11733">
      <c r="A11733" s="1" t="s">
        <v>11733</v>
      </c>
      <c r="B11733" s="2" t="str">
        <f>IFERROR(__xludf.DUMMYFUNCTION("GOOGLETRANSLATE(A11733, ""de"", ""en"")"),"stay behind")</f>
        <v>stay behind</v>
      </c>
    </row>
    <row r="11734">
      <c r="A11734" s="1" t="s">
        <v>11734</v>
      </c>
      <c r="B11734" s="2" t="str">
        <f>IFERROR(__xludf.DUMMYFUNCTION("GOOGLETRANSLATE(A11734, ""de"", ""en"")"),"woods")</f>
        <v>woods</v>
      </c>
    </row>
    <row r="11735">
      <c r="A11735" s="1" t="s">
        <v>11735</v>
      </c>
      <c r="B11735" s="2" t="str">
        <f>IFERROR(__xludf.DUMMYFUNCTION("GOOGLETRANSLATE(A11735, ""de"", ""en"")"),"prototype")</f>
        <v>prototype</v>
      </c>
    </row>
    <row r="11736">
      <c r="A11736" s="1" t="s">
        <v>11736</v>
      </c>
      <c r="B11736" s="2" t="str">
        <f>IFERROR(__xludf.DUMMYFUNCTION("GOOGLETRANSLATE(A11736, ""de"", ""en"")"),"reflected")</f>
        <v>reflected</v>
      </c>
    </row>
    <row r="11737">
      <c r="A11737" s="1" t="s">
        <v>11737</v>
      </c>
      <c r="B11737" s="2" t="str">
        <f>IFERROR(__xludf.DUMMYFUNCTION("GOOGLETRANSLATE(A11737, ""de"", ""en"")"),"amiable")</f>
        <v>amiable</v>
      </c>
    </row>
    <row r="11738">
      <c r="A11738" s="1" t="s">
        <v>11738</v>
      </c>
      <c r="B11738" s="2" t="str">
        <f>IFERROR(__xludf.DUMMYFUNCTION("GOOGLETRANSLATE(A11738, ""de"", ""en"")"),"habits")</f>
        <v>habits</v>
      </c>
    </row>
    <row r="11739">
      <c r="A11739" s="1" t="s">
        <v>11739</v>
      </c>
      <c r="B11739" s="2" t="str">
        <f>IFERROR(__xludf.DUMMYFUNCTION("GOOGLETRANSLATE(A11739, ""de"", ""en"")"),"acid")</f>
        <v>acid</v>
      </c>
    </row>
    <row r="11740">
      <c r="A11740" s="1" t="s">
        <v>11740</v>
      </c>
      <c r="B11740" s="2" t="str">
        <f>IFERROR(__xludf.DUMMYFUNCTION("GOOGLETRANSLATE(A11740, ""de"", ""en"")"),"chaotic")</f>
        <v>chaotic</v>
      </c>
    </row>
    <row r="11741">
      <c r="A11741" s="1" t="s">
        <v>11741</v>
      </c>
      <c r="B11741" s="2" t="str">
        <f>IFERROR(__xludf.DUMMYFUNCTION("GOOGLETRANSLATE(A11741, ""de"", ""en"")"),"shit")</f>
        <v>shit</v>
      </c>
    </row>
    <row r="11742">
      <c r="A11742" s="1" t="s">
        <v>11742</v>
      </c>
      <c r="B11742" s="2" t="str">
        <f>IFERROR(__xludf.DUMMYFUNCTION("GOOGLETRANSLATE(A11742, ""de"", ""en"")"),"moran")</f>
        <v>moran</v>
      </c>
    </row>
    <row r="11743">
      <c r="A11743" s="1" t="s">
        <v>11743</v>
      </c>
      <c r="B11743" s="2" t="str">
        <f>IFERROR(__xludf.DUMMYFUNCTION("GOOGLETRANSLATE(A11743, ""de"", ""en"")"),"call")</f>
        <v>call</v>
      </c>
    </row>
    <row r="11744">
      <c r="A11744" s="1" t="s">
        <v>11744</v>
      </c>
      <c r="B11744" s="2" t="str">
        <f>IFERROR(__xludf.DUMMYFUNCTION("GOOGLETRANSLATE(A11744, ""de"", ""en"")"),"concern")</f>
        <v>concern</v>
      </c>
    </row>
    <row r="11745">
      <c r="A11745" s="1" t="s">
        <v>11745</v>
      </c>
      <c r="B11745" s="2" t="str">
        <f>IFERROR(__xludf.DUMMYFUNCTION("GOOGLETRANSLATE(A11745, ""de"", ""en"")"),"elementary school")</f>
        <v>elementary school</v>
      </c>
    </row>
    <row r="11746">
      <c r="A11746" s="1" t="s">
        <v>11746</v>
      </c>
      <c r="B11746" s="2" t="str">
        <f>IFERROR(__xludf.DUMMYFUNCTION("GOOGLETRANSLATE(A11746, ""de"", ""en"")"),"married")</f>
        <v>married</v>
      </c>
    </row>
    <row r="11747">
      <c r="A11747" s="1" t="s">
        <v>11747</v>
      </c>
      <c r="B11747" s="2" t="str">
        <f>IFERROR(__xludf.DUMMYFUNCTION("GOOGLETRANSLATE(A11747, ""de"", ""en"")"),"call")</f>
        <v>call</v>
      </c>
    </row>
    <row r="11748">
      <c r="A11748" s="1" t="s">
        <v>11748</v>
      </c>
      <c r="B11748" s="2" t="str">
        <f>IFERROR(__xludf.DUMMYFUNCTION("GOOGLETRANSLATE(A11748, ""de"", ""en"")"),"sauce")</f>
        <v>sauce</v>
      </c>
    </row>
    <row r="11749">
      <c r="A11749" s="1" t="s">
        <v>11749</v>
      </c>
      <c r="B11749" s="2" t="str">
        <f>IFERROR(__xludf.DUMMYFUNCTION("GOOGLETRANSLATE(A11749, ""de"", ""en"")"),"relative")</f>
        <v>relative</v>
      </c>
    </row>
    <row r="11750">
      <c r="A11750" s="1" t="s">
        <v>11750</v>
      </c>
      <c r="B11750" s="2" t="str">
        <f>IFERROR(__xludf.DUMMYFUNCTION("GOOGLETRANSLATE(A11750, ""de"", ""en"")"),"threshold")</f>
        <v>threshold</v>
      </c>
    </row>
    <row r="11751">
      <c r="A11751" s="1" t="s">
        <v>11751</v>
      </c>
      <c r="B11751" s="2" t="str">
        <f>IFERROR(__xludf.DUMMYFUNCTION("GOOGLETRANSLATE(A11751, ""de"", ""en"")"),"happy")</f>
        <v>happy</v>
      </c>
    </row>
    <row r="11752">
      <c r="A11752" s="1" t="s">
        <v>11752</v>
      </c>
      <c r="B11752" s="2" t="str">
        <f>IFERROR(__xludf.DUMMYFUNCTION("GOOGLETRANSLATE(A11752, ""de"", ""en"")"),"mmh")</f>
        <v>mmh</v>
      </c>
    </row>
    <row r="11753">
      <c r="A11753" s="1" t="s">
        <v>11753</v>
      </c>
      <c r="B11753" s="2" t="str">
        <f>IFERROR(__xludf.DUMMYFUNCTION("GOOGLETRANSLATE(A11753, ""de"", ""en"")"),"cool")</f>
        <v>cool</v>
      </c>
    </row>
    <row r="11754">
      <c r="A11754" s="1" t="s">
        <v>11754</v>
      </c>
      <c r="B11754" s="2" t="str">
        <f>IFERROR(__xludf.DUMMYFUNCTION("GOOGLETRANSLATE(A11754, ""de"", ""en"")"),"magnificent")</f>
        <v>magnificent</v>
      </c>
    </row>
    <row r="11755">
      <c r="A11755" s="1" t="s">
        <v>11755</v>
      </c>
      <c r="B11755" s="2" t="str">
        <f>IFERROR(__xludf.DUMMYFUNCTION("GOOGLETRANSLATE(A11755, ""de"", ""en"")"),"ridiculous")</f>
        <v>ridiculous</v>
      </c>
    </row>
    <row r="11756">
      <c r="A11756" s="1" t="s">
        <v>11756</v>
      </c>
      <c r="B11756" s="2" t="str">
        <f>IFERROR(__xludf.DUMMYFUNCTION("GOOGLETRANSLATE(A11756, ""de"", ""en"")"),"lift")</f>
        <v>lift</v>
      </c>
    </row>
    <row r="11757">
      <c r="A11757" s="1" t="s">
        <v>11757</v>
      </c>
      <c r="B11757" s="2" t="str">
        <f>IFERROR(__xludf.DUMMYFUNCTION("GOOGLETRANSLATE(A11757, ""de"", ""en"")"),"attacked")</f>
        <v>attacked</v>
      </c>
    </row>
    <row r="11758">
      <c r="A11758" s="1" t="s">
        <v>11758</v>
      </c>
      <c r="B11758" s="2" t="str">
        <f>IFERROR(__xludf.DUMMYFUNCTION("GOOGLETRANSLATE(A11758, ""de"", ""en"")"),"drive back")</f>
        <v>drive back</v>
      </c>
    </row>
    <row r="11759">
      <c r="A11759" s="1" t="s">
        <v>11759</v>
      </c>
      <c r="B11759" s="2" t="str">
        <f>IFERROR(__xludf.DUMMYFUNCTION("GOOGLETRANSLATE(A11759, ""de"", ""en"")"),"Dutch")</f>
        <v>Dutch</v>
      </c>
    </row>
    <row r="11760">
      <c r="A11760" s="1" t="s">
        <v>11760</v>
      </c>
      <c r="B11760" s="2" t="str">
        <f>IFERROR(__xludf.DUMMYFUNCTION("GOOGLETRANSLATE(A11760, ""de"", ""en"")"),"closure")</f>
        <v>closure</v>
      </c>
    </row>
    <row r="11761">
      <c r="A11761" s="1" t="s">
        <v>11761</v>
      </c>
      <c r="B11761" s="2" t="str">
        <f>IFERROR(__xludf.DUMMYFUNCTION("GOOGLETRANSLATE(A11761, ""de"", ""en"")"),"sweetheart")</f>
        <v>sweetheart</v>
      </c>
    </row>
    <row r="11762">
      <c r="A11762" s="1" t="s">
        <v>11762</v>
      </c>
      <c r="B11762" s="2" t="str">
        <f>IFERROR(__xludf.DUMMYFUNCTION("GOOGLETRANSLATE(A11762, ""de"", ""en"")"),"one and a half")</f>
        <v>one and a half</v>
      </c>
    </row>
    <row r="11763">
      <c r="A11763" s="1" t="s">
        <v>11763</v>
      </c>
      <c r="B11763" s="2" t="str">
        <f>IFERROR(__xludf.DUMMYFUNCTION("GOOGLETRANSLATE(A11763, ""de"", ""en"")"),"spent")</f>
        <v>spent</v>
      </c>
    </row>
    <row r="11764">
      <c r="A11764" s="1" t="s">
        <v>11764</v>
      </c>
      <c r="B11764" s="2" t="str">
        <f>IFERROR(__xludf.DUMMYFUNCTION("GOOGLETRANSLATE(A11764, ""de"", ""en"")"),"igor")</f>
        <v>igor</v>
      </c>
    </row>
    <row r="11765">
      <c r="A11765" s="1" t="s">
        <v>11765</v>
      </c>
      <c r="B11765" s="2" t="str">
        <f>IFERROR(__xludf.DUMMYFUNCTION("GOOGLETRANSLATE(A11765, ""de"", ""en"")"),"occupy")</f>
        <v>occupy</v>
      </c>
    </row>
    <row r="11766">
      <c r="A11766" s="1" t="s">
        <v>11766</v>
      </c>
      <c r="B11766" s="2" t="str">
        <f>IFERROR(__xludf.DUMMYFUNCTION("GOOGLETRANSLATE(A11766, ""de"", ""en"")"),"sexual")</f>
        <v>sexual</v>
      </c>
    </row>
    <row r="11767">
      <c r="A11767" s="1" t="s">
        <v>11767</v>
      </c>
      <c r="B11767" s="2" t="str">
        <f>IFERROR(__xludf.DUMMYFUNCTION("GOOGLETRANSLATE(A11767, ""de"", ""en"")"),"funny")</f>
        <v>funny</v>
      </c>
    </row>
    <row r="11768">
      <c r="A11768" s="1" t="s">
        <v>11768</v>
      </c>
      <c r="B11768" s="2" t="str">
        <f>IFERROR(__xludf.DUMMYFUNCTION("GOOGLETRANSLATE(A11768, ""de"", ""en"")"),"cross")</f>
        <v>cross</v>
      </c>
    </row>
    <row r="11769">
      <c r="A11769" s="1" t="s">
        <v>11769</v>
      </c>
      <c r="B11769" s="2" t="str">
        <f>IFERROR(__xludf.DUMMYFUNCTION("GOOGLETRANSLATE(A11769, ""de"", ""en"")"),"yep")</f>
        <v>yep</v>
      </c>
    </row>
    <row r="11770">
      <c r="A11770" s="1" t="s">
        <v>11770</v>
      </c>
      <c r="B11770" s="2" t="str">
        <f>IFERROR(__xludf.DUMMYFUNCTION("GOOGLETRANSLATE(A11770, ""de"", ""en"")"),"intuition")</f>
        <v>intuition</v>
      </c>
    </row>
    <row r="11771">
      <c r="A11771" s="1" t="s">
        <v>11771</v>
      </c>
      <c r="B11771" s="2" t="str">
        <f>IFERROR(__xludf.DUMMYFUNCTION("GOOGLETRANSLATE(A11771, ""de"", ""en"")"),"terrorism")</f>
        <v>terrorism</v>
      </c>
    </row>
    <row r="11772">
      <c r="A11772" s="1" t="s">
        <v>11772</v>
      </c>
      <c r="B11772" s="2" t="str">
        <f>IFERROR(__xludf.DUMMYFUNCTION("GOOGLETRANSLATE(A11772, ""de"", ""en"")"),"traditions")</f>
        <v>traditions</v>
      </c>
    </row>
    <row r="11773">
      <c r="A11773" s="1" t="s">
        <v>11773</v>
      </c>
      <c r="B11773" s="2" t="str">
        <f>IFERROR(__xludf.DUMMYFUNCTION("GOOGLETRANSLATE(A11773, ""de"", ""en"")"),"game")</f>
        <v>game</v>
      </c>
    </row>
    <row r="11774">
      <c r="A11774" s="1" t="s">
        <v>11774</v>
      </c>
      <c r="B11774" s="2" t="str">
        <f>IFERROR(__xludf.DUMMYFUNCTION("GOOGLETRANSLATE(A11774, ""de"", ""en"")"),"lad")</f>
        <v>lad</v>
      </c>
    </row>
    <row r="11775">
      <c r="A11775" s="1" t="s">
        <v>11775</v>
      </c>
      <c r="B11775" s="2" t="str">
        <f>IFERROR(__xludf.DUMMYFUNCTION("GOOGLETRANSLATE(A11775, ""de"", ""en"")"),"faked")</f>
        <v>faked</v>
      </c>
    </row>
    <row r="11776">
      <c r="A11776" s="1" t="s">
        <v>11776</v>
      </c>
      <c r="B11776" s="2" t="str">
        <f>IFERROR(__xludf.DUMMYFUNCTION("GOOGLETRANSLATE(A11776, ""de"", ""en"")"),"satellite")</f>
        <v>satellite</v>
      </c>
    </row>
    <row r="11777">
      <c r="A11777" s="1" t="s">
        <v>11777</v>
      </c>
      <c r="B11777" s="2" t="str">
        <f>IFERROR(__xludf.DUMMYFUNCTION("GOOGLETRANSLATE(A11777, ""de"", ""en"")"),"leans")</f>
        <v>leans</v>
      </c>
    </row>
    <row r="11778">
      <c r="A11778" s="1" t="s">
        <v>11778</v>
      </c>
      <c r="B11778" s="2" t="str">
        <f>IFERROR(__xludf.DUMMYFUNCTION("GOOGLETRANSLATE(A11778, ""de"", ""en"")"),"samson")</f>
        <v>samson</v>
      </c>
    </row>
    <row r="11779">
      <c r="A11779" s="1" t="s">
        <v>11779</v>
      </c>
      <c r="B11779" s="2" t="str">
        <f>IFERROR(__xludf.DUMMYFUNCTION("GOOGLETRANSLATE(A11779, ""de"", ""en"")"),"starve")</f>
        <v>starve</v>
      </c>
    </row>
    <row r="11780">
      <c r="A11780" s="1" t="s">
        <v>11780</v>
      </c>
      <c r="B11780" s="2" t="str">
        <f>IFERROR(__xludf.DUMMYFUNCTION("GOOGLETRANSLATE(A11780, ""de"", ""en"")"),"teach")</f>
        <v>teach</v>
      </c>
    </row>
    <row r="11781">
      <c r="A11781" s="1" t="s">
        <v>11781</v>
      </c>
      <c r="B11781" s="2" t="str">
        <f>IFERROR(__xludf.DUMMYFUNCTION("GOOGLETRANSLATE(A11781, ""de"", ""en"")"),"Burton")</f>
        <v>Burton</v>
      </c>
    </row>
    <row r="11782">
      <c r="A11782" s="1" t="s">
        <v>11782</v>
      </c>
      <c r="B11782" s="2" t="str">
        <f>IFERROR(__xludf.DUMMYFUNCTION("GOOGLETRANSLATE(A11782, ""de"", ""en"")"),"link")</f>
        <v>link</v>
      </c>
    </row>
    <row r="11783">
      <c r="A11783" s="1" t="s">
        <v>11783</v>
      </c>
      <c r="B11783" s="2" t="str">
        <f>IFERROR(__xludf.DUMMYFUNCTION("GOOGLETRANSLATE(A11783, ""de"", ""en"")"),"go wrong")</f>
        <v>go wrong</v>
      </c>
    </row>
    <row r="11784">
      <c r="A11784" s="1" t="s">
        <v>11784</v>
      </c>
      <c r="B11784" s="2" t="str">
        <f>IFERROR(__xludf.DUMMYFUNCTION("GOOGLETRANSLATE(A11784, ""de"", ""en"")"),"pajamas")</f>
        <v>pajamas</v>
      </c>
    </row>
    <row r="11785">
      <c r="A11785" s="1" t="s">
        <v>11785</v>
      </c>
      <c r="B11785" s="2" t="str">
        <f>IFERROR(__xludf.DUMMYFUNCTION("GOOGLETRANSLATE(A11785, ""de"", ""en"")"),"condemn")</f>
        <v>condemn</v>
      </c>
    </row>
    <row r="11786">
      <c r="A11786" s="1" t="s">
        <v>11786</v>
      </c>
      <c r="B11786" s="2" t="str">
        <f>IFERROR(__xludf.DUMMYFUNCTION("GOOGLETRANSLATE(A11786, ""de"", ""en"")"),"sergeant")</f>
        <v>sergeant</v>
      </c>
    </row>
    <row r="11787">
      <c r="A11787" s="1" t="s">
        <v>11787</v>
      </c>
      <c r="B11787" s="2" t="str">
        <f>IFERROR(__xludf.DUMMYFUNCTION("GOOGLETRANSLATE(A11787, ""de"", ""en"")"),"dark")</f>
        <v>dark</v>
      </c>
    </row>
    <row r="11788">
      <c r="A11788" s="1" t="s">
        <v>11788</v>
      </c>
      <c r="B11788" s="2" t="str">
        <f>IFERROR(__xludf.DUMMYFUNCTION("GOOGLETRANSLATE(A11788, ""de"", ""en"")"),"slaughtered")</f>
        <v>slaughtered</v>
      </c>
    </row>
    <row r="11789">
      <c r="A11789" s="1" t="s">
        <v>11789</v>
      </c>
      <c r="B11789" s="2" t="str">
        <f>IFERROR(__xludf.DUMMYFUNCTION("GOOGLETRANSLATE(A11789, ""de"", ""en"")"),"tattoo")</f>
        <v>tattoo</v>
      </c>
    </row>
    <row r="11790">
      <c r="A11790" s="1" t="s">
        <v>11790</v>
      </c>
      <c r="B11790" s="2" t="str">
        <f>IFERROR(__xludf.DUMMYFUNCTION("GOOGLETRANSLATE(A11790, ""de"", ""en"")"),"claims")</f>
        <v>claims</v>
      </c>
    </row>
    <row r="11791">
      <c r="A11791" s="1" t="s">
        <v>11791</v>
      </c>
      <c r="B11791" s="2" t="str">
        <f>IFERROR(__xludf.DUMMYFUNCTION("GOOGLETRANSLATE(A11791, ""de"", ""en"")"),"suffer")</f>
        <v>suffer</v>
      </c>
    </row>
    <row r="11792">
      <c r="A11792" s="1" t="s">
        <v>11792</v>
      </c>
      <c r="B11792" s="2" t="str">
        <f>IFERROR(__xludf.DUMMYFUNCTION("GOOGLETRANSLATE(A11792, ""de"", ""en"")"),"ruins")</f>
        <v>ruins</v>
      </c>
    </row>
    <row r="11793">
      <c r="A11793" s="1" t="s">
        <v>11793</v>
      </c>
      <c r="B11793" s="2" t="str">
        <f>IFERROR(__xludf.DUMMYFUNCTION("GOOGLETRANSLATE(A11793, ""de"", ""en"")"),"mature")</f>
        <v>mature</v>
      </c>
    </row>
    <row r="11794">
      <c r="A11794" s="1" t="s">
        <v>11794</v>
      </c>
      <c r="B11794" s="2" t="str">
        <f>IFERROR(__xludf.DUMMYFUNCTION("GOOGLETRANSLATE(A11794, ""de"", ""en"")"),"coming")</f>
        <v>coming</v>
      </c>
    </row>
    <row r="11795">
      <c r="A11795" s="1" t="s">
        <v>11795</v>
      </c>
      <c r="B11795" s="2" t="str">
        <f>IFERROR(__xludf.DUMMYFUNCTION("GOOGLETRANSLATE(A11795, ""de"", ""en"")"),"hoffman")</f>
        <v>hoffman</v>
      </c>
    </row>
    <row r="11796">
      <c r="A11796" s="1" t="s">
        <v>11796</v>
      </c>
      <c r="B11796" s="2" t="str">
        <f>IFERROR(__xludf.DUMMYFUNCTION("GOOGLETRANSLATE(A11796, ""de"", ""en"")"),"falls silent")</f>
        <v>falls silent</v>
      </c>
    </row>
    <row r="11797">
      <c r="A11797" s="1" t="s">
        <v>11797</v>
      </c>
      <c r="B11797" s="2" t="str">
        <f>IFERROR(__xludf.DUMMYFUNCTION("GOOGLETRANSLATE(A11797, ""de"", ""en"")"),"Panama")</f>
        <v>Panama</v>
      </c>
    </row>
    <row r="11798">
      <c r="A11798" s="1" t="s">
        <v>11798</v>
      </c>
      <c r="B11798" s="2" t="str">
        <f>IFERROR(__xludf.DUMMYFUNCTION("GOOGLETRANSLATE(A11798, ""de"", ""en"")"),"vacuum cleaner")</f>
        <v>vacuum cleaner</v>
      </c>
    </row>
    <row r="11799">
      <c r="A11799" s="1" t="s">
        <v>11799</v>
      </c>
      <c r="B11799" s="2" t="str">
        <f>IFERROR(__xludf.DUMMYFUNCTION("GOOGLETRANSLATE(A11799, ""de"", ""en"")"),"projects")</f>
        <v>projects</v>
      </c>
    </row>
    <row r="11800">
      <c r="A11800" s="1" t="s">
        <v>11800</v>
      </c>
      <c r="B11800" s="2" t="str">
        <f>IFERROR(__xludf.DUMMYFUNCTION("GOOGLETRANSLATE(A11800, ""de"", ""en"")"),"copy")</f>
        <v>copy</v>
      </c>
    </row>
    <row r="11801">
      <c r="A11801" s="1" t="s">
        <v>11801</v>
      </c>
      <c r="B11801" s="2" t="str">
        <f>IFERROR(__xludf.DUMMYFUNCTION("GOOGLETRANSLATE(A11801, ""de"", ""en"")"),"unders")</f>
        <v>unders</v>
      </c>
    </row>
    <row r="11802">
      <c r="A11802" s="1" t="s">
        <v>11802</v>
      </c>
      <c r="B11802" s="2" t="str">
        <f>IFERROR(__xludf.DUMMYFUNCTION("GOOGLETRANSLATE(A11802, ""de"", ""en"")"),"commits")</f>
        <v>commits</v>
      </c>
    </row>
    <row r="11803">
      <c r="A11803" s="1" t="s">
        <v>11803</v>
      </c>
      <c r="B11803" s="2" t="str">
        <f>IFERROR(__xludf.DUMMYFUNCTION("GOOGLETRANSLATE(A11803, ""de"", ""en"")"),"prejudices")</f>
        <v>prejudices</v>
      </c>
    </row>
    <row r="11804">
      <c r="A11804" s="1" t="s">
        <v>11804</v>
      </c>
      <c r="B11804" s="2" t="str">
        <f>IFERROR(__xludf.DUMMYFUNCTION("GOOGLETRANSLATE(A11804, ""de"", ""en"")"),"military")</f>
        <v>military</v>
      </c>
    </row>
    <row r="11805">
      <c r="A11805" s="1" t="s">
        <v>11805</v>
      </c>
      <c r="B11805" s="2" t="str">
        <f>IFERROR(__xludf.DUMMYFUNCTION("GOOGLETRANSLATE(A11805, ""de"", ""en"")"),"check")</f>
        <v>check</v>
      </c>
    </row>
    <row r="11806">
      <c r="A11806" s="1" t="s">
        <v>11806</v>
      </c>
      <c r="B11806" s="2" t="str">
        <f>IFERROR(__xludf.DUMMYFUNCTION("GOOGLETRANSLATE(A11806, ""de"", ""en"")"),"piss off")</f>
        <v>piss off</v>
      </c>
    </row>
    <row r="11807">
      <c r="A11807" s="1" t="s">
        <v>11807</v>
      </c>
      <c r="B11807" s="2" t="str">
        <f>IFERROR(__xludf.DUMMYFUNCTION("GOOGLETRANSLATE(A11807, ""de"", ""en"")"),"nobler")</f>
        <v>nobler</v>
      </c>
    </row>
    <row r="11808">
      <c r="A11808" s="1" t="s">
        <v>11808</v>
      </c>
      <c r="B11808" s="2" t="str">
        <f>IFERROR(__xludf.DUMMYFUNCTION("GOOGLETRANSLATE(A11808, ""de"", ""en"")"),"tray")</f>
        <v>tray</v>
      </c>
    </row>
    <row r="11809">
      <c r="A11809" s="1" t="s">
        <v>11809</v>
      </c>
      <c r="B11809" s="2" t="str">
        <f>IFERROR(__xludf.DUMMYFUNCTION("GOOGLETRANSLATE(A11809, ""de"", ""en"")"),"blown")</f>
        <v>blown</v>
      </c>
    </row>
    <row r="11810">
      <c r="A11810" s="1" t="s">
        <v>11810</v>
      </c>
      <c r="B11810" s="2" t="str">
        <f>IFERROR(__xludf.DUMMYFUNCTION("GOOGLETRANSLATE(A11810, ""de"", ""en"")"),"brought here")</f>
        <v>brought here</v>
      </c>
    </row>
    <row r="11811">
      <c r="A11811" s="1" t="s">
        <v>11811</v>
      </c>
      <c r="B11811" s="2" t="str">
        <f>IFERROR(__xludf.DUMMYFUNCTION("GOOGLETRANSLATE(A11811, ""de"", ""en"")"),"advice")</f>
        <v>advice</v>
      </c>
    </row>
    <row r="11812">
      <c r="A11812" s="1" t="s">
        <v>11812</v>
      </c>
      <c r="B11812" s="2" t="str">
        <f>IFERROR(__xludf.DUMMYFUNCTION("GOOGLETRANSLATE(A11812, ""de"", ""en"")"),"discount")</f>
        <v>discount</v>
      </c>
    </row>
    <row r="11813">
      <c r="A11813" s="1" t="s">
        <v>11813</v>
      </c>
      <c r="B11813" s="2" t="str">
        <f>IFERROR(__xludf.DUMMYFUNCTION("GOOGLETRANSLATE(A11813, ""de"", ""en"")"),"run")</f>
        <v>run</v>
      </c>
    </row>
    <row r="11814">
      <c r="A11814" s="1" t="s">
        <v>11814</v>
      </c>
      <c r="B11814" s="2" t="str">
        <f>IFERROR(__xludf.DUMMYFUNCTION("GOOGLETRANSLATE(A11814, ""de"", ""en"")"),"kept")</f>
        <v>kept</v>
      </c>
    </row>
    <row r="11815">
      <c r="A11815" s="1" t="s">
        <v>11815</v>
      </c>
      <c r="B11815" s="2" t="str">
        <f>IFERROR(__xludf.DUMMYFUNCTION("GOOGLETRANSLATE(A11815, ""de"", ""en"")"),"braver")</f>
        <v>braver</v>
      </c>
    </row>
    <row r="11816">
      <c r="A11816" s="1" t="s">
        <v>11816</v>
      </c>
      <c r="B11816" s="2" t="str">
        <f>IFERROR(__xludf.DUMMYFUNCTION("GOOGLETRANSLATE(A11816, ""de"", ""en"")"),"revelation")</f>
        <v>revelation</v>
      </c>
    </row>
    <row r="11817">
      <c r="A11817" s="1" t="s">
        <v>11817</v>
      </c>
      <c r="B11817" s="2" t="str">
        <f>IFERROR(__xludf.DUMMYFUNCTION("GOOGLETRANSLATE(A11817, ""de"", ""en"")"),"get away")</f>
        <v>get away</v>
      </c>
    </row>
    <row r="11818">
      <c r="A11818" s="1" t="s">
        <v>11818</v>
      </c>
      <c r="B11818" s="2" t="str">
        <f>IFERROR(__xludf.DUMMYFUNCTION("GOOGLETRANSLATE(A11818, ""de"", ""en"")"),"make a date")</f>
        <v>make a date</v>
      </c>
    </row>
    <row r="11819">
      <c r="A11819" s="1" t="s">
        <v>11819</v>
      </c>
      <c r="B11819" s="2" t="str">
        <f>IFERROR(__xludf.DUMMYFUNCTION("GOOGLETRANSLATE(A11819, ""de"", ""en"")"),"motives")</f>
        <v>motives</v>
      </c>
    </row>
    <row r="11820">
      <c r="A11820" s="1" t="s">
        <v>11820</v>
      </c>
      <c r="B11820" s="2" t="str">
        <f>IFERROR(__xludf.DUMMYFUNCTION("GOOGLETRANSLATE(A11820, ""de"", ""en"")"),"unpleasantries")</f>
        <v>unpleasantries</v>
      </c>
    </row>
    <row r="11821">
      <c r="A11821" s="1" t="s">
        <v>11821</v>
      </c>
      <c r="B11821" s="2" t="str">
        <f>IFERROR(__xludf.DUMMYFUNCTION("GOOGLETRANSLATE(A11821, ""de"", ""en"")"),"village")</f>
        <v>village</v>
      </c>
    </row>
    <row r="11822">
      <c r="A11822" s="1" t="s">
        <v>11822</v>
      </c>
      <c r="B11822" s="2" t="str">
        <f>IFERROR(__xludf.DUMMYFUNCTION("GOOGLETRANSLATE(A11822, ""de"", ""en"")"),"late")</f>
        <v>late</v>
      </c>
    </row>
    <row r="11823">
      <c r="A11823" s="1" t="s">
        <v>11823</v>
      </c>
      <c r="B11823" s="2" t="str">
        <f>IFERROR(__xludf.DUMMYFUNCTION("GOOGLETRANSLATE(A11823, ""de"", ""en"")"),"fucking")</f>
        <v>fucking</v>
      </c>
    </row>
    <row r="11824">
      <c r="A11824" s="1" t="s">
        <v>11824</v>
      </c>
      <c r="B11824" s="2" t="str">
        <f>IFERROR(__xludf.DUMMYFUNCTION("GOOGLETRANSLATE(A11824, ""de"", ""en"")"),"arguments")</f>
        <v>arguments</v>
      </c>
    </row>
    <row r="11825">
      <c r="A11825" s="1" t="s">
        <v>11825</v>
      </c>
      <c r="B11825" s="2" t="str">
        <f>IFERROR(__xludf.DUMMYFUNCTION("GOOGLETRANSLATE(A11825, ""de"", ""en"")"),"claimed")</f>
        <v>claimed</v>
      </c>
    </row>
    <row r="11826">
      <c r="A11826" s="1" t="s">
        <v>11826</v>
      </c>
      <c r="B11826" s="2" t="str">
        <f>IFERROR(__xludf.DUMMYFUNCTION("GOOGLETRANSLATE(A11826, ""de"", ""en"")"),"valuable")</f>
        <v>valuable</v>
      </c>
    </row>
    <row r="11827">
      <c r="A11827" s="1" t="s">
        <v>11827</v>
      </c>
      <c r="B11827" s="2" t="str">
        <f>IFERROR(__xludf.DUMMYFUNCTION("GOOGLETRANSLATE(A11827, ""de"", ""en"")"),"Niki")</f>
        <v>Niki</v>
      </c>
    </row>
    <row r="11828">
      <c r="A11828" s="1" t="s">
        <v>11828</v>
      </c>
      <c r="B11828" s="2" t="str">
        <f>IFERROR(__xludf.DUMMYFUNCTION("GOOGLETRANSLATE(A11828, ""de"", ""en"")"),"errors")</f>
        <v>errors</v>
      </c>
    </row>
    <row r="11829">
      <c r="A11829" s="1" t="s">
        <v>11829</v>
      </c>
      <c r="B11829" s="2" t="str">
        <f>IFERROR(__xludf.DUMMYFUNCTION("GOOGLETRANSLATE(A11829, ""de"", ""en"")"),"dinner")</f>
        <v>dinner</v>
      </c>
    </row>
    <row r="11830">
      <c r="A11830" s="1" t="s">
        <v>11830</v>
      </c>
      <c r="B11830" s="2" t="str">
        <f>IFERROR(__xludf.DUMMYFUNCTION("GOOGLETRANSLATE(A11830, ""de"", ""en"")"),"clean")</f>
        <v>clean</v>
      </c>
    </row>
    <row r="11831">
      <c r="A11831" s="1" t="s">
        <v>11831</v>
      </c>
      <c r="B11831" s="2" t="str">
        <f>IFERROR(__xludf.DUMMYFUNCTION("GOOGLETRANSLATE(A11831, ""de"", ""en"")"),"transmit")</f>
        <v>transmit</v>
      </c>
    </row>
    <row r="11832">
      <c r="A11832" s="1" t="s">
        <v>11832</v>
      </c>
      <c r="B11832" s="2" t="str">
        <f>IFERROR(__xludf.DUMMYFUNCTION("GOOGLETRANSLATE(A11832, ""de"", ""en"")"),"playground")</f>
        <v>playground</v>
      </c>
    </row>
    <row r="11833">
      <c r="A11833" s="1" t="s">
        <v>11833</v>
      </c>
      <c r="B11833" s="2" t="str">
        <f>IFERROR(__xludf.DUMMYFUNCTION("GOOGLETRANSLATE(A11833, ""de"", ""en"")"),"appraise")</f>
        <v>appraise</v>
      </c>
    </row>
    <row r="11834">
      <c r="A11834" s="1" t="s">
        <v>11834</v>
      </c>
      <c r="B11834" s="2" t="str">
        <f>IFERROR(__xludf.DUMMYFUNCTION("GOOGLETRANSLATE(A11834, ""de"", ""en"")"),"to look")</f>
        <v>to look</v>
      </c>
    </row>
    <row r="11835">
      <c r="A11835" s="1" t="s">
        <v>11835</v>
      </c>
      <c r="B11835" s="2" t="str">
        <f>IFERROR(__xludf.DUMMYFUNCTION("GOOGLETRANSLATE(A11835, ""de"", ""en"")"),"neighs")</f>
        <v>neighs</v>
      </c>
    </row>
    <row r="11836">
      <c r="A11836" s="1" t="s">
        <v>11836</v>
      </c>
      <c r="B11836" s="2" t="str">
        <f>IFERROR(__xludf.DUMMYFUNCTION("GOOGLETRANSLATE(A11836, ""de"", ""en"")"),"basil")</f>
        <v>basil</v>
      </c>
    </row>
    <row r="11837">
      <c r="A11837" s="1" t="s">
        <v>11837</v>
      </c>
      <c r="B11837" s="2" t="str">
        <f>IFERROR(__xludf.DUMMYFUNCTION("GOOGLETRANSLATE(A11837, ""de"", ""en"")"),"special")</f>
        <v>special</v>
      </c>
    </row>
    <row r="11838">
      <c r="A11838" s="1" t="s">
        <v>11838</v>
      </c>
      <c r="B11838" s="2" t="str">
        <f>IFERROR(__xludf.DUMMYFUNCTION("GOOGLETRANSLATE(A11838, ""de"", ""en"")"),"fleeting")</f>
        <v>fleeting</v>
      </c>
    </row>
    <row r="11839">
      <c r="A11839" s="1" t="s">
        <v>11839</v>
      </c>
      <c r="B11839" s="2" t="str">
        <f>IFERROR(__xludf.DUMMYFUNCTION("GOOGLETRANSLATE(A11839, ""de"", ""en"")"),"urges")</f>
        <v>urges</v>
      </c>
    </row>
    <row r="11840">
      <c r="A11840" s="1" t="s">
        <v>11840</v>
      </c>
      <c r="B11840" s="2" t="str">
        <f>IFERROR(__xludf.DUMMYFUNCTION("GOOGLETRANSLATE(A11840, ""de"", ""en"")"),"cope")</f>
        <v>cope</v>
      </c>
    </row>
    <row r="11841">
      <c r="A11841" s="1" t="s">
        <v>11841</v>
      </c>
      <c r="B11841" s="2" t="str">
        <f>IFERROR(__xludf.DUMMYFUNCTION("GOOGLETRANSLATE(A11841, ""de"", ""en"")"),"incredible")</f>
        <v>incredible</v>
      </c>
    </row>
    <row r="11842">
      <c r="A11842" s="1" t="s">
        <v>11842</v>
      </c>
      <c r="B11842" s="2" t="str">
        <f>IFERROR(__xludf.DUMMYFUNCTION("GOOGLETRANSLATE(A11842, ""de"", ""en"")"),"endless")</f>
        <v>endless</v>
      </c>
    </row>
    <row r="11843">
      <c r="A11843" s="1" t="s">
        <v>11843</v>
      </c>
      <c r="B11843" s="2" t="str">
        <f>IFERROR(__xludf.DUMMYFUNCTION("GOOGLETRANSLATE(A11843, ""de"", ""en"")"),"critic")</f>
        <v>critic</v>
      </c>
    </row>
    <row r="11844">
      <c r="A11844" s="1" t="s">
        <v>11844</v>
      </c>
      <c r="B11844" s="2" t="str">
        <f>IFERROR(__xludf.DUMMYFUNCTION("GOOGLETRANSLATE(A11844, ""de"", ""en"")"),"gayer")</f>
        <v>gayer</v>
      </c>
    </row>
    <row r="11845">
      <c r="A11845" s="1" t="s">
        <v>11845</v>
      </c>
      <c r="B11845" s="2" t="str">
        <f>IFERROR(__xludf.DUMMYFUNCTION("GOOGLETRANSLATE(A11845, ""de"", ""en"")"),"lifted")</f>
        <v>lifted</v>
      </c>
    </row>
    <row r="11846">
      <c r="A11846" s="1" t="s">
        <v>11846</v>
      </c>
      <c r="B11846" s="2" t="str">
        <f>IFERROR(__xludf.DUMMYFUNCTION("GOOGLETRANSLATE(A11846, ""de"", ""en"")"),"carer")</f>
        <v>carer</v>
      </c>
    </row>
    <row r="11847">
      <c r="A11847" s="1" t="s">
        <v>11847</v>
      </c>
      <c r="B11847" s="2" t="str">
        <f>IFERROR(__xludf.DUMMYFUNCTION("GOOGLETRANSLATE(A11847, ""de"", ""en"")"),"make clear")</f>
        <v>make clear</v>
      </c>
    </row>
    <row r="11848">
      <c r="A11848" s="1" t="s">
        <v>11848</v>
      </c>
      <c r="B11848" s="2" t="str">
        <f>IFERROR(__xludf.DUMMYFUNCTION("GOOGLETRANSLATE(A11848, ""de"", ""en"")"),"so")</f>
        <v>so</v>
      </c>
    </row>
    <row r="11849">
      <c r="A11849" s="1" t="s">
        <v>11849</v>
      </c>
      <c r="B11849" s="2" t="str">
        <f>IFERROR(__xludf.DUMMYFUNCTION("GOOGLETRANSLATE(A11849, ""de"", ""en"")"),"benson")</f>
        <v>benson</v>
      </c>
    </row>
    <row r="11850">
      <c r="A11850" s="1" t="s">
        <v>11850</v>
      </c>
      <c r="B11850" s="2" t="str">
        <f>IFERROR(__xludf.DUMMYFUNCTION("GOOGLETRANSLATE(A11850, ""de"", ""en"")"),"hinders")</f>
        <v>hinders</v>
      </c>
    </row>
    <row r="11851">
      <c r="A11851" s="1" t="s">
        <v>11851</v>
      </c>
      <c r="B11851" s="2" t="str">
        <f>IFERROR(__xludf.DUMMYFUNCTION("GOOGLETRANSLATE(A11851, ""de"", ""en"")"),"donated")</f>
        <v>donated</v>
      </c>
    </row>
    <row r="11852">
      <c r="A11852" s="1" t="s">
        <v>11852</v>
      </c>
      <c r="B11852" s="2" t="str">
        <f>IFERROR(__xludf.DUMMYFUNCTION("GOOGLETRANSLATE(A11852, ""de"", ""en"")"),"lire")</f>
        <v>lire</v>
      </c>
    </row>
    <row r="11853">
      <c r="A11853" s="1" t="s">
        <v>11853</v>
      </c>
      <c r="B11853" s="2" t="str">
        <f>IFERROR(__xludf.DUMMYFUNCTION("GOOGLETRANSLATE(A11853, ""de"", ""en"")"),"amazing")</f>
        <v>amazing</v>
      </c>
    </row>
    <row r="11854">
      <c r="A11854" s="1" t="s">
        <v>11854</v>
      </c>
      <c r="B11854" s="2" t="str">
        <f>IFERROR(__xludf.DUMMYFUNCTION("GOOGLETRANSLATE(A11854, ""de"", ""en"")"),"rubber")</f>
        <v>rubber</v>
      </c>
    </row>
    <row r="11855">
      <c r="A11855" s="1" t="s">
        <v>11855</v>
      </c>
      <c r="B11855" s="2" t="str">
        <f>IFERROR(__xludf.DUMMYFUNCTION("GOOGLETRANSLATE(A11855, ""de"", ""en"")"),"patterson")</f>
        <v>patterson</v>
      </c>
    </row>
    <row r="11856">
      <c r="A11856" s="1" t="s">
        <v>11856</v>
      </c>
      <c r="B11856" s="2" t="str">
        <f>IFERROR(__xludf.DUMMYFUNCTION("GOOGLETRANSLATE(A11856, ""de"", ""en"")"),"bitch")</f>
        <v>bitch</v>
      </c>
    </row>
    <row r="11857">
      <c r="A11857" s="1" t="s">
        <v>11857</v>
      </c>
      <c r="B11857" s="2" t="str">
        <f>IFERROR(__xludf.DUMMYFUNCTION("GOOGLETRANSLATE(A11857, ""de"", ""en"")"),"understands")</f>
        <v>understands</v>
      </c>
    </row>
    <row r="11858">
      <c r="A11858" s="1" t="s">
        <v>11858</v>
      </c>
      <c r="B11858" s="2" t="str">
        <f>IFERROR(__xludf.DUMMYFUNCTION("GOOGLETRANSLATE(A11858, ""de"", ""en"")"),"puppet")</f>
        <v>puppet</v>
      </c>
    </row>
    <row r="11859">
      <c r="A11859" s="1" t="s">
        <v>11859</v>
      </c>
      <c r="B11859" s="2" t="str">
        <f>IFERROR(__xludf.DUMMYFUNCTION("GOOGLETRANSLATE(A11859, ""de"", ""en"")"),"port")</f>
        <v>port</v>
      </c>
    </row>
    <row r="11860">
      <c r="A11860" s="1" t="s">
        <v>11860</v>
      </c>
      <c r="B11860" s="2" t="str">
        <f>IFERROR(__xludf.DUMMYFUNCTION("GOOGLETRANSLATE(A11860, ""de"", ""en"")"),"behaved")</f>
        <v>behaved</v>
      </c>
    </row>
    <row r="11861">
      <c r="A11861" s="1" t="s">
        <v>11861</v>
      </c>
      <c r="B11861" s="2" t="str">
        <f>IFERROR(__xludf.DUMMYFUNCTION("GOOGLETRANSLATE(A11861, ""de"", ""en"")"),"buenos")</f>
        <v>buenos</v>
      </c>
    </row>
    <row r="11862">
      <c r="A11862" s="1" t="s">
        <v>11862</v>
      </c>
      <c r="B11862" s="2" t="str">
        <f>IFERROR(__xludf.DUMMYFUNCTION("GOOGLETRANSLATE(A11862, ""de"", ""en"")"),"mentioned")</f>
        <v>mentioned</v>
      </c>
    </row>
    <row r="11863">
      <c r="A11863" s="1" t="s">
        <v>11863</v>
      </c>
      <c r="B11863" s="2" t="str">
        <f>IFERROR(__xludf.DUMMYFUNCTION("GOOGLETRANSLATE(A11863, ""de"", ""en"")"),"stolen ones")</f>
        <v>stolen ones</v>
      </c>
    </row>
    <row r="11864">
      <c r="A11864" s="1" t="s">
        <v>11864</v>
      </c>
      <c r="B11864" s="2" t="str">
        <f>IFERROR(__xludf.DUMMYFUNCTION("GOOGLETRANSLATE(A11864, ""de"", ""en"")"),"medallion")</f>
        <v>medallion</v>
      </c>
    </row>
    <row r="11865">
      <c r="A11865" s="1" t="s">
        <v>11865</v>
      </c>
      <c r="B11865" s="2" t="str">
        <f>IFERROR(__xludf.DUMMYFUNCTION("GOOGLETRANSLATE(A11865, ""de"", ""en"")"),"patrol car")</f>
        <v>patrol car</v>
      </c>
    </row>
    <row r="11866">
      <c r="A11866" s="1" t="s">
        <v>11866</v>
      </c>
      <c r="B11866" s="2" t="str">
        <f>IFERROR(__xludf.DUMMYFUNCTION("GOOGLETRANSLATE(A11866, ""de"", ""en"")"),"pascal")</f>
        <v>pascal</v>
      </c>
    </row>
    <row r="11867">
      <c r="A11867" s="1" t="s">
        <v>11867</v>
      </c>
      <c r="B11867" s="2" t="str">
        <f>IFERROR(__xludf.DUMMYFUNCTION("GOOGLETRANSLATE(A11867, ""de"", ""en"")"),"romance")</f>
        <v>romance</v>
      </c>
    </row>
    <row r="11868">
      <c r="A11868" s="1" t="s">
        <v>11868</v>
      </c>
      <c r="B11868" s="2" t="str">
        <f>IFERROR(__xludf.DUMMYFUNCTION("GOOGLETRANSLATE(A11868, ""de"", ""en"")"),"shelley")</f>
        <v>shelley</v>
      </c>
    </row>
    <row r="11869">
      <c r="A11869" s="1" t="s">
        <v>11869</v>
      </c>
      <c r="B11869" s="2" t="str">
        <f>IFERROR(__xludf.DUMMYFUNCTION("GOOGLETRANSLATE(A11869, ""de"", ""en"")"),"curse")</f>
        <v>curse</v>
      </c>
    </row>
    <row r="11870">
      <c r="A11870" s="1" t="s">
        <v>11870</v>
      </c>
      <c r="B11870" s="2" t="str">
        <f>IFERROR(__xludf.DUMMYFUNCTION("GOOGLETRANSLATE(A11870, ""de"", ""en"")"),"javier")</f>
        <v>javier</v>
      </c>
    </row>
    <row r="11871">
      <c r="A11871" s="1" t="s">
        <v>11871</v>
      </c>
      <c r="B11871" s="2" t="str">
        <f>IFERROR(__xludf.DUMMYFUNCTION("GOOGLETRANSLATE(A11871, ""de"", ""en"")"),"accommodated")</f>
        <v>accommodated</v>
      </c>
    </row>
    <row r="11872">
      <c r="A11872" s="1" t="s">
        <v>11872</v>
      </c>
      <c r="B11872" s="2" t="str">
        <f>IFERROR(__xludf.DUMMYFUNCTION("GOOGLETRANSLATE(A11872, ""de"", ""en"")"),"kahn")</f>
        <v>kahn</v>
      </c>
    </row>
    <row r="11873">
      <c r="A11873" s="1" t="s">
        <v>11873</v>
      </c>
      <c r="B11873" s="2" t="str">
        <f>IFERROR(__xludf.DUMMYFUNCTION("GOOGLETRANSLATE(A11873, ""de"", ""en"")"),"shh")</f>
        <v>shh</v>
      </c>
    </row>
    <row r="11874">
      <c r="A11874" s="1" t="s">
        <v>11874</v>
      </c>
      <c r="B11874" s="2" t="str">
        <f>IFERROR(__xludf.DUMMYFUNCTION("GOOGLETRANSLATE(A11874, ""de"", ""en"")"),"husbands")</f>
        <v>husbands</v>
      </c>
    </row>
    <row r="11875">
      <c r="A11875" s="1" t="s">
        <v>11875</v>
      </c>
      <c r="B11875" s="2" t="str">
        <f>IFERROR(__xludf.DUMMYFUNCTION("GOOGLETRANSLATE(A11875, ""de"", ""en"")"),"inventor")</f>
        <v>inventor</v>
      </c>
    </row>
    <row r="11876">
      <c r="A11876" s="1" t="s">
        <v>11876</v>
      </c>
      <c r="B11876" s="2" t="str">
        <f>IFERROR(__xludf.DUMMYFUNCTION("GOOGLETRANSLATE(A11876, ""de"", ""en"")"),"force field")</f>
        <v>force field</v>
      </c>
    </row>
    <row r="11877">
      <c r="A11877" s="1" t="s">
        <v>11877</v>
      </c>
      <c r="B11877" s="2" t="str">
        <f>IFERROR(__xludf.DUMMYFUNCTION("GOOGLETRANSLATE(A11877, ""de"", ""en"")"),"invincible")</f>
        <v>invincible</v>
      </c>
    </row>
    <row r="11878">
      <c r="A11878" s="1" t="s">
        <v>11878</v>
      </c>
      <c r="B11878" s="2" t="str">
        <f>IFERROR(__xludf.DUMMYFUNCTION("GOOGLETRANSLATE(A11878, ""de"", ""en"")"),"rivet")</f>
        <v>rivet</v>
      </c>
    </row>
    <row r="11879">
      <c r="A11879" s="1" t="s">
        <v>11879</v>
      </c>
      <c r="B11879" s="2" t="str">
        <f>IFERROR(__xludf.DUMMYFUNCTION("GOOGLETRANSLATE(A11879, ""de"", ""en"")"),"horst")</f>
        <v>horst</v>
      </c>
    </row>
    <row r="11880">
      <c r="A11880" s="1" t="s">
        <v>11880</v>
      </c>
      <c r="B11880" s="2" t="str">
        <f>IFERROR(__xludf.DUMMYFUNCTION("GOOGLETRANSLATE(A11880, ""de"", ""en"")"),"almost")</f>
        <v>almost</v>
      </c>
    </row>
    <row r="11881">
      <c r="A11881" s="1" t="s">
        <v>11881</v>
      </c>
      <c r="B11881" s="2" t="str">
        <f>IFERROR(__xludf.DUMMYFUNCTION("GOOGLETRANSLATE(A11881, ""de"", ""en"")"),"swing")</f>
        <v>swing</v>
      </c>
    </row>
    <row r="11882">
      <c r="A11882" s="1" t="s">
        <v>11882</v>
      </c>
      <c r="B11882" s="2" t="str">
        <f>IFERROR(__xludf.DUMMYFUNCTION("GOOGLETRANSLATE(A11882, ""de"", ""en"")"),"snowing")</f>
        <v>snowing</v>
      </c>
    </row>
    <row r="11883">
      <c r="A11883" s="1" t="s">
        <v>11883</v>
      </c>
      <c r="B11883" s="2" t="str">
        <f>IFERROR(__xludf.DUMMYFUNCTION("GOOGLETRANSLATE(A11883, ""de"", ""en"")"),"sunk")</f>
        <v>sunk</v>
      </c>
    </row>
    <row r="11884">
      <c r="A11884" s="1" t="s">
        <v>11884</v>
      </c>
      <c r="B11884" s="2" t="str">
        <f>IFERROR(__xludf.DUMMYFUNCTION("GOOGLETRANSLATE(A11884, ""de"", ""en"")"),"would be")</f>
        <v>would be</v>
      </c>
    </row>
    <row r="11885">
      <c r="A11885" s="1" t="s">
        <v>11885</v>
      </c>
      <c r="B11885" s="2" t="str">
        <f>IFERROR(__xludf.DUMMYFUNCTION("GOOGLETRANSLATE(A11885, ""de"", ""en"")"),"erika")</f>
        <v>erika</v>
      </c>
    </row>
    <row r="11886">
      <c r="A11886" s="1" t="s">
        <v>11886</v>
      </c>
      <c r="B11886" s="2" t="str">
        <f>IFERROR(__xludf.DUMMYFUNCTION("GOOGLETRANSLATE(A11886, ""de"", ""en"")"),"bridges")</f>
        <v>bridges</v>
      </c>
    </row>
    <row r="11887">
      <c r="A11887" s="1" t="s">
        <v>11887</v>
      </c>
      <c r="B11887" s="2" t="str">
        <f>IFERROR(__xludf.DUMMYFUNCTION("GOOGLETRANSLATE(A11887, ""de"", ""en"")"),"toi")</f>
        <v>toi</v>
      </c>
    </row>
    <row r="11888">
      <c r="A11888" s="1" t="s">
        <v>11888</v>
      </c>
      <c r="B11888" s="2" t="str">
        <f>IFERROR(__xludf.DUMMYFUNCTION("GOOGLETRANSLATE(A11888, ""de"", ""en"")"),"power failure")</f>
        <v>power failure</v>
      </c>
    </row>
    <row r="11889">
      <c r="A11889" s="1" t="s">
        <v>11889</v>
      </c>
      <c r="B11889" s="2" t="str">
        <f>IFERROR(__xludf.DUMMYFUNCTION("GOOGLETRANSLATE(A11889, ""de"", ""en"")"),"target")</f>
        <v>target</v>
      </c>
    </row>
    <row r="11890">
      <c r="A11890" s="1" t="s">
        <v>11890</v>
      </c>
      <c r="B11890" s="2" t="str">
        <f>IFERROR(__xludf.DUMMYFUNCTION("GOOGLETRANSLATE(A11890, ""de"", ""en"")"),"exceed")</f>
        <v>exceed</v>
      </c>
    </row>
    <row r="11891">
      <c r="A11891" s="1" t="s">
        <v>11891</v>
      </c>
      <c r="B11891" s="2" t="str">
        <f>IFERROR(__xludf.DUMMYFUNCTION("GOOGLETRANSLATE(A11891, ""de"", ""en"")"),"bird")</f>
        <v>bird</v>
      </c>
    </row>
    <row r="11892">
      <c r="A11892" s="1" t="s">
        <v>11892</v>
      </c>
      <c r="B11892" s="2" t="str">
        <f>IFERROR(__xludf.DUMMYFUNCTION("GOOGLETRANSLATE(A11892, ""de"", ""en"")"),"chased away")</f>
        <v>chased away</v>
      </c>
    </row>
    <row r="11893">
      <c r="A11893" s="1" t="s">
        <v>11893</v>
      </c>
      <c r="B11893" s="2" t="str">
        <f>IFERROR(__xludf.DUMMYFUNCTION("GOOGLETRANSLATE(A11893, ""de"", ""en"")"),"according to")</f>
        <v>according to</v>
      </c>
    </row>
    <row r="11894">
      <c r="A11894" s="1" t="s">
        <v>11894</v>
      </c>
      <c r="B11894" s="2" t="str">
        <f>IFERROR(__xludf.DUMMYFUNCTION("GOOGLETRANSLATE(A11894, ""de"", ""en"")"),"que")</f>
        <v>que</v>
      </c>
    </row>
    <row r="11895">
      <c r="A11895" s="1" t="s">
        <v>11895</v>
      </c>
      <c r="B11895" s="2" t="str">
        <f>IFERROR(__xludf.DUMMYFUNCTION("GOOGLETRANSLATE(A11895, ""de"", ""en"")"),"sink")</f>
        <v>sink</v>
      </c>
    </row>
    <row r="11896">
      <c r="A11896" s="1" t="s">
        <v>11896</v>
      </c>
      <c r="B11896" s="2" t="str">
        <f>IFERROR(__xludf.DUMMYFUNCTION("GOOGLETRANSLATE(A11896, ""de"", ""en"")"),"support financially")</f>
        <v>support financially</v>
      </c>
    </row>
    <row r="11897">
      <c r="A11897" s="1" t="s">
        <v>11897</v>
      </c>
      <c r="B11897" s="2" t="str">
        <f>IFERROR(__xludf.DUMMYFUNCTION("GOOGLETRANSLATE(A11897, ""de"", ""en"")"),"customer")</f>
        <v>customer</v>
      </c>
    </row>
    <row r="11898">
      <c r="A11898" s="1" t="s">
        <v>11898</v>
      </c>
      <c r="B11898" s="2" t="str">
        <f>IFERROR(__xludf.DUMMYFUNCTION("GOOGLETRANSLATE(A11898, ""de"", ""en"")"),"enzo")</f>
        <v>enzo</v>
      </c>
    </row>
    <row r="11899">
      <c r="A11899" s="1" t="s">
        <v>11899</v>
      </c>
      <c r="B11899" s="2" t="str">
        <f>IFERROR(__xludf.DUMMYFUNCTION("GOOGLETRANSLATE(A11899, ""de"", ""en"")"),"porter")</f>
        <v>porter</v>
      </c>
    </row>
    <row r="11900">
      <c r="A11900" s="1" t="s">
        <v>11900</v>
      </c>
      <c r="B11900" s="2" t="str">
        <f>IFERROR(__xludf.DUMMYFUNCTION("GOOGLETRANSLATE(A11900, ""de"", ""en"")"),"smell")</f>
        <v>smell</v>
      </c>
    </row>
    <row r="11901">
      <c r="A11901" s="1" t="s">
        <v>11901</v>
      </c>
      <c r="B11901" s="2" t="str">
        <f>IFERROR(__xludf.DUMMYFUNCTION("GOOGLETRANSLATE(A11901, ""de"", ""en"")"),"observer")</f>
        <v>observer</v>
      </c>
    </row>
    <row r="11902">
      <c r="A11902" s="1" t="s">
        <v>11902</v>
      </c>
      <c r="B11902" s="2" t="str">
        <f>IFERROR(__xludf.DUMMYFUNCTION("GOOGLETRANSLATE(A11902, ""de"", ""en"")"),"bury")</f>
        <v>bury</v>
      </c>
    </row>
    <row r="11903">
      <c r="A11903" s="1" t="s">
        <v>11903</v>
      </c>
      <c r="B11903" s="2" t="str">
        <f>IFERROR(__xludf.DUMMYFUNCTION("GOOGLETRANSLATE(A11903, ""de"", ""en"")"),"see below")</f>
        <v>see below</v>
      </c>
    </row>
    <row r="11904">
      <c r="A11904" s="1" t="s">
        <v>11904</v>
      </c>
      <c r="B11904" s="2" t="str">
        <f>IFERROR(__xludf.DUMMYFUNCTION("GOOGLETRANSLATE(A11904, ""de"", ""en"")"),"crucial")</f>
        <v>crucial</v>
      </c>
    </row>
    <row r="11905">
      <c r="A11905" s="1" t="s">
        <v>11905</v>
      </c>
      <c r="B11905" s="2" t="str">
        <f>IFERROR(__xludf.DUMMYFUNCTION("GOOGLETRANSLATE(A11905, ""de"", ""en"")"),"stuff")</f>
        <v>stuff</v>
      </c>
    </row>
    <row r="11906">
      <c r="A11906" s="1" t="s">
        <v>11906</v>
      </c>
      <c r="B11906" s="2" t="str">
        <f>IFERROR(__xludf.DUMMYFUNCTION("GOOGLETRANSLATE(A11906, ""de"", ""en"")"),"lorraine")</f>
        <v>lorraine</v>
      </c>
    </row>
    <row r="11907">
      <c r="A11907" s="1" t="s">
        <v>11907</v>
      </c>
      <c r="B11907" s="2" t="str">
        <f>IFERROR(__xludf.DUMMYFUNCTION("GOOGLETRANSLATE(A11907, ""de"", ""en"")"),"to pronounce")</f>
        <v>to pronounce</v>
      </c>
    </row>
    <row r="11908">
      <c r="A11908" s="1" t="s">
        <v>11908</v>
      </c>
      <c r="B11908" s="2" t="str">
        <f>IFERROR(__xludf.DUMMYFUNCTION("GOOGLETRANSLATE(A11908, ""de"", ""en"")"),"gerard")</f>
        <v>gerard</v>
      </c>
    </row>
    <row r="11909">
      <c r="A11909" s="1" t="s">
        <v>11909</v>
      </c>
      <c r="B11909" s="2" t="str">
        <f>IFERROR(__xludf.DUMMYFUNCTION("GOOGLETRANSLATE(A11909, ""de"", ""en"")"),"Dani")</f>
        <v>Dani</v>
      </c>
    </row>
    <row r="11910">
      <c r="A11910" s="1" t="s">
        <v>11910</v>
      </c>
      <c r="B11910" s="2" t="str">
        <f>IFERROR(__xludf.DUMMYFUNCTION("GOOGLETRANSLATE(A11910, ""de"", ""en"")"),"zoom")</f>
        <v>zoom</v>
      </c>
    </row>
    <row r="11911">
      <c r="A11911" s="1" t="s">
        <v>11911</v>
      </c>
      <c r="B11911" s="2" t="str">
        <f>IFERROR(__xludf.DUMMYFUNCTION("GOOGLETRANSLATE(A11911, ""de"", ""en"")"),"brilliant")</f>
        <v>brilliant</v>
      </c>
    </row>
    <row r="11912">
      <c r="A11912" s="1" t="s">
        <v>11912</v>
      </c>
      <c r="B11912" s="2" t="str">
        <f>IFERROR(__xludf.DUMMYFUNCTION("GOOGLETRANSLATE(A11912, ""de"", ""en"")"),"our")</f>
        <v>our</v>
      </c>
    </row>
    <row r="11913">
      <c r="A11913" s="1" t="s">
        <v>11913</v>
      </c>
      <c r="B11913" s="2" t="str">
        <f>IFERROR(__xludf.DUMMYFUNCTION("GOOGLETRANSLATE(A11913, ""de"", ""en"")"),"entrance")</f>
        <v>entrance</v>
      </c>
    </row>
    <row r="11914">
      <c r="A11914" s="1" t="s">
        <v>11914</v>
      </c>
      <c r="B11914" s="2" t="str">
        <f>IFERROR(__xludf.DUMMYFUNCTION("GOOGLETRANSLATE(A11914, ""de"", ""en"")"),"emotional")</f>
        <v>emotional</v>
      </c>
    </row>
    <row r="11915">
      <c r="A11915" s="1" t="s">
        <v>11915</v>
      </c>
      <c r="B11915" s="2" t="str">
        <f>IFERROR(__xludf.DUMMYFUNCTION("GOOGLETRANSLATE(A11915, ""de"", ""en"")"),"comments")</f>
        <v>comments</v>
      </c>
    </row>
    <row r="11916">
      <c r="A11916" s="1" t="s">
        <v>11916</v>
      </c>
      <c r="B11916" s="2" t="str">
        <f>IFERROR(__xludf.DUMMYFUNCTION("GOOGLETRANSLATE(A11916, ""de"", ""en"")"),"broke")</f>
        <v>broke</v>
      </c>
    </row>
    <row r="11917">
      <c r="A11917" s="1" t="s">
        <v>11917</v>
      </c>
      <c r="B11917" s="2" t="str">
        <f>IFERROR(__xludf.DUMMYFUNCTION("GOOGLETRANSLATE(A11917, ""de"", ""en"")"),"perfume")</f>
        <v>perfume</v>
      </c>
    </row>
    <row r="11918">
      <c r="A11918" s="1" t="s">
        <v>11918</v>
      </c>
      <c r="B11918" s="2" t="str">
        <f>IFERROR(__xludf.DUMMYFUNCTION("GOOGLETRANSLATE(A11918, ""de"", ""en"")"),"roms")</f>
        <v>roms</v>
      </c>
    </row>
    <row r="11919">
      <c r="A11919" s="1" t="s">
        <v>11919</v>
      </c>
      <c r="B11919" s="2" t="str">
        <f>IFERROR(__xludf.DUMMYFUNCTION("GOOGLETRANSLATE(A11919, ""de"", ""en"")"),"average")</f>
        <v>average</v>
      </c>
    </row>
    <row r="11920">
      <c r="A11920" s="1" t="s">
        <v>11920</v>
      </c>
      <c r="B11920" s="2" t="str">
        <f>IFERROR(__xludf.DUMMYFUNCTION("GOOGLETRANSLATE(A11920, ""de"", ""en"")"),"gambling")</f>
        <v>gambling</v>
      </c>
    </row>
    <row r="11921">
      <c r="A11921" s="1" t="s">
        <v>11921</v>
      </c>
      <c r="B11921" s="2" t="str">
        <f>IFERROR(__xludf.DUMMYFUNCTION("GOOGLETRANSLATE(A11921, ""de"", ""en"")"),"birthday party")</f>
        <v>birthday party</v>
      </c>
    </row>
    <row r="11922">
      <c r="A11922" s="1" t="s">
        <v>11922</v>
      </c>
      <c r="B11922" s="2" t="str">
        <f>IFERROR(__xludf.DUMMYFUNCTION("GOOGLETRANSLATE(A11922, ""de"", ""en"")"),"Cadillac")</f>
        <v>Cadillac</v>
      </c>
    </row>
    <row r="11923">
      <c r="A11923" s="1" t="s">
        <v>11923</v>
      </c>
      <c r="B11923" s="2" t="str">
        <f>IFERROR(__xludf.DUMMYFUNCTION("GOOGLETRANSLATE(A11923, ""de"", ""en"")"),"highlighted")</f>
        <v>highlighted</v>
      </c>
    </row>
    <row r="11924">
      <c r="A11924" s="1" t="s">
        <v>11924</v>
      </c>
      <c r="B11924" s="2" t="str">
        <f>IFERROR(__xludf.DUMMYFUNCTION("GOOGLETRANSLATE(A11924, ""de"", ""en"")"),"impaired")</f>
        <v>impaired</v>
      </c>
    </row>
    <row r="11925">
      <c r="A11925" s="1" t="s">
        <v>11925</v>
      </c>
      <c r="B11925" s="2" t="str">
        <f>IFERROR(__xludf.DUMMYFUNCTION("GOOGLETRANSLATE(A11925, ""de"", ""en"")"),"feel")</f>
        <v>feel</v>
      </c>
    </row>
    <row r="11926">
      <c r="A11926" s="1" t="s">
        <v>11926</v>
      </c>
      <c r="B11926" s="2" t="str">
        <f>IFERROR(__xludf.DUMMYFUNCTION("GOOGLETRANSLATE(A11926, ""de"", ""en"")"),"game")</f>
        <v>game</v>
      </c>
    </row>
    <row r="11927">
      <c r="A11927" s="1" t="s">
        <v>11927</v>
      </c>
      <c r="B11927" s="2" t="str">
        <f>IFERROR(__xludf.DUMMYFUNCTION("GOOGLETRANSLATE(A11927, ""de"", ""en"")"),"accept")</f>
        <v>accept</v>
      </c>
    </row>
    <row r="11928">
      <c r="A11928" s="1" t="s">
        <v>11928</v>
      </c>
      <c r="B11928" s="2" t="str">
        <f>IFERROR(__xludf.DUMMYFUNCTION("GOOGLETRANSLATE(A11928, ""de"", ""en"")"),"registered")</f>
        <v>registered</v>
      </c>
    </row>
    <row r="11929">
      <c r="A11929" s="1" t="s">
        <v>11929</v>
      </c>
      <c r="B11929" s="2" t="str">
        <f>IFERROR(__xludf.DUMMYFUNCTION("GOOGLETRANSLATE(A11929, ""de"", ""en"")"),"jumps")</f>
        <v>jumps</v>
      </c>
    </row>
    <row r="11930">
      <c r="A11930" s="1" t="s">
        <v>11930</v>
      </c>
      <c r="B11930" s="2" t="str">
        <f>IFERROR(__xludf.DUMMYFUNCTION("GOOGLETRANSLATE(A11930, ""de"", ""en"")"),"joker")</f>
        <v>joker</v>
      </c>
    </row>
    <row r="11931">
      <c r="A11931" s="1" t="s">
        <v>11931</v>
      </c>
      <c r="B11931" s="2" t="str">
        <f>IFERROR(__xludf.DUMMYFUNCTION("GOOGLETRANSLATE(A11931, ""de"", ""en"")"),"torpedoes")</f>
        <v>torpedoes</v>
      </c>
    </row>
    <row r="11932">
      <c r="A11932" s="1" t="s">
        <v>11932</v>
      </c>
      <c r="B11932" s="2" t="str">
        <f>IFERROR(__xludf.DUMMYFUNCTION("GOOGLETRANSLATE(A11932, ""de"", ""en"")"),"prove")</f>
        <v>prove</v>
      </c>
    </row>
    <row r="11933">
      <c r="A11933" s="1" t="s">
        <v>11933</v>
      </c>
      <c r="B11933" s="2" t="str">
        <f>IFERROR(__xludf.DUMMYFUNCTION("GOOGLETRANSLATE(A11933, ""de"", ""en"")"),"xavier")</f>
        <v>xavier</v>
      </c>
    </row>
    <row r="11934">
      <c r="A11934" s="1" t="s">
        <v>11934</v>
      </c>
      <c r="B11934" s="2" t="str">
        <f>IFERROR(__xludf.DUMMYFUNCTION("GOOGLETRANSLATE(A11934, ""de"", ""en"")"),"Belgium")</f>
        <v>Belgium</v>
      </c>
    </row>
    <row r="11935">
      <c r="A11935" s="1" t="s">
        <v>11935</v>
      </c>
      <c r="B11935" s="2" t="str">
        <f>IFERROR(__xludf.DUMMYFUNCTION("GOOGLETRANSLATE(A11935, ""de"", ""en"")"),"rouge")</f>
        <v>rouge</v>
      </c>
    </row>
    <row r="11936">
      <c r="A11936" s="1" t="s">
        <v>11936</v>
      </c>
      <c r="B11936" s="2" t="str">
        <f>IFERROR(__xludf.DUMMYFUNCTION("GOOGLETRANSLATE(A11936, ""de"", ""en"")"),"darius")</f>
        <v>darius</v>
      </c>
    </row>
    <row r="11937">
      <c r="A11937" s="1" t="s">
        <v>11937</v>
      </c>
      <c r="B11937" s="2" t="str">
        <f>IFERROR(__xludf.DUMMYFUNCTION("GOOGLETRANSLATE(A11937, ""de"", ""en"")"),"hypnosis")</f>
        <v>hypnosis</v>
      </c>
    </row>
    <row r="11938">
      <c r="A11938" s="1" t="s">
        <v>11938</v>
      </c>
      <c r="B11938" s="2" t="str">
        <f>IFERROR(__xludf.DUMMYFUNCTION("GOOGLETRANSLATE(A11938, ""de"", ""en"")"),"faced")</f>
        <v>faced</v>
      </c>
    </row>
    <row r="11939">
      <c r="A11939" s="1" t="s">
        <v>11939</v>
      </c>
      <c r="B11939" s="2" t="str">
        <f>IFERROR(__xludf.DUMMYFUNCTION("GOOGLETRANSLATE(A11939, ""de"", ""en"")"),"targeted")</f>
        <v>targeted</v>
      </c>
    </row>
    <row r="11940">
      <c r="A11940" s="1" t="s">
        <v>11940</v>
      </c>
      <c r="B11940" s="2" t="str">
        <f>IFERROR(__xludf.DUMMYFUNCTION("GOOGLETRANSLATE(A11940, ""de"", ""en"")"),"acting")</f>
        <v>acting</v>
      </c>
    </row>
    <row r="11941">
      <c r="A11941" s="1" t="s">
        <v>11941</v>
      </c>
      <c r="B11941" s="2" t="str">
        <f>IFERROR(__xludf.DUMMYFUNCTION("GOOGLETRANSLATE(A11941, ""de"", ""en"")"),"murmur")</f>
        <v>murmur</v>
      </c>
    </row>
    <row r="11942">
      <c r="A11942" s="1" t="s">
        <v>11942</v>
      </c>
      <c r="B11942" s="2" t="str">
        <f>IFERROR(__xludf.DUMMYFUNCTION("GOOGLETRANSLATE(A11942, ""de"", ""en"")"),"ultimate")</f>
        <v>ultimate</v>
      </c>
    </row>
    <row r="11943">
      <c r="A11943" s="1" t="s">
        <v>11943</v>
      </c>
      <c r="B11943" s="2" t="str">
        <f>IFERROR(__xludf.DUMMYFUNCTION("GOOGLETRANSLATE(A11943, ""de"", ""en"")"),"sent away")</f>
        <v>sent away</v>
      </c>
    </row>
    <row r="11944">
      <c r="A11944" s="1" t="s">
        <v>11944</v>
      </c>
      <c r="B11944" s="2" t="str">
        <f>IFERROR(__xludf.DUMMYFUNCTION("GOOGLETRANSLATE(A11944, ""de"", ""en"")"),"governments")</f>
        <v>governments</v>
      </c>
    </row>
    <row r="11945">
      <c r="A11945" s="1" t="s">
        <v>11945</v>
      </c>
      <c r="B11945" s="2" t="str">
        <f>IFERROR(__xludf.DUMMYFUNCTION("GOOGLETRANSLATE(A11945, ""de"", ""en"")"),"peanuts")</f>
        <v>peanuts</v>
      </c>
    </row>
    <row r="11946">
      <c r="A11946" s="1" t="s">
        <v>11946</v>
      </c>
      <c r="B11946" s="2" t="str">
        <f>IFERROR(__xludf.DUMMYFUNCTION("GOOGLETRANSLATE(A11946, ""de"", ""en"")"),"missy")</f>
        <v>missy</v>
      </c>
    </row>
    <row r="11947">
      <c r="A11947" s="1" t="s">
        <v>11947</v>
      </c>
      <c r="B11947" s="2" t="str">
        <f>IFERROR(__xludf.DUMMYFUNCTION("GOOGLETRANSLATE(A11947, ""de"", ""en"")"),"joyride")</f>
        <v>joyride</v>
      </c>
    </row>
    <row r="11948">
      <c r="A11948" s="1" t="s">
        <v>11948</v>
      </c>
      <c r="B11948" s="2" t="str">
        <f>IFERROR(__xludf.DUMMYFUNCTION("GOOGLETRANSLATE(A11948, ""de"", ""en"")"),"bounty hunter")</f>
        <v>bounty hunter</v>
      </c>
    </row>
    <row r="11949">
      <c r="A11949" s="1" t="s">
        <v>11949</v>
      </c>
      <c r="B11949" s="2" t="str">
        <f>IFERROR(__xludf.DUMMYFUNCTION("GOOGLETRANSLATE(A11949, ""de"", ""en"")"),"invitations")</f>
        <v>invitations</v>
      </c>
    </row>
    <row r="11950">
      <c r="A11950" s="1" t="s">
        <v>11950</v>
      </c>
      <c r="B11950" s="2" t="str">
        <f>IFERROR(__xludf.DUMMYFUNCTION("GOOGLETRANSLATE(A11950, ""de"", ""en"")"),"dress")</f>
        <v>dress</v>
      </c>
    </row>
    <row r="11951">
      <c r="A11951" s="1" t="s">
        <v>11951</v>
      </c>
      <c r="B11951" s="2" t="str">
        <f>IFERROR(__xludf.DUMMYFUNCTION("GOOGLETRANSLATE(A11951, ""de"", ""en"")"),"mm-hm")</f>
        <v>mm-hm</v>
      </c>
    </row>
    <row r="11952">
      <c r="A11952" s="1" t="s">
        <v>11952</v>
      </c>
      <c r="B11952" s="2" t="str">
        <f>IFERROR(__xludf.DUMMYFUNCTION("GOOGLETRANSLATE(A11952, ""de"", ""en"")"),"chicken")</f>
        <v>chicken</v>
      </c>
    </row>
    <row r="11953">
      <c r="A11953" s="1" t="s">
        <v>11953</v>
      </c>
      <c r="B11953" s="2" t="str">
        <f>IFERROR(__xludf.DUMMYFUNCTION("GOOGLETRANSLATE(A11953, ""de"", ""en"")"),"hawk")</f>
        <v>hawk</v>
      </c>
    </row>
    <row r="11954">
      <c r="A11954" s="1" t="s">
        <v>11954</v>
      </c>
      <c r="B11954" s="2" t="str">
        <f>IFERROR(__xludf.DUMMYFUNCTION("GOOGLETRANSLATE(A11954, ""de"", ""en"")"),"quarterback")</f>
        <v>quarterback</v>
      </c>
    </row>
    <row r="11955">
      <c r="A11955" s="1" t="s">
        <v>11955</v>
      </c>
      <c r="B11955" s="2" t="str">
        <f>IFERROR(__xludf.DUMMYFUNCTION("GOOGLETRANSLATE(A11955, ""de"", ""en"")"),"bald")</f>
        <v>bald</v>
      </c>
    </row>
    <row r="11956">
      <c r="A11956" s="1" t="s">
        <v>11956</v>
      </c>
      <c r="B11956" s="2" t="str">
        <f>IFERROR(__xludf.DUMMYFUNCTION("GOOGLETRANSLATE(A11956, ""de"", ""en"")"),"systems")</f>
        <v>systems</v>
      </c>
    </row>
    <row r="11957">
      <c r="A11957" s="1" t="s">
        <v>11957</v>
      </c>
      <c r="B11957" s="2" t="str">
        <f>IFERROR(__xludf.DUMMYFUNCTION("GOOGLETRANSLATE(A11957, ""de"", ""en"")"),"vain")</f>
        <v>vain</v>
      </c>
    </row>
    <row r="11958">
      <c r="A11958" s="1" t="s">
        <v>11958</v>
      </c>
      <c r="B11958" s="2" t="str">
        <f>IFERROR(__xludf.DUMMYFUNCTION("GOOGLETRANSLATE(A11958, ""de"", ""en"")"),"mouse")</f>
        <v>mouse</v>
      </c>
    </row>
    <row r="11959">
      <c r="A11959" s="1" t="s">
        <v>11959</v>
      </c>
      <c r="B11959" s="2" t="str">
        <f>IFERROR(__xludf.DUMMYFUNCTION("GOOGLETRANSLATE(A11959, ""de"", ""en"")"),"delivered")</f>
        <v>delivered</v>
      </c>
    </row>
    <row r="11960">
      <c r="A11960" s="1" t="s">
        <v>11960</v>
      </c>
      <c r="B11960" s="2" t="str">
        <f>IFERROR(__xludf.DUMMYFUNCTION("GOOGLETRANSLATE(A11960, ""de"", ""en"")"),"decipher")</f>
        <v>decipher</v>
      </c>
    </row>
    <row r="11961">
      <c r="A11961" s="1" t="s">
        <v>11961</v>
      </c>
      <c r="B11961" s="2" t="str">
        <f>IFERROR(__xludf.DUMMYFUNCTION("GOOGLETRANSLATE(A11961, ""de"", ""en"")"),"guys")</f>
        <v>guys</v>
      </c>
    </row>
    <row r="11962">
      <c r="A11962" s="1" t="s">
        <v>11962</v>
      </c>
      <c r="B11962" s="2" t="str">
        <f>IFERROR(__xludf.DUMMYFUNCTION("GOOGLETRANSLATE(A11962, ""de"", ""en"")"),"draw")</f>
        <v>draw</v>
      </c>
    </row>
    <row r="11963">
      <c r="A11963" s="1" t="s">
        <v>11963</v>
      </c>
      <c r="B11963" s="2" t="str">
        <f>IFERROR(__xludf.DUMMYFUNCTION("GOOGLETRANSLATE(A11963, ""de"", ""en"")"),"sold out")</f>
        <v>sold out</v>
      </c>
    </row>
    <row r="11964">
      <c r="A11964" s="1" t="s">
        <v>11964</v>
      </c>
      <c r="B11964" s="2" t="str">
        <f>IFERROR(__xludf.DUMMYFUNCTION("GOOGLETRANSLATE(A11964, ""de"", ""en"")"),"four times")</f>
        <v>four times</v>
      </c>
    </row>
    <row r="11965">
      <c r="A11965" s="1" t="s">
        <v>11965</v>
      </c>
      <c r="B11965" s="2" t="str">
        <f>IFERROR(__xludf.DUMMYFUNCTION("GOOGLETRANSLATE(A11965, ""de"", ""en"")"),"fargo")</f>
        <v>fargo</v>
      </c>
    </row>
    <row r="11966">
      <c r="A11966" s="1" t="s">
        <v>11966</v>
      </c>
      <c r="B11966" s="2" t="str">
        <f>IFERROR(__xludf.DUMMYFUNCTION("GOOGLETRANSLATE(A11966, ""de"", ""en"")"),"increased")</f>
        <v>increased</v>
      </c>
    </row>
    <row r="11967">
      <c r="A11967" s="1" t="s">
        <v>11967</v>
      </c>
      <c r="B11967" s="2" t="str">
        <f>IFERROR(__xludf.DUMMYFUNCTION("GOOGLETRANSLATE(A11967, ""de"", ""en"")"),"peoples")</f>
        <v>peoples</v>
      </c>
    </row>
    <row r="11968">
      <c r="A11968" s="1" t="s">
        <v>11968</v>
      </c>
      <c r="B11968" s="2" t="str">
        <f>IFERROR(__xludf.DUMMYFUNCTION("GOOGLETRANSLATE(A11968, ""de"", ""en"")"),"migraine")</f>
        <v>migraine</v>
      </c>
    </row>
    <row r="11969">
      <c r="A11969" s="1" t="s">
        <v>11969</v>
      </c>
      <c r="B11969" s="2" t="str">
        <f>IFERROR(__xludf.DUMMYFUNCTION("GOOGLETRANSLATE(A11969, ""de"", ""en"")"),"eddy")</f>
        <v>eddy</v>
      </c>
    </row>
    <row r="11970">
      <c r="A11970" s="1" t="s">
        <v>11970</v>
      </c>
      <c r="B11970" s="2" t="str">
        <f>IFERROR(__xludf.DUMMYFUNCTION("GOOGLETRANSLATE(A11970, ""de"", ""en"")"),"double")</f>
        <v>double</v>
      </c>
    </row>
    <row r="11971">
      <c r="A11971" s="1" t="s">
        <v>11971</v>
      </c>
      <c r="B11971" s="2" t="str">
        <f>IFERROR(__xludf.DUMMYFUNCTION("GOOGLETRANSLATE(A11971, ""de"", ""en"")"),"redhead")</f>
        <v>redhead</v>
      </c>
    </row>
    <row r="11972">
      <c r="A11972" s="1" t="s">
        <v>11972</v>
      </c>
      <c r="B11972" s="2" t="str">
        <f>IFERROR(__xludf.DUMMYFUNCTION("GOOGLETRANSLATE(A11972, ""de"", ""en"")"),"Memphis")</f>
        <v>Memphis</v>
      </c>
    </row>
    <row r="11973">
      <c r="A11973" s="1" t="s">
        <v>11973</v>
      </c>
      <c r="B11973" s="2" t="str">
        <f>IFERROR(__xludf.DUMMYFUNCTION("GOOGLETRANSLATE(A11973, ""de"", ""en"")"),"applied")</f>
        <v>applied</v>
      </c>
    </row>
    <row r="11974">
      <c r="A11974" s="1" t="s">
        <v>11974</v>
      </c>
      <c r="B11974" s="2" t="str">
        <f>IFERROR(__xludf.DUMMYFUNCTION("GOOGLETRANSLATE(A11974, ""de"", ""en"")"),"go down")</f>
        <v>go down</v>
      </c>
    </row>
    <row r="11975">
      <c r="A11975" s="1" t="s">
        <v>11975</v>
      </c>
      <c r="B11975" s="2" t="str">
        <f>IFERROR(__xludf.DUMMYFUNCTION("GOOGLETRANSLATE(A11975, ""de"", ""en"")"),"lakes")</f>
        <v>lakes</v>
      </c>
    </row>
    <row r="11976">
      <c r="A11976" s="1" t="s">
        <v>11976</v>
      </c>
      <c r="B11976" s="2" t="str">
        <f>IFERROR(__xludf.DUMMYFUNCTION("GOOGLETRANSLATE(A11976, ""de"", ""en"")"),"amnesia")</f>
        <v>amnesia</v>
      </c>
    </row>
    <row r="11977">
      <c r="A11977" s="1" t="s">
        <v>11977</v>
      </c>
      <c r="B11977" s="2" t="str">
        <f>IFERROR(__xludf.DUMMYFUNCTION("GOOGLETRANSLATE(A11977, ""de"", ""en"")"),"to set")</f>
        <v>to set</v>
      </c>
    </row>
    <row r="11978">
      <c r="A11978" s="1" t="s">
        <v>11978</v>
      </c>
      <c r="B11978" s="2" t="str">
        <f>IFERROR(__xludf.DUMMYFUNCTION("GOOGLETRANSLATE(A11978, ""de"", ""en"")"),"mean")</f>
        <v>mean</v>
      </c>
    </row>
    <row r="11979">
      <c r="A11979" s="1" t="s">
        <v>11979</v>
      </c>
      <c r="B11979" s="2" t="str">
        <f>IFERROR(__xludf.DUMMYFUNCTION("GOOGLETRANSLATE(A11979, ""de"", ""en"")"),"steaks")</f>
        <v>steaks</v>
      </c>
    </row>
    <row r="11980">
      <c r="A11980" s="1" t="s">
        <v>11980</v>
      </c>
      <c r="B11980" s="2" t="str">
        <f>IFERROR(__xludf.DUMMYFUNCTION("GOOGLETRANSLATE(A11980, ""de"", ""en"")"),"recipient")</f>
        <v>recipient</v>
      </c>
    </row>
    <row r="11981">
      <c r="A11981" s="1" t="s">
        <v>11981</v>
      </c>
      <c r="B11981" s="2" t="str">
        <f>IFERROR(__xludf.DUMMYFUNCTION("GOOGLETRANSLATE(A11981, ""de"", ""en"")"),"phone book")</f>
        <v>phone book</v>
      </c>
    </row>
    <row r="11982">
      <c r="A11982" s="1" t="s">
        <v>11982</v>
      </c>
      <c r="B11982" s="2" t="str">
        <f>IFERROR(__xludf.DUMMYFUNCTION("GOOGLETRANSLATE(A11982, ""de"", ""en"")"),"masses")</f>
        <v>masses</v>
      </c>
    </row>
    <row r="11983">
      <c r="A11983" s="1" t="s">
        <v>11983</v>
      </c>
      <c r="B11983" s="2" t="str">
        <f>IFERROR(__xludf.DUMMYFUNCTION("GOOGLETRANSLATE(A11983, ""de"", ""en"")"),"demonstration")</f>
        <v>demonstration</v>
      </c>
    </row>
    <row r="11984">
      <c r="A11984" s="1" t="s">
        <v>11984</v>
      </c>
      <c r="B11984" s="2" t="str">
        <f>IFERROR(__xludf.DUMMYFUNCTION("GOOGLETRANSLATE(A11984, ""de"", ""en"")"),"cheese")</f>
        <v>cheese</v>
      </c>
    </row>
    <row r="11985">
      <c r="A11985" s="1" t="s">
        <v>11985</v>
      </c>
      <c r="B11985" s="2" t="str">
        <f>IFERROR(__xludf.DUMMYFUNCTION("GOOGLETRANSLATE(A11985, ""de"", ""en"")"),"requested")</f>
        <v>requested</v>
      </c>
    </row>
    <row r="11986">
      <c r="A11986" s="1" t="s">
        <v>11986</v>
      </c>
      <c r="B11986" s="2" t="str">
        <f>IFERROR(__xludf.DUMMYFUNCTION("GOOGLETRANSLATE(A11986, ""de"", ""en"")"),"Royce")</f>
        <v>Royce</v>
      </c>
    </row>
    <row r="11987">
      <c r="A11987" s="1" t="s">
        <v>11987</v>
      </c>
      <c r="B11987" s="2" t="str">
        <f>IFERROR(__xludf.DUMMYFUNCTION("GOOGLETRANSLATE(A11987, ""de"", ""en"")"),"heinz")</f>
        <v>heinz</v>
      </c>
    </row>
    <row r="11988">
      <c r="A11988" s="1" t="s">
        <v>11988</v>
      </c>
      <c r="B11988" s="2" t="str">
        <f>IFERROR(__xludf.DUMMYFUNCTION("GOOGLETRANSLATE(A11988, ""de"", ""en"")"),"witchcraft")</f>
        <v>witchcraft</v>
      </c>
    </row>
    <row r="11989">
      <c r="A11989" s="1" t="s">
        <v>11989</v>
      </c>
      <c r="B11989" s="2" t="str">
        <f>IFERROR(__xludf.DUMMYFUNCTION("GOOGLETRANSLATE(A11989, ""de"", ""en"")"),"scapegoat")</f>
        <v>scapegoat</v>
      </c>
    </row>
    <row r="11990">
      <c r="A11990" s="1" t="s">
        <v>11990</v>
      </c>
      <c r="B11990" s="2" t="str">
        <f>IFERROR(__xludf.DUMMYFUNCTION("GOOGLETRANSLATE(A11990, ""de"", ""en"")"),"Asia")</f>
        <v>Asia</v>
      </c>
    </row>
    <row r="11991">
      <c r="A11991" s="1" t="s">
        <v>11991</v>
      </c>
      <c r="B11991" s="2" t="str">
        <f>IFERROR(__xludf.DUMMYFUNCTION("GOOGLETRANSLATE(A11991, ""de"", ""en"")"),"copied")</f>
        <v>copied</v>
      </c>
    </row>
    <row r="11992">
      <c r="A11992" s="1" t="s">
        <v>11992</v>
      </c>
      <c r="B11992" s="2" t="str">
        <f>IFERROR(__xludf.DUMMYFUNCTION("GOOGLETRANSLATE(A11992, ""de"", ""en"")"),"astronaut")</f>
        <v>astronaut</v>
      </c>
    </row>
    <row r="11993">
      <c r="A11993" s="1" t="s">
        <v>11993</v>
      </c>
      <c r="B11993" s="2" t="str">
        <f>IFERROR(__xludf.DUMMYFUNCTION("GOOGLETRANSLATE(A11993, ""de"", ""en"")"),"intruders")</f>
        <v>intruders</v>
      </c>
    </row>
    <row r="11994">
      <c r="A11994" s="1" t="s">
        <v>11994</v>
      </c>
      <c r="B11994" s="2" t="str">
        <f>IFERROR(__xludf.DUMMYFUNCTION("GOOGLETRANSLATE(A11994, ""de"", ""en"")"),"behave")</f>
        <v>behave</v>
      </c>
    </row>
    <row r="11995">
      <c r="A11995" s="1" t="s">
        <v>11995</v>
      </c>
      <c r="B11995" s="2" t="str">
        <f>IFERROR(__xludf.DUMMYFUNCTION("GOOGLETRANSLATE(A11995, ""de"", ""en"")"),"bosses")</f>
        <v>bosses</v>
      </c>
    </row>
    <row r="11996">
      <c r="A11996" s="1" t="s">
        <v>11996</v>
      </c>
      <c r="B11996" s="2" t="str">
        <f>IFERROR(__xludf.DUMMYFUNCTION("GOOGLETRANSLATE(A11996, ""de"", ""en"")"),"to give away")</f>
        <v>to give away</v>
      </c>
    </row>
    <row r="11997">
      <c r="A11997" s="1" t="s">
        <v>11997</v>
      </c>
      <c r="B11997" s="2" t="str">
        <f>IFERROR(__xludf.DUMMYFUNCTION("GOOGLETRANSLATE(A11997, ""de"", ""en"")"),"ice")</f>
        <v>ice</v>
      </c>
    </row>
    <row r="11998">
      <c r="A11998" s="1" t="s">
        <v>11998</v>
      </c>
      <c r="B11998" s="2" t="str">
        <f>IFERROR(__xludf.DUMMYFUNCTION("GOOGLETRANSLATE(A11998, ""de"", ""en"")"),"genetically")</f>
        <v>genetically</v>
      </c>
    </row>
    <row r="11999">
      <c r="A11999" s="1" t="s">
        <v>11999</v>
      </c>
      <c r="B11999" s="2" t="str">
        <f>IFERROR(__xludf.DUMMYFUNCTION("GOOGLETRANSLATE(A11999, ""de"", ""en"")"),"decent")</f>
        <v>decent</v>
      </c>
    </row>
    <row r="12000">
      <c r="A12000" s="1" t="s">
        <v>12000</v>
      </c>
      <c r="B12000" s="2" t="str">
        <f>IFERROR(__xludf.DUMMYFUNCTION("GOOGLETRANSLATE(A12000, ""de"", ""en"")"),"smile")</f>
        <v>smile</v>
      </c>
    </row>
    <row r="12001">
      <c r="A12001" s="1" t="s">
        <v>12001</v>
      </c>
      <c r="B12001" s="2" t="str">
        <f>IFERROR(__xludf.DUMMYFUNCTION("GOOGLETRANSLATE(A12001, ""de"", ""en"")"),"davina")</f>
        <v>davina</v>
      </c>
    </row>
    <row r="12002">
      <c r="A12002" s="1" t="s">
        <v>12002</v>
      </c>
      <c r="B12002" s="2" t="str">
        <f>IFERROR(__xludf.DUMMYFUNCTION("GOOGLETRANSLATE(A12002, ""de"", ""en"")"),"weekends")</f>
        <v>weekends</v>
      </c>
    </row>
    <row r="12003">
      <c r="A12003" s="1" t="s">
        <v>12003</v>
      </c>
      <c r="B12003" s="2" t="str">
        <f>IFERROR(__xludf.DUMMYFUNCTION("GOOGLETRANSLATE(A12003, ""de"", ""en"")"),"eyebrows")</f>
        <v>eyebrows</v>
      </c>
    </row>
    <row r="12004">
      <c r="A12004" s="1" t="s">
        <v>12004</v>
      </c>
      <c r="B12004" s="2" t="str">
        <f>IFERROR(__xludf.DUMMYFUNCTION("GOOGLETRANSLATE(A12004, ""de"", ""en"")"),"bought")</f>
        <v>bought</v>
      </c>
    </row>
    <row r="12005">
      <c r="A12005" s="1" t="s">
        <v>12005</v>
      </c>
      <c r="B12005" s="2" t="str">
        <f>IFERROR(__xludf.DUMMYFUNCTION("GOOGLETRANSLATE(A12005, ""de"", ""en"")"),"unchanged")</f>
        <v>unchanged</v>
      </c>
    </row>
    <row r="12006">
      <c r="A12006" s="1" t="s">
        <v>12006</v>
      </c>
      <c r="B12006" s="2" t="str">
        <f>IFERROR(__xludf.DUMMYFUNCTION("GOOGLETRANSLATE(A12006, ""de"", ""en"")"),"fuck you")</f>
        <v>fuck you</v>
      </c>
    </row>
    <row r="12007">
      <c r="A12007" s="1" t="s">
        <v>12007</v>
      </c>
      <c r="B12007" s="2" t="str">
        <f>IFERROR(__xludf.DUMMYFUNCTION("GOOGLETRANSLATE(A12007, ""de"", ""en"")"),"sneaks")</f>
        <v>sneaks</v>
      </c>
    </row>
    <row r="12008">
      <c r="A12008" s="1" t="s">
        <v>12008</v>
      </c>
      <c r="B12008" s="2" t="str">
        <f>IFERROR(__xludf.DUMMYFUNCTION("GOOGLETRANSLATE(A12008, ""de"", ""en"")"),"subconscious")</f>
        <v>subconscious</v>
      </c>
    </row>
    <row r="12009">
      <c r="A12009" s="1" t="s">
        <v>12009</v>
      </c>
      <c r="B12009" s="2" t="str">
        <f>IFERROR(__xludf.DUMMYFUNCTION("GOOGLETRANSLATE(A12009, ""de"", ""en"")"),"nat")</f>
        <v>nat</v>
      </c>
    </row>
    <row r="12010">
      <c r="A12010" s="1" t="s">
        <v>12010</v>
      </c>
      <c r="B12010" s="2" t="str">
        <f>IFERROR(__xludf.DUMMYFUNCTION("GOOGLETRANSLATE(A12010, ""de"", ""en"")"),"tendon")</f>
        <v>tendon</v>
      </c>
    </row>
    <row r="12011">
      <c r="A12011" s="1" t="s">
        <v>12011</v>
      </c>
      <c r="B12011" s="2" t="str">
        <f>IFERROR(__xludf.DUMMYFUNCTION("GOOGLETRANSLATE(A12011, ""de"", ""en"")"),"shilling")</f>
        <v>shilling</v>
      </c>
    </row>
    <row r="12012">
      <c r="A12012" s="1" t="s">
        <v>12012</v>
      </c>
      <c r="B12012" s="2" t="str">
        <f>IFERROR(__xludf.DUMMYFUNCTION("GOOGLETRANSLATE(A12012, ""de"", ""en"")"),"ending")</f>
        <v>ending</v>
      </c>
    </row>
    <row r="12013">
      <c r="A12013" s="1" t="s">
        <v>12013</v>
      </c>
      <c r="B12013" s="2" t="str">
        <f>IFERROR(__xludf.DUMMYFUNCTION("GOOGLETRANSLATE(A12013, ""de"", ""en"")"),"customers")</f>
        <v>customers</v>
      </c>
    </row>
    <row r="12014">
      <c r="A12014" s="1" t="s">
        <v>12014</v>
      </c>
      <c r="B12014" s="2" t="str">
        <f>IFERROR(__xludf.DUMMYFUNCTION("GOOGLETRANSLATE(A12014, ""de"", ""en"")"),"prescribed")</f>
        <v>prescribed</v>
      </c>
    </row>
    <row r="12015">
      <c r="A12015" s="1" t="s">
        <v>12015</v>
      </c>
      <c r="B12015" s="2" t="str">
        <f>IFERROR(__xludf.DUMMYFUNCTION("GOOGLETRANSLATE(A12015, ""de"", ""en"")"),"escape")</f>
        <v>escape</v>
      </c>
    </row>
    <row r="12016">
      <c r="A12016" s="1" t="s">
        <v>12016</v>
      </c>
      <c r="B12016" s="2" t="str">
        <f>IFERROR(__xludf.DUMMYFUNCTION("GOOGLETRANSLATE(A12016, ""de"", ""en"")"),"stolen")</f>
        <v>stolen</v>
      </c>
    </row>
    <row r="12017">
      <c r="A12017" s="1" t="s">
        <v>12017</v>
      </c>
      <c r="B12017" s="2" t="str">
        <f>IFERROR(__xludf.DUMMYFUNCTION("GOOGLETRANSLATE(A12017, ""de"", ""en"")"),"click")</f>
        <v>click</v>
      </c>
    </row>
    <row r="12018">
      <c r="A12018" s="1" t="s">
        <v>12018</v>
      </c>
      <c r="B12018" s="2" t="str">
        <f>IFERROR(__xludf.DUMMYFUNCTION("GOOGLETRANSLATE(A12018, ""de"", ""en"")"),"holy")</f>
        <v>holy</v>
      </c>
    </row>
    <row r="12019">
      <c r="A12019" s="1" t="s">
        <v>12019</v>
      </c>
      <c r="B12019" s="2" t="str">
        <f>IFERROR(__xludf.DUMMYFUNCTION("GOOGLETRANSLATE(A12019, ""de"", ""en"")"),"clogged")</f>
        <v>clogged</v>
      </c>
    </row>
    <row r="12020">
      <c r="A12020" s="1" t="s">
        <v>12020</v>
      </c>
      <c r="B12020" s="2" t="str">
        <f>IFERROR(__xludf.DUMMYFUNCTION("GOOGLETRANSLATE(A12020, ""de"", ""en"")"),"pumpkin")</f>
        <v>pumpkin</v>
      </c>
    </row>
    <row r="12021">
      <c r="A12021" s="1" t="s">
        <v>12021</v>
      </c>
      <c r="B12021" s="2" t="str">
        <f>IFERROR(__xludf.DUMMYFUNCTION("GOOGLETRANSLATE(A12021, ""de"", ""en"")"),"toad")</f>
        <v>toad</v>
      </c>
    </row>
    <row r="12022">
      <c r="A12022" s="1" t="s">
        <v>12022</v>
      </c>
      <c r="B12022" s="2" t="str">
        <f>IFERROR(__xludf.DUMMYFUNCTION("GOOGLETRANSLATE(A12022, ""de"", ""en"")"),"humble")</f>
        <v>humble</v>
      </c>
    </row>
    <row r="12023">
      <c r="A12023" s="1" t="s">
        <v>12023</v>
      </c>
      <c r="B12023" s="2" t="str">
        <f>IFERROR(__xludf.DUMMYFUNCTION("GOOGLETRANSLATE(A12023, ""de"", ""en"")"),"cruelty")</f>
        <v>cruelty</v>
      </c>
    </row>
    <row r="12024">
      <c r="A12024" s="1" t="s">
        <v>12024</v>
      </c>
      <c r="B12024" s="2" t="str">
        <f>IFERROR(__xludf.DUMMYFUNCTION("GOOGLETRANSLATE(A12024, ""de"", ""en"")"),"broker")</f>
        <v>broker</v>
      </c>
    </row>
    <row r="12025">
      <c r="A12025" s="1" t="s">
        <v>12025</v>
      </c>
      <c r="B12025" s="2" t="str">
        <f>IFERROR(__xludf.DUMMYFUNCTION("GOOGLETRANSLATE(A12025, ""de"", ""en"")"),"freaked out")</f>
        <v>freaked out</v>
      </c>
    </row>
    <row r="12026">
      <c r="A12026" s="1" t="s">
        <v>12026</v>
      </c>
      <c r="B12026" s="2" t="str">
        <f>IFERROR(__xludf.DUMMYFUNCTION("GOOGLETRANSLATE(A12026, ""de"", ""en"")"),"cleared")</f>
        <v>cleared</v>
      </c>
    </row>
    <row r="12027">
      <c r="A12027" s="1" t="s">
        <v>12027</v>
      </c>
      <c r="B12027" s="2" t="str">
        <f>IFERROR(__xludf.DUMMYFUNCTION("GOOGLETRANSLATE(A12027, ""de"", ""en"")"),"calf")</f>
        <v>calf</v>
      </c>
    </row>
    <row r="12028">
      <c r="A12028" s="1" t="s">
        <v>12028</v>
      </c>
      <c r="B12028" s="2" t="str">
        <f>IFERROR(__xludf.DUMMYFUNCTION("GOOGLETRANSLATE(A12028, ""de"", ""en"")"),"Santiago")</f>
        <v>Santiago</v>
      </c>
    </row>
    <row r="12029">
      <c r="A12029" s="1" t="s">
        <v>12029</v>
      </c>
      <c r="B12029" s="2" t="str">
        <f>IFERROR(__xludf.DUMMYFUNCTION("GOOGLETRANSLATE(A12029, ""de"", ""en"")"),"cord")</f>
        <v>cord</v>
      </c>
    </row>
    <row r="12030">
      <c r="A12030" s="1" t="s">
        <v>12030</v>
      </c>
      <c r="B12030" s="2" t="str">
        <f>IFERROR(__xludf.DUMMYFUNCTION("GOOGLETRANSLATE(A12030, ""de"", ""en"")"),"garth")</f>
        <v>garth</v>
      </c>
    </row>
    <row r="12031">
      <c r="A12031" s="1" t="s">
        <v>12031</v>
      </c>
      <c r="B12031" s="2" t="str">
        <f>IFERROR(__xludf.DUMMYFUNCTION("GOOGLETRANSLATE(A12031, ""de"", ""en"")"),"len")</f>
        <v>len</v>
      </c>
    </row>
    <row r="12032">
      <c r="A12032" s="1" t="s">
        <v>12032</v>
      </c>
      <c r="B12032" s="2" t="str">
        <f>IFERROR(__xludf.DUMMYFUNCTION("GOOGLETRANSLATE(A12032, ""de"", ""en"")"),"foundation")</f>
        <v>foundation</v>
      </c>
    </row>
    <row r="12033">
      <c r="A12033" s="1" t="s">
        <v>12033</v>
      </c>
      <c r="B12033" s="2" t="str">
        <f>IFERROR(__xludf.DUMMYFUNCTION("GOOGLETRANSLATE(A12033, ""de"", ""en"")"),"death")</f>
        <v>death</v>
      </c>
    </row>
    <row r="12034">
      <c r="A12034" s="1" t="s">
        <v>12034</v>
      </c>
      <c r="B12034" s="2" t="str">
        <f>IFERROR(__xludf.DUMMYFUNCTION("GOOGLETRANSLATE(A12034, ""de"", ""en"")"),"broken")</f>
        <v>broken</v>
      </c>
    </row>
    <row r="12035">
      <c r="A12035" s="1" t="s">
        <v>12035</v>
      </c>
      <c r="B12035" s="2" t="str">
        <f>IFERROR(__xludf.DUMMYFUNCTION("GOOGLETRANSLATE(A12035, ""de"", ""en"")"),"come over")</f>
        <v>come over</v>
      </c>
    </row>
    <row r="12036">
      <c r="A12036" s="1" t="s">
        <v>12036</v>
      </c>
      <c r="B12036" s="2" t="str">
        <f>IFERROR(__xludf.DUMMYFUNCTION("GOOGLETRANSLATE(A12036, ""de"", ""en"")"),"senor")</f>
        <v>senor</v>
      </c>
    </row>
    <row r="12037">
      <c r="A12037" s="1" t="s">
        <v>12037</v>
      </c>
      <c r="B12037" s="2" t="str">
        <f>IFERROR(__xludf.DUMMYFUNCTION("GOOGLETRANSLATE(A12037, ""de"", ""en"")"),"shared")</f>
        <v>shared</v>
      </c>
    </row>
    <row r="12038">
      <c r="A12038" s="1" t="s">
        <v>12038</v>
      </c>
      <c r="B12038" s="2" t="str">
        <f>IFERROR(__xludf.DUMMYFUNCTION("GOOGLETRANSLATE(A12038, ""de"", ""en"")"),"initiate")</f>
        <v>initiate</v>
      </c>
    </row>
    <row r="12039">
      <c r="A12039" s="1" t="s">
        <v>12039</v>
      </c>
      <c r="B12039" s="2" t="str">
        <f>IFERROR(__xludf.DUMMYFUNCTION("GOOGLETRANSLATE(A12039, ""de"", ""en"")"),"funds")</f>
        <v>funds</v>
      </c>
    </row>
    <row r="12040">
      <c r="A12040" s="1" t="s">
        <v>12040</v>
      </c>
      <c r="B12040" s="2" t="str">
        <f>IFERROR(__xludf.DUMMYFUNCTION("GOOGLETRANSLATE(A12040, ""de"", ""en"")"),"lizzy")</f>
        <v>lizzy</v>
      </c>
    </row>
    <row r="12041">
      <c r="A12041" s="1" t="s">
        <v>12041</v>
      </c>
      <c r="B12041" s="2" t="str">
        <f>IFERROR(__xludf.DUMMYFUNCTION("GOOGLETRANSLATE(A12041, ""de"", ""en"")"),"commander")</f>
        <v>commander</v>
      </c>
    </row>
    <row r="12042">
      <c r="A12042" s="1" t="s">
        <v>12042</v>
      </c>
      <c r="B12042" s="2" t="str">
        <f>IFERROR(__xludf.DUMMYFUNCTION("GOOGLETRANSLATE(A12042, ""de"", ""en"")"),"demonstrate")</f>
        <v>demonstrate</v>
      </c>
    </row>
    <row r="12043">
      <c r="A12043" s="1" t="s">
        <v>12043</v>
      </c>
      <c r="B12043" s="2" t="str">
        <f>IFERROR(__xludf.DUMMYFUNCTION("GOOGLETRANSLATE(A12043, ""de"", ""en"")"),"agree")</f>
        <v>agree</v>
      </c>
    </row>
    <row r="12044">
      <c r="A12044" s="1" t="s">
        <v>12044</v>
      </c>
      <c r="B12044" s="2" t="str">
        <f>IFERROR(__xludf.DUMMYFUNCTION("GOOGLETRANSLATE(A12044, ""de"", ""en"")"),"soak")</f>
        <v>soak</v>
      </c>
    </row>
    <row r="12045">
      <c r="A12045" s="1" t="s">
        <v>12045</v>
      </c>
      <c r="B12045" s="2" t="str">
        <f>IFERROR(__xludf.DUMMYFUNCTION("GOOGLETRANSLATE(A12045, ""de"", ""en"")"),"copyright")</f>
        <v>copyright</v>
      </c>
    </row>
    <row r="12046">
      <c r="A12046" s="1" t="s">
        <v>12046</v>
      </c>
      <c r="B12046" s="2" t="str">
        <f>IFERROR(__xludf.DUMMYFUNCTION("GOOGLETRANSLATE(A12046, ""de"", ""en"")"),"Ursula")</f>
        <v>Ursula</v>
      </c>
    </row>
    <row r="12047">
      <c r="A12047" s="1" t="s">
        <v>12047</v>
      </c>
      <c r="B12047" s="2" t="str">
        <f>IFERROR(__xludf.DUMMYFUNCTION("GOOGLETRANSLATE(A12047, ""de"", ""en"")"),"caught on")</f>
        <v>caught on</v>
      </c>
    </row>
    <row r="12048">
      <c r="A12048" s="1" t="s">
        <v>12048</v>
      </c>
      <c r="B12048" s="2" t="str">
        <f>IFERROR(__xludf.DUMMYFUNCTION("GOOGLETRANSLATE(A12048, ""de"", ""en"")"),"perkins")</f>
        <v>perkins</v>
      </c>
    </row>
    <row r="12049">
      <c r="A12049" s="1" t="s">
        <v>12049</v>
      </c>
      <c r="B12049" s="2" t="str">
        <f>IFERROR(__xludf.DUMMYFUNCTION("GOOGLETRANSLATE(A12049, ""de"", ""en"")"),"cockroaches")</f>
        <v>cockroaches</v>
      </c>
    </row>
    <row r="12050">
      <c r="A12050" s="1" t="s">
        <v>12050</v>
      </c>
      <c r="B12050" s="2" t="str">
        <f>IFERROR(__xludf.DUMMYFUNCTION("GOOGLETRANSLATE(A12050, ""de"", ""en"")"),"thought through")</f>
        <v>thought through</v>
      </c>
    </row>
    <row r="12051">
      <c r="A12051" s="1" t="s">
        <v>12051</v>
      </c>
      <c r="B12051" s="2" t="str">
        <f>IFERROR(__xludf.DUMMYFUNCTION("GOOGLETRANSLATE(A12051, ""de"", ""en"")"),"western")</f>
        <v>western</v>
      </c>
    </row>
    <row r="12052">
      <c r="A12052" s="1" t="s">
        <v>12052</v>
      </c>
      <c r="B12052" s="2" t="str">
        <f>IFERROR(__xludf.DUMMYFUNCTION("GOOGLETRANSLATE(A12052, ""de"", ""en"")"),"washing machine")</f>
        <v>washing machine</v>
      </c>
    </row>
    <row r="12053">
      <c r="A12053" s="1" t="s">
        <v>12053</v>
      </c>
      <c r="B12053" s="2" t="str">
        <f>IFERROR(__xludf.DUMMYFUNCTION("GOOGLETRANSLATE(A12053, ""de"", ""en"")"),"shorts")</f>
        <v>shorts</v>
      </c>
    </row>
    <row r="12054">
      <c r="A12054" s="1" t="s">
        <v>12054</v>
      </c>
      <c r="B12054" s="2" t="str">
        <f>IFERROR(__xludf.DUMMYFUNCTION("GOOGLETRANSLATE(A12054, ""de"", ""en"")"),"see")</f>
        <v>see</v>
      </c>
    </row>
    <row r="12055">
      <c r="A12055" s="1" t="s">
        <v>12055</v>
      </c>
      <c r="B12055" s="2" t="str">
        <f>IFERROR(__xludf.DUMMYFUNCTION("GOOGLETRANSLATE(A12055, ""de"", ""en"")"),"Dora")</f>
        <v>Dora</v>
      </c>
    </row>
    <row r="12056">
      <c r="A12056" s="1" t="s">
        <v>12056</v>
      </c>
      <c r="B12056" s="2" t="str">
        <f>IFERROR(__xludf.DUMMYFUNCTION("GOOGLETRANSLATE(A12056, ""de"", ""en"")"),"Vatican")</f>
        <v>Vatican</v>
      </c>
    </row>
    <row r="12057">
      <c r="A12057" s="1" t="s">
        <v>12057</v>
      </c>
      <c r="B12057" s="2" t="str">
        <f>IFERROR(__xludf.DUMMYFUNCTION("GOOGLETRANSLATE(A12057, ""de"", ""en"")"),"exits")</f>
        <v>exits</v>
      </c>
    </row>
    <row r="12058">
      <c r="A12058" s="1" t="s">
        <v>12058</v>
      </c>
      <c r="B12058" s="2" t="str">
        <f>IFERROR(__xludf.DUMMYFUNCTION("GOOGLETRANSLATE(A12058, ""de"", ""en"")"),"rush")</f>
        <v>rush</v>
      </c>
    </row>
    <row r="12059">
      <c r="A12059" s="1" t="s">
        <v>12059</v>
      </c>
      <c r="B12059" s="2" t="str">
        <f>IFERROR(__xludf.DUMMYFUNCTION("GOOGLETRANSLATE(A12059, ""de"", ""en"")"),"morally")</f>
        <v>morally</v>
      </c>
    </row>
    <row r="12060">
      <c r="A12060" s="1" t="s">
        <v>12060</v>
      </c>
      <c r="B12060" s="2" t="str">
        <f>IFERROR(__xludf.DUMMYFUNCTION("GOOGLETRANSLATE(A12060, ""de"", ""en"")"),"coronation")</f>
        <v>coronation</v>
      </c>
    </row>
    <row r="12061">
      <c r="A12061" s="1" t="s">
        <v>12061</v>
      </c>
      <c r="B12061" s="2" t="str">
        <f>IFERROR(__xludf.DUMMYFUNCTION("GOOGLETRANSLATE(A12061, ""de"", ""en"")"),"instincts")</f>
        <v>instincts</v>
      </c>
    </row>
    <row r="12062">
      <c r="A12062" s="1" t="s">
        <v>12062</v>
      </c>
      <c r="B12062" s="2" t="str">
        <f>IFERROR(__xludf.DUMMYFUNCTION("GOOGLETRANSLATE(A12062, ""de"", ""en"")"),"huh")</f>
        <v>huh</v>
      </c>
    </row>
    <row r="12063">
      <c r="A12063" s="1" t="s">
        <v>12063</v>
      </c>
      <c r="B12063" s="2" t="str">
        <f>IFERROR(__xludf.DUMMYFUNCTION("GOOGLETRANSLATE(A12063, ""de"", ""en"")"),"vernon")</f>
        <v>vernon</v>
      </c>
    </row>
    <row r="12064">
      <c r="A12064" s="1" t="s">
        <v>12064</v>
      </c>
      <c r="B12064" s="2" t="str">
        <f>IFERROR(__xludf.DUMMYFUNCTION("GOOGLETRANSLATE(A12064, ""de"", ""en"")"),"came here")</f>
        <v>came here</v>
      </c>
    </row>
    <row r="12065">
      <c r="A12065" s="1" t="s">
        <v>12065</v>
      </c>
      <c r="B12065" s="2" t="str">
        <f>IFERROR(__xludf.DUMMYFUNCTION("GOOGLETRANSLATE(A12065, ""de"", ""en"")"),"buffalo")</f>
        <v>buffalo</v>
      </c>
    </row>
    <row r="12066">
      <c r="A12066" s="1" t="s">
        <v>12066</v>
      </c>
      <c r="B12066" s="2" t="str">
        <f>IFERROR(__xludf.DUMMYFUNCTION("GOOGLETRANSLATE(A12066, ""de"", ""en"")"),"born")</f>
        <v>born</v>
      </c>
    </row>
    <row r="12067">
      <c r="A12067" s="1" t="s">
        <v>12067</v>
      </c>
      <c r="B12067" s="2" t="str">
        <f>IFERROR(__xludf.DUMMYFUNCTION("GOOGLETRANSLATE(A12067, ""de"", ""en"")"),"fully booked")</f>
        <v>fully booked</v>
      </c>
    </row>
    <row r="12068">
      <c r="A12068" s="1" t="s">
        <v>12068</v>
      </c>
      <c r="B12068" s="2" t="str">
        <f>IFERROR(__xludf.DUMMYFUNCTION("GOOGLETRANSLATE(A12068, ""de"", ""en"")"),"come with me")</f>
        <v>come with me</v>
      </c>
    </row>
    <row r="12069">
      <c r="A12069" s="1" t="s">
        <v>12069</v>
      </c>
      <c r="B12069" s="2" t="str">
        <f>IFERROR(__xludf.DUMMYFUNCTION("GOOGLETRANSLATE(A12069, ""de"", ""en"")"),"madness")</f>
        <v>madness</v>
      </c>
    </row>
    <row r="12070">
      <c r="A12070" s="1" t="s">
        <v>12070</v>
      </c>
      <c r="B12070" s="2" t="str">
        <f>IFERROR(__xludf.DUMMYFUNCTION("GOOGLETRANSLATE(A12070, ""de"", ""en"")"),"below")</f>
        <v>below</v>
      </c>
    </row>
    <row r="12071">
      <c r="A12071" s="1" t="s">
        <v>12071</v>
      </c>
      <c r="B12071" s="2" t="str">
        <f>IFERROR(__xludf.DUMMYFUNCTION("GOOGLETRANSLATE(A12071, ""de"", ""en"")"),"tok")</f>
        <v>tok</v>
      </c>
    </row>
    <row r="12072">
      <c r="A12072" s="1" t="s">
        <v>12072</v>
      </c>
      <c r="B12072" s="2" t="str">
        <f>IFERROR(__xludf.DUMMYFUNCTION("GOOGLETRANSLATE(A12072, ""de"", ""en"")"),"pres")</f>
        <v>pres</v>
      </c>
    </row>
    <row r="12073">
      <c r="A12073" s="1" t="s">
        <v>12073</v>
      </c>
      <c r="B12073" s="2" t="str">
        <f>IFERROR(__xludf.DUMMYFUNCTION("GOOGLETRANSLATE(A12073, ""de"", ""en"")"),"jacket")</f>
        <v>jacket</v>
      </c>
    </row>
    <row r="12074">
      <c r="A12074" s="1" t="s">
        <v>12074</v>
      </c>
      <c r="B12074" s="2" t="str">
        <f>IFERROR(__xludf.DUMMYFUNCTION("GOOGLETRANSLATE(A12074, ""de"", ""en"")"),"stolen")</f>
        <v>stolen</v>
      </c>
    </row>
    <row r="12075">
      <c r="A12075" s="1" t="s">
        <v>12075</v>
      </c>
      <c r="B12075" s="2" t="str">
        <f>IFERROR(__xludf.DUMMYFUNCTION("GOOGLETRANSLATE(A12075, ""de"", ""en"")"),"sweats")</f>
        <v>sweats</v>
      </c>
    </row>
    <row r="12076">
      <c r="A12076" s="1" t="s">
        <v>12076</v>
      </c>
      <c r="B12076" s="2" t="str">
        <f>IFERROR(__xludf.DUMMYFUNCTION("GOOGLETRANSLATE(A12076, ""de"", ""en"")"),"stand")</f>
        <v>stand</v>
      </c>
    </row>
    <row r="12077">
      <c r="A12077" s="1" t="s">
        <v>12077</v>
      </c>
      <c r="B12077" s="2" t="str">
        <f>IFERROR(__xludf.DUMMYFUNCTION("GOOGLETRANSLATE(A12077, ""de"", ""en"")"),"lot")</f>
        <v>lot</v>
      </c>
    </row>
    <row r="12078">
      <c r="A12078" s="1" t="s">
        <v>12078</v>
      </c>
      <c r="B12078" s="2" t="str">
        <f>IFERROR(__xludf.DUMMYFUNCTION("GOOGLETRANSLATE(A12078, ""de"", ""en"")"),"luna")</f>
        <v>luna</v>
      </c>
    </row>
    <row r="12079">
      <c r="A12079" s="1" t="s">
        <v>12079</v>
      </c>
      <c r="B12079" s="2" t="str">
        <f>IFERROR(__xludf.DUMMYFUNCTION("GOOGLETRANSLATE(A12079, ""de"", ""en"")"),"rolf")</f>
        <v>rolf</v>
      </c>
    </row>
    <row r="12080">
      <c r="A12080" s="1" t="s">
        <v>12080</v>
      </c>
      <c r="B12080" s="2" t="str">
        <f>IFERROR(__xludf.DUMMYFUNCTION("GOOGLETRANSLATE(A12080, ""de"", ""en"")"),"fell down")</f>
        <v>fell down</v>
      </c>
    </row>
    <row r="12081">
      <c r="A12081" s="1" t="s">
        <v>12081</v>
      </c>
      <c r="B12081" s="2" t="str">
        <f>IFERROR(__xludf.DUMMYFUNCTION("GOOGLETRANSLATE(A12081, ""de"", ""en"")"),"boiler")</f>
        <v>boiler</v>
      </c>
    </row>
    <row r="12082">
      <c r="A12082" s="1" t="s">
        <v>12082</v>
      </c>
      <c r="B12082" s="2" t="str">
        <f>IFERROR(__xludf.DUMMYFUNCTION("GOOGLETRANSLATE(A12082, ""de"", ""en"")"),"jorge")</f>
        <v>jorge</v>
      </c>
    </row>
    <row r="12083">
      <c r="A12083" s="1" t="s">
        <v>12083</v>
      </c>
      <c r="B12083" s="2" t="str">
        <f>IFERROR(__xludf.DUMMYFUNCTION("GOOGLETRANSLATE(A12083, ""de"", ""en"")"),"waffles")</f>
        <v>waffles</v>
      </c>
    </row>
    <row r="12084">
      <c r="A12084" s="1" t="s">
        <v>12084</v>
      </c>
      <c r="B12084" s="2" t="str">
        <f>IFERROR(__xludf.DUMMYFUNCTION("GOOGLETRANSLATE(A12084, ""de"", ""en"")"),"corrupt")</f>
        <v>corrupt</v>
      </c>
    </row>
    <row r="12085">
      <c r="A12085" s="1" t="s">
        <v>12085</v>
      </c>
      <c r="B12085" s="2" t="str">
        <f>IFERROR(__xludf.DUMMYFUNCTION("GOOGLETRANSLATE(A12085, ""de"", ""en"")"),"volunteers")</f>
        <v>volunteers</v>
      </c>
    </row>
    <row r="12086">
      <c r="A12086" s="1" t="s">
        <v>12086</v>
      </c>
      <c r="B12086" s="2" t="str">
        <f>IFERROR(__xludf.DUMMYFUNCTION("GOOGLETRANSLATE(A12086, ""de"", ""en"")"),"cartel")</f>
        <v>cartel</v>
      </c>
    </row>
    <row r="12087">
      <c r="A12087" s="1" t="s">
        <v>12087</v>
      </c>
      <c r="B12087" s="2" t="str">
        <f>IFERROR(__xludf.DUMMYFUNCTION("GOOGLETRANSLATE(A12087, ""de"", ""en"")"),"ba")</f>
        <v>ba</v>
      </c>
    </row>
    <row r="12088">
      <c r="A12088" s="1" t="s">
        <v>12088</v>
      </c>
      <c r="B12088" s="2" t="str">
        <f>IFERROR(__xludf.DUMMYFUNCTION("GOOGLETRANSLATE(A12088, ""de"", ""en"")"),"Kentucky")</f>
        <v>Kentucky</v>
      </c>
    </row>
    <row r="12089">
      <c r="A12089" s="1" t="s">
        <v>12089</v>
      </c>
      <c r="B12089" s="2" t="str">
        <f>IFERROR(__xludf.DUMMYFUNCTION("GOOGLETRANSLATE(A12089, ""de"", ""en"")"),"Nevada")</f>
        <v>Nevada</v>
      </c>
    </row>
    <row r="12090">
      <c r="A12090" s="1" t="s">
        <v>12090</v>
      </c>
      <c r="B12090" s="2" t="str">
        <f>IFERROR(__xludf.DUMMYFUNCTION("GOOGLETRANSLATE(A12090, ""de"", ""en"")"),"cap")</f>
        <v>cap</v>
      </c>
    </row>
    <row r="12091">
      <c r="A12091" s="1" t="s">
        <v>12091</v>
      </c>
      <c r="B12091" s="2" t="str">
        <f>IFERROR(__xludf.DUMMYFUNCTION("GOOGLETRANSLATE(A12091, ""de"", ""en"")"),"Illinois")</f>
        <v>Illinois</v>
      </c>
    </row>
    <row r="12092">
      <c r="A12092" s="1" t="s">
        <v>12092</v>
      </c>
      <c r="B12092" s="2" t="str">
        <f>IFERROR(__xludf.DUMMYFUNCTION("GOOGLETRANSLATE(A12092, ""de"", ""en"")"),"pointed")</f>
        <v>pointed</v>
      </c>
    </row>
    <row r="12093">
      <c r="A12093" s="1" t="s">
        <v>12093</v>
      </c>
      <c r="B12093" s="2" t="str">
        <f>IFERROR(__xludf.DUMMYFUNCTION("GOOGLETRANSLATE(A12093, ""de"", ""en"")"),"train")</f>
        <v>train</v>
      </c>
    </row>
    <row r="12094">
      <c r="A12094" s="1" t="s">
        <v>12094</v>
      </c>
      <c r="B12094" s="2" t="str">
        <f>IFERROR(__xludf.DUMMYFUNCTION("GOOGLETRANSLATE(A12094, ""de"", ""en"")"),"bloom")</f>
        <v>bloom</v>
      </c>
    </row>
    <row r="12095">
      <c r="A12095" s="1" t="s">
        <v>12095</v>
      </c>
      <c r="B12095" s="2" t="str">
        <f>IFERROR(__xludf.DUMMYFUNCTION("GOOGLETRANSLATE(A12095, ""de"", ""en"")"),"circles")</f>
        <v>circles</v>
      </c>
    </row>
    <row r="12096">
      <c r="A12096" s="1" t="s">
        <v>12096</v>
      </c>
      <c r="B12096" s="2" t="str">
        <f>IFERROR(__xludf.DUMMYFUNCTION("GOOGLETRANSLATE(A12096, ""de"", ""en"")"),"Raquel")</f>
        <v>Raquel</v>
      </c>
    </row>
    <row r="12097">
      <c r="A12097" s="1" t="s">
        <v>12097</v>
      </c>
      <c r="B12097" s="2" t="str">
        <f>IFERROR(__xludf.DUMMYFUNCTION("GOOGLETRANSLATE(A12097, ""de"", ""en"")"),"ice cream")</f>
        <v>ice cream</v>
      </c>
    </row>
    <row r="12098">
      <c r="A12098" s="1" t="s">
        <v>12098</v>
      </c>
      <c r="B12098" s="2" t="str">
        <f>IFERROR(__xludf.DUMMYFUNCTION("GOOGLETRANSLATE(A12098, ""de"", ""en"")"),"homesick")</f>
        <v>homesick</v>
      </c>
    </row>
    <row r="12099">
      <c r="A12099" s="1" t="s">
        <v>12099</v>
      </c>
      <c r="B12099" s="2" t="str">
        <f>IFERROR(__xludf.DUMMYFUNCTION("GOOGLETRANSLATE(A12099, ""de"", ""en"")"),"four")</f>
        <v>four</v>
      </c>
    </row>
    <row r="12100">
      <c r="A12100" s="1" t="s">
        <v>12100</v>
      </c>
      <c r="B12100" s="2" t="str">
        <f>IFERROR(__xludf.DUMMYFUNCTION("GOOGLETRANSLATE(A12100, ""de"", ""en"")"),"defuse")</f>
        <v>defuse</v>
      </c>
    </row>
    <row r="12101">
      <c r="A12101" s="1" t="s">
        <v>12101</v>
      </c>
      <c r="B12101" s="2" t="str">
        <f>IFERROR(__xludf.DUMMYFUNCTION("GOOGLETRANSLATE(A12101, ""de"", ""en"")"),"spy")</f>
        <v>spy</v>
      </c>
    </row>
    <row r="12102">
      <c r="A12102" s="1" t="s">
        <v>12102</v>
      </c>
      <c r="B12102" s="2" t="str">
        <f>IFERROR(__xludf.DUMMYFUNCTION("GOOGLETRANSLATE(A12102, ""de"", ""en"")"),"kept")</f>
        <v>kept</v>
      </c>
    </row>
    <row r="12103">
      <c r="A12103" s="1" t="s">
        <v>12103</v>
      </c>
      <c r="B12103" s="2" t="str">
        <f>IFERROR(__xludf.DUMMYFUNCTION("GOOGLETRANSLATE(A12103, ""de"", ""en"")"),"plug in")</f>
        <v>plug in</v>
      </c>
    </row>
    <row r="12104">
      <c r="A12104" s="1" t="s">
        <v>12104</v>
      </c>
      <c r="B12104" s="2" t="str">
        <f>IFERROR(__xludf.DUMMYFUNCTION("GOOGLETRANSLATE(A12104, ""de"", ""en"")"),"franco")</f>
        <v>franco</v>
      </c>
    </row>
    <row r="12105">
      <c r="A12105" s="1" t="s">
        <v>12105</v>
      </c>
      <c r="B12105" s="2" t="str">
        <f>IFERROR(__xludf.DUMMYFUNCTION("GOOGLETRANSLATE(A12105, ""de"", ""en"")"),"reborn")</f>
        <v>reborn</v>
      </c>
    </row>
    <row r="12106">
      <c r="A12106" s="1" t="s">
        <v>12106</v>
      </c>
      <c r="B12106" s="2" t="str">
        <f>IFERROR(__xludf.DUMMYFUNCTION("GOOGLETRANSLATE(A12106, ""de"", ""en"")"),"set")</f>
        <v>set</v>
      </c>
    </row>
    <row r="12107">
      <c r="A12107" s="1" t="s">
        <v>12107</v>
      </c>
      <c r="B12107" s="2" t="str">
        <f>IFERROR(__xludf.DUMMYFUNCTION("GOOGLETRANSLATE(A12107, ""de"", ""en"")"),"voter")</f>
        <v>voter</v>
      </c>
    </row>
    <row r="12108">
      <c r="A12108" s="1" t="s">
        <v>12108</v>
      </c>
      <c r="B12108" s="2" t="str">
        <f>IFERROR(__xludf.DUMMYFUNCTION("GOOGLETRANSLATE(A12108, ""de"", ""en"")"),"burden")</f>
        <v>burden</v>
      </c>
    </row>
    <row r="12109">
      <c r="A12109" s="1" t="s">
        <v>12109</v>
      </c>
      <c r="B12109" s="2" t="str">
        <f>IFERROR(__xludf.DUMMYFUNCTION("GOOGLETRANSLATE(A12109, ""de"", ""en"")"),"models")</f>
        <v>models</v>
      </c>
    </row>
    <row r="12110">
      <c r="A12110" s="1" t="s">
        <v>12110</v>
      </c>
      <c r="B12110" s="2" t="str">
        <f>IFERROR(__xludf.DUMMYFUNCTION("GOOGLETRANSLATE(A12110, ""de"", ""en"")"),"worried")</f>
        <v>worried</v>
      </c>
    </row>
    <row r="12111">
      <c r="A12111" s="1" t="s">
        <v>12111</v>
      </c>
      <c r="B12111" s="2" t="str">
        <f>IFERROR(__xludf.DUMMYFUNCTION("GOOGLETRANSLATE(A12111, ""de"", ""en"")"),"shred")</f>
        <v>shred</v>
      </c>
    </row>
    <row r="12112">
      <c r="A12112" s="1" t="s">
        <v>12112</v>
      </c>
      <c r="B12112" s="2" t="str">
        <f>IFERROR(__xludf.DUMMYFUNCTION("GOOGLETRANSLATE(A12112, ""de"", ""en"")"),"blossom")</f>
        <v>blossom</v>
      </c>
    </row>
    <row r="12113">
      <c r="A12113" s="1" t="s">
        <v>12113</v>
      </c>
      <c r="B12113" s="2" t="str">
        <f>IFERROR(__xludf.DUMMYFUNCTION("GOOGLETRANSLATE(A12113, ""de"", ""en"")"),"suffer")</f>
        <v>suffer</v>
      </c>
    </row>
    <row r="12114">
      <c r="A12114" s="1" t="s">
        <v>12114</v>
      </c>
      <c r="B12114" s="2" t="str">
        <f>IFERROR(__xludf.DUMMYFUNCTION("GOOGLETRANSLATE(A12114, ""de"", ""en"")"),"blood")</f>
        <v>blood</v>
      </c>
    </row>
    <row r="12115">
      <c r="A12115" s="1" t="s">
        <v>12115</v>
      </c>
      <c r="B12115" s="2" t="str">
        <f>IFERROR(__xludf.DUMMYFUNCTION("GOOGLETRANSLATE(A12115, ""de"", ""en"")"),"Shanghai")</f>
        <v>Shanghai</v>
      </c>
    </row>
    <row r="12116">
      <c r="A12116" s="1" t="s">
        <v>12116</v>
      </c>
      <c r="B12116" s="2" t="str">
        <f>IFERROR(__xludf.DUMMYFUNCTION("GOOGLETRANSLATE(A12116, ""de"", ""en"")"),"trent")</f>
        <v>trent</v>
      </c>
    </row>
    <row r="12117">
      <c r="A12117" s="1" t="s">
        <v>12117</v>
      </c>
      <c r="B12117" s="2" t="str">
        <f>IFERROR(__xludf.DUMMYFUNCTION("GOOGLETRANSLATE(A12117, ""de"", ""en"")"),"Brussels")</f>
        <v>Brussels</v>
      </c>
    </row>
    <row r="12118">
      <c r="A12118" s="1" t="s">
        <v>12118</v>
      </c>
      <c r="B12118" s="2" t="str">
        <f>IFERROR(__xludf.DUMMYFUNCTION("GOOGLETRANSLATE(A12118, ""de"", ""en"")"),"prehistory")</f>
        <v>prehistory</v>
      </c>
    </row>
    <row r="12119">
      <c r="A12119" s="1" t="s">
        <v>12119</v>
      </c>
      <c r="B12119" s="2" t="str">
        <f>IFERROR(__xludf.DUMMYFUNCTION("GOOGLETRANSLATE(A12119, ""de"", ""en"")"),"ninja")</f>
        <v>ninja</v>
      </c>
    </row>
    <row r="12120">
      <c r="A12120" s="1" t="s">
        <v>12120</v>
      </c>
      <c r="B12120" s="2" t="str">
        <f>IFERROR(__xludf.DUMMYFUNCTION("GOOGLETRANSLATE(A12120, ""de"", ""en"")"),"grandfather")</f>
        <v>grandfather</v>
      </c>
    </row>
    <row r="12121">
      <c r="A12121" s="1" t="s">
        <v>12121</v>
      </c>
      <c r="B12121" s="2" t="str">
        <f>IFERROR(__xludf.DUMMYFUNCTION("GOOGLETRANSLATE(A12121, ""de"", ""en"")"),"sabrina")</f>
        <v>sabrina</v>
      </c>
    </row>
    <row r="12122">
      <c r="A12122" s="1" t="s">
        <v>12122</v>
      </c>
      <c r="B12122" s="2" t="str">
        <f>IFERROR(__xludf.DUMMYFUNCTION("GOOGLETRANSLATE(A12122, ""de"", ""en"")"),"throw out")</f>
        <v>throw out</v>
      </c>
    </row>
    <row r="12123">
      <c r="A12123" s="1" t="s">
        <v>12123</v>
      </c>
      <c r="B12123" s="2" t="str">
        <f>IFERROR(__xludf.DUMMYFUNCTION("GOOGLETRANSLATE(A12123, ""de"", ""en"")"),"publisher")</f>
        <v>publisher</v>
      </c>
    </row>
    <row r="12124">
      <c r="A12124" s="1" t="s">
        <v>12124</v>
      </c>
      <c r="B12124" s="2" t="str">
        <f>IFERROR(__xludf.DUMMYFUNCTION("GOOGLETRANSLATE(A12124, ""de"", ""en"")"),"genetic")</f>
        <v>genetic</v>
      </c>
    </row>
    <row r="12125">
      <c r="A12125" s="1" t="s">
        <v>12125</v>
      </c>
      <c r="B12125" s="2" t="str">
        <f>IFERROR(__xludf.DUMMYFUNCTION("GOOGLETRANSLATE(A12125, ""de"", ""en"")"),"saw")</f>
        <v>saw</v>
      </c>
    </row>
    <row r="12126">
      <c r="A12126" s="1" t="s">
        <v>12126</v>
      </c>
      <c r="B12126" s="2" t="str">
        <f>IFERROR(__xludf.DUMMYFUNCTION("GOOGLETRANSLATE(A12126, ""de"", ""en"")"),"approach")</f>
        <v>approach</v>
      </c>
    </row>
    <row r="12127">
      <c r="A12127" s="1" t="s">
        <v>12127</v>
      </c>
      <c r="B12127" s="2" t="str">
        <f>IFERROR(__xludf.DUMMYFUNCTION("GOOGLETRANSLATE(A12127, ""de"", ""en"")"),"suffered")</f>
        <v>suffered</v>
      </c>
    </row>
    <row r="12128">
      <c r="A12128" s="1" t="s">
        <v>12128</v>
      </c>
      <c r="B12128" s="2" t="str">
        <f>IFERROR(__xludf.DUMMYFUNCTION("GOOGLETRANSLATE(A12128, ""de"", ""en"")"),"represents")</f>
        <v>represents</v>
      </c>
    </row>
    <row r="12129">
      <c r="A12129" s="1" t="s">
        <v>12129</v>
      </c>
      <c r="B12129" s="2" t="str">
        <f>IFERROR(__xludf.DUMMYFUNCTION("GOOGLETRANSLATE(A12129, ""de"", ""en"")"),"well")</f>
        <v>well</v>
      </c>
    </row>
    <row r="12130">
      <c r="A12130" s="1" t="s">
        <v>12130</v>
      </c>
      <c r="B12130" s="2" t="str">
        <f>IFERROR(__xludf.DUMMYFUNCTION("GOOGLETRANSLATE(A12130, ""de"", ""en"")"),"more almighty")</f>
        <v>more almighty</v>
      </c>
    </row>
    <row r="12131">
      <c r="A12131" s="1" t="s">
        <v>12131</v>
      </c>
      <c r="B12131" s="2" t="str">
        <f>IFERROR(__xludf.DUMMYFUNCTION("GOOGLETRANSLATE(A12131, ""de"", ""en"")"),"liked")</f>
        <v>liked</v>
      </c>
    </row>
    <row r="12132">
      <c r="A12132" s="1" t="s">
        <v>12132</v>
      </c>
      <c r="B12132" s="2" t="str">
        <f>IFERROR(__xludf.DUMMYFUNCTION("GOOGLETRANSLATE(A12132, ""de"", ""en"")"),"die")</f>
        <v>die</v>
      </c>
    </row>
    <row r="12133">
      <c r="A12133" s="1" t="s">
        <v>12133</v>
      </c>
      <c r="B12133" s="2" t="str">
        <f>IFERROR(__xludf.DUMMYFUNCTION("GOOGLETRANSLATE(A12133, ""de"", ""en"")"),"violation")</f>
        <v>violation</v>
      </c>
    </row>
    <row r="12134">
      <c r="A12134" s="1" t="s">
        <v>12134</v>
      </c>
      <c r="B12134" s="2" t="str">
        <f>IFERROR(__xludf.DUMMYFUNCTION("GOOGLETRANSLATE(A12134, ""de"", ""en"")"),"weston")</f>
        <v>weston</v>
      </c>
    </row>
    <row r="12135">
      <c r="A12135" s="1" t="s">
        <v>12135</v>
      </c>
      <c r="B12135" s="2" t="str">
        <f>IFERROR(__xludf.DUMMYFUNCTION("GOOGLETRANSLATE(A12135, ""de"", ""en"")"),"stairwell")</f>
        <v>stairwell</v>
      </c>
    </row>
    <row r="12136">
      <c r="A12136" s="1" t="s">
        <v>12136</v>
      </c>
      <c r="B12136" s="2" t="str">
        <f>IFERROR(__xludf.DUMMYFUNCTION("GOOGLETRANSLATE(A12136, ""de"", ""en"")"),"leland")</f>
        <v>leland</v>
      </c>
    </row>
    <row r="12137">
      <c r="A12137" s="1" t="s">
        <v>12137</v>
      </c>
      <c r="B12137" s="2" t="str">
        <f>IFERROR(__xludf.DUMMYFUNCTION("GOOGLETRANSLATE(A12137, ""de"", ""en"")"),"note down")</f>
        <v>note down</v>
      </c>
    </row>
    <row r="12138">
      <c r="A12138" s="1" t="s">
        <v>12138</v>
      </c>
      <c r="B12138" s="2" t="str">
        <f>IFERROR(__xludf.DUMMYFUNCTION("GOOGLETRANSLATE(A12138, ""de"", ""en"")"),"reply")</f>
        <v>reply</v>
      </c>
    </row>
    <row r="12139">
      <c r="A12139" s="1" t="s">
        <v>12139</v>
      </c>
      <c r="B12139" s="2" t="str">
        <f>IFERROR(__xludf.DUMMYFUNCTION("GOOGLETRANSLATE(A12139, ""de"", ""en"")"),"memory")</f>
        <v>memory</v>
      </c>
    </row>
    <row r="12140">
      <c r="A12140" s="1" t="s">
        <v>12140</v>
      </c>
      <c r="B12140" s="2" t="str">
        <f>IFERROR(__xludf.DUMMYFUNCTION("GOOGLETRANSLATE(A12140, ""de"", ""en"")"),"come out")</f>
        <v>come out</v>
      </c>
    </row>
    <row r="12141">
      <c r="A12141" s="1" t="s">
        <v>12141</v>
      </c>
      <c r="B12141" s="2" t="str">
        <f>IFERROR(__xludf.DUMMYFUNCTION("GOOGLETRANSLATE(A12141, ""de"", ""en"")"),"springfield")</f>
        <v>springfield</v>
      </c>
    </row>
    <row r="12142">
      <c r="A12142" s="1" t="s">
        <v>12142</v>
      </c>
      <c r="B12142" s="2" t="str">
        <f>IFERROR(__xludf.DUMMYFUNCTION("GOOGLETRANSLATE(A12142, ""de"", ""en"")"),"sunny")</f>
        <v>sunny</v>
      </c>
    </row>
    <row r="12143">
      <c r="A12143" s="1" t="s">
        <v>12143</v>
      </c>
      <c r="B12143" s="2" t="str">
        <f>IFERROR(__xludf.DUMMYFUNCTION("GOOGLETRANSLATE(A12143, ""de"", ""en"")"),"locate")</f>
        <v>locate</v>
      </c>
    </row>
    <row r="12144">
      <c r="A12144" s="1" t="s">
        <v>12144</v>
      </c>
      <c r="B12144" s="2" t="str">
        <f>IFERROR(__xludf.DUMMYFUNCTION("GOOGLETRANSLATE(A12144, ""de"", ""en"")"),"spence")</f>
        <v>spence</v>
      </c>
    </row>
    <row r="12145">
      <c r="A12145" s="1" t="s">
        <v>12145</v>
      </c>
      <c r="B12145" s="2" t="str">
        <f>IFERROR(__xludf.DUMMYFUNCTION("GOOGLETRANSLATE(A12145, ""de"", ""en"")"),"cheeks")</f>
        <v>cheeks</v>
      </c>
    </row>
    <row r="12146">
      <c r="A12146" s="1" t="s">
        <v>12146</v>
      </c>
      <c r="B12146" s="2" t="str">
        <f>IFERROR(__xludf.DUMMYFUNCTION("GOOGLETRANSLATE(A12146, ""de"", ""en"")"),"aubrey")</f>
        <v>aubrey</v>
      </c>
    </row>
    <row r="12147">
      <c r="A12147" s="1" t="s">
        <v>12147</v>
      </c>
      <c r="B12147" s="2" t="str">
        <f>IFERROR(__xludf.DUMMYFUNCTION("GOOGLETRANSLATE(A12147, ""de"", ""en"")"),"period")</f>
        <v>period</v>
      </c>
    </row>
    <row r="12148">
      <c r="A12148" s="1" t="s">
        <v>12148</v>
      </c>
      <c r="B12148" s="2" t="str">
        <f>IFERROR(__xludf.DUMMYFUNCTION("GOOGLETRANSLATE(A12148, ""de"", ""en"")"),"shade")</f>
        <v>shade</v>
      </c>
    </row>
    <row r="12149">
      <c r="A12149" s="1" t="s">
        <v>12149</v>
      </c>
      <c r="B12149" s="2" t="str">
        <f>IFERROR(__xludf.DUMMYFUNCTION("GOOGLETRANSLATE(A12149, ""de"", ""en"")"),"highest")</f>
        <v>highest</v>
      </c>
    </row>
    <row r="12150">
      <c r="A12150" s="1" t="s">
        <v>12150</v>
      </c>
      <c r="B12150" s="2" t="str">
        <f>IFERROR(__xludf.DUMMYFUNCTION("GOOGLETRANSLATE(A12150, ""de"", ""en"")"),"luc")</f>
        <v>luc</v>
      </c>
    </row>
    <row r="12151">
      <c r="A12151" s="1" t="s">
        <v>12151</v>
      </c>
      <c r="B12151" s="2" t="str">
        <f>IFERROR(__xludf.DUMMYFUNCTION("GOOGLETRANSLATE(A12151, ""de"", ""en"")"),"brainwashing")</f>
        <v>brainwashing</v>
      </c>
    </row>
    <row r="12152">
      <c r="A12152" s="1" t="s">
        <v>12152</v>
      </c>
      <c r="B12152" s="2" t="str">
        <f>IFERROR(__xludf.DUMMYFUNCTION("GOOGLETRANSLATE(A12152, ""de"", ""en"")"),"brothers")</f>
        <v>brothers</v>
      </c>
    </row>
    <row r="12153">
      <c r="A12153" s="1" t="s">
        <v>12153</v>
      </c>
      <c r="B12153" s="2" t="str">
        <f>IFERROR(__xludf.DUMMYFUNCTION("GOOGLETRANSLATE(A12153, ""de"", ""en"")"),"stalker")</f>
        <v>stalker</v>
      </c>
    </row>
    <row r="12154">
      <c r="A12154" s="1" t="s">
        <v>12154</v>
      </c>
      <c r="B12154" s="2" t="str">
        <f>IFERROR(__xludf.DUMMYFUNCTION("GOOGLETRANSLATE(A12154, ""de"", ""en"")"),"track")</f>
        <v>track</v>
      </c>
    </row>
    <row r="12155">
      <c r="A12155" s="1" t="s">
        <v>12155</v>
      </c>
      <c r="B12155" s="2" t="str">
        <f>IFERROR(__xludf.DUMMYFUNCTION("GOOGLETRANSLATE(A12155, ""de"", ""en"")"),"peanut butter")</f>
        <v>peanut butter</v>
      </c>
    </row>
    <row r="12156">
      <c r="A12156" s="1" t="s">
        <v>12156</v>
      </c>
      <c r="B12156" s="2" t="str">
        <f>IFERROR(__xludf.DUMMYFUNCTION("GOOGLETRANSLATE(A12156, ""de"", ""en"")"),"gallagher")</f>
        <v>gallagher</v>
      </c>
    </row>
    <row r="12157">
      <c r="A12157" s="1" t="s">
        <v>12157</v>
      </c>
      <c r="B12157" s="2" t="str">
        <f>IFERROR(__xludf.DUMMYFUNCTION("GOOGLETRANSLATE(A12157, ""de"", ""en"")"),"Arnie")</f>
        <v>Arnie</v>
      </c>
    </row>
    <row r="12158">
      <c r="A12158" s="1" t="s">
        <v>12158</v>
      </c>
      <c r="B12158" s="2" t="str">
        <f>IFERROR(__xludf.DUMMYFUNCTION("GOOGLETRANSLATE(A12158, ""de"", ""en"")"),"does")</f>
        <v>does</v>
      </c>
    </row>
    <row r="12159">
      <c r="A12159" s="1" t="s">
        <v>12159</v>
      </c>
      <c r="B12159" s="2" t="str">
        <f>IFERROR(__xludf.DUMMYFUNCTION("GOOGLETRANSLATE(A12159, ""de"", ""en"")"),"lived")</f>
        <v>lived</v>
      </c>
    </row>
    <row r="12160">
      <c r="A12160" s="1" t="s">
        <v>12160</v>
      </c>
      <c r="B12160" s="2" t="str">
        <f>IFERROR(__xludf.DUMMYFUNCTION("GOOGLETRANSLATE(A12160, ""de"", ""en"")"),"look")</f>
        <v>look</v>
      </c>
    </row>
    <row r="12161">
      <c r="A12161" s="1" t="s">
        <v>12161</v>
      </c>
      <c r="B12161" s="2" t="str">
        <f>IFERROR(__xludf.DUMMYFUNCTION("GOOGLETRANSLATE(A12161, ""de"", ""en"")"),"width")</f>
        <v>width</v>
      </c>
    </row>
    <row r="12162">
      <c r="A12162" s="1" t="s">
        <v>12162</v>
      </c>
      <c r="B12162" s="2" t="str">
        <f>IFERROR(__xludf.DUMMYFUNCTION("GOOGLETRANSLATE(A12162, ""de"", ""en"")"),"dot")</f>
        <v>dot</v>
      </c>
    </row>
    <row r="12163">
      <c r="A12163" s="1" t="s">
        <v>12163</v>
      </c>
      <c r="B12163" s="2" t="str">
        <f>IFERROR(__xludf.DUMMYFUNCTION("GOOGLETRANSLATE(A12163, ""de"", ""en"")"),"saved")</f>
        <v>saved</v>
      </c>
    </row>
    <row r="12164">
      <c r="A12164" s="1" t="s">
        <v>12164</v>
      </c>
      <c r="B12164" s="2" t="str">
        <f>IFERROR(__xludf.DUMMYFUNCTION("GOOGLETRANSLATE(A12164, ""de"", ""en"")"),"dress up")</f>
        <v>dress up</v>
      </c>
    </row>
    <row r="12165">
      <c r="A12165" s="1" t="s">
        <v>12165</v>
      </c>
      <c r="B12165" s="2" t="str">
        <f>IFERROR(__xludf.DUMMYFUNCTION("GOOGLETRANSLATE(A12165, ""de"", ""en"")"),"horrible")</f>
        <v>horrible</v>
      </c>
    </row>
    <row r="12166">
      <c r="A12166" s="1" t="s">
        <v>12166</v>
      </c>
      <c r="B12166" s="2" t="str">
        <f>IFERROR(__xludf.DUMMYFUNCTION("GOOGLETRANSLATE(A12166, ""de"", ""en"")"),"observed")</f>
        <v>observed</v>
      </c>
    </row>
    <row r="12167">
      <c r="A12167" s="1" t="s">
        <v>12167</v>
      </c>
      <c r="B12167" s="2" t="str">
        <f>IFERROR(__xludf.DUMMYFUNCTION("GOOGLETRANSLATE(A12167, ""de"", ""en"")"),"to run away")</f>
        <v>to run away</v>
      </c>
    </row>
    <row r="12168">
      <c r="A12168" s="1" t="s">
        <v>12168</v>
      </c>
      <c r="B12168" s="2" t="str">
        <f>IFERROR(__xludf.DUMMYFUNCTION("GOOGLETRANSLATE(A12168, ""de"", ""en"")"),"find again")</f>
        <v>find again</v>
      </c>
    </row>
    <row r="12169">
      <c r="A12169" s="1" t="s">
        <v>12169</v>
      </c>
      <c r="B12169" s="2" t="str">
        <f>IFERROR(__xludf.DUMMYFUNCTION("GOOGLETRANSLATE(A12169, ""de"", ""en"")"),"sensible")</f>
        <v>sensible</v>
      </c>
    </row>
    <row r="12170">
      <c r="A12170" s="1" t="s">
        <v>12170</v>
      </c>
      <c r="B12170" s="2" t="str">
        <f>IFERROR(__xludf.DUMMYFUNCTION("GOOGLETRANSLATE(A12170, ""de"", ""en"")"),"England")</f>
        <v>England</v>
      </c>
    </row>
    <row r="12171">
      <c r="A12171" s="1" t="s">
        <v>12171</v>
      </c>
      <c r="B12171" s="2" t="str">
        <f>IFERROR(__xludf.DUMMYFUNCTION("GOOGLETRANSLATE(A12171, ""de"", ""en"")"),"east coast")</f>
        <v>east coast</v>
      </c>
    </row>
    <row r="12172">
      <c r="A12172" s="1" t="s">
        <v>12172</v>
      </c>
      <c r="B12172" s="2" t="str">
        <f>IFERROR(__xludf.DUMMYFUNCTION("GOOGLETRANSLATE(A12172, ""de"", ""en"")"),"historical")</f>
        <v>historical</v>
      </c>
    </row>
    <row r="12173">
      <c r="A12173" s="1" t="s">
        <v>12173</v>
      </c>
      <c r="B12173" s="2" t="str">
        <f>IFERROR(__xludf.DUMMYFUNCTION("GOOGLETRANSLATE(A12173, ""de"", ""en"")"),"sheikh")</f>
        <v>sheikh</v>
      </c>
    </row>
    <row r="12174">
      <c r="A12174" s="1" t="s">
        <v>12174</v>
      </c>
      <c r="B12174" s="2" t="str">
        <f>IFERROR(__xludf.DUMMYFUNCTION("GOOGLETRANSLATE(A12174, ""de"", ""en"")"),"repairs")</f>
        <v>repairs</v>
      </c>
    </row>
    <row r="12175">
      <c r="A12175" s="1" t="s">
        <v>12175</v>
      </c>
      <c r="B12175" s="2" t="str">
        <f>IFERROR(__xludf.DUMMYFUNCTION("GOOGLETRANSLATE(A12175, ""de"", ""en"")"),"similar")</f>
        <v>similar</v>
      </c>
    </row>
    <row r="12176">
      <c r="A12176" s="1" t="s">
        <v>12176</v>
      </c>
      <c r="B12176" s="2" t="str">
        <f>IFERROR(__xludf.DUMMYFUNCTION("GOOGLETRANSLATE(A12176, ""de"", ""en"")"),"slashed")</f>
        <v>slashed</v>
      </c>
    </row>
    <row r="12177">
      <c r="A12177" s="1" t="s">
        <v>12177</v>
      </c>
      <c r="B12177" s="2" t="str">
        <f>IFERROR(__xludf.DUMMYFUNCTION("GOOGLETRANSLATE(A12177, ""de"", ""en"")"),"sanchez")</f>
        <v>sanchez</v>
      </c>
    </row>
    <row r="12178">
      <c r="A12178" s="1" t="s">
        <v>12178</v>
      </c>
      <c r="B12178" s="2" t="str">
        <f>IFERROR(__xludf.DUMMYFUNCTION("GOOGLETRANSLATE(A12178, ""de"", ""en"")"),"plug")</f>
        <v>plug</v>
      </c>
    </row>
    <row r="12179">
      <c r="A12179" s="1" t="s">
        <v>12179</v>
      </c>
      <c r="B12179" s="2" t="str">
        <f>IFERROR(__xludf.DUMMYFUNCTION("GOOGLETRANSLATE(A12179, ""de"", ""en"")"),"republican")</f>
        <v>republican</v>
      </c>
    </row>
    <row r="12180">
      <c r="A12180" s="1" t="s">
        <v>12180</v>
      </c>
      <c r="B12180" s="2" t="str">
        <f>IFERROR(__xludf.DUMMYFUNCTION("GOOGLETRANSLATE(A12180, ""de"", ""en"")"),"worship")</f>
        <v>worship</v>
      </c>
    </row>
    <row r="12181">
      <c r="A12181" s="1" t="s">
        <v>12181</v>
      </c>
      <c r="B12181" s="2" t="str">
        <f>IFERROR(__xludf.DUMMYFUNCTION("GOOGLETRANSLATE(A12181, ""de"", ""en"")"),"white")</f>
        <v>white</v>
      </c>
    </row>
    <row r="12182">
      <c r="A12182" s="1" t="s">
        <v>12182</v>
      </c>
      <c r="B12182" s="2" t="str">
        <f>IFERROR(__xludf.DUMMYFUNCTION("GOOGLETRANSLATE(A12182, ""de"", ""en"")"),"Charlie")</f>
        <v>Charlie</v>
      </c>
    </row>
    <row r="12183">
      <c r="A12183" s="1" t="s">
        <v>12183</v>
      </c>
      <c r="B12183" s="2" t="str">
        <f>IFERROR(__xludf.DUMMYFUNCTION("GOOGLETRANSLATE(A12183, ""de"", ""en"")"),"Türkiye")</f>
        <v>Türkiye</v>
      </c>
    </row>
    <row r="12184">
      <c r="A12184" s="1" t="s">
        <v>12184</v>
      </c>
      <c r="B12184" s="2" t="str">
        <f>IFERROR(__xludf.DUMMYFUNCTION("GOOGLETRANSLATE(A12184, ""de"", ""en"")"),"complete")</f>
        <v>complete</v>
      </c>
    </row>
    <row r="12185">
      <c r="A12185" s="1" t="s">
        <v>12185</v>
      </c>
      <c r="B12185" s="2" t="str">
        <f>IFERROR(__xludf.DUMMYFUNCTION("GOOGLETRANSLATE(A12185, ""de"", ""en"")"),"lord")</f>
        <v>lord</v>
      </c>
    </row>
    <row r="12186">
      <c r="A12186" s="1" t="s">
        <v>12186</v>
      </c>
      <c r="B12186" s="2" t="str">
        <f>IFERROR(__xludf.DUMMYFUNCTION("GOOGLETRANSLATE(A12186, ""de"", ""en"")"),"Americans")</f>
        <v>Americans</v>
      </c>
    </row>
    <row r="12187">
      <c r="A12187" s="1" t="s">
        <v>12187</v>
      </c>
      <c r="B12187" s="2" t="str">
        <f>IFERROR(__xludf.DUMMYFUNCTION("GOOGLETRANSLATE(A12187, ""de"", ""en"")"),"dirty")</f>
        <v>dirty</v>
      </c>
    </row>
    <row r="12188">
      <c r="A12188" s="1" t="s">
        <v>12188</v>
      </c>
      <c r="B12188" s="2" t="str">
        <f>IFERROR(__xludf.DUMMYFUNCTION("GOOGLETRANSLATE(A12188, ""de"", ""en"")"),"intelligent")</f>
        <v>intelligent</v>
      </c>
    </row>
    <row r="12189">
      <c r="A12189" s="1" t="s">
        <v>12189</v>
      </c>
      <c r="B12189" s="2" t="str">
        <f>IFERROR(__xludf.DUMMYFUNCTION("GOOGLETRANSLATE(A12189, ""de"", ""en"")"),"baptized")</f>
        <v>baptized</v>
      </c>
    </row>
    <row r="12190">
      <c r="A12190" s="1" t="s">
        <v>12190</v>
      </c>
      <c r="B12190" s="2" t="str">
        <f>IFERROR(__xludf.DUMMYFUNCTION("GOOGLETRANSLATE(A12190, ""de"", ""en"")"),"soda")</f>
        <v>soda</v>
      </c>
    </row>
    <row r="12191">
      <c r="A12191" s="1" t="s">
        <v>12191</v>
      </c>
      <c r="B12191" s="2" t="str">
        <f>IFERROR(__xludf.DUMMYFUNCTION("GOOGLETRANSLATE(A12191, ""de"", ""en"")"),"ready for use")</f>
        <v>ready for use</v>
      </c>
    </row>
    <row r="12192">
      <c r="A12192" s="1" t="s">
        <v>12192</v>
      </c>
      <c r="B12192" s="2" t="str">
        <f>IFERROR(__xludf.DUMMYFUNCTION("GOOGLETRANSLATE(A12192, ""de"", ""en"")"),"awarded")</f>
        <v>awarded</v>
      </c>
    </row>
    <row r="12193">
      <c r="A12193" s="1" t="s">
        <v>12193</v>
      </c>
      <c r="B12193" s="2" t="str">
        <f>IFERROR(__xludf.DUMMYFUNCTION("GOOGLETRANSLATE(A12193, ""de"", ""en"")"),"concrete")</f>
        <v>concrete</v>
      </c>
    </row>
    <row r="12194">
      <c r="A12194" s="1" t="s">
        <v>12194</v>
      </c>
      <c r="B12194" s="2" t="str">
        <f>IFERROR(__xludf.DUMMYFUNCTION("GOOGLETRANSLATE(A12194, ""de"", ""en"")"),"sufficient")</f>
        <v>sufficient</v>
      </c>
    </row>
    <row r="12195">
      <c r="A12195" s="1" t="s">
        <v>12195</v>
      </c>
      <c r="B12195" s="2" t="str">
        <f>IFERROR(__xludf.DUMMYFUNCTION("GOOGLETRANSLATE(A12195, ""de"", ""en"")"),"investigate")</f>
        <v>investigate</v>
      </c>
    </row>
    <row r="12196">
      <c r="A12196" s="1" t="s">
        <v>12196</v>
      </c>
      <c r="B12196" s="2" t="str">
        <f>IFERROR(__xludf.DUMMYFUNCTION("GOOGLETRANSLATE(A12196, ""de"", ""en"")"),"Robbins")</f>
        <v>Robbins</v>
      </c>
    </row>
    <row r="12197">
      <c r="A12197" s="1" t="s">
        <v>12197</v>
      </c>
      <c r="B12197" s="2" t="str">
        <f>IFERROR(__xludf.DUMMYFUNCTION("GOOGLETRANSLATE(A12197, ""de"", ""en"")"),"sabotage")</f>
        <v>sabotage</v>
      </c>
    </row>
    <row r="12198">
      <c r="A12198" s="1" t="s">
        <v>12198</v>
      </c>
      <c r="B12198" s="2" t="str">
        <f>IFERROR(__xludf.DUMMYFUNCTION("GOOGLETRANSLATE(A12198, ""de"", ""en"")"),"consulate")</f>
        <v>consulate</v>
      </c>
    </row>
    <row r="12199">
      <c r="A12199" s="1" t="s">
        <v>12199</v>
      </c>
      <c r="B12199" s="2" t="str">
        <f>IFERROR(__xludf.DUMMYFUNCTION("GOOGLETRANSLATE(A12199, ""de"", ""en"")"),"Martha")</f>
        <v>Martha</v>
      </c>
    </row>
    <row r="12200">
      <c r="A12200" s="1" t="s">
        <v>12200</v>
      </c>
      <c r="B12200" s="2" t="str">
        <f>IFERROR(__xludf.DUMMYFUNCTION("GOOGLETRANSLATE(A12200, ""de"", ""en"")"),"never")</f>
        <v>never</v>
      </c>
    </row>
    <row r="12201">
      <c r="A12201" s="1" t="s">
        <v>12201</v>
      </c>
      <c r="B12201" s="2" t="str">
        <f>IFERROR(__xludf.DUMMYFUNCTION("GOOGLETRANSLATE(A12201, ""de"", ""en"")"),"blown up")</f>
        <v>blown up</v>
      </c>
    </row>
    <row r="12202">
      <c r="A12202" s="1" t="s">
        <v>12202</v>
      </c>
      <c r="B12202" s="2" t="str">
        <f>IFERROR(__xludf.DUMMYFUNCTION("GOOGLETRANSLATE(A12202, ""de"", ""en"")"),"balloons")</f>
        <v>balloons</v>
      </c>
    </row>
    <row r="12203">
      <c r="A12203" s="1" t="s">
        <v>12203</v>
      </c>
      <c r="B12203" s="2" t="str">
        <f>IFERROR(__xludf.DUMMYFUNCTION("GOOGLETRANSLATE(A12203, ""de"", ""en"")"),"birthday present")</f>
        <v>birthday present</v>
      </c>
    </row>
    <row r="12204">
      <c r="A12204" s="1" t="s">
        <v>12204</v>
      </c>
      <c r="B12204" s="2" t="str">
        <f>IFERROR(__xludf.DUMMYFUNCTION("GOOGLETRANSLATE(A12204, ""de"", ""en"")"),"mickey")</f>
        <v>mickey</v>
      </c>
    </row>
    <row r="12205">
      <c r="A12205" s="1" t="s">
        <v>12205</v>
      </c>
      <c r="B12205" s="2" t="str">
        <f>IFERROR(__xludf.DUMMYFUNCTION("GOOGLETRANSLATE(A12205, ""de"", ""en"")"),"Fleming")</f>
        <v>Fleming</v>
      </c>
    </row>
    <row r="12206">
      <c r="A12206" s="1" t="s">
        <v>12206</v>
      </c>
      <c r="B12206" s="2" t="str">
        <f>IFERROR(__xludf.DUMMYFUNCTION("GOOGLETRANSLATE(A12206, ""de"", ""en"")"),"red wine")</f>
        <v>red wine</v>
      </c>
    </row>
    <row r="12207">
      <c r="A12207" s="1" t="s">
        <v>12207</v>
      </c>
      <c r="B12207" s="2" t="str">
        <f>IFERROR(__xludf.DUMMYFUNCTION("GOOGLETRANSLATE(A12207, ""de"", ""en"")"),"dare")</f>
        <v>dare</v>
      </c>
    </row>
    <row r="12208">
      <c r="A12208" s="1" t="s">
        <v>12208</v>
      </c>
      <c r="B12208" s="2" t="str">
        <f>IFERROR(__xludf.DUMMYFUNCTION("GOOGLETRANSLATE(A12208, ""de"", ""en"")"),"blood")</f>
        <v>blood</v>
      </c>
    </row>
    <row r="12209">
      <c r="A12209" s="1" t="s">
        <v>12209</v>
      </c>
      <c r="B12209" s="2" t="str">
        <f>IFERROR(__xludf.DUMMYFUNCTION("GOOGLETRANSLATE(A12209, ""de"", ""en"")"),"a thousand times")</f>
        <v>a thousand times</v>
      </c>
    </row>
    <row r="12210">
      <c r="A12210" s="1" t="s">
        <v>12210</v>
      </c>
      <c r="B12210" s="2" t="str">
        <f>IFERROR(__xludf.DUMMYFUNCTION("GOOGLETRANSLATE(A12210, ""de"", ""en"")"),"filler")</f>
        <v>filler</v>
      </c>
    </row>
    <row r="12211">
      <c r="A12211" s="1" t="s">
        <v>12211</v>
      </c>
      <c r="B12211" s="2" t="str">
        <f>IFERROR(__xludf.DUMMYFUNCTION("GOOGLETRANSLATE(A12211, ""de"", ""en"")"),"trot")</f>
        <v>trot</v>
      </c>
    </row>
    <row r="12212">
      <c r="A12212" s="1" t="s">
        <v>12212</v>
      </c>
      <c r="B12212" s="2" t="str">
        <f>IFERROR(__xludf.DUMMYFUNCTION("GOOGLETRANSLATE(A12212, ""de"", ""en"")"),"great")</f>
        <v>great</v>
      </c>
    </row>
    <row r="12213">
      <c r="A12213" s="1" t="s">
        <v>12213</v>
      </c>
      <c r="B12213" s="2" t="str">
        <f>IFERROR(__xludf.DUMMYFUNCTION("GOOGLETRANSLATE(A12213, ""de"", ""en"")"),"hetero")</f>
        <v>hetero</v>
      </c>
    </row>
    <row r="12214">
      <c r="A12214" s="1" t="s">
        <v>12214</v>
      </c>
      <c r="B12214" s="2" t="str">
        <f>IFERROR(__xludf.DUMMYFUNCTION("GOOGLETRANSLATE(A12214, ""de"", ""en"")"),"outer")</f>
        <v>outer</v>
      </c>
    </row>
    <row r="12215">
      <c r="A12215" s="1" t="s">
        <v>12215</v>
      </c>
      <c r="B12215" s="2" t="str">
        <f>IFERROR(__xludf.DUMMYFUNCTION("GOOGLETRANSLATE(A12215, ""de"", ""en"")"),"husband")</f>
        <v>husband</v>
      </c>
    </row>
    <row r="12216">
      <c r="A12216" s="1" t="s">
        <v>12216</v>
      </c>
      <c r="B12216" s="2" t="str">
        <f>IFERROR(__xludf.DUMMYFUNCTION("GOOGLETRANSLATE(A12216, ""de"", ""en"")"),"abandoned")</f>
        <v>abandoned</v>
      </c>
    </row>
    <row r="12217">
      <c r="A12217" s="1" t="s">
        <v>12217</v>
      </c>
      <c r="B12217" s="2" t="str">
        <f>IFERROR(__xludf.DUMMYFUNCTION("GOOGLETRANSLATE(A12217, ""de"", ""en"")"),"clean")</f>
        <v>clean</v>
      </c>
    </row>
    <row r="12218">
      <c r="A12218" s="1" t="s">
        <v>12218</v>
      </c>
      <c r="B12218" s="2" t="str">
        <f>IFERROR(__xludf.DUMMYFUNCTION("GOOGLETRANSLATE(A12218, ""de"", ""en"")"),"justified")</f>
        <v>justified</v>
      </c>
    </row>
    <row r="12219">
      <c r="A12219" s="1" t="s">
        <v>12219</v>
      </c>
      <c r="B12219" s="2" t="str">
        <f>IFERROR(__xludf.DUMMYFUNCTION("GOOGLETRANSLATE(A12219, ""de"", ""en"")"),"favor")</f>
        <v>favor</v>
      </c>
    </row>
    <row r="12220">
      <c r="A12220" s="1" t="s">
        <v>12220</v>
      </c>
      <c r="B12220" s="2" t="str">
        <f>IFERROR(__xludf.DUMMYFUNCTION("GOOGLETRANSLATE(A12220, ""de"", ""en"")"),"had breakfast")</f>
        <v>had breakfast</v>
      </c>
    </row>
    <row r="12221">
      <c r="A12221" s="1" t="s">
        <v>12221</v>
      </c>
      <c r="B12221" s="2" t="str">
        <f>IFERROR(__xludf.DUMMYFUNCTION("GOOGLETRANSLATE(A12221, ""de"", ""en"")"),"dry")</f>
        <v>dry</v>
      </c>
    </row>
    <row r="12222">
      <c r="A12222" s="1" t="s">
        <v>12222</v>
      </c>
      <c r="B12222" s="2" t="str">
        <f>IFERROR(__xludf.DUMMYFUNCTION("GOOGLETRANSLATE(A12222, ""de"", ""en"")"),"pocket money")</f>
        <v>pocket money</v>
      </c>
    </row>
    <row r="12223">
      <c r="A12223" s="1" t="s">
        <v>12223</v>
      </c>
      <c r="B12223" s="2" t="str">
        <f>IFERROR(__xludf.DUMMYFUNCTION("GOOGLETRANSLATE(A12223, ""de"", ""en"")"),"ghosts")</f>
        <v>ghosts</v>
      </c>
    </row>
    <row r="12224">
      <c r="A12224" s="1" t="s">
        <v>12224</v>
      </c>
      <c r="B12224" s="2" t="str">
        <f>IFERROR(__xludf.DUMMYFUNCTION("GOOGLETRANSLATE(A12224, ""de"", ""en"")"),"robby")</f>
        <v>robby</v>
      </c>
    </row>
    <row r="12225">
      <c r="A12225" s="1" t="s">
        <v>12225</v>
      </c>
      <c r="B12225" s="2" t="str">
        <f>IFERROR(__xludf.DUMMYFUNCTION("GOOGLETRANSLATE(A12225, ""de"", ""en"")"),"leg")</f>
        <v>leg</v>
      </c>
    </row>
    <row r="12226">
      <c r="A12226" s="1" t="s">
        <v>12226</v>
      </c>
      <c r="B12226" s="2" t="str">
        <f>IFERROR(__xludf.DUMMYFUNCTION("GOOGLETRANSLATE(A12226, ""de"", ""en"")"),"heart attack")</f>
        <v>heart attack</v>
      </c>
    </row>
    <row r="12227">
      <c r="A12227" s="1" t="s">
        <v>12227</v>
      </c>
      <c r="B12227" s="2" t="str">
        <f>IFERROR(__xludf.DUMMYFUNCTION("GOOGLETRANSLATE(A12227, ""de"", ""en"")"),"downtown")</f>
        <v>downtown</v>
      </c>
    </row>
    <row r="12228">
      <c r="A12228" s="1" t="s">
        <v>12228</v>
      </c>
      <c r="B12228" s="2" t="str">
        <f>IFERROR(__xludf.DUMMYFUNCTION("GOOGLETRANSLATE(A12228, ""de"", ""en"")"),"spine")</f>
        <v>spine</v>
      </c>
    </row>
    <row r="12229">
      <c r="A12229" s="1" t="s">
        <v>12229</v>
      </c>
      <c r="B12229" s="2" t="str">
        <f>IFERROR(__xludf.DUMMYFUNCTION("GOOGLETRANSLATE(A12229, ""de"", ""en"")"),"curt")</f>
        <v>curt</v>
      </c>
    </row>
    <row r="12230">
      <c r="A12230" s="1" t="s">
        <v>12230</v>
      </c>
      <c r="B12230" s="2" t="str">
        <f>IFERROR(__xludf.DUMMYFUNCTION("GOOGLETRANSLATE(A12230, ""de"", ""en"")"),"enjoyment")</f>
        <v>enjoyment</v>
      </c>
    </row>
    <row r="12231">
      <c r="A12231" s="1" t="s">
        <v>12231</v>
      </c>
      <c r="B12231" s="2" t="str">
        <f>IFERROR(__xludf.DUMMYFUNCTION("GOOGLETRANSLATE(A12231, ""de"", ""en"")"),"flyers")</f>
        <v>flyers</v>
      </c>
    </row>
    <row r="12232">
      <c r="A12232" s="1" t="s">
        <v>12232</v>
      </c>
      <c r="B12232" s="2" t="str">
        <f>IFERROR(__xludf.DUMMYFUNCTION("GOOGLETRANSLATE(A12232, ""de"", ""en"")"),"reservation")</f>
        <v>reservation</v>
      </c>
    </row>
    <row r="12233">
      <c r="A12233" s="1" t="s">
        <v>12233</v>
      </c>
      <c r="B12233" s="2" t="str">
        <f>IFERROR(__xludf.DUMMYFUNCTION("GOOGLETRANSLATE(A12233, ""de"", ""en"")"),"vow")</f>
        <v>vow</v>
      </c>
    </row>
    <row r="12234">
      <c r="A12234" s="1" t="s">
        <v>12234</v>
      </c>
      <c r="B12234" s="2" t="str">
        <f>IFERROR(__xludf.DUMMYFUNCTION("GOOGLETRANSLATE(A12234, ""de"", ""en"")"),"three")</f>
        <v>three</v>
      </c>
    </row>
    <row r="12235">
      <c r="A12235" s="1" t="s">
        <v>12235</v>
      </c>
      <c r="B12235" s="2" t="str">
        <f>IFERROR(__xludf.DUMMYFUNCTION("GOOGLETRANSLATE(A12235, ""de"", ""en"")"),"bloody")</f>
        <v>bloody</v>
      </c>
    </row>
    <row r="12236">
      <c r="A12236" s="1" t="s">
        <v>12236</v>
      </c>
      <c r="B12236" s="2" t="str">
        <f>IFERROR(__xludf.DUMMYFUNCTION("GOOGLETRANSLATE(A12236, ""de"", ""en"")"),"carroll")</f>
        <v>carroll</v>
      </c>
    </row>
    <row r="12237">
      <c r="A12237" s="1" t="s">
        <v>12237</v>
      </c>
      <c r="B12237" s="2" t="str">
        <f>IFERROR(__xludf.DUMMYFUNCTION("GOOGLETRANSLATE(A12237, ""de"", ""en"")"),"need")</f>
        <v>need</v>
      </c>
    </row>
    <row r="12238">
      <c r="A12238" s="1" t="s">
        <v>12238</v>
      </c>
      <c r="B12238" s="2" t="str">
        <f>IFERROR(__xludf.DUMMYFUNCTION("GOOGLETRANSLATE(A12238, ""de"", ""en"")"),"I ... it")</f>
        <v>I ... it</v>
      </c>
    </row>
    <row r="12239">
      <c r="A12239" s="1" t="s">
        <v>12239</v>
      </c>
      <c r="B12239" s="2" t="str">
        <f>IFERROR(__xludf.DUMMYFUNCTION("GOOGLETRANSLATE(A12239, ""de"", ""en"")"),"rover")</f>
        <v>rover</v>
      </c>
    </row>
    <row r="12240">
      <c r="A12240" s="1" t="s">
        <v>12240</v>
      </c>
      <c r="B12240" s="2" t="str">
        <f>IFERROR(__xludf.DUMMYFUNCTION("GOOGLETRANSLATE(A12240, ""de"", ""en"")"),"ruthless")</f>
        <v>ruthless</v>
      </c>
    </row>
    <row r="12241">
      <c r="A12241" s="1" t="s">
        <v>12241</v>
      </c>
      <c r="B12241" s="2" t="str">
        <f>IFERROR(__xludf.DUMMYFUNCTION("GOOGLETRANSLATE(A12241, ""de"", ""en"")"),"malik")</f>
        <v>malik</v>
      </c>
    </row>
    <row r="12242">
      <c r="A12242" s="1" t="s">
        <v>12242</v>
      </c>
      <c r="B12242" s="2" t="str">
        <f>IFERROR(__xludf.DUMMYFUNCTION("GOOGLETRANSLATE(A12242, ""de"", ""en"")"),"grain")</f>
        <v>grain</v>
      </c>
    </row>
    <row r="12243">
      <c r="A12243" s="1" t="s">
        <v>12243</v>
      </c>
      <c r="B12243" s="2" t="str">
        <f>IFERROR(__xludf.DUMMYFUNCTION("GOOGLETRANSLATE(A12243, ""de"", ""en"")"),"guesses")</f>
        <v>guesses</v>
      </c>
    </row>
    <row r="12244">
      <c r="A12244" s="1" t="s">
        <v>12244</v>
      </c>
      <c r="B12244" s="2" t="str">
        <f>IFERROR(__xludf.DUMMYFUNCTION("GOOGLETRANSLATE(A12244, ""de"", ""en"")"),"dwight")</f>
        <v>dwight</v>
      </c>
    </row>
    <row r="12245">
      <c r="A12245" s="1" t="s">
        <v>12245</v>
      </c>
      <c r="B12245" s="2" t="str">
        <f>IFERROR(__xludf.DUMMYFUNCTION("GOOGLETRANSLATE(A12245, ""de"", ""en"")"),"fill")</f>
        <v>fill</v>
      </c>
    </row>
    <row r="12246">
      <c r="A12246" s="1" t="s">
        <v>12246</v>
      </c>
      <c r="B12246" s="2" t="str">
        <f>IFERROR(__xludf.DUMMYFUNCTION("GOOGLETRANSLATE(A12246, ""de"", ""en"")"),"waltz")</f>
        <v>waltz</v>
      </c>
    </row>
    <row r="12247">
      <c r="A12247" s="1" t="s">
        <v>12247</v>
      </c>
      <c r="B12247" s="2" t="str">
        <f>IFERROR(__xludf.DUMMYFUNCTION("GOOGLETRANSLATE(A12247, ""de"", ""en"")"),"disturbed")</f>
        <v>disturbed</v>
      </c>
    </row>
    <row r="12248">
      <c r="A12248" s="1" t="s">
        <v>12248</v>
      </c>
      <c r="B12248" s="2" t="str">
        <f>IFERROR(__xludf.DUMMYFUNCTION("GOOGLETRANSLATE(A12248, ""de"", ""en"")"),"payment")</f>
        <v>payment</v>
      </c>
    </row>
    <row r="12249">
      <c r="A12249" s="1" t="s">
        <v>12249</v>
      </c>
      <c r="B12249" s="2" t="str">
        <f>IFERROR(__xludf.DUMMYFUNCTION("GOOGLETRANSLATE(A12249, ""de"", ""en"")"),"care")</f>
        <v>care</v>
      </c>
    </row>
    <row r="12250">
      <c r="A12250" s="1" t="s">
        <v>12250</v>
      </c>
      <c r="B12250" s="2" t="str">
        <f>IFERROR(__xludf.DUMMYFUNCTION("GOOGLETRANSLATE(A12250, ""de"", ""en"")"),"inspection")</f>
        <v>inspection</v>
      </c>
    </row>
    <row r="12251">
      <c r="A12251" s="1" t="s">
        <v>12251</v>
      </c>
      <c r="B12251" s="2" t="str">
        <f>IFERROR(__xludf.DUMMYFUNCTION("GOOGLETRANSLATE(A12251, ""de"", ""en"")"),"got to know")</f>
        <v>got to know</v>
      </c>
    </row>
    <row r="12252">
      <c r="A12252" s="1" t="s">
        <v>12252</v>
      </c>
      <c r="B12252" s="2" t="str">
        <f>IFERROR(__xludf.DUMMYFUNCTION("GOOGLETRANSLATE(A12252, ""de"", ""en"")"),"clean")</f>
        <v>clean</v>
      </c>
    </row>
    <row r="12253">
      <c r="A12253" s="1" t="s">
        <v>12253</v>
      </c>
      <c r="B12253" s="2" t="str">
        <f>IFERROR(__xludf.DUMMYFUNCTION("GOOGLETRANSLATE(A12253, ""de"", ""en"")"),"amulet")</f>
        <v>amulet</v>
      </c>
    </row>
    <row r="12254">
      <c r="A12254" s="1" t="s">
        <v>12254</v>
      </c>
      <c r="B12254" s="2" t="str">
        <f>IFERROR(__xludf.DUMMYFUNCTION("GOOGLETRANSLATE(A12254, ""de"", ""en"")"),"recently")</f>
        <v>recently</v>
      </c>
    </row>
    <row r="12255">
      <c r="A12255" s="1" t="s">
        <v>12255</v>
      </c>
      <c r="B12255" s="2" t="str">
        <f>IFERROR(__xludf.DUMMYFUNCTION("GOOGLETRANSLATE(A12255, ""de"", ""en"")"),"is entitled")</f>
        <v>is entitled</v>
      </c>
    </row>
    <row r="12256">
      <c r="A12256" s="1" t="s">
        <v>12256</v>
      </c>
      <c r="B12256" s="2" t="str">
        <f>IFERROR(__xludf.DUMMYFUNCTION("GOOGLETRANSLATE(A12256, ""de"", ""en"")"),"remington")</f>
        <v>remington</v>
      </c>
    </row>
    <row r="12257">
      <c r="A12257" s="1" t="s">
        <v>12257</v>
      </c>
      <c r="B12257" s="2" t="str">
        <f>IFERROR(__xludf.DUMMYFUNCTION("GOOGLETRANSLATE(A12257, ""de"", ""en"")"),"outdated")</f>
        <v>outdated</v>
      </c>
    </row>
    <row r="12258">
      <c r="A12258" s="1" t="s">
        <v>12258</v>
      </c>
      <c r="B12258" s="2" t="str">
        <f>IFERROR(__xludf.DUMMYFUNCTION("GOOGLETRANSLATE(A12258, ""de"", ""en"")"),"shed")</f>
        <v>shed</v>
      </c>
    </row>
    <row r="12259">
      <c r="A12259" s="1" t="s">
        <v>12259</v>
      </c>
      <c r="B12259" s="2" t="str">
        <f>IFERROR(__xludf.DUMMYFUNCTION("GOOGLETRANSLATE(A12259, ""de"", ""en"")"),"literally")</f>
        <v>literally</v>
      </c>
    </row>
    <row r="12260">
      <c r="A12260" s="1" t="s">
        <v>12260</v>
      </c>
      <c r="B12260" s="2" t="str">
        <f>IFERROR(__xludf.DUMMYFUNCTION("GOOGLETRANSLATE(A12260, ""de"", ""en"")"),"regretted")</f>
        <v>regretted</v>
      </c>
    </row>
    <row r="12261">
      <c r="A12261" s="1" t="s">
        <v>12261</v>
      </c>
      <c r="B12261" s="2" t="str">
        <f>IFERROR(__xludf.DUMMYFUNCTION("GOOGLETRANSLATE(A12261, ""de"", ""en"")"),"place")</f>
        <v>place</v>
      </c>
    </row>
    <row r="12262">
      <c r="A12262" s="1" t="s">
        <v>12262</v>
      </c>
      <c r="B12262" s="2" t="str">
        <f>IFERROR(__xludf.DUMMYFUNCTION("GOOGLETRANSLATE(A12262, ""de"", ""en"")"),"parties")</f>
        <v>parties</v>
      </c>
    </row>
    <row r="12263">
      <c r="A12263" s="1" t="s">
        <v>12263</v>
      </c>
      <c r="B12263" s="2" t="str">
        <f>IFERROR(__xludf.DUMMYFUNCTION("GOOGLETRANSLATE(A12263, ""de"", ""en"")"),"continent")</f>
        <v>continent</v>
      </c>
    </row>
    <row r="12264">
      <c r="A12264" s="1" t="s">
        <v>12264</v>
      </c>
      <c r="B12264" s="2" t="str">
        <f>IFERROR(__xludf.DUMMYFUNCTION("GOOGLETRANSLATE(A12264, ""de"", ""en"")"),"bastard")</f>
        <v>bastard</v>
      </c>
    </row>
    <row r="12265">
      <c r="A12265" s="1" t="s">
        <v>12265</v>
      </c>
      <c r="B12265" s="2" t="str">
        <f>IFERROR(__xludf.DUMMYFUNCTION("GOOGLETRANSLATE(A12265, ""de"", ""en"")"),"university")</f>
        <v>university</v>
      </c>
    </row>
    <row r="12266">
      <c r="A12266" s="1" t="s">
        <v>12266</v>
      </c>
      <c r="B12266" s="2" t="str">
        <f>IFERROR(__xludf.DUMMYFUNCTION("GOOGLETRANSLATE(A12266, ""de"", ""en"")"),"wax")</f>
        <v>wax</v>
      </c>
    </row>
    <row r="12267">
      <c r="A12267" s="1" t="s">
        <v>12267</v>
      </c>
      <c r="B12267" s="2" t="str">
        <f>IFERROR(__xludf.DUMMYFUNCTION("GOOGLETRANSLATE(A12267, ""de"", ""en"")"),"entry")</f>
        <v>entry</v>
      </c>
    </row>
    <row r="12268">
      <c r="A12268" s="1" t="s">
        <v>12268</v>
      </c>
      <c r="B12268" s="2" t="str">
        <f>IFERROR(__xludf.DUMMYFUNCTION("GOOGLETRANSLATE(A12268, ""de"", ""en"")"),"alleviate")</f>
        <v>alleviate</v>
      </c>
    </row>
    <row r="12269">
      <c r="A12269" s="1" t="s">
        <v>12269</v>
      </c>
      <c r="B12269" s="2" t="str">
        <f>IFERROR(__xludf.DUMMYFUNCTION("GOOGLETRANSLATE(A12269, ""de"", ""en"")"),"street side")</f>
        <v>street side</v>
      </c>
    </row>
    <row r="12270">
      <c r="A12270" s="1" t="s">
        <v>12270</v>
      </c>
      <c r="B12270" s="2" t="str">
        <f>IFERROR(__xludf.DUMMYFUNCTION("GOOGLETRANSLATE(A12270, ""de"", ""en"")"),"brilliant")</f>
        <v>brilliant</v>
      </c>
    </row>
    <row r="12271">
      <c r="A12271" s="1" t="s">
        <v>12271</v>
      </c>
      <c r="B12271" s="2" t="str">
        <f>IFERROR(__xludf.DUMMYFUNCTION("GOOGLETRANSLATE(A12271, ""de"", ""en"")"),"subtitling")</f>
        <v>subtitling</v>
      </c>
    </row>
    <row r="12272">
      <c r="A12272" s="1" t="s">
        <v>12272</v>
      </c>
      <c r="B12272" s="2" t="str">
        <f>IFERROR(__xludf.DUMMYFUNCTION("GOOGLETRANSLATE(A12272, ""de"", ""en"")"),"put down")</f>
        <v>put down</v>
      </c>
    </row>
    <row r="12273">
      <c r="A12273" s="1" t="s">
        <v>12273</v>
      </c>
      <c r="B12273" s="2" t="str">
        <f>IFERROR(__xludf.DUMMYFUNCTION("GOOGLETRANSLATE(A12273, ""de"", ""en"")"),"announced")</f>
        <v>announced</v>
      </c>
    </row>
    <row r="12274">
      <c r="A12274" s="1" t="s">
        <v>12274</v>
      </c>
      <c r="B12274" s="2" t="str">
        <f>IFERROR(__xludf.DUMMYFUNCTION("GOOGLETRANSLATE(A12274, ""de"", ""en"")"),"meyer")</f>
        <v>meyer</v>
      </c>
    </row>
    <row r="12275">
      <c r="A12275" s="1" t="s">
        <v>12275</v>
      </c>
      <c r="B12275" s="2" t="str">
        <f>IFERROR(__xludf.DUMMYFUNCTION("GOOGLETRANSLATE(A12275, ""de"", ""en"")"),"invented")</f>
        <v>invented</v>
      </c>
    </row>
    <row r="12276">
      <c r="A12276" s="1" t="s">
        <v>12276</v>
      </c>
      <c r="B12276" s="2" t="str">
        <f>IFERROR(__xludf.DUMMYFUNCTION("GOOGLETRANSLATE(A12276, ""de"", ""en"")"),"more faithful")</f>
        <v>more faithful</v>
      </c>
    </row>
    <row r="12277">
      <c r="A12277" s="1" t="s">
        <v>12277</v>
      </c>
      <c r="B12277" s="2" t="str">
        <f>IFERROR(__xludf.DUMMYFUNCTION("GOOGLETRANSLATE(A12277, ""de"", ""en"")"),"are equivalent to")</f>
        <v>are equivalent to</v>
      </c>
    </row>
    <row r="12278">
      <c r="A12278" s="1" t="s">
        <v>12278</v>
      </c>
      <c r="B12278" s="2" t="str">
        <f>IFERROR(__xludf.DUMMYFUNCTION("GOOGLETRANSLATE(A12278, ""de"", ""en"")"),"charge")</f>
        <v>charge</v>
      </c>
    </row>
    <row r="12279">
      <c r="A12279" s="1" t="s">
        <v>12279</v>
      </c>
      <c r="B12279" s="2" t="str">
        <f>IFERROR(__xludf.DUMMYFUNCTION("GOOGLETRANSLATE(A12279, ""de"", ""en"")"),"blooms")</f>
        <v>blooms</v>
      </c>
    </row>
    <row r="12280">
      <c r="A12280" s="1" t="s">
        <v>12280</v>
      </c>
      <c r="B12280" s="2" t="str">
        <f>IFERROR(__xludf.DUMMYFUNCTION("GOOGLETRANSLATE(A12280, ""de"", ""en"")"),"bump")</f>
        <v>bump</v>
      </c>
    </row>
    <row r="12281">
      <c r="A12281" s="1" t="s">
        <v>12281</v>
      </c>
      <c r="B12281" s="2" t="str">
        <f>IFERROR(__xludf.DUMMYFUNCTION("GOOGLETRANSLATE(A12281, ""de"", ""en"")"),"cat")</f>
        <v>cat</v>
      </c>
    </row>
    <row r="12282">
      <c r="A12282" s="1" t="s">
        <v>12282</v>
      </c>
      <c r="B12282" s="2" t="str">
        <f>IFERROR(__xludf.DUMMYFUNCTION("GOOGLETRANSLATE(A12282, ""de"", ""en"")"),"church")</f>
        <v>church</v>
      </c>
    </row>
    <row r="12283">
      <c r="A12283" s="1" t="s">
        <v>12283</v>
      </c>
      <c r="B12283" s="2" t="str">
        <f>IFERROR(__xludf.DUMMYFUNCTION("GOOGLETRANSLATE(A12283, ""de"", ""en"")"),"speechless")</f>
        <v>speechless</v>
      </c>
    </row>
    <row r="12284">
      <c r="A12284" s="1" t="s">
        <v>12284</v>
      </c>
      <c r="B12284" s="2" t="str">
        <f>IFERROR(__xludf.DUMMYFUNCTION("GOOGLETRANSLATE(A12284, ""de"", ""en"")"),"scan")</f>
        <v>scan</v>
      </c>
    </row>
    <row r="12285">
      <c r="A12285" s="1" t="s">
        <v>12285</v>
      </c>
      <c r="B12285" s="2" t="str">
        <f>IFERROR(__xludf.DUMMYFUNCTION("GOOGLETRANSLATE(A12285, ""de"", ""en"")"),"grim")</f>
        <v>grim</v>
      </c>
    </row>
    <row r="12286">
      <c r="A12286" s="1" t="s">
        <v>12286</v>
      </c>
      <c r="B12286" s="2" t="str">
        <f>IFERROR(__xludf.DUMMYFUNCTION("GOOGLETRANSLATE(A12286, ""de"", ""en"")"),"Manuela")</f>
        <v>Manuela</v>
      </c>
    </row>
    <row r="12287">
      <c r="A12287" s="1" t="s">
        <v>12287</v>
      </c>
      <c r="B12287" s="2" t="str">
        <f>IFERROR(__xludf.DUMMYFUNCTION("GOOGLETRANSLATE(A12287, ""de"", ""en"")"),"emmet")</f>
        <v>emmet</v>
      </c>
    </row>
    <row r="12288">
      <c r="A12288" s="1" t="s">
        <v>12288</v>
      </c>
      <c r="B12288" s="2" t="str">
        <f>IFERROR(__xludf.DUMMYFUNCTION("GOOGLETRANSLATE(A12288, ""de"", ""en"")"),"i.")</f>
        <v>i.</v>
      </c>
    </row>
    <row r="12289">
      <c r="A12289" s="1" t="s">
        <v>12289</v>
      </c>
      <c r="B12289" s="2" t="str">
        <f>IFERROR(__xludf.DUMMYFUNCTION("GOOGLETRANSLATE(A12289, ""de"", ""en"")"),"logical")</f>
        <v>logical</v>
      </c>
    </row>
    <row r="12290">
      <c r="A12290" s="1" t="s">
        <v>12290</v>
      </c>
      <c r="B12290" s="2" t="str">
        <f>IFERROR(__xludf.DUMMYFUNCTION("GOOGLETRANSLATE(A12290, ""de"", ""en"")"),"brave")</f>
        <v>brave</v>
      </c>
    </row>
    <row r="12291">
      <c r="A12291" s="1" t="s">
        <v>12291</v>
      </c>
      <c r="B12291" s="2" t="str">
        <f>IFERROR(__xludf.DUMMYFUNCTION("GOOGLETRANSLATE(A12291, ""de"", ""en"")"),"yogurt")</f>
        <v>yogurt</v>
      </c>
    </row>
    <row r="12292">
      <c r="A12292" s="1" t="s">
        <v>12292</v>
      </c>
      <c r="B12292" s="2" t="str">
        <f>IFERROR(__xludf.DUMMYFUNCTION("GOOGLETRANSLATE(A12292, ""de"", ""en"")"),"barrett")</f>
        <v>barrett</v>
      </c>
    </row>
    <row r="12293">
      <c r="A12293" s="1" t="s">
        <v>12293</v>
      </c>
      <c r="B12293" s="2" t="str">
        <f>IFERROR(__xludf.DUMMYFUNCTION("GOOGLETRANSLATE(A12293, ""de"", ""en"")"),"biology")</f>
        <v>biology</v>
      </c>
    </row>
    <row r="12294">
      <c r="A12294" s="1" t="s">
        <v>12294</v>
      </c>
      <c r="B12294" s="2" t="str">
        <f>IFERROR(__xludf.DUMMYFUNCTION("GOOGLETRANSLATE(A12294, ""de"", ""en"")"),"lawyers")</f>
        <v>lawyers</v>
      </c>
    </row>
    <row r="12295">
      <c r="A12295" s="1" t="s">
        <v>12295</v>
      </c>
      <c r="B12295" s="2" t="str">
        <f>IFERROR(__xludf.DUMMYFUNCTION("GOOGLETRANSLATE(A12295, ""de"", ""en"")"),"business")</f>
        <v>business</v>
      </c>
    </row>
    <row r="12296">
      <c r="A12296" s="1" t="s">
        <v>12296</v>
      </c>
      <c r="B12296" s="2" t="str">
        <f>IFERROR(__xludf.DUMMYFUNCTION("GOOGLETRANSLATE(A12296, ""de"", ""en"")"),"elbow")</f>
        <v>elbow</v>
      </c>
    </row>
    <row r="12297">
      <c r="A12297" s="1" t="s">
        <v>12297</v>
      </c>
      <c r="B12297" s="2" t="str">
        <f>IFERROR(__xludf.DUMMYFUNCTION("GOOGLETRANSLATE(A12297, ""de"", ""en"")"),"resisted")</f>
        <v>resisted</v>
      </c>
    </row>
    <row r="12298">
      <c r="A12298" s="1" t="s">
        <v>12298</v>
      </c>
      <c r="B12298" s="2" t="str">
        <f>IFERROR(__xludf.DUMMYFUNCTION("GOOGLETRANSLATE(A12298, ""de"", ""en"")"),"meth")</f>
        <v>meth</v>
      </c>
    </row>
    <row r="12299">
      <c r="A12299" s="1" t="s">
        <v>12299</v>
      </c>
      <c r="B12299" s="2" t="str">
        <f>IFERROR(__xludf.DUMMYFUNCTION("GOOGLETRANSLATE(A12299, ""de"", ""en"")"),"knocked")</f>
        <v>knocked</v>
      </c>
    </row>
    <row r="12300">
      <c r="A12300" s="1" t="s">
        <v>12300</v>
      </c>
      <c r="B12300" s="2" t="str">
        <f>IFERROR(__xludf.DUMMYFUNCTION("GOOGLETRANSLATE(A12300, ""de"", ""en"")"),"wright")</f>
        <v>wright</v>
      </c>
    </row>
    <row r="12301">
      <c r="A12301" s="1" t="s">
        <v>12301</v>
      </c>
      <c r="B12301" s="2" t="str">
        <f>IFERROR(__xludf.DUMMYFUNCTION("GOOGLETRANSLATE(A12301, ""de"", ""en"")"),"greeting")</f>
        <v>greeting</v>
      </c>
    </row>
    <row r="12302">
      <c r="A12302" s="1" t="s">
        <v>12302</v>
      </c>
      <c r="B12302" s="2" t="str">
        <f>IFERROR(__xludf.DUMMYFUNCTION("GOOGLETRANSLATE(A12302, ""de"", ""en"")"),"stuck")</f>
        <v>stuck</v>
      </c>
    </row>
    <row r="12303">
      <c r="A12303" s="1" t="s">
        <v>12303</v>
      </c>
      <c r="B12303" s="2" t="str">
        <f>IFERROR(__xludf.DUMMYFUNCTION("GOOGLETRANSLATE(A12303, ""de"", ""en"")"),"permanently")</f>
        <v>permanently</v>
      </c>
    </row>
    <row r="12304">
      <c r="A12304" s="1" t="s">
        <v>12304</v>
      </c>
      <c r="B12304" s="2" t="str">
        <f>IFERROR(__xludf.DUMMYFUNCTION("GOOGLETRANSLATE(A12304, ""de"", ""en"")"),"controls")</f>
        <v>controls</v>
      </c>
    </row>
    <row r="12305">
      <c r="A12305" s="1" t="s">
        <v>12305</v>
      </c>
      <c r="B12305" s="2" t="str">
        <f>IFERROR(__xludf.DUMMYFUNCTION("GOOGLETRANSLATE(A12305, ""de"", ""en"")"),"diaper")</f>
        <v>diaper</v>
      </c>
    </row>
    <row r="12306">
      <c r="A12306" s="1" t="s">
        <v>12306</v>
      </c>
      <c r="B12306" s="2" t="str">
        <f>IFERROR(__xludf.DUMMYFUNCTION("GOOGLETRANSLATE(A12306, ""de"", ""en"")"),"older")</f>
        <v>older</v>
      </c>
    </row>
    <row r="12307">
      <c r="A12307" s="1" t="s">
        <v>12307</v>
      </c>
      <c r="B12307" s="2" t="str">
        <f>IFERROR(__xludf.DUMMYFUNCTION("GOOGLETRANSLATE(A12307, ""de"", ""en"")"),"grab")</f>
        <v>grab</v>
      </c>
    </row>
    <row r="12308">
      <c r="A12308" s="1" t="s">
        <v>12308</v>
      </c>
      <c r="B12308" s="2" t="str">
        <f>IFERROR(__xludf.DUMMYFUNCTION("GOOGLETRANSLATE(A12308, ""de"", ""en"")"),"jeremiah")</f>
        <v>jeremiah</v>
      </c>
    </row>
    <row r="12309">
      <c r="A12309" s="1" t="s">
        <v>12309</v>
      </c>
      <c r="B12309" s="2" t="str">
        <f>IFERROR(__xludf.DUMMYFUNCTION("GOOGLETRANSLATE(A12309, ""de"", ""en"")"),"blossom")</f>
        <v>blossom</v>
      </c>
    </row>
    <row r="12310">
      <c r="A12310" s="1" t="s">
        <v>12310</v>
      </c>
      <c r="B12310" s="2" t="str">
        <f>IFERROR(__xludf.DUMMYFUNCTION("GOOGLETRANSLATE(A12310, ""de"", ""en"")"),"marriage")</f>
        <v>marriage</v>
      </c>
    </row>
    <row r="12311">
      <c r="A12311" s="1" t="s">
        <v>12311</v>
      </c>
      <c r="B12311" s="2" t="str">
        <f>IFERROR(__xludf.DUMMYFUNCTION("GOOGLETRANSLATE(A12311, ""de"", ""en"")"),"repair")</f>
        <v>repair</v>
      </c>
    </row>
    <row r="12312">
      <c r="A12312" s="1" t="s">
        <v>12312</v>
      </c>
      <c r="B12312" s="2" t="str">
        <f>IFERROR(__xludf.DUMMYFUNCTION("GOOGLETRANSLATE(A12312, ""de"", ""en"")"),"irving")</f>
        <v>irving</v>
      </c>
    </row>
    <row r="12313">
      <c r="A12313" s="1" t="s">
        <v>12313</v>
      </c>
      <c r="B12313" s="2" t="str">
        <f>IFERROR(__xludf.DUMMYFUNCTION("GOOGLETRANSLATE(A12313, ""de"", ""en"")"),"docks")</f>
        <v>docks</v>
      </c>
    </row>
    <row r="12314">
      <c r="A12314" s="1" t="s">
        <v>12314</v>
      </c>
      <c r="B12314" s="2" t="str">
        <f>IFERROR(__xludf.DUMMYFUNCTION("GOOGLETRANSLATE(A12314, ""de"", ""en"")"),"warned")</f>
        <v>warned</v>
      </c>
    </row>
    <row r="12315">
      <c r="A12315" s="1" t="s">
        <v>12315</v>
      </c>
      <c r="B12315" s="2" t="str">
        <f>IFERROR(__xludf.DUMMYFUNCTION("GOOGLETRANSLATE(A12315, ""de"", ""en"")"),"revised")</f>
        <v>revised</v>
      </c>
    </row>
    <row r="12316">
      <c r="A12316" s="1" t="s">
        <v>12316</v>
      </c>
      <c r="B12316" s="2" t="str">
        <f>IFERROR(__xludf.DUMMYFUNCTION("GOOGLETRANSLATE(A12316, ""de"", ""en"")"),"hunted")</f>
        <v>hunted</v>
      </c>
    </row>
    <row r="12317">
      <c r="A12317" s="1" t="s">
        <v>12317</v>
      </c>
      <c r="B12317" s="2" t="str">
        <f>IFERROR(__xludf.DUMMYFUNCTION("GOOGLETRANSLATE(A12317, ""de"", ""en"")"),"villages")</f>
        <v>villages</v>
      </c>
    </row>
    <row r="12318">
      <c r="A12318" s="1" t="s">
        <v>12318</v>
      </c>
      <c r="B12318" s="2" t="str">
        <f>IFERROR(__xludf.DUMMYFUNCTION("GOOGLETRANSLATE(A12318, ""de"", ""en"")"),"harmless")</f>
        <v>harmless</v>
      </c>
    </row>
    <row r="12319">
      <c r="A12319" s="1" t="s">
        <v>12319</v>
      </c>
      <c r="B12319" s="2" t="str">
        <f>IFERROR(__xludf.DUMMYFUNCTION("GOOGLETRANSLATE(A12319, ""de"", ""en"")"),"webber")</f>
        <v>webber</v>
      </c>
    </row>
    <row r="12320">
      <c r="A12320" s="1" t="s">
        <v>12320</v>
      </c>
      <c r="B12320" s="2" t="str">
        <f>IFERROR(__xludf.DUMMYFUNCTION("GOOGLETRANSLATE(A12320, ""de"", ""en"")"),"supply")</f>
        <v>supply</v>
      </c>
    </row>
    <row r="12321">
      <c r="A12321" s="1" t="s">
        <v>12321</v>
      </c>
      <c r="B12321" s="2" t="str">
        <f>IFERROR(__xludf.DUMMYFUNCTION("GOOGLETRANSLATE(A12321, ""de"", ""en"")"),"more pleasant")</f>
        <v>more pleasant</v>
      </c>
    </row>
    <row r="12322">
      <c r="A12322" s="1" t="s">
        <v>12322</v>
      </c>
      <c r="B12322" s="2" t="str">
        <f>IFERROR(__xludf.DUMMYFUNCTION("GOOGLETRANSLATE(A12322, ""de"", ""en"")"),"more comfortable")</f>
        <v>more comfortable</v>
      </c>
    </row>
    <row r="12323">
      <c r="A12323" s="1" t="s">
        <v>12323</v>
      </c>
      <c r="B12323" s="2" t="str">
        <f>IFERROR(__xludf.DUMMYFUNCTION("GOOGLETRANSLATE(A12323, ""de"", ""en"")"),"trey")</f>
        <v>trey</v>
      </c>
    </row>
    <row r="12324">
      <c r="A12324" s="1" t="s">
        <v>12324</v>
      </c>
      <c r="B12324" s="2" t="str">
        <f>IFERROR(__xludf.DUMMYFUNCTION("GOOGLETRANSLATE(A12324, ""de"", ""en"")"),"Leila")</f>
        <v>Leila</v>
      </c>
    </row>
    <row r="12325">
      <c r="A12325" s="1" t="s">
        <v>12325</v>
      </c>
      <c r="B12325" s="2" t="str">
        <f>IFERROR(__xludf.DUMMYFUNCTION("GOOGLETRANSLATE(A12325, ""de"", ""en"")"),"grenades")</f>
        <v>grenades</v>
      </c>
    </row>
    <row r="12326">
      <c r="A12326" s="1" t="s">
        <v>12326</v>
      </c>
      <c r="B12326" s="2" t="str">
        <f>IFERROR(__xludf.DUMMYFUNCTION("GOOGLETRANSLATE(A12326, ""de"", ""en"")"),"scattered")</f>
        <v>scattered</v>
      </c>
    </row>
    <row r="12327">
      <c r="A12327" s="1" t="s">
        <v>12327</v>
      </c>
      <c r="B12327" s="2" t="str">
        <f>IFERROR(__xludf.DUMMYFUNCTION("GOOGLETRANSLATE(A12327, ""de"", ""en"")"),"spits")</f>
        <v>spits</v>
      </c>
    </row>
    <row r="12328">
      <c r="A12328" s="1" t="s">
        <v>12328</v>
      </c>
      <c r="B12328" s="2" t="str">
        <f>IFERROR(__xludf.DUMMYFUNCTION("GOOGLETRANSLATE(A12328, ""de"", ""en"")"),"deep")</f>
        <v>deep</v>
      </c>
    </row>
    <row r="12329">
      <c r="A12329" s="1" t="s">
        <v>12329</v>
      </c>
      <c r="B12329" s="2" t="str">
        <f>IFERROR(__xludf.DUMMYFUNCTION("GOOGLETRANSLATE(A12329, ""de"", ""en"")"),"Baghdad")</f>
        <v>Baghdad</v>
      </c>
    </row>
    <row r="12330">
      <c r="A12330" s="1" t="s">
        <v>12330</v>
      </c>
      <c r="B12330" s="2" t="str">
        <f>IFERROR(__xludf.DUMMYFUNCTION("GOOGLETRANSLATE(A12330, ""de"", ""en"")"),"whales")</f>
        <v>whales</v>
      </c>
    </row>
    <row r="12331">
      <c r="A12331" s="1" t="s">
        <v>12331</v>
      </c>
      <c r="B12331" s="2" t="str">
        <f>IFERROR(__xludf.DUMMYFUNCTION("GOOGLETRANSLATE(A12331, ""de"", ""en"")"),"daybreak")</f>
        <v>daybreak</v>
      </c>
    </row>
    <row r="12332">
      <c r="A12332" s="1" t="s">
        <v>12332</v>
      </c>
      <c r="B12332" s="2" t="str">
        <f>IFERROR(__xludf.DUMMYFUNCTION("GOOGLETRANSLATE(A12332, ""de"", ""en"")"),"subbed")</f>
        <v>subbed</v>
      </c>
    </row>
    <row r="12333">
      <c r="A12333" s="1" t="s">
        <v>12333</v>
      </c>
      <c r="B12333" s="2" t="str">
        <f>IFERROR(__xludf.DUMMYFUNCTION("GOOGLETRANSLATE(A12333, ""de"", ""en"")"),"interested")</f>
        <v>interested</v>
      </c>
    </row>
    <row r="12334">
      <c r="A12334" s="1" t="s">
        <v>12334</v>
      </c>
      <c r="B12334" s="2" t="str">
        <f>IFERROR(__xludf.DUMMYFUNCTION("GOOGLETRANSLATE(A12334, ""de"", ""en"")"),"franks")</f>
        <v>franks</v>
      </c>
    </row>
    <row r="12335">
      <c r="A12335" s="1" t="s">
        <v>12335</v>
      </c>
      <c r="B12335" s="2" t="str">
        <f>IFERROR(__xludf.DUMMYFUNCTION("GOOGLETRANSLATE(A12335, ""de"", ""en"")"),"touched")</f>
        <v>touched</v>
      </c>
    </row>
    <row r="12336">
      <c r="A12336" s="1" t="s">
        <v>12336</v>
      </c>
      <c r="B12336" s="2" t="str">
        <f>IFERROR(__xludf.DUMMYFUNCTION("GOOGLETRANSLATE(A12336, ""de"", ""en"")"),"police work")</f>
        <v>police work</v>
      </c>
    </row>
    <row r="12337">
      <c r="A12337" s="1" t="s">
        <v>12337</v>
      </c>
      <c r="B12337" s="2" t="str">
        <f>IFERROR(__xludf.DUMMYFUNCTION("GOOGLETRANSLATE(A12337, ""de"", ""en"")"),"interested")</f>
        <v>interested</v>
      </c>
    </row>
    <row r="12338">
      <c r="A12338" s="1" t="s">
        <v>12338</v>
      </c>
      <c r="B12338" s="2" t="str">
        <f>IFERROR(__xludf.DUMMYFUNCTION("GOOGLETRANSLATE(A12338, ""de"", ""en"")"),"stutters")</f>
        <v>stutters</v>
      </c>
    </row>
    <row r="12339">
      <c r="A12339" s="1" t="s">
        <v>12339</v>
      </c>
      <c r="B12339" s="2" t="str">
        <f>IFERROR(__xludf.DUMMYFUNCTION("GOOGLETRANSLATE(A12339, ""de"", ""en"")"),"advertised")</f>
        <v>advertised</v>
      </c>
    </row>
    <row r="12340">
      <c r="A12340" s="1" t="s">
        <v>12340</v>
      </c>
      <c r="B12340" s="2" t="str">
        <f>IFERROR(__xludf.DUMMYFUNCTION("GOOGLETRANSLATE(A12340, ""de"", ""en"")"),"prefer")</f>
        <v>prefer</v>
      </c>
    </row>
    <row r="12341">
      <c r="A12341" s="1" t="s">
        <v>12341</v>
      </c>
      <c r="B12341" s="2" t="str">
        <f>IFERROR(__xludf.DUMMYFUNCTION("GOOGLETRANSLATE(A12341, ""de"", ""en"")"),"doorbell")</f>
        <v>doorbell</v>
      </c>
    </row>
    <row r="12342">
      <c r="A12342" s="1" t="s">
        <v>12342</v>
      </c>
      <c r="B12342" s="2" t="str">
        <f>IFERROR(__xludf.DUMMYFUNCTION("GOOGLETRANSLATE(A12342, ""de"", ""en"")"),"complete")</f>
        <v>complete</v>
      </c>
    </row>
    <row r="12343">
      <c r="A12343" s="1" t="s">
        <v>12343</v>
      </c>
      <c r="B12343" s="2" t="str">
        <f>IFERROR(__xludf.DUMMYFUNCTION("GOOGLETRANSLATE(A12343, ""de"", ""en"")"),"sealed off")</f>
        <v>sealed off</v>
      </c>
    </row>
    <row r="12344">
      <c r="A12344" s="1" t="s">
        <v>12344</v>
      </c>
      <c r="B12344" s="2" t="str">
        <f>IFERROR(__xludf.DUMMYFUNCTION("GOOGLETRANSLATE(A12344, ""de"", ""en"")"),"windows")</f>
        <v>windows</v>
      </c>
    </row>
    <row r="12345">
      <c r="A12345" s="1" t="s">
        <v>12345</v>
      </c>
      <c r="B12345" s="2" t="str">
        <f>IFERROR(__xludf.DUMMYFUNCTION("GOOGLETRANSLATE(A12345, ""de"", ""en"")"),"while")</f>
        <v>while</v>
      </c>
    </row>
    <row r="12346">
      <c r="A12346" s="1" t="s">
        <v>12346</v>
      </c>
      <c r="B12346" s="2" t="str">
        <f>IFERROR(__xludf.DUMMYFUNCTION("GOOGLETRANSLATE(A12346, ""de"", ""en"")"),"cary")</f>
        <v>cary</v>
      </c>
    </row>
    <row r="12347">
      <c r="A12347" s="1" t="s">
        <v>12347</v>
      </c>
      <c r="B12347" s="2" t="str">
        <f>IFERROR(__xludf.DUMMYFUNCTION("GOOGLETRANSLATE(A12347, ""de"", ""en"")"),"cling")</f>
        <v>cling</v>
      </c>
    </row>
    <row r="12348">
      <c r="A12348" s="1" t="s">
        <v>12348</v>
      </c>
      <c r="B12348" s="2" t="str">
        <f>IFERROR(__xludf.DUMMYFUNCTION("GOOGLETRANSLATE(A12348, ""de"", ""en"")"),"jerk")</f>
        <v>jerk</v>
      </c>
    </row>
    <row r="12349">
      <c r="A12349" s="1" t="s">
        <v>12349</v>
      </c>
      <c r="B12349" s="2" t="str">
        <f>IFERROR(__xludf.DUMMYFUNCTION("GOOGLETRANSLATE(A12349, ""de"", ""en"")"),"pressed")</f>
        <v>pressed</v>
      </c>
    </row>
    <row r="12350">
      <c r="A12350" s="1" t="s">
        <v>12350</v>
      </c>
      <c r="B12350" s="2" t="str">
        <f>IFERROR(__xludf.DUMMYFUNCTION("GOOGLETRANSLATE(A12350, ""de"", ""en"")"),"contribute")</f>
        <v>contribute</v>
      </c>
    </row>
    <row r="12351">
      <c r="A12351" s="1" t="s">
        <v>12351</v>
      </c>
      <c r="B12351" s="2" t="str">
        <f>IFERROR(__xludf.DUMMYFUNCTION("GOOGLETRANSLATE(A12351, ""de"", ""en"")"),"open")</f>
        <v>open</v>
      </c>
    </row>
    <row r="12352">
      <c r="A12352" s="1" t="s">
        <v>12352</v>
      </c>
      <c r="B12352" s="2" t="str">
        <f>IFERROR(__xludf.DUMMYFUNCTION("GOOGLETRANSLATE(A12352, ""de"", ""en"")"),"plunder")</f>
        <v>plunder</v>
      </c>
    </row>
    <row r="12353">
      <c r="A12353" s="1" t="s">
        <v>12353</v>
      </c>
      <c r="B12353" s="2" t="str">
        <f>IFERROR(__xludf.DUMMYFUNCTION("GOOGLETRANSLATE(A12353, ""de"", ""en"")"),"vikings")</f>
        <v>vikings</v>
      </c>
    </row>
    <row r="12354">
      <c r="A12354" s="1" t="s">
        <v>12354</v>
      </c>
      <c r="B12354" s="2" t="str">
        <f>IFERROR(__xludf.DUMMYFUNCTION("GOOGLETRANSLATE(A12354, ""de"", ""en"")"),"dumped")</f>
        <v>dumped</v>
      </c>
    </row>
    <row r="12355">
      <c r="A12355" s="1" t="s">
        <v>12355</v>
      </c>
      <c r="B12355" s="2" t="str">
        <f>IFERROR(__xludf.DUMMYFUNCTION("GOOGLETRANSLATE(A12355, ""de"", ""en"")"),"is due")</f>
        <v>is due</v>
      </c>
    </row>
    <row r="12356">
      <c r="A12356" s="1" t="s">
        <v>12356</v>
      </c>
      <c r="B12356" s="2" t="str">
        <f>IFERROR(__xludf.DUMMYFUNCTION("GOOGLETRANSLATE(A12356, ""de"", ""en"")"),"father")</f>
        <v>father</v>
      </c>
    </row>
    <row r="12357">
      <c r="A12357" s="1" t="s">
        <v>12357</v>
      </c>
      <c r="B12357" s="2" t="str">
        <f>IFERROR(__xludf.DUMMYFUNCTION("GOOGLETRANSLATE(A12357, ""de"", ""en"")"),"rang")</f>
        <v>rang</v>
      </c>
    </row>
    <row r="12358">
      <c r="A12358" s="1" t="s">
        <v>12358</v>
      </c>
      <c r="B12358" s="2" t="str">
        <f>IFERROR(__xludf.DUMMYFUNCTION("GOOGLETRANSLATE(A12358, ""de"", ""en"")"),"limited")</f>
        <v>limited</v>
      </c>
    </row>
    <row r="12359">
      <c r="A12359" s="1" t="s">
        <v>12359</v>
      </c>
      <c r="B12359" s="2" t="str">
        <f>IFERROR(__xludf.DUMMYFUNCTION("GOOGLETRANSLATE(A12359, ""de"", ""en"")"),"stun")</f>
        <v>stun</v>
      </c>
    </row>
    <row r="12360">
      <c r="A12360" s="1" t="s">
        <v>12360</v>
      </c>
      <c r="B12360" s="2" t="str">
        <f>IFERROR(__xludf.DUMMYFUNCTION("GOOGLETRANSLATE(A12360, ""de"", ""en"")"),"nigga")</f>
        <v>nigga</v>
      </c>
    </row>
    <row r="12361">
      <c r="A12361" s="1" t="s">
        <v>12361</v>
      </c>
      <c r="B12361" s="2" t="str">
        <f>IFERROR(__xludf.DUMMYFUNCTION("GOOGLETRANSLATE(A12361, ""de"", ""en"")"),"Frankfurt")</f>
        <v>Frankfurt</v>
      </c>
    </row>
    <row r="12362">
      <c r="A12362" s="1" t="s">
        <v>12362</v>
      </c>
      <c r="B12362" s="2" t="str">
        <f>IFERROR(__xludf.DUMMYFUNCTION("GOOGLETRANSLATE(A12362, ""de"", ""en"")"),"prof.")</f>
        <v>prof.</v>
      </c>
    </row>
    <row r="12363">
      <c r="A12363" s="1" t="s">
        <v>12363</v>
      </c>
      <c r="B12363" s="2" t="str">
        <f>IFERROR(__xludf.DUMMYFUNCTION("GOOGLETRANSLATE(A12363, ""de"", ""en"")"),"antique")</f>
        <v>antique</v>
      </c>
    </row>
    <row r="12364">
      <c r="A12364" s="1" t="s">
        <v>12364</v>
      </c>
      <c r="B12364" s="2" t="str">
        <f>IFERROR(__xludf.DUMMYFUNCTION("GOOGLETRANSLATE(A12364, ""de"", ""en"")"),"microwave")</f>
        <v>microwave</v>
      </c>
    </row>
    <row r="12365">
      <c r="A12365" s="1" t="s">
        <v>12365</v>
      </c>
      <c r="B12365" s="2" t="str">
        <f>IFERROR(__xludf.DUMMYFUNCTION("GOOGLETRANSLATE(A12365, ""de"", ""en"")"),"you come from")</f>
        <v>you come from</v>
      </c>
    </row>
    <row r="12366">
      <c r="A12366" s="1" t="s">
        <v>12366</v>
      </c>
      <c r="B12366" s="2" t="str">
        <f>IFERROR(__xludf.DUMMYFUNCTION("GOOGLETRANSLATE(A12366, ""de"", ""en"")"),"more serious")</f>
        <v>more serious</v>
      </c>
    </row>
    <row r="12367">
      <c r="A12367" s="1" t="s">
        <v>12367</v>
      </c>
      <c r="B12367" s="2" t="str">
        <f>IFERROR(__xludf.DUMMYFUNCTION("GOOGLETRANSLATE(A12367, ""de"", ""en"")"),"perished")</f>
        <v>perished</v>
      </c>
    </row>
    <row r="12368">
      <c r="A12368" s="1" t="s">
        <v>12368</v>
      </c>
      <c r="B12368" s="2" t="str">
        <f>IFERROR(__xludf.DUMMYFUNCTION("GOOGLETRANSLATE(A12368, ""de"", ""en"")"),"coup")</f>
        <v>coup</v>
      </c>
    </row>
    <row r="12369">
      <c r="A12369" s="1" t="s">
        <v>12369</v>
      </c>
      <c r="B12369" s="2" t="str">
        <f>IFERROR(__xludf.DUMMYFUNCTION("GOOGLETRANSLATE(A12369, ""de"", ""en"")"),"trash can")</f>
        <v>trash can</v>
      </c>
    </row>
    <row r="12370">
      <c r="A12370" s="1" t="s">
        <v>12370</v>
      </c>
      <c r="B12370" s="2" t="str">
        <f>IFERROR(__xludf.DUMMYFUNCTION("GOOGLETRANSLATE(A12370, ""de"", ""en"")"),"define")</f>
        <v>define</v>
      </c>
    </row>
    <row r="12371">
      <c r="A12371" s="1" t="s">
        <v>12371</v>
      </c>
      <c r="B12371" s="2" t="str">
        <f>IFERROR(__xludf.DUMMYFUNCTION("GOOGLETRANSLATE(A12371, ""de"", ""en"")"),"malibu")</f>
        <v>malibu</v>
      </c>
    </row>
    <row r="12372">
      <c r="A12372" s="1" t="s">
        <v>12372</v>
      </c>
      <c r="B12372" s="2" t="str">
        <f>IFERROR(__xludf.DUMMYFUNCTION("GOOGLETRANSLATE(A12372, ""de"", ""en"")"),"developed")</f>
        <v>developed</v>
      </c>
    </row>
    <row r="12373">
      <c r="A12373" s="1" t="s">
        <v>12373</v>
      </c>
      <c r="B12373" s="2" t="str">
        <f>IFERROR(__xludf.DUMMYFUNCTION("GOOGLETRANSLATE(A12373, ""de"", ""en"")"),"buzz")</f>
        <v>buzz</v>
      </c>
    </row>
    <row r="12374">
      <c r="A12374" s="1" t="s">
        <v>12374</v>
      </c>
      <c r="B12374" s="2" t="str">
        <f>IFERROR(__xludf.DUMMYFUNCTION("GOOGLETRANSLATE(A12374, ""de"", ""en"")"),"separate")</f>
        <v>separate</v>
      </c>
    </row>
    <row r="12375">
      <c r="A12375" s="1" t="s">
        <v>12375</v>
      </c>
      <c r="B12375" s="2" t="str">
        <f>IFERROR(__xludf.DUMMYFUNCTION("GOOGLETRANSLATE(A12375, ""de"", ""en"")"),"exercise")</f>
        <v>exercise</v>
      </c>
    </row>
    <row r="12376">
      <c r="A12376" s="1" t="s">
        <v>12376</v>
      </c>
      <c r="B12376" s="2" t="str">
        <f>IFERROR(__xludf.DUMMYFUNCTION("GOOGLETRANSLATE(A12376, ""de"", ""en"")"),"maneuver")</f>
        <v>maneuver</v>
      </c>
    </row>
    <row r="12377">
      <c r="A12377" s="1" t="s">
        <v>12377</v>
      </c>
      <c r="B12377" s="2" t="str">
        <f>IFERROR(__xludf.DUMMYFUNCTION("GOOGLETRANSLATE(A12377, ""de"", ""en"")"),"extend")</f>
        <v>extend</v>
      </c>
    </row>
    <row r="12378">
      <c r="A12378" s="1" t="s">
        <v>12378</v>
      </c>
      <c r="B12378" s="2" t="str">
        <f>IFERROR(__xludf.DUMMYFUNCTION("GOOGLETRANSLATE(A12378, ""de"", ""en"")"),"acting")</f>
        <v>acting</v>
      </c>
    </row>
    <row r="12379">
      <c r="A12379" s="1" t="s">
        <v>12379</v>
      </c>
      <c r="B12379" s="2" t="str">
        <f>IFERROR(__xludf.DUMMYFUNCTION("GOOGLETRANSLATE(A12379, ""de"", ""en"")"),"adored")</f>
        <v>adored</v>
      </c>
    </row>
    <row r="12380">
      <c r="A12380" s="1" t="s">
        <v>12380</v>
      </c>
      <c r="B12380" s="2" t="str">
        <f>IFERROR(__xludf.DUMMYFUNCTION("GOOGLETRANSLATE(A12380, ""de"", ""en"")"),"verse")</f>
        <v>verse</v>
      </c>
    </row>
    <row r="12381">
      <c r="A12381" s="1" t="s">
        <v>12381</v>
      </c>
      <c r="B12381" s="2" t="str">
        <f>IFERROR(__xludf.DUMMYFUNCTION("GOOGLETRANSLATE(A12381, ""de"", ""en"")"),"dare")</f>
        <v>dare</v>
      </c>
    </row>
    <row r="12382">
      <c r="A12382" s="1" t="s">
        <v>12382</v>
      </c>
      <c r="B12382" s="2" t="str">
        <f>IFERROR(__xludf.DUMMYFUNCTION("GOOGLETRANSLATE(A12382, ""de"", ""en"")"),"give")</f>
        <v>give</v>
      </c>
    </row>
    <row r="12383">
      <c r="A12383" s="1" t="s">
        <v>12383</v>
      </c>
      <c r="B12383" s="2" t="str">
        <f>IFERROR(__xludf.DUMMYFUNCTION("GOOGLETRANSLATE(A12383, ""de"", ""en"")"),"grain")</f>
        <v>grain</v>
      </c>
    </row>
    <row r="12384">
      <c r="A12384" s="1" t="s">
        <v>12384</v>
      </c>
      <c r="B12384" s="2" t="str">
        <f>IFERROR(__xludf.DUMMYFUNCTION("GOOGLETRANSLATE(A12384, ""de"", ""en"")"),"Empire")</f>
        <v>Empire</v>
      </c>
    </row>
    <row r="12385">
      <c r="A12385" s="1" t="s">
        <v>12385</v>
      </c>
      <c r="B12385" s="2" t="str">
        <f>IFERROR(__xludf.DUMMYFUNCTION("GOOGLETRANSLATE(A12385, ""de"", ""en"")"),"Zac")</f>
        <v>Zac</v>
      </c>
    </row>
    <row r="12386">
      <c r="A12386" s="1" t="s">
        <v>12386</v>
      </c>
      <c r="B12386" s="2" t="str">
        <f>IFERROR(__xludf.DUMMYFUNCTION("GOOGLETRANSLATE(A12386, ""de"", ""en"")"),"safest")</f>
        <v>safest</v>
      </c>
    </row>
    <row r="12387">
      <c r="A12387" s="1" t="s">
        <v>12387</v>
      </c>
      <c r="B12387" s="2" t="str">
        <f>IFERROR(__xludf.DUMMYFUNCTION("GOOGLETRANSLATE(A12387, ""de"", ""en"")"),"missing")</f>
        <v>missing</v>
      </c>
    </row>
    <row r="12388">
      <c r="A12388" s="1" t="s">
        <v>12388</v>
      </c>
      <c r="B12388" s="2" t="str">
        <f>IFERROR(__xludf.DUMMYFUNCTION("GOOGLETRANSLATE(A12388, ""de"", ""en"")"),"stupid")</f>
        <v>stupid</v>
      </c>
    </row>
    <row r="12389">
      <c r="A12389" s="1" t="s">
        <v>12389</v>
      </c>
      <c r="B12389" s="2" t="str">
        <f>IFERROR(__xludf.DUMMYFUNCTION("GOOGLETRANSLATE(A12389, ""de"", ""en"")"),"pencil")</f>
        <v>pencil</v>
      </c>
    </row>
    <row r="12390">
      <c r="A12390" s="1" t="s">
        <v>12390</v>
      </c>
      <c r="B12390" s="2" t="str">
        <f>IFERROR(__xludf.DUMMYFUNCTION("GOOGLETRANSLATE(A12390, ""de"", ""en"")"),"know")</f>
        <v>know</v>
      </c>
    </row>
    <row r="12391">
      <c r="A12391" s="1" t="s">
        <v>12391</v>
      </c>
      <c r="B12391" s="2" t="str">
        <f>IFERROR(__xludf.DUMMYFUNCTION("GOOGLETRANSLATE(A12391, ""de"", ""en"")"),"Alejandro")</f>
        <v>Alejandro</v>
      </c>
    </row>
    <row r="12392">
      <c r="A12392" s="1" t="s">
        <v>12392</v>
      </c>
      <c r="B12392" s="2" t="str">
        <f>IFERROR(__xludf.DUMMYFUNCTION("GOOGLETRANSLATE(A12392, ""de"", ""en"")"),"goose flesh")</f>
        <v>goose flesh</v>
      </c>
    </row>
    <row r="12393">
      <c r="A12393" s="1" t="s">
        <v>12393</v>
      </c>
      <c r="B12393" s="2" t="str">
        <f>IFERROR(__xludf.DUMMYFUNCTION("GOOGLETRANSLATE(A12393, ""de"", ""en"")"),"w.")</f>
        <v>w.</v>
      </c>
    </row>
    <row r="12394">
      <c r="A12394" s="1" t="s">
        <v>12394</v>
      </c>
      <c r="B12394" s="2" t="str">
        <f>IFERROR(__xludf.DUMMYFUNCTION("GOOGLETRANSLATE(A12394, ""de"", ""en"")"),"take back")</f>
        <v>take back</v>
      </c>
    </row>
    <row r="12395">
      <c r="A12395" s="1" t="s">
        <v>12395</v>
      </c>
      <c r="B12395" s="2" t="str">
        <f>IFERROR(__xludf.DUMMYFUNCTION("GOOGLETRANSLATE(A12395, ""de"", ""en"")"),"magical")</f>
        <v>magical</v>
      </c>
    </row>
    <row r="12396">
      <c r="A12396" s="1" t="s">
        <v>12396</v>
      </c>
      <c r="B12396" s="2" t="str">
        <f>IFERROR(__xludf.DUMMYFUNCTION("GOOGLETRANSLATE(A12396, ""de"", ""en"")"),"virgins")</f>
        <v>virgins</v>
      </c>
    </row>
    <row r="12397">
      <c r="A12397" s="1" t="s">
        <v>12397</v>
      </c>
      <c r="B12397" s="2" t="str">
        <f>IFERROR(__xludf.DUMMYFUNCTION("GOOGLETRANSLATE(A12397, ""de"", ""en"")"),"drum")</f>
        <v>drum</v>
      </c>
    </row>
    <row r="12398">
      <c r="A12398" s="1" t="s">
        <v>12398</v>
      </c>
      <c r="B12398" s="2" t="str">
        <f>IFERROR(__xludf.DUMMYFUNCTION("GOOGLETRANSLATE(A12398, ""de"", ""en"")"),"events")</f>
        <v>events</v>
      </c>
    </row>
    <row r="12399">
      <c r="A12399" s="1" t="s">
        <v>12399</v>
      </c>
      <c r="B12399" s="2" t="str">
        <f>IFERROR(__xludf.DUMMYFUNCTION("GOOGLETRANSLATE(A12399, ""de"", ""en"")"),"ahoy")</f>
        <v>ahoy</v>
      </c>
    </row>
    <row r="12400">
      <c r="A12400" s="1" t="s">
        <v>12400</v>
      </c>
      <c r="B12400" s="2" t="str">
        <f>IFERROR(__xludf.DUMMYFUNCTION("GOOGLETRANSLATE(A12400, ""de"", ""en"")"),"friendly")</f>
        <v>friendly</v>
      </c>
    </row>
    <row r="12401">
      <c r="A12401" s="1" t="s">
        <v>12401</v>
      </c>
      <c r="B12401" s="2" t="str">
        <f>IFERROR(__xludf.DUMMYFUNCTION("GOOGLETRANSLATE(A12401, ""de"", ""en"")"),"evil")</f>
        <v>evil</v>
      </c>
    </row>
    <row r="12402">
      <c r="A12402" s="1" t="s">
        <v>12402</v>
      </c>
      <c r="B12402" s="2" t="str">
        <f>IFERROR(__xludf.DUMMYFUNCTION("GOOGLETRANSLATE(A12402, ""de"", ""en"")"),"burned")</f>
        <v>burned</v>
      </c>
    </row>
    <row r="12403">
      <c r="A12403" s="1" t="s">
        <v>12403</v>
      </c>
      <c r="B12403" s="2" t="str">
        <f>IFERROR(__xludf.DUMMYFUNCTION("GOOGLETRANSLATE(A12403, ""de"", ""en"")"),"announced")</f>
        <v>announced</v>
      </c>
    </row>
    <row r="12404">
      <c r="A12404" s="1" t="s">
        <v>12404</v>
      </c>
      <c r="B12404" s="2" t="str">
        <f>IFERROR(__xludf.DUMMYFUNCTION("GOOGLETRANSLATE(A12404, ""de"", ""en"")"),"skipper")</f>
        <v>skipper</v>
      </c>
    </row>
    <row r="12405">
      <c r="A12405" s="1" t="s">
        <v>12405</v>
      </c>
      <c r="B12405" s="2" t="str">
        <f>IFERROR(__xludf.DUMMYFUNCTION("GOOGLETRANSLATE(A12405, ""de"", ""en"")"),"order")</f>
        <v>order</v>
      </c>
    </row>
    <row r="12406">
      <c r="A12406" s="1" t="s">
        <v>12406</v>
      </c>
      <c r="B12406" s="2" t="str">
        <f>IFERROR(__xludf.DUMMYFUNCTION("GOOGLETRANSLATE(A12406, ""de"", ""en"")"),"logo")</f>
        <v>logo</v>
      </c>
    </row>
    <row r="12407">
      <c r="A12407" s="1" t="s">
        <v>12407</v>
      </c>
      <c r="B12407" s="2" t="str">
        <f>IFERROR(__xludf.DUMMYFUNCTION("GOOGLETRANSLATE(A12407, ""de"", ""en"")"),"vitamins")</f>
        <v>vitamins</v>
      </c>
    </row>
    <row r="12408">
      <c r="A12408" s="1" t="s">
        <v>12408</v>
      </c>
      <c r="B12408" s="2" t="str">
        <f>IFERROR(__xludf.DUMMYFUNCTION("GOOGLETRANSLATE(A12408, ""de"", ""en"")"),"lover")</f>
        <v>lover</v>
      </c>
    </row>
    <row r="12409">
      <c r="A12409" s="1" t="s">
        <v>12409</v>
      </c>
      <c r="B12409" s="2" t="str">
        <f>IFERROR(__xludf.DUMMYFUNCTION("GOOGLETRANSLATE(A12409, ""de"", ""en"")"),"laid flat")</f>
        <v>laid flat</v>
      </c>
    </row>
    <row r="12410">
      <c r="A12410" s="1" t="s">
        <v>12410</v>
      </c>
      <c r="B12410" s="2" t="str">
        <f>IFERROR(__xludf.DUMMYFUNCTION("GOOGLETRANSLATE(A12410, ""de"", ""en"")"),"leroy")</f>
        <v>leroy</v>
      </c>
    </row>
    <row r="12411">
      <c r="A12411" s="1" t="s">
        <v>12411</v>
      </c>
      <c r="B12411" s="2" t="str">
        <f>IFERROR(__xludf.DUMMYFUNCTION("GOOGLETRANSLATE(A12411, ""de"", ""en"")"),"searched")</f>
        <v>searched</v>
      </c>
    </row>
    <row r="12412">
      <c r="A12412" s="1" t="s">
        <v>12412</v>
      </c>
      <c r="B12412" s="2" t="str">
        <f>IFERROR(__xludf.DUMMYFUNCTION("GOOGLETRANSLATE(A12412, ""de"", ""en"")"),"bleeds to death")</f>
        <v>bleeds to death</v>
      </c>
    </row>
    <row r="12413">
      <c r="A12413" s="1" t="s">
        <v>12413</v>
      </c>
      <c r="B12413" s="2" t="str">
        <f>IFERROR(__xludf.DUMMYFUNCTION("GOOGLETRANSLATE(A12413, ""de"", ""en"")"),"rumors")</f>
        <v>rumors</v>
      </c>
    </row>
    <row r="12414">
      <c r="A12414" s="1" t="s">
        <v>12414</v>
      </c>
      <c r="B12414" s="2" t="str">
        <f>IFERROR(__xludf.DUMMYFUNCTION("GOOGLETRANSLATE(A12414, ""de"", ""en"")"),"local")</f>
        <v>local</v>
      </c>
    </row>
    <row r="12415">
      <c r="A12415" s="1" t="s">
        <v>12415</v>
      </c>
      <c r="B12415" s="2" t="str">
        <f>IFERROR(__xludf.DUMMYFUNCTION("GOOGLETRANSLATE(A12415, ""de"", ""en"")"),"ratted out")</f>
        <v>ratted out</v>
      </c>
    </row>
    <row r="12416">
      <c r="A12416" s="1" t="s">
        <v>12416</v>
      </c>
      <c r="B12416" s="2" t="str">
        <f>IFERROR(__xludf.DUMMYFUNCTION("GOOGLETRANSLATE(A12416, ""de"", ""en"")"),"rosalie")</f>
        <v>rosalie</v>
      </c>
    </row>
    <row r="12417">
      <c r="A12417" s="1" t="s">
        <v>12417</v>
      </c>
      <c r="B12417" s="2" t="str">
        <f>IFERROR(__xludf.DUMMYFUNCTION("GOOGLETRANSLATE(A12417, ""de"", ""en"")"),"to get away")</f>
        <v>to get away</v>
      </c>
    </row>
    <row r="12418">
      <c r="A12418" s="1" t="s">
        <v>12418</v>
      </c>
      <c r="B12418" s="2" t="str">
        <f>IFERROR(__xludf.DUMMYFUNCTION("GOOGLETRANSLATE(A12418, ""de"", ""en"")"),"express")</f>
        <v>express</v>
      </c>
    </row>
    <row r="12419">
      <c r="A12419" s="1" t="s">
        <v>12419</v>
      </c>
      <c r="B12419" s="2" t="str">
        <f>IFERROR(__xludf.DUMMYFUNCTION("GOOGLETRANSLATE(A12419, ""de"", ""en"")"),"to come along")</f>
        <v>to come along</v>
      </c>
    </row>
    <row r="12420">
      <c r="A12420" s="1" t="s">
        <v>12420</v>
      </c>
      <c r="B12420" s="2" t="str">
        <f>IFERROR(__xludf.DUMMYFUNCTION("GOOGLETRANSLATE(A12420, ""de"", ""en"")"),"touch")</f>
        <v>touch</v>
      </c>
    </row>
    <row r="12421">
      <c r="A12421" s="1" t="s">
        <v>12421</v>
      </c>
      <c r="B12421" s="2" t="str">
        <f>IFERROR(__xludf.DUMMYFUNCTION("GOOGLETRANSLATE(A12421, ""de"", ""en"")"),"bloodshed")</f>
        <v>bloodshed</v>
      </c>
    </row>
    <row r="12422">
      <c r="A12422" s="1" t="s">
        <v>12422</v>
      </c>
      <c r="B12422" s="2" t="str">
        <f>IFERROR(__xludf.DUMMYFUNCTION("GOOGLETRANSLATE(A12422, ""de"", ""en"")"),"refused")</f>
        <v>refused</v>
      </c>
    </row>
    <row r="12423">
      <c r="A12423" s="1" t="s">
        <v>12423</v>
      </c>
      <c r="B12423" s="2" t="str">
        <f>IFERROR(__xludf.DUMMYFUNCTION("GOOGLETRANSLATE(A12423, ""de"", ""en"")"),"puzzle")</f>
        <v>puzzle</v>
      </c>
    </row>
    <row r="12424">
      <c r="A12424" s="1" t="s">
        <v>12424</v>
      </c>
      <c r="B12424" s="2" t="str">
        <f>IFERROR(__xludf.DUMMYFUNCTION("GOOGLETRANSLATE(A12424, ""de"", ""en"")"),"diaz")</f>
        <v>diaz</v>
      </c>
    </row>
    <row r="12425">
      <c r="A12425" s="1" t="s">
        <v>12425</v>
      </c>
      <c r="B12425" s="2" t="str">
        <f>IFERROR(__xludf.DUMMYFUNCTION("GOOGLETRANSLATE(A12425, ""de"", ""en"")"),"pure")</f>
        <v>pure</v>
      </c>
    </row>
    <row r="12426">
      <c r="A12426" s="1" t="s">
        <v>12426</v>
      </c>
      <c r="B12426" s="2" t="str">
        <f>IFERROR(__xludf.DUMMYFUNCTION("GOOGLETRANSLATE(A12426, ""de"", ""en"")"),"mention")</f>
        <v>mention</v>
      </c>
    </row>
    <row r="12427">
      <c r="A12427" s="1" t="s">
        <v>12427</v>
      </c>
      <c r="B12427" s="2" t="str">
        <f>IFERROR(__xludf.DUMMYFUNCTION("GOOGLETRANSLATE(A12427, ""de"", ""en"")"),"rot")</f>
        <v>rot</v>
      </c>
    </row>
    <row r="12428">
      <c r="A12428" s="1" t="s">
        <v>12428</v>
      </c>
      <c r="B12428" s="2" t="str">
        <f>IFERROR(__xludf.DUMMYFUNCTION("GOOGLETRANSLATE(A12428, ""de"", ""en"")"),"sinned")</f>
        <v>sinned</v>
      </c>
    </row>
    <row r="12429">
      <c r="A12429" s="1" t="s">
        <v>12429</v>
      </c>
      <c r="B12429" s="2" t="str">
        <f>IFERROR(__xludf.DUMMYFUNCTION("GOOGLETRANSLATE(A12429, ""de"", ""en"")"),"picasso")</f>
        <v>picasso</v>
      </c>
    </row>
    <row r="12430">
      <c r="A12430" s="1" t="s">
        <v>12430</v>
      </c>
      <c r="B12430" s="2" t="str">
        <f>IFERROR(__xludf.DUMMYFUNCTION("GOOGLETRANSLATE(A12430, ""de"", ""en"")"),"armed forces")</f>
        <v>armed forces</v>
      </c>
    </row>
    <row r="12431">
      <c r="A12431" s="1" t="s">
        <v>12431</v>
      </c>
      <c r="B12431" s="2" t="str">
        <f>IFERROR(__xludf.DUMMYFUNCTION("GOOGLETRANSLATE(A12431, ""de"", ""en"")"),"wing")</f>
        <v>wing</v>
      </c>
    </row>
    <row r="12432">
      <c r="A12432" s="1" t="s">
        <v>12432</v>
      </c>
      <c r="B12432" s="2" t="str">
        <f>IFERROR(__xludf.DUMMYFUNCTION("GOOGLETRANSLATE(A12432, ""de"", ""en"")"),"meaningless")</f>
        <v>meaningless</v>
      </c>
    </row>
    <row r="12433">
      <c r="A12433" s="1" t="s">
        <v>12433</v>
      </c>
      <c r="B12433" s="2" t="str">
        <f>IFERROR(__xludf.DUMMYFUNCTION("GOOGLETRANSLATE(A12433, ""de"", ""en"")"),"lock")</f>
        <v>lock</v>
      </c>
    </row>
    <row r="12434">
      <c r="A12434" s="1" t="s">
        <v>12434</v>
      </c>
      <c r="B12434" s="2" t="str">
        <f>IFERROR(__xludf.DUMMYFUNCTION("GOOGLETRANSLATE(A12434, ""de"", ""en"")"),"psychopaths")</f>
        <v>psychopaths</v>
      </c>
    </row>
    <row r="12435">
      <c r="A12435" s="1" t="s">
        <v>12435</v>
      </c>
      <c r="B12435" s="2" t="str">
        <f>IFERROR(__xludf.DUMMYFUNCTION("GOOGLETRANSLATE(A12435, ""de"", ""en"")"),"whistle")</f>
        <v>whistle</v>
      </c>
    </row>
    <row r="12436">
      <c r="A12436" s="1" t="s">
        <v>12436</v>
      </c>
      <c r="B12436" s="2" t="str">
        <f>IFERROR(__xludf.DUMMYFUNCTION("GOOGLETRANSLATE(A12436, ""de"", ""en"")"),"deputy")</f>
        <v>deputy</v>
      </c>
    </row>
    <row r="12437">
      <c r="A12437" s="1" t="s">
        <v>12437</v>
      </c>
      <c r="B12437" s="2" t="str">
        <f>IFERROR(__xludf.DUMMYFUNCTION("GOOGLETRANSLATE(A12437, ""de"", ""en"")"),"criticize")</f>
        <v>criticize</v>
      </c>
    </row>
    <row r="12438">
      <c r="A12438" s="1" t="s">
        <v>12438</v>
      </c>
      <c r="B12438" s="2" t="str">
        <f>IFERROR(__xludf.DUMMYFUNCTION("GOOGLETRANSLATE(A12438, ""de"", ""en"")"),"sick")</f>
        <v>sick</v>
      </c>
    </row>
    <row r="12439">
      <c r="A12439" s="1" t="s">
        <v>12439</v>
      </c>
      <c r="B12439" s="2" t="str">
        <f>IFERROR(__xludf.DUMMYFUNCTION("GOOGLETRANSLATE(A12439, ""de"", ""en"")"),"Jewish")</f>
        <v>Jewish</v>
      </c>
    </row>
    <row r="12440">
      <c r="A12440" s="1" t="s">
        <v>12440</v>
      </c>
      <c r="B12440" s="2" t="str">
        <f>IFERROR(__xludf.DUMMYFUNCTION("GOOGLETRANSLATE(A12440, ""de"", ""en"")"),"angry")</f>
        <v>angry</v>
      </c>
    </row>
    <row r="12441">
      <c r="A12441" s="1" t="s">
        <v>12441</v>
      </c>
      <c r="B12441" s="2" t="str">
        <f>IFERROR(__xludf.DUMMYFUNCTION("GOOGLETRANSLATE(A12441, ""de"", ""en"")"),"brief")</f>
        <v>brief</v>
      </c>
    </row>
    <row r="12442">
      <c r="A12442" s="1" t="s">
        <v>12442</v>
      </c>
      <c r="B12442" s="2" t="str">
        <f>IFERROR(__xludf.DUMMYFUNCTION("GOOGLETRANSLATE(A12442, ""de"", ""en"")"),"lily")</f>
        <v>lily</v>
      </c>
    </row>
    <row r="12443">
      <c r="A12443" s="1" t="s">
        <v>12443</v>
      </c>
      <c r="B12443" s="2" t="str">
        <f>IFERROR(__xludf.DUMMYFUNCTION("GOOGLETRANSLATE(A12443, ""de"", ""en"")"),"marriage proposal")</f>
        <v>marriage proposal</v>
      </c>
    </row>
    <row r="12444">
      <c r="A12444" s="1" t="s">
        <v>12444</v>
      </c>
      <c r="B12444" s="2" t="str">
        <f>IFERROR(__xludf.DUMMYFUNCTION("GOOGLETRANSLATE(A12444, ""de"", ""en"")"),"Ole")</f>
        <v>Ole</v>
      </c>
    </row>
    <row r="12445">
      <c r="A12445" s="1" t="s">
        <v>12445</v>
      </c>
      <c r="B12445" s="2" t="str">
        <f>IFERROR(__xludf.DUMMYFUNCTION("GOOGLETRANSLATE(A12445, ""de"", ""en"")"),"pour")</f>
        <v>pour</v>
      </c>
    </row>
    <row r="12446">
      <c r="A12446" s="1" t="s">
        <v>12446</v>
      </c>
      <c r="B12446" s="2" t="str">
        <f>IFERROR(__xludf.DUMMYFUNCTION("GOOGLETRANSLATE(A12446, ""de"", ""en"")"),"bribed")</f>
        <v>bribed</v>
      </c>
    </row>
    <row r="12447">
      <c r="A12447" s="1" t="s">
        <v>12447</v>
      </c>
      <c r="B12447" s="2" t="str">
        <f>IFERROR(__xludf.DUMMYFUNCTION("GOOGLETRANSLATE(A12447, ""de"", ""en"")"),"evidence")</f>
        <v>evidence</v>
      </c>
    </row>
    <row r="12448">
      <c r="A12448" s="1" t="s">
        <v>12448</v>
      </c>
      <c r="B12448" s="2" t="str">
        <f>IFERROR(__xludf.DUMMYFUNCTION("GOOGLETRANSLATE(A12448, ""de"", ""en"")"),"Coleman")</f>
        <v>Coleman</v>
      </c>
    </row>
    <row r="12449">
      <c r="A12449" s="1" t="s">
        <v>12449</v>
      </c>
      <c r="B12449" s="2" t="str">
        <f>IFERROR(__xludf.DUMMYFUNCTION("GOOGLETRANSLATE(A12449, ""de"", ""en"")"),"religious")</f>
        <v>religious</v>
      </c>
    </row>
    <row r="12450">
      <c r="A12450" s="1" t="s">
        <v>12450</v>
      </c>
      <c r="B12450" s="2" t="str">
        <f>IFERROR(__xludf.DUMMYFUNCTION("GOOGLETRANSLATE(A12450, ""de"", ""en"")"),"conveyed")</f>
        <v>conveyed</v>
      </c>
    </row>
    <row r="12451">
      <c r="A12451" s="1" t="s">
        <v>12451</v>
      </c>
      <c r="B12451" s="2" t="str">
        <f>IFERROR(__xludf.DUMMYFUNCTION("GOOGLETRANSLATE(A12451, ""de"", ""en"")"),"ark")</f>
        <v>ark</v>
      </c>
    </row>
    <row r="12452">
      <c r="A12452" s="1" t="s">
        <v>12452</v>
      </c>
      <c r="B12452" s="2" t="str">
        <f>IFERROR(__xludf.DUMMYFUNCTION("GOOGLETRANSLATE(A12452, ""de"", ""en"")"),"elite")</f>
        <v>elite</v>
      </c>
    </row>
    <row r="12453">
      <c r="A12453" s="1" t="s">
        <v>12453</v>
      </c>
      <c r="B12453" s="2" t="str">
        <f>IFERROR(__xludf.DUMMYFUNCTION("GOOGLETRANSLATE(A12453, ""de"", ""en"")"),"flying")</f>
        <v>flying</v>
      </c>
    </row>
    <row r="12454">
      <c r="A12454" s="1" t="s">
        <v>12454</v>
      </c>
      <c r="B12454" s="2" t="str">
        <f>IFERROR(__xludf.DUMMYFUNCTION("GOOGLETRANSLATE(A12454, ""de"", ""en"")"),"motivated")</f>
        <v>motivated</v>
      </c>
    </row>
    <row r="12455">
      <c r="A12455" s="1" t="s">
        <v>12455</v>
      </c>
      <c r="B12455" s="2" t="str">
        <f>IFERROR(__xludf.DUMMYFUNCTION("GOOGLETRANSLATE(A12455, ""de"", ""en"")"),"medication")</f>
        <v>medication</v>
      </c>
    </row>
    <row r="12456">
      <c r="A12456" s="1" t="s">
        <v>12456</v>
      </c>
      <c r="B12456" s="2" t="str">
        <f>IFERROR(__xludf.DUMMYFUNCTION("GOOGLETRANSLATE(A12456, ""de"", ""en"")"),"slim")</f>
        <v>slim</v>
      </c>
    </row>
    <row r="12457">
      <c r="A12457" s="1" t="s">
        <v>12457</v>
      </c>
      <c r="B12457" s="2" t="str">
        <f>IFERROR(__xludf.DUMMYFUNCTION("GOOGLETRANSLATE(A12457, ""de"", ""en"")"),"lorenzo")</f>
        <v>lorenzo</v>
      </c>
    </row>
    <row r="12458">
      <c r="A12458" s="1" t="s">
        <v>12458</v>
      </c>
      <c r="B12458" s="2" t="str">
        <f>IFERROR(__xludf.DUMMYFUNCTION("GOOGLETRANSLATE(A12458, ""de"", ""en"")"),"authority")</f>
        <v>authority</v>
      </c>
    </row>
    <row r="12459">
      <c r="A12459" s="1" t="s">
        <v>12459</v>
      </c>
      <c r="B12459" s="2" t="str">
        <f>IFERROR(__xludf.DUMMYFUNCTION("GOOGLETRANSLATE(A12459, ""de"", ""en"")"),"lockhart")</f>
        <v>lockhart</v>
      </c>
    </row>
    <row r="12460">
      <c r="A12460" s="1" t="s">
        <v>12460</v>
      </c>
      <c r="B12460" s="2" t="str">
        <f>IFERROR(__xludf.DUMMYFUNCTION("GOOGLETRANSLATE(A12460, ""de"", ""en"")"),"John")</f>
        <v>John</v>
      </c>
    </row>
    <row r="12461">
      <c r="A12461" s="1" t="s">
        <v>12461</v>
      </c>
      <c r="B12461" s="2" t="str">
        <f>IFERROR(__xludf.DUMMYFUNCTION("GOOGLETRANSLATE(A12461, ""de"", ""en"")"),"regst")</f>
        <v>regst</v>
      </c>
    </row>
    <row r="12462">
      <c r="A12462" s="1" t="s">
        <v>12462</v>
      </c>
      <c r="B12462" s="2" t="str">
        <f>IFERROR(__xludf.DUMMYFUNCTION("GOOGLETRANSLATE(A12462, ""de"", ""en"")"),"beau")</f>
        <v>beau</v>
      </c>
    </row>
    <row r="12463">
      <c r="A12463" s="1" t="s">
        <v>12463</v>
      </c>
      <c r="B12463" s="2" t="str">
        <f>IFERROR(__xludf.DUMMYFUNCTION("GOOGLETRANSLATE(A12463, ""de"", ""en"")"),"fat")</f>
        <v>fat</v>
      </c>
    </row>
    <row r="12464">
      <c r="A12464" s="1" t="s">
        <v>12464</v>
      </c>
      <c r="B12464" s="2" t="str">
        <f>IFERROR(__xludf.DUMMYFUNCTION("GOOGLETRANSLATE(A12464, ""de"", ""en"")"),"bewitched")</f>
        <v>bewitched</v>
      </c>
    </row>
    <row r="12465">
      <c r="A12465" s="1" t="s">
        <v>12465</v>
      </c>
      <c r="B12465" s="2" t="str">
        <f>IFERROR(__xludf.DUMMYFUNCTION("GOOGLETRANSLATE(A12465, ""de"", ""en"")"),"death sentence")</f>
        <v>death sentence</v>
      </c>
    </row>
    <row r="12466">
      <c r="A12466" s="1" t="s">
        <v>12466</v>
      </c>
      <c r="B12466" s="2" t="str">
        <f>IFERROR(__xludf.DUMMYFUNCTION("GOOGLETRANSLATE(A12466, ""de"", ""en"")"),"imperial")</f>
        <v>imperial</v>
      </c>
    </row>
    <row r="12467">
      <c r="A12467" s="1" t="s">
        <v>12467</v>
      </c>
      <c r="B12467" s="2" t="str">
        <f>IFERROR(__xludf.DUMMYFUNCTION("GOOGLETRANSLATE(A12467, ""de"", ""en"")"),"worry")</f>
        <v>worry</v>
      </c>
    </row>
    <row r="12468">
      <c r="A12468" s="1" t="s">
        <v>12468</v>
      </c>
      <c r="B12468" s="2" t="str">
        <f>IFERROR(__xludf.DUMMYFUNCTION("GOOGLETRANSLATE(A12468, ""de"", ""en"")"),"research")</f>
        <v>research</v>
      </c>
    </row>
    <row r="12469">
      <c r="A12469" s="1" t="s">
        <v>12469</v>
      </c>
      <c r="B12469" s="2" t="str">
        <f>IFERROR(__xludf.DUMMYFUNCTION("GOOGLETRANSLATE(A12469, ""de"", ""en"")"),"Allie")</f>
        <v>Allie</v>
      </c>
    </row>
    <row r="12470">
      <c r="A12470" s="1" t="s">
        <v>12470</v>
      </c>
      <c r="B12470" s="2" t="str">
        <f>IFERROR(__xludf.DUMMYFUNCTION("GOOGLETRANSLATE(A12470, ""de"", ""en"")"),"to take off")</f>
        <v>to take off</v>
      </c>
    </row>
    <row r="12471">
      <c r="A12471" s="1" t="s">
        <v>12471</v>
      </c>
      <c r="B12471" s="2" t="str">
        <f>IFERROR(__xludf.DUMMYFUNCTION("GOOGLETRANSLATE(A12471, ""de"", ""en"")"),"slips")</f>
        <v>slips</v>
      </c>
    </row>
    <row r="12472">
      <c r="A12472" s="1" t="s">
        <v>12472</v>
      </c>
      <c r="B12472" s="2" t="str">
        <f>IFERROR(__xludf.DUMMYFUNCTION("GOOGLETRANSLATE(A12472, ""de"", ""en"")"),"escape")</f>
        <v>escape</v>
      </c>
    </row>
    <row r="12473">
      <c r="A12473" s="1" t="s">
        <v>12473</v>
      </c>
      <c r="B12473" s="2" t="str">
        <f>IFERROR(__xludf.DUMMYFUNCTION("GOOGLETRANSLATE(A12473, ""de"", ""en"")"),"wrestle")</f>
        <v>wrestle</v>
      </c>
    </row>
    <row r="12474">
      <c r="A12474" s="1" t="s">
        <v>12474</v>
      </c>
      <c r="B12474" s="2" t="str">
        <f>IFERROR(__xludf.DUMMYFUNCTION("GOOGLETRANSLATE(A12474, ""de"", ""en"")"),"tricked")</f>
        <v>tricked</v>
      </c>
    </row>
    <row r="12475">
      <c r="A12475" s="1" t="s">
        <v>12475</v>
      </c>
      <c r="B12475" s="2" t="str">
        <f>IFERROR(__xludf.DUMMYFUNCTION("GOOGLETRANSLATE(A12475, ""de"", ""en"")"),"cream")</f>
        <v>cream</v>
      </c>
    </row>
    <row r="12476">
      <c r="A12476" s="1" t="s">
        <v>12476</v>
      </c>
      <c r="B12476" s="2" t="str">
        <f>IFERROR(__xludf.DUMMYFUNCTION("GOOGLETRANSLATE(A12476, ""de"", ""en"")"),"to spend")</f>
        <v>to spend</v>
      </c>
    </row>
    <row r="12477">
      <c r="A12477" s="1" t="s">
        <v>12477</v>
      </c>
      <c r="B12477" s="2" t="str">
        <f>IFERROR(__xludf.DUMMYFUNCTION("GOOGLETRANSLATE(A12477, ""de"", ""en"")"),"clive")</f>
        <v>clive</v>
      </c>
    </row>
    <row r="12478">
      <c r="A12478" s="1" t="s">
        <v>12478</v>
      </c>
      <c r="B12478" s="2" t="str">
        <f>IFERROR(__xludf.DUMMYFUNCTION("GOOGLETRANSLATE(A12478, ""de"", ""en"")"),"why")</f>
        <v>why</v>
      </c>
    </row>
    <row r="12479">
      <c r="A12479" s="1" t="s">
        <v>12479</v>
      </c>
      <c r="B12479" s="2" t="str">
        <f>IFERROR(__xludf.DUMMYFUNCTION("GOOGLETRANSLATE(A12479, ""de"", ""en"")"),"to return")</f>
        <v>to return</v>
      </c>
    </row>
    <row r="12480">
      <c r="A12480" s="1" t="s">
        <v>12480</v>
      </c>
      <c r="B12480" s="2" t="str">
        <f>IFERROR(__xludf.DUMMYFUNCTION("GOOGLETRANSLATE(A12480, ""de"", ""en"")"),"track")</f>
        <v>track</v>
      </c>
    </row>
    <row r="12481">
      <c r="A12481" s="1" t="s">
        <v>12481</v>
      </c>
      <c r="B12481" s="2" t="str">
        <f>IFERROR(__xludf.DUMMYFUNCTION("GOOGLETRANSLATE(A12481, ""de"", ""en"")"),"barbarians")</f>
        <v>barbarians</v>
      </c>
    </row>
    <row r="12482">
      <c r="A12482" s="1" t="s">
        <v>12482</v>
      </c>
      <c r="B12482" s="2" t="str">
        <f>IFERROR(__xludf.DUMMYFUNCTION("GOOGLETRANSLATE(A12482, ""de"", ""en"")"),"enchanted")</f>
        <v>enchanted</v>
      </c>
    </row>
    <row r="12483">
      <c r="A12483" s="1" t="s">
        <v>12483</v>
      </c>
      <c r="B12483" s="2" t="str">
        <f>IFERROR(__xludf.DUMMYFUNCTION("GOOGLETRANSLATE(A12483, ""de"", ""en"")"),"coop")</f>
        <v>coop</v>
      </c>
    </row>
    <row r="12484">
      <c r="A12484" s="1" t="s">
        <v>12484</v>
      </c>
      <c r="B12484" s="2" t="str">
        <f>IFERROR(__xludf.DUMMYFUNCTION("GOOGLETRANSLATE(A12484, ""de"", ""en"")"),"interesting")</f>
        <v>interesting</v>
      </c>
    </row>
    <row r="12485">
      <c r="A12485" s="1" t="s">
        <v>12485</v>
      </c>
      <c r="B12485" s="2" t="str">
        <f>IFERROR(__xludf.DUMMYFUNCTION("GOOGLETRANSLATE(A12485, ""de"", ""en"")"),"rowing")</f>
        <v>rowing</v>
      </c>
    </row>
    <row r="12486">
      <c r="A12486" s="1" t="s">
        <v>12486</v>
      </c>
      <c r="B12486" s="2" t="str">
        <f>IFERROR(__xludf.DUMMYFUNCTION("GOOGLETRANSLATE(A12486, ""de"", ""en"")"),"got")</f>
        <v>got</v>
      </c>
    </row>
    <row r="12487">
      <c r="A12487" s="1" t="s">
        <v>12487</v>
      </c>
      <c r="B12487" s="2" t="str">
        <f>IFERROR(__xludf.DUMMYFUNCTION("GOOGLETRANSLATE(A12487, ""de"", ""en"")"),"crossed")</f>
        <v>crossed</v>
      </c>
    </row>
    <row r="12488">
      <c r="A12488" s="1" t="s">
        <v>12488</v>
      </c>
      <c r="B12488" s="2" t="str">
        <f>IFERROR(__xludf.DUMMYFUNCTION("GOOGLETRANSLATE(A12488, ""de"", ""en"")"),"issued")</f>
        <v>issued</v>
      </c>
    </row>
    <row r="12489">
      <c r="A12489" s="1" t="s">
        <v>12489</v>
      </c>
      <c r="B12489" s="2" t="str">
        <f>IFERROR(__xludf.DUMMYFUNCTION("GOOGLETRANSLATE(A12489, ""de"", ""en"")"),"tend")</f>
        <v>tend</v>
      </c>
    </row>
    <row r="12490">
      <c r="A12490" s="1" t="s">
        <v>12490</v>
      </c>
      <c r="B12490" s="2" t="str">
        <f>IFERROR(__xludf.DUMMYFUNCTION("GOOGLETRANSLATE(A12490, ""de"", ""en"")"),"Coco")</f>
        <v>Coco</v>
      </c>
    </row>
    <row r="12491">
      <c r="A12491" s="1" t="s">
        <v>12491</v>
      </c>
      <c r="B12491" s="2" t="str">
        <f>IFERROR(__xludf.DUMMYFUNCTION("GOOGLETRANSLATE(A12491, ""de"", ""en"")"),"goes down")</f>
        <v>goes down</v>
      </c>
    </row>
    <row r="12492">
      <c r="A12492" s="1" t="s">
        <v>12492</v>
      </c>
      <c r="B12492" s="2" t="str">
        <f>IFERROR(__xludf.DUMMYFUNCTION("GOOGLETRANSLATE(A12492, ""de"", ""en"")"),"artwork")</f>
        <v>artwork</v>
      </c>
    </row>
    <row r="12493">
      <c r="A12493" s="1" t="s">
        <v>12493</v>
      </c>
      <c r="B12493" s="2" t="str">
        <f>IFERROR(__xludf.DUMMYFUNCTION("GOOGLETRANSLATE(A12493, ""de"", ""en"")"),"bodyguard")</f>
        <v>bodyguard</v>
      </c>
    </row>
    <row r="12494">
      <c r="A12494" s="1" t="s">
        <v>12494</v>
      </c>
      <c r="B12494" s="2" t="str">
        <f>IFERROR(__xludf.DUMMYFUNCTION("GOOGLETRANSLATE(A12494, ""de"", ""en"")"),"disability")</f>
        <v>disability</v>
      </c>
    </row>
    <row r="12495">
      <c r="A12495" s="1" t="s">
        <v>12495</v>
      </c>
      <c r="B12495" s="2" t="str">
        <f>IFERROR(__xludf.DUMMYFUNCTION("GOOGLETRANSLATE(A12495, ""de"", ""en"")"),"bloom")</f>
        <v>bloom</v>
      </c>
    </row>
    <row r="12496">
      <c r="A12496" s="1" t="s">
        <v>12496</v>
      </c>
      <c r="B12496" s="2" t="str">
        <f>IFERROR(__xludf.DUMMYFUNCTION("GOOGLETRANSLATE(A12496, ""de"", ""en"")"),"thin")</f>
        <v>thin</v>
      </c>
    </row>
    <row r="12497">
      <c r="A12497" s="1" t="s">
        <v>12497</v>
      </c>
      <c r="B12497" s="2" t="str">
        <f>IFERROR(__xludf.DUMMYFUNCTION("GOOGLETRANSLATE(A12497, ""de"", ""en"")"),"comb")</f>
        <v>comb</v>
      </c>
    </row>
    <row r="12498">
      <c r="A12498" s="1" t="s">
        <v>12498</v>
      </c>
      <c r="B12498" s="2" t="str">
        <f>IFERROR(__xludf.DUMMYFUNCTION("GOOGLETRANSLATE(A12498, ""de"", ""en"")"),"transformation")</f>
        <v>transformation</v>
      </c>
    </row>
    <row r="12499">
      <c r="A12499" s="1" t="s">
        <v>12499</v>
      </c>
      <c r="B12499" s="2" t="str">
        <f>IFERROR(__xludf.DUMMYFUNCTION("GOOGLETRANSLATE(A12499, ""de"", ""en"")"),"hundreds")</f>
        <v>hundreds</v>
      </c>
    </row>
    <row r="12500">
      <c r="A12500" s="1" t="s">
        <v>12500</v>
      </c>
      <c r="B12500" s="2" t="str">
        <f>IFERROR(__xludf.DUMMYFUNCTION("GOOGLETRANSLATE(A12500, ""de"", ""en"")"),"ancient")</f>
        <v>ancient</v>
      </c>
    </row>
    <row r="12501">
      <c r="A12501" s="1" t="s">
        <v>12501</v>
      </c>
      <c r="B12501" s="2" t="str">
        <f>IFERROR(__xludf.DUMMYFUNCTION("GOOGLETRANSLATE(A12501, ""de"", ""en"")"),"warner")</f>
        <v>warner</v>
      </c>
    </row>
    <row r="12502">
      <c r="A12502" s="1" t="s">
        <v>12502</v>
      </c>
      <c r="B12502" s="2" t="str">
        <f>IFERROR(__xludf.DUMMYFUNCTION("GOOGLETRANSLATE(A12502, ""de"", ""en"")"),"fur")</f>
        <v>fur</v>
      </c>
    </row>
    <row r="12503">
      <c r="A12503" s="1" t="s">
        <v>12503</v>
      </c>
      <c r="B12503" s="2" t="str">
        <f>IFERROR(__xludf.DUMMYFUNCTION("GOOGLETRANSLATE(A12503, ""de"", ""en"")"),"3 times")</f>
        <v>3 times</v>
      </c>
    </row>
    <row r="12504">
      <c r="A12504" s="1" t="s">
        <v>12504</v>
      </c>
      <c r="B12504" s="2" t="str">
        <f>IFERROR(__xludf.DUMMYFUNCTION("GOOGLETRANSLATE(A12504, ""de"", ""en"")"),"someone's")</f>
        <v>someone's</v>
      </c>
    </row>
    <row r="12505">
      <c r="A12505" s="1" t="s">
        <v>12505</v>
      </c>
      <c r="B12505" s="2" t="str">
        <f>IFERROR(__xludf.DUMMYFUNCTION("GOOGLETRANSLATE(A12505, ""de"", ""en"")"),"rainbow")</f>
        <v>rainbow</v>
      </c>
    </row>
    <row r="12506">
      <c r="A12506" s="1" t="s">
        <v>12506</v>
      </c>
      <c r="B12506" s="2" t="str">
        <f>IFERROR(__xludf.DUMMYFUNCTION("GOOGLETRANSLATE(A12506, ""de"", ""en"")"),"quote")</f>
        <v>quote</v>
      </c>
    </row>
    <row r="12507">
      <c r="A12507" s="1" t="s">
        <v>12507</v>
      </c>
      <c r="B12507" s="2" t="str">
        <f>IFERROR(__xludf.DUMMYFUNCTION("GOOGLETRANSLATE(A12507, ""de"", ""en"")"),"caused")</f>
        <v>caused</v>
      </c>
    </row>
    <row r="12508">
      <c r="A12508" s="1" t="s">
        <v>12508</v>
      </c>
      <c r="B12508" s="2" t="str">
        <f>IFERROR(__xludf.DUMMYFUNCTION("GOOGLETRANSLATE(A12508, ""de"", ""en"")"),"Zurich")</f>
        <v>Zurich</v>
      </c>
    </row>
    <row r="12509">
      <c r="A12509" s="1" t="s">
        <v>12509</v>
      </c>
      <c r="B12509" s="2" t="str">
        <f>IFERROR(__xludf.DUMMYFUNCTION("GOOGLETRANSLATE(A12509, ""de"", ""en"")"),"cant")</f>
        <v>cant</v>
      </c>
    </row>
    <row r="12510">
      <c r="A12510" s="1" t="s">
        <v>12510</v>
      </c>
      <c r="B12510" s="2" t="str">
        <f>IFERROR(__xludf.DUMMYFUNCTION("GOOGLETRANSLATE(A12510, ""de"", ""en"")"),"embarrass")</f>
        <v>embarrass</v>
      </c>
    </row>
    <row r="12511">
      <c r="A12511" s="1" t="s">
        <v>12511</v>
      </c>
      <c r="B12511" s="2" t="str">
        <f>IFERROR(__xludf.DUMMYFUNCTION("GOOGLETRANSLATE(A12511, ""de"", ""en"")"),"Chinatown")</f>
        <v>Chinatown</v>
      </c>
    </row>
    <row r="12512">
      <c r="A12512" s="1" t="s">
        <v>12512</v>
      </c>
      <c r="B12512" s="2" t="str">
        <f>IFERROR(__xludf.DUMMYFUNCTION("GOOGLETRANSLATE(A12512, ""de"", ""en"")"),"programs")</f>
        <v>programs</v>
      </c>
    </row>
    <row r="12513">
      <c r="A12513" s="1" t="s">
        <v>12513</v>
      </c>
      <c r="B12513" s="2" t="str">
        <f>IFERROR(__xludf.DUMMYFUNCTION("GOOGLETRANSLATE(A12513, ""de"", ""en"")"),"Nottingham")</f>
        <v>Nottingham</v>
      </c>
    </row>
    <row r="12514">
      <c r="A12514" s="1" t="s">
        <v>12514</v>
      </c>
      <c r="B12514" s="2" t="str">
        <f>IFERROR(__xludf.DUMMYFUNCTION("GOOGLETRANSLATE(A12514, ""de"", ""en"")"),"godfather")</f>
        <v>godfather</v>
      </c>
    </row>
    <row r="12515">
      <c r="A12515" s="1" t="s">
        <v>12515</v>
      </c>
      <c r="B12515" s="2" t="str">
        <f>IFERROR(__xludf.DUMMYFUNCTION("GOOGLETRANSLATE(A12515, ""de"", ""en"")"),"staged")</f>
        <v>staged</v>
      </c>
    </row>
    <row r="12516">
      <c r="A12516" s="1" t="s">
        <v>12516</v>
      </c>
      <c r="B12516" s="2" t="str">
        <f>IFERROR(__xludf.DUMMYFUNCTION("GOOGLETRANSLATE(A12516, ""de"", ""en"")"),"withheld")</f>
        <v>withheld</v>
      </c>
    </row>
    <row r="12517">
      <c r="A12517" s="1" t="s">
        <v>12517</v>
      </c>
      <c r="B12517" s="2" t="str">
        <f>IFERROR(__xludf.DUMMYFUNCTION("GOOGLETRANSLATE(A12517, ""de"", ""en"")"),"release")</f>
        <v>release</v>
      </c>
    </row>
    <row r="12518">
      <c r="A12518" s="1" t="s">
        <v>12518</v>
      </c>
      <c r="B12518" s="2" t="str">
        <f>IFERROR(__xludf.DUMMYFUNCTION("GOOGLETRANSLATE(A12518, ""de"", ""en"")"),"in which")</f>
        <v>in which</v>
      </c>
    </row>
    <row r="12519">
      <c r="A12519" s="1" t="s">
        <v>12519</v>
      </c>
      <c r="B12519" s="2" t="str">
        <f>IFERROR(__xludf.DUMMYFUNCTION("GOOGLETRANSLATE(A12519, ""de"", ""en"")"),"differences")</f>
        <v>differences</v>
      </c>
    </row>
    <row r="12520">
      <c r="A12520" s="1" t="s">
        <v>12520</v>
      </c>
      <c r="B12520" s="2" t="str">
        <f>IFERROR(__xludf.DUMMYFUNCTION("GOOGLETRANSLATE(A12520, ""de"", ""en"")"),"extraordinary")</f>
        <v>extraordinary</v>
      </c>
    </row>
    <row r="12521">
      <c r="A12521" s="1" t="s">
        <v>12521</v>
      </c>
      <c r="B12521" s="2" t="str">
        <f>IFERROR(__xludf.DUMMYFUNCTION("GOOGLETRANSLATE(A12521, ""de"", ""en"")"),"involved")</f>
        <v>involved</v>
      </c>
    </row>
    <row r="12522">
      <c r="A12522" s="1" t="s">
        <v>12522</v>
      </c>
      <c r="B12522" s="2" t="str">
        <f>IFERROR(__xludf.DUMMYFUNCTION("GOOGLETRANSLATE(A12522, ""de"", ""en"")"),"Neville")</f>
        <v>Neville</v>
      </c>
    </row>
    <row r="12523">
      <c r="A12523" s="1" t="s">
        <v>12523</v>
      </c>
      <c r="B12523" s="2" t="str">
        <f>IFERROR(__xludf.DUMMYFUNCTION("GOOGLETRANSLATE(A12523, ""de"", ""en"")"),"jumper")</f>
        <v>jumper</v>
      </c>
    </row>
    <row r="12524">
      <c r="A12524" s="1" t="s">
        <v>12524</v>
      </c>
      <c r="B12524" s="2" t="str">
        <f>IFERROR(__xludf.DUMMYFUNCTION("GOOGLETRANSLATE(A12524, ""de"", ""en"")"),"angus")</f>
        <v>angus</v>
      </c>
    </row>
    <row r="12525">
      <c r="A12525" s="1" t="s">
        <v>12525</v>
      </c>
      <c r="B12525" s="2" t="str">
        <f>IFERROR(__xludf.DUMMYFUNCTION("GOOGLETRANSLATE(A12525, ""de"", ""en"")"),"bigger")</f>
        <v>bigger</v>
      </c>
    </row>
    <row r="12526">
      <c r="A12526" s="1" t="s">
        <v>12526</v>
      </c>
      <c r="B12526" s="2" t="str">
        <f>IFERROR(__xludf.DUMMYFUNCTION("GOOGLETRANSLATE(A12526, ""de"", ""en"")"),"exercises")</f>
        <v>exercises</v>
      </c>
    </row>
    <row r="12527">
      <c r="A12527" s="1" t="s">
        <v>12527</v>
      </c>
      <c r="B12527" s="2" t="str">
        <f>IFERROR(__xludf.DUMMYFUNCTION("GOOGLETRANSLATE(A12527, ""de"", ""en"")"),"middle ages")</f>
        <v>middle ages</v>
      </c>
    </row>
    <row r="12528">
      <c r="A12528" s="1" t="s">
        <v>12528</v>
      </c>
      <c r="B12528" s="2" t="str">
        <f>IFERROR(__xludf.DUMMYFUNCTION("GOOGLETRANSLATE(A12528, ""de"", ""en"")"),"script")</f>
        <v>script</v>
      </c>
    </row>
    <row r="12529">
      <c r="A12529" s="1" t="s">
        <v>12529</v>
      </c>
      <c r="B12529" s="2" t="str">
        <f>IFERROR(__xludf.DUMMYFUNCTION("GOOGLETRANSLATE(A12529, ""de"", ""en"")"),"simulation")</f>
        <v>simulation</v>
      </c>
    </row>
    <row r="12530">
      <c r="A12530" s="1" t="s">
        <v>12530</v>
      </c>
      <c r="B12530" s="2" t="str">
        <f>IFERROR(__xludf.DUMMYFUNCTION("GOOGLETRANSLATE(A12530, ""de"", ""en"")"),"floors")</f>
        <v>floors</v>
      </c>
    </row>
    <row r="12531">
      <c r="A12531" s="1" t="s">
        <v>12531</v>
      </c>
      <c r="B12531" s="2" t="str">
        <f>IFERROR(__xludf.DUMMYFUNCTION("GOOGLETRANSLATE(A12531, ""de"", ""en"")"),"beam")</f>
        <v>beam</v>
      </c>
    </row>
    <row r="12532">
      <c r="A12532" s="1" t="s">
        <v>12532</v>
      </c>
      <c r="B12532" s="2" t="str">
        <f>IFERROR(__xludf.DUMMYFUNCTION("GOOGLETRANSLATE(A12532, ""de"", ""en"")"),"approx")</f>
        <v>approx</v>
      </c>
    </row>
    <row r="12533">
      <c r="A12533" s="1" t="s">
        <v>12533</v>
      </c>
      <c r="B12533" s="2" t="str">
        <f>IFERROR(__xludf.DUMMYFUNCTION("GOOGLETRANSLATE(A12533, ""de"", ""en"")"),"leaves")</f>
        <v>leaves</v>
      </c>
    </row>
    <row r="12534">
      <c r="A12534" s="1" t="s">
        <v>12534</v>
      </c>
      <c r="B12534" s="2" t="str">
        <f>IFERROR(__xludf.DUMMYFUNCTION("GOOGLETRANSLATE(A12534, ""de"", ""en"")"),"bye Bye")</f>
        <v>bye Bye</v>
      </c>
    </row>
    <row r="12535">
      <c r="A12535" s="1" t="s">
        <v>12535</v>
      </c>
      <c r="B12535" s="2" t="str">
        <f>IFERROR(__xludf.DUMMYFUNCTION("GOOGLETRANSLATE(A12535, ""de"", ""en"")"),"starling")</f>
        <v>starling</v>
      </c>
    </row>
    <row r="12536">
      <c r="A12536" s="1" t="s">
        <v>12536</v>
      </c>
      <c r="B12536" s="2" t="str">
        <f>IFERROR(__xludf.DUMMYFUNCTION("GOOGLETRANSLATE(A12536, ""de"", ""en"")"),"feng")</f>
        <v>feng</v>
      </c>
    </row>
    <row r="12537">
      <c r="A12537" s="1" t="s">
        <v>12537</v>
      </c>
      <c r="B12537" s="2" t="str">
        <f>IFERROR(__xludf.DUMMYFUNCTION("GOOGLETRANSLATE(A12537, ""de"", ""en"")"),"harmed")</f>
        <v>harmed</v>
      </c>
    </row>
    <row r="12538">
      <c r="A12538" s="1" t="s">
        <v>12538</v>
      </c>
      <c r="B12538" s="2" t="str">
        <f>IFERROR(__xludf.DUMMYFUNCTION("GOOGLETRANSLATE(A12538, ""de"", ""en"")"),"purse")</f>
        <v>purse</v>
      </c>
    </row>
    <row r="12539">
      <c r="A12539" s="1" t="s">
        <v>12539</v>
      </c>
      <c r="B12539" s="2" t="str">
        <f>IFERROR(__xludf.DUMMYFUNCTION("GOOGLETRANSLATE(A12539, ""de"", ""en"")"),"upper")</f>
        <v>upper</v>
      </c>
    </row>
    <row r="12540">
      <c r="A12540" s="1" t="s">
        <v>12540</v>
      </c>
      <c r="B12540" s="2" t="str">
        <f>IFERROR(__xludf.DUMMYFUNCTION("GOOGLETRANSLATE(A12540, ""de"", ""en"")"),"lucky charm")</f>
        <v>lucky charm</v>
      </c>
    </row>
    <row r="12541">
      <c r="A12541" s="1" t="s">
        <v>12541</v>
      </c>
      <c r="B12541" s="2" t="str">
        <f>IFERROR(__xludf.DUMMYFUNCTION("GOOGLETRANSLATE(A12541, ""de"", ""en"")"),"adolf")</f>
        <v>adolf</v>
      </c>
    </row>
    <row r="12542">
      <c r="A12542" s="1" t="s">
        <v>12542</v>
      </c>
      <c r="B12542" s="2" t="str">
        <f>IFERROR(__xludf.DUMMYFUNCTION("GOOGLETRANSLATE(A12542, ""de"", ""en"")"),"fowler")</f>
        <v>fowler</v>
      </c>
    </row>
    <row r="12543">
      <c r="A12543" s="1" t="s">
        <v>12543</v>
      </c>
      <c r="B12543" s="2" t="str">
        <f>IFERROR(__xludf.DUMMYFUNCTION("GOOGLETRANSLATE(A12543, ""de"", ""en"")"),"pointed")</f>
        <v>pointed</v>
      </c>
    </row>
    <row r="12544">
      <c r="A12544" s="1" t="s">
        <v>12544</v>
      </c>
      <c r="B12544" s="2" t="str">
        <f>IFERROR(__xludf.DUMMYFUNCTION("GOOGLETRANSLATE(A12544, ""de"", ""en"")"),"vargas")</f>
        <v>vargas</v>
      </c>
    </row>
    <row r="12545">
      <c r="A12545" s="1" t="s">
        <v>12545</v>
      </c>
      <c r="B12545" s="2" t="str">
        <f>IFERROR(__xludf.DUMMYFUNCTION("GOOGLETRANSLATE(A12545, ""de"", ""en"")"),"motivation")</f>
        <v>motivation</v>
      </c>
    </row>
    <row r="12546">
      <c r="A12546" s="1" t="s">
        <v>12546</v>
      </c>
      <c r="B12546" s="2" t="str">
        <f>IFERROR(__xludf.DUMMYFUNCTION("GOOGLETRANSLATE(A12546, ""de"", ""en"")"),"absent")</f>
        <v>absent</v>
      </c>
    </row>
    <row r="12547">
      <c r="A12547" s="1" t="s">
        <v>12547</v>
      </c>
      <c r="B12547" s="2" t="str">
        <f>IFERROR(__xludf.DUMMYFUNCTION("GOOGLETRANSLATE(A12547, ""de"", ""en"")"),"gunnar")</f>
        <v>gunnar</v>
      </c>
    </row>
    <row r="12548">
      <c r="A12548" s="1" t="s">
        <v>12548</v>
      </c>
      <c r="B12548" s="2" t="str">
        <f>IFERROR(__xludf.DUMMYFUNCTION("GOOGLETRANSLATE(A12548, ""de"", ""en"")"),"viper")</f>
        <v>viper</v>
      </c>
    </row>
    <row r="12549">
      <c r="A12549" s="1" t="s">
        <v>12549</v>
      </c>
      <c r="B12549" s="2" t="str">
        <f>IFERROR(__xludf.DUMMYFUNCTION("GOOGLETRANSLATE(A12549, ""de"", ""en"")"),"crushed")</f>
        <v>crushed</v>
      </c>
    </row>
    <row r="12550">
      <c r="A12550" s="1" t="s">
        <v>12550</v>
      </c>
      <c r="B12550" s="2" t="str">
        <f>IFERROR(__xludf.DUMMYFUNCTION("GOOGLETRANSLATE(A12550, ""de"", ""en"")"),"alwayson")</f>
        <v>alwayson</v>
      </c>
    </row>
    <row r="12551">
      <c r="A12551" s="1" t="s">
        <v>12551</v>
      </c>
      <c r="B12551" s="2" t="str">
        <f>IFERROR(__xludf.DUMMYFUNCTION("GOOGLETRANSLATE(A12551, ""de"", ""en"")"),"pisser")</f>
        <v>pisser</v>
      </c>
    </row>
    <row r="12552">
      <c r="A12552" s="1" t="s">
        <v>12552</v>
      </c>
      <c r="B12552" s="2" t="str">
        <f>IFERROR(__xludf.DUMMYFUNCTION("GOOGLETRANSLATE(A12552, ""de"", ""en"")"),"conference room")</f>
        <v>conference room</v>
      </c>
    </row>
    <row r="12553">
      <c r="A12553" s="1" t="s">
        <v>12553</v>
      </c>
      <c r="B12553" s="2" t="str">
        <f>IFERROR(__xludf.DUMMYFUNCTION("GOOGLETRANSLATE(A12553, ""de"", ""en"")"),"declan")</f>
        <v>declan</v>
      </c>
    </row>
    <row r="12554">
      <c r="A12554" s="1" t="s">
        <v>12554</v>
      </c>
      <c r="B12554" s="2" t="str">
        <f>IFERROR(__xludf.DUMMYFUNCTION("GOOGLETRANSLATE(A12554, ""de"", ""en"")"),"passed on")</f>
        <v>passed on</v>
      </c>
    </row>
    <row r="12555">
      <c r="A12555" s="1" t="s">
        <v>12555</v>
      </c>
      <c r="B12555" s="2" t="str">
        <f>IFERROR(__xludf.DUMMYFUNCTION("GOOGLETRANSLATE(A12555, ""de"", ""en"")"),"painted")</f>
        <v>painted</v>
      </c>
    </row>
    <row r="12556">
      <c r="A12556" s="1" t="s">
        <v>12556</v>
      </c>
      <c r="B12556" s="2" t="str">
        <f>IFERROR(__xludf.DUMMYFUNCTION("GOOGLETRANSLATE(A12556, ""de"", ""en"")"),"go for it")</f>
        <v>go for it</v>
      </c>
    </row>
    <row r="12557">
      <c r="A12557" s="1" t="s">
        <v>12557</v>
      </c>
      <c r="B12557" s="2" t="str">
        <f>IFERROR(__xludf.DUMMYFUNCTION("GOOGLETRANSLATE(A12557, ""de"", ""en"")"),"Davey")</f>
        <v>Davey</v>
      </c>
    </row>
    <row r="12558">
      <c r="A12558" s="1" t="s">
        <v>12558</v>
      </c>
      <c r="B12558" s="2" t="str">
        <f>IFERROR(__xludf.DUMMYFUNCTION("GOOGLETRANSLATE(A12558, ""de"", ""en"")"),"participate")</f>
        <v>participate</v>
      </c>
    </row>
    <row r="12559">
      <c r="A12559" s="1" t="s">
        <v>12559</v>
      </c>
      <c r="B12559" s="2" t="str">
        <f>IFERROR(__xludf.DUMMYFUNCTION("GOOGLETRANSLATE(A12559, ""de"", ""en"")"),"whoo")</f>
        <v>whoo</v>
      </c>
    </row>
    <row r="12560">
      <c r="A12560" s="1" t="s">
        <v>12560</v>
      </c>
      <c r="B12560" s="2" t="str">
        <f>IFERROR(__xludf.DUMMYFUNCTION("GOOGLETRANSLATE(A12560, ""de"", ""en"")"),"Castiel")</f>
        <v>Castiel</v>
      </c>
    </row>
    <row r="12561">
      <c r="A12561" s="1" t="s">
        <v>12561</v>
      </c>
      <c r="B12561" s="2" t="str">
        <f>IFERROR(__xludf.DUMMYFUNCTION("GOOGLETRANSLATE(A12561, ""de"", ""en"")"),"impudence")</f>
        <v>impudence</v>
      </c>
    </row>
    <row r="12562">
      <c r="A12562" s="1" t="s">
        <v>12562</v>
      </c>
      <c r="B12562" s="2" t="str">
        <f>IFERROR(__xludf.DUMMYFUNCTION("GOOGLETRANSLATE(A12562, ""de"", ""en"")"),"platform")</f>
        <v>platform</v>
      </c>
    </row>
    <row r="12563">
      <c r="A12563" s="1" t="s">
        <v>12563</v>
      </c>
      <c r="B12563" s="2" t="str">
        <f>IFERROR(__xludf.DUMMYFUNCTION("GOOGLETRANSLATE(A12563, ""de"", ""en"")"),"Mexican")</f>
        <v>Mexican</v>
      </c>
    </row>
    <row r="12564">
      <c r="A12564" s="1" t="s">
        <v>12564</v>
      </c>
      <c r="B12564" s="2" t="str">
        <f>IFERROR(__xludf.DUMMYFUNCTION("GOOGLETRANSLATE(A12564, ""de"", ""en"")"),"phyllis")</f>
        <v>phyllis</v>
      </c>
    </row>
    <row r="12565">
      <c r="A12565" s="1" t="s">
        <v>12565</v>
      </c>
      <c r="B12565" s="2" t="str">
        <f>IFERROR(__xludf.DUMMYFUNCTION("GOOGLETRANSLATE(A12565, ""de"", ""en"")"),"alliance")</f>
        <v>alliance</v>
      </c>
    </row>
    <row r="12566">
      <c r="A12566" s="1" t="s">
        <v>12566</v>
      </c>
      <c r="B12566" s="2" t="str">
        <f>IFERROR(__xludf.DUMMYFUNCTION("GOOGLETRANSLATE(A12566, ""de"", ""en"")"),"cripo")</f>
        <v>cripo</v>
      </c>
    </row>
    <row r="12567">
      <c r="A12567" s="1" t="s">
        <v>12567</v>
      </c>
      <c r="B12567" s="2" t="str">
        <f>IFERROR(__xludf.DUMMYFUNCTION("GOOGLETRANSLATE(A12567, ""de"", ""en"")"),"notified")</f>
        <v>notified</v>
      </c>
    </row>
    <row r="12568">
      <c r="A12568" s="1" t="s">
        <v>12568</v>
      </c>
      <c r="B12568" s="2" t="str">
        <f>IFERROR(__xludf.DUMMYFUNCTION("GOOGLETRANSLATE(A12568, ""de"", ""en"")"),"disturbing")</f>
        <v>disturbing</v>
      </c>
    </row>
    <row r="12569">
      <c r="A12569" s="1" t="s">
        <v>12569</v>
      </c>
      <c r="B12569" s="2" t="str">
        <f>IFERROR(__xludf.DUMMYFUNCTION("GOOGLETRANSLATE(A12569, ""de"", ""en"")"),"neglected")</f>
        <v>neglected</v>
      </c>
    </row>
    <row r="12570">
      <c r="A12570" s="1" t="s">
        <v>12570</v>
      </c>
      <c r="B12570" s="2" t="str">
        <f>IFERROR(__xludf.DUMMYFUNCTION("GOOGLETRANSLATE(A12570, ""de"", ""en"")"),"Europe")</f>
        <v>Europe</v>
      </c>
    </row>
    <row r="12571">
      <c r="A12571" s="1" t="s">
        <v>12571</v>
      </c>
      <c r="B12571" s="2" t="str">
        <f>IFERROR(__xludf.DUMMYFUNCTION("GOOGLETRANSLATE(A12571, ""de"", ""en"")"),"fastest")</f>
        <v>fastest</v>
      </c>
    </row>
    <row r="12572">
      <c r="A12572" s="1" t="s">
        <v>12572</v>
      </c>
      <c r="B12572" s="2" t="str">
        <f>IFERROR(__xludf.DUMMYFUNCTION("GOOGLETRANSLATE(A12572, ""de"", ""en"")"),"chick")</f>
        <v>chick</v>
      </c>
    </row>
    <row r="12573">
      <c r="A12573" s="1" t="s">
        <v>12573</v>
      </c>
      <c r="B12573" s="2" t="str">
        <f>IFERROR(__xludf.DUMMYFUNCTION("GOOGLETRANSLATE(A12573, ""de"", ""en"")"),"could")</f>
        <v>could</v>
      </c>
    </row>
    <row r="12574">
      <c r="A12574" s="1" t="s">
        <v>12574</v>
      </c>
      <c r="B12574" s="2" t="str">
        <f>IFERROR(__xludf.DUMMYFUNCTION("GOOGLETRANSLATE(A12574, ""de"", ""en"")"),"yacht")</f>
        <v>yacht</v>
      </c>
    </row>
    <row r="12575">
      <c r="A12575" s="1" t="s">
        <v>12575</v>
      </c>
      <c r="B12575" s="2" t="str">
        <f>IFERROR(__xludf.DUMMYFUNCTION("GOOGLETRANSLATE(A12575, ""de"", ""en"")"),"fine")</f>
        <v>fine</v>
      </c>
    </row>
    <row r="12576">
      <c r="A12576" s="1" t="s">
        <v>12576</v>
      </c>
      <c r="B12576" s="2" t="str">
        <f>IFERROR(__xludf.DUMMYFUNCTION("GOOGLETRANSLATE(A12576, ""de"", ""en"")"),"coachman")</f>
        <v>coachman</v>
      </c>
    </row>
    <row r="12577">
      <c r="A12577" s="1" t="s">
        <v>12577</v>
      </c>
      <c r="B12577" s="2" t="str">
        <f>IFERROR(__xludf.DUMMYFUNCTION("GOOGLETRANSLATE(A12577, ""de"", ""en"")"),"storage room")</f>
        <v>storage room</v>
      </c>
    </row>
    <row r="12578">
      <c r="A12578" s="1" t="s">
        <v>12578</v>
      </c>
      <c r="B12578" s="2" t="str">
        <f>IFERROR(__xludf.DUMMYFUNCTION("GOOGLETRANSLATE(A12578, ""de"", ""en"")"),"parasites")</f>
        <v>parasites</v>
      </c>
    </row>
    <row r="12579">
      <c r="A12579" s="1" t="s">
        <v>12579</v>
      </c>
      <c r="B12579" s="2" t="str">
        <f>IFERROR(__xludf.DUMMYFUNCTION("GOOGLETRANSLATE(A12579, ""de"", ""en"")"),"receive")</f>
        <v>receive</v>
      </c>
    </row>
    <row r="12580">
      <c r="A12580" s="1" t="s">
        <v>12580</v>
      </c>
      <c r="B12580" s="2" t="str">
        <f>IFERROR(__xludf.DUMMYFUNCTION("GOOGLETRANSLATE(A12580, ""de"", ""en"")"),"land")</f>
        <v>land</v>
      </c>
    </row>
    <row r="12581">
      <c r="A12581" s="1" t="s">
        <v>12581</v>
      </c>
      <c r="B12581" s="2" t="str">
        <f>IFERROR(__xludf.DUMMYFUNCTION("GOOGLETRANSLATE(A12581, ""de"", ""en"")"),"Olaf")</f>
        <v>Olaf</v>
      </c>
    </row>
    <row r="12582">
      <c r="A12582" s="1" t="s">
        <v>12582</v>
      </c>
      <c r="B12582" s="2" t="str">
        <f>IFERROR(__xludf.DUMMYFUNCTION("GOOGLETRANSLATE(A12582, ""de"", ""en"")"),"ferrari")</f>
        <v>ferrari</v>
      </c>
    </row>
    <row r="12583">
      <c r="A12583" s="1" t="s">
        <v>12583</v>
      </c>
      <c r="B12583" s="2" t="str">
        <f>IFERROR(__xludf.DUMMYFUNCTION("GOOGLETRANSLATE(A12583, ""de"", ""en"")"),"pike")</f>
        <v>pike</v>
      </c>
    </row>
    <row r="12584">
      <c r="A12584" s="1" t="s">
        <v>12584</v>
      </c>
      <c r="B12584" s="2" t="str">
        <f>IFERROR(__xludf.DUMMYFUNCTION("GOOGLETRANSLATE(A12584, ""de"", ""en"")"),"looks")</f>
        <v>looks</v>
      </c>
    </row>
    <row r="12585">
      <c r="A12585" s="1" t="s">
        <v>12585</v>
      </c>
      <c r="B12585" s="2" t="str">
        <f>IFERROR(__xludf.DUMMYFUNCTION("GOOGLETRANSLATE(A12585, ""de"", ""en"")"),"Helga")</f>
        <v>Helga</v>
      </c>
    </row>
    <row r="12586">
      <c r="A12586" s="1" t="s">
        <v>12586</v>
      </c>
      <c r="B12586" s="2" t="str">
        <f>IFERROR(__xludf.DUMMYFUNCTION("GOOGLETRANSLATE(A12586, ""de"", ""en"")"),"bluebell")</f>
        <v>bluebell</v>
      </c>
    </row>
    <row r="12587">
      <c r="A12587" s="1" t="s">
        <v>12587</v>
      </c>
      <c r="B12587" s="2" t="str">
        <f>IFERROR(__xludf.DUMMYFUNCTION("GOOGLETRANSLATE(A12587, ""de"", ""en"")"),"give")</f>
        <v>give</v>
      </c>
    </row>
    <row r="12588">
      <c r="A12588" s="1" t="s">
        <v>12588</v>
      </c>
      <c r="B12588" s="2" t="str">
        <f>IFERROR(__xludf.DUMMYFUNCTION("GOOGLETRANSLATE(A12588, ""de"", ""en"")"),"stalag")</f>
        <v>stalag</v>
      </c>
    </row>
    <row r="12589">
      <c r="A12589" s="1" t="s">
        <v>12589</v>
      </c>
      <c r="B12589" s="2" t="str">
        <f>IFERROR(__xludf.DUMMYFUNCTION("GOOGLETRANSLATE(A12589, ""de"", ""en"")"),"knead")</f>
        <v>knead</v>
      </c>
    </row>
    <row r="12590">
      <c r="A12590" s="1" t="s">
        <v>12590</v>
      </c>
      <c r="B12590" s="2" t="str">
        <f>IFERROR(__xludf.DUMMYFUNCTION("GOOGLETRANSLATE(A12590, ""de"", ""en"")"),"ripper")</f>
        <v>ripper</v>
      </c>
    </row>
    <row r="12591">
      <c r="A12591" s="1" t="s">
        <v>12591</v>
      </c>
      <c r="B12591" s="2" t="str">
        <f>IFERROR(__xludf.DUMMYFUNCTION("GOOGLETRANSLATE(A12591, ""de"", ""en"")"),"scientific")</f>
        <v>scientific</v>
      </c>
    </row>
    <row r="12592">
      <c r="A12592" s="1" t="s">
        <v>12592</v>
      </c>
      <c r="B12592" s="2" t="str">
        <f>IFERROR(__xludf.DUMMYFUNCTION("GOOGLETRANSLATE(A12592, ""de"", ""en"")"),"empty")</f>
        <v>empty</v>
      </c>
    </row>
    <row r="12593">
      <c r="A12593" s="1" t="s">
        <v>12593</v>
      </c>
      <c r="B12593" s="2" t="str">
        <f>IFERROR(__xludf.DUMMYFUNCTION("GOOGLETRANSLATE(A12593, ""de"", ""en"")"),"accordingly")</f>
        <v>accordingly</v>
      </c>
    </row>
    <row r="12594">
      <c r="A12594" s="1" t="s">
        <v>12594</v>
      </c>
      <c r="B12594" s="2" t="str">
        <f>IFERROR(__xludf.DUMMYFUNCTION("GOOGLETRANSLATE(A12594, ""de"", ""en"")"),"really")</f>
        <v>really</v>
      </c>
    </row>
    <row r="12595">
      <c r="A12595" s="1" t="s">
        <v>12595</v>
      </c>
      <c r="B12595" s="2" t="str">
        <f>IFERROR(__xludf.DUMMYFUNCTION("GOOGLETRANSLATE(A12595, ""de"", ""en"")"),"change of plan")</f>
        <v>change of plan</v>
      </c>
    </row>
    <row r="12596">
      <c r="A12596" s="1" t="s">
        <v>12596</v>
      </c>
      <c r="B12596" s="2" t="str">
        <f>IFERROR(__xludf.DUMMYFUNCTION("GOOGLETRANSLATE(A12596, ""de"", ""en"")"),"get there")</f>
        <v>get there</v>
      </c>
    </row>
    <row r="12597">
      <c r="A12597" s="1" t="s">
        <v>12597</v>
      </c>
      <c r="B12597" s="2" t="str">
        <f>IFERROR(__xludf.DUMMYFUNCTION("GOOGLETRANSLATE(A12597, ""de"", ""en"")"),"careless")</f>
        <v>careless</v>
      </c>
    </row>
    <row r="12598">
      <c r="A12598" s="1" t="s">
        <v>12598</v>
      </c>
      <c r="B12598" s="2" t="str">
        <f>IFERROR(__xludf.DUMMYFUNCTION("GOOGLETRANSLATE(A12598, ""de"", ""en"")"),"dirty")</f>
        <v>dirty</v>
      </c>
    </row>
    <row r="12599">
      <c r="A12599" s="1" t="s">
        <v>12599</v>
      </c>
      <c r="B12599" s="2" t="str">
        <f>IFERROR(__xludf.DUMMYFUNCTION("GOOGLETRANSLATE(A12599, ""de"", ""en"")"),"jennings")</f>
        <v>jennings</v>
      </c>
    </row>
    <row r="12600">
      <c r="A12600" s="1" t="s">
        <v>12600</v>
      </c>
      <c r="B12600" s="2" t="str">
        <f>IFERROR(__xludf.DUMMYFUNCTION("GOOGLETRANSLATE(A12600, ""de"", ""en"")"),"coincidentally")</f>
        <v>coincidentally</v>
      </c>
    </row>
    <row r="12601">
      <c r="A12601" s="1" t="s">
        <v>12601</v>
      </c>
      <c r="B12601" s="2" t="str">
        <f>IFERROR(__xludf.DUMMYFUNCTION("GOOGLETRANSLATE(A12601, ""de"", ""en"")"),"missed")</f>
        <v>missed</v>
      </c>
    </row>
    <row r="12602">
      <c r="A12602" s="1" t="s">
        <v>12602</v>
      </c>
      <c r="B12602" s="2" t="str">
        <f>IFERROR(__xludf.DUMMYFUNCTION("GOOGLETRANSLATE(A12602, ""de"", ""en"")"),"laws")</f>
        <v>laws</v>
      </c>
    </row>
    <row r="12603">
      <c r="A12603" s="1" t="s">
        <v>12603</v>
      </c>
      <c r="B12603" s="2" t="str">
        <f>IFERROR(__xludf.DUMMYFUNCTION("GOOGLETRANSLATE(A12603, ""de"", ""en"")"),"supervisor")</f>
        <v>supervisor</v>
      </c>
    </row>
    <row r="12604">
      <c r="A12604" s="1" t="s">
        <v>12604</v>
      </c>
      <c r="B12604" s="2" t="str">
        <f>IFERROR(__xludf.DUMMYFUNCTION("GOOGLETRANSLATE(A12604, ""de"", ""en"")"),"more secret")</f>
        <v>more secret</v>
      </c>
    </row>
    <row r="12605">
      <c r="A12605" s="1" t="s">
        <v>12605</v>
      </c>
      <c r="B12605" s="2" t="str">
        <f>IFERROR(__xludf.DUMMYFUNCTION("GOOGLETRANSLATE(A12605, ""de"", ""en"")"),"youth welfare office")</f>
        <v>youth welfare office</v>
      </c>
    </row>
    <row r="12606">
      <c r="A12606" s="1" t="s">
        <v>12606</v>
      </c>
      <c r="B12606" s="2" t="str">
        <f>IFERROR(__xludf.DUMMYFUNCTION("GOOGLETRANSLATE(A12606, ""de"", ""en"")"),"horde")</f>
        <v>horde</v>
      </c>
    </row>
    <row r="12607">
      <c r="A12607" s="1" t="s">
        <v>12607</v>
      </c>
      <c r="B12607" s="2" t="str">
        <f>IFERROR(__xludf.DUMMYFUNCTION("GOOGLETRANSLATE(A12607, ""de"", ""en"")"),"travelers")</f>
        <v>travelers</v>
      </c>
    </row>
    <row r="12608">
      <c r="A12608" s="1" t="s">
        <v>12608</v>
      </c>
      <c r="B12608" s="2" t="str">
        <f>IFERROR(__xludf.DUMMYFUNCTION("GOOGLETRANSLATE(A12608, ""de"", ""en"")"),"darwin")</f>
        <v>darwin</v>
      </c>
    </row>
    <row r="12609">
      <c r="A12609" s="1" t="s">
        <v>12609</v>
      </c>
      <c r="B12609" s="2" t="str">
        <f>IFERROR(__xludf.DUMMYFUNCTION("GOOGLETRANSLATE(A12609, ""de"", ""en"")"),"butterflies")</f>
        <v>butterflies</v>
      </c>
    </row>
    <row r="12610">
      <c r="A12610" s="1" t="s">
        <v>12610</v>
      </c>
      <c r="B12610" s="2" t="str">
        <f>IFERROR(__xludf.DUMMYFUNCTION("GOOGLETRANSLATE(A12610, ""de"", ""en"")"),"yearn")</f>
        <v>yearn</v>
      </c>
    </row>
    <row r="12611">
      <c r="A12611" s="1" t="s">
        <v>12611</v>
      </c>
      <c r="B12611" s="2" t="str">
        <f>IFERROR(__xludf.DUMMYFUNCTION("GOOGLETRANSLATE(A12611, ""de"", ""en"")"),"lubricated")</f>
        <v>lubricated</v>
      </c>
    </row>
    <row r="12612">
      <c r="A12612" s="1" t="s">
        <v>12612</v>
      </c>
      <c r="B12612" s="2" t="str">
        <f>IFERROR(__xludf.DUMMYFUNCTION("GOOGLETRANSLATE(A12612, ""de"", ""en"")"),"buchanan")</f>
        <v>buchanan</v>
      </c>
    </row>
    <row r="12613">
      <c r="A12613" s="1" t="s">
        <v>12613</v>
      </c>
      <c r="B12613" s="2" t="str">
        <f>IFERROR(__xludf.DUMMYFUNCTION("GOOGLETRANSLATE(A12613, ""de"", ""en"")"),"brave")</f>
        <v>brave</v>
      </c>
    </row>
    <row r="12614">
      <c r="A12614" s="1" t="s">
        <v>12614</v>
      </c>
      <c r="B12614" s="2" t="str">
        <f>IFERROR(__xludf.DUMMYFUNCTION("GOOGLETRANSLATE(A12614, ""de"", ""en"")"),"doppelganger")</f>
        <v>doppelganger</v>
      </c>
    </row>
    <row r="12615">
      <c r="A12615" s="1" t="s">
        <v>12615</v>
      </c>
      <c r="B12615" s="2" t="str">
        <f>IFERROR(__xludf.DUMMYFUNCTION("GOOGLETRANSLATE(A12615, ""de"", ""en"")"),"meet")</f>
        <v>meet</v>
      </c>
    </row>
    <row r="12616">
      <c r="A12616" s="1" t="s">
        <v>12616</v>
      </c>
      <c r="B12616" s="2" t="str">
        <f>IFERROR(__xludf.DUMMYFUNCTION("GOOGLETRANSLATE(A12616, ""de"", ""en"")"),"nursery")</f>
        <v>nursery</v>
      </c>
    </row>
    <row r="12617">
      <c r="A12617" s="1" t="s">
        <v>12617</v>
      </c>
      <c r="B12617" s="2" t="str">
        <f>IFERROR(__xludf.DUMMYFUNCTION("GOOGLETRANSLATE(A12617, ""de"", ""en"")"),"stacey")</f>
        <v>stacey</v>
      </c>
    </row>
    <row r="12618">
      <c r="A12618" s="1" t="s">
        <v>12618</v>
      </c>
      <c r="B12618" s="2" t="str">
        <f>IFERROR(__xludf.DUMMYFUNCTION("GOOGLETRANSLATE(A12618, ""de"", ""en"")"),"demonstrate")</f>
        <v>demonstrate</v>
      </c>
    </row>
    <row r="12619">
      <c r="A12619" s="1" t="s">
        <v>12619</v>
      </c>
      <c r="B12619" s="2" t="str">
        <f>IFERROR(__xludf.DUMMYFUNCTION("GOOGLETRANSLATE(A12619, ""de"", ""en"")"),"rabble")</f>
        <v>rabble</v>
      </c>
    </row>
    <row r="12620">
      <c r="A12620" s="1" t="s">
        <v>12620</v>
      </c>
      <c r="B12620" s="2" t="str">
        <f>IFERROR(__xludf.DUMMYFUNCTION("GOOGLETRANSLATE(A12620, ""de"", ""en"")"),"advance warning")</f>
        <v>advance warning</v>
      </c>
    </row>
    <row r="12621">
      <c r="A12621" s="1" t="s">
        <v>12621</v>
      </c>
      <c r="B12621" s="2" t="str">
        <f>IFERROR(__xludf.DUMMYFUNCTION("GOOGLETRANSLATE(A12621, ""de"", ""en"")"),"Astrid")</f>
        <v>Astrid</v>
      </c>
    </row>
    <row r="12622">
      <c r="A12622" s="1" t="s">
        <v>12622</v>
      </c>
      <c r="B12622" s="2" t="str">
        <f>IFERROR(__xludf.DUMMYFUNCTION("GOOGLETRANSLATE(A12622, ""de"", ""en"")"),"picky")</f>
        <v>picky</v>
      </c>
    </row>
    <row r="12623">
      <c r="A12623" s="1" t="s">
        <v>12623</v>
      </c>
      <c r="B12623" s="2" t="str">
        <f>IFERROR(__xludf.DUMMYFUNCTION("GOOGLETRANSLATE(A12623, ""de"", ""en"")"),"accelerated")</f>
        <v>accelerated</v>
      </c>
    </row>
    <row r="12624">
      <c r="A12624" s="1" t="s">
        <v>12624</v>
      </c>
      <c r="B12624" s="2" t="str">
        <f>IFERROR(__xludf.DUMMYFUNCTION("GOOGLETRANSLATE(A12624, ""de"", ""en"")"),"Charleston")</f>
        <v>Charleston</v>
      </c>
    </row>
    <row r="12625">
      <c r="A12625" s="1" t="s">
        <v>12625</v>
      </c>
      <c r="B12625" s="2" t="str">
        <f>IFERROR(__xludf.DUMMYFUNCTION("GOOGLETRANSLATE(A12625, ""de"", ""en"")"),"assessment")</f>
        <v>assessment</v>
      </c>
    </row>
    <row r="12626">
      <c r="A12626" s="1" t="s">
        <v>12626</v>
      </c>
      <c r="B12626" s="2" t="str">
        <f>IFERROR(__xludf.DUMMYFUNCTION("GOOGLETRANSLATE(A12626, ""de"", ""en"")"),"best")</f>
        <v>best</v>
      </c>
    </row>
    <row r="12627">
      <c r="A12627" s="1" t="s">
        <v>12627</v>
      </c>
      <c r="B12627" s="2" t="str">
        <f>IFERROR(__xludf.DUMMYFUNCTION("GOOGLETRANSLATE(A12627, ""de"", ""en"")"),"act out")</f>
        <v>act out</v>
      </c>
    </row>
    <row r="12628">
      <c r="A12628" s="1" t="s">
        <v>12628</v>
      </c>
      <c r="B12628" s="2" t="str">
        <f>IFERROR(__xludf.DUMMYFUNCTION("GOOGLETRANSLATE(A12628, ""de"", ""en"")"),"villagers")</f>
        <v>villagers</v>
      </c>
    </row>
    <row r="12629">
      <c r="A12629" s="1" t="s">
        <v>12629</v>
      </c>
      <c r="B12629" s="2" t="str">
        <f>IFERROR(__xludf.DUMMYFUNCTION("GOOGLETRANSLATE(A12629, ""de"", ""en"")"),"superhero")</f>
        <v>superhero</v>
      </c>
    </row>
    <row r="12630">
      <c r="A12630" s="1" t="s">
        <v>12630</v>
      </c>
      <c r="B12630" s="2" t="str">
        <f>IFERROR(__xludf.DUMMYFUNCTION("GOOGLETRANSLATE(A12630, ""de"", ""en"")"),"stations")</f>
        <v>stations</v>
      </c>
    </row>
    <row r="12631">
      <c r="A12631" s="1" t="s">
        <v>12631</v>
      </c>
      <c r="B12631" s="2" t="str">
        <f>IFERROR(__xludf.DUMMYFUNCTION("GOOGLETRANSLATE(A12631, ""de"", ""en"")"),"aid")</f>
        <v>aid</v>
      </c>
    </row>
    <row r="12632">
      <c r="A12632" s="1" t="s">
        <v>12632</v>
      </c>
      <c r="B12632" s="2" t="str">
        <f>IFERROR(__xludf.DUMMYFUNCTION("GOOGLETRANSLATE(A12632, ""de"", ""en"")"),"redeemed")</f>
        <v>redeemed</v>
      </c>
    </row>
    <row r="12633">
      <c r="A12633" s="1" t="s">
        <v>12633</v>
      </c>
      <c r="B12633" s="2" t="str">
        <f>IFERROR(__xludf.DUMMYFUNCTION("GOOGLETRANSLATE(A12633, ""de"", ""en"")"),"weed")</f>
        <v>weed</v>
      </c>
    </row>
    <row r="12634">
      <c r="A12634" s="1" t="s">
        <v>12634</v>
      </c>
      <c r="B12634" s="2" t="str">
        <f>IFERROR(__xludf.DUMMYFUNCTION("GOOGLETRANSLATE(A12634, ""de"", ""en"")"),"volatile")</f>
        <v>volatile</v>
      </c>
    </row>
    <row r="12635">
      <c r="A12635" s="1" t="s">
        <v>12635</v>
      </c>
      <c r="B12635" s="2" t="str">
        <f>IFERROR(__xludf.DUMMYFUNCTION("GOOGLETRANSLATE(A12635, ""de"", ""en"")"),"renovate")</f>
        <v>renovate</v>
      </c>
    </row>
    <row r="12636">
      <c r="A12636" s="1" t="s">
        <v>12636</v>
      </c>
      <c r="B12636" s="2" t="str">
        <f>IFERROR(__xludf.DUMMYFUNCTION("GOOGLETRANSLATE(A12636, ""de"", ""en"")"),"married")</f>
        <v>married</v>
      </c>
    </row>
    <row r="12637">
      <c r="A12637" s="1" t="s">
        <v>12637</v>
      </c>
      <c r="B12637" s="2" t="str">
        <f>IFERROR(__xludf.DUMMYFUNCTION("GOOGLETRANSLATE(A12637, ""de"", ""en"")"),"pearson")</f>
        <v>pearson</v>
      </c>
    </row>
    <row r="12638">
      <c r="A12638" s="1" t="s">
        <v>12638</v>
      </c>
      <c r="B12638" s="2" t="str">
        <f>IFERROR(__xludf.DUMMYFUNCTION("GOOGLETRANSLATE(A12638, ""de"", ""en"")"),"support")</f>
        <v>support</v>
      </c>
    </row>
    <row r="12639">
      <c r="A12639" s="1" t="s">
        <v>12639</v>
      </c>
      <c r="B12639" s="2" t="str">
        <f>IFERROR(__xludf.DUMMYFUNCTION("GOOGLETRANSLATE(A12639, ""de"", ""en"")"),"prove")</f>
        <v>prove</v>
      </c>
    </row>
    <row r="12640">
      <c r="A12640" s="1" t="s">
        <v>12640</v>
      </c>
      <c r="B12640" s="2" t="str">
        <f>IFERROR(__xludf.DUMMYFUNCTION("GOOGLETRANSLATE(A12640, ""de"", ""en"")"),"sierra")</f>
        <v>sierra</v>
      </c>
    </row>
    <row r="12641">
      <c r="A12641" s="1" t="s">
        <v>12641</v>
      </c>
      <c r="B12641" s="2" t="str">
        <f>IFERROR(__xludf.DUMMYFUNCTION("GOOGLETRANSLATE(A12641, ""de"", ""en"")"),"Forbes")</f>
        <v>Forbes</v>
      </c>
    </row>
    <row r="12642">
      <c r="A12642" s="1" t="s">
        <v>12642</v>
      </c>
      <c r="B12642" s="2" t="str">
        <f>IFERROR(__xludf.DUMMYFUNCTION("GOOGLETRANSLATE(A12642, ""de"", ""en"")"),"ruin")</f>
        <v>ruin</v>
      </c>
    </row>
    <row r="12643">
      <c r="A12643" s="1" t="s">
        <v>12643</v>
      </c>
      <c r="B12643" s="2" t="str">
        <f>IFERROR(__xludf.DUMMYFUNCTION("GOOGLETRANSLATE(A12643, ""de"", ""en"")"),"chaplain")</f>
        <v>chaplain</v>
      </c>
    </row>
    <row r="12644">
      <c r="A12644" s="1" t="s">
        <v>12644</v>
      </c>
      <c r="B12644" s="2" t="str">
        <f>IFERROR(__xludf.DUMMYFUNCTION("GOOGLETRANSLATE(A12644, ""de"", ""en"")"),"pepper")</f>
        <v>pepper</v>
      </c>
    </row>
    <row r="12645">
      <c r="A12645" s="1" t="s">
        <v>12645</v>
      </c>
      <c r="B12645" s="2" t="str">
        <f>IFERROR(__xludf.DUMMYFUNCTION("GOOGLETRANSLATE(A12645, ""de"", ""en"")"),"ms")</f>
        <v>ms</v>
      </c>
    </row>
    <row r="12646">
      <c r="A12646" s="1" t="s">
        <v>12646</v>
      </c>
      <c r="B12646" s="2" t="str">
        <f>IFERROR(__xludf.DUMMYFUNCTION("GOOGLETRANSLATE(A12646, ""de"", ""en"")"),"then")</f>
        <v>then</v>
      </c>
    </row>
    <row r="12647">
      <c r="A12647" s="1" t="s">
        <v>12647</v>
      </c>
      <c r="B12647" s="2" t="str">
        <f>IFERROR(__xludf.DUMMYFUNCTION("GOOGLETRANSLATE(A12647, ""de"", ""en"")"),"to testify")</f>
        <v>to testify</v>
      </c>
    </row>
    <row r="12648">
      <c r="A12648" s="1" t="s">
        <v>12648</v>
      </c>
      <c r="B12648" s="2" t="str">
        <f>IFERROR(__xludf.DUMMYFUNCTION("GOOGLETRANSLATE(A12648, ""de"", ""en"")"),"elves")</f>
        <v>elves</v>
      </c>
    </row>
    <row r="12649">
      <c r="A12649" s="1" t="s">
        <v>12649</v>
      </c>
      <c r="B12649" s="2" t="str">
        <f>IFERROR(__xludf.DUMMYFUNCTION("GOOGLETRANSLATE(A12649, ""de"", ""en"")"),"couple")</f>
        <v>couple</v>
      </c>
    </row>
    <row r="12650">
      <c r="A12650" s="1" t="s">
        <v>12650</v>
      </c>
      <c r="B12650" s="2" t="str">
        <f>IFERROR(__xludf.DUMMYFUNCTION("GOOGLETRANSLATE(A12650, ""de"", ""en"")"),"lens")</f>
        <v>lens</v>
      </c>
    </row>
    <row r="12651">
      <c r="A12651" s="1" t="s">
        <v>12651</v>
      </c>
      <c r="B12651" s="2" t="str">
        <f>IFERROR(__xludf.DUMMYFUNCTION("GOOGLETRANSLATE(A12651, ""de"", ""en"")"),"feel")</f>
        <v>feel</v>
      </c>
    </row>
    <row r="12652">
      <c r="A12652" s="1" t="s">
        <v>12652</v>
      </c>
      <c r="B12652" s="2" t="str">
        <f>IFERROR(__xludf.DUMMYFUNCTION("GOOGLETRANSLATE(A12652, ""de"", ""en"")"),"required")</f>
        <v>required</v>
      </c>
    </row>
    <row r="12653">
      <c r="A12653" s="1" t="s">
        <v>12653</v>
      </c>
      <c r="B12653" s="2" t="str">
        <f>IFERROR(__xludf.DUMMYFUNCTION("GOOGLETRANSLATE(A12653, ""de"", ""en"")"),"feel")</f>
        <v>feel</v>
      </c>
    </row>
    <row r="12654">
      <c r="A12654" s="1" t="s">
        <v>12654</v>
      </c>
      <c r="B12654" s="2" t="str">
        <f>IFERROR(__xludf.DUMMYFUNCTION("GOOGLETRANSLATE(A12654, ""de"", ""en"")"),"preference")</f>
        <v>preference</v>
      </c>
    </row>
    <row r="12655">
      <c r="A12655" s="1" t="s">
        <v>12655</v>
      </c>
      <c r="B12655" s="2" t="str">
        <f>IFERROR(__xludf.DUMMYFUNCTION("GOOGLETRANSLATE(A12655, ""de"", ""en"")"),"Kathryn")</f>
        <v>Kathryn</v>
      </c>
    </row>
    <row r="12656">
      <c r="A12656" s="1" t="s">
        <v>12656</v>
      </c>
      <c r="B12656" s="2" t="str">
        <f>IFERROR(__xludf.DUMMYFUNCTION("GOOGLETRANSLATE(A12656, ""de"", ""en"")"),"Ivan")</f>
        <v>Ivan</v>
      </c>
    </row>
    <row r="12657">
      <c r="A12657" s="1" t="s">
        <v>12657</v>
      </c>
      <c r="B12657" s="2" t="str">
        <f>IFERROR(__xludf.DUMMYFUNCTION("GOOGLETRANSLATE(A12657, ""de"", ""en"")"),"about")</f>
        <v>about</v>
      </c>
    </row>
    <row r="12658">
      <c r="A12658" s="1" t="s">
        <v>12658</v>
      </c>
      <c r="B12658" s="2" t="str">
        <f>IFERROR(__xludf.DUMMYFUNCTION("GOOGLETRANSLATE(A12658, ""de"", ""en"")"),"Denny")</f>
        <v>Denny</v>
      </c>
    </row>
    <row r="12659">
      <c r="A12659" s="1" t="s">
        <v>12659</v>
      </c>
      <c r="B12659" s="2" t="str">
        <f>IFERROR(__xludf.DUMMYFUNCTION("GOOGLETRANSLATE(A12659, ""de"", ""en"")"),"burned out")</f>
        <v>burned out</v>
      </c>
    </row>
    <row r="12660">
      <c r="A12660" s="1" t="s">
        <v>12660</v>
      </c>
      <c r="B12660" s="2" t="str">
        <f>IFERROR(__xludf.DUMMYFUNCTION("GOOGLETRANSLATE(A12660, ""de"", ""en"")"),"plans")</f>
        <v>plans</v>
      </c>
    </row>
    <row r="12661">
      <c r="A12661" s="1" t="s">
        <v>12661</v>
      </c>
      <c r="B12661" s="2" t="str">
        <f>IFERROR(__xludf.DUMMYFUNCTION("GOOGLETRANSLATE(A12661, ""de"", ""en"")"),"paranoia")</f>
        <v>paranoia</v>
      </c>
    </row>
    <row r="12662">
      <c r="A12662" s="1" t="s">
        <v>12662</v>
      </c>
      <c r="B12662" s="2" t="str">
        <f>IFERROR(__xludf.DUMMYFUNCTION("GOOGLETRANSLATE(A12662, ""de"", ""en"")"),"ai")</f>
        <v>ai</v>
      </c>
    </row>
    <row r="12663">
      <c r="A12663" s="1" t="s">
        <v>12663</v>
      </c>
      <c r="B12663" s="2" t="str">
        <f>IFERROR(__xludf.DUMMYFUNCTION("GOOGLETRANSLATE(A12663, ""de"", ""en"")"),"civilizations")</f>
        <v>civilizations</v>
      </c>
    </row>
    <row r="12664">
      <c r="A12664" s="1" t="s">
        <v>12664</v>
      </c>
      <c r="B12664" s="2" t="str">
        <f>IFERROR(__xludf.DUMMYFUNCTION("GOOGLETRANSLATE(A12664, ""de"", ""en"")"),"vous")</f>
        <v>vous</v>
      </c>
    </row>
    <row r="12665">
      <c r="A12665" s="1" t="s">
        <v>12665</v>
      </c>
      <c r="B12665" s="2" t="str">
        <f>IFERROR(__xludf.DUMMYFUNCTION("GOOGLETRANSLATE(A12665, ""de"", ""en"")"),"firing")</f>
        <v>firing</v>
      </c>
    </row>
    <row r="12666">
      <c r="A12666" s="1" t="s">
        <v>12666</v>
      </c>
      <c r="B12666" s="2" t="str">
        <f>IFERROR(__xludf.DUMMYFUNCTION("GOOGLETRANSLATE(A12666, ""de"", ""en"")"),"for the first time")</f>
        <v>for the first time</v>
      </c>
    </row>
    <row r="12667">
      <c r="A12667" s="1" t="s">
        <v>12667</v>
      </c>
      <c r="B12667" s="2" t="str">
        <f>IFERROR(__xludf.DUMMYFUNCTION("GOOGLETRANSLATE(A12667, ""de"", ""en"")"),"sigh")</f>
        <v>sigh</v>
      </c>
    </row>
    <row r="12668">
      <c r="A12668" s="1" t="s">
        <v>12668</v>
      </c>
      <c r="B12668" s="2" t="str">
        <f>IFERROR(__xludf.DUMMYFUNCTION("GOOGLETRANSLATE(A12668, ""de"", ""en"")"),"resent")</f>
        <v>resent</v>
      </c>
    </row>
    <row r="12669">
      <c r="A12669" s="1" t="s">
        <v>12669</v>
      </c>
      <c r="B12669" s="2" t="str">
        <f>IFERROR(__xludf.DUMMYFUNCTION("GOOGLETRANSLATE(A12669, ""de"", ""en"")"),"enlightenment")</f>
        <v>enlightenment</v>
      </c>
    </row>
    <row r="12670">
      <c r="A12670" s="1" t="s">
        <v>12670</v>
      </c>
      <c r="B12670" s="2" t="str">
        <f>IFERROR(__xludf.DUMMYFUNCTION("GOOGLETRANSLATE(A12670, ""de"", ""en"")"),"more successful")</f>
        <v>more successful</v>
      </c>
    </row>
    <row r="12671">
      <c r="A12671" s="1" t="s">
        <v>12671</v>
      </c>
      <c r="B12671" s="2" t="str">
        <f>IFERROR(__xludf.DUMMYFUNCTION("GOOGLETRANSLATE(A12671, ""de"", ""en"")"),"shame")</f>
        <v>shame</v>
      </c>
    </row>
    <row r="12672">
      <c r="A12672" s="1" t="s">
        <v>12672</v>
      </c>
      <c r="B12672" s="2" t="str">
        <f>IFERROR(__xludf.DUMMYFUNCTION("GOOGLETRANSLATE(A12672, ""de"", ""en"")"),"from somewhere")</f>
        <v>from somewhere</v>
      </c>
    </row>
    <row r="12673">
      <c r="A12673" s="1" t="s">
        <v>12673</v>
      </c>
      <c r="B12673" s="2" t="str">
        <f>IFERROR(__xludf.DUMMYFUNCTION("GOOGLETRANSLATE(A12673, ""de"", ""en"")"),"maintenance")</f>
        <v>maintenance</v>
      </c>
    </row>
    <row r="12674">
      <c r="A12674" s="1" t="s">
        <v>12674</v>
      </c>
      <c r="B12674" s="2" t="str">
        <f>IFERROR(__xludf.DUMMYFUNCTION("GOOGLETRANSLATE(A12674, ""de"", ""en"")"),"guardian")</f>
        <v>guardian</v>
      </c>
    </row>
    <row r="12675">
      <c r="A12675" s="1" t="s">
        <v>12675</v>
      </c>
      <c r="B12675" s="2" t="str">
        <f>IFERROR(__xludf.DUMMYFUNCTION("GOOGLETRANSLATE(A12675, ""de"", ""en"")"),"Communist")</f>
        <v>Communist</v>
      </c>
    </row>
    <row r="12676">
      <c r="A12676" s="1" t="s">
        <v>12676</v>
      </c>
      <c r="B12676" s="2" t="str">
        <f>IFERROR(__xludf.DUMMYFUNCTION("GOOGLETRANSLATE(A12676, ""de"", ""en"")"),"hobbs")</f>
        <v>hobbs</v>
      </c>
    </row>
    <row r="12677">
      <c r="A12677" s="1" t="s">
        <v>12677</v>
      </c>
      <c r="B12677" s="2" t="str">
        <f>IFERROR(__xludf.DUMMYFUNCTION("GOOGLETRANSLATE(A12677, ""de"", ""en"")"),"draper")</f>
        <v>draper</v>
      </c>
    </row>
    <row r="12678">
      <c r="A12678" s="1" t="s">
        <v>12678</v>
      </c>
      <c r="B12678" s="2" t="str">
        <f>IFERROR(__xludf.DUMMYFUNCTION("GOOGLETRANSLATE(A12678, ""de"", ""en"")"),"murmurs")</f>
        <v>murmurs</v>
      </c>
    </row>
    <row r="12679">
      <c r="A12679" s="1" t="s">
        <v>12679</v>
      </c>
      <c r="B12679" s="2" t="str">
        <f>IFERROR(__xludf.DUMMYFUNCTION("GOOGLETRANSLATE(A12679, ""de"", ""en"")"),"well")</f>
        <v>well</v>
      </c>
    </row>
    <row r="12680">
      <c r="A12680" s="1" t="s">
        <v>12680</v>
      </c>
      <c r="B12680" s="2" t="str">
        <f>IFERROR(__xludf.DUMMYFUNCTION("GOOGLETRANSLATE(A12680, ""de"", ""en"")"),"leave behind")</f>
        <v>leave behind</v>
      </c>
    </row>
    <row r="12681">
      <c r="A12681" s="1" t="s">
        <v>12681</v>
      </c>
      <c r="B12681" s="2" t="str">
        <f>IFERROR(__xludf.DUMMYFUNCTION("GOOGLETRANSLATE(A12681, ""de"", ""en"")"),"wonderful")</f>
        <v>wonderful</v>
      </c>
    </row>
    <row r="12682">
      <c r="A12682" s="1" t="s">
        <v>12682</v>
      </c>
      <c r="B12682" s="2" t="str">
        <f>IFERROR(__xludf.DUMMYFUNCTION("GOOGLETRANSLATE(A12682, ""de"", ""en"")"),"firefighter")</f>
        <v>firefighter</v>
      </c>
    </row>
    <row r="12683">
      <c r="A12683" s="1" t="s">
        <v>12683</v>
      </c>
      <c r="B12683" s="2" t="str">
        <f>IFERROR(__xludf.DUMMYFUNCTION("GOOGLETRANSLATE(A12683, ""de"", ""en"")"),"headphones")</f>
        <v>headphones</v>
      </c>
    </row>
    <row r="12684">
      <c r="A12684" s="1" t="s">
        <v>12684</v>
      </c>
      <c r="B12684" s="2" t="str">
        <f>IFERROR(__xludf.DUMMYFUNCTION("GOOGLETRANSLATE(A12684, ""de"", ""en"")"),"oysters")</f>
        <v>oysters</v>
      </c>
    </row>
    <row r="12685">
      <c r="A12685" s="1" t="s">
        <v>12685</v>
      </c>
      <c r="B12685" s="2" t="str">
        <f>IFERROR(__xludf.DUMMYFUNCTION("GOOGLETRANSLATE(A12685, ""de"", ""en"")"),"jewel")</f>
        <v>jewel</v>
      </c>
    </row>
    <row r="12686">
      <c r="A12686" s="1" t="s">
        <v>12686</v>
      </c>
      <c r="B12686" s="2" t="str">
        <f>IFERROR(__xludf.DUMMYFUNCTION("GOOGLETRANSLATE(A12686, ""de"", ""en"")"),"intercepted")</f>
        <v>intercepted</v>
      </c>
    </row>
    <row r="12687">
      <c r="A12687" s="1" t="s">
        <v>12687</v>
      </c>
      <c r="B12687" s="2" t="str">
        <f>IFERROR(__xludf.DUMMYFUNCTION("GOOGLETRANSLATE(A12687, ""de"", ""en"")"),"access")</f>
        <v>access</v>
      </c>
    </row>
    <row r="12688">
      <c r="A12688" s="1" t="s">
        <v>12688</v>
      </c>
      <c r="B12688" s="2" t="str">
        <f>IFERROR(__xludf.DUMMYFUNCTION("GOOGLETRANSLATE(A12688, ""de"", ""en"")"),"musical")</f>
        <v>musical</v>
      </c>
    </row>
    <row r="12689">
      <c r="A12689" s="1" t="s">
        <v>12689</v>
      </c>
      <c r="B12689" s="2" t="str">
        <f>IFERROR(__xludf.DUMMYFUNCTION("GOOGLETRANSLATE(A12689, ""de"", ""en"")"),"charming")</f>
        <v>charming</v>
      </c>
    </row>
    <row r="12690">
      <c r="A12690" s="1" t="s">
        <v>12690</v>
      </c>
      <c r="B12690" s="2" t="str">
        <f>IFERROR(__xludf.DUMMYFUNCTION("GOOGLETRANSLATE(A12690, ""de"", ""en"")"),"dolphins")</f>
        <v>dolphins</v>
      </c>
    </row>
    <row r="12691">
      <c r="A12691" s="1" t="s">
        <v>12691</v>
      </c>
      <c r="B12691" s="2" t="str">
        <f>IFERROR(__xludf.DUMMYFUNCTION("GOOGLETRANSLATE(A12691, ""de"", ""en"")"),"Webster")</f>
        <v>Webster</v>
      </c>
    </row>
    <row r="12692">
      <c r="A12692" s="1" t="s">
        <v>12692</v>
      </c>
      <c r="B12692" s="2" t="str">
        <f>IFERROR(__xludf.DUMMYFUNCTION("GOOGLETRANSLATE(A12692, ""de"", ""en"")"),"Viennese")</f>
        <v>Viennese</v>
      </c>
    </row>
    <row r="12693">
      <c r="A12693" s="1" t="s">
        <v>12693</v>
      </c>
      <c r="B12693" s="2" t="str">
        <f>IFERROR(__xludf.DUMMYFUNCTION("GOOGLETRANSLATE(A12693, ""de"", ""en"")"),"Greek")</f>
        <v>Greek</v>
      </c>
    </row>
    <row r="12694">
      <c r="A12694" s="1" t="s">
        <v>12694</v>
      </c>
      <c r="B12694" s="2" t="str">
        <f>IFERROR(__xludf.DUMMYFUNCTION("GOOGLETRANSLATE(A12694, ""de"", ""en"")"),"husband")</f>
        <v>husband</v>
      </c>
    </row>
    <row r="12695">
      <c r="A12695" s="1" t="s">
        <v>12695</v>
      </c>
      <c r="B12695" s="2" t="str">
        <f>IFERROR(__xludf.DUMMYFUNCTION("GOOGLETRANSLATE(A12695, ""de"", ""en"")"),"apartment")</f>
        <v>apartment</v>
      </c>
    </row>
    <row r="12696">
      <c r="A12696" s="1" t="s">
        <v>12696</v>
      </c>
      <c r="B12696" s="2" t="str">
        <f>IFERROR(__xludf.DUMMYFUNCTION("GOOGLETRANSLATE(A12696, ""de"", ""en"")"),"sparkling wine")</f>
        <v>sparkling wine</v>
      </c>
    </row>
    <row r="12697">
      <c r="A12697" s="1" t="s">
        <v>12697</v>
      </c>
      <c r="B12697" s="2" t="str">
        <f>IFERROR(__xludf.DUMMYFUNCTION("GOOGLETRANSLATE(A12697, ""de"", ""en"")"),"destroyed")</f>
        <v>destroyed</v>
      </c>
    </row>
    <row r="12698">
      <c r="A12698" s="1" t="s">
        <v>12698</v>
      </c>
      <c r="B12698" s="2" t="str">
        <f>IFERROR(__xludf.DUMMYFUNCTION("GOOGLETRANSLATE(A12698, ""de"", ""en"")"),"compensation")</f>
        <v>compensation</v>
      </c>
    </row>
    <row r="12699">
      <c r="A12699" s="1" t="s">
        <v>12699</v>
      </c>
      <c r="B12699" s="2" t="str">
        <f>IFERROR(__xludf.DUMMYFUNCTION("GOOGLETRANSLATE(A12699, ""de"", ""en"")"),"attractive")</f>
        <v>attractive</v>
      </c>
    </row>
    <row r="12700">
      <c r="A12700" s="1" t="s">
        <v>12700</v>
      </c>
      <c r="B12700" s="2" t="str">
        <f>IFERROR(__xludf.DUMMYFUNCTION("GOOGLETRANSLATE(A12700, ""de"", ""en"")"),"longer")</f>
        <v>longer</v>
      </c>
    </row>
    <row r="12701">
      <c r="A12701" s="1" t="s">
        <v>12701</v>
      </c>
      <c r="B12701" s="2" t="str">
        <f>IFERROR(__xludf.DUMMYFUNCTION("GOOGLETRANSLATE(A12701, ""de"", ""en"")"),"expert")</f>
        <v>expert</v>
      </c>
    </row>
    <row r="12702">
      <c r="A12702" s="1" t="s">
        <v>12702</v>
      </c>
      <c r="B12702" s="2" t="str">
        <f>IFERROR(__xludf.DUMMYFUNCTION("GOOGLETRANSLATE(A12702, ""de"", ""en"")"),"via")</f>
        <v>via</v>
      </c>
    </row>
    <row r="12703">
      <c r="A12703" s="1" t="s">
        <v>12703</v>
      </c>
      <c r="B12703" s="2" t="str">
        <f>IFERROR(__xludf.DUMMYFUNCTION("GOOGLETRANSLATE(A12703, ""de"", ""en"")"),"uhm")</f>
        <v>uhm</v>
      </c>
    </row>
    <row r="12704">
      <c r="A12704" s="1" t="s">
        <v>12704</v>
      </c>
      <c r="B12704" s="2" t="str">
        <f>IFERROR(__xludf.DUMMYFUNCTION("GOOGLETRANSLATE(A12704, ""de"", ""en"")"),"i.e.")</f>
        <v>i.e.</v>
      </c>
    </row>
    <row r="12705">
      <c r="A12705" s="1" t="s">
        <v>12705</v>
      </c>
      <c r="B12705" s="2" t="str">
        <f>IFERROR(__xludf.DUMMYFUNCTION("GOOGLETRANSLATE(A12705, ""de"", ""en"")"),"act")</f>
        <v>act</v>
      </c>
    </row>
    <row r="12706">
      <c r="A12706" s="1" t="s">
        <v>12706</v>
      </c>
      <c r="B12706" s="2" t="str">
        <f>IFERROR(__xludf.DUMMYFUNCTION("GOOGLETRANSLATE(A12706, ""de"", ""en"")"),"palace")</f>
        <v>palace</v>
      </c>
    </row>
    <row r="12707">
      <c r="A12707" s="1" t="s">
        <v>12707</v>
      </c>
      <c r="B12707" s="2" t="str">
        <f>IFERROR(__xludf.DUMMYFUNCTION("GOOGLETRANSLATE(A12707, ""de"", ""en"")"),"spouse")</f>
        <v>spouse</v>
      </c>
    </row>
    <row r="12708">
      <c r="A12708" s="1" t="s">
        <v>12708</v>
      </c>
      <c r="B12708" s="2" t="str">
        <f>IFERROR(__xludf.DUMMYFUNCTION("GOOGLETRANSLATE(A12708, ""de"", ""en"")"),"hums")</f>
        <v>hums</v>
      </c>
    </row>
    <row r="12709">
      <c r="A12709" s="1" t="s">
        <v>12709</v>
      </c>
      <c r="B12709" s="2" t="str">
        <f>IFERROR(__xludf.DUMMYFUNCTION("GOOGLETRANSLATE(A12709, ""de"", ""en"")"),"fonts")</f>
        <v>fonts</v>
      </c>
    </row>
    <row r="12710">
      <c r="A12710" s="1" t="s">
        <v>12710</v>
      </c>
      <c r="B12710" s="2" t="str">
        <f>IFERROR(__xludf.DUMMYFUNCTION("GOOGLETRANSLATE(A12710, ""de"", ""en"")"),"overview")</f>
        <v>overview</v>
      </c>
    </row>
    <row r="12711">
      <c r="A12711" s="1" t="s">
        <v>12711</v>
      </c>
      <c r="B12711" s="2" t="str">
        <f>IFERROR(__xludf.DUMMYFUNCTION("GOOGLETRANSLATE(A12711, ""de"", ""en"")"),"keep")</f>
        <v>keep</v>
      </c>
    </row>
    <row r="12712">
      <c r="A12712" s="1" t="s">
        <v>12712</v>
      </c>
      <c r="B12712" s="2" t="str">
        <f>IFERROR(__xludf.DUMMYFUNCTION("GOOGLETRANSLATE(A12712, ""de"", ""en"")"),"lifestyle")</f>
        <v>lifestyle</v>
      </c>
    </row>
    <row r="12713">
      <c r="A12713" s="1" t="s">
        <v>12713</v>
      </c>
      <c r="B12713" s="2" t="str">
        <f>IFERROR(__xludf.DUMMYFUNCTION("GOOGLETRANSLATE(A12713, ""de"", ""en"")"),"occurred")</f>
        <v>occurred</v>
      </c>
    </row>
    <row r="12714">
      <c r="A12714" s="1" t="s">
        <v>12714</v>
      </c>
      <c r="B12714" s="2" t="str">
        <f>IFERROR(__xludf.DUMMYFUNCTION("GOOGLETRANSLATE(A12714, ""de"", ""en"")"),"swapped")</f>
        <v>swapped</v>
      </c>
    </row>
    <row r="12715">
      <c r="A12715" s="1" t="s">
        <v>12715</v>
      </c>
      <c r="B12715" s="2" t="str">
        <f>IFERROR(__xludf.DUMMYFUNCTION("GOOGLETRANSLATE(A12715, ""de"", ""en"")"),"world champion")</f>
        <v>world champion</v>
      </c>
    </row>
    <row r="12716">
      <c r="A12716" s="1" t="s">
        <v>12716</v>
      </c>
      <c r="B12716" s="2" t="str">
        <f>IFERROR(__xludf.DUMMYFUNCTION("GOOGLETRANSLATE(A12716, ""de"", ""en"")"),"differences")</f>
        <v>differences</v>
      </c>
    </row>
    <row r="12717">
      <c r="A12717" s="1" t="s">
        <v>12717</v>
      </c>
      <c r="B12717" s="2" t="str">
        <f>IFERROR(__xludf.DUMMYFUNCTION("GOOGLETRANSLATE(A12717, ""de"", ""en"")"),"essential")</f>
        <v>essential</v>
      </c>
    </row>
    <row r="12718">
      <c r="A12718" s="1" t="s">
        <v>12718</v>
      </c>
      <c r="B12718" s="2" t="str">
        <f>IFERROR(__xludf.DUMMYFUNCTION("GOOGLETRANSLATE(A12718, ""de"", ""en"")"),"deals")</f>
        <v>deals</v>
      </c>
    </row>
    <row r="12719">
      <c r="A12719" s="1" t="s">
        <v>12719</v>
      </c>
      <c r="B12719" s="2" t="str">
        <f>IFERROR(__xludf.DUMMYFUNCTION("GOOGLETRANSLATE(A12719, ""de"", ""en"")"),"mixed")</f>
        <v>mixed</v>
      </c>
    </row>
    <row r="12720">
      <c r="A12720" s="1" t="s">
        <v>12720</v>
      </c>
      <c r="B12720" s="2" t="str">
        <f>IFERROR(__xludf.DUMMYFUNCTION("GOOGLETRANSLATE(A12720, ""de"", ""en"")"),"crypt")</f>
        <v>crypt</v>
      </c>
    </row>
    <row r="12721">
      <c r="A12721" s="1" t="s">
        <v>12721</v>
      </c>
      <c r="B12721" s="2" t="str">
        <f>IFERROR(__xludf.DUMMYFUNCTION("GOOGLETRANSLATE(A12721, ""de"", ""en"")"),"increase")</f>
        <v>increase</v>
      </c>
    </row>
    <row r="12722">
      <c r="A12722" s="1" t="s">
        <v>12722</v>
      </c>
      <c r="B12722" s="2" t="str">
        <f>IFERROR(__xludf.DUMMYFUNCTION("GOOGLETRANSLATE(A12722, ""de"", ""en"")"),"manual")</f>
        <v>manual</v>
      </c>
    </row>
    <row r="12723">
      <c r="A12723" s="1" t="s">
        <v>12723</v>
      </c>
      <c r="B12723" s="2" t="str">
        <f>IFERROR(__xludf.DUMMYFUNCTION("GOOGLETRANSLATE(A12723, ""de"", ""en"")"),"savannah")</f>
        <v>savannah</v>
      </c>
    </row>
    <row r="12724">
      <c r="A12724" s="1" t="s">
        <v>12724</v>
      </c>
      <c r="B12724" s="2" t="str">
        <f>IFERROR(__xludf.DUMMYFUNCTION("GOOGLETRANSLATE(A12724, ""de"", ""en"")"),"too")</f>
        <v>too</v>
      </c>
    </row>
    <row r="12725">
      <c r="A12725" s="1" t="s">
        <v>12725</v>
      </c>
      <c r="B12725" s="2" t="str">
        <f>IFERROR(__xludf.DUMMYFUNCTION("GOOGLETRANSLATE(A12725, ""de"", ""en"")"),"Maine")</f>
        <v>Maine</v>
      </c>
    </row>
    <row r="12726">
      <c r="A12726" s="1" t="s">
        <v>12726</v>
      </c>
      <c r="B12726" s="2" t="str">
        <f>IFERROR(__xludf.DUMMYFUNCTION("GOOGLETRANSLATE(A12726, ""de"", ""en"")"),"married")</f>
        <v>married</v>
      </c>
    </row>
    <row r="12727">
      <c r="A12727" s="1" t="s">
        <v>12727</v>
      </c>
      <c r="B12727" s="2" t="str">
        <f>IFERROR(__xludf.DUMMYFUNCTION("GOOGLETRANSLATE(A12727, ""de"", ""en"")"),"suck")</f>
        <v>suck</v>
      </c>
    </row>
    <row r="12728">
      <c r="A12728" s="1" t="s">
        <v>12728</v>
      </c>
      <c r="B12728" s="2" t="str">
        <f>IFERROR(__xludf.DUMMYFUNCTION("GOOGLETRANSLATE(A12728, ""de"", ""en"")"),"mild")</f>
        <v>mild</v>
      </c>
    </row>
    <row r="12729">
      <c r="A12729" s="1" t="s">
        <v>12729</v>
      </c>
      <c r="B12729" s="2" t="str">
        <f>IFERROR(__xludf.DUMMYFUNCTION("GOOGLETRANSLATE(A12729, ""de"", ""en"")"),"forms")</f>
        <v>forms</v>
      </c>
    </row>
    <row r="12730">
      <c r="A12730" s="1" t="s">
        <v>12730</v>
      </c>
      <c r="B12730" s="2" t="str">
        <f>IFERROR(__xludf.DUMMYFUNCTION("GOOGLETRANSLATE(A12730, ""de"", ""en"")"),"perfection")</f>
        <v>perfection</v>
      </c>
    </row>
    <row r="12731">
      <c r="A12731" s="1" t="s">
        <v>12731</v>
      </c>
      <c r="B12731" s="2" t="str">
        <f>IFERROR(__xludf.DUMMYFUNCTION("GOOGLETRANSLATE(A12731, ""de"", ""en"")"),"heaps")</f>
        <v>heaps</v>
      </c>
    </row>
    <row r="12732">
      <c r="A12732" s="1" t="s">
        <v>12732</v>
      </c>
      <c r="B12732" s="2" t="str">
        <f>IFERROR(__xludf.DUMMYFUNCTION("GOOGLETRANSLATE(A12732, ""de"", ""en"")"),"clatter")</f>
        <v>clatter</v>
      </c>
    </row>
    <row r="12733">
      <c r="A12733" s="1" t="s">
        <v>12733</v>
      </c>
      <c r="B12733" s="2" t="str">
        <f>IFERROR(__xludf.DUMMYFUNCTION("GOOGLETRANSLATE(A12733, ""de"", ""en"")"),"dollars")</f>
        <v>dollars</v>
      </c>
    </row>
    <row r="12734">
      <c r="A12734" s="1" t="s">
        <v>12734</v>
      </c>
      <c r="B12734" s="2" t="str">
        <f>IFERROR(__xludf.DUMMYFUNCTION("GOOGLETRANSLATE(A12734, ""de"", ""en"")"),"scientific")</f>
        <v>scientific</v>
      </c>
    </row>
    <row r="12735">
      <c r="A12735" s="1" t="s">
        <v>12735</v>
      </c>
      <c r="B12735" s="2" t="str">
        <f>IFERROR(__xludf.DUMMYFUNCTION("GOOGLETRANSLATE(A12735, ""de"", ""en"")"),"Walters")</f>
        <v>Walters</v>
      </c>
    </row>
    <row r="12736">
      <c r="A12736" s="1" t="s">
        <v>12736</v>
      </c>
      <c r="B12736" s="2" t="str">
        <f>IFERROR(__xludf.DUMMYFUNCTION("GOOGLETRANSLATE(A12736, ""de"", ""en"")"),"Jessi")</f>
        <v>Jessi</v>
      </c>
    </row>
    <row r="12737">
      <c r="A12737" s="1" t="s">
        <v>12737</v>
      </c>
      <c r="B12737" s="2" t="str">
        <f>IFERROR(__xludf.DUMMYFUNCTION("GOOGLETRANSLATE(A12737, ""de"", ""en"")"),"boys")</f>
        <v>boys</v>
      </c>
    </row>
    <row r="12738">
      <c r="A12738" s="1" t="s">
        <v>12738</v>
      </c>
      <c r="B12738" s="2" t="str">
        <f>IFERROR(__xludf.DUMMYFUNCTION("GOOGLETRANSLATE(A12738, ""de"", ""en"")"),"department store")</f>
        <v>department store</v>
      </c>
    </row>
    <row r="12739">
      <c r="A12739" s="1" t="s">
        <v>12739</v>
      </c>
      <c r="B12739" s="2" t="str">
        <f>IFERROR(__xludf.DUMMYFUNCTION("GOOGLETRANSLATE(A12739, ""de"", ""en"")"),"proves")</f>
        <v>proves</v>
      </c>
    </row>
    <row r="12740">
      <c r="A12740" s="1" t="s">
        <v>12740</v>
      </c>
      <c r="B12740" s="2" t="str">
        <f>IFERROR(__xludf.DUMMYFUNCTION("GOOGLETRANSLATE(A12740, ""de"", ""en"")"),"collapsed")</f>
        <v>collapsed</v>
      </c>
    </row>
    <row r="12741">
      <c r="A12741" s="1" t="s">
        <v>12741</v>
      </c>
      <c r="B12741" s="2" t="str">
        <f>IFERROR(__xludf.DUMMYFUNCTION("GOOGLETRANSLATE(A12741, ""de"", ""en"")"),"factorial")</f>
        <v>factorial</v>
      </c>
    </row>
    <row r="12742">
      <c r="A12742" s="1" t="s">
        <v>12742</v>
      </c>
      <c r="B12742" s="2" t="str">
        <f>IFERROR(__xludf.DUMMYFUNCTION("GOOGLETRANSLATE(A12742, ""de"", ""en"")"),"directed")</f>
        <v>directed</v>
      </c>
    </row>
    <row r="12743">
      <c r="A12743" s="1" t="s">
        <v>12743</v>
      </c>
      <c r="B12743" s="2" t="str">
        <f>IFERROR(__xludf.DUMMYFUNCTION("GOOGLETRANSLATE(A12743, ""de"", ""en"")"),"pugs")</f>
        <v>pugs</v>
      </c>
    </row>
    <row r="12744">
      <c r="A12744" s="1" t="s">
        <v>12744</v>
      </c>
      <c r="B12744" s="2" t="str">
        <f>IFERROR(__xludf.DUMMYFUNCTION("GOOGLETRANSLATE(A12744, ""de"", ""en"")"),"overdue")</f>
        <v>overdue</v>
      </c>
    </row>
    <row r="12745">
      <c r="A12745" s="1" t="s">
        <v>12745</v>
      </c>
      <c r="B12745" s="2" t="str">
        <f>IFERROR(__xludf.DUMMYFUNCTION("GOOGLETRANSLATE(A12745, ""de"", ""en"")"),"lucifer")</f>
        <v>lucifer</v>
      </c>
    </row>
    <row r="12746">
      <c r="A12746" s="1" t="s">
        <v>12746</v>
      </c>
      <c r="B12746" s="2" t="str">
        <f>IFERROR(__xludf.DUMMYFUNCTION("GOOGLETRANSLATE(A12746, ""de"", ""en"")"),"requested")</f>
        <v>requested</v>
      </c>
    </row>
    <row r="12747">
      <c r="A12747" s="1" t="s">
        <v>12747</v>
      </c>
      <c r="B12747" s="2" t="str">
        <f>IFERROR(__xludf.DUMMYFUNCTION("GOOGLETRANSLATE(A12747, ""de"", ""en"")"),"present")</f>
        <v>present</v>
      </c>
    </row>
    <row r="12748">
      <c r="A12748" s="1" t="s">
        <v>12748</v>
      </c>
      <c r="B12748" s="2" t="str">
        <f>IFERROR(__xludf.DUMMYFUNCTION("GOOGLETRANSLATE(A12748, ""de"", ""en"")"),"French")</f>
        <v>French</v>
      </c>
    </row>
    <row r="12749">
      <c r="A12749" s="1" t="s">
        <v>12749</v>
      </c>
      <c r="B12749" s="2" t="str">
        <f>IFERROR(__xludf.DUMMYFUNCTION("GOOGLETRANSLATE(A12749, ""de"", ""en"")"),"local")</f>
        <v>local</v>
      </c>
    </row>
    <row r="12750">
      <c r="A12750" s="1" t="s">
        <v>12750</v>
      </c>
      <c r="B12750" s="2" t="str">
        <f>IFERROR(__xludf.DUMMYFUNCTION("GOOGLETRANSLATE(A12750, ""de"", ""en"")"),"urgent")</f>
        <v>urgent</v>
      </c>
    </row>
    <row r="12751">
      <c r="A12751" s="1" t="s">
        <v>12751</v>
      </c>
      <c r="B12751" s="2" t="str">
        <f>IFERROR(__xludf.DUMMYFUNCTION("GOOGLETRANSLATE(A12751, ""de"", ""en"")"),"felt")</f>
        <v>felt</v>
      </c>
    </row>
    <row r="12752">
      <c r="A12752" s="1" t="s">
        <v>12752</v>
      </c>
      <c r="B12752" s="2" t="str">
        <f>IFERROR(__xludf.DUMMYFUNCTION("GOOGLETRANSLATE(A12752, ""de"", ""en"")"),"stared at")</f>
        <v>stared at</v>
      </c>
    </row>
    <row r="12753">
      <c r="A12753" s="1" t="s">
        <v>12753</v>
      </c>
      <c r="B12753" s="2" t="str">
        <f>IFERROR(__xludf.DUMMYFUNCTION("GOOGLETRANSLATE(A12753, ""de"", ""en"")"),"headline")</f>
        <v>headline</v>
      </c>
    </row>
    <row r="12754">
      <c r="A12754" s="1" t="s">
        <v>12754</v>
      </c>
      <c r="B12754" s="2" t="str">
        <f>IFERROR(__xludf.DUMMYFUNCTION("GOOGLETRANSLATE(A12754, ""de"", ""en"")"),"geniuses")</f>
        <v>geniuses</v>
      </c>
    </row>
    <row r="12755">
      <c r="A12755" s="1" t="s">
        <v>12755</v>
      </c>
      <c r="B12755" s="2" t="str">
        <f>IFERROR(__xludf.DUMMYFUNCTION("GOOGLETRANSLATE(A12755, ""de"", ""en"")"),"moira")</f>
        <v>moira</v>
      </c>
    </row>
    <row r="12756">
      <c r="A12756" s="1" t="s">
        <v>12756</v>
      </c>
      <c r="B12756" s="2" t="str">
        <f>IFERROR(__xludf.DUMMYFUNCTION("GOOGLETRANSLATE(A12756, ""de"", ""en"")"),"mentioned")</f>
        <v>mentioned</v>
      </c>
    </row>
    <row r="12757">
      <c r="A12757" s="1" t="s">
        <v>12757</v>
      </c>
      <c r="B12757" s="2" t="str">
        <f>IFERROR(__xludf.DUMMYFUNCTION("GOOGLETRANSLATE(A12757, ""de"", ""en"")"),"poop")</f>
        <v>poop</v>
      </c>
    </row>
    <row r="12758">
      <c r="A12758" s="1" t="s">
        <v>12758</v>
      </c>
      <c r="B12758" s="2" t="str">
        <f>IFERROR(__xludf.DUMMYFUNCTION("GOOGLETRANSLATE(A12758, ""de"", ""en"")"),"match")</f>
        <v>match</v>
      </c>
    </row>
    <row r="12759">
      <c r="A12759" s="1" t="s">
        <v>12759</v>
      </c>
      <c r="B12759" s="2" t="str">
        <f>IFERROR(__xludf.DUMMYFUNCTION("GOOGLETRANSLATE(A12759, ""de"", ""en"")"),"favorite")</f>
        <v>favorite</v>
      </c>
    </row>
    <row r="12760">
      <c r="A12760" s="1" t="s">
        <v>12760</v>
      </c>
      <c r="B12760" s="2" t="str">
        <f>IFERROR(__xludf.DUMMYFUNCTION("GOOGLETRANSLATE(A12760, ""de"", ""en"")"),"more merciful")</f>
        <v>more merciful</v>
      </c>
    </row>
    <row r="12761">
      <c r="A12761" s="1" t="s">
        <v>12761</v>
      </c>
      <c r="B12761" s="2" t="str">
        <f>IFERROR(__xludf.DUMMYFUNCTION("GOOGLETRANSLATE(A12761, ""de"", ""en"")"),"hold")</f>
        <v>hold</v>
      </c>
    </row>
    <row r="12762">
      <c r="A12762" s="1" t="s">
        <v>12762</v>
      </c>
      <c r="B12762" s="2" t="str">
        <f>IFERROR(__xludf.DUMMYFUNCTION("GOOGLETRANSLATE(A12762, ""de"", ""en"")"),"manager")</f>
        <v>manager</v>
      </c>
    </row>
    <row r="12763">
      <c r="A12763" s="1" t="s">
        <v>12763</v>
      </c>
      <c r="B12763" s="2" t="str">
        <f>IFERROR(__xludf.DUMMYFUNCTION("GOOGLETRANSLATE(A12763, ""de"", ""en"")"),"financial support")</f>
        <v>financial support</v>
      </c>
    </row>
    <row r="12764">
      <c r="A12764" s="1" t="s">
        <v>12764</v>
      </c>
      <c r="B12764" s="2" t="str">
        <f>IFERROR(__xludf.DUMMYFUNCTION("GOOGLETRANSLATE(A12764, ""de"", ""en"")"),"wives")</f>
        <v>wives</v>
      </c>
    </row>
    <row r="12765">
      <c r="A12765" s="1" t="s">
        <v>12765</v>
      </c>
      <c r="B12765" s="2" t="str">
        <f>IFERROR(__xludf.DUMMYFUNCTION("GOOGLETRANSLATE(A12765, ""de"", ""en"")"),"notebook")</f>
        <v>notebook</v>
      </c>
    </row>
    <row r="12766">
      <c r="A12766" s="1" t="s">
        <v>12766</v>
      </c>
      <c r="B12766" s="2" t="str">
        <f>IFERROR(__xludf.DUMMYFUNCTION("GOOGLETRANSLATE(A12766, ""de"", ""en"")"),"banner")</f>
        <v>banner</v>
      </c>
    </row>
    <row r="12767">
      <c r="A12767" s="1" t="s">
        <v>12767</v>
      </c>
      <c r="B12767" s="2" t="str">
        <f>IFERROR(__xludf.DUMMYFUNCTION("GOOGLETRANSLATE(A12767, ""de"", ""en"")"),"strangle")</f>
        <v>strangle</v>
      </c>
    </row>
    <row r="12768">
      <c r="A12768" s="1" t="s">
        <v>12768</v>
      </c>
      <c r="B12768" s="2" t="str">
        <f>IFERROR(__xludf.DUMMYFUNCTION("GOOGLETRANSLATE(A12768, ""de"", ""en"")"),"tragic")</f>
        <v>tragic</v>
      </c>
    </row>
    <row r="12769">
      <c r="A12769" s="1" t="s">
        <v>12769</v>
      </c>
      <c r="B12769" s="2" t="str">
        <f>IFERROR(__xludf.DUMMYFUNCTION("GOOGLETRANSLATE(A12769, ""de"", ""en"")"),"more right-wing")</f>
        <v>more right-wing</v>
      </c>
    </row>
    <row r="12770">
      <c r="A12770" s="1" t="s">
        <v>12770</v>
      </c>
      <c r="B12770" s="2" t="str">
        <f>IFERROR(__xludf.DUMMYFUNCTION("GOOGLETRANSLATE(A12770, ""de"", ""en"")"),"organism")</f>
        <v>organism</v>
      </c>
    </row>
    <row r="12771">
      <c r="A12771" s="1" t="s">
        <v>12771</v>
      </c>
      <c r="B12771" s="2" t="str">
        <f>IFERROR(__xludf.DUMMYFUNCTION("GOOGLETRANSLATE(A12771, ""de"", ""en"")"),"potential")</f>
        <v>potential</v>
      </c>
    </row>
    <row r="12772">
      <c r="A12772" s="1" t="s">
        <v>12772</v>
      </c>
      <c r="B12772" s="2" t="str">
        <f>IFERROR(__xludf.DUMMYFUNCTION("GOOGLETRANSLATE(A12772, ""de"", ""en"")"),"as quickly as possible")</f>
        <v>as quickly as possible</v>
      </c>
    </row>
    <row r="12773">
      <c r="A12773" s="1" t="s">
        <v>12773</v>
      </c>
      <c r="B12773" s="2" t="str">
        <f>IFERROR(__xludf.DUMMYFUNCTION("GOOGLETRANSLATE(A12773, ""de"", ""en"")"),"cope")</f>
        <v>cope</v>
      </c>
    </row>
    <row r="12774">
      <c r="A12774" s="1" t="s">
        <v>12774</v>
      </c>
      <c r="B12774" s="2" t="str">
        <f>IFERROR(__xludf.DUMMYFUNCTION("GOOGLETRANSLATE(A12774, ""de"", ""en"")"),"control")</f>
        <v>control</v>
      </c>
    </row>
    <row r="12775">
      <c r="A12775" s="1" t="s">
        <v>12775</v>
      </c>
      <c r="B12775" s="2" t="str">
        <f>IFERROR(__xludf.DUMMYFUNCTION("GOOGLETRANSLATE(A12775, ""de"", ""en"")"),"cause")</f>
        <v>cause</v>
      </c>
    </row>
    <row r="12776">
      <c r="A12776" s="1" t="s">
        <v>12776</v>
      </c>
      <c r="B12776" s="2" t="str">
        <f>IFERROR(__xludf.DUMMYFUNCTION("GOOGLETRANSLATE(A12776, ""de"", ""en"")"),"go")</f>
        <v>go</v>
      </c>
    </row>
    <row r="12777">
      <c r="A12777" s="1" t="s">
        <v>12777</v>
      </c>
      <c r="B12777" s="2" t="str">
        <f>IFERROR(__xludf.DUMMYFUNCTION("GOOGLETRANSLATE(A12777, ""de"", ""en"")"),"summons")</f>
        <v>summons</v>
      </c>
    </row>
    <row r="12778">
      <c r="A12778" s="1" t="s">
        <v>12778</v>
      </c>
      <c r="B12778" s="2" t="str">
        <f>IFERROR(__xludf.DUMMYFUNCTION("GOOGLETRANSLATE(A12778, ""de"", ""en"")"),"heavenly")</f>
        <v>heavenly</v>
      </c>
    </row>
    <row r="12779">
      <c r="A12779" s="1" t="s">
        <v>12779</v>
      </c>
      <c r="B12779" s="2" t="str">
        <f>IFERROR(__xludf.DUMMYFUNCTION("GOOGLETRANSLATE(A12779, ""de"", ""en"")"),"Soviet Union")</f>
        <v>Soviet Union</v>
      </c>
    </row>
    <row r="12780">
      <c r="A12780" s="1" t="s">
        <v>12780</v>
      </c>
      <c r="B12780" s="2" t="str">
        <f>IFERROR(__xludf.DUMMYFUNCTION("GOOGLETRANSLATE(A12780, ""de"", ""en"")"),"healed")</f>
        <v>healed</v>
      </c>
    </row>
    <row r="12781">
      <c r="A12781" s="1" t="s">
        <v>12781</v>
      </c>
      <c r="B12781" s="2" t="str">
        <f>IFERROR(__xludf.DUMMYFUNCTION("GOOGLETRANSLATE(A12781, ""de"", ""en"")"),"safe")</f>
        <v>safe</v>
      </c>
    </row>
    <row r="12782">
      <c r="A12782" s="1" t="s">
        <v>12782</v>
      </c>
      <c r="B12782" s="2" t="str">
        <f>IFERROR(__xludf.DUMMYFUNCTION("GOOGLETRANSLATE(A12782, ""de"", ""en"")"),"mistreated")</f>
        <v>mistreated</v>
      </c>
    </row>
    <row r="12783">
      <c r="A12783" s="1" t="s">
        <v>12783</v>
      </c>
      <c r="B12783" s="2" t="str">
        <f>IFERROR(__xludf.DUMMYFUNCTION("GOOGLETRANSLATE(A12783, ""de"", ""en"")"),"accommodate")</f>
        <v>accommodate</v>
      </c>
    </row>
    <row r="12784">
      <c r="A12784" s="1" t="s">
        <v>12784</v>
      </c>
      <c r="B12784" s="2" t="str">
        <f>IFERROR(__xludf.DUMMYFUNCTION("GOOGLETRANSLATE(A12784, ""de"", ""en"")"),"redeem")</f>
        <v>redeem</v>
      </c>
    </row>
    <row r="12785">
      <c r="A12785" s="1" t="s">
        <v>12785</v>
      </c>
      <c r="B12785" s="2" t="str">
        <f>IFERROR(__xludf.DUMMYFUNCTION("GOOGLETRANSLATE(A12785, ""de"", ""en"")"),"departed")</f>
        <v>departed</v>
      </c>
    </row>
    <row r="12786">
      <c r="A12786" s="1" t="s">
        <v>12786</v>
      </c>
      <c r="B12786" s="2" t="str">
        <f>IFERROR(__xludf.DUMMYFUNCTION("GOOGLETRANSLATE(A12786, ""de"", ""en"")"),"life insurance")</f>
        <v>life insurance</v>
      </c>
    </row>
    <row r="12787">
      <c r="A12787" s="1" t="s">
        <v>12787</v>
      </c>
      <c r="B12787" s="2" t="str">
        <f>IFERROR(__xludf.DUMMYFUNCTION("GOOGLETRANSLATE(A12787, ""de"", ""en"")"),"part")</f>
        <v>part</v>
      </c>
    </row>
    <row r="12788">
      <c r="A12788" s="1" t="s">
        <v>12788</v>
      </c>
      <c r="B12788" s="2" t="str">
        <f>IFERROR(__xludf.DUMMYFUNCTION("GOOGLETRANSLATE(A12788, ""de"", ""en"")"),"championship")</f>
        <v>championship</v>
      </c>
    </row>
    <row r="12789">
      <c r="A12789" s="1" t="s">
        <v>12789</v>
      </c>
      <c r="B12789" s="2" t="str">
        <f>IFERROR(__xludf.DUMMYFUNCTION("GOOGLETRANSLATE(A12789, ""de"", ""en"")"),"canteen")</f>
        <v>canteen</v>
      </c>
    </row>
    <row r="12790">
      <c r="A12790" s="1" t="s">
        <v>12790</v>
      </c>
      <c r="B12790" s="2" t="str">
        <f>IFERROR(__xludf.DUMMYFUNCTION("GOOGLETRANSLATE(A12790, ""de"", ""en"")"),"mayor")</f>
        <v>mayor</v>
      </c>
    </row>
    <row r="12791">
      <c r="A12791" s="1" t="s">
        <v>12791</v>
      </c>
      <c r="B12791" s="2" t="str">
        <f>IFERROR(__xludf.DUMMYFUNCTION("GOOGLETRANSLATE(A12791, ""de"", ""en"")"),"woken up")</f>
        <v>woken up</v>
      </c>
    </row>
    <row r="12792">
      <c r="A12792" s="1" t="s">
        <v>12792</v>
      </c>
      <c r="B12792" s="2" t="str">
        <f>IFERROR(__xludf.DUMMYFUNCTION("GOOGLETRANSLATE(A12792, ""de"", ""en"")"),"explore")</f>
        <v>explore</v>
      </c>
    </row>
    <row r="12793">
      <c r="A12793" s="1" t="s">
        <v>12793</v>
      </c>
      <c r="B12793" s="2" t="str">
        <f>IFERROR(__xludf.DUMMYFUNCTION("GOOGLETRANSLATE(A12793, ""de"", ""en"")"),"vulnerable")</f>
        <v>vulnerable</v>
      </c>
    </row>
    <row r="12794">
      <c r="A12794" s="1" t="s">
        <v>12794</v>
      </c>
      <c r="B12794" s="2" t="str">
        <f>IFERROR(__xludf.DUMMYFUNCTION("GOOGLETRANSLATE(A12794, ""de"", ""en"")"),"add")</f>
        <v>add</v>
      </c>
    </row>
    <row r="12795">
      <c r="A12795" s="1" t="s">
        <v>12795</v>
      </c>
      <c r="B12795" s="2" t="str">
        <f>IFERROR(__xludf.DUMMYFUNCTION("GOOGLETRANSLATE(A12795, ""de"", ""en"")"),"skillfully")</f>
        <v>skillfully</v>
      </c>
    </row>
    <row r="12796">
      <c r="A12796" s="1" t="s">
        <v>12796</v>
      </c>
      <c r="B12796" s="2" t="str">
        <f>IFERROR(__xludf.DUMMYFUNCTION("GOOGLETRANSLATE(A12796, ""de"", ""en"")"),"built")</f>
        <v>built</v>
      </c>
    </row>
    <row r="12797">
      <c r="A12797" s="1" t="s">
        <v>12797</v>
      </c>
      <c r="B12797" s="2" t="str">
        <f>IFERROR(__xludf.DUMMYFUNCTION("GOOGLETRANSLATE(A12797, ""de"", ""en"")"),"alms")</f>
        <v>alms</v>
      </c>
    </row>
    <row r="12798">
      <c r="A12798" s="1" t="s">
        <v>12798</v>
      </c>
      <c r="B12798" s="2" t="str">
        <f>IFERROR(__xludf.DUMMYFUNCTION("GOOGLETRANSLATE(A12798, ""de"", ""en"")"),"said")</f>
        <v>said</v>
      </c>
    </row>
    <row r="12799">
      <c r="A12799" s="1" t="s">
        <v>12799</v>
      </c>
      <c r="B12799" s="2" t="str">
        <f>IFERROR(__xludf.DUMMYFUNCTION("GOOGLETRANSLATE(A12799, ""de"", ""en"")"),"memo")</f>
        <v>memo</v>
      </c>
    </row>
    <row r="12800">
      <c r="A12800" s="1" t="s">
        <v>12800</v>
      </c>
      <c r="B12800" s="2" t="str">
        <f>IFERROR(__xludf.DUMMYFUNCTION("GOOGLETRANSLATE(A12800, ""de"", ""en"")"),"offensive")</f>
        <v>offensive</v>
      </c>
    </row>
    <row r="12801">
      <c r="A12801" s="1" t="s">
        <v>12801</v>
      </c>
      <c r="B12801" s="2" t="str">
        <f>IFERROR(__xludf.DUMMYFUNCTION("GOOGLETRANSLATE(A12801, ""de"", ""en"")"),"happy")</f>
        <v>happy</v>
      </c>
    </row>
    <row r="12802">
      <c r="A12802" s="1" t="s">
        <v>12802</v>
      </c>
      <c r="B12802" s="2" t="str">
        <f>IFERROR(__xludf.DUMMYFUNCTION("GOOGLETRANSLATE(A12802, ""de"", ""en"")"),"burned down")</f>
        <v>burned down</v>
      </c>
    </row>
    <row r="12803">
      <c r="A12803" s="1" t="s">
        <v>12803</v>
      </c>
      <c r="B12803" s="2" t="str">
        <f>IFERROR(__xludf.DUMMYFUNCTION("GOOGLETRANSLATE(A12803, ""de"", ""en"")"),"wipe")</f>
        <v>wipe</v>
      </c>
    </row>
    <row r="12804">
      <c r="A12804" s="1" t="s">
        <v>12804</v>
      </c>
      <c r="B12804" s="2" t="str">
        <f>IFERROR(__xludf.DUMMYFUNCTION("GOOGLETRANSLATE(A12804, ""de"", ""en"")"),"spiritual")</f>
        <v>spiritual</v>
      </c>
    </row>
    <row r="12805">
      <c r="A12805" s="1" t="s">
        <v>12805</v>
      </c>
      <c r="B12805" s="2" t="str">
        <f>IFERROR(__xludf.DUMMYFUNCTION("GOOGLETRANSLATE(A12805, ""de"", ""en"")"),"backing")</f>
        <v>backing</v>
      </c>
    </row>
    <row r="12806">
      <c r="A12806" s="1" t="s">
        <v>12806</v>
      </c>
      <c r="B12806" s="2" t="str">
        <f>IFERROR(__xludf.DUMMYFUNCTION("GOOGLETRANSLATE(A12806, ""de"", ""en"")"),"mcdonald")</f>
        <v>mcdonald</v>
      </c>
    </row>
    <row r="12807">
      <c r="A12807" s="1" t="s">
        <v>12807</v>
      </c>
      <c r="B12807" s="2" t="str">
        <f>IFERROR(__xludf.DUMMYFUNCTION("GOOGLETRANSLATE(A12807, ""de"", ""en"")"),"agents")</f>
        <v>agents</v>
      </c>
    </row>
    <row r="12808">
      <c r="A12808" s="1" t="s">
        <v>12808</v>
      </c>
      <c r="B12808" s="2" t="str">
        <f>IFERROR(__xludf.DUMMYFUNCTION("GOOGLETRANSLATE(A12808, ""de"", ""en"")"),"pets")</f>
        <v>pets</v>
      </c>
    </row>
    <row r="12809">
      <c r="A12809" s="1" t="s">
        <v>12809</v>
      </c>
      <c r="B12809" s="2" t="str">
        <f>IFERROR(__xludf.DUMMYFUNCTION("GOOGLETRANSLATE(A12809, ""de"", ""en"")"),"agreed")</f>
        <v>agreed</v>
      </c>
    </row>
    <row r="12810">
      <c r="A12810" s="1" t="s">
        <v>12810</v>
      </c>
      <c r="B12810" s="2" t="str">
        <f>IFERROR(__xludf.DUMMYFUNCTION("GOOGLETRANSLATE(A12810, ""de"", ""en"")"),"hansen")</f>
        <v>hansen</v>
      </c>
    </row>
    <row r="12811">
      <c r="A12811" s="1" t="s">
        <v>12811</v>
      </c>
      <c r="B12811" s="2" t="str">
        <f>IFERROR(__xludf.DUMMYFUNCTION("GOOGLETRANSLATE(A12811, ""de"", ""en"")"),"penthouse")</f>
        <v>penthouse</v>
      </c>
    </row>
    <row r="12812">
      <c r="A12812" s="1" t="s">
        <v>12812</v>
      </c>
      <c r="B12812" s="2" t="str">
        <f>IFERROR(__xludf.DUMMYFUNCTION("GOOGLETRANSLATE(A12812, ""de"", ""en"")"),"cassandra")</f>
        <v>cassandra</v>
      </c>
    </row>
    <row r="12813">
      <c r="A12813" s="1" t="s">
        <v>12813</v>
      </c>
      <c r="B12813" s="2" t="str">
        <f>IFERROR(__xludf.DUMMYFUNCTION("GOOGLETRANSLATE(A12813, ""de"", ""en"")"),"you needed")</f>
        <v>you needed</v>
      </c>
    </row>
    <row r="12814">
      <c r="A12814" s="1" t="s">
        <v>12814</v>
      </c>
      <c r="B12814" s="2" t="str">
        <f>IFERROR(__xludf.DUMMYFUNCTION("GOOGLETRANSLATE(A12814, ""de"", ""en"")"),"mesh")</f>
        <v>mesh</v>
      </c>
    </row>
    <row r="12815">
      <c r="A12815" s="1" t="s">
        <v>12815</v>
      </c>
      <c r="B12815" s="2" t="str">
        <f>IFERROR(__xludf.DUMMYFUNCTION("GOOGLETRANSLATE(A12815, ""de"", ""en"")"),"vampires")</f>
        <v>vampires</v>
      </c>
    </row>
    <row r="12816">
      <c r="A12816" s="1" t="s">
        <v>12816</v>
      </c>
      <c r="B12816" s="2" t="str">
        <f>IFERROR(__xludf.DUMMYFUNCTION("GOOGLETRANSLATE(A12816, ""de"", ""en"")"),"Montreal")</f>
        <v>Montreal</v>
      </c>
    </row>
    <row r="12817">
      <c r="A12817" s="1" t="s">
        <v>12817</v>
      </c>
      <c r="B12817" s="2" t="str">
        <f>IFERROR(__xludf.DUMMYFUNCTION("GOOGLETRANSLATE(A12817, ""de"", ""en"")"),"pleasant")</f>
        <v>pleasant</v>
      </c>
    </row>
    <row r="12818">
      <c r="A12818" s="1" t="s">
        <v>12818</v>
      </c>
      <c r="B12818" s="2" t="str">
        <f>IFERROR(__xludf.DUMMYFUNCTION("GOOGLETRANSLATE(A12818, ""de"", ""en"")"),"dope")</f>
        <v>dope</v>
      </c>
    </row>
    <row r="12819">
      <c r="A12819" s="1" t="s">
        <v>12819</v>
      </c>
      <c r="B12819" s="2" t="str">
        <f>IFERROR(__xludf.DUMMYFUNCTION("GOOGLETRANSLATE(A12819, ""de"", ""en"")"),"serge")</f>
        <v>serge</v>
      </c>
    </row>
    <row r="12820">
      <c r="A12820" s="1" t="s">
        <v>12820</v>
      </c>
      <c r="B12820" s="2" t="str">
        <f>IFERROR(__xludf.DUMMYFUNCTION("GOOGLETRANSLATE(A12820, ""de"", ""en"")"),"loaded")</f>
        <v>loaded</v>
      </c>
    </row>
    <row r="12821">
      <c r="A12821" s="1" t="s">
        <v>12821</v>
      </c>
      <c r="B12821" s="2" t="str">
        <f>IFERROR(__xludf.DUMMYFUNCTION("GOOGLETRANSLATE(A12821, ""de"", ""en"")"),"deliver")</f>
        <v>deliver</v>
      </c>
    </row>
    <row r="12822">
      <c r="A12822" s="1" t="s">
        <v>12822</v>
      </c>
      <c r="B12822" s="2" t="str">
        <f>IFERROR(__xludf.DUMMYFUNCTION("GOOGLETRANSLATE(A12822, ""de"", ""en"")"),"hoped")</f>
        <v>hoped</v>
      </c>
    </row>
    <row r="12823">
      <c r="A12823" s="1" t="s">
        <v>12823</v>
      </c>
      <c r="B12823" s="2" t="str">
        <f>IFERROR(__xludf.DUMMYFUNCTION("GOOGLETRANSLATE(A12823, ""de"", ""en"")"),"come out")</f>
        <v>come out</v>
      </c>
    </row>
    <row r="12824">
      <c r="A12824" s="1" t="s">
        <v>12824</v>
      </c>
      <c r="B12824" s="2" t="str">
        <f>IFERROR(__xludf.DUMMYFUNCTION("GOOGLETRANSLATE(A12824, ""de"", ""en"")"),"mortals")</f>
        <v>mortals</v>
      </c>
    </row>
    <row r="12825">
      <c r="A12825" s="1" t="s">
        <v>12825</v>
      </c>
      <c r="B12825" s="2" t="str">
        <f>IFERROR(__xludf.DUMMYFUNCTION("GOOGLETRANSLATE(A12825, ""de"", ""en"")"),"dining room")</f>
        <v>dining room</v>
      </c>
    </row>
    <row r="12826">
      <c r="A12826" s="1" t="s">
        <v>12826</v>
      </c>
      <c r="B12826" s="2" t="str">
        <f>IFERROR(__xludf.DUMMYFUNCTION("GOOGLETRANSLATE(A12826, ""de"", ""en"")"),"sabotage")</f>
        <v>sabotage</v>
      </c>
    </row>
    <row r="12827">
      <c r="A12827" s="1" t="s">
        <v>12827</v>
      </c>
      <c r="B12827" s="2" t="str">
        <f>IFERROR(__xludf.DUMMYFUNCTION("GOOGLETRANSLATE(A12827, ""de"", ""en"")"),"Stalin")</f>
        <v>Stalin</v>
      </c>
    </row>
    <row r="12828">
      <c r="A12828" s="1" t="s">
        <v>12828</v>
      </c>
      <c r="B12828" s="2" t="str">
        <f>IFERROR(__xludf.DUMMYFUNCTION("GOOGLETRANSLATE(A12828, ""de"", ""en"")"),"minnie")</f>
        <v>minnie</v>
      </c>
    </row>
    <row r="12829">
      <c r="A12829" s="1" t="s">
        <v>12829</v>
      </c>
      <c r="B12829" s="2" t="str">
        <f>IFERROR(__xludf.DUMMYFUNCTION("GOOGLETRANSLATE(A12829, ""de"", ""en"")"),"outside world")</f>
        <v>outside world</v>
      </c>
    </row>
    <row r="12830">
      <c r="A12830" s="1" t="s">
        <v>12830</v>
      </c>
      <c r="B12830" s="2" t="str">
        <f>IFERROR(__xludf.DUMMYFUNCTION("GOOGLETRANSLATE(A12830, ""de"", ""en"")"),"ignore")</f>
        <v>ignore</v>
      </c>
    </row>
    <row r="12831">
      <c r="A12831" s="1" t="s">
        <v>12831</v>
      </c>
      <c r="B12831" s="2" t="str">
        <f>IFERROR(__xludf.DUMMYFUNCTION("GOOGLETRANSLATE(A12831, ""de"", ""en"")"),"patriot")</f>
        <v>patriot</v>
      </c>
    </row>
    <row r="12832">
      <c r="A12832" s="1" t="s">
        <v>12832</v>
      </c>
      <c r="B12832" s="2" t="str">
        <f>IFERROR(__xludf.DUMMYFUNCTION("GOOGLETRANSLATE(A12832, ""de"", ""en"")"),"fucks")</f>
        <v>fucks</v>
      </c>
    </row>
    <row r="12833">
      <c r="A12833" s="1" t="s">
        <v>12833</v>
      </c>
      <c r="B12833" s="2" t="str">
        <f>IFERROR(__xludf.DUMMYFUNCTION("GOOGLETRANSLATE(A12833, ""de"", ""en"")"),"salary increase")</f>
        <v>salary increase</v>
      </c>
    </row>
    <row r="12834">
      <c r="A12834" s="1" t="s">
        <v>12834</v>
      </c>
      <c r="B12834" s="2" t="str">
        <f>IFERROR(__xludf.DUMMYFUNCTION("GOOGLETRANSLATE(A12834, ""de"", ""en"")"),"everett")</f>
        <v>everett</v>
      </c>
    </row>
    <row r="12835">
      <c r="A12835" s="1" t="s">
        <v>12835</v>
      </c>
      <c r="B12835" s="2" t="str">
        <f>IFERROR(__xludf.DUMMYFUNCTION("GOOGLETRANSLATE(A12835, ""de"", ""en"")"),"ss")</f>
        <v>ss</v>
      </c>
    </row>
    <row r="12836">
      <c r="A12836" s="1" t="s">
        <v>12836</v>
      </c>
      <c r="B12836" s="2" t="str">
        <f>IFERROR(__xludf.DUMMYFUNCTION("GOOGLETRANSLATE(A12836, ""de"", ""en"")"),"amazing")</f>
        <v>amazing</v>
      </c>
    </row>
    <row r="12837">
      <c r="A12837" s="1" t="s">
        <v>12837</v>
      </c>
      <c r="B12837" s="2" t="str">
        <f>IFERROR(__xludf.DUMMYFUNCTION("GOOGLETRANSLATE(A12837, ""de"", ""en"")"),"ferdinand")</f>
        <v>ferdinand</v>
      </c>
    </row>
    <row r="12838">
      <c r="A12838" s="1" t="s">
        <v>12838</v>
      </c>
      <c r="B12838" s="2" t="str">
        <f>IFERROR(__xludf.DUMMYFUNCTION("GOOGLETRANSLATE(A12838, ""de"", ""en"")"),"allowed")</f>
        <v>allowed</v>
      </c>
    </row>
    <row r="12839">
      <c r="A12839" s="1" t="s">
        <v>12839</v>
      </c>
      <c r="B12839" s="2" t="str">
        <f>IFERROR(__xludf.DUMMYFUNCTION("GOOGLETRANSLATE(A12839, ""de"", ""en"")"),"meetings")</f>
        <v>meetings</v>
      </c>
    </row>
    <row r="12840">
      <c r="A12840" s="1" t="s">
        <v>12840</v>
      </c>
      <c r="B12840" s="2" t="str">
        <f>IFERROR(__xludf.DUMMYFUNCTION("GOOGLETRANSLATE(A12840, ""de"", ""en"")"),"peas")</f>
        <v>peas</v>
      </c>
    </row>
    <row r="12841">
      <c r="A12841" s="1" t="s">
        <v>12841</v>
      </c>
      <c r="B12841" s="2" t="str">
        <f>IFERROR(__xludf.DUMMYFUNCTION("GOOGLETRANSLATE(A12841, ""de"", ""en"")"),"gang")</f>
        <v>gang</v>
      </c>
    </row>
    <row r="12842">
      <c r="A12842" s="1" t="s">
        <v>12842</v>
      </c>
      <c r="B12842" s="2" t="str">
        <f>IFERROR(__xludf.DUMMYFUNCTION("GOOGLETRANSLATE(A12842, ""de"", ""en"")"),"cruise")</f>
        <v>cruise</v>
      </c>
    </row>
    <row r="12843">
      <c r="A12843" s="1" t="s">
        <v>12843</v>
      </c>
      <c r="B12843" s="2" t="str">
        <f>IFERROR(__xludf.DUMMYFUNCTION("GOOGLETRANSLATE(A12843, ""de"", ""en"")"),"signs")</f>
        <v>signs</v>
      </c>
    </row>
    <row r="12844">
      <c r="A12844" s="1" t="s">
        <v>12844</v>
      </c>
      <c r="B12844" s="2" t="str">
        <f>IFERROR(__xludf.DUMMYFUNCTION("GOOGLETRANSLATE(A12844, ""de"", ""en"")"),"Goodbye")</f>
        <v>Goodbye</v>
      </c>
    </row>
    <row r="12845">
      <c r="A12845" s="1" t="s">
        <v>12845</v>
      </c>
      <c r="B12845" s="2" t="str">
        <f>IFERROR(__xludf.DUMMYFUNCTION("GOOGLETRANSLATE(A12845, ""de"", ""en"")"),"clone")</f>
        <v>clone</v>
      </c>
    </row>
    <row r="12846">
      <c r="A12846" s="1" t="s">
        <v>12846</v>
      </c>
      <c r="B12846" s="2" t="str">
        <f>IFERROR(__xludf.DUMMYFUNCTION("GOOGLETRANSLATE(A12846, ""de"", ""en"")"),"chcyan")</f>
        <v>chcyan</v>
      </c>
    </row>
    <row r="12847">
      <c r="A12847" s="1" t="s">
        <v>12847</v>
      </c>
      <c r="B12847" s="2" t="str">
        <f>IFERROR(__xludf.DUMMYFUNCTION("GOOGLETRANSLATE(A12847, ""de"", ""en"")"),"dea")</f>
        <v>dea</v>
      </c>
    </row>
    <row r="12848">
      <c r="A12848" s="1" t="s">
        <v>12848</v>
      </c>
      <c r="B12848" s="2" t="str">
        <f>IFERROR(__xludf.DUMMYFUNCTION("GOOGLETRANSLATE(A12848, ""de"", ""en"")"),"illusions")</f>
        <v>illusions</v>
      </c>
    </row>
    <row r="12849">
      <c r="A12849" s="1" t="s">
        <v>12849</v>
      </c>
      <c r="B12849" s="2" t="str">
        <f>IFERROR(__xludf.DUMMYFUNCTION("GOOGLETRANSLATE(A12849, ""de"", ""en"")"),"eyewitnesses")</f>
        <v>eyewitnesses</v>
      </c>
    </row>
    <row r="12850">
      <c r="A12850" s="1" t="s">
        <v>12850</v>
      </c>
      <c r="B12850" s="2" t="str">
        <f>IFERROR(__xludf.DUMMYFUNCTION("GOOGLETRANSLATE(A12850, ""de"", ""en"")"),"medical")</f>
        <v>medical</v>
      </c>
    </row>
    <row r="12851">
      <c r="A12851" s="1" t="s">
        <v>12851</v>
      </c>
      <c r="B12851" s="2" t="str">
        <f>IFERROR(__xludf.DUMMYFUNCTION("GOOGLETRANSLATE(A12851, ""de"", ""en"")"),"krypton")</f>
        <v>krypton</v>
      </c>
    </row>
    <row r="12852">
      <c r="A12852" s="1" t="s">
        <v>12852</v>
      </c>
      <c r="B12852" s="2" t="str">
        <f>IFERROR(__xludf.DUMMYFUNCTION("GOOGLETRANSLATE(A12852, ""de"", ""en"")"),"sets in")</f>
        <v>sets in</v>
      </c>
    </row>
    <row r="12853">
      <c r="A12853" s="1" t="s">
        <v>12853</v>
      </c>
      <c r="B12853" s="2" t="str">
        <f>IFERROR(__xludf.DUMMYFUNCTION("GOOGLETRANSLATE(A12853, ""de"", ""en"")"),"would")</f>
        <v>would</v>
      </c>
    </row>
    <row r="12854">
      <c r="A12854" s="1" t="s">
        <v>12854</v>
      </c>
      <c r="B12854" s="2" t="str">
        <f>IFERROR(__xludf.DUMMYFUNCTION("GOOGLETRANSLATE(A12854, ""de"", ""en"")"),"homeland")</f>
        <v>homeland</v>
      </c>
    </row>
    <row r="12855">
      <c r="A12855" s="1" t="s">
        <v>12855</v>
      </c>
      <c r="B12855" s="2" t="str">
        <f>IFERROR(__xludf.DUMMYFUNCTION("GOOGLETRANSLATE(A12855, ""de"", ""en"")"),"clarify")</f>
        <v>clarify</v>
      </c>
    </row>
    <row r="12856">
      <c r="A12856" s="1" t="s">
        <v>12856</v>
      </c>
      <c r="B12856" s="2" t="str">
        <f>IFERROR(__xludf.DUMMYFUNCTION("GOOGLETRANSLATE(A12856, ""de"", ""en"")"),"to carry out")</f>
        <v>to carry out</v>
      </c>
    </row>
    <row r="12857">
      <c r="A12857" s="1" t="s">
        <v>12857</v>
      </c>
      <c r="B12857" s="2" t="str">
        <f>IFERROR(__xludf.DUMMYFUNCTION("GOOGLETRANSLATE(A12857, ""de"", ""en"")"),"engines")</f>
        <v>engines</v>
      </c>
    </row>
    <row r="12858">
      <c r="A12858" s="1" t="s">
        <v>12858</v>
      </c>
      <c r="B12858" s="2" t="str">
        <f>IFERROR(__xludf.DUMMYFUNCTION("GOOGLETRANSLATE(A12858, ""de"", ""en"")"),"administered")</f>
        <v>administered</v>
      </c>
    </row>
    <row r="12859">
      <c r="A12859" s="1" t="s">
        <v>12859</v>
      </c>
      <c r="B12859" s="2" t="str">
        <f>IFERROR(__xludf.DUMMYFUNCTION("GOOGLETRANSLATE(A12859, ""de"", ""en"")"),"app")</f>
        <v>app</v>
      </c>
    </row>
    <row r="12860">
      <c r="A12860" s="1" t="s">
        <v>12860</v>
      </c>
      <c r="B12860" s="2" t="str">
        <f>IFERROR(__xludf.DUMMYFUNCTION("GOOGLETRANSLATE(A12860, ""de"", ""en"")"),"Lisbon")</f>
        <v>Lisbon</v>
      </c>
    </row>
    <row r="12861">
      <c r="A12861" s="1" t="s">
        <v>12861</v>
      </c>
      <c r="B12861" s="2" t="str">
        <f>IFERROR(__xludf.DUMMYFUNCTION("GOOGLETRANSLATE(A12861, ""de"", ""en"")"),"recognized")</f>
        <v>recognized</v>
      </c>
    </row>
    <row r="12862">
      <c r="A12862" s="1" t="s">
        <v>12862</v>
      </c>
      <c r="B12862" s="2" t="str">
        <f>IFERROR(__xludf.DUMMYFUNCTION("GOOGLETRANSLATE(A12862, ""de"", ""en"")"),"cobb")</f>
        <v>cobb</v>
      </c>
    </row>
    <row r="12863">
      <c r="A12863" s="1" t="s">
        <v>12863</v>
      </c>
      <c r="B12863" s="2" t="str">
        <f>IFERROR(__xludf.DUMMYFUNCTION("GOOGLETRANSLATE(A12863, ""de"", ""en"")"),"ko")</f>
        <v>ko</v>
      </c>
    </row>
    <row r="12864">
      <c r="A12864" s="1" t="s">
        <v>12864</v>
      </c>
      <c r="B12864" s="2" t="str">
        <f>IFERROR(__xludf.DUMMYFUNCTION("GOOGLETRANSLATE(A12864, ""de"", ""en"")"),"apply")</f>
        <v>apply</v>
      </c>
    </row>
    <row r="12865">
      <c r="A12865" s="1" t="s">
        <v>12865</v>
      </c>
      <c r="B12865" s="2" t="str">
        <f>IFERROR(__xludf.DUMMYFUNCTION("GOOGLETRANSLATE(A12865, ""de"", ""en"")"),"stare")</f>
        <v>stare</v>
      </c>
    </row>
    <row r="12866">
      <c r="A12866" s="1" t="s">
        <v>12866</v>
      </c>
      <c r="B12866" s="2" t="str">
        <f>IFERROR(__xludf.DUMMYFUNCTION("GOOGLETRANSLATE(A12866, ""de"", ""en"")"),"Emilio")</f>
        <v>Emilio</v>
      </c>
    </row>
    <row r="12867">
      <c r="A12867" s="1" t="s">
        <v>12867</v>
      </c>
      <c r="B12867" s="2" t="str">
        <f>IFERROR(__xludf.DUMMYFUNCTION("GOOGLETRANSLATE(A12867, ""de"", ""en"")"),"carpentry")</f>
        <v>carpentry</v>
      </c>
    </row>
    <row r="12868">
      <c r="A12868" s="1" t="s">
        <v>12868</v>
      </c>
      <c r="B12868" s="2" t="str">
        <f>IFERROR(__xludf.DUMMYFUNCTION("GOOGLETRANSLATE(A12868, ""de"", ""en"")"),"briggs")</f>
        <v>briggs</v>
      </c>
    </row>
    <row r="12869">
      <c r="A12869" s="1" t="s">
        <v>12869</v>
      </c>
      <c r="B12869" s="2" t="str">
        <f>IFERROR(__xludf.DUMMYFUNCTION("GOOGLETRANSLATE(A12869, ""de"", ""en"")"),"Catholic")</f>
        <v>Catholic</v>
      </c>
    </row>
    <row r="12870">
      <c r="A12870" s="1" t="s">
        <v>12870</v>
      </c>
      <c r="B12870" s="2" t="str">
        <f>IFERROR(__xludf.DUMMYFUNCTION("GOOGLETRANSLATE(A12870, ""de"", ""en"")"),"Barcelona")</f>
        <v>Barcelona</v>
      </c>
    </row>
    <row r="12871">
      <c r="A12871" s="1" t="s">
        <v>12871</v>
      </c>
      <c r="B12871" s="2" t="str">
        <f>IFERROR(__xludf.DUMMYFUNCTION("GOOGLETRANSLATE(A12871, ""de"", ""en"")"),"ropes")</f>
        <v>ropes</v>
      </c>
    </row>
    <row r="12872">
      <c r="A12872" s="1" t="s">
        <v>12872</v>
      </c>
      <c r="B12872" s="2" t="str">
        <f>IFERROR(__xludf.DUMMYFUNCTION("GOOGLETRANSLATE(A12872, ""de"", ""en"")"),"shaft")</f>
        <v>shaft</v>
      </c>
    </row>
    <row r="12873">
      <c r="A12873" s="1" t="s">
        <v>12873</v>
      </c>
      <c r="B12873" s="2" t="str">
        <f>IFERROR(__xludf.DUMMYFUNCTION("GOOGLETRANSLATE(A12873, ""de"", ""en"")"),"Luisa")</f>
        <v>Luisa</v>
      </c>
    </row>
    <row r="12874">
      <c r="A12874" s="1" t="s">
        <v>12874</v>
      </c>
      <c r="B12874" s="2" t="str">
        <f>IFERROR(__xludf.DUMMYFUNCTION("GOOGLETRANSLATE(A12874, ""de"", ""en"")"),"hotter")</f>
        <v>hotter</v>
      </c>
    </row>
    <row r="12875">
      <c r="A12875" s="1" t="s">
        <v>12875</v>
      </c>
      <c r="B12875" s="2" t="str">
        <f>IFERROR(__xludf.DUMMYFUNCTION("GOOGLETRANSLATE(A12875, ""de"", ""en"")"),"growth")</f>
        <v>growth</v>
      </c>
    </row>
    <row r="12876">
      <c r="A12876" s="1" t="s">
        <v>12876</v>
      </c>
      <c r="B12876" s="2" t="str">
        <f>IFERROR(__xludf.DUMMYFUNCTION("GOOGLETRANSLATE(A12876, ""de"", ""en"")"),"donut")</f>
        <v>donut</v>
      </c>
    </row>
    <row r="12877">
      <c r="A12877" s="1" t="s">
        <v>12877</v>
      </c>
      <c r="B12877" s="2" t="str">
        <f>IFERROR(__xludf.DUMMYFUNCTION("GOOGLETRANSLATE(A12877, ""de"", ""en"")"),"satisfaction")</f>
        <v>satisfaction</v>
      </c>
    </row>
    <row r="12878">
      <c r="A12878" s="1" t="s">
        <v>12878</v>
      </c>
      <c r="B12878" s="2" t="str">
        <f>IFERROR(__xludf.DUMMYFUNCTION("GOOGLETRANSLATE(A12878, ""de"", ""en"")"),"wood")</f>
        <v>wood</v>
      </c>
    </row>
    <row r="12879">
      <c r="A12879" s="1" t="s">
        <v>12879</v>
      </c>
      <c r="B12879" s="2" t="str">
        <f>IFERROR(__xludf.DUMMYFUNCTION("GOOGLETRANSLATE(A12879, ""de"", ""en"")"),"pasture")</f>
        <v>pasture</v>
      </c>
    </row>
    <row r="12880">
      <c r="A12880" s="1" t="s">
        <v>12880</v>
      </c>
      <c r="B12880" s="2" t="str">
        <f>IFERROR(__xludf.DUMMYFUNCTION("GOOGLETRANSLATE(A12880, ""de"", ""en"")"),"vicki")</f>
        <v>vicki</v>
      </c>
    </row>
    <row r="12881">
      <c r="A12881" s="1" t="s">
        <v>12881</v>
      </c>
      <c r="B12881" s="2" t="str">
        <f>IFERROR(__xludf.DUMMYFUNCTION("GOOGLETRANSLATE(A12881, ""de"", ""en"")"),"bowling")</f>
        <v>bowling</v>
      </c>
    </row>
    <row r="12882">
      <c r="A12882" s="1" t="s">
        <v>12882</v>
      </c>
      <c r="B12882" s="2" t="str">
        <f>IFERROR(__xludf.DUMMYFUNCTION("GOOGLETRANSLATE(A12882, ""de"", ""en"")"),"lawson")</f>
        <v>lawson</v>
      </c>
    </row>
    <row r="12883">
      <c r="A12883" s="1" t="s">
        <v>12883</v>
      </c>
      <c r="B12883" s="2" t="str">
        <f>IFERROR(__xludf.DUMMYFUNCTION("GOOGLETRANSLATE(A12883, ""de"", ""en"")"),"join")</f>
        <v>join</v>
      </c>
    </row>
    <row r="12884">
      <c r="A12884" s="1" t="s">
        <v>12884</v>
      </c>
      <c r="B12884" s="2" t="str">
        <f>IFERROR(__xludf.DUMMYFUNCTION("GOOGLETRANSLATE(A12884, ""de"", ""en"")"),"disgust")</f>
        <v>disgust</v>
      </c>
    </row>
    <row r="12885">
      <c r="A12885" s="1" t="s">
        <v>12885</v>
      </c>
      <c r="B12885" s="2" t="str">
        <f>IFERROR(__xludf.DUMMYFUNCTION("GOOGLETRANSLATE(A12885, ""de"", ""en"")"),"physically")</f>
        <v>physically</v>
      </c>
    </row>
    <row r="12886">
      <c r="A12886" s="1" t="s">
        <v>12886</v>
      </c>
      <c r="B12886" s="2" t="str">
        <f>IFERROR(__xludf.DUMMYFUNCTION("GOOGLETRANSLATE(A12886, ""de"", ""en"")"),"mass")</f>
        <v>mass</v>
      </c>
    </row>
    <row r="12887">
      <c r="A12887" s="1" t="s">
        <v>12887</v>
      </c>
      <c r="B12887" s="2" t="str">
        <f>IFERROR(__xludf.DUMMYFUNCTION("GOOGLETRANSLATE(A12887, ""de"", ""en"")"),"wondered")</f>
        <v>wondered</v>
      </c>
    </row>
    <row r="12888">
      <c r="A12888" s="1" t="s">
        <v>12888</v>
      </c>
      <c r="B12888" s="2" t="str">
        <f>IFERROR(__xludf.DUMMYFUNCTION("GOOGLETRANSLATE(A12888, ""de"", ""en"")"),"scooter")</f>
        <v>scooter</v>
      </c>
    </row>
    <row r="12889">
      <c r="A12889" s="1" t="s">
        <v>12889</v>
      </c>
      <c r="B12889" s="2" t="str">
        <f>IFERROR(__xludf.DUMMYFUNCTION("GOOGLETRANSLATE(A12889, ""de"", ""en"")"),"st")</f>
        <v>st</v>
      </c>
    </row>
    <row r="12890">
      <c r="A12890" s="1" t="s">
        <v>12890</v>
      </c>
      <c r="B12890" s="2" t="str">
        <f>IFERROR(__xludf.DUMMYFUNCTION("GOOGLETRANSLATE(A12890, ""de"", ""en"")"),"menu")</f>
        <v>menu</v>
      </c>
    </row>
    <row r="12891">
      <c r="A12891" s="1" t="s">
        <v>12891</v>
      </c>
      <c r="B12891" s="2" t="str">
        <f>IFERROR(__xludf.DUMMYFUNCTION("GOOGLETRANSLATE(A12891, ""de"", ""en"")"),"send back")</f>
        <v>send back</v>
      </c>
    </row>
    <row r="12892">
      <c r="A12892" s="1" t="s">
        <v>12892</v>
      </c>
      <c r="B12892" s="2" t="str">
        <f>IFERROR(__xludf.DUMMYFUNCTION("GOOGLETRANSLATE(A12892, ""de"", ""en"")"),"reveal")</f>
        <v>reveal</v>
      </c>
    </row>
    <row r="12893">
      <c r="A12893" s="1" t="s">
        <v>12893</v>
      </c>
      <c r="B12893" s="2" t="str">
        <f>IFERROR(__xludf.DUMMYFUNCTION("GOOGLETRANSLATE(A12893, ""de"", ""en"")"),"modesty")</f>
        <v>modesty</v>
      </c>
    </row>
    <row r="12894">
      <c r="A12894" s="1" t="s">
        <v>12894</v>
      </c>
      <c r="B12894" s="2" t="str">
        <f>IFERROR(__xludf.DUMMYFUNCTION("GOOGLETRANSLATE(A12894, ""de"", ""en"")"),"burn")</f>
        <v>burn</v>
      </c>
    </row>
    <row r="12895">
      <c r="A12895" s="1" t="s">
        <v>12895</v>
      </c>
      <c r="B12895" s="2" t="str">
        <f>IFERROR(__xludf.DUMMYFUNCTION("GOOGLETRANSLATE(A12895, ""de"", ""en"")"),"overseas")</f>
        <v>overseas</v>
      </c>
    </row>
    <row r="12896">
      <c r="A12896" s="1" t="s">
        <v>12896</v>
      </c>
      <c r="B12896" s="2" t="str">
        <f>IFERROR(__xludf.DUMMYFUNCTION("GOOGLETRANSLATE(A12896, ""de"", ""en"")"),"jesus")</f>
        <v>jesus</v>
      </c>
    </row>
    <row r="12897">
      <c r="A12897" s="1" t="s">
        <v>12897</v>
      </c>
      <c r="B12897" s="2" t="str">
        <f>IFERROR(__xludf.DUMMYFUNCTION("GOOGLETRANSLATE(A12897, ""de"", ""en"")"),"ori")</f>
        <v>ori</v>
      </c>
    </row>
    <row r="12898">
      <c r="A12898" s="1" t="s">
        <v>12898</v>
      </c>
      <c r="B12898" s="2" t="str">
        <f>IFERROR(__xludf.DUMMYFUNCTION("GOOGLETRANSLATE(A12898, ""de"", ""en"")"),"London")</f>
        <v>London</v>
      </c>
    </row>
    <row r="12899">
      <c r="A12899" s="1" t="s">
        <v>12899</v>
      </c>
      <c r="B12899" s="2" t="str">
        <f>IFERROR(__xludf.DUMMYFUNCTION("GOOGLETRANSLATE(A12899, ""de"", ""en"")"),"stall")</f>
        <v>stall</v>
      </c>
    </row>
    <row r="12900">
      <c r="A12900" s="1" t="s">
        <v>12900</v>
      </c>
      <c r="B12900" s="2" t="str">
        <f>IFERROR(__xludf.DUMMYFUNCTION("GOOGLETRANSLATE(A12900, ""de"", ""en"")"),"sad")</f>
        <v>sad</v>
      </c>
    </row>
    <row r="12901">
      <c r="A12901" s="1" t="s">
        <v>12901</v>
      </c>
      <c r="B12901" s="2" t="str">
        <f>IFERROR(__xludf.DUMMYFUNCTION("GOOGLETRANSLATE(A12901, ""de"", ""en"")"),"oranges")</f>
        <v>oranges</v>
      </c>
    </row>
    <row r="12902">
      <c r="A12902" s="1" t="s">
        <v>12902</v>
      </c>
      <c r="B12902" s="2" t="str">
        <f>IFERROR(__xludf.DUMMYFUNCTION("GOOGLETRANSLATE(A12902, ""de"", ""en"")"),"guardian angel")</f>
        <v>guardian angel</v>
      </c>
    </row>
    <row r="12903">
      <c r="A12903" s="1" t="s">
        <v>12903</v>
      </c>
      <c r="B12903" s="2" t="str">
        <f>IFERROR(__xludf.DUMMYFUNCTION("GOOGLETRANSLATE(A12903, ""de"", ""en"")"),"Yankee")</f>
        <v>Yankee</v>
      </c>
    </row>
    <row r="12904">
      <c r="A12904" s="1" t="s">
        <v>12904</v>
      </c>
      <c r="B12904" s="2" t="str">
        <f>IFERROR(__xludf.DUMMYFUNCTION("GOOGLETRANSLATE(A12904, ""de"", ""en"")"),"apply")</f>
        <v>apply</v>
      </c>
    </row>
    <row r="12905">
      <c r="A12905" s="1" t="s">
        <v>12905</v>
      </c>
      <c r="B12905" s="2" t="str">
        <f>IFERROR(__xludf.DUMMYFUNCTION("GOOGLETRANSLATE(A12905, ""de"", ""en"")"),"wheat")</f>
        <v>wheat</v>
      </c>
    </row>
    <row r="12906">
      <c r="A12906" s="1" t="s">
        <v>12906</v>
      </c>
      <c r="B12906" s="2" t="str">
        <f>IFERROR(__xludf.DUMMYFUNCTION("GOOGLETRANSLATE(A12906, ""de"", ""en"")"),"plaster")</f>
        <v>plaster</v>
      </c>
    </row>
    <row r="12907">
      <c r="A12907" s="1" t="s">
        <v>12907</v>
      </c>
      <c r="B12907" s="2" t="str">
        <f>IFERROR(__xludf.DUMMYFUNCTION("GOOGLETRANSLATE(A12907, ""de"", ""en"")"),"settlement")</f>
        <v>settlement</v>
      </c>
    </row>
    <row r="12908">
      <c r="A12908" s="1" t="s">
        <v>12908</v>
      </c>
      <c r="B12908" s="2" t="str">
        <f>IFERROR(__xludf.DUMMYFUNCTION("GOOGLETRANSLATE(A12908, ""de"", ""en"")"),"characteristic")</f>
        <v>characteristic</v>
      </c>
    </row>
    <row r="12909">
      <c r="A12909" s="1" t="s">
        <v>12909</v>
      </c>
      <c r="B12909" s="2" t="str">
        <f>IFERROR(__xludf.DUMMYFUNCTION("GOOGLETRANSLATE(A12909, ""de"", ""en"")"),"toads")</f>
        <v>toads</v>
      </c>
    </row>
    <row r="12910">
      <c r="A12910" s="1" t="s">
        <v>12910</v>
      </c>
      <c r="B12910" s="2" t="str">
        <f>IFERROR(__xludf.DUMMYFUNCTION("GOOGLETRANSLATE(A12910, ""de"", ""en"")"),"consecrated")</f>
        <v>consecrated</v>
      </c>
    </row>
    <row r="12911">
      <c r="A12911" s="1" t="s">
        <v>12911</v>
      </c>
      <c r="B12911" s="2" t="str">
        <f>IFERROR(__xludf.DUMMYFUNCTION("GOOGLETRANSLATE(A12911, ""de"", ""en"")"),"honeymoon")</f>
        <v>honeymoon</v>
      </c>
    </row>
    <row r="12912">
      <c r="A12912" s="1" t="s">
        <v>12912</v>
      </c>
      <c r="B12912" s="2" t="str">
        <f>IFERROR(__xludf.DUMMYFUNCTION("GOOGLETRANSLATE(A12912, ""de"", ""en"")"),"jace")</f>
        <v>jace</v>
      </c>
    </row>
    <row r="12913">
      <c r="A12913" s="1" t="s">
        <v>12913</v>
      </c>
      <c r="B12913" s="2" t="str">
        <f>IFERROR(__xludf.DUMMYFUNCTION("GOOGLETRANSLATE(A12913, ""de"", ""en"")"),"sayid")</f>
        <v>sayid</v>
      </c>
    </row>
    <row r="12914">
      <c r="A12914" s="1" t="s">
        <v>12914</v>
      </c>
      <c r="B12914" s="2" t="str">
        <f>IFERROR(__xludf.DUMMYFUNCTION("GOOGLETRANSLATE(A12914, ""de"", ""en"")"),"truly")</f>
        <v>truly</v>
      </c>
    </row>
    <row r="12915">
      <c r="A12915" s="1" t="s">
        <v>12915</v>
      </c>
      <c r="B12915" s="2" t="str">
        <f>IFERROR(__xludf.DUMMYFUNCTION("GOOGLETRANSLATE(A12915, ""de"", ""en"")"),"praise")</f>
        <v>praise</v>
      </c>
    </row>
    <row r="12916">
      <c r="A12916" s="1" t="s">
        <v>12916</v>
      </c>
      <c r="B12916" s="2" t="str">
        <f>IFERROR(__xludf.DUMMYFUNCTION("GOOGLETRANSLATE(A12916, ""de"", ""en"")"),"operates")</f>
        <v>operates</v>
      </c>
    </row>
    <row r="12917">
      <c r="A12917" s="1" t="s">
        <v>12917</v>
      </c>
      <c r="B12917" s="2" t="str">
        <f>IFERROR(__xludf.DUMMYFUNCTION("GOOGLETRANSLATE(A12917, ""de"", ""en"")"),"hellish")</f>
        <v>hellish</v>
      </c>
    </row>
    <row r="12918">
      <c r="A12918" s="1" t="s">
        <v>12918</v>
      </c>
      <c r="B12918" s="2" t="str">
        <f>IFERROR(__xludf.DUMMYFUNCTION("GOOGLETRANSLATE(A12918, ""de"", ""en"")"),"hand over")</f>
        <v>hand over</v>
      </c>
    </row>
    <row r="12919">
      <c r="A12919" s="1" t="s">
        <v>12919</v>
      </c>
      <c r="B12919" s="2" t="str">
        <f>IFERROR(__xludf.DUMMYFUNCTION("GOOGLETRANSLATE(A12919, ""de"", ""en"")"),"piggy")</f>
        <v>piggy</v>
      </c>
    </row>
    <row r="12920">
      <c r="A12920" s="1" t="s">
        <v>12920</v>
      </c>
      <c r="B12920" s="2" t="str">
        <f>IFERROR(__xludf.DUMMYFUNCTION("GOOGLETRANSLATE(A12920, ""de"", ""en"")"),"ching")</f>
        <v>ching</v>
      </c>
    </row>
    <row r="12921">
      <c r="A12921" s="1" t="s">
        <v>12921</v>
      </c>
      <c r="B12921" s="2" t="str">
        <f>IFERROR(__xludf.DUMMYFUNCTION("GOOGLETRANSLATE(A12921, ""de"", ""en"")"),"parent")</f>
        <v>parent</v>
      </c>
    </row>
    <row r="12922">
      <c r="A12922" s="1" t="s">
        <v>12922</v>
      </c>
      <c r="B12922" s="2" t="str">
        <f>IFERROR(__xludf.DUMMYFUNCTION("GOOGLETRANSLATE(A12922, ""de"", ""en"")"),"ay")</f>
        <v>ay</v>
      </c>
    </row>
    <row r="12923">
      <c r="A12923" s="1" t="s">
        <v>12923</v>
      </c>
      <c r="B12923" s="2" t="str">
        <f>IFERROR(__xludf.DUMMYFUNCTION("GOOGLETRANSLATE(A12923, ""de"", ""en"")"),"drop")</f>
        <v>drop</v>
      </c>
    </row>
    <row r="12924">
      <c r="A12924" s="1" t="s">
        <v>12924</v>
      </c>
      <c r="B12924" s="2" t="str">
        <f>IFERROR(__xludf.DUMMYFUNCTION("GOOGLETRANSLATE(A12924, ""de"", ""en"")"),"medical")</f>
        <v>medical</v>
      </c>
    </row>
    <row r="12925">
      <c r="A12925" s="1" t="s">
        <v>12925</v>
      </c>
      <c r="B12925" s="2" t="str">
        <f>IFERROR(__xludf.DUMMYFUNCTION("GOOGLETRANSLATE(A12925, ""de"", ""en"")"),"barrow")</f>
        <v>barrow</v>
      </c>
    </row>
    <row r="12926">
      <c r="A12926" s="1" t="s">
        <v>12926</v>
      </c>
      <c r="B12926" s="2" t="str">
        <f>IFERROR(__xludf.DUMMYFUNCTION("GOOGLETRANSLATE(A12926, ""de"", ""en"")"),"swan")</f>
        <v>swan</v>
      </c>
    </row>
    <row r="12927">
      <c r="A12927" s="1" t="s">
        <v>12927</v>
      </c>
      <c r="B12927" s="2" t="str">
        <f>IFERROR(__xludf.DUMMYFUNCTION("GOOGLETRANSLATE(A12927, ""de"", ""en"")"),"scalpel")</f>
        <v>scalpel</v>
      </c>
    </row>
    <row r="12928">
      <c r="A12928" s="1" t="s">
        <v>12928</v>
      </c>
      <c r="B12928" s="2" t="str">
        <f>IFERROR(__xludf.DUMMYFUNCTION("GOOGLETRANSLATE(A12928, ""de"", ""en"")"),"march off")</f>
        <v>march off</v>
      </c>
    </row>
    <row r="12929">
      <c r="A12929" s="1" t="s">
        <v>12929</v>
      </c>
      <c r="B12929" s="2" t="str">
        <f>IFERROR(__xludf.DUMMYFUNCTION("GOOGLETRANSLATE(A12929, ""de"", ""en"")"),"defend")</f>
        <v>defend</v>
      </c>
    </row>
    <row r="12930">
      <c r="A12930" s="1" t="s">
        <v>12930</v>
      </c>
      <c r="B12930" s="2" t="str">
        <f>IFERROR(__xludf.DUMMYFUNCTION("GOOGLETRANSLATE(A12930, ""de"", ""en"")"),"raft")</f>
        <v>raft</v>
      </c>
    </row>
    <row r="12931">
      <c r="A12931" s="1" t="s">
        <v>12931</v>
      </c>
      <c r="B12931" s="2" t="str">
        <f>IFERROR(__xludf.DUMMYFUNCTION("GOOGLETRANSLATE(A12931, ""de"", ""en"")"),"intellectual")</f>
        <v>intellectual</v>
      </c>
    </row>
    <row r="12932">
      <c r="A12932" s="1" t="s">
        <v>12932</v>
      </c>
      <c r="B12932" s="2" t="str">
        <f>IFERROR(__xludf.DUMMYFUNCTION("GOOGLETRANSLATE(A12932, ""de"", ""en"")"),"tour")</f>
        <v>tour</v>
      </c>
    </row>
    <row r="12933">
      <c r="A12933" s="1" t="s">
        <v>12933</v>
      </c>
      <c r="B12933" s="2" t="str">
        <f>IFERROR(__xludf.DUMMYFUNCTION("GOOGLETRANSLATE(A12933, ""de"", ""en"")"),"ignited")</f>
        <v>ignited</v>
      </c>
    </row>
    <row r="12934">
      <c r="A12934" s="1" t="s">
        <v>12934</v>
      </c>
      <c r="B12934" s="2" t="str">
        <f>IFERROR(__xludf.DUMMYFUNCTION("GOOGLETRANSLATE(A12934, ""de"", ""en"")"),"portrait")</f>
        <v>portrait</v>
      </c>
    </row>
    <row r="12935">
      <c r="A12935" s="1" t="s">
        <v>12935</v>
      </c>
      <c r="B12935" s="2" t="str">
        <f>IFERROR(__xludf.DUMMYFUNCTION("GOOGLETRANSLATE(A12935, ""de"", ""en"")"),"yelled at")</f>
        <v>yelled at</v>
      </c>
    </row>
    <row r="12936">
      <c r="A12936" s="1" t="s">
        <v>12936</v>
      </c>
      <c r="B12936" s="2" t="str">
        <f>IFERROR(__xludf.DUMMYFUNCTION("GOOGLETRANSLATE(A12936, ""de"", ""en"")"),"seavers")</f>
        <v>seavers</v>
      </c>
    </row>
    <row r="12937">
      <c r="A12937" s="1" t="s">
        <v>12937</v>
      </c>
      <c r="B12937" s="2" t="str">
        <f>IFERROR(__xludf.DUMMYFUNCTION("GOOGLETRANSLATE(A12937, ""de"", ""en"")"),"cleaner")</f>
        <v>cleaner</v>
      </c>
    </row>
    <row r="12938">
      <c r="A12938" s="1" t="s">
        <v>12938</v>
      </c>
      <c r="B12938" s="2" t="str">
        <f>IFERROR(__xludf.DUMMYFUNCTION("GOOGLETRANSLATE(A12938, ""de"", ""en"")"),"asylum")</f>
        <v>asylum</v>
      </c>
    </row>
    <row r="12939">
      <c r="A12939" s="1" t="s">
        <v>12939</v>
      </c>
      <c r="B12939" s="2" t="str">
        <f>IFERROR(__xludf.DUMMYFUNCTION("GOOGLETRANSLATE(A12939, ""de"", ""en"")"),"despise")</f>
        <v>despise</v>
      </c>
    </row>
    <row r="12940">
      <c r="A12940" s="1" t="s">
        <v>12940</v>
      </c>
      <c r="B12940" s="2" t="str">
        <f>IFERROR(__xludf.DUMMYFUNCTION("GOOGLETRANSLATE(A12940, ""de"", ""en"")"),"matching")</f>
        <v>matching</v>
      </c>
    </row>
    <row r="12941">
      <c r="A12941" s="1" t="s">
        <v>12941</v>
      </c>
      <c r="B12941" s="2" t="str">
        <f>IFERROR(__xludf.DUMMYFUNCTION("GOOGLETRANSLATE(A12941, ""de"", ""en"")"),"that")</f>
        <v>that</v>
      </c>
    </row>
    <row r="12942">
      <c r="A12942" s="1" t="s">
        <v>12942</v>
      </c>
      <c r="B12942" s="2" t="str">
        <f>IFERROR(__xludf.DUMMYFUNCTION("GOOGLETRANSLATE(A12942, ""de"", ""en"")"),"shocking")</f>
        <v>shocking</v>
      </c>
    </row>
    <row r="12943">
      <c r="A12943" s="1" t="s">
        <v>12943</v>
      </c>
      <c r="B12943" s="2" t="str">
        <f>IFERROR(__xludf.DUMMYFUNCTION("GOOGLETRANSLATE(A12943, ""de"", ""en"")"),"eliot")</f>
        <v>eliot</v>
      </c>
    </row>
    <row r="12944">
      <c r="A12944" s="1" t="s">
        <v>12944</v>
      </c>
      <c r="B12944" s="2" t="str">
        <f>IFERROR(__xludf.DUMMYFUNCTION("GOOGLETRANSLATE(A12944, ""de"", ""en"")"),"sudden")</f>
        <v>sudden</v>
      </c>
    </row>
    <row r="12945">
      <c r="A12945" s="1" t="s">
        <v>12945</v>
      </c>
      <c r="B12945" s="2" t="str">
        <f>IFERROR(__xludf.DUMMYFUNCTION("GOOGLETRANSLATE(A12945, ""de"", ""en"")"),"saloon")</f>
        <v>saloon</v>
      </c>
    </row>
    <row r="12946">
      <c r="A12946" s="1" t="s">
        <v>12946</v>
      </c>
      <c r="B12946" s="2" t="str">
        <f>IFERROR(__xludf.DUMMYFUNCTION("GOOGLETRANSLATE(A12946, ""de"", ""en"")"),"exhale")</f>
        <v>exhale</v>
      </c>
    </row>
    <row r="12947">
      <c r="A12947" s="1" t="s">
        <v>12947</v>
      </c>
      <c r="B12947" s="2" t="str">
        <f>IFERROR(__xludf.DUMMYFUNCTION("GOOGLETRANSLATE(A12947, ""de"", ""en"")"),"ops")</f>
        <v>ops</v>
      </c>
    </row>
    <row r="12948">
      <c r="A12948" s="1" t="s">
        <v>12948</v>
      </c>
      <c r="B12948" s="2" t="str">
        <f>IFERROR(__xludf.DUMMYFUNCTION("GOOGLETRANSLATE(A12948, ""de"", ""en"")"),"read out")</f>
        <v>read out</v>
      </c>
    </row>
    <row r="12949">
      <c r="A12949" s="1" t="s">
        <v>12949</v>
      </c>
      <c r="B12949" s="2" t="str">
        <f>IFERROR(__xludf.DUMMYFUNCTION("GOOGLETRANSLATE(A12949, ""de"", ""en"")"),"studio")</f>
        <v>studio</v>
      </c>
    </row>
    <row r="12950">
      <c r="A12950" s="1" t="s">
        <v>12950</v>
      </c>
      <c r="B12950" s="2" t="str">
        <f>IFERROR(__xludf.DUMMYFUNCTION("GOOGLETRANSLATE(A12950, ""de"", ""en"")"),"improve")</f>
        <v>improve</v>
      </c>
    </row>
    <row r="12951">
      <c r="A12951" s="1" t="s">
        <v>12951</v>
      </c>
      <c r="B12951" s="2" t="str">
        <f>IFERROR(__xludf.DUMMYFUNCTION("GOOGLETRANSLATE(A12951, ""de"", ""en"")"),"yuki")</f>
        <v>yuki</v>
      </c>
    </row>
    <row r="12952">
      <c r="A12952" s="1" t="s">
        <v>12952</v>
      </c>
      <c r="B12952" s="2" t="str">
        <f>IFERROR(__xludf.DUMMYFUNCTION("GOOGLETRANSLATE(A12952, ""de"", ""en"")"),"rafael")</f>
        <v>rafael</v>
      </c>
    </row>
    <row r="12953">
      <c r="A12953" s="1" t="s">
        <v>12953</v>
      </c>
      <c r="B12953" s="2" t="str">
        <f>IFERROR(__xludf.DUMMYFUNCTION("GOOGLETRANSLATE(A12953, ""de"", ""en"")"),"tyson")</f>
        <v>tyson</v>
      </c>
    </row>
    <row r="12954">
      <c r="A12954" s="1" t="s">
        <v>12954</v>
      </c>
      <c r="B12954" s="2" t="str">
        <f>IFERROR(__xludf.DUMMYFUNCTION("GOOGLETRANSLATE(A12954, ""de"", ""en"")"),"league")</f>
        <v>league</v>
      </c>
    </row>
    <row r="12955">
      <c r="A12955" s="1" t="s">
        <v>12955</v>
      </c>
      <c r="B12955" s="2" t="str">
        <f>IFERROR(__xludf.DUMMYFUNCTION("GOOGLETRANSLATE(A12955, ""de"", ""en"")"),"spit")</f>
        <v>spit</v>
      </c>
    </row>
    <row r="12956">
      <c r="A12956" s="1" t="s">
        <v>12956</v>
      </c>
      <c r="B12956" s="2" t="str">
        <f>IFERROR(__xludf.DUMMYFUNCTION("GOOGLETRANSLATE(A12956, ""de"", ""en"")"),"seymour")</f>
        <v>seymour</v>
      </c>
    </row>
    <row r="12957">
      <c r="A12957" s="1" t="s">
        <v>12957</v>
      </c>
      <c r="B12957" s="2" t="str">
        <f>IFERROR(__xludf.DUMMYFUNCTION("GOOGLETRANSLATE(A12957, ""de"", ""en"")"),"incredible")</f>
        <v>incredible</v>
      </c>
    </row>
    <row r="12958">
      <c r="A12958" s="1" t="s">
        <v>12958</v>
      </c>
      <c r="B12958" s="2" t="str">
        <f>IFERROR(__xludf.DUMMYFUNCTION("GOOGLETRANSLATE(A12958, ""de"", ""en"")"),"penguin")</f>
        <v>penguin</v>
      </c>
    </row>
    <row r="12959">
      <c r="A12959" s="1" t="s">
        <v>12959</v>
      </c>
      <c r="B12959" s="2" t="str">
        <f>IFERROR(__xludf.DUMMYFUNCTION("GOOGLETRANSLATE(A12959, ""de"", ""en"")"),"lords")</f>
        <v>lords</v>
      </c>
    </row>
    <row r="12960">
      <c r="A12960" s="1" t="s">
        <v>12960</v>
      </c>
      <c r="B12960" s="2" t="str">
        <f>IFERROR(__xludf.DUMMYFUNCTION("GOOGLETRANSLATE(A12960, ""de"", ""en"")"),"festival")</f>
        <v>festival</v>
      </c>
    </row>
    <row r="12961">
      <c r="A12961" s="1" t="s">
        <v>12961</v>
      </c>
      <c r="B12961" s="2" t="str">
        <f>IFERROR(__xludf.DUMMYFUNCTION("GOOGLETRANSLATE(A12961, ""de"", ""en"")"),"notary")</f>
        <v>notary</v>
      </c>
    </row>
    <row r="12962">
      <c r="A12962" s="1" t="s">
        <v>12962</v>
      </c>
      <c r="B12962" s="2" t="str">
        <f>IFERROR(__xludf.DUMMYFUNCTION("GOOGLETRANSLATE(A12962, ""de"", ""en"")"),"dying")</f>
        <v>dying</v>
      </c>
    </row>
    <row r="12963">
      <c r="A12963" s="1" t="s">
        <v>12963</v>
      </c>
      <c r="B12963" s="2" t="str">
        <f>IFERROR(__xludf.DUMMYFUNCTION("GOOGLETRANSLATE(A12963, ""de"", ""en"")"),"feel")</f>
        <v>feel</v>
      </c>
    </row>
    <row r="12964">
      <c r="A12964" s="1" t="s">
        <v>12964</v>
      </c>
      <c r="B12964" s="2" t="str">
        <f>IFERROR(__xludf.DUMMYFUNCTION("GOOGLETRANSLATE(A12964, ""de"", ""en"")"),"see through")</f>
        <v>see through</v>
      </c>
    </row>
    <row r="12965">
      <c r="A12965" s="1" t="s">
        <v>12965</v>
      </c>
      <c r="B12965" s="2" t="str">
        <f>IFERROR(__xludf.DUMMYFUNCTION("GOOGLETRANSLATE(A12965, ""de"", ""en"")"),"cheeseburgers")</f>
        <v>cheeseburgers</v>
      </c>
    </row>
    <row r="12966">
      <c r="A12966" s="1" t="s">
        <v>12966</v>
      </c>
      <c r="B12966" s="2" t="str">
        <f>IFERROR(__xludf.DUMMYFUNCTION("GOOGLETRANSLATE(A12966, ""de"", ""en"")"),"wimp")</f>
        <v>wimp</v>
      </c>
    </row>
    <row r="12967">
      <c r="A12967" s="1" t="s">
        <v>12967</v>
      </c>
      <c r="B12967" s="2" t="str">
        <f>IFERROR(__xludf.DUMMYFUNCTION("GOOGLETRANSLATE(A12967, ""de"", ""en"")"),"lapd")</f>
        <v>lapd</v>
      </c>
    </row>
    <row r="12968">
      <c r="A12968" s="1" t="s">
        <v>12968</v>
      </c>
      <c r="B12968" s="2" t="str">
        <f>IFERROR(__xludf.DUMMYFUNCTION("GOOGLETRANSLATE(A12968, ""de"", ""en"")"),"did")</f>
        <v>did</v>
      </c>
    </row>
    <row r="12969">
      <c r="A12969" s="1" t="s">
        <v>12969</v>
      </c>
      <c r="B12969" s="2" t="str">
        <f>IFERROR(__xludf.DUMMYFUNCTION("GOOGLETRANSLATE(A12969, ""de"", ""en"")"),"stockings")</f>
        <v>stockings</v>
      </c>
    </row>
    <row r="12970">
      <c r="A12970" s="1" t="s">
        <v>12970</v>
      </c>
      <c r="B12970" s="2" t="str">
        <f>IFERROR(__xludf.DUMMYFUNCTION("GOOGLETRANSLATE(A12970, ""de"", ""en"")"),"etc.")</f>
        <v>etc.</v>
      </c>
    </row>
    <row r="12971">
      <c r="A12971" s="1" t="s">
        <v>12971</v>
      </c>
      <c r="B12971" s="2" t="str">
        <f>IFERROR(__xludf.DUMMYFUNCTION("GOOGLETRANSLATE(A12971, ""de"", ""en"")"),"holden")</f>
        <v>holden</v>
      </c>
    </row>
    <row r="12972">
      <c r="A12972" s="1" t="s">
        <v>12972</v>
      </c>
      <c r="B12972" s="2" t="str">
        <f>IFERROR(__xludf.DUMMYFUNCTION("GOOGLETRANSLATE(A12972, ""de"", ""en"")"),"cookies")</f>
        <v>cookies</v>
      </c>
    </row>
    <row r="12973">
      <c r="A12973" s="1" t="s">
        <v>12973</v>
      </c>
      <c r="B12973" s="2" t="str">
        <f>IFERROR(__xludf.DUMMYFUNCTION("GOOGLETRANSLATE(A12973, ""de"", ""en"")"),"herbs")</f>
        <v>herbs</v>
      </c>
    </row>
    <row r="12974">
      <c r="A12974" s="1" t="s">
        <v>12974</v>
      </c>
      <c r="B12974" s="2" t="str">
        <f>IFERROR(__xludf.DUMMYFUNCTION("GOOGLETRANSLATE(A12974, ""de"", ""en"")"),"goodbye")</f>
        <v>goodbye</v>
      </c>
    </row>
    <row r="12975">
      <c r="A12975" s="1" t="s">
        <v>12975</v>
      </c>
      <c r="B12975" s="2" t="str">
        <f>IFERROR(__xludf.DUMMYFUNCTION("GOOGLETRANSLATE(A12975, ""de"", ""en"")"),"small town")</f>
        <v>small town</v>
      </c>
    </row>
    <row r="12976">
      <c r="A12976" s="1" t="s">
        <v>12976</v>
      </c>
      <c r="B12976" s="2" t="str">
        <f>IFERROR(__xludf.DUMMYFUNCTION("GOOGLETRANSLATE(A12976, ""de"", ""en"")"),"mark")</f>
        <v>mark</v>
      </c>
    </row>
    <row r="12977">
      <c r="A12977" s="1" t="s">
        <v>12977</v>
      </c>
      <c r="B12977" s="2" t="str">
        <f>IFERROR(__xludf.DUMMYFUNCTION("GOOGLETRANSLATE(A12977, ""de"", ""en"")"),"sd-6")</f>
        <v>sd-6</v>
      </c>
    </row>
    <row r="12978">
      <c r="A12978" s="1" t="s">
        <v>12978</v>
      </c>
      <c r="B12978" s="2" t="str">
        <f>IFERROR(__xludf.DUMMYFUNCTION("GOOGLETRANSLATE(A12978, ""de"", ""en"")"),"Ministry of Justice")</f>
        <v>Ministry of Justice</v>
      </c>
    </row>
    <row r="12979">
      <c r="A12979" s="1" t="s">
        <v>12979</v>
      </c>
      <c r="B12979" s="2" t="str">
        <f>IFERROR(__xludf.DUMMYFUNCTION("GOOGLETRANSLATE(A12979, ""de"", ""en"")"),"hidden")</f>
        <v>hidden</v>
      </c>
    </row>
    <row r="12980">
      <c r="A12980" s="1" t="s">
        <v>12980</v>
      </c>
      <c r="B12980" s="2" t="str">
        <f>IFERROR(__xludf.DUMMYFUNCTION("GOOGLETRANSLATE(A12980, ""de"", ""en"")"),"Harold")</f>
        <v>Harold</v>
      </c>
    </row>
    <row r="12981">
      <c r="A12981" s="1" t="s">
        <v>12981</v>
      </c>
      <c r="B12981" s="2" t="str">
        <f>IFERROR(__xludf.DUMMYFUNCTION("GOOGLETRANSLATE(A12981, ""de"", ""en"")"),"revealed")</f>
        <v>revealed</v>
      </c>
    </row>
    <row r="12982">
      <c r="A12982" s="1" t="s">
        <v>12982</v>
      </c>
      <c r="B12982" s="2" t="str">
        <f>IFERROR(__xludf.DUMMYFUNCTION("GOOGLETRANSLATE(A12982, ""de"", ""en"")"),"severance pay")</f>
        <v>severance pay</v>
      </c>
    </row>
    <row r="12983">
      <c r="A12983" s="1" t="s">
        <v>12983</v>
      </c>
      <c r="B12983" s="2" t="str">
        <f>IFERROR(__xludf.DUMMYFUNCTION("GOOGLETRANSLATE(A12983, ""de"", ""en"")"),"whirring")</f>
        <v>whirring</v>
      </c>
    </row>
    <row r="12984">
      <c r="A12984" s="1" t="s">
        <v>12984</v>
      </c>
      <c r="B12984" s="2" t="str">
        <f>IFERROR(__xludf.DUMMYFUNCTION("GOOGLETRANSLATE(A12984, ""de"", ""en"")"),"housework")</f>
        <v>housework</v>
      </c>
    </row>
    <row r="12985">
      <c r="A12985" s="1" t="s">
        <v>12985</v>
      </c>
      <c r="B12985" s="2" t="str">
        <f>IFERROR(__xludf.DUMMYFUNCTION("GOOGLETRANSLATE(A12985, ""de"", ""en"")"),"was")</f>
        <v>was</v>
      </c>
    </row>
    <row r="12986">
      <c r="A12986" s="1" t="s">
        <v>12986</v>
      </c>
      <c r="B12986" s="2" t="str">
        <f>IFERROR(__xludf.DUMMYFUNCTION("GOOGLETRANSLATE(A12986, ""de"", ""en"")"),"cocktails")</f>
        <v>cocktails</v>
      </c>
    </row>
    <row r="12987">
      <c r="A12987" s="1" t="s">
        <v>12987</v>
      </c>
      <c r="B12987" s="2" t="str">
        <f>IFERROR(__xludf.DUMMYFUNCTION("GOOGLETRANSLATE(A12987, ""de"", ""en"")"),"nervous breakdown")</f>
        <v>nervous breakdown</v>
      </c>
    </row>
    <row r="12988">
      <c r="A12988" s="1" t="s">
        <v>12988</v>
      </c>
      <c r="B12988" s="2" t="str">
        <f>IFERROR(__xludf.DUMMYFUNCTION("GOOGLETRANSLATE(A12988, ""de"", ""en"")"),"forty")</f>
        <v>forty</v>
      </c>
    </row>
    <row r="12989">
      <c r="A12989" s="1" t="s">
        <v>12989</v>
      </c>
      <c r="B12989" s="2" t="str">
        <f>IFERROR(__xludf.DUMMYFUNCTION("GOOGLETRANSLATE(A12989, ""de"", ""en"")"),"bathroom sink")</f>
        <v>bathroom sink</v>
      </c>
    </row>
    <row r="12990">
      <c r="A12990" s="1" t="s">
        <v>12990</v>
      </c>
      <c r="B12990" s="2" t="str">
        <f>IFERROR(__xludf.DUMMYFUNCTION("GOOGLETRANSLATE(A12990, ""de"", ""en"")"),"stupidest")</f>
        <v>stupidest</v>
      </c>
    </row>
    <row r="12991">
      <c r="A12991" s="1" t="s">
        <v>12991</v>
      </c>
      <c r="B12991" s="2" t="str">
        <f>IFERROR(__xludf.DUMMYFUNCTION("GOOGLETRANSLATE(A12991, ""de"", ""en"")"),"offside")</f>
        <v>offside</v>
      </c>
    </row>
    <row r="12992">
      <c r="A12992" s="1" t="s">
        <v>12992</v>
      </c>
      <c r="B12992" s="2" t="str">
        <f>IFERROR(__xludf.DUMMYFUNCTION("GOOGLETRANSLATE(A12992, ""de"", ""en"")"),"francesca")</f>
        <v>francesca</v>
      </c>
    </row>
    <row r="12993">
      <c r="A12993" s="1" t="s">
        <v>12993</v>
      </c>
      <c r="B12993" s="2" t="str">
        <f>IFERROR(__xludf.DUMMYFUNCTION("GOOGLETRANSLATE(A12993, ""de"", ""en"")"),"scenario")</f>
        <v>scenario</v>
      </c>
    </row>
    <row r="12994">
      <c r="A12994" s="1" t="s">
        <v>12994</v>
      </c>
      <c r="B12994" s="2" t="str">
        <f>IFERROR(__xludf.DUMMYFUNCTION("GOOGLETRANSLATE(A12994, ""de"", ""en"")"),"rip")</f>
        <v>rip</v>
      </c>
    </row>
    <row r="12995">
      <c r="A12995" s="1" t="s">
        <v>12995</v>
      </c>
      <c r="B12995" s="2" t="str">
        <f>IFERROR(__xludf.DUMMYFUNCTION("GOOGLETRANSLATE(A12995, ""de"", ""en"")"),"vintage")</f>
        <v>vintage</v>
      </c>
    </row>
    <row r="12996">
      <c r="A12996" s="1" t="s">
        <v>12996</v>
      </c>
      <c r="B12996" s="2" t="str">
        <f>IFERROR(__xludf.DUMMYFUNCTION("GOOGLETRANSLATE(A12996, ""de"", ""en"")"),"hood")</f>
        <v>hood</v>
      </c>
    </row>
    <row r="12997">
      <c r="A12997" s="1" t="s">
        <v>12997</v>
      </c>
      <c r="B12997" s="2" t="str">
        <f>IFERROR(__xludf.DUMMYFUNCTION("GOOGLETRANSLATE(A12997, ""de"", ""en"")"),"Claus")</f>
        <v>Claus</v>
      </c>
    </row>
    <row r="12998">
      <c r="A12998" s="1" t="s">
        <v>12998</v>
      </c>
      <c r="B12998" s="2" t="str">
        <f>IFERROR(__xludf.DUMMYFUNCTION("GOOGLETRANSLATE(A12998, ""de"", ""en"")"),"buckle up")</f>
        <v>buckle up</v>
      </c>
    </row>
    <row r="12999">
      <c r="A12999" s="1" t="s">
        <v>12999</v>
      </c>
      <c r="B12999" s="2" t="str">
        <f>IFERROR(__xludf.DUMMYFUNCTION("GOOGLETRANSLATE(A12999, ""de"", ""en"")"),"flute")</f>
        <v>flute</v>
      </c>
    </row>
    <row r="13000">
      <c r="A13000" s="1" t="s">
        <v>13000</v>
      </c>
      <c r="B13000" s="2" t="str">
        <f>IFERROR(__xludf.DUMMYFUNCTION("GOOGLETRANSLATE(A13000, ""de"", ""en"")"),"disturb")</f>
        <v>disturb</v>
      </c>
    </row>
    <row r="13001">
      <c r="A13001" s="1" t="s">
        <v>13001</v>
      </c>
      <c r="B13001" s="2" t="str">
        <f>IFERROR(__xludf.DUMMYFUNCTION("GOOGLETRANSLATE(A13001, ""de"", ""en"")"),"pieces")</f>
        <v>pieces</v>
      </c>
    </row>
    <row r="13002">
      <c r="A13002" s="1" t="s">
        <v>13002</v>
      </c>
      <c r="B13002" s="2" t="str">
        <f>IFERROR(__xludf.DUMMYFUNCTION("GOOGLETRANSLATE(A13002, ""de"", ""en"")"),"room")</f>
        <v>room</v>
      </c>
    </row>
    <row r="13003">
      <c r="A13003" s="1" t="s">
        <v>13003</v>
      </c>
      <c r="B13003" s="2" t="str">
        <f>IFERROR(__xludf.DUMMYFUNCTION("GOOGLETRANSLATE(A13003, ""de"", ""en"")"),"pursue")</f>
        <v>pursue</v>
      </c>
    </row>
    <row r="13004">
      <c r="A13004" s="1" t="s">
        <v>13004</v>
      </c>
      <c r="B13004" s="2" t="str">
        <f>IFERROR(__xludf.DUMMYFUNCTION("GOOGLETRANSLATE(A13004, ""de"", ""en"")"),"Russian")</f>
        <v>Russian</v>
      </c>
    </row>
    <row r="13005">
      <c r="A13005" s="1" t="s">
        <v>13005</v>
      </c>
      <c r="B13005" s="2" t="str">
        <f>IFERROR(__xludf.DUMMYFUNCTION("GOOGLETRANSLATE(A13005, ""de"", ""en"")"),"lambert")</f>
        <v>lambert</v>
      </c>
    </row>
    <row r="13006">
      <c r="A13006" s="1" t="s">
        <v>13006</v>
      </c>
      <c r="B13006" s="2" t="str">
        <f>IFERROR(__xludf.DUMMYFUNCTION("GOOGLETRANSLATE(A13006, ""de"", ""en"")"),"use")</f>
        <v>use</v>
      </c>
    </row>
    <row r="13007">
      <c r="A13007" s="1" t="s">
        <v>13007</v>
      </c>
      <c r="B13007" s="2" t="str">
        <f>IFERROR(__xludf.DUMMYFUNCTION("GOOGLETRANSLATE(A13007, ""de"", ""en"")"),"jeb")</f>
        <v>jeb</v>
      </c>
    </row>
    <row r="13008">
      <c r="A13008" s="1" t="s">
        <v>13008</v>
      </c>
      <c r="B13008" s="2" t="str">
        <f>IFERROR(__xludf.DUMMYFUNCTION("GOOGLETRANSLATE(A13008, ""de"", ""en"")"),"escort")</f>
        <v>escort</v>
      </c>
    </row>
    <row r="13009">
      <c r="A13009" s="1" t="s">
        <v>13009</v>
      </c>
      <c r="B13009" s="2" t="str">
        <f>IFERROR(__xludf.DUMMYFUNCTION("GOOGLETRANSLATE(A13009, ""de"", ""en"")"),"miss")</f>
        <v>miss</v>
      </c>
    </row>
    <row r="13010">
      <c r="A13010" s="1" t="s">
        <v>13010</v>
      </c>
      <c r="B13010" s="2" t="str">
        <f>IFERROR(__xludf.DUMMYFUNCTION("GOOGLETRANSLATE(A13010, ""de"", ""en"")"),"fucked")</f>
        <v>fucked</v>
      </c>
    </row>
    <row r="13011">
      <c r="A13011" s="1" t="s">
        <v>13011</v>
      </c>
      <c r="B13011" s="2" t="str">
        <f>IFERROR(__xludf.DUMMYFUNCTION("GOOGLETRANSLATE(A13011, ""de"", ""en"")"),"fairies")</f>
        <v>fairies</v>
      </c>
    </row>
    <row r="13012">
      <c r="A13012" s="1" t="s">
        <v>13012</v>
      </c>
      <c r="B13012" s="2" t="str">
        <f>IFERROR(__xludf.DUMMYFUNCTION("GOOGLETRANSLATE(A13012, ""de"", ""en"")"),"Solomon")</f>
        <v>Solomon</v>
      </c>
    </row>
    <row r="13013">
      <c r="A13013" s="1" t="s">
        <v>13013</v>
      </c>
      <c r="B13013" s="2" t="str">
        <f>IFERROR(__xludf.DUMMYFUNCTION("GOOGLETRANSLATE(A13013, ""de"", ""en"")"),"silly ones")</f>
        <v>silly ones</v>
      </c>
    </row>
    <row r="13014">
      <c r="A13014" s="1" t="s">
        <v>13014</v>
      </c>
      <c r="B13014" s="2" t="str">
        <f>IFERROR(__xludf.DUMMYFUNCTION("GOOGLETRANSLATE(A13014, ""de"", ""en"")"),"nipple")</f>
        <v>nipple</v>
      </c>
    </row>
    <row r="13015">
      <c r="A13015" s="1" t="s">
        <v>13015</v>
      </c>
      <c r="B13015" s="2" t="str">
        <f>IFERROR(__xludf.DUMMYFUNCTION("GOOGLETRANSLATE(A13015, ""de"", ""en"")"),"beam")</f>
        <v>beam</v>
      </c>
    </row>
    <row r="13016">
      <c r="A13016" s="1" t="s">
        <v>13016</v>
      </c>
      <c r="B13016" s="2" t="str">
        <f>IFERROR(__xludf.DUMMYFUNCTION("GOOGLETRANSLATE(A13016, ""de"", ""en"")"),"cheerleaders")</f>
        <v>cheerleaders</v>
      </c>
    </row>
    <row r="13017">
      <c r="A13017" s="1" t="s">
        <v>13017</v>
      </c>
      <c r="B13017" s="2" t="str">
        <f>IFERROR(__xludf.DUMMYFUNCTION("GOOGLETRANSLATE(A13017, ""de"", ""en"")"),"pc")</f>
        <v>pc</v>
      </c>
    </row>
    <row r="13018">
      <c r="A13018" s="1" t="s">
        <v>13018</v>
      </c>
      <c r="B13018" s="2" t="str">
        <f>IFERROR(__xludf.DUMMYFUNCTION("GOOGLETRANSLATE(A13018, ""de"", ""en"")"),"stay tuned")</f>
        <v>stay tuned</v>
      </c>
    </row>
    <row r="13019">
      <c r="A13019" s="1" t="s">
        <v>13019</v>
      </c>
      <c r="B13019" s="2" t="str">
        <f>IFERROR(__xludf.DUMMYFUNCTION("GOOGLETRANSLATE(A13019, ""de"", ""en"")"),"field")</f>
        <v>field</v>
      </c>
    </row>
    <row r="13020">
      <c r="A13020" s="1" t="s">
        <v>13020</v>
      </c>
      <c r="B13020" s="2" t="str">
        <f>IFERROR(__xludf.DUMMYFUNCTION("GOOGLETRANSLATE(A13020, ""de"", ""en"")"),"medical")</f>
        <v>medical</v>
      </c>
    </row>
    <row r="13021">
      <c r="A13021" s="1" t="s">
        <v>13021</v>
      </c>
      <c r="B13021" s="2" t="str">
        <f>IFERROR(__xludf.DUMMYFUNCTION("GOOGLETRANSLATE(A13021, ""de"", ""en"")"),"pull together")</f>
        <v>pull together</v>
      </c>
    </row>
    <row r="13022">
      <c r="A13022" s="1" t="s">
        <v>13022</v>
      </c>
      <c r="B13022" s="2" t="str">
        <f>IFERROR(__xludf.DUMMYFUNCTION("GOOGLETRANSLATE(A13022, ""de"", ""en"")"),"crazy")</f>
        <v>crazy</v>
      </c>
    </row>
    <row r="13023">
      <c r="A13023" s="1" t="s">
        <v>13023</v>
      </c>
      <c r="B13023" s="2" t="str">
        <f>IFERROR(__xludf.DUMMYFUNCTION("GOOGLETRANSLATE(A13023, ""de"", ""en"")"),"tact")</f>
        <v>tact</v>
      </c>
    </row>
    <row r="13024">
      <c r="A13024" s="1" t="s">
        <v>13024</v>
      </c>
      <c r="B13024" s="2" t="str">
        <f>IFERROR(__xludf.DUMMYFUNCTION("GOOGLETRANSLATE(A13024, ""de"", ""en"")"),"accomplish")</f>
        <v>accomplish</v>
      </c>
    </row>
    <row r="13025">
      <c r="A13025" s="1" t="s">
        <v>13025</v>
      </c>
      <c r="B13025" s="2" t="str">
        <f>IFERROR(__xludf.DUMMYFUNCTION("GOOGLETRANSLATE(A13025, ""de"", ""en"")"),"menu")</f>
        <v>menu</v>
      </c>
    </row>
    <row r="13026">
      <c r="A13026" s="1" t="s">
        <v>13026</v>
      </c>
      <c r="B13026" s="2" t="str">
        <f>IFERROR(__xludf.DUMMYFUNCTION("GOOGLETRANSLATE(A13026, ""de"", ""en"")"),"reparation")</f>
        <v>reparation</v>
      </c>
    </row>
    <row r="13027">
      <c r="A13027" s="1" t="s">
        <v>13027</v>
      </c>
      <c r="B13027" s="2" t="str">
        <f>IFERROR(__xludf.DUMMYFUNCTION("GOOGLETRANSLATE(A13027, ""de"", ""en"")"),"pasta")</f>
        <v>pasta</v>
      </c>
    </row>
    <row r="13028">
      <c r="A13028" s="1" t="s">
        <v>13028</v>
      </c>
      <c r="B13028" s="2" t="str">
        <f>IFERROR(__xludf.DUMMYFUNCTION("GOOGLETRANSLATE(A13028, ""de"", ""en"")"),"worse")</f>
        <v>worse</v>
      </c>
    </row>
    <row r="13029">
      <c r="A13029" s="1" t="s">
        <v>13029</v>
      </c>
      <c r="B13029" s="2" t="str">
        <f>IFERROR(__xludf.DUMMYFUNCTION("GOOGLETRANSLATE(A13029, ""de"", ""en"")"),"edna")</f>
        <v>edna</v>
      </c>
    </row>
    <row r="13030">
      <c r="A13030" s="1" t="s">
        <v>13030</v>
      </c>
      <c r="B13030" s="2" t="str">
        <f>IFERROR(__xludf.DUMMYFUNCTION("GOOGLETRANSLATE(A13030, ""de"", ""en"")"),"Reyes")</f>
        <v>Reyes</v>
      </c>
    </row>
    <row r="13031">
      <c r="A13031" s="1" t="s">
        <v>13031</v>
      </c>
      <c r="B13031" s="2" t="str">
        <f>IFERROR(__xludf.DUMMYFUNCTION("GOOGLETRANSLATE(A13031, ""de"", ""en"")"),"the other way around")</f>
        <v>the other way around</v>
      </c>
    </row>
    <row r="13032">
      <c r="A13032" s="1" t="s">
        <v>13032</v>
      </c>
      <c r="B13032" s="2" t="str">
        <f>IFERROR(__xludf.DUMMYFUNCTION("GOOGLETRANSLATE(A13032, ""de"", ""en"")"),"freeze")</f>
        <v>freeze</v>
      </c>
    </row>
    <row r="13033">
      <c r="A13033" s="1" t="s">
        <v>13033</v>
      </c>
      <c r="B13033" s="2" t="str">
        <f>IFERROR(__xludf.DUMMYFUNCTION("GOOGLETRANSLATE(A13033, ""de"", ""en"")"),"uninjured")</f>
        <v>uninjured</v>
      </c>
    </row>
    <row r="13034">
      <c r="A13034" s="1" t="s">
        <v>13034</v>
      </c>
      <c r="B13034" s="2" t="str">
        <f>IFERROR(__xludf.DUMMYFUNCTION("GOOGLETRANSLATE(A13034, ""de"", ""en"")"),"boring ones")</f>
        <v>boring ones</v>
      </c>
    </row>
    <row r="13035">
      <c r="A13035" s="1" t="s">
        <v>13035</v>
      </c>
      <c r="B13035" s="2" t="str">
        <f>IFERROR(__xludf.DUMMYFUNCTION("GOOGLETRANSLATE(A13035, ""de"", ""en"")"),"drive")</f>
        <v>drive</v>
      </c>
    </row>
    <row r="13036">
      <c r="A13036" s="1" t="s">
        <v>13036</v>
      </c>
      <c r="B13036" s="2" t="str">
        <f>IFERROR(__xludf.DUMMYFUNCTION("GOOGLETRANSLATE(A13036, ""de"", ""en"")"),"to permit")</f>
        <v>to permit</v>
      </c>
    </row>
    <row r="13037">
      <c r="A13037" s="1" t="s">
        <v>13037</v>
      </c>
      <c r="B13037" s="2" t="str">
        <f>IFERROR(__xludf.DUMMYFUNCTION("GOOGLETRANSLATE(A13037, ""de"", ""en"")"),"clever")</f>
        <v>clever</v>
      </c>
    </row>
    <row r="13038">
      <c r="A13038" s="1" t="s">
        <v>13038</v>
      </c>
      <c r="B13038" s="2" t="str">
        <f>IFERROR(__xludf.DUMMYFUNCTION("GOOGLETRANSLATE(A13038, ""de"", ""en"")"),"mother's")</f>
        <v>mother's</v>
      </c>
    </row>
    <row r="13039">
      <c r="A13039" s="1" t="s">
        <v>13039</v>
      </c>
      <c r="B13039" s="2" t="str">
        <f>IFERROR(__xludf.DUMMYFUNCTION("GOOGLETRANSLATE(A13039, ""de"", ""en"")"),"barton")</f>
        <v>barton</v>
      </c>
    </row>
    <row r="13040">
      <c r="A13040" s="1" t="s">
        <v>13040</v>
      </c>
      <c r="B13040" s="2" t="str">
        <f>IFERROR(__xludf.DUMMYFUNCTION("GOOGLETRANSLATE(A13040, ""de"", ""en"")"),"melts")</f>
        <v>melts</v>
      </c>
    </row>
    <row r="13041">
      <c r="A13041" s="1" t="s">
        <v>13041</v>
      </c>
      <c r="B13041" s="2" t="str">
        <f>IFERROR(__xludf.DUMMYFUNCTION("GOOGLETRANSLATE(A13041, ""de"", ""en"")"),"pissed off")</f>
        <v>pissed off</v>
      </c>
    </row>
    <row r="13042">
      <c r="A13042" s="1" t="s">
        <v>13042</v>
      </c>
      <c r="B13042" s="2" t="str">
        <f>IFERROR(__xludf.DUMMYFUNCTION("GOOGLETRANSLATE(A13042, ""de"", ""en"")"),"little sister")</f>
        <v>little sister</v>
      </c>
    </row>
    <row r="13043">
      <c r="A13043" s="1" t="s">
        <v>13043</v>
      </c>
      <c r="B13043" s="2" t="str">
        <f>IFERROR(__xludf.DUMMYFUNCTION("GOOGLETRANSLATE(A13043, ""de"", ""en"")"),"psychological")</f>
        <v>psychological</v>
      </c>
    </row>
    <row r="13044">
      <c r="A13044" s="1" t="s">
        <v>13044</v>
      </c>
      <c r="B13044" s="2" t="str">
        <f>IFERROR(__xludf.DUMMYFUNCTION("GOOGLETRANSLATE(A13044, ""de"", ""en"")"),"found")</f>
        <v>found</v>
      </c>
    </row>
    <row r="13045">
      <c r="A13045" s="1" t="s">
        <v>13045</v>
      </c>
      <c r="B13045" s="2" t="str">
        <f>IFERROR(__xludf.DUMMYFUNCTION("GOOGLETRANSLATE(A13045, ""de"", ""en"")"),"Clare")</f>
        <v>Clare</v>
      </c>
    </row>
    <row r="13046">
      <c r="A13046" s="1" t="s">
        <v>13046</v>
      </c>
      <c r="B13046" s="2" t="str">
        <f>IFERROR(__xludf.DUMMYFUNCTION("GOOGLETRANSLATE(A13046, ""de"", ""en"")"),"tends")</f>
        <v>tends</v>
      </c>
    </row>
    <row r="13047">
      <c r="A13047" s="1" t="s">
        <v>13047</v>
      </c>
      <c r="B13047" s="2" t="str">
        <f>IFERROR(__xludf.DUMMYFUNCTION("GOOGLETRANSLATE(A13047, ""de"", ""en"")"),"midwife")</f>
        <v>midwife</v>
      </c>
    </row>
    <row r="13048">
      <c r="A13048" s="1" t="s">
        <v>13048</v>
      </c>
      <c r="B13048" s="2" t="str">
        <f>IFERROR(__xludf.DUMMYFUNCTION("GOOGLETRANSLATE(A13048, ""de"", ""en"")"),"Ministry of Defense")</f>
        <v>Ministry of Defense</v>
      </c>
    </row>
    <row r="13049">
      <c r="A13049" s="1" t="s">
        <v>13049</v>
      </c>
      <c r="B13049" s="2" t="str">
        <f>IFERROR(__xludf.DUMMYFUNCTION("GOOGLETRANSLATE(A13049, ""de"", ""en"")"),"dew")</f>
        <v>dew</v>
      </c>
    </row>
    <row r="13050">
      <c r="A13050" s="1" t="s">
        <v>13050</v>
      </c>
      <c r="B13050" s="2" t="str">
        <f>IFERROR(__xludf.DUMMYFUNCTION("GOOGLETRANSLATE(A13050, ""de"", ""en"")"),"black market")</f>
        <v>black market</v>
      </c>
    </row>
    <row r="13051">
      <c r="A13051" s="1" t="s">
        <v>13051</v>
      </c>
      <c r="B13051" s="2" t="str">
        <f>IFERROR(__xludf.DUMMYFUNCTION("GOOGLETRANSLATE(A13051, ""de"", ""en"")"),"completed")</f>
        <v>completed</v>
      </c>
    </row>
    <row r="13052">
      <c r="A13052" s="1" t="s">
        <v>13052</v>
      </c>
      <c r="B13052" s="2" t="str">
        <f>IFERROR(__xludf.DUMMYFUNCTION("GOOGLETRANSLATE(A13052, ""de"", ""en"")"),"endured")</f>
        <v>endured</v>
      </c>
    </row>
    <row r="13053">
      <c r="A13053" s="1" t="s">
        <v>13053</v>
      </c>
      <c r="B13053" s="2" t="str">
        <f>IFERROR(__xludf.DUMMYFUNCTION("GOOGLETRANSLATE(A13053, ""de"", ""en"")"),"battery")</f>
        <v>battery</v>
      </c>
    </row>
    <row r="13054">
      <c r="A13054" s="1" t="s">
        <v>13054</v>
      </c>
      <c r="B13054" s="2" t="str">
        <f>IFERROR(__xludf.DUMMYFUNCTION("GOOGLETRANSLATE(A13054, ""de"", ""en"")"),"in the")</f>
        <v>in the</v>
      </c>
    </row>
    <row r="13055">
      <c r="A13055" s="1" t="s">
        <v>13055</v>
      </c>
      <c r="B13055" s="2" t="str">
        <f>IFERROR(__xludf.DUMMYFUNCTION("GOOGLETRANSLATE(A13055, ""de"", ""en"")"),"ridiculous")</f>
        <v>ridiculous</v>
      </c>
    </row>
    <row r="13056">
      <c r="A13056" s="1" t="s">
        <v>13056</v>
      </c>
      <c r="B13056" s="2" t="str">
        <f>IFERROR(__xludf.DUMMYFUNCTION("GOOGLETRANSLATE(A13056, ""de"", ""en"")"),"pretend")</f>
        <v>pretend</v>
      </c>
    </row>
    <row r="13057">
      <c r="A13057" s="1" t="s">
        <v>13057</v>
      </c>
      <c r="B13057" s="2" t="str">
        <f>IFERROR(__xludf.DUMMYFUNCTION("GOOGLETRANSLATE(A13057, ""de"", ""en"")"),"rush")</f>
        <v>rush</v>
      </c>
    </row>
    <row r="13058">
      <c r="A13058" s="1" t="s">
        <v>13058</v>
      </c>
      <c r="B13058" s="2" t="str">
        <f>IFERROR(__xludf.DUMMYFUNCTION("GOOGLETRANSLATE(A13058, ""de"", ""en"")"),"pretend")</f>
        <v>pretend</v>
      </c>
    </row>
    <row r="13059">
      <c r="A13059" s="1" t="s">
        <v>13059</v>
      </c>
      <c r="B13059" s="2" t="str">
        <f>IFERROR(__xludf.DUMMYFUNCTION("GOOGLETRANSLATE(A13059, ""de"", ""en"")"),"separated")</f>
        <v>separated</v>
      </c>
    </row>
    <row r="13060">
      <c r="A13060" s="1" t="s">
        <v>13060</v>
      </c>
      <c r="B13060" s="2" t="str">
        <f>IFERROR(__xludf.DUMMYFUNCTION("GOOGLETRANSLATE(A13060, ""de"", ""en"")"),"saunders")</f>
        <v>saunders</v>
      </c>
    </row>
    <row r="13061">
      <c r="A13061" s="1" t="s">
        <v>13061</v>
      </c>
      <c r="B13061" s="2" t="str">
        <f>IFERROR(__xludf.DUMMYFUNCTION("GOOGLETRANSLATE(A13061, ""de"", ""en"")"),"dies")</f>
        <v>dies</v>
      </c>
    </row>
    <row r="13062">
      <c r="A13062" s="1" t="s">
        <v>13062</v>
      </c>
      <c r="B13062" s="2" t="str">
        <f>IFERROR(__xludf.DUMMYFUNCTION("GOOGLETRANSLATE(A13062, ""de"", ""en"")"),"most amazing")</f>
        <v>most amazing</v>
      </c>
    </row>
    <row r="13063">
      <c r="A13063" s="1" t="s">
        <v>13063</v>
      </c>
      <c r="B13063" s="2" t="str">
        <f>IFERROR(__xludf.DUMMYFUNCTION("GOOGLETRANSLATE(A13063, ""de"", ""en"")"),"tolerates")</f>
        <v>tolerates</v>
      </c>
    </row>
    <row r="13064">
      <c r="A13064" s="1" t="s">
        <v>13064</v>
      </c>
      <c r="B13064" s="2" t="str">
        <f>IFERROR(__xludf.DUMMYFUNCTION("GOOGLETRANSLATE(A13064, ""de"", ""en"")"),"directly")</f>
        <v>directly</v>
      </c>
    </row>
    <row r="13065">
      <c r="A13065" s="1" t="s">
        <v>13065</v>
      </c>
      <c r="B13065" s="2" t="str">
        <f>IFERROR(__xludf.DUMMYFUNCTION("GOOGLETRANSLATE(A13065, ""de"", ""en"")"),"hanged")</f>
        <v>hanged</v>
      </c>
    </row>
    <row r="13066">
      <c r="A13066" s="1" t="s">
        <v>13066</v>
      </c>
      <c r="B13066" s="2" t="str">
        <f>IFERROR(__xludf.DUMMYFUNCTION("GOOGLETRANSLATE(A13066, ""de"", ""en"")"),"down")</f>
        <v>down</v>
      </c>
    </row>
    <row r="13067">
      <c r="A13067" s="1" t="s">
        <v>13067</v>
      </c>
      <c r="B13067" s="2" t="str">
        <f>IFERROR(__xludf.DUMMYFUNCTION("GOOGLETRANSLATE(A13067, ""de"", ""en"")"),"aside from that")</f>
        <v>aside from that</v>
      </c>
    </row>
    <row r="13068">
      <c r="A13068" s="1" t="s">
        <v>13068</v>
      </c>
      <c r="B13068" s="2" t="str">
        <f>IFERROR(__xludf.DUMMYFUNCTION("GOOGLETRANSLATE(A13068, ""de"", ""en"")"),"silly")</f>
        <v>silly</v>
      </c>
    </row>
    <row r="13069">
      <c r="A13069" s="1" t="s">
        <v>13069</v>
      </c>
      <c r="B13069" s="2" t="str">
        <f>IFERROR(__xludf.DUMMYFUNCTION("GOOGLETRANSLATE(A13069, ""de"", ""en"")"),"horrible")</f>
        <v>horrible</v>
      </c>
    </row>
    <row r="13070">
      <c r="A13070" s="1" t="s">
        <v>13070</v>
      </c>
      <c r="B13070" s="2" t="str">
        <f>IFERROR(__xludf.DUMMYFUNCTION("GOOGLETRANSLATE(A13070, ""de"", ""en"")"),"gives up")</f>
        <v>gives up</v>
      </c>
    </row>
    <row r="13071">
      <c r="A13071" s="1" t="s">
        <v>13071</v>
      </c>
      <c r="B13071" s="2" t="str">
        <f>IFERROR(__xludf.DUMMYFUNCTION("GOOGLETRANSLATE(A13071, ""de"", ""en"")"),"legion")</f>
        <v>legion</v>
      </c>
    </row>
    <row r="13072">
      <c r="A13072" s="1" t="s">
        <v>13072</v>
      </c>
      <c r="B13072" s="2" t="str">
        <f>IFERROR(__xludf.DUMMYFUNCTION("GOOGLETRANSLATE(A13072, ""de"", ""en"")"),"Dimitri")</f>
        <v>Dimitri</v>
      </c>
    </row>
    <row r="13073">
      <c r="A13073" s="1" t="s">
        <v>13073</v>
      </c>
      <c r="B13073" s="2" t="str">
        <f>IFERROR(__xludf.DUMMYFUNCTION("GOOGLETRANSLATE(A13073, ""de"", ""en"")"),"offended")</f>
        <v>offended</v>
      </c>
    </row>
    <row r="13074">
      <c r="A13074" s="1" t="s">
        <v>13074</v>
      </c>
      <c r="B13074" s="2" t="str">
        <f>IFERROR(__xludf.DUMMYFUNCTION("GOOGLETRANSLATE(A13074, ""de"", ""en"")"),"opportunities")</f>
        <v>opportunities</v>
      </c>
    </row>
    <row r="13075">
      <c r="A13075" s="1" t="s">
        <v>13075</v>
      </c>
      <c r="B13075" s="2" t="str">
        <f>IFERROR(__xludf.DUMMYFUNCTION("GOOGLETRANSLATE(A13075, ""de"", ""en"")"),"intended")</f>
        <v>intended</v>
      </c>
    </row>
    <row r="13076">
      <c r="A13076" s="1" t="s">
        <v>13076</v>
      </c>
      <c r="B13076" s="2" t="str">
        <f>IFERROR(__xludf.DUMMYFUNCTION("GOOGLETRANSLATE(A13076, ""de"", ""en"")"),"free")</f>
        <v>free</v>
      </c>
    </row>
    <row r="13077">
      <c r="A13077" s="1" t="s">
        <v>13077</v>
      </c>
      <c r="B13077" s="2" t="str">
        <f>IFERROR(__xludf.DUMMYFUNCTION("GOOGLETRANSLATE(A13077, ""de"", ""en"")"),"comprehend")</f>
        <v>comprehend</v>
      </c>
    </row>
    <row r="13078">
      <c r="A13078" s="1" t="s">
        <v>13078</v>
      </c>
      <c r="B13078" s="2" t="str">
        <f>IFERROR(__xludf.DUMMYFUNCTION("GOOGLETRANSLATE(A13078, ""de"", ""en"")"),"everyday")</f>
        <v>everyday</v>
      </c>
    </row>
    <row r="13079">
      <c r="A13079" s="1" t="s">
        <v>13079</v>
      </c>
      <c r="B13079" s="2" t="str">
        <f>IFERROR(__xludf.DUMMYFUNCTION("GOOGLETRANSLATE(A13079, ""de"", ""en"")"),"bathed")</f>
        <v>bathed</v>
      </c>
    </row>
    <row r="13080">
      <c r="A13080" s="1" t="s">
        <v>13080</v>
      </c>
      <c r="B13080" s="2" t="str">
        <f>IFERROR(__xludf.DUMMYFUNCTION("GOOGLETRANSLATE(A13080, ""de"", ""en"")"),"flawless")</f>
        <v>flawless</v>
      </c>
    </row>
    <row r="13081">
      <c r="A13081" s="1" t="s">
        <v>13081</v>
      </c>
      <c r="B13081" s="2" t="str">
        <f>IFERROR(__xludf.DUMMYFUNCTION("GOOGLETRANSLATE(A13081, ""de"", ""en"")"),"beaten up")</f>
        <v>beaten up</v>
      </c>
    </row>
    <row r="13082">
      <c r="A13082" s="1" t="s">
        <v>13082</v>
      </c>
      <c r="B13082" s="2" t="str">
        <f>IFERROR(__xludf.DUMMYFUNCTION("GOOGLETRANSLATE(A13082, ""de"", ""en"")"),"sloppy")</f>
        <v>sloppy</v>
      </c>
    </row>
    <row r="13083">
      <c r="A13083" s="1" t="s">
        <v>13083</v>
      </c>
      <c r="B13083" s="2" t="str">
        <f>IFERROR(__xludf.DUMMYFUNCTION("GOOGLETRANSLATE(A13083, ""de"", ""en"")"),"congratulations")</f>
        <v>congratulations</v>
      </c>
    </row>
    <row r="13084">
      <c r="A13084" s="1" t="s">
        <v>13084</v>
      </c>
      <c r="B13084" s="2" t="str">
        <f>IFERROR(__xludf.DUMMYFUNCTION("GOOGLETRANSLATE(A13084, ""de"", ""en"")"),"shadow")</f>
        <v>shadow</v>
      </c>
    </row>
    <row r="13085">
      <c r="A13085" s="1" t="s">
        <v>13085</v>
      </c>
      <c r="B13085" s="2" t="str">
        <f>IFERROR(__xludf.DUMMYFUNCTION("GOOGLETRANSLATE(A13085, ""de"", ""en"")"),"Alabama")</f>
        <v>Alabama</v>
      </c>
    </row>
    <row r="13086">
      <c r="A13086" s="1" t="s">
        <v>13086</v>
      </c>
      <c r="B13086" s="2" t="str">
        <f>IFERROR(__xludf.DUMMYFUNCTION("GOOGLETRANSLATE(A13086, ""de"", ""en"")"),"attractive")</f>
        <v>attractive</v>
      </c>
    </row>
    <row r="13087">
      <c r="A13087" s="1" t="s">
        <v>13087</v>
      </c>
      <c r="B13087" s="2" t="str">
        <f>IFERROR(__xludf.DUMMYFUNCTION("GOOGLETRANSLATE(A13087, ""de"", ""en"")"),"killed")</f>
        <v>killed</v>
      </c>
    </row>
    <row r="13088">
      <c r="A13088" s="1" t="s">
        <v>13088</v>
      </c>
      <c r="B13088" s="2" t="str">
        <f>IFERROR(__xludf.DUMMYFUNCTION("GOOGLETRANSLATE(A13088, ""de"", ""en"")"),"Colombia")</f>
        <v>Colombia</v>
      </c>
    </row>
    <row r="13089">
      <c r="A13089" s="1" t="s">
        <v>13089</v>
      </c>
      <c r="B13089" s="2" t="str">
        <f>IFERROR(__xludf.DUMMYFUNCTION("GOOGLETRANSLATE(A13089, ""de"", ""en"")"),"forest")</f>
        <v>forest</v>
      </c>
    </row>
    <row r="13090">
      <c r="A13090" s="1" t="s">
        <v>13090</v>
      </c>
      <c r="B13090" s="2" t="str">
        <f>IFERROR(__xludf.DUMMYFUNCTION("GOOGLETRANSLATE(A13090, ""de"", ""en"")"),"to get back")</f>
        <v>to get back</v>
      </c>
    </row>
    <row r="13091">
      <c r="A13091" s="1" t="s">
        <v>13091</v>
      </c>
      <c r="B13091" s="2" t="str">
        <f>IFERROR(__xludf.DUMMYFUNCTION("GOOGLETRANSLATE(A13091, ""de"", ""en"")"),"gym")</f>
        <v>gym</v>
      </c>
    </row>
    <row r="13092">
      <c r="A13092" s="1" t="s">
        <v>13092</v>
      </c>
      <c r="B13092" s="2" t="str">
        <f>IFERROR(__xludf.DUMMYFUNCTION("GOOGLETRANSLATE(A13092, ""de"", ""en"")"),"item")</f>
        <v>item</v>
      </c>
    </row>
    <row r="13093">
      <c r="A13093" s="1" t="s">
        <v>13093</v>
      </c>
      <c r="B13093" s="2" t="str">
        <f>IFERROR(__xludf.DUMMYFUNCTION("GOOGLETRANSLATE(A13093, ""de"", ""en"")"),"camping")</f>
        <v>camping</v>
      </c>
    </row>
    <row r="13094">
      <c r="A13094" s="1" t="s">
        <v>13094</v>
      </c>
      <c r="B13094" s="2" t="str">
        <f>IFERROR(__xludf.DUMMYFUNCTION("GOOGLETRANSLATE(A13094, ""de"", ""en"")"),"claim")</f>
        <v>claim</v>
      </c>
    </row>
    <row r="13095">
      <c r="A13095" s="1" t="s">
        <v>13095</v>
      </c>
      <c r="B13095" s="2" t="str">
        <f>IFERROR(__xludf.DUMMYFUNCTION("GOOGLETRANSLATE(A13095, ""de"", ""en"")"),"more important")</f>
        <v>more important</v>
      </c>
    </row>
    <row r="13096">
      <c r="A13096" s="1" t="s">
        <v>13096</v>
      </c>
      <c r="B13096" s="2" t="str">
        <f>IFERROR(__xludf.DUMMYFUNCTION("GOOGLETRANSLATE(A13096, ""de"", ""en"")"),"free space")</f>
        <v>free space</v>
      </c>
    </row>
    <row r="13097">
      <c r="A13097" s="1" t="s">
        <v>13097</v>
      </c>
      <c r="B13097" s="2" t="str">
        <f>IFERROR(__xludf.DUMMYFUNCTION("GOOGLETRANSLATE(A13097, ""de"", ""en"")"),"chased away")</f>
        <v>chased away</v>
      </c>
    </row>
    <row r="13098">
      <c r="A13098" s="1" t="s">
        <v>13098</v>
      </c>
      <c r="B13098" s="2" t="str">
        <f>IFERROR(__xludf.DUMMYFUNCTION("GOOGLETRANSLATE(A13098, ""de"", ""en"")"),"crusher")</f>
        <v>crusher</v>
      </c>
    </row>
    <row r="13099">
      <c r="A13099" s="1" t="s">
        <v>13099</v>
      </c>
      <c r="B13099" s="2" t="str">
        <f>IFERROR(__xludf.DUMMYFUNCTION("GOOGLETRANSLATE(A13099, ""de"", ""en"")"),"Prometheus")</f>
        <v>Prometheus</v>
      </c>
    </row>
    <row r="13100">
      <c r="A13100" s="1" t="s">
        <v>13100</v>
      </c>
      <c r="B13100" s="2" t="str">
        <f>IFERROR(__xludf.DUMMYFUNCTION("GOOGLETRANSLATE(A13100, ""de"", ""en"")"),"braise")</f>
        <v>braise</v>
      </c>
    </row>
    <row r="13101">
      <c r="A13101" s="1" t="s">
        <v>13101</v>
      </c>
      <c r="B13101" s="2" t="str">
        <f>IFERROR(__xludf.DUMMYFUNCTION("GOOGLETRANSLATE(A13101, ""de"", ""en"")"),"compliments")</f>
        <v>compliments</v>
      </c>
    </row>
    <row r="13102">
      <c r="A13102" s="1" t="s">
        <v>13102</v>
      </c>
      <c r="B13102" s="2" t="str">
        <f>IFERROR(__xludf.DUMMYFUNCTION("GOOGLETRANSLATE(A13102, ""de"", ""en"")"),"meal")</f>
        <v>meal</v>
      </c>
    </row>
    <row r="13103">
      <c r="A13103" s="1" t="s">
        <v>13103</v>
      </c>
      <c r="B13103" s="2" t="str">
        <f>IFERROR(__xludf.DUMMYFUNCTION("GOOGLETRANSLATE(A13103, ""de"", ""en"")"),"barrels")</f>
        <v>barrels</v>
      </c>
    </row>
    <row r="13104">
      <c r="A13104" s="1" t="s">
        <v>13104</v>
      </c>
      <c r="B13104" s="2" t="str">
        <f>IFERROR(__xludf.DUMMYFUNCTION("GOOGLETRANSLATE(A13104, ""de"", ""en"")"),"swallows")</f>
        <v>swallows</v>
      </c>
    </row>
    <row r="13105">
      <c r="A13105" s="1" t="s">
        <v>13105</v>
      </c>
      <c r="B13105" s="2" t="str">
        <f>IFERROR(__xludf.DUMMYFUNCTION("GOOGLETRANSLATE(A13105, ""de"", ""en"")"),"Oklahoma")</f>
        <v>Oklahoma</v>
      </c>
    </row>
    <row r="13106">
      <c r="A13106" s="1" t="s">
        <v>13106</v>
      </c>
      <c r="B13106" s="2" t="str">
        <f>IFERROR(__xludf.DUMMYFUNCTION("GOOGLETRANSLATE(A13106, ""de"", ""en"")"),"shovel")</f>
        <v>shovel</v>
      </c>
    </row>
    <row r="13107">
      <c r="A13107" s="1" t="s">
        <v>13107</v>
      </c>
      <c r="B13107" s="2" t="str">
        <f>IFERROR(__xludf.DUMMYFUNCTION("GOOGLETRANSLATE(A13107, ""de"", ""en"")"),"crocodile")</f>
        <v>crocodile</v>
      </c>
    </row>
    <row r="13108">
      <c r="A13108" s="1" t="s">
        <v>13108</v>
      </c>
      <c r="B13108" s="2" t="str">
        <f>IFERROR(__xludf.DUMMYFUNCTION("GOOGLETRANSLATE(A13108, ""de"", ""en"")"),"messages")</f>
        <v>messages</v>
      </c>
    </row>
    <row r="13109">
      <c r="A13109" s="1" t="s">
        <v>13109</v>
      </c>
      <c r="B13109" s="2" t="str">
        <f>IFERROR(__xludf.DUMMYFUNCTION("GOOGLETRANSLATE(A13109, ""de"", ""en"")"),"music")</f>
        <v>music</v>
      </c>
    </row>
    <row r="13110">
      <c r="A13110" s="1" t="s">
        <v>13110</v>
      </c>
      <c r="B13110" s="2" t="str">
        <f>IFERROR(__xludf.DUMMYFUNCTION("GOOGLETRANSLATE(A13110, ""de"", ""en"")"),"hola")</f>
        <v>hola</v>
      </c>
    </row>
    <row r="13111">
      <c r="A13111" s="1" t="s">
        <v>13111</v>
      </c>
      <c r="B13111" s="2" t="str">
        <f>IFERROR(__xludf.DUMMYFUNCTION("GOOGLETRANSLATE(A13111, ""de"", ""en"")"),"honest")</f>
        <v>honest</v>
      </c>
    </row>
    <row r="13112">
      <c r="A13112" s="1" t="s">
        <v>13112</v>
      </c>
      <c r="B13112" s="2" t="str">
        <f>IFERROR(__xludf.DUMMYFUNCTION("GOOGLETRANSLATE(A13112, ""de"", ""en"")"),"leave out")</f>
        <v>leave out</v>
      </c>
    </row>
    <row r="13113">
      <c r="A13113" s="1" t="s">
        <v>13113</v>
      </c>
      <c r="B13113" s="2" t="str">
        <f>IFERROR(__xludf.DUMMYFUNCTION("GOOGLETRANSLATE(A13113, ""de"", ""en"")"),"inappropriate")</f>
        <v>inappropriate</v>
      </c>
    </row>
    <row r="13114">
      <c r="A13114" s="1" t="s">
        <v>13114</v>
      </c>
      <c r="B13114" s="2" t="str">
        <f>IFERROR(__xludf.DUMMYFUNCTION("GOOGLETRANSLATE(A13114, ""de"", ""en"")"),"unearthed")</f>
        <v>unearthed</v>
      </c>
    </row>
    <row r="13115">
      <c r="A13115" s="1" t="s">
        <v>13115</v>
      </c>
      <c r="B13115" s="2" t="str">
        <f>IFERROR(__xludf.DUMMYFUNCTION("GOOGLETRANSLATE(A13115, ""de"", ""en"")"),"bellamy")</f>
        <v>bellamy</v>
      </c>
    </row>
    <row r="13116">
      <c r="A13116" s="1" t="s">
        <v>13116</v>
      </c>
      <c r="B13116" s="2" t="str">
        <f>IFERROR(__xludf.DUMMYFUNCTION("GOOGLETRANSLATE(A13116, ""de"", ""en"")"),"to suspend")</f>
        <v>to suspend</v>
      </c>
    </row>
    <row r="13117">
      <c r="A13117" s="1" t="s">
        <v>13117</v>
      </c>
      <c r="B13117" s="2" t="str">
        <f>IFERROR(__xludf.DUMMYFUNCTION("GOOGLETRANSLATE(A13117, ""de"", ""en"")"),"transition")</f>
        <v>transition</v>
      </c>
    </row>
    <row r="13118">
      <c r="A13118" s="1" t="s">
        <v>13118</v>
      </c>
      <c r="B13118" s="2" t="str">
        <f>IFERROR(__xludf.DUMMYFUNCTION("GOOGLETRANSLATE(A13118, ""de"", ""en"")"),"turbo")</f>
        <v>turbo</v>
      </c>
    </row>
    <row r="13119">
      <c r="A13119" s="1" t="s">
        <v>13119</v>
      </c>
      <c r="B13119" s="2" t="str">
        <f>IFERROR(__xludf.DUMMYFUNCTION("GOOGLETRANSLATE(A13119, ""de"", ""en"")"),"Addison")</f>
        <v>Addison</v>
      </c>
    </row>
    <row r="13120">
      <c r="A13120" s="1" t="s">
        <v>13120</v>
      </c>
      <c r="B13120" s="2" t="str">
        <f>IFERROR(__xludf.DUMMYFUNCTION("GOOGLETRANSLATE(A13120, ""de"", ""en"")"),"announcement")</f>
        <v>announcement</v>
      </c>
    </row>
    <row r="13121">
      <c r="A13121" s="1" t="s">
        <v>13121</v>
      </c>
      <c r="B13121" s="2" t="str">
        <f>IFERROR(__xludf.DUMMYFUNCTION("GOOGLETRANSLATE(A13121, ""de"", ""en"")"),"habitual")</f>
        <v>habitual</v>
      </c>
    </row>
    <row r="13122">
      <c r="A13122" s="1" t="s">
        <v>13122</v>
      </c>
      <c r="B13122" s="2" t="str">
        <f>IFERROR(__xludf.DUMMYFUNCTION("GOOGLETRANSLATE(A13122, ""de"", ""en"")"),"Silvia")</f>
        <v>Silvia</v>
      </c>
    </row>
    <row r="13123">
      <c r="A13123" s="1" t="s">
        <v>13123</v>
      </c>
      <c r="B13123" s="2" t="str">
        <f>IFERROR(__xludf.DUMMYFUNCTION("GOOGLETRANSLATE(A13123, ""de"", ""en"")"),"burkhalter")</f>
        <v>burkhalter</v>
      </c>
    </row>
    <row r="13124">
      <c r="A13124" s="1" t="s">
        <v>13124</v>
      </c>
      <c r="B13124" s="2" t="str">
        <f>IFERROR(__xludf.DUMMYFUNCTION("GOOGLETRANSLATE(A13124, ""de"", ""en"")"),"religious")</f>
        <v>religious</v>
      </c>
    </row>
    <row r="13125">
      <c r="A13125" s="1" t="s">
        <v>13125</v>
      </c>
      <c r="B13125" s="2" t="str">
        <f>IFERROR(__xludf.DUMMYFUNCTION("GOOGLETRANSLATE(A13125, ""de"", ""en"")"),"self-defense")</f>
        <v>self-defense</v>
      </c>
    </row>
    <row r="13126">
      <c r="A13126" s="1" t="s">
        <v>13126</v>
      </c>
      <c r="B13126" s="2" t="str">
        <f>IFERROR(__xludf.DUMMYFUNCTION("GOOGLETRANSLATE(A13126, ""de"", ""en"")"),"storm")</f>
        <v>storm</v>
      </c>
    </row>
    <row r="13127">
      <c r="A13127" s="1" t="s">
        <v>13127</v>
      </c>
      <c r="B13127" s="2" t="str">
        <f>IFERROR(__xludf.DUMMYFUNCTION("GOOGLETRANSLATE(A13127, ""de"", ""en"")"),"infected")</f>
        <v>infected</v>
      </c>
    </row>
    <row r="13128">
      <c r="A13128" s="1" t="s">
        <v>13128</v>
      </c>
      <c r="B13128" s="2" t="str">
        <f>IFERROR(__xludf.DUMMYFUNCTION("GOOGLETRANSLATE(A13128, ""de"", ""en"")"),"unfortunately")</f>
        <v>unfortunately</v>
      </c>
    </row>
    <row r="13129">
      <c r="A13129" s="1" t="s">
        <v>13129</v>
      </c>
      <c r="B13129" s="2" t="str">
        <f>IFERROR(__xludf.DUMMYFUNCTION("GOOGLETRANSLATE(A13129, ""de"", ""en"")"),"chosen")</f>
        <v>chosen</v>
      </c>
    </row>
    <row r="13130">
      <c r="A13130" s="1" t="s">
        <v>13130</v>
      </c>
      <c r="B13130" s="2" t="str">
        <f>IFERROR(__xludf.DUMMYFUNCTION("GOOGLETRANSLATE(A13130, ""de"", ""en"")"),"pee")</f>
        <v>pee</v>
      </c>
    </row>
    <row r="13131">
      <c r="A13131" s="1" t="s">
        <v>13131</v>
      </c>
      <c r="B13131" s="2" t="str">
        <f>IFERROR(__xludf.DUMMYFUNCTION("GOOGLETRANSLATE(A13131, ""de"", ""en"")"),"eliminated")</f>
        <v>eliminated</v>
      </c>
    </row>
    <row r="13132">
      <c r="A13132" s="1" t="s">
        <v>13132</v>
      </c>
      <c r="B13132" s="2" t="str">
        <f>IFERROR(__xludf.DUMMYFUNCTION("GOOGLETRANSLATE(A13132, ""de"", ""en"")"),"leah")</f>
        <v>leah</v>
      </c>
    </row>
    <row r="13133">
      <c r="A13133" s="1" t="s">
        <v>13133</v>
      </c>
      <c r="B13133" s="2" t="str">
        <f>IFERROR(__xludf.DUMMYFUNCTION("GOOGLETRANSLATE(A13133, ""de"", ""en"")"),"custom")</f>
        <v>custom</v>
      </c>
    </row>
    <row r="13134">
      <c r="A13134" s="1" t="s">
        <v>13134</v>
      </c>
      <c r="B13134" s="2" t="str">
        <f>IFERROR(__xludf.DUMMYFUNCTION("GOOGLETRANSLATE(A13134, ""de"", ""en"")"),"rene")</f>
        <v>rene</v>
      </c>
    </row>
    <row r="13135">
      <c r="A13135" s="1" t="s">
        <v>13135</v>
      </c>
      <c r="B13135" s="2" t="str">
        <f>IFERROR(__xludf.DUMMYFUNCTION("GOOGLETRANSLATE(A13135, ""de"", ""en"")"),"tate")</f>
        <v>tate</v>
      </c>
    </row>
    <row r="13136">
      <c r="A13136" s="1" t="s">
        <v>13136</v>
      </c>
      <c r="B13136" s="2" t="str">
        <f>IFERROR(__xludf.DUMMYFUNCTION("GOOGLETRANSLATE(A13136, ""de"", ""en"")"),"byron")</f>
        <v>byron</v>
      </c>
    </row>
    <row r="13137">
      <c r="A13137" s="1" t="s">
        <v>13137</v>
      </c>
      <c r="B13137" s="2" t="str">
        <f>IFERROR(__xludf.DUMMYFUNCTION("GOOGLETRANSLATE(A13137, ""de"", ""en"")"),"Philly")</f>
        <v>Philly</v>
      </c>
    </row>
    <row r="13138">
      <c r="A13138" s="1" t="s">
        <v>13138</v>
      </c>
      <c r="B13138" s="2" t="str">
        <f>IFERROR(__xludf.DUMMYFUNCTION("GOOGLETRANSLATE(A13138, ""de"", ""en"")"),"allow")</f>
        <v>allow</v>
      </c>
    </row>
    <row r="13139">
      <c r="A13139" s="1" t="s">
        <v>13139</v>
      </c>
      <c r="B13139" s="2" t="str">
        <f>IFERROR(__xludf.DUMMYFUNCTION("GOOGLETRANSLATE(A13139, ""de"", ""en"")"),"cohen")</f>
        <v>cohen</v>
      </c>
    </row>
    <row r="13140">
      <c r="A13140" s="1" t="s">
        <v>13140</v>
      </c>
      <c r="B13140" s="2" t="str">
        <f>IFERROR(__xludf.DUMMYFUNCTION("GOOGLETRANSLATE(A13140, ""de"", ""en"")"),"mostly")</f>
        <v>mostly</v>
      </c>
    </row>
    <row r="13141">
      <c r="A13141" s="1" t="s">
        <v>13141</v>
      </c>
      <c r="B13141" s="2" t="str">
        <f>IFERROR(__xludf.DUMMYFUNCTION("GOOGLETRANSLATE(A13141, ""de"", ""en"")"),"depiction")</f>
        <v>depiction</v>
      </c>
    </row>
    <row r="13142">
      <c r="A13142" s="1" t="s">
        <v>13142</v>
      </c>
      <c r="B13142" s="2" t="str">
        <f>IFERROR(__xludf.DUMMYFUNCTION("GOOGLETRANSLATE(A13142, ""de"", ""en"")"),"granted")</f>
        <v>granted</v>
      </c>
    </row>
    <row r="13143">
      <c r="A13143" s="1" t="s">
        <v>13143</v>
      </c>
      <c r="B13143" s="2" t="str">
        <f>IFERROR(__xludf.DUMMYFUNCTION("GOOGLETRANSLATE(A13143, ""de"", ""en"")"),"zipper")</f>
        <v>zipper</v>
      </c>
    </row>
    <row r="13144">
      <c r="A13144" s="1" t="s">
        <v>13144</v>
      </c>
      <c r="B13144" s="2" t="str">
        <f>IFERROR(__xludf.DUMMYFUNCTION("GOOGLETRANSLATE(A13144, ""de"", ""en"")"),"determination")</f>
        <v>determination</v>
      </c>
    </row>
    <row r="13145">
      <c r="A13145" s="1" t="s">
        <v>13145</v>
      </c>
      <c r="B13145" s="2" t="str">
        <f>IFERROR(__xludf.DUMMYFUNCTION("GOOGLETRANSLATE(A13145, ""de"", ""en"")"),"rare")</f>
        <v>rare</v>
      </c>
    </row>
    <row r="13146">
      <c r="A13146" s="1" t="s">
        <v>13146</v>
      </c>
      <c r="B13146" s="2" t="str">
        <f>IFERROR(__xludf.DUMMYFUNCTION("GOOGLETRANSLATE(A13146, ""de"", ""en"")"),"cameraman")</f>
        <v>cameraman</v>
      </c>
    </row>
    <row r="13147">
      <c r="A13147" s="1" t="s">
        <v>13147</v>
      </c>
      <c r="B13147" s="2" t="str">
        <f>IFERROR(__xludf.DUMMYFUNCTION("GOOGLETRANSLATE(A13147, ""de"", ""en"")"),"cuddy")</f>
        <v>cuddy</v>
      </c>
    </row>
    <row r="13148">
      <c r="A13148" s="1" t="s">
        <v>13148</v>
      </c>
      <c r="B13148" s="2" t="str">
        <f>IFERROR(__xludf.DUMMYFUNCTION("GOOGLETRANSLATE(A13148, ""de"", ""en"")"),"recruits")</f>
        <v>recruits</v>
      </c>
    </row>
    <row r="13149">
      <c r="A13149" s="1" t="s">
        <v>13149</v>
      </c>
      <c r="B13149" s="2" t="str">
        <f>IFERROR(__xludf.DUMMYFUNCTION("GOOGLETRANSLATE(A13149, ""de"", ""en"")"),"inaugurated")</f>
        <v>inaugurated</v>
      </c>
    </row>
    <row r="13150">
      <c r="A13150" s="1" t="s">
        <v>13150</v>
      </c>
      <c r="B13150" s="2" t="str">
        <f>IFERROR(__xludf.DUMMYFUNCTION("GOOGLETRANSLATE(A13150, ""de"", ""en"")"),"esteban")</f>
        <v>esteban</v>
      </c>
    </row>
    <row r="13151">
      <c r="A13151" s="1" t="s">
        <v>13151</v>
      </c>
      <c r="B13151" s="2" t="str">
        <f>IFERROR(__xludf.DUMMYFUNCTION("GOOGLETRANSLATE(A13151, ""de"", ""en"")"),"rise")</f>
        <v>rise</v>
      </c>
    </row>
    <row r="13152">
      <c r="A13152" s="1" t="s">
        <v>13152</v>
      </c>
      <c r="B13152" s="2" t="str">
        <f>IFERROR(__xludf.DUMMYFUNCTION("GOOGLETRANSLATE(A13152, ""de"", ""en"")"),"member")</f>
        <v>member</v>
      </c>
    </row>
    <row r="13153">
      <c r="A13153" s="1" t="s">
        <v>13153</v>
      </c>
      <c r="B13153" s="2" t="str">
        <f>IFERROR(__xludf.DUMMYFUNCTION("GOOGLETRANSLATE(A13153, ""de"", ""en"")"),"come together")</f>
        <v>come together</v>
      </c>
    </row>
    <row r="13154">
      <c r="A13154" s="1" t="s">
        <v>13154</v>
      </c>
      <c r="B13154" s="2" t="str">
        <f>IFERROR(__xludf.DUMMYFUNCTION("GOOGLETRANSLATE(A13154, ""de"", ""en"")"),"switch")</f>
        <v>switch</v>
      </c>
    </row>
    <row r="13155">
      <c r="A13155" s="1" t="s">
        <v>13155</v>
      </c>
      <c r="B13155" s="2" t="str">
        <f>IFERROR(__xludf.DUMMYFUNCTION("GOOGLETRANSLATE(A13155, ""de"", ""en"")"),"column")</f>
        <v>column</v>
      </c>
    </row>
    <row r="13156">
      <c r="A13156" s="1" t="s">
        <v>13156</v>
      </c>
      <c r="B13156" s="2" t="str">
        <f>IFERROR(__xludf.DUMMYFUNCTION("GOOGLETRANSLATE(A13156, ""de"", ""en"")"),"drunks")</f>
        <v>drunks</v>
      </c>
    </row>
    <row r="13157">
      <c r="A13157" s="1" t="s">
        <v>13157</v>
      </c>
      <c r="B13157" s="2" t="str">
        <f>IFERROR(__xludf.DUMMYFUNCTION("GOOGLETRANSLATE(A13157, ""de"", ""en"")"),"evenings")</f>
        <v>evenings</v>
      </c>
    </row>
    <row r="13158">
      <c r="A13158" s="1" t="s">
        <v>13158</v>
      </c>
      <c r="B13158" s="2" t="str">
        <f>IFERROR(__xludf.DUMMYFUNCTION("GOOGLETRANSLATE(A13158, ""de"", ""en"")"),"cunning")</f>
        <v>cunning</v>
      </c>
    </row>
    <row r="13159">
      <c r="A13159" s="1" t="s">
        <v>13159</v>
      </c>
      <c r="B13159" s="2" t="str">
        <f>IFERROR(__xludf.DUMMYFUNCTION("GOOGLETRANSLATE(A13159, ""de"", ""en"")"),"Minnesota")</f>
        <v>Minnesota</v>
      </c>
    </row>
    <row r="13160">
      <c r="A13160" s="1" t="s">
        <v>13160</v>
      </c>
      <c r="B13160" s="2" t="str">
        <f>IFERROR(__xludf.DUMMYFUNCTION("GOOGLETRANSLATE(A13160, ""de"", ""en"")"),"aziz")</f>
        <v>aziz</v>
      </c>
    </row>
    <row r="13161">
      <c r="A13161" s="1" t="s">
        <v>13161</v>
      </c>
      <c r="B13161" s="2" t="str">
        <f>IFERROR(__xludf.DUMMYFUNCTION("GOOGLETRANSLATE(A13161, ""de"", ""en"")"),"argue")</f>
        <v>argue</v>
      </c>
    </row>
    <row r="13162">
      <c r="A13162" s="1" t="s">
        <v>13162</v>
      </c>
      <c r="B13162" s="2" t="str">
        <f>IFERROR(__xludf.DUMMYFUNCTION("GOOGLETRANSLATE(A13162, ""de"", ""en"")"),"accomplished")</f>
        <v>accomplished</v>
      </c>
    </row>
    <row r="13163">
      <c r="A13163" s="1" t="s">
        <v>13163</v>
      </c>
      <c r="B13163" s="2" t="str">
        <f>IFERROR(__xludf.DUMMYFUNCTION("GOOGLETRANSLATE(A13163, ""de"", ""en"")"),"sg-1")</f>
        <v>sg-1</v>
      </c>
    </row>
    <row r="13164">
      <c r="A13164" s="1" t="s">
        <v>13164</v>
      </c>
      <c r="B13164" s="2" t="str">
        <f>IFERROR(__xludf.DUMMYFUNCTION("GOOGLETRANSLATE(A13164, ""de"", ""en"")"),"Maryland")</f>
        <v>Maryland</v>
      </c>
    </row>
    <row r="13165">
      <c r="A13165" s="1" t="s">
        <v>13165</v>
      </c>
      <c r="B13165" s="2" t="str">
        <f>IFERROR(__xludf.DUMMYFUNCTION("GOOGLETRANSLATE(A13165, ""de"", ""en"")"),"knock off")</f>
        <v>knock off</v>
      </c>
    </row>
    <row r="13166">
      <c r="A13166" s="1" t="s">
        <v>13166</v>
      </c>
      <c r="B13166" s="2" t="str">
        <f>IFERROR(__xludf.DUMMYFUNCTION("GOOGLETRANSLATE(A13166, ""de"", ""en"")"),"tempts")</f>
        <v>tempts</v>
      </c>
    </row>
    <row r="13167">
      <c r="A13167" s="1" t="s">
        <v>13167</v>
      </c>
      <c r="B13167" s="2" t="str">
        <f>IFERROR(__xludf.DUMMYFUNCTION("GOOGLETRANSLATE(A13167, ""de"", ""en"")"),"pneumonia")</f>
        <v>pneumonia</v>
      </c>
    </row>
    <row r="13168">
      <c r="A13168" s="1" t="s">
        <v>13168</v>
      </c>
      <c r="B13168" s="2" t="str">
        <f>IFERROR(__xludf.DUMMYFUNCTION("GOOGLETRANSLATE(A13168, ""de"", ""en"")"),"wash")</f>
        <v>wash</v>
      </c>
    </row>
    <row r="13169">
      <c r="A13169" s="1" t="s">
        <v>13169</v>
      </c>
      <c r="B13169" s="2" t="str">
        <f>IFERROR(__xludf.DUMMYFUNCTION("GOOGLETRANSLATE(A13169, ""de"", ""en"")"),"Ricardo")</f>
        <v>Ricardo</v>
      </c>
    </row>
    <row r="13170">
      <c r="A13170" s="1" t="s">
        <v>13170</v>
      </c>
      <c r="B13170" s="2" t="str">
        <f>IFERROR(__xludf.DUMMYFUNCTION("GOOGLETRANSLATE(A13170, ""de"", ""en"")"),"psychological")</f>
        <v>psychological</v>
      </c>
    </row>
    <row r="13171">
      <c r="A13171" s="1" t="s">
        <v>13171</v>
      </c>
      <c r="B13171" s="2" t="str">
        <f>IFERROR(__xludf.DUMMYFUNCTION("GOOGLETRANSLATE(A13171, ""de"", ""en"")"),"skip")</f>
        <v>skip</v>
      </c>
    </row>
    <row r="13172">
      <c r="A13172" s="1" t="s">
        <v>13172</v>
      </c>
      <c r="B13172" s="2" t="str">
        <f>IFERROR(__xludf.DUMMYFUNCTION("GOOGLETRANSLATE(A13172, ""de"", ""en"")"),"complain")</f>
        <v>complain</v>
      </c>
    </row>
    <row r="13173">
      <c r="A13173" s="1" t="s">
        <v>13173</v>
      </c>
      <c r="B13173" s="2" t="str">
        <f>IFERROR(__xludf.DUMMYFUNCTION("GOOGLETRANSLATE(A13173, ""de"", ""en"")"),"zebra")</f>
        <v>zebra</v>
      </c>
    </row>
    <row r="13174">
      <c r="A13174" s="1" t="s">
        <v>13174</v>
      </c>
      <c r="B13174" s="2" t="str">
        <f>IFERROR(__xludf.DUMMYFUNCTION("GOOGLETRANSLATE(A13174, ""de"", ""en"")"),"so-called")</f>
        <v>so-called</v>
      </c>
    </row>
    <row r="13175">
      <c r="A13175" s="1" t="s">
        <v>13175</v>
      </c>
      <c r="B13175" s="2" t="str">
        <f>IFERROR(__xludf.DUMMYFUNCTION("GOOGLETRANSLATE(A13175, ""de"", ""en"")"),"missions")</f>
        <v>missions</v>
      </c>
    </row>
    <row r="13176">
      <c r="A13176" s="1" t="s">
        <v>13176</v>
      </c>
      <c r="B13176" s="2" t="str">
        <f>IFERROR(__xludf.DUMMYFUNCTION("GOOGLETRANSLATE(A13176, ""de"", ""en"")"),"housemaid")</f>
        <v>housemaid</v>
      </c>
    </row>
    <row r="13177">
      <c r="A13177" s="1" t="s">
        <v>13177</v>
      </c>
      <c r="B13177" s="2" t="str">
        <f>IFERROR(__xludf.DUMMYFUNCTION("GOOGLETRANSLATE(A13177, ""de"", ""en"")"),"dogs")</f>
        <v>dogs</v>
      </c>
    </row>
    <row r="13178">
      <c r="A13178" s="1" t="s">
        <v>13178</v>
      </c>
      <c r="B13178" s="2" t="str">
        <f>IFERROR(__xludf.DUMMYFUNCTION("GOOGLETRANSLATE(A13178, ""de"", ""en"")"),"Wales")</f>
        <v>Wales</v>
      </c>
    </row>
    <row r="13179">
      <c r="A13179" s="1" t="s">
        <v>13179</v>
      </c>
      <c r="B13179" s="2" t="str">
        <f>IFERROR(__xludf.DUMMYFUNCTION("GOOGLETRANSLATE(A13179, ""de"", ""en"")"),"predecessor")</f>
        <v>predecessor</v>
      </c>
    </row>
    <row r="13180">
      <c r="A13180" s="1" t="s">
        <v>13180</v>
      </c>
      <c r="B13180" s="2" t="str">
        <f>IFERROR(__xludf.DUMMYFUNCTION("GOOGLETRANSLATE(A13180, ""de"", ""en"")"),"initiated")</f>
        <v>initiated</v>
      </c>
    </row>
    <row r="13181">
      <c r="A13181" s="1" t="s">
        <v>13181</v>
      </c>
      <c r="B13181" s="2" t="str">
        <f>IFERROR(__xludf.DUMMYFUNCTION("GOOGLETRANSLATE(A13181, ""de"", ""en"")"),"made out")</f>
        <v>made out</v>
      </c>
    </row>
    <row r="13182">
      <c r="A13182" s="1" t="s">
        <v>13182</v>
      </c>
      <c r="B13182" s="2" t="str">
        <f>IFERROR(__xludf.DUMMYFUNCTION("GOOGLETRANSLATE(A13182, ""de"", ""en"")"),"grapes")</f>
        <v>grapes</v>
      </c>
    </row>
    <row r="13183">
      <c r="A13183" s="1" t="s">
        <v>13183</v>
      </c>
      <c r="B13183" s="2" t="str">
        <f>IFERROR(__xludf.DUMMYFUNCTION("GOOGLETRANSLATE(A13183, ""de"", ""en"")"),"to erase")</f>
        <v>to erase</v>
      </c>
    </row>
    <row r="13184">
      <c r="A13184" s="1" t="s">
        <v>13184</v>
      </c>
      <c r="B13184" s="2" t="str">
        <f>IFERROR(__xludf.DUMMYFUNCTION("GOOGLETRANSLATE(A13184, ""de"", ""en"")"),"boomer")</f>
        <v>boomer</v>
      </c>
    </row>
    <row r="13185">
      <c r="A13185" s="1" t="s">
        <v>13185</v>
      </c>
      <c r="B13185" s="2" t="str">
        <f>IFERROR(__xludf.DUMMYFUNCTION("GOOGLETRANSLATE(A13185, ""de"", ""en"")"),"would lie")</f>
        <v>would lie</v>
      </c>
    </row>
    <row r="13186">
      <c r="A13186" s="1" t="s">
        <v>13186</v>
      </c>
      <c r="B13186" s="2" t="str">
        <f>IFERROR(__xludf.DUMMYFUNCTION("GOOGLETRANSLATE(A13186, ""de"", ""en"")"),"deletes")</f>
        <v>deletes</v>
      </c>
    </row>
    <row r="13187">
      <c r="A13187" s="1" t="s">
        <v>13187</v>
      </c>
      <c r="B13187" s="2" t="str">
        <f>IFERROR(__xludf.DUMMYFUNCTION("GOOGLETRANSLATE(A13187, ""de"", ""en"")"),"tasha")</f>
        <v>tasha</v>
      </c>
    </row>
    <row r="13188">
      <c r="A13188" s="1" t="s">
        <v>13188</v>
      </c>
      <c r="B13188" s="2" t="str">
        <f>IFERROR(__xludf.DUMMYFUNCTION("GOOGLETRANSLATE(A13188, ""de"", ""en"")"),"tramp")</f>
        <v>tramp</v>
      </c>
    </row>
    <row r="13189">
      <c r="A13189" s="1" t="s">
        <v>13189</v>
      </c>
      <c r="B13189" s="2" t="str">
        <f>IFERROR(__xludf.DUMMYFUNCTION("GOOGLETRANSLATE(A13189, ""de"", ""en"")"),"lawful")</f>
        <v>lawful</v>
      </c>
    </row>
    <row r="13190">
      <c r="A13190" s="1" t="s">
        <v>13190</v>
      </c>
      <c r="B13190" s="2" t="str">
        <f>IFERROR(__xludf.DUMMYFUNCTION("GOOGLETRANSLATE(A13190, ""de"", ""en"")"),"decades")</f>
        <v>decades</v>
      </c>
    </row>
    <row r="13191">
      <c r="A13191" s="1" t="s">
        <v>13191</v>
      </c>
      <c r="B13191" s="2" t="str">
        <f>IFERROR(__xludf.DUMMYFUNCTION("GOOGLETRANSLATE(A13191, ""de"", ""en"")"),"psychologists")</f>
        <v>psychologists</v>
      </c>
    </row>
    <row r="13192">
      <c r="A13192" s="1" t="s">
        <v>13192</v>
      </c>
      <c r="B13192" s="2" t="str">
        <f>IFERROR(__xludf.DUMMYFUNCTION("GOOGLETRANSLATE(A13192, ""de"", ""en"")"),"massive")</f>
        <v>massive</v>
      </c>
    </row>
    <row r="13193">
      <c r="A13193" s="1" t="s">
        <v>13193</v>
      </c>
      <c r="B13193" s="2" t="str">
        <f>IFERROR(__xludf.DUMMYFUNCTION("GOOGLETRANSLATE(A13193, ""de"", ""en"")"),"mustafa")</f>
        <v>mustafa</v>
      </c>
    </row>
    <row r="13194">
      <c r="A13194" s="1" t="s">
        <v>13194</v>
      </c>
      <c r="B13194" s="2" t="str">
        <f>IFERROR(__xludf.DUMMYFUNCTION("GOOGLETRANSLATE(A13194, ""de"", ""en"")"),"della")</f>
        <v>della</v>
      </c>
    </row>
    <row r="13195">
      <c r="A13195" s="1" t="s">
        <v>13195</v>
      </c>
      <c r="B13195" s="2" t="str">
        <f>IFERROR(__xludf.DUMMYFUNCTION("GOOGLETRANSLATE(A13195, ""de"", ""en"")"),"Nathalie")</f>
        <v>Nathalie</v>
      </c>
    </row>
    <row r="13196">
      <c r="A13196" s="1" t="s">
        <v>13196</v>
      </c>
      <c r="B13196" s="2" t="str">
        <f>IFERROR(__xludf.DUMMYFUNCTION("GOOGLETRANSLATE(A13196, ""de"", ""en"")"),"flank")</f>
        <v>flank</v>
      </c>
    </row>
    <row r="13197">
      <c r="A13197" s="1" t="s">
        <v>13197</v>
      </c>
      <c r="B13197" s="2" t="str">
        <f>IFERROR(__xludf.DUMMYFUNCTION("GOOGLETRANSLATE(A13197, ""de"", ""en"")"),"lyla")</f>
        <v>lyla</v>
      </c>
    </row>
    <row r="13198">
      <c r="A13198" s="1" t="s">
        <v>13198</v>
      </c>
      <c r="B13198" s="2" t="str">
        <f>IFERROR(__xludf.DUMMYFUNCTION("GOOGLETRANSLATE(A13198, ""de"", ""en"")"),"savings")</f>
        <v>savings</v>
      </c>
    </row>
    <row r="13199">
      <c r="A13199" s="1" t="s">
        <v>13199</v>
      </c>
      <c r="B13199" s="2" t="str">
        <f>IFERROR(__xludf.DUMMYFUNCTION("GOOGLETRANSLATE(A13199, ""de"", ""en"")"),"to interfere")</f>
        <v>to interfere</v>
      </c>
    </row>
    <row r="13200">
      <c r="A13200" s="1" t="s">
        <v>13200</v>
      </c>
      <c r="B13200" s="2" t="str">
        <f>IFERROR(__xludf.DUMMYFUNCTION("GOOGLETRANSLATE(A13200, ""de"", ""en"")"),"dillon")</f>
        <v>dillon</v>
      </c>
    </row>
    <row r="13201">
      <c r="A13201" s="1" t="s">
        <v>13201</v>
      </c>
      <c r="B13201" s="2" t="str">
        <f>IFERROR(__xludf.DUMMYFUNCTION("GOOGLETRANSLATE(A13201, ""de"", ""en"")"),"Joanna")</f>
        <v>Joanna</v>
      </c>
    </row>
    <row r="13202">
      <c r="A13202" s="1" t="s">
        <v>13202</v>
      </c>
      <c r="B13202" s="2" t="str">
        <f>IFERROR(__xludf.DUMMYFUNCTION("GOOGLETRANSLATE(A13202, ""de"", ""en"")"),"loyal")</f>
        <v>loyal</v>
      </c>
    </row>
    <row r="13203">
      <c r="A13203" s="1" t="s">
        <v>13203</v>
      </c>
      <c r="B13203" s="2" t="str">
        <f>IFERROR(__xludf.DUMMYFUNCTION("GOOGLETRANSLATE(A13203, ""de"", ""en"")"),"deadline")</f>
        <v>deadline</v>
      </c>
    </row>
    <row r="13204">
      <c r="A13204" s="1" t="s">
        <v>13204</v>
      </c>
      <c r="B13204" s="2" t="str">
        <f>IFERROR(__xludf.DUMMYFUNCTION("GOOGLETRANSLATE(A13204, ""de"", ""en"")"),"tonight")</f>
        <v>tonight</v>
      </c>
    </row>
    <row r="13205">
      <c r="A13205" s="1" t="s">
        <v>13205</v>
      </c>
      <c r="B13205" s="2" t="str">
        <f>IFERROR(__xludf.DUMMYFUNCTION("GOOGLETRANSLATE(A13205, ""de"", ""en"")"),"South Africa")</f>
        <v>South Africa</v>
      </c>
    </row>
    <row r="13206">
      <c r="A13206" s="1" t="s">
        <v>13206</v>
      </c>
      <c r="B13206" s="2" t="str">
        <f>IFERROR(__xludf.DUMMYFUNCTION("GOOGLETRANSLATE(A13206, ""de"", ""en"")"),"brigitte")</f>
        <v>brigitte</v>
      </c>
    </row>
    <row r="13207">
      <c r="A13207" s="1" t="s">
        <v>13207</v>
      </c>
      <c r="B13207" s="2" t="str">
        <f>IFERROR(__xludf.DUMMYFUNCTION("GOOGLETRANSLATE(A13207, ""de"", ""en"")"),"boone")</f>
        <v>boone</v>
      </c>
    </row>
    <row r="13208">
      <c r="A13208" s="1" t="s">
        <v>13208</v>
      </c>
      <c r="B13208" s="2" t="str">
        <f>IFERROR(__xludf.DUMMYFUNCTION("GOOGLETRANSLATE(A13208, ""de"", ""en"")"),"to participate")</f>
        <v>to participate</v>
      </c>
    </row>
    <row r="13209">
      <c r="A13209" s="1" t="s">
        <v>13209</v>
      </c>
      <c r="B13209" s="2" t="str">
        <f>IFERROR(__xludf.DUMMYFUNCTION("GOOGLETRANSLATE(A13209, ""de"", ""en"")"),"shear")</f>
        <v>shear</v>
      </c>
    </row>
    <row r="13210">
      <c r="A13210" s="1" t="s">
        <v>13210</v>
      </c>
      <c r="B13210" s="2" t="str">
        <f>IFERROR(__xludf.DUMMYFUNCTION("GOOGLETRANSLATE(A13210, ""de"", ""en"")"),"heights")</f>
        <v>heights</v>
      </c>
    </row>
    <row r="13211">
      <c r="A13211" s="1" t="s">
        <v>13211</v>
      </c>
      <c r="B13211" s="2" t="str">
        <f>IFERROR(__xludf.DUMMYFUNCTION("GOOGLETRANSLATE(A13211, ""de"", ""en"")"),"contradict")</f>
        <v>contradict</v>
      </c>
    </row>
    <row r="13212">
      <c r="A13212" s="1" t="s">
        <v>13212</v>
      </c>
      <c r="B13212" s="2" t="str">
        <f>IFERROR(__xludf.DUMMYFUNCTION("GOOGLETRANSLATE(A13212, ""de"", ""en"")"),"takeover")</f>
        <v>takeover</v>
      </c>
    </row>
    <row r="13213">
      <c r="A13213" s="1" t="s">
        <v>13213</v>
      </c>
      <c r="B13213" s="2" t="str">
        <f>IFERROR(__xludf.DUMMYFUNCTION("GOOGLETRANSLATE(A13213, ""de"", ""en"")"),"snacks")</f>
        <v>snacks</v>
      </c>
    </row>
    <row r="13214">
      <c r="A13214" s="1" t="s">
        <v>13214</v>
      </c>
      <c r="B13214" s="2" t="str">
        <f>IFERROR(__xludf.DUMMYFUNCTION("GOOGLETRANSLATE(A13214, ""de"", ""en"")"),"nutrition")</f>
        <v>nutrition</v>
      </c>
    </row>
    <row r="13215">
      <c r="A13215" s="1" t="s">
        <v>13215</v>
      </c>
      <c r="B13215" s="2" t="str">
        <f>IFERROR(__xludf.DUMMYFUNCTION("GOOGLETRANSLATE(A13215, ""de"", ""en"")"),"incidents")</f>
        <v>incidents</v>
      </c>
    </row>
    <row r="13216">
      <c r="A13216" s="1" t="s">
        <v>13216</v>
      </c>
      <c r="B13216" s="2" t="str">
        <f>IFERROR(__xludf.DUMMYFUNCTION("GOOGLETRANSLATE(A13216, ""de"", ""en"")"),"delusions")</f>
        <v>delusions</v>
      </c>
    </row>
    <row r="13217">
      <c r="A13217" s="1" t="s">
        <v>13217</v>
      </c>
      <c r="B13217" s="2" t="str">
        <f>IFERROR(__xludf.DUMMYFUNCTION("GOOGLETRANSLATE(A13217, ""de"", ""en"")"),"snap")</f>
        <v>snap</v>
      </c>
    </row>
    <row r="13218">
      <c r="A13218" s="1" t="s">
        <v>13218</v>
      </c>
      <c r="B13218" s="2" t="str">
        <f>IFERROR(__xludf.DUMMYFUNCTION("GOOGLETRANSLATE(A13218, ""de"", ""en"")"),"more comfortable")</f>
        <v>more comfortable</v>
      </c>
    </row>
    <row r="13219">
      <c r="A13219" s="1" t="s">
        <v>13219</v>
      </c>
      <c r="B13219" s="2" t="str">
        <f>IFERROR(__xludf.DUMMYFUNCTION("GOOGLETRANSLATE(A13219, ""de"", ""en"")"),"pop music")</f>
        <v>pop music</v>
      </c>
    </row>
    <row r="13220">
      <c r="A13220" s="1" t="s">
        <v>13220</v>
      </c>
      <c r="B13220" s="2" t="str">
        <f>IFERROR(__xludf.DUMMYFUNCTION("GOOGLETRANSLATE(A13220, ""de"", ""en"")"),"testicles")</f>
        <v>testicles</v>
      </c>
    </row>
    <row r="13221">
      <c r="A13221" s="1" t="s">
        <v>13221</v>
      </c>
      <c r="B13221" s="2" t="str">
        <f>IFERROR(__xludf.DUMMYFUNCTION("GOOGLETRANSLATE(A13221, ""de"", ""en"")"),"intrusive")</f>
        <v>intrusive</v>
      </c>
    </row>
    <row r="13222">
      <c r="A13222" s="1" t="s">
        <v>13222</v>
      </c>
      <c r="B13222" s="2" t="str">
        <f>IFERROR(__xludf.DUMMYFUNCTION("GOOGLETRANSLATE(A13222, ""de"", ""en"")"),"public prosecutor")</f>
        <v>public prosecutor</v>
      </c>
    </row>
    <row r="13223">
      <c r="A13223" s="1" t="s">
        <v>13223</v>
      </c>
      <c r="B13223" s="2" t="str">
        <f>IFERROR(__xludf.DUMMYFUNCTION("GOOGLETRANSLATE(A13223, ""de"", ""en"")"),"repulsive")</f>
        <v>repulsive</v>
      </c>
    </row>
    <row r="13224">
      <c r="A13224" s="1" t="s">
        <v>13224</v>
      </c>
      <c r="B13224" s="2" t="str">
        <f>IFERROR(__xludf.DUMMYFUNCTION("GOOGLETRANSLATE(A13224, ""de"", ""en"")"),"battalion")</f>
        <v>battalion</v>
      </c>
    </row>
    <row r="13225">
      <c r="A13225" s="1" t="s">
        <v>13225</v>
      </c>
      <c r="B13225" s="2" t="str">
        <f>IFERROR(__xludf.DUMMYFUNCTION("GOOGLETRANSLATE(A13225, ""de"", ""en"")"),"yup")</f>
        <v>yup</v>
      </c>
    </row>
    <row r="13226">
      <c r="A13226" s="1" t="s">
        <v>13226</v>
      </c>
      <c r="B13226" s="2" t="str">
        <f>IFERROR(__xludf.DUMMYFUNCTION("GOOGLETRANSLATE(A13226, ""de"", ""en"")"),"energy source")</f>
        <v>energy source</v>
      </c>
    </row>
    <row r="13227">
      <c r="A13227" s="1" t="s">
        <v>13227</v>
      </c>
      <c r="B13227" s="2" t="str">
        <f>IFERROR(__xludf.DUMMYFUNCTION("GOOGLETRANSLATE(A13227, ""de"", ""en"")"),"jump")</f>
        <v>jump</v>
      </c>
    </row>
    <row r="13228">
      <c r="A13228" s="1" t="s">
        <v>13228</v>
      </c>
      <c r="B13228" s="2" t="str">
        <f>IFERROR(__xludf.DUMMYFUNCTION("GOOGLETRANSLATE(A13228, ""de"", ""en"")"),"contradiction")</f>
        <v>contradiction</v>
      </c>
    </row>
    <row r="13229">
      <c r="A13229" s="1" t="s">
        <v>13229</v>
      </c>
      <c r="B13229" s="2" t="str">
        <f>IFERROR(__xludf.DUMMYFUNCTION("GOOGLETRANSLATE(A13229, ""de"", ""en"")"),"defense")</f>
        <v>defense</v>
      </c>
    </row>
    <row r="13230">
      <c r="A13230" s="1" t="s">
        <v>13230</v>
      </c>
      <c r="B13230" s="2" t="str">
        <f>IFERROR(__xludf.DUMMYFUNCTION("GOOGLETRANSLATE(A13230, ""de"", ""en"")"),"free")</f>
        <v>free</v>
      </c>
    </row>
    <row r="13231">
      <c r="A13231" s="1" t="s">
        <v>13231</v>
      </c>
      <c r="B13231" s="2" t="str">
        <f>IFERROR(__xludf.DUMMYFUNCTION("GOOGLETRANSLATE(A13231, ""de"", ""en"")"),"drunks")</f>
        <v>drunks</v>
      </c>
    </row>
    <row r="13232">
      <c r="A13232" s="1" t="s">
        <v>13232</v>
      </c>
      <c r="B13232" s="2" t="str">
        <f>IFERROR(__xludf.DUMMYFUNCTION("GOOGLETRANSLATE(A13232, ""de"", ""en"")"),"pushed")</f>
        <v>pushed</v>
      </c>
    </row>
    <row r="13233">
      <c r="A13233" s="1" t="s">
        <v>13233</v>
      </c>
      <c r="B13233" s="2" t="str">
        <f>IFERROR(__xludf.DUMMYFUNCTION("GOOGLETRANSLATE(A13233, ""de"", ""en"")"),"do it")</f>
        <v>do it</v>
      </c>
    </row>
    <row r="13234">
      <c r="A13234" s="1" t="s">
        <v>13234</v>
      </c>
      <c r="B13234" s="2" t="str">
        <f>IFERROR(__xludf.DUMMYFUNCTION("GOOGLETRANSLATE(A13234, ""de"", ""en"")"),"Greek")</f>
        <v>Greek</v>
      </c>
    </row>
    <row r="13235">
      <c r="A13235" s="1" t="s">
        <v>13235</v>
      </c>
      <c r="B13235" s="2" t="str">
        <f>IFERROR(__xludf.DUMMYFUNCTION("GOOGLETRANSLATE(A13235, ""de"", ""en"")"),"Hungary")</f>
        <v>Hungary</v>
      </c>
    </row>
    <row r="13236">
      <c r="A13236" s="1" t="s">
        <v>13236</v>
      </c>
      <c r="B13236" s="2" t="str">
        <f>IFERROR(__xludf.DUMMYFUNCTION("GOOGLETRANSLATE(A13236, ""de"", ""en"")"),"psht")</f>
        <v>psht</v>
      </c>
    </row>
    <row r="13237">
      <c r="A13237" s="1" t="s">
        <v>13237</v>
      </c>
      <c r="B13237" s="2" t="str">
        <f>IFERROR(__xludf.DUMMYFUNCTION("GOOGLETRANSLATE(A13237, ""de"", ""en"")"),"homosexual")</f>
        <v>homosexual</v>
      </c>
    </row>
    <row r="13238">
      <c r="A13238" s="1" t="s">
        <v>13238</v>
      </c>
      <c r="B13238" s="2" t="str">
        <f>IFERROR(__xludf.DUMMYFUNCTION("GOOGLETRANSLATE(A13238, ""de"", ""en"")"),"exciting")</f>
        <v>exciting</v>
      </c>
    </row>
    <row r="13239">
      <c r="A13239" s="1" t="s">
        <v>13239</v>
      </c>
      <c r="B13239" s="2" t="str">
        <f>IFERROR(__xludf.DUMMYFUNCTION("GOOGLETRANSLATE(A13239, ""de"", ""en"")"),"diabetes")</f>
        <v>diabetes</v>
      </c>
    </row>
    <row r="13240">
      <c r="A13240" s="1" t="s">
        <v>13240</v>
      </c>
      <c r="B13240" s="2" t="str">
        <f>IFERROR(__xludf.DUMMYFUNCTION("GOOGLETRANSLATE(A13240, ""de"", ""en"")"),"sniffles")</f>
        <v>sniffles</v>
      </c>
    </row>
    <row r="13241">
      <c r="A13241" s="1" t="s">
        <v>13241</v>
      </c>
      <c r="B13241" s="2" t="str">
        <f>IFERROR(__xludf.DUMMYFUNCTION("GOOGLETRANSLATE(A13241, ""de"", ""en"")"),"bitter")</f>
        <v>bitter</v>
      </c>
    </row>
    <row r="13242">
      <c r="A13242" s="1" t="s">
        <v>13242</v>
      </c>
      <c r="B13242" s="2" t="str">
        <f>IFERROR(__xludf.DUMMYFUNCTION("GOOGLETRANSLATE(A13242, ""de"", ""en"")"),"sink")</f>
        <v>sink</v>
      </c>
    </row>
    <row r="13243">
      <c r="A13243" s="1" t="s">
        <v>13243</v>
      </c>
      <c r="B13243" s="2" t="str">
        <f>IFERROR(__xludf.DUMMYFUNCTION("GOOGLETRANSLATE(A13243, ""de"", ""en"")"),"danced")</f>
        <v>danced</v>
      </c>
    </row>
    <row r="13244">
      <c r="A13244" s="1" t="s">
        <v>13244</v>
      </c>
      <c r="B13244" s="2" t="str">
        <f>IFERROR(__xludf.DUMMYFUNCTION("GOOGLETRANSLATE(A13244, ""de"", ""en"")"),"challenges")</f>
        <v>challenges</v>
      </c>
    </row>
    <row r="13245">
      <c r="A13245" s="1" t="s">
        <v>13245</v>
      </c>
      <c r="B13245" s="2" t="str">
        <f>IFERROR(__xludf.DUMMYFUNCTION("GOOGLETRANSLATE(A13245, ""de"", ""en"")"),"detention")</f>
        <v>detention</v>
      </c>
    </row>
    <row r="13246">
      <c r="A13246" s="1" t="s">
        <v>13246</v>
      </c>
      <c r="B13246" s="2" t="str">
        <f>IFERROR(__xludf.DUMMYFUNCTION("GOOGLETRANSLATE(A13246, ""de"", ""en"")"),"danger to life")</f>
        <v>danger to life</v>
      </c>
    </row>
    <row r="13247">
      <c r="A13247" s="1" t="s">
        <v>13247</v>
      </c>
      <c r="B13247" s="2" t="str">
        <f>IFERROR(__xludf.DUMMYFUNCTION("GOOGLETRANSLATE(A13247, ""de"", ""en"")"),"pass over")</f>
        <v>pass over</v>
      </c>
    </row>
    <row r="13248">
      <c r="A13248" s="1" t="s">
        <v>13248</v>
      </c>
      <c r="B13248" s="2" t="str">
        <f>IFERROR(__xludf.DUMMYFUNCTION("GOOGLETRANSLATE(A13248, ""de"", ""en"")"),"word")</f>
        <v>word</v>
      </c>
    </row>
    <row r="13249">
      <c r="A13249" s="1" t="s">
        <v>13249</v>
      </c>
      <c r="B13249" s="2" t="str">
        <f>IFERROR(__xludf.DUMMYFUNCTION("GOOGLETRANSLATE(A13249, ""de"", ""en"")"),"no.")</f>
        <v>no.</v>
      </c>
    </row>
    <row r="13250">
      <c r="A13250" s="1" t="s">
        <v>13250</v>
      </c>
      <c r="B13250" s="2" t="str">
        <f>IFERROR(__xludf.DUMMYFUNCTION("GOOGLETRANSLATE(A13250, ""de"", ""en"")"),"agency")</f>
        <v>agency</v>
      </c>
    </row>
    <row r="13251">
      <c r="A13251" s="1" t="s">
        <v>13251</v>
      </c>
      <c r="B13251" s="2" t="str">
        <f>IFERROR(__xludf.DUMMYFUNCTION("GOOGLETRANSLATE(A13251, ""de"", ""en"")"),"next to each other")</f>
        <v>next to each other</v>
      </c>
    </row>
    <row r="13252">
      <c r="A13252" s="1" t="s">
        <v>13252</v>
      </c>
      <c r="B13252" s="2" t="str">
        <f>IFERROR(__xludf.DUMMYFUNCTION("GOOGLETRANSLATE(A13252, ""de"", ""en"")"),"Gladys")</f>
        <v>Gladys</v>
      </c>
    </row>
    <row r="13253">
      <c r="A13253" s="1" t="s">
        <v>13253</v>
      </c>
      <c r="B13253" s="2" t="str">
        <f>IFERROR(__xludf.DUMMYFUNCTION("GOOGLETRANSLATE(A13253, ""de"", ""en"")"),"collector")</f>
        <v>collector</v>
      </c>
    </row>
    <row r="13254">
      <c r="A13254" s="1" t="s">
        <v>13254</v>
      </c>
      <c r="B13254" s="2" t="str">
        <f>IFERROR(__xludf.DUMMYFUNCTION("GOOGLETRANSLATE(A13254, ""de"", ""en"")"),"buckle")</f>
        <v>buckle</v>
      </c>
    </row>
    <row r="13255">
      <c r="A13255" s="1" t="s">
        <v>13255</v>
      </c>
      <c r="B13255" s="2" t="str">
        <f>IFERROR(__xludf.DUMMYFUNCTION("GOOGLETRANSLATE(A13255, ""de"", ""en"")"),"historical")</f>
        <v>historical</v>
      </c>
    </row>
    <row r="13256">
      <c r="A13256" s="1" t="s">
        <v>13256</v>
      </c>
      <c r="B13256" s="2" t="str">
        <f>IFERROR(__xludf.DUMMYFUNCTION("GOOGLETRANSLATE(A13256, ""de"", ""en"")"),"moral")</f>
        <v>moral</v>
      </c>
    </row>
    <row r="13257">
      <c r="A13257" s="1" t="s">
        <v>13257</v>
      </c>
      <c r="B13257" s="2" t="str">
        <f>IFERROR(__xludf.DUMMYFUNCTION("GOOGLETRANSLATE(A13257, ""de"", ""en"")"),"bmw")</f>
        <v>bmw</v>
      </c>
    </row>
    <row r="13258">
      <c r="A13258" s="1" t="s">
        <v>13258</v>
      </c>
      <c r="B13258" s="2" t="str">
        <f>IFERROR(__xludf.DUMMYFUNCTION("GOOGLETRANSLATE(A13258, ""de"", ""en"")"),"devastated")</f>
        <v>devastated</v>
      </c>
    </row>
    <row r="13259">
      <c r="A13259" s="1" t="s">
        <v>13259</v>
      </c>
      <c r="B13259" s="2" t="str">
        <f>IFERROR(__xludf.DUMMYFUNCTION("GOOGLETRANSLATE(A13259, ""de"", ""en"")"),"tombstone")</f>
        <v>tombstone</v>
      </c>
    </row>
    <row r="13260">
      <c r="A13260" s="1" t="s">
        <v>13260</v>
      </c>
      <c r="B13260" s="2" t="str">
        <f>IFERROR(__xludf.DUMMYFUNCTION("GOOGLETRANSLATE(A13260, ""de"", ""en"")"),"deer")</f>
        <v>deer</v>
      </c>
    </row>
    <row r="13261">
      <c r="A13261" s="1" t="s">
        <v>13261</v>
      </c>
      <c r="B13261" s="2" t="str">
        <f>IFERROR(__xludf.DUMMYFUNCTION("GOOGLETRANSLATE(A13261, ""de"", ""en"")"),"presence")</f>
        <v>presence</v>
      </c>
    </row>
    <row r="13262">
      <c r="A13262" s="1" t="s">
        <v>13262</v>
      </c>
      <c r="B13262" s="2" t="str">
        <f>IFERROR(__xludf.DUMMYFUNCTION("GOOGLETRANSLATE(A13262, ""de"", ""en"")"),"inquired")</f>
        <v>inquired</v>
      </c>
    </row>
    <row r="13263">
      <c r="A13263" s="1" t="s">
        <v>13263</v>
      </c>
      <c r="B13263" s="2" t="str">
        <f>IFERROR(__xludf.DUMMYFUNCTION("GOOGLETRANSLATE(A13263, ""de"", ""en"")"),"stated")</f>
        <v>stated</v>
      </c>
    </row>
    <row r="13264">
      <c r="A13264" s="1" t="s">
        <v>13264</v>
      </c>
      <c r="B13264" s="2" t="str">
        <f>IFERROR(__xludf.DUMMYFUNCTION("GOOGLETRANSLATE(A13264, ""de"", ""en"")"),"perception")</f>
        <v>perception</v>
      </c>
    </row>
    <row r="13265">
      <c r="A13265" s="1" t="s">
        <v>13265</v>
      </c>
      <c r="B13265" s="2" t="str">
        <f>IFERROR(__xludf.DUMMYFUNCTION("GOOGLETRANSLATE(A13265, ""de"", ""en"")"),"maintained")</f>
        <v>maintained</v>
      </c>
    </row>
    <row r="13266">
      <c r="A13266" s="1" t="s">
        <v>13266</v>
      </c>
      <c r="B13266" s="2" t="str">
        <f>IFERROR(__xludf.DUMMYFUNCTION("GOOGLETRANSLATE(A13266, ""de"", ""en"")"),"skin color")</f>
        <v>skin color</v>
      </c>
    </row>
    <row r="13267">
      <c r="A13267" s="1" t="s">
        <v>13267</v>
      </c>
      <c r="B13267" s="2" t="str">
        <f>IFERROR(__xludf.DUMMYFUNCTION("GOOGLETRANSLATE(A13267, ""de"", ""en"")"),"can")</f>
        <v>can</v>
      </c>
    </row>
    <row r="13268">
      <c r="A13268" s="1" t="s">
        <v>13268</v>
      </c>
      <c r="B13268" s="2" t="str">
        <f>IFERROR(__xludf.DUMMYFUNCTION("GOOGLETRANSLATE(A13268, ""de"", ""en"")"),"newkirk")</f>
        <v>newkirk</v>
      </c>
    </row>
    <row r="13269">
      <c r="A13269" s="1" t="s">
        <v>13269</v>
      </c>
      <c r="B13269" s="2" t="str">
        <f>IFERROR(__xludf.DUMMYFUNCTION("GOOGLETRANSLATE(A13269, ""de"", ""en"")"),"intercept")</f>
        <v>intercept</v>
      </c>
    </row>
    <row r="13270">
      <c r="A13270" s="1" t="s">
        <v>13270</v>
      </c>
      <c r="B13270" s="2" t="str">
        <f>IFERROR(__xludf.DUMMYFUNCTION("GOOGLETRANSLATE(A13270, ""de"", ""en"")"),"weakened")</f>
        <v>weakened</v>
      </c>
    </row>
    <row r="13271">
      <c r="A13271" s="1" t="s">
        <v>13271</v>
      </c>
      <c r="B13271" s="2" t="str">
        <f>IFERROR(__xludf.DUMMYFUNCTION("GOOGLETRANSLATE(A13271, ""de"", ""en"")"),"regarding")</f>
        <v>regarding</v>
      </c>
    </row>
    <row r="13272">
      <c r="A13272" s="1" t="s">
        <v>13272</v>
      </c>
      <c r="B13272" s="2" t="str">
        <f>IFERROR(__xludf.DUMMYFUNCTION("GOOGLETRANSLATE(A13272, ""de"", ""en"")"),"vice")</f>
        <v>vice</v>
      </c>
    </row>
    <row r="13273">
      <c r="A13273" s="1" t="s">
        <v>13273</v>
      </c>
      <c r="B13273" s="2" t="str">
        <f>IFERROR(__xludf.DUMMYFUNCTION("GOOGLETRANSLATE(A13273, ""de"", ""en"")"),"vending machines")</f>
        <v>vending machines</v>
      </c>
    </row>
    <row r="13274">
      <c r="A13274" s="1" t="s">
        <v>13274</v>
      </c>
      <c r="B13274" s="2" t="str">
        <f>IFERROR(__xludf.DUMMYFUNCTION("GOOGLETRANSLATE(A13274, ""de"", ""en"")"),"prepared")</f>
        <v>prepared</v>
      </c>
    </row>
    <row r="13275">
      <c r="A13275" s="1" t="s">
        <v>13275</v>
      </c>
      <c r="B13275" s="2" t="str">
        <f>IFERROR(__xludf.DUMMYFUNCTION("GOOGLETRANSLATE(A13275, ""de"", ""en"")"),"opening")</f>
        <v>opening</v>
      </c>
    </row>
    <row r="13276">
      <c r="A13276" s="1" t="s">
        <v>13276</v>
      </c>
      <c r="B13276" s="2" t="str">
        <f>IFERROR(__xludf.DUMMYFUNCTION("GOOGLETRANSLATE(A13276, ""de"", ""en"")"),"muffins")</f>
        <v>muffins</v>
      </c>
    </row>
    <row r="13277">
      <c r="A13277" s="1" t="s">
        <v>13277</v>
      </c>
      <c r="B13277" s="2" t="str">
        <f>IFERROR(__xludf.DUMMYFUNCTION("GOOGLETRANSLATE(A13277, ""de"", ""en"")"),"tricky")</f>
        <v>tricky</v>
      </c>
    </row>
    <row r="13278">
      <c r="A13278" s="1" t="s">
        <v>13278</v>
      </c>
      <c r="B13278" s="2" t="str">
        <f>IFERROR(__xludf.DUMMYFUNCTION("GOOGLETRANSLATE(A13278, ""de"", ""en"")"),"business card")</f>
        <v>business card</v>
      </c>
    </row>
    <row r="13279">
      <c r="A13279" s="1" t="s">
        <v>13279</v>
      </c>
      <c r="B13279" s="2" t="str">
        <f>IFERROR(__xludf.DUMMYFUNCTION("GOOGLETRANSLATE(A13279, ""de"", ""en"")"),"pens")</f>
        <v>pens</v>
      </c>
    </row>
    <row r="13280">
      <c r="A13280" s="1" t="s">
        <v>13280</v>
      </c>
      <c r="B13280" s="2" t="str">
        <f>IFERROR(__xludf.DUMMYFUNCTION("GOOGLETRANSLATE(A13280, ""de"", ""en"")"),"entered")</f>
        <v>entered</v>
      </c>
    </row>
    <row r="13281">
      <c r="A13281" s="1" t="s">
        <v>13281</v>
      </c>
      <c r="B13281" s="2" t="str">
        <f>IFERROR(__xludf.DUMMYFUNCTION("GOOGLETRANSLATE(A13281, ""de"", ""en"")"),"almighty")</f>
        <v>almighty</v>
      </c>
    </row>
    <row r="13282">
      <c r="A13282" s="1" t="s">
        <v>13282</v>
      </c>
      <c r="B13282" s="2" t="str">
        <f>IFERROR(__xludf.DUMMYFUNCTION("GOOGLETRANSLATE(A13282, ""de"", ""en"")"),"decades")</f>
        <v>decades</v>
      </c>
    </row>
    <row r="13283">
      <c r="A13283" s="1" t="s">
        <v>13283</v>
      </c>
      <c r="B13283" s="2" t="str">
        <f>IFERROR(__xludf.DUMMYFUNCTION("GOOGLETRANSLATE(A13283, ""de"", ""en"")"),"rebekah")</f>
        <v>rebekah</v>
      </c>
    </row>
    <row r="13284">
      <c r="A13284" s="1" t="s">
        <v>13284</v>
      </c>
      <c r="B13284" s="2" t="str">
        <f>IFERROR(__xludf.DUMMYFUNCTION("GOOGLETRANSLATE(A13284, ""de"", ""en"")"),"Odysseus")</f>
        <v>Odysseus</v>
      </c>
    </row>
    <row r="13285">
      <c r="A13285" s="1" t="s">
        <v>13285</v>
      </c>
      <c r="B13285" s="2" t="str">
        <f>IFERROR(__xludf.DUMMYFUNCTION("GOOGLETRANSLATE(A13285, ""de"", ""en"")"),"more beautiful")</f>
        <v>more beautiful</v>
      </c>
    </row>
    <row r="13286">
      <c r="A13286" s="1" t="s">
        <v>13286</v>
      </c>
      <c r="B13286" s="2" t="str">
        <f>IFERROR(__xludf.DUMMYFUNCTION("GOOGLETRANSLATE(A13286, ""de"", ""en"")"),"closed")</f>
        <v>closed</v>
      </c>
    </row>
    <row r="13287">
      <c r="A13287" s="1" t="s">
        <v>13287</v>
      </c>
      <c r="B13287" s="2" t="str">
        <f>IFERROR(__xludf.DUMMYFUNCTION("GOOGLETRANSLATE(A13287, ""de"", ""en"")"),"wrapped")</f>
        <v>wrapped</v>
      </c>
    </row>
    <row r="13288">
      <c r="A13288" s="1" t="s">
        <v>13288</v>
      </c>
      <c r="B13288" s="2" t="str">
        <f>IFERROR(__xludf.DUMMYFUNCTION("GOOGLETRANSLATE(A13288, ""de"", ""en"")"),"Leopold")</f>
        <v>Leopold</v>
      </c>
    </row>
    <row r="13289">
      <c r="A13289" s="1" t="s">
        <v>13289</v>
      </c>
      <c r="B13289" s="2" t="str">
        <f>IFERROR(__xludf.DUMMYFUNCTION("GOOGLETRANSLATE(A13289, ""de"", ""en"")"),"cart")</f>
        <v>cart</v>
      </c>
    </row>
    <row r="13290">
      <c r="A13290" s="1" t="s">
        <v>13290</v>
      </c>
      <c r="B13290" s="2" t="str">
        <f>IFERROR(__xludf.DUMMYFUNCTION("GOOGLETRANSLATE(A13290, ""de"", ""en"")"),"Chinese")</f>
        <v>Chinese</v>
      </c>
    </row>
    <row r="13291">
      <c r="A13291" s="1" t="s">
        <v>13291</v>
      </c>
      <c r="B13291" s="2" t="str">
        <f>IFERROR(__xludf.DUMMYFUNCTION("GOOGLETRANSLATE(A13291, ""de"", ""en"")"),"research")</f>
        <v>research</v>
      </c>
    </row>
    <row r="13292">
      <c r="A13292" s="1" t="s">
        <v>13292</v>
      </c>
      <c r="B13292" s="2" t="str">
        <f>IFERROR(__xludf.DUMMYFUNCTION("GOOGLETRANSLATE(A13292, ""de"", ""en"")"),"he's listening")</f>
        <v>he's listening</v>
      </c>
    </row>
    <row r="13293">
      <c r="A13293" s="1" t="s">
        <v>13293</v>
      </c>
      <c r="B13293" s="2" t="str">
        <f>IFERROR(__xludf.DUMMYFUNCTION("GOOGLETRANSLATE(A13293, ""de"", ""en"")"),"frustrating")</f>
        <v>frustrating</v>
      </c>
    </row>
    <row r="13294">
      <c r="A13294" s="1" t="s">
        <v>13294</v>
      </c>
      <c r="B13294" s="2" t="str">
        <f>IFERROR(__xludf.DUMMYFUNCTION("GOOGLETRANSLATE(A13294, ""de"", ""en"")"),"redeem")</f>
        <v>redeem</v>
      </c>
    </row>
    <row r="13295">
      <c r="A13295" s="1" t="s">
        <v>13295</v>
      </c>
      <c r="B13295" s="2" t="str">
        <f>IFERROR(__xludf.DUMMYFUNCTION("GOOGLETRANSLATE(A13295, ""de"", ""en"")"),"demanded")</f>
        <v>demanded</v>
      </c>
    </row>
    <row r="13296">
      <c r="A13296" s="1" t="s">
        <v>13296</v>
      </c>
      <c r="B13296" s="2" t="str">
        <f>IFERROR(__xludf.DUMMYFUNCTION("GOOGLETRANSLATE(A13296, ""de"", ""en"")"),"above")</f>
        <v>above</v>
      </c>
    </row>
    <row r="13297">
      <c r="A13297" s="1" t="s">
        <v>13297</v>
      </c>
      <c r="B13297" s="2" t="str">
        <f>IFERROR(__xludf.DUMMYFUNCTION("GOOGLETRANSLATE(A13297, ""de"", ""en"")"),"directions")</f>
        <v>directions</v>
      </c>
    </row>
    <row r="13298">
      <c r="A13298" s="1" t="s">
        <v>13298</v>
      </c>
      <c r="B13298" s="2" t="str">
        <f>IFERROR(__xludf.DUMMYFUNCTION("GOOGLETRANSLATE(A13298, ""de"", ""en"")"),"cover")</f>
        <v>cover</v>
      </c>
    </row>
    <row r="13299">
      <c r="A13299" s="1" t="s">
        <v>13299</v>
      </c>
      <c r="B13299" s="2" t="str">
        <f>IFERROR(__xludf.DUMMYFUNCTION("GOOGLETRANSLATE(A13299, ""de"", ""en"")"),"forget")</f>
        <v>forget</v>
      </c>
    </row>
    <row r="13300">
      <c r="A13300" s="1" t="s">
        <v>13300</v>
      </c>
      <c r="B13300" s="2" t="str">
        <f>IFERROR(__xludf.DUMMYFUNCTION("GOOGLETRANSLATE(A13300, ""de"", ""en"")"),"transit")</f>
        <v>transit</v>
      </c>
    </row>
    <row r="13301">
      <c r="A13301" s="1" t="s">
        <v>13301</v>
      </c>
      <c r="B13301" s="2" t="str">
        <f>IFERROR(__xludf.DUMMYFUNCTION("GOOGLETRANSLATE(A13301, ""de"", ""en"")"),"sixth")</f>
        <v>sixth</v>
      </c>
    </row>
    <row r="13302">
      <c r="A13302" s="1" t="s">
        <v>13302</v>
      </c>
      <c r="B13302" s="2" t="str">
        <f>IFERROR(__xludf.DUMMYFUNCTION("GOOGLETRANSLATE(A13302, ""de"", ""en"")"),"desire")</f>
        <v>desire</v>
      </c>
    </row>
    <row r="13303">
      <c r="A13303" s="1" t="s">
        <v>13303</v>
      </c>
      <c r="B13303" s="2" t="str">
        <f>IFERROR(__xludf.DUMMYFUNCTION("GOOGLETRANSLATE(A13303, ""de"", ""en"")"),"relinquish")</f>
        <v>relinquish</v>
      </c>
    </row>
    <row r="13304">
      <c r="A13304" s="1" t="s">
        <v>13304</v>
      </c>
      <c r="B13304" s="2" t="str">
        <f>IFERROR(__xludf.DUMMYFUNCTION("GOOGLETRANSLATE(A13304, ""de"", ""en"")"),"Massachusetts")</f>
        <v>Massachusetts</v>
      </c>
    </row>
    <row r="13305">
      <c r="A13305" s="1" t="s">
        <v>13305</v>
      </c>
      <c r="B13305" s="2" t="str">
        <f>IFERROR(__xludf.DUMMYFUNCTION("GOOGLETRANSLATE(A13305, ""de"", ""en"")"),"slip")</f>
        <v>slip</v>
      </c>
    </row>
    <row r="13306">
      <c r="A13306" s="1" t="s">
        <v>13306</v>
      </c>
      <c r="B13306" s="2" t="str">
        <f>IFERROR(__xludf.DUMMYFUNCTION("GOOGLETRANSLATE(A13306, ""de"", ""en"")"),"mustang")</f>
        <v>mustang</v>
      </c>
    </row>
    <row r="13307">
      <c r="A13307" s="1" t="s">
        <v>13307</v>
      </c>
      <c r="B13307" s="2" t="str">
        <f>IFERROR(__xludf.DUMMYFUNCTION("GOOGLETRANSLATE(A13307, ""de"", ""en"")"),"henchman")</f>
        <v>henchman</v>
      </c>
    </row>
    <row r="13308">
      <c r="A13308" s="1" t="s">
        <v>13308</v>
      </c>
      <c r="B13308" s="2" t="str">
        <f>IFERROR(__xludf.DUMMYFUNCTION("GOOGLETRANSLATE(A13308, ""de"", ""en"")"),"winters")</f>
        <v>winters</v>
      </c>
    </row>
    <row r="13309">
      <c r="A13309" s="1" t="s">
        <v>13309</v>
      </c>
      <c r="B13309" s="2" t="str">
        <f>IFERROR(__xludf.DUMMYFUNCTION("GOOGLETRANSLATE(A13309, ""de"", ""en"")"),"zeke")</f>
        <v>zeke</v>
      </c>
    </row>
    <row r="13310">
      <c r="A13310" s="1" t="s">
        <v>13310</v>
      </c>
      <c r="B13310" s="2" t="str">
        <f>IFERROR(__xludf.DUMMYFUNCTION("GOOGLETRANSLATE(A13310, ""de"", ""en"")"),"some")</f>
        <v>some</v>
      </c>
    </row>
    <row r="13311">
      <c r="A13311" s="1" t="s">
        <v>13311</v>
      </c>
      <c r="B13311" s="2" t="str">
        <f>IFERROR(__xludf.DUMMYFUNCTION("GOOGLETRANSLATE(A13311, ""de"", ""en"")"),"comforts")</f>
        <v>comforts</v>
      </c>
    </row>
    <row r="13312">
      <c r="A13312" s="1" t="s">
        <v>13312</v>
      </c>
      <c r="B13312" s="2" t="str">
        <f>IFERROR(__xludf.DUMMYFUNCTION("GOOGLETRANSLATE(A13312, ""de"", ""en"")"),"strive")</f>
        <v>strive</v>
      </c>
    </row>
    <row r="13313">
      <c r="A13313" s="1" t="s">
        <v>13313</v>
      </c>
      <c r="B13313" s="2" t="str">
        <f>IFERROR(__xludf.DUMMYFUNCTION("GOOGLETRANSLATE(A13313, ""de"", ""en"")"),"bluff")</f>
        <v>bluff</v>
      </c>
    </row>
    <row r="13314">
      <c r="A13314" s="1" t="s">
        <v>13314</v>
      </c>
      <c r="B13314" s="2" t="str">
        <f>IFERROR(__xludf.DUMMYFUNCTION("GOOGLETRANSLATE(A13314, ""de"", ""en"")"),"unfaithful")</f>
        <v>unfaithful</v>
      </c>
    </row>
    <row r="13315">
      <c r="A13315" s="1" t="s">
        <v>13315</v>
      </c>
      <c r="B13315" s="2" t="str">
        <f>IFERROR(__xludf.DUMMYFUNCTION("GOOGLETRANSLATE(A13315, ""de"", ""en"")"),"Always")</f>
        <v>Always</v>
      </c>
    </row>
    <row r="13316">
      <c r="A13316" s="1" t="s">
        <v>13316</v>
      </c>
      <c r="B13316" s="2" t="str">
        <f>IFERROR(__xludf.DUMMYFUNCTION("GOOGLETRANSLATE(A13316, ""de"", ""en"")"),"odin")</f>
        <v>odin</v>
      </c>
    </row>
    <row r="13317">
      <c r="A13317" s="1" t="s">
        <v>13317</v>
      </c>
      <c r="B13317" s="2" t="str">
        <f>IFERROR(__xludf.DUMMYFUNCTION("GOOGLETRANSLATE(A13317, ""de"", ""en"")"),"behave")</f>
        <v>behave</v>
      </c>
    </row>
    <row r="13318">
      <c r="A13318" s="1" t="s">
        <v>13318</v>
      </c>
      <c r="B13318" s="2" t="str">
        <f>IFERROR(__xludf.DUMMYFUNCTION("GOOGLETRANSLATE(A13318, ""de"", ""en"")"),"participate")</f>
        <v>participate</v>
      </c>
    </row>
    <row r="13319">
      <c r="A13319" s="1" t="s">
        <v>13319</v>
      </c>
      <c r="B13319" s="2" t="str">
        <f>IFERROR(__xludf.DUMMYFUNCTION("GOOGLETRANSLATE(A13319, ""de"", ""en"")"),"plaintext")</f>
        <v>plaintext</v>
      </c>
    </row>
    <row r="13320">
      <c r="A13320" s="1" t="s">
        <v>13320</v>
      </c>
      <c r="B13320" s="2" t="str">
        <f>IFERROR(__xludf.DUMMYFUNCTION("GOOGLETRANSLATE(A13320, ""de"", ""en"")"),"adorable")</f>
        <v>adorable</v>
      </c>
    </row>
    <row r="13321">
      <c r="A13321" s="1" t="s">
        <v>13321</v>
      </c>
      <c r="B13321" s="2" t="str">
        <f>IFERROR(__xludf.DUMMYFUNCTION("GOOGLETRANSLATE(A13321, ""de"", ""en"")"),"jackpot")</f>
        <v>jackpot</v>
      </c>
    </row>
    <row r="13322">
      <c r="A13322" s="1" t="s">
        <v>13322</v>
      </c>
      <c r="B13322" s="2" t="str">
        <f>IFERROR(__xludf.DUMMYFUNCTION("GOOGLETRANSLATE(A13322, ""de"", ""en"")"),"give birth")</f>
        <v>give birth</v>
      </c>
    </row>
    <row r="13323">
      <c r="A13323" s="1" t="s">
        <v>13323</v>
      </c>
      <c r="B13323" s="2" t="str">
        <f>IFERROR(__xludf.DUMMYFUNCTION("GOOGLETRANSLATE(A13323, ""de"", ""en"")"),"setup")</f>
        <v>setup</v>
      </c>
    </row>
    <row r="13324">
      <c r="A13324" s="1" t="s">
        <v>13324</v>
      </c>
      <c r="B13324" s="2" t="str">
        <f>IFERROR(__xludf.DUMMYFUNCTION("GOOGLETRANSLATE(A13324, ""de"", ""en"")"),"lip")</f>
        <v>lip</v>
      </c>
    </row>
    <row r="13325">
      <c r="A13325" s="1" t="s">
        <v>13325</v>
      </c>
      <c r="B13325" s="2" t="str">
        <f>IFERROR(__xludf.DUMMYFUNCTION("GOOGLETRANSLATE(A13325, ""de"", ""en"")"),"baba")</f>
        <v>baba</v>
      </c>
    </row>
    <row r="13326">
      <c r="A13326" s="1" t="s">
        <v>13326</v>
      </c>
      <c r="B13326" s="2" t="str">
        <f>IFERROR(__xludf.DUMMYFUNCTION("GOOGLETRANSLATE(A13326, ""de"", ""en"")"),"lillian")</f>
        <v>lillian</v>
      </c>
    </row>
    <row r="13327">
      <c r="A13327" s="1" t="s">
        <v>13327</v>
      </c>
      <c r="B13327" s="2" t="str">
        <f>IFERROR(__xludf.DUMMYFUNCTION("GOOGLETRANSLATE(A13327, ""de"", ""en"")"),"morgana")</f>
        <v>morgana</v>
      </c>
    </row>
    <row r="13328">
      <c r="A13328" s="1" t="s">
        <v>13328</v>
      </c>
      <c r="B13328" s="2" t="str">
        <f>IFERROR(__xludf.DUMMYFUNCTION("GOOGLETRANSLATE(A13328, ""de"", ""en"")"),"mallory")</f>
        <v>mallory</v>
      </c>
    </row>
    <row r="13329">
      <c r="A13329" s="1" t="s">
        <v>13329</v>
      </c>
      <c r="B13329" s="2" t="str">
        <f>IFERROR(__xludf.DUMMYFUNCTION("GOOGLETRANSLATE(A13329, ""de"", ""en"")"),"do well")</f>
        <v>do well</v>
      </c>
    </row>
    <row r="13330">
      <c r="A13330" s="1" t="s">
        <v>13330</v>
      </c>
      <c r="B13330" s="2" t="str">
        <f>IFERROR(__xludf.DUMMYFUNCTION("GOOGLETRANSLATE(A13330, ""de"", ""en"")"),"chung")</f>
        <v>chung</v>
      </c>
    </row>
    <row r="13331">
      <c r="A13331" s="1" t="s">
        <v>13331</v>
      </c>
      <c r="B13331" s="2" t="str">
        <f>IFERROR(__xludf.DUMMYFUNCTION("GOOGLETRANSLATE(A13331, ""de"", ""en"")"),"serve")</f>
        <v>serve</v>
      </c>
    </row>
    <row r="13332">
      <c r="A13332" s="1" t="s">
        <v>13332</v>
      </c>
      <c r="B13332" s="2" t="str">
        <f>IFERROR(__xludf.DUMMYFUNCTION("GOOGLETRANSLATE(A13332, ""de"", ""en"")"),"victories")</f>
        <v>victories</v>
      </c>
    </row>
    <row r="13333">
      <c r="A13333" s="1" t="s">
        <v>13333</v>
      </c>
      <c r="B13333" s="2" t="str">
        <f>IFERROR(__xludf.DUMMYFUNCTION("GOOGLETRANSLATE(A13333, ""de"", ""en"")"),"withdrawn")</f>
        <v>withdrawn</v>
      </c>
    </row>
    <row r="13334">
      <c r="A13334" s="1" t="s">
        <v>13334</v>
      </c>
      <c r="B13334" s="2" t="str">
        <f>IFERROR(__xludf.DUMMYFUNCTION("GOOGLETRANSLATE(A13334, ""de"", ""en"")"),"smallville")</f>
        <v>smallville</v>
      </c>
    </row>
    <row r="13335">
      <c r="A13335" s="1" t="s">
        <v>13335</v>
      </c>
      <c r="B13335" s="2" t="str">
        <f>IFERROR(__xludf.DUMMYFUNCTION("GOOGLETRANSLATE(A13335, ""de"", ""en"")"),"Pacific")</f>
        <v>Pacific</v>
      </c>
    </row>
    <row r="13336">
      <c r="A13336" s="1" t="s">
        <v>13336</v>
      </c>
      <c r="B13336" s="2" t="str">
        <f>IFERROR(__xludf.DUMMYFUNCTION("GOOGLETRANSLATE(A13336, ""de"", ""en"")"),"in front of the door")</f>
        <v>in front of the door</v>
      </c>
    </row>
    <row r="13337">
      <c r="A13337" s="1" t="s">
        <v>13337</v>
      </c>
      <c r="B13337" s="2" t="str">
        <f>IFERROR(__xludf.DUMMYFUNCTION("GOOGLETRANSLATE(A13337, ""de"", ""en"")"),"begged")</f>
        <v>begged</v>
      </c>
    </row>
    <row r="13338">
      <c r="A13338" s="1" t="s">
        <v>13338</v>
      </c>
      <c r="B13338" s="2" t="str">
        <f>IFERROR(__xludf.DUMMYFUNCTION("GOOGLETRANSLATE(A13338, ""de"", ""en"")"),"monument")</f>
        <v>monument</v>
      </c>
    </row>
    <row r="13339">
      <c r="A13339" s="1" t="s">
        <v>13339</v>
      </c>
      <c r="B13339" s="2" t="str">
        <f>IFERROR(__xludf.DUMMYFUNCTION("GOOGLETRANSLATE(A13339, ""de"", ""en"")"),"panther")</f>
        <v>panther</v>
      </c>
    </row>
    <row r="13340">
      <c r="A13340" s="1" t="s">
        <v>13340</v>
      </c>
      <c r="B13340" s="2" t="str">
        <f>IFERROR(__xludf.DUMMYFUNCTION("GOOGLETRANSLATE(A13340, ""de"", ""en"")"),"to connect")</f>
        <v>to connect</v>
      </c>
    </row>
    <row r="13341">
      <c r="A13341" s="1" t="s">
        <v>13341</v>
      </c>
      <c r="B13341" s="2" t="str">
        <f>IFERROR(__xludf.DUMMYFUNCTION("GOOGLETRANSLATE(A13341, ""de"", ""en"")"),"northern")</f>
        <v>northern</v>
      </c>
    </row>
    <row r="13342">
      <c r="A13342" s="1" t="s">
        <v>13342</v>
      </c>
      <c r="B13342" s="2" t="str">
        <f>IFERROR(__xludf.DUMMYFUNCTION("GOOGLETRANSLATE(A13342, ""de"", ""en"")"),"screw")</f>
        <v>screw</v>
      </c>
    </row>
    <row r="13343">
      <c r="A13343" s="1" t="s">
        <v>13343</v>
      </c>
      <c r="B13343" s="2" t="str">
        <f>IFERROR(__xludf.DUMMYFUNCTION("GOOGLETRANSLATE(A13343, ""de"", ""en"")"),"tick")</f>
        <v>tick</v>
      </c>
    </row>
    <row r="13344">
      <c r="A13344" s="1" t="s">
        <v>13344</v>
      </c>
      <c r="B13344" s="2" t="str">
        <f>IFERROR(__xludf.DUMMYFUNCTION("GOOGLETRANSLATE(A13344, ""de"", ""en"")"),"bachelor")</f>
        <v>bachelor</v>
      </c>
    </row>
    <row r="13345">
      <c r="A13345" s="1" t="s">
        <v>13345</v>
      </c>
      <c r="B13345" s="2" t="str">
        <f>IFERROR(__xludf.DUMMYFUNCTION("GOOGLETRANSLATE(A13345, ""de"", ""en"")"),"drown")</f>
        <v>drown</v>
      </c>
    </row>
    <row r="13346">
      <c r="A13346" s="1" t="s">
        <v>13346</v>
      </c>
      <c r="B13346" s="2" t="str">
        <f>IFERROR(__xludf.DUMMYFUNCTION("GOOGLETRANSLATE(A13346, ""de"", ""en"")"),"manning")</f>
        <v>manning</v>
      </c>
    </row>
    <row r="13347">
      <c r="A13347" s="1" t="s">
        <v>13347</v>
      </c>
      <c r="B13347" s="2" t="str">
        <f>IFERROR(__xludf.DUMMYFUNCTION("GOOGLETRANSLATE(A13347, ""de"", ""en"")"),"fancy")</f>
        <v>fancy</v>
      </c>
    </row>
    <row r="13348">
      <c r="A13348" s="1" t="s">
        <v>13348</v>
      </c>
      <c r="B13348" s="2" t="str">
        <f>IFERROR(__xludf.DUMMYFUNCTION("GOOGLETRANSLATE(A13348, ""de"", ""en"")"),"entirely")</f>
        <v>entirely</v>
      </c>
    </row>
    <row r="13349">
      <c r="A13349" s="1" t="s">
        <v>13349</v>
      </c>
      <c r="B13349" s="2" t="str">
        <f>IFERROR(__xludf.DUMMYFUNCTION("GOOGLETRANSLATE(A13349, ""de"", ""en"")"),"miss")</f>
        <v>miss</v>
      </c>
    </row>
    <row r="13350">
      <c r="A13350" s="1" t="s">
        <v>13350</v>
      </c>
      <c r="B13350" s="2" t="str">
        <f>IFERROR(__xludf.DUMMYFUNCTION("GOOGLETRANSLATE(A13350, ""de"", ""en"")"),"suppliers")</f>
        <v>suppliers</v>
      </c>
    </row>
    <row r="13351">
      <c r="A13351" s="1" t="s">
        <v>13351</v>
      </c>
      <c r="B13351" s="2" t="str">
        <f>IFERROR(__xludf.DUMMYFUNCTION("GOOGLETRANSLATE(A13351, ""de"", ""en"")"),"Hopkins")</f>
        <v>Hopkins</v>
      </c>
    </row>
    <row r="13352">
      <c r="A13352" s="1" t="s">
        <v>13352</v>
      </c>
      <c r="B13352" s="2" t="str">
        <f>IFERROR(__xludf.DUMMYFUNCTION("GOOGLETRANSLATE(A13352, ""de"", ""en"")"),"borrow")</f>
        <v>borrow</v>
      </c>
    </row>
    <row r="13353">
      <c r="A13353" s="1" t="s">
        <v>13353</v>
      </c>
      <c r="B13353" s="2" t="str">
        <f>IFERROR(__xludf.DUMMYFUNCTION("GOOGLETRANSLATE(A13353, ""de"", ""en"")"),"Carlton")</f>
        <v>Carlton</v>
      </c>
    </row>
    <row r="13354">
      <c r="A13354" s="1" t="s">
        <v>13354</v>
      </c>
      <c r="B13354" s="2" t="str">
        <f>IFERROR(__xludf.DUMMYFUNCTION("GOOGLETRANSLATE(A13354, ""de"", ""en"")"),"mother")</f>
        <v>mother</v>
      </c>
    </row>
    <row r="13355">
      <c r="A13355" s="1" t="s">
        <v>13355</v>
      </c>
      <c r="B13355" s="2" t="str">
        <f>IFERROR(__xludf.DUMMYFUNCTION("GOOGLETRANSLATE(A13355, ""de"", ""en"")"),"unexpected")</f>
        <v>unexpected</v>
      </c>
    </row>
    <row r="13356">
      <c r="A13356" s="1" t="s">
        <v>13356</v>
      </c>
      <c r="B13356" s="2" t="str">
        <f>IFERROR(__xludf.DUMMYFUNCTION("GOOGLETRANSLATE(A13356, ""de"", ""en"")"),"collar")</f>
        <v>collar</v>
      </c>
    </row>
    <row r="13357">
      <c r="A13357" s="1" t="s">
        <v>13357</v>
      </c>
      <c r="B13357" s="2" t="str">
        <f>IFERROR(__xludf.DUMMYFUNCTION("GOOGLETRANSLATE(A13357, ""de"", ""en"")"),"flow")</f>
        <v>flow</v>
      </c>
    </row>
    <row r="13358">
      <c r="A13358" s="1" t="s">
        <v>13358</v>
      </c>
      <c r="B13358" s="2" t="str">
        <f>IFERROR(__xludf.DUMMYFUNCTION("GOOGLETRANSLATE(A13358, ""de"", ""en"")"),"evidence")</f>
        <v>evidence</v>
      </c>
    </row>
    <row r="13359">
      <c r="A13359" s="1" t="s">
        <v>13359</v>
      </c>
      <c r="B13359" s="2" t="str">
        <f>IFERROR(__xludf.DUMMYFUNCTION("GOOGLETRANSLATE(A13359, ""de"", ""en"")"),"Peter")</f>
        <v>Peter</v>
      </c>
    </row>
    <row r="13360">
      <c r="A13360" s="1" t="s">
        <v>13360</v>
      </c>
      <c r="B13360" s="2" t="str">
        <f>IFERROR(__xludf.DUMMYFUNCTION("GOOGLETRANSLATE(A13360, ""de"", ""en"")"),"recovered")</f>
        <v>recovered</v>
      </c>
    </row>
    <row r="13361">
      <c r="A13361" s="1" t="s">
        <v>13361</v>
      </c>
      <c r="B13361" s="2" t="str">
        <f>IFERROR(__xludf.DUMMYFUNCTION("GOOGLETRANSLATE(A13361, ""de"", ""en"")"),"bien")</f>
        <v>bien</v>
      </c>
    </row>
    <row r="13362">
      <c r="A13362" s="1" t="s">
        <v>13362</v>
      </c>
      <c r="B13362" s="2" t="str">
        <f>IFERROR(__xludf.DUMMYFUNCTION("GOOGLETRANSLATE(A13362, ""de"", ""en"")"),"pfennig")</f>
        <v>pfennig</v>
      </c>
    </row>
    <row r="13363">
      <c r="A13363" s="1" t="s">
        <v>13363</v>
      </c>
      <c r="B13363" s="2" t="str">
        <f>IFERROR(__xludf.DUMMYFUNCTION("GOOGLETRANSLATE(A13363, ""de"", ""en"")"),"incidence")</f>
        <v>incidence</v>
      </c>
    </row>
    <row r="13364">
      <c r="A13364" s="1" t="s">
        <v>13364</v>
      </c>
      <c r="B13364" s="2" t="str">
        <f>IFERROR(__xludf.DUMMYFUNCTION("GOOGLETRANSLATE(A13364, ""de"", ""en"")"),"resurrect")</f>
        <v>resurrect</v>
      </c>
    </row>
    <row r="13365">
      <c r="A13365" s="1" t="s">
        <v>13365</v>
      </c>
      <c r="B13365" s="2" t="str">
        <f>IFERROR(__xludf.DUMMYFUNCTION("GOOGLETRANSLATE(A13365, ""de"", ""en"")"),"successful")</f>
        <v>successful</v>
      </c>
    </row>
    <row r="13366">
      <c r="A13366" s="1" t="s">
        <v>13366</v>
      </c>
      <c r="B13366" s="2" t="str">
        <f>IFERROR(__xludf.DUMMYFUNCTION("GOOGLETRANSLATE(A13366, ""de"", ""en"")"),"crow")</f>
        <v>crow</v>
      </c>
    </row>
    <row r="13367">
      <c r="A13367" s="1" t="s">
        <v>13367</v>
      </c>
      <c r="B13367" s="2" t="str">
        <f>IFERROR(__xludf.DUMMYFUNCTION("GOOGLETRANSLATE(A13367, ""de"", ""en"")"),"got it")</f>
        <v>got it</v>
      </c>
    </row>
    <row r="13368">
      <c r="A13368" s="1" t="s">
        <v>13368</v>
      </c>
      <c r="B13368" s="2" t="str">
        <f>IFERROR(__xludf.DUMMYFUNCTION("GOOGLETRANSLATE(A13368, ""de"", ""en"")"),"more valuable")</f>
        <v>more valuable</v>
      </c>
    </row>
    <row r="13369">
      <c r="A13369" s="1" t="s">
        <v>13369</v>
      </c>
      <c r="B13369" s="2" t="str">
        <f>IFERROR(__xludf.DUMMYFUNCTION("GOOGLETRANSLATE(A13369, ""de"", ""en"")"),"feared")</f>
        <v>feared</v>
      </c>
    </row>
    <row r="13370">
      <c r="A13370" s="1" t="s">
        <v>13370</v>
      </c>
      <c r="B13370" s="2" t="str">
        <f>IFERROR(__xludf.DUMMYFUNCTION("GOOGLETRANSLATE(A13370, ""de"", ""en"")"),"cursed")</f>
        <v>cursed</v>
      </c>
    </row>
    <row r="13371">
      <c r="A13371" s="1" t="s">
        <v>13371</v>
      </c>
      <c r="B13371" s="2" t="str">
        <f>IFERROR(__xludf.DUMMYFUNCTION("GOOGLETRANSLATE(A13371, ""de"", ""en"")"),"funny")</f>
        <v>funny</v>
      </c>
    </row>
    <row r="13372">
      <c r="A13372" s="1" t="s">
        <v>13372</v>
      </c>
      <c r="B13372" s="2" t="str">
        <f>IFERROR(__xludf.DUMMYFUNCTION("GOOGLETRANSLATE(A13372, ""de"", ""en"")"),"orlando")</f>
        <v>orlando</v>
      </c>
    </row>
    <row r="13373">
      <c r="A13373" s="1" t="s">
        <v>13373</v>
      </c>
      <c r="B13373" s="2" t="str">
        <f>IFERROR(__xludf.DUMMYFUNCTION("GOOGLETRANSLATE(A13373, ""de"", ""en"")"),"marches")</f>
        <v>marches</v>
      </c>
    </row>
    <row r="13374">
      <c r="A13374" s="1" t="s">
        <v>13374</v>
      </c>
      <c r="B13374" s="2" t="str">
        <f>IFERROR(__xludf.DUMMYFUNCTION("GOOGLETRANSLATE(A13374, ""de"", ""en"")"),"violent")</f>
        <v>violent</v>
      </c>
    </row>
    <row r="13375">
      <c r="A13375" s="1" t="s">
        <v>13375</v>
      </c>
      <c r="B13375" s="2" t="str">
        <f>IFERROR(__xludf.DUMMYFUNCTION("GOOGLETRANSLATE(A13375, ""de"", ""en"")"),"fall over")</f>
        <v>fall over</v>
      </c>
    </row>
    <row r="13376">
      <c r="A13376" s="1" t="s">
        <v>13376</v>
      </c>
      <c r="B13376" s="2" t="str">
        <f>IFERROR(__xludf.DUMMYFUNCTION("GOOGLETRANSLATE(A13376, ""de"", ""en"")"),"areas")</f>
        <v>areas</v>
      </c>
    </row>
    <row r="13377">
      <c r="A13377" s="1" t="s">
        <v>13377</v>
      </c>
      <c r="B13377" s="2" t="str">
        <f>IFERROR(__xludf.DUMMYFUNCTION("GOOGLETRANSLATE(A13377, ""de"", ""en"")"),"delicious")</f>
        <v>delicious</v>
      </c>
    </row>
    <row r="13378">
      <c r="A13378" s="1" t="s">
        <v>13378</v>
      </c>
      <c r="B13378" s="2" t="str">
        <f>IFERROR(__xludf.DUMMYFUNCTION("GOOGLETRANSLATE(A13378, ""de"", ""en"")"),"stand around")</f>
        <v>stand around</v>
      </c>
    </row>
    <row r="13379">
      <c r="A13379" s="1" t="s">
        <v>13379</v>
      </c>
      <c r="B13379" s="2" t="str">
        <f>IFERROR(__xludf.DUMMYFUNCTION("GOOGLETRANSLATE(A13379, ""de"", ""en"")"),"exciting")</f>
        <v>exciting</v>
      </c>
    </row>
    <row r="13380">
      <c r="A13380" s="1" t="s">
        <v>13380</v>
      </c>
      <c r="B13380" s="2" t="str">
        <f>IFERROR(__xludf.DUMMYFUNCTION("GOOGLETRANSLATE(A13380, ""de"", ""en"")"),"vessel")</f>
        <v>vessel</v>
      </c>
    </row>
    <row r="13381">
      <c r="A13381" s="1" t="s">
        <v>13381</v>
      </c>
      <c r="B13381" s="2" t="str">
        <f>IFERROR(__xludf.DUMMYFUNCTION("GOOGLETRANSLATE(A13381, ""de"", ""en"")"),"garden")</f>
        <v>garden</v>
      </c>
    </row>
    <row r="13382">
      <c r="A13382" s="1" t="s">
        <v>13382</v>
      </c>
      <c r="B13382" s="2" t="str">
        <f>IFERROR(__xludf.DUMMYFUNCTION("GOOGLETRANSLATE(A13382, ""de"", ""en"")"),"present")</f>
        <v>present</v>
      </c>
    </row>
    <row r="13383">
      <c r="A13383" s="1" t="s">
        <v>13383</v>
      </c>
      <c r="B13383" s="2" t="str">
        <f>IFERROR(__xludf.DUMMYFUNCTION("GOOGLETRANSLATE(A13383, ""de"", ""en"")"),"operate")</f>
        <v>operate</v>
      </c>
    </row>
    <row r="13384">
      <c r="A13384" s="1" t="s">
        <v>13384</v>
      </c>
      <c r="B13384" s="2" t="str">
        <f>IFERROR(__xludf.DUMMYFUNCTION("GOOGLETRANSLATE(A13384, ""de"", ""en"")"),"around")</f>
        <v>around</v>
      </c>
    </row>
    <row r="13385">
      <c r="A13385" s="1" t="s">
        <v>13385</v>
      </c>
      <c r="B13385" s="2" t="str">
        <f>IFERROR(__xludf.DUMMYFUNCTION("GOOGLETRANSLATE(A13385, ""de"", ""en"")"),"cardiac arrest")</f>
        <v>cardiac arrest</v>
      </c>
    </row>
    <row r="13386">
      <c r="A13386" s="1" t="s">
        <v>13386</v>
      </c>
      <c r="B13386" s="2" t="str">
        <f>IFERROR(__xludf.DUMMYFUNCTION("GOOGLETRANSLATE(A13386, ""de"", ""en"")"),"operated")</f>
        <v>operated</v>
      </c>
    </row>
    <row r="13387">
      <c r="A13387" s="1" t="s">
        <v>13387</v>
      </c>
      <c r="B13387" s="2" t="str">
        <f>IFERROR(__xludf.DUMMYFUNCTION("GOOGLETRANSLATE(A13387, ""de"", ""en"")"),"more insane")</f>
        <v>more insane</v>
      </c>
    </row>
    <row r="13388">
      <c r="A13388" s="1" t="s">
        <v>13388</v>
      </c>
      <c r="B13388" s="2" t="str">
        <f>IFERROR(__xludf.DUMMYFUNCTION("GOOGLETRANSLATE(A13388, ""de"", ""en"")"),"ordered")</f>
        <v>ordered</v>
      </c>
    </row>
    <row r="13389">
      <c r="A13389" s="1" t="s">
        <v>13389</v>
      </c>
      <c r="B13389" s="2" t="str">
        <f>IFERROR(__xludf.DUMMYFUNCTION("GOOGLETRANSLATE(A13389, ""de"", ""en"")"),"kind")</f>
        <v>kind</v>
      </c>
    </row>
    <row r="13390">
      <c r="A13390" s="1" t="s">
        <v>13390</v>
      </c>
      <c r="B13390" s="2" t="str">
        <f>IFERROR(__xludf.DUMMYFUNCTION("GOOGLETRANSLATE(A13390, ""de"", ""en"")"),"publicity")</f>
        <v>publicity</v>
      </c>
    </row>
    <row r="13391">
      <c r="A13391" s="1" t="s">
        <v>13391</v>
      </c>
      <c r="B13391" s="2" t="str">
        <f>IFERROR(__xludf.DUMMYFUNCTION("GOOGLETRANSLATE(A13391, ""de"", ""en"")"),"iq")</f>
        <v>iq</v>
      </c>
    </row>
    <row r="13392">
      <c r="A13392" s="1" t="s">
        <v>13392</v>
      </c>
      <c r="B13392" s="2" t="str">
        <f>IFERROR(__xludf.DUMMYFUNCTION("GOOGLETRANSLATE(A13392, ""de"", ""en"")"),"pas")</f>
        <v>pas</v>
      </c>
    </row>
    <row r="13393">
      <c r="A13393" s="1" t="s">
        <v>13393</v>
      </c>
      <c r="B13393" s="2" t="str">
        <f>IFERROR(__xludf.DUMMYFUNCTION("GOOGLETRANSLATE(A13393, ""de"", ""en"")"),"imminent")</f>
        <v>imminent</v>
      </c>
    </row>
    <row r="13394">
      <c r="A13394" s="1" t="s">
        <v>13394</v>
      </c>
      <c r="B13394" s="2" t="str">
        <f>IFERROR(__xludf.DUMMYFUNCTION("GOOGLETRANSLATE(A13394, ""de"", ""en"")"),"polishing")</f>
        <v>polishing</v>
      </c>
    </row>
    <row r="13395">
      <c r="A13395" s="1" t="s">
        <v>13395</v>
      </c>
      <c r="B13395" s="2" t="str">
        <f>IFERROR(__xludf.DUMMYFUNCTION("GOOGLETRANSLATE(A13395, ""de"", ""en"")"),"thief")</f>
        <v>thief</v>
      </c>
    </row>
    <row r="13396">
      <c r="A13396" s="1" t="s">
        <v>13396</v>
      </c>
      <c r="B13396" s="2" t="str">
        <f>IFERROR(__xludf.DUMMYFUNCTION("GOOGLETRANSLATE(A13396, ""de"", ""en"")"),"distorted")</f>
        <v>distorted</v>
      </c>
    </row>
    <row r="13397">
      <c r="A13397" s="1" t="s">
        <v>13397</v>
      </c>
      <c r="B13397" s="2" t="str">
        <f>IFERROR(__xludf.DUMMYFUNCTION("GOOGLETRANSLATE(A13397, ""de"", ""en"")"),"purity")</f>
        <v>purity</v>
      </c>
    </row>
    <row r="13398">
      <c r="A13398" s="1" t="s">
        <v>13398</v>
      </c>
      <c r="B13398" s="2" t="str">
        <f>IFERROR(__xludf.DUMMYFUNCTION("GOOGLETRANSLATE(A13398, ""de"", ""en"")"),"touch")</f>
        <v>touch</v>
      </c>
    </row>
    <row r="13399">
      <c r="A13399" s="1" t="s">
        <v>13399</v>
      </c>
      <c r="B13399" s="2" t="str">
        <f>IFERROR(__xludf.DUMMYFUNCTION("GOOGLETRANSLATE(A13399, ""de"", ""en"")"),"tornado")</f>
        <v>tornado</v>
      </c>
    </row>
    <row r="13400">
      <c r="A13400" s="1" t="s">
        <v>13400</v>
      </c>
      <c r="B13400" s="2" t="str">
        <f>IFERROR(__xludf.DUMMYFUNCTION("GOOGLETRANSLATE(A13400, ""de"", ""en"")"),"sturgeon")</f>
        <v>sturgeon</v>
      </c>
    </row>
    <row r="13401">
      <c r="A13401" s="1" t="s">
        <v>13401</v>
      </c>
      <c r="B13401" s="2" t="str">
        <f>IFERROR(__xludf.DUMMYFUNCTION("GOOGLETRANSLATE(A13401, ""de"", ""en"")"),"humiliation")</f>
        <v>humiliation</v>
      </c>
    </row>
    <row r="13402">
      <c r="A13402" s="1" t="s">
        <v>13402</v>
      </c>
      <c r="B13402" s="2" t="str">
        <f>IFERROR(__xludf.DUMMYFUNCTION("GOOGLETRANSLATE(A13402, ""de"", ""en"")"),"detectives")</f>
        <v>detectives</v>
      </c>
    </row>
    <row r="13403">
      <c r="A13403" s="1" t="s">
        <v>13403</v>
      </c>
      <c r="B13403" s="2" t="str">
        <f>IFERROR(__xludf.DUMMYFUNCTION("GOOGLETRANSLATE(A13403, ""de"", ""en"")"),"skip")</f>
        <v>skip</v>
      </c>
    </row>
    <row r="13404">
      <c r="A13404" s="1" t="s">
        <v>13404</v>
      </c>
      <c r="B13404" s="2" t="str">
        <f>IFERROR(__xludf.DUMMYFUNCTION("GOOGLETRANSLATE(A13404, ""de"", ""en"")"),"hood")</f>
        <v>hood</v>
      </c>
    </row>
    <row r="13405">
      <c r="A13405" s="1" t="s">
        <v>13405</v>
      </c>
      <c r="B13405" s="2" t="str">
        <f>IFERROR(__xludf.DUMMYFUNCTION("GOOGLETRANSLATE(A13405, ""de"", ""en"")"),"britta")</f>
        <v>britta</v>
      </c>
    </row>
    <row r="13406">
      <c r="A13406" s="1" t="s">
        <v>13406</v>
      </c>
      <c r="B13406" s="2" t="str">
        <f>IFERROR(__xludf.DUMMYFUNCTION("GOOGLETRANSLATE(A13406, ""de"", ""en"")"),"precious")</f>
        <v>precious</v>
      </c>
    </row>
    <row r="13407">
      <c r="A13407" s="1" t="s">
        <v>13407</v>
      </c>
      <c r="B13407" s="2" t="str">
        <f>IFERROR(__xludf.DUMMYFUNCTION("GOOGLETRANSLATE(A13407, ""de"", ""en"")"),"find")</f>
        <v>find</v>
      </c>
    </row>
    <row r="13408">
      <c r="A13408" s="1" t="s">
        <v>13408</v>
      </c>
      <c r="B13408" s="2" t="str">
        <f>IFERROR(__xludf.DUMMYFUNCTION("GOOGLETRANSLATE(A13408, ""de"", ""en"")"),"represented")</f>
        <v>represented</v>
      </c>
    </row>
    <row r="13409">
      <c r="A13409" s="1" t="s">
        <v>13409</v>
      </c>
      <c r="B13409" s="2" t="str">
        <f>IFERROR(__xludf.DUMMYFUNCTION("GOOGLETRANSLATE(A13409, ""de"", ""en"")"),"sulu")</f>
        <v>sulu</v>
      </c>
    </row>
    <row r="13410">
      <c r="A13410" s="1" t="s">
        <v>13410</v>
      </c>
      <c r="B13410" s="2" t="str">
        <f>IFERROR(__xludf.DUMMYFUNCTION("GOOGLETRANSLATE(A13410, ""de"", ""en"")"),"heights")</f>
        <v>heights</v>
      </c>
    </row>
    <row r="13411">
      <c r="A13411" s="1" t="s">
        <v>13411</v>
      </c>
      <c r="B13411" s="2" t="str">
        <f>IFERROR(__xludf.DUMMYFUNCTION("GOOGLETRANSLATE(A13411, ""de"", ""en"")"),"numerous")</f>
        <v>numerous</v>
      </c>
    </row>
    <row r="13412">
      <c r="A13412" s="1" t="s">
        <v>13412</v>
      </c>
      <c r="B13412" s="2" t="str">
        <f>IFERROR(__xludf.DUMMYFUNCTION("GOOGLETRANSLATE(A13412, ""de"", ""en"")"),"garment")</f>
        <v>garment</v>
      </c>
    </row>
    <row r="13413">
      <c r="A13413" s="1" t="s">
        <v>13413</v>
      </c>
      <c r="B13413" s="2" t="str">
        <f>IFERROR(__xludf.DUMMYFUNCTION("GOOGLETRANSLATE(A13413, ""de"", ""en"")"),"jump in")</f>
        <v>jump in</v>
      </c>
    </row>
    <row r="13414">
      <c r="A13414" s="1" t="s">
        <v>13414</v>
      </c>
      <c r="B13414" s="2" t="str">
        <f>IFERROR(__xludf.DUMMYFUNCTION("GOOGLETRANSLATE(A13414, ""de"", ""en"")"),"vermin")</f>
        <v>vermin</v>
      </c>
    </row>
    <row r="13415">
      <c r="A13415" s="1" t="s">
        <v>13415</v>
      </c>
      <c r="B13415" s="2" t="str">
        <f>IFERROR(__xludf.DUMMYFUNCTION("GOOGLETRANSLATE(A13415, ""de"", ""en"")"),"book")</f>
        <v>book</v>
      </c>
    </row>
    <row r="13416">
      <c r="A13416" s="1" t="s">
        <v>13416</v>
      </c>
      <c r="B13416" s="2" t="str">
        <f>IFERROR(__xludf.DUMMYFUNCTION("GOOGLETRANSLATE(A13416, ""de"", ""en"")"),"wdr")</f>
        <v>wdr</v>
      </c>
    </row>
    <row r="13417">
      <c r="A13417" s="1" t="s">
        <v>13417</v>
      </c>
      <c r="B13417" s="2" t="str">
        <f>IFERROR(__xludf.DUMMYFUNCTION("GOOGLETRANSLATE(A13417, ""de"", ""en"")"),"beat")</f>
        <v>beat</v>
      </c>
    </row>
    <row r="13418">
      <c r="A13418" s="1" t="s">
        <v>13418</v>
      </c>
      <c r="B13418" s="2" t="str">
        <f>IFERROR(__xludf.DUMMYFUNCTION("GOOGLETRANSLATE(A13418, ""de"", ""en"")"),"packed")</f>
        <v>packed</v>
      </c>
    </row>
    <row r="13419">
      <c r="A13419" s="1" t="s">
        <v>13419</v>
      </c>
      <c r="B13419" s="2" t="str">
        <f>IFERROR(__xludf.DUMMYFUNCTION("GOOGLETRANSLATE(A13419, ""de"", ""en"")"),"Islam")</f>
        <v>Islam</v>
      </c>
    </row>
    <row r="13420">
      <c r="A13420" s="1" t="s">
        <v>13420</v>
      </c>
      <c r="B13420" s="2" t="str">
        <f>IFERROR(__xludf.DUMMYFUNCTION("GOOGLETRANSLATE(A13420, ""de"", ""en"")"),"mobile")</f>
        <v>mobile</v>
      </c>
    </row>
    <row r="13421">
      <c r="A13421" s="1" t="s">
        <v>13421</v>
      </c>
      <c r="B13421" s="2" t="str">
        <f>IFERROR(__xludf.DUMMYFUNCTION("GOOGLETRANSLATE(A13421, ""de"", ""en"")"),"burning")</f>
        <v>burning</v>
      </c>
    </row>
    <row r="13422">
      <c r="A13422" s="1" t="s">
        <v>13422</v>
      </c>
      <c r="B13422" s="2" t="str">
        <f>IFERROR(__xludf.DUMMYFUNCTION("GOOGLETRANSLATE(A13422, ""de"", ""en"")"),"family")</f>
        <v>family</v>
      </c>
    </row>
    <row r="13423">
      <c r="A13423" s="1" t="s">
        <v>13423</v>
      </c>
      <c r="B13423" s="2" t="str">
        <f>IFERROR(__xludf.DUMMYFUNCTION("GOOGLETRANSLATE(A13423, ""de"", ""en"")"),"hunt down")</f>
        <v>hunt down</v>
      </c>
    </row>
    <row r="13424">
      <c r="A13424" s="1" t="s">
        <v>13424</v>
      </c>
      <c r="B13424" s="2" t="str">
        <f>IFERROR(__xludf.DUMMYFUNCTION("GOOGLETRANSLATE(A13424, ""de"", ""en"")"),"lime")</f>
        <v>lime</v>
      </c>
    </row>
    <row r="13425">
      <c r="A13425" s="1" t="s">
        <v>13425</v>
      </c>
      <c r="B13425" s="2" t="str">
        <f>IFERROR(__xludf.DUMMYFUNCTION("GOOGLETRANSLATE(A13425, ""de"", ""en"")"),"franky")</f>
        <v>franky</v>
      </c>
    </row>
    <row r="13426">
      <c r="A13426" s="1" t="s">
        <v>13426</v>
      </c>
      <c r="B13426" s="2" t="str">
        <f>IFERROR(__xludf.DUMMYFUNCTION("GOOGLETRANSLATE(A13426, ""de"", ""en"")"),"cabbage")</f>
        <v>cabbage</v>
      </c>
    </row>
    <row r="13427">
      <c r="A13427" s="1" t="s">
        <v>13427</v>
      </c>
      <c r="B13427" s="2" t="str">
        <f>IFERROR(__xludf.DUMMYFUNCTION("GOOGLETRANSLATE(A13427, ""de"", ""en"")"),"moments")</f>
        <v>moments</v>
      </c>
    </row>
    <row r="13428">
      <c r="A13428" s="1" t="s">
        <v>13428</v>
      </c>
      <c r="B13428" s="2" t="str">
        <f>IFERROR(__xludf.DUMMYFUNCTION("GOOGLETRANSLATE(A13428, ""de"", ""en"")"),"Bangkok")</f>
        <v>Bangkok</v>
      </c>
    </row>
    <row r="13429">
      <c r="A13429" s="1" t="s">
        <v>13429</v>
      </c>
      <c r="B13429" s="2" t="str">
        <f>IFERROR(__xludf.DUMMYFUNCTION("GOOGLETRANSLATE(A13429, ""de"", ""en"")"),"renew")</f>
        <v>renew</v>
      </c>
    </row>
    <row r="13430">
      <c r="A13430" s="1" t="s">
        <v>13430</v>
      </c>
      <c r="B13430" s="2" t="str">
        <f>IFERROR(__xludf.DUMMYFUNCTION("GOOGLETRANSLATE(A13430, ""de"", ""en"")"),"child")</f>
        <v>child</v>
      </c>
    </row>
    <row r="13431">
      <c r="A13431" s="1" t="s">
        <v>13431</v>
      </c>
      <c r="B13431" s="2" t="str">
        <f>IFERROR(__xludf.DUMMYFUNCTION("GOOGLETRANSLATE(A13431, ""de"", ""en"")"),"boom")</f>
        <v>boom</v>
      </c>
    </row>
    <row r="13432">
      <c r="A13432" s="1" t="s">
        <v>13432</v>
      </c>
      <c r="B13432" s="2" t="str">
        <f>IFERROR(__xludf.DUMMYFUNCTION("GOOGLETRANSLATE(A13432, ""de"", ""en"")"),"emphasize")</f>
        <v>emphasize</v>
      </c>
    </row>
    <row r="13433">
      <c r="A13433" s="1" t="s">
        <v>13433</v>
      </c>
      <c r="B13433" s="2" t="str">
        <f>IFERROR(__xludf.DUMMYFUNCTION("GOOGLETRANSLATE(A13433, ""de"", ""en"")"),"officers")</f>
        <v>officers</v>
      </c>
    </row>
    <row r="13434">
      <c r="A13434" s="1" t="s">
        <v>13434</v>
      </c>
      <c r="B13434" s="2" t="str">
        <f>IFERROR(__xludf.DUMMYFUNCTION("GOOGLETRANSLATE(A13434, ""de"", ""en"")"),"all of that")</f>
        <v>all of that</v>
      </c>
    </row>
    <row r="13435">
      <c r="A13435" s="1" t="s">
        <v>13435</v>
      </c>
      <c r="B13435" s="2" t="str">
        <f>IFERROR(__xludf.DUMMYFUNCTION("GOOGLETRANSLATE(A13435, ""de"", ""en"")"),"deceased")</f>
        <v>deceased</v>
      </c>
    </row>
    <row r="13436">
      <c r="A13436" s="1" t="s">
        <v>13436</v>
      </c>
      <c r="B13436" s="2" t="str">
        <f>IFERROR(__xludf.DUMMYFUNCTION("GOOGLETRANSLATE(A13436, ""de"", ""en"")"),"Corey")</f>
        <v>Corey</v>
      </c>
    </row>
    <row r="13437">
      <c r="A13437" s="1" t="s">
        <v>13437</v>
      </c>
      <c r="B13437" s="2" t="str">
        <f>IFERROR(__xludf.DUMMYFUNCTION("GOOGLETRANSLATE(A13437, ""de"", ""en"")"),"specialist")</f>
        <v>specialist</v>
      </c>
    </row>
    <row r="13438">
      <c r="A13438" s="1" t="s">
        <v>13438</v>
      </c>
      <c r="B13438" s="2" t="str">
        <f>IFERROR(__xludf.DUMMYFUNCTION("GOOGLETRANSLATE(A13438, ""de"", ""en"")"),"feed")</f>
        <v>feed</v>
      </c>
    </row>
    <row r="13439">
      <c r="A13439" s="1" t="s">
        <v>13439</v>
      </c>
      <c r="B13439" s="2" t="str">
        <f>IFERROR(__xludf.DUMMYFUNCTION("GOOGLETRANSLATE(A13439, ""de"", ""en"")"),"would stay")</f>
        <v>would stay</v>
      </c>
    </row>
    <row r="13440">
      <c r="A13440" s="1" t="s">
        <v>13440</v>
      </c>
      <c r="B13440" s="2" t="str">
        <f>IFERROR(__xludf.DUMMYFUNCTION("GOOGLETRANSLATE(A13440, ""de"", ""en"")"),"actor")</f>
        <v>actor</v>
      </c>
    </row>
    <row r="13441">
      <c r="A13441" s="1" t="s">
        <v>13441</v>
      </c>
      <c r="B13441" s="2" t="str">
        <f>IFERROR(__xludf.DUMMYFUNCTION("GOOGLETRANSLATE(A13441, ""de"", ""en"")"),"provisions")</f>
        <v>provisions</v>
      </c>
    </row>
    <row r="13442">
      <c r="A13442" s="1" t="s">
        <v>13442</v>
      </c>
      <c r="B13442" s="2" t="str">
        <f>IFERROR(__xludf.DUMMYFUNCTION("GOOGLETRANSLATE(A13442, ""de"", ""en"")"),"chu")</f>
        <v>chu</v>
      </c>
    </row>
    <row r="13443">
      <c r="A13443" s="1" t="s">
        <v>13443</v>
      </c>
      <c r="B13443" s="2" t="str">
        <f>IFERROR(__xludf.DUMMYFUNCTION("GOOGLETRANSLATE(A13443, ""de"", ""en"")"),"faces")</f>
        <v>faces</v>
      </c>
    </row>
    <row r="13444">
      <c r="A13444" s="1" t="s">
        <v>13444</v>
      </c>
      <c r="B13444" s="2" t="str">
        <f>IFERROR(__xludf.DUMMYFUNCTION("GOOGLETRANSLATE(A13444, ""de"", ""en"")"),"promised")</f>
        <v>promised</v>
      </c>
    </row>
    <row r="13445">
      <c r="A13445" s="1" t="s">
        <v>13445</v>
      </c>
      <c r="B13445" s="2" t="str">
        <f>IFERROR(__xludf.DUMMYFUNCTION("GOOGLETRANSLATE(A13445, ""de"", ""en"")"),"piglet")</f>
        <v>piglet</v>
      </c>
    </row>
    <row r="13446">
      <c r="A13446" s="1" t="s">
        <v>13446</v>
      </c>
      <c r="B13446" s="2" t="str">
        <f>IFERROR(__xludf.DUMMYFUNCTION("GOOGLETRANSLATE(A13446, ""de"", ""en"")"),"ka")</f>
        <v>ka</v>
      </c>
    </row>
    <row r="13447">
      <c r="A13447" s="1" t="s">
        <v>13447</v>
      </c>
      <c r="B13447" s="2" t="str">
        <f>IFERROR(__xludf.DUMMYFUNCTION("GOOGLETRANSLATE(A13447, ""de"", ""en"")"),"cliche")</f>
        <v>cliche</v>
      </c>
    </row>
    <row r="13448">
      <c r="A13448" s="1" t="s">
        <v>13448</v>
      </c>
      <c r="B13448" s="2" t="str">
        <f>IFERROR(__xludf.DUMMYFUNCTION("GOOGLETRANSLATE(A13448, ""de"", ""en"")"),"oracle")</f>
        <v>oracle</v>
      </c>
    </row>
    <row r="13449">
      <c r="A13449" s="1" t="s">
        <v>13449</v>
      </c>
      <c r="B13449" s="2" t="str">
        <f>IFERROR(__xludf.DUMMYFUNCTION("GOOGLETRANSLATE(A13449, ""de"", ""en"")"),"dude")</f>
        <v>dude</v>
      </c>
    </row>
    <row r="13450">
      <c r="A13450" s="1" t="s">
        <v>13450</v>
      </c>
      <c r="B13450" s="2" t="str">
        <f>IFERROR(__xludf.DUMMYFUNCTION("GOOGLETRANSLATE(A13450, ""de"", ""en"")"),"fuck")</f>
        <v>fuck</v>
      </c>
    </row>
    <row r="13451">
      <c r="A13451" s="1" t="s">
        <v>13451</v>
      </c>
      <c r="B13451" s="2" t="str">
        <f>IFERROR(__xludf.DUMMYFUNCTION("GOOGLETRANSLATE(A13451, ""de"", ""en"")"),"exceeded")</f>
        <v>exceeded</v>
      </c>
    </row>
    <row r="13452">
      <c r="A13452" s="1" t="s">
        <v>13452</v>
      </c>
      <c r="B13452" s="2" t="str">
        <f>IFERROR(__xludf.DUMMYFUNCTION("GOOGLETRANSLATE(A13452, ""de"", ""en"")"),"started")</f>
        <v>started</v>
      </c>
    </row>
    <row r="13453">
      <c r="A13453" s="1" t="s">
        <v>13453</v>
      </c>
      <c r="B13453" s="2" t="str">
        <f>IFERROR(__xludf.DUMMYFUNCTION("GOOGLETRANSLATE(A13453, ""de"", ""en"")"),"pamper")</f>
        <v>pamper</v>
      </c>
    </row>
    <row r="13454">
      <c r="A13454" s="1" t="s">
        <v>13454</v>
      </c>
      <c r="B13454" s="2" t="str">
        <f>IFERROR(__xludf.DUMMYFUNCTION("GOOGLETRANSLATE(A13454, ""de"", ""en"")"),"Gaston")</f>
        <v>Gaston</v>
      </c>
    </row>
    <row r="13455">
      <c r="A13455" s="1" t="s">
        <v>13455</v>
      </c>
      <c r="B13455" s="2" t="str">
        <f>IFERROR(__xludf.DUMMYFUNCTION("GOOGLETRANSLATE(A13455, ""de"", ""en"")"),"moriarty")</f>
        <v>moriarty</v>
      </c>
    </row>
    <row r="13456">
      <c r="A13456" s="1" t="s">
        <v>13456</v>
      </c>
      <c r="B13456" s="2" t="str">
        <f>IFERROR(__xludf.DUMMYFUNCTION("GOOGLETRANSLATE(A13456, ""de"", ""en"")"),"efficient")</f>
        <v>efficient</v>
      </c>
    </row>
    <row r="13457">
      <c r="A13457" s="1" t="s">
        <v>13457</v>
      </c>
      <c r="B13457" s="2" t="str">
        <f>IFERROR(__xludf.DUMMYFUNCTION("GOOGLETRANSLATE(A13457, ""de"", ""en"")"),"vanity")</f>
        <v>vanity</v>
      </c>
    </row>
    <row r="13458">
      <c r="A13458" s="1" t="s">
        <v>13458</v>
      </c>
      <c r="B13458" s="2" t="str">
        <f>IFERROR(__xludf.DUMMYFUNCTION("GOOGLETRANSLATE(A13458, ""de"", ""en"")"),"unrest")</f>
        <v>unrest</v>
      </c>
    </row>
    <row r="13459">
      <c r="A13459" s="1" t="s">
        <v>13459</v>
      </c>
      <c r="B13459" s="2" t="str">
        <f>IFERROR(__xludf.DUMMYFUNCTION("GOOGLETRANSLATE(A13459, ""de"", ""en"")"),"selma")</f>
        <v>selma</v>
      </c>
    </row>
    <row r="13460">
      <c r="A13460" s="1" t="s">
        <v>13460</v>
      </c>
      <c r="B13460" s="2" t="str">
        <f>IFERROR(__xludf.DUMMYFUNCTION("GOOGLETRANSLATE(A13460, ""de"", ""en"")"),"escobar")</f>
        <v>escobar</v>
      </c>
    </row>
    <row r="13461">
      <c r="A13461" s="1" t="s">
        <v>13461</v>
      </c>
      <c r="B13461" s="2" t="str">
        <f>IFERROR(__xludf.DUMMYFUNCTION("GOOGLETRANSLATE(A13461, ""de"", ""en"")"),"worked")</f>
        <v>worked</v>
      </c>
    </row>
    <row r="13462">
      <c r="A13462" s="1" t="s">
        <v>13462</v>
      </c>
      <c r="B13462" s="2" t="str">
        <f>IFERROR(__xludf.DUMMYFUNCTION("GOOGLETRANSLATE(A13462, ""de"", ""en"")"),"marx")</f>
        <v>marx</v>
      </c>
    </row>
    <row r="13463">
      <c r="A13463" s="1" t="s">
        <v>13463</v>
      </c>
      <c r="B13463" s="2" t="str">
        <f>IFERROR(__xludf.DUMMYFUNCTION("GOOGLETRANSLATE(A13463, ""de"", ""en"")"),"hazel")</f>
        <v>hazel</v>
      </c>
    </row>
    <row r="13464">
      <c r="A13464" s="1" t="s">
        <v>13464</v>
      </c>
      <c r="B13464" s="2" t="str">
        <f>IFERROR(__xludf.DUMMYFUNCTION("GOOGLETRANSLATE(A13464, ""de"", ""en"")"),"curfew")</f>
        <v>curfew</v>
      </c>
    </row>
    <row r="13465">
      <c r="A13465" s="1" t="s">
        <v>13465</v>
      </c>
      <c r="B13465" s="2" t="str">
        <f>IFERROR(__xludf.DUMMYFUNCTION("GOOGLETRANSLATE(A13465, ""de"", ""en"")"),"confirm")</f>
        <v>confirm</v>
      </c>
    </row>
    <row r="13466">
      <c r="A13466" s="1" t="s">
        <v>13466</v>
      </c>
      <c r="B13466" s="2" t="str">
        <f>IFERROR(__xludf.DUMMYFUNCTION("GOOGLETRANSLATE(A13466, ""de"", ""en"")"),"cooler")</f>
        <v>cooler</v>
      </c>
    </row>
    <row r="13467">
      <c r="A13467" s="1" t="s">
        <v>13467</v>
      </c>
      <c r="B13467" s="2" t="str">
        <f>IFERROR(__xludf.DUMMYFUNCTION("GOOGLETRANSLATE(A13467, ""de"", ""en"")"),"Adama")</f>
        <v>Adama</v>
      </c>
    </row>
    <row r="13468">
      <c r="A13468" s="1" t="s">
        <v>13468</v>
      </c>
      <c r="B13468" s="2" t="str">
        <f>IFERROR(__xludf.DUMMYFUNCTION("GOOGLETRANSLATE(A13468, ""de"", ""en"")"),"arrives")</f>
        <v>arrives</v>
      </c>
    </row>
    <row r="13469">
      <c r="A13469" s="1" t="s">
        <v>13469</v>
      </c>
      <c r="B13469" s="2" t="str">
        <f>IFERROR(__xludf.DUMMYFUNCTION("GOOGLETRANSLATE(A13469, ""de"", ""en"")"),"revoir")</f>
        <v>revoir</v>
      </c>
    </row>
    <row r="13470">
      <c r="A13470" s="1" t="s">
        <v>13470</v>
      </c>
      <c r="B13470" s="2" t="str">
        <f>IFERROR(__xludf.DUMMYFUNCTION("GOOGLETRANSLATE(A13470, ""de"", ""en"")"),"hire")</f>
        <v>hire</v>
      </c>
    </row>
    <row r="13471">
      <c r="A13471" s="1" t="s">
        <v>13471</v>
      </c>
      <c r="B13471" s="2" t="str">
        <f>IFERROR(__xludf.DUMMYFUNCTION("GOOGLETRANSLATE(A13471, ""de"", ""en"")"),"transfer")</f>
        <v>transfer</v>
      </c>
    </row>
    <row r="13472">
      <c r="A13472" s="1" t="s">
        <v>13472</v>
      </c>
      <c r="B13472" s="2" t="str">
        <f>IFERROR(__xludf.DUMMYFUNCTION("GOOGLETRANSLATE(A13472, ""de"", ""en"")"),"equal")</f>
        <v>equal</v>
      </c>
    </row>
    <row r="13473">
      <c r="A13473" s="1" t="s">
        <v>13473</v>
      </c>
      <c r="B13473" s="2" t="str">
        <f>IFERROR(__xludf.DUMMYFUNCTION("GOOGLETRANSLATE(A13473, ""de"", ""en"")"),"ignition")</f>
        <v>ignition</v>
      </c>
    </row>
    <row r="13474">
      <c r="A13474" s="1" t="s">
        <v>13474</v>
      </c>
      <c r="B13474" s="2" t="str">
        <f>IFERROR(__xludf.DUMMYFUNCTION("GOOGLETRANSLATE(A13474, ""de"", ""en"")"),"introduced")</f>
        <v>introduced</v>
      </c>
    </row>
    <row r="13475">
      <c r="A13475" s="1" t="s">
        <v>13475</v>
      </c>
      <c r="B13475" s="2" t="str">
        <f>IFERROR(__xludf.DUMMYFUNCTION("GOOGLETRANSLATE(A13475, ""de"", ""en"")"),"risk")</f>
        <v>risk</v>
      </c>
    </row>
    <row r="13476">
      <c r="A13476" s="1" t="s">
        <v>13476</v>
      </c>
      <c r="B13476" s="2" t="str">
        <f>IFERROR(__xludf.DUMMYFUNCTION("GOOGLETRANSLATE(A13476, ""de"", ""en"")"),"deny")</f>
        <v>deny</v>
      </c>
    </row>
    <row r="13477">
      <c r="A13477" s="1" t="s">
        <v>13477</v>
      </c>
      <c r="B13477" s="2" t="str">
        <f>IFERROR(__xludf.DUMMYFUNCTION("GOOGLETRANSLATE(A13477, ""de"", ""en"")"),"fair")</f>
        <v>fair</v>
      </c>
    </row>
    <row r="13478">
      <c r="A13478" s="1" t="s">
        <v>13478</v>
      </c>
      <c r="B13478" s="2" t="str">
        <f>IFERROR(__xludf.DUMMYFUNCTION("GOOGLETRANSLATE(A13478, ""de"", ""en"")"),"commandments")</f>
        <v>commandments</v>
      </c>
    </row>
    <row r="13479">
      <c r="A13479" s="1" t="s">
        <v>13479</v>
      </c>
      <c r="B13479" s="2" t="str">
        <f>IFERROR(__xludf.DUMMYFUNCTION("GOOGLETRANSLATE(A13479, ""de"", ""en"")"),"eaten up")</f>
        <v>eaten up</v>
      </c>
    </row>
    <row r="13480">
      <c r="A13480" s="1" t="s">
        <v>13480</v>
      </c>
      <c r="B13480" s="2" t="str">
        <f>IFERROR(__xludf.DUMMYFUNCTION("GOOGLETRANSLATE(A13480, ""de"", ""en"")"),"abed")</f>
        <v>abed</v>
      </c>
    </row>
    <row r="13481">
      <c r="A13481" s="1" t="s">
        <v>13481</v>
      </c>
      <c r="B13481" s="2" t="str">
        <f>IFERROR(__xludf.DUMMYFUNCTION("GOOGLETRANSLATE(A13481, ""de"", ""en"")"),"Therese")</f>
        <v>Therese</v>
      </c>
    </row>
    <row r="13482">
      <c r="A13482" s="1" t="s">
        <v>13482</v>
      </c>
      <c r="B13482" s="2" t="str">
        <f>IFERROR(__xludf.DUMMYFUNCTION("GOOGLETRANSLATE(A13482, ""de"", ""en"")"),"pathetic")</f>
        <v>pathetic</v>
      </c>
    </row>
    <row r="13483">
      <c r="A13483" s="1" t="s">
        <v>13483</v>
      </c>
      <c r="B13483" s="2" t="str">
        <f>IFERROR(__xludf.DUMMYFUNCTION("GOOGLETRANSLATE(A13483, ""de"", ""en"")"),"bigger")</f>
        <v>bigger</v>
      </c>
    </row>
    <row r="13484">
      <c r="A13484" s="1" t="s">
        <v>13484</v>
      </c>
      <c r="B13484" s="2" t="str">
        <f>IFERROR(__xludf.DUMMYFUNCTION("GOOGLETRANSLATE(A13484, ""de"", ""en"")"),"banger")</f>
        <v>banger</v>
      </c>
    </row>
    <row r="13485">
      <c r="A13485" s="1" t="s">
        <v>13485</v>
      </c>
      <c r="B13485" s="2" t="str">
        <f>IFERROR(__xludf.DUMMYFUNCTION("GOOGLETRANSLATE(A13485, ""de"", ""en"")"),"aquarium")</f>
        <v>aquarium</v>
      </c>
    </row>
    <row r="13486">
      <c r="A13486" s="1" t="s">
        <v>13486</v>
      </c>
      <c r="B13486" s="2" t="str">
        <f>IFERROR(__xludf.DUMMYFUNCTION("GOOGLETRANSLATE(A13486, ""de"", ""en"")"),"reserve")</f>
        <v>reserve</v>
      </c>
    </row>
    <row r="13487">
      <c r="A13487" s="1" t="s">
        <v>13487</v>
      </c>
      <c r="B13487" s="2" t="str">
        <f>IFERROR(__xludf.DUMMYFUNCTION("GOOGLETRANSLATE(A13487, ""de"", ""en"")"),"waterfall")</f>
        <v>waterfall</v>
      </c>
    </row>
    <row r="13488">
      <c r="A13488" s="1" t="s">
        <v>13488</v>
      </c>
      <c r="B13488" s="2" t="str">
        <f>IFERROR(__xludf.DUMMYFUNCTION("GOOGLETRANSLATE(A13488, ""de"", ""en"")"),"constant")</f>
        <v>constant</v>
      </c>
    </row>
    <row r="13489">
      <c r="A13489" s="1" t="s">
        <v>13489</v>
      </c>
      <c r="B13489" s="2" t="str">
        <f>IFERROR(__xludf.DUMMYFUNCTION("GOOGLETRANSLATE(A13489, ""de"", ""en"")"),"got away")</f>
        <v>got away</v>
      </c>
    </row>
    <row r="13490">
      <c r="A13490" s="1" t="s">
        <v>13490</v>
      </c>
      <c r="B13490" s="2" t="str">
        <f>IFERROR(__xludf.DUMMYFUNCTION("GOOGLETRANSLATE(A13490, ""de"", ""en"")"),"help out")</f>
        <v>help out</v>
      </c>
    </row>
    <row r="13491">
      <c r="A13491" s="1" t="s">
        <v>13491</v>
      </c>
      <c r="B13491" s="2" t="str">
        <f>IFERROR(__xludf.DUMMYFUNCTION("GOOGLETRANSLATE(A13491, ""de"", ""en"")"),"boys")</f>
        <v>boys</v>
      </c>
    </row>
    <row r="13492">
      <c r="A13492" s="1" t="s">
        <v>13492</v>
      </c>
      <c r="B13492" s="2" t="str">
        <f>IFERROR(__xludf.DUMMYFUNCTION("GOOGLETRANSLATE(A13492, ""de"", ""en"")"),"put on")</f>
        <v>put on</v>
      </c>
    </row>
    <row r="13493">
      <c r="A13493" s="1" t="s">
        <v>13493</v>
      </c>
      <c r="B13493" s="2" t="str">
        <f>IFERROR(__xludf.DUMMYFUNCTION("GOOGLETRANSLATE(A13493, ""de"", ""en"")"),"save")</f>
        <v>save</v>
      </c>
    </row>
    <row r="13494">
      <c r="A13494" s="1" t="s">
        <v>13494</v>
      </c>
      <c r="B13494" s="2" t="str">
        <f>IFERROR(__xludf.DUMMYFUNCTION("GOOGLETRANSLATE(A13494, ""de"", ""en"")"),"half long")</f>
        <v>half long</v>
      </c>
    </row>
    <row r="13495">
      <c r="A13495" s="1" t="s">
        <v>13495</v>
      </c>
      <c r="B13495" s="2" t="str">
        <f>IFERROR(__xludf.DUMMYFUNCTION("GOOGLETRANSLATE(A13495, ""de"", ""en"")"),"read")</f>
        <v>read</v>
      </c>
    </row>
    <row r="13496">
      <c r="A13496" s="1" t="s">
        <v>13496</v>
      </c>
      <c r="B13496" s="2" t="str">
        <f>IFERROR(__xludf.DUMMYFUNCTION("GOOGLETRANSLATE(A13496, ""de"", ""en"")"),"playing field")</f>
        <v>playing field</v>
      </c>
    </row>
    <row r="13497">
      <c r="A13497" s="1" t="s">
        <v>13497</v>
      </c>
      <c r="B13497" s="2" t="str">
        <f>IFERROR(__xludf.DUMMYFUNCTION("GOOGLETRANSLATE(A13497, ""de"", ""en"")"),"represent")</f>
        <v>represent</v>
      </c>
    </row>
    <row r="13498">
      <c r="A13498" s="1" t="s">
        <v>13498</v>
      </c>
      <c r="B13498" s="2" t="str">
        <f>IFERROR(__xludf.DUMMYFUNCTION("GOOGLETRANSLATE(A13498, ""de"", ""en"")"),"straw bag")</f>
        <v>straw bag</v>
      </c>
    </row>
    <row r="13499">
      <c r="A13499" s="1" t="s">
        <v>13499</v>
      </c>
      <c r="B13499" s="2" t="str">
        <f>IFERROR(__xludf.DUMMYFUNCTION("GOOGLETRANSLATE(A13499, ""de"", ""en"")"),"bathrobe")</f>
        <v>bathrobe</v>
      </c>
    </row>
    <row r="13500">
      <c r="A13500" s="1" t="s">
        <v>13500</v>
      </c>
      <c r="B13500" s="2" t="str">
        <f>IFERROR(__xludf.DUMMYFUNCTION("GOOGLETRANSLATE(A13500, ""de"", ""en"")"),"squad")</f>
        <v>squad</v>
      </c>
    </row>
    <row r="13501">
      <c r="A13501" s="1" t="s">
        <v>13501</v>
      </c>
      <c r="B13501" s="2" t="str">
        <f>IFERROR(__xludf.DUMMYFUNCTION("GOOGLETRANSLATE(A13501, ""de"", ""en"")"),"gunpowder")</f>
        <v>gunpowder</v>
      </c>
    </row>
    <row r="13502">
      <c r="A13502" s="1" t="s">
        <v>13502</v>
      </c>
      <c r="B13502" s="2" t="str">
        <f>IFERROR(__xludf.DUMMYFUNCTION("GOOGLETRANSLATE(A13502, ""de"", ""en"")"),"Mindy")</f>
        <v>Mindy</v>
      </c>
    </row>
    <row r="13503">
      <c r="A13503" s="1" t="s">
        <v>13503</v>
      </c>
      <c r="B13503" s="2" t="str">
        <f>IFERROR(__xludf.DUMMYFUNCTION("GOOGLETRANSLATE(A13503, ""de"", ""en"")"),"wedding gift")</f>
        <v>wedding gift</v>
      </c>
    </row>
    <row r="13504">
      <c r="A13504" s="1" t="s">
        <v>13504</v>
      </c>
      <c r="B13504" s="2" t="str">
        <f>IFERROR(__xludf.DUMMYFUNCTION("GOOGLETRANSLATE(A13504, ""de"", ""en"")"),"hinder")</f>
        <v>hinder</v>
      </c>
    </row>
    <row r="13505">
      <c r="A13505" s="1" t="s">
        <v>13505</v>
      </c>
      <c r="B13505" s="2" t="str">
        <f>IFERROR(__xludf.DUMMYFUNCTION("GOOGLETRANSLATE(A13505, ""de"", ""en"")"),"Romulans")</f>
        <v>Romulans</v>
      </c>
    </row>
    <row r="13506">
      <c r="A13506" s="1" t="s">
        <v>13506</v>
      </c>
      <c r="B13506" s="2" t="str">
        <f>IFERROR(__xludf.DUMMYFUNCTION("GOOGLETRANSLATE(A13506, ""de"", ""en"")"),"wolves")</f>
        <v>wolves</v>
      </c>
    </row>
    <row r="13507">
      <c r="A13507" s="1" t="s">
        <v>13507</v>
      </c>
      <c r="B13507" s="2" t="str">
        <f>IFERROR(__xludf.DUMMYFUNCTION("GOOGLETRANSLATE(A13507, ""de"", ""en"")"),"fantastic")</f>
        <v>fantastic</v>
      </c>
    </row>
    <row r="13508">
      <c r="A13508" s="1" t="s">
        <v>13508</v>
      </c>
      <c r="B13508" s="2" t="str">
        <f>IFERROR(__xludf.DUMMYFUNCTION("GOOGLETRANSLATE(A13508, ""de"", ""en"")"),"flights")</f>
        <v>flights</v>
      </c>
    </row>
    <row r="13509">
      <c r="A13509" s="1" t="s">
        <v>13509</v>
      </c>
      <c r="B13509" s="2" t="str">
        <f>IFERROR(__xludf.DUMMYFUNCTION("GOOGLETRANSLATE(A13509, ""de"", ""en"")"),"shredded")</f>
        <v>shredded</v>
      </c>
    </row>
    <row r="13510">
      <c r="A13510" s="1" t="s">
        <v>13510</v>
      </c>
      <c r="B13510" s="2" t="str">
        <f>IFERROR(__xludf.DUMMYFUNCTION("GOOGLETRANSLATE(A13510, ""de"", ""en"")"),"peyton")</f>
        <v>peyton</v>
      </c>
    </row>
    <row r="13511">
      <c r="A13511" s="1" t="s">
        <v>13511</v>
      </c>
      <c r="B13511" s="2" t="str">
        <f>IFERROR(__xludf.DUMMYFUNCTION("GOOGLETRANSLATE(A13511, ""de"", ""en"")"),"blown away")</f>
        <v>blown away</v>
      </c>
    </row>
    <row r="13512">
      <c r="A13512" s="1" t="s">
        <v>13512</v>
      </c>
      <c r="B13512" s="2" t="str">
        <f>IFERROR(__xludf.DUMMYFUNCTION("GOOGLETRANSLATE(A13512, ""de"", ""en"")"),"postcard")</f>
        <v>postcard</v>
      </c>
    </row>
    <row r="13513">
      <c r="A13513" s="1" t="s">
        <v>13513</v>
      </c>
      <c r="B13513" s="2" t="str">
        <f>IFERROR(__xludf.DUMMYFUNCTION("GOOGLETRANSLATE(A13513, ""de"", ""en"")"),"millimeter")</f>
        <v>millimeter</v>
      </c>
    </row>
    <row r="13514">
      <c r="A13514" s="1" t="s">
        <v>13514</v>
      </c>
      <c r="B13514" s="2" t="str">
        <f>IFERROR(__xludf.DUMMYFUNCTION("GOOGLETRANSLATE(A13514, ""de"", ""en"")"),"babysit")</f>
        <v>babysit</v>
      </c>
    </row>
    <row r="13515">
      <c r="A13515" s="1" t="s">
        <v>13515</v>
      </c>
      <c r="B13515" s="2" t="str">
        <f>IFERROR(__xludf.DUMMYFUNCTION("GOOGLETRANSLATE(A13515, ""de"", ""en"")"),"lotte")</f>
        <v>lotte</v>
      </c>
    </row>
    <row r="13516">
      <c r="A13516" s="1" t="s">
        <v>13516</v>
      </c>
      <c r="B13516" s="2" t="str">
        <f>IFERROR(__xludf.DUMMYFUNCTION("GOOGLETRANSLATE(A13516, ""de"", ""en"")"),"honorable")</f>
        <v>honorable</v>
      </c>
    </row>
    <row r="13517">
      <c r="A13517" s="1" t="s">
        <v>13517</v>
      </c>
      <c r="B13517" s="2" t="str">
        <f>IFERROR(__xludf.DUMMYFUNCTION("GOOGLETRANSLATE(A13517, ""de"", ""en"")"),"to take")</f>
        <v>to take</v>
      </c>
    </row>
    <row r="13518">
      <c r="A13518" s="1" t="s">
        <v>13518</v>
      </c>
      <c r="B13518" s="2" t="str">
        <f>IFERROR(__xludf.DUMMYFUNCTION("GOOGLETRANSLATE(A13518, ""de"", ""en"")"),"foam")</f>
        <v>foam</v>
      </c>
    </row>
    <row r="13519">
      <c r="A13519" s="1" t="s">
        <v>13519</v>
      </c>
      <c r="B13519" s="2" t="str">
        <f>IFERROR(__xludf.DUMMYFUNCTION("GOOGLETRANSLATE(A13519, ""de"", ""en"")"),"chambers")</f>
        <v>chambers</v>
      </c>
    </row>
    <row r="13520">
      <c r="A13520" s="1" t="s">
        <v>13520</v>
      </c>
      <c r="B13520" s="2" t="str">
        <f>IFERROR(__xludf.DUMMYFUNCTION("GOOGLETRANSLATE(A13520, ""de"", ""en"")"),"loft")</f>
        <v>loft</v>
      </c>
    </row>
    <row r="13521">
      <c r="A13521" s="1" t="s">
        <v>13521</v>
      </c>
      <c r="B13521" s="2" t="str">
        <f>IFERROR(__xludf.DUMMYFUNCTION("GOOGLETRANSLATE(A13521, ""de"", ""en"")"),"stew")</f>
        <v>stew</v>
      </c>
    </row>
    <row r="13522">
      <c r="A13522" s="1" t="s">
        <v>13522</v>
      </c>
      <c r="B13522" s="2" t="str">
        <f>IFERROR(__xludf.DUMMYFUNCTION("GOOGLETRANSLATE(A13522, ""de"", ""en"")"),"pimple")</f>
        <v>pimple</v>
      </c>
    </row>
    <row r="13523">
      <c r="A13523" s="1" t="s">
        <v>13523</v>
      </c>
      <c r="B13523" s="2" t="str">
        <f>IFERROR(__xludf.DUMMYFUNCTION("GOOGLETRANSLATE(A13523, ""de"", ""en"")"),"main street")</f>
        <v>main street</v>
      </c>
    </row>
    <row r="13524">
      <c r="A13524" s="1" t="s">
        <v>13524</v>
      </c>
      <c r="B13524" s="2" t="str">
        <f>IFERROR(__xludf.DUMMYFUNCTION("GOOGLETRANSLATE(A13524, ""de"", ""en"")"),"hurrem")</f>
        <v>hurrem</v>
      </c>
    </row>
    <row r="13525">
      <c r="A13525" s="1" t="s">
        <v>13525</v>
      </c>
      <c r="B13525" s="2" t="str">
        <f>IFERROR(__xludf.DUMMYFUNCTION("GOOGLETRANSLATE(A13525, ""de"", ""en"")"),"name")</f>
        <v>name</v>
      </c>
    </row>
    <row r="13526">
      <c r="A13526" s="1" t="s">
        <v>13526</v>
      </c>
      <c r="B13526" s="2" t="str">
        <f>IFERROR(__xludf.DUMMYFUNCTION("GOOGLETRANSLATE(A13526, ""de"", ""en"")"),"malicious")</f>
        <v>malicious</v>
      </c>
    </row>
    <row r="13527">
      <c r="A13527" s="1" t="s">
        <v>13527</v>
      </c>
      <c r="B13527" s="2" t="str">
        <f>IFERROR(__xludf.DUMMYFUNCTION("GOOGLETRANSLATE(A13527, ""de"", ""en"")"),"lead")</f>
        <v>lead</v>
      </c>
    </row>
    <row r="13528">
      <c r="A13528" s="1" t="s">
        <v>13528</v>
      </c>
      <c r="B13528" s="2" t="str">
        <f>IFERROR(__xludf.DUMMYFUNCTION("GOOGLETRANSLATE(A13528, ""de"", ""en"")"),"unfortunate")</f>
        <v>unfortunate</v>
      </c>
    </row>
    <row r="13529">
      <c r="A13529" s="1" t="s">
        <v>13529</v>
      </c>
      <c r="B13529" s="2" t="str">
        <f>IFERROR(__xludf.DUMMYFUNCTION("GOOGLETRANSLATE(A13529, ""de"", ""en"")"),"tongs")</f>
        <v>tongs</v>
      </c>
    </row>
    <row r="13530">
      <c r="A13530" s="1" t="s">
        <v>13530</v>
      </c>
      <c r="B13530" s="2" t="str">
        <f>IFERROR(__xludf.DUMMYFUNCTION("GOOGLETRANSLATE(A13530, ""de"", ""en"")"),"baker")</f>
        <v>baker</v>
      </c>
    </row>
    <row r="13531">
      <c r="A13531" s="1" t="s">
        <v>13531</v>
      </c>
      <c r="B13531" s="2" t="str">
        <f>IFERROR(__xludf.DUMMYFUNCTION("GOOGLETRANSLATE(A13531, ""de"", ""en"")"),"more complete")</f>
        <v>more complete</v>
      </c>
    </row>
    <row r="13532">
      <c r="A13532" s="1" t="s">
        <v>13532</v>
      </c>
      <c r="B13532" s="2" t="str">
        <f>IFERROR(__xludf.DUMMYFUNCTION("GOOGLETRANSLATE(A13532, ""de"", ""en"")"),"travelers")</f>
        <v>travelers</v>
      </c>
    </row>
    <row r="13533">
      <c r="A13533" s="1" t="s">
        <v>13533</v>
      </c>
      <c r="B13533" s="2" t="str">
        <f>IFERROR(__xludf.DUMMYFUNCTION("GOOGLETRANSLATE(A13533, ""de"", ""en"")"),"perverts")</f>
        <v>perverts</v>
      </c>
    </row>
    <row r="13534">
      <c r="A13534" s="1" t="s">
        <v>13534</v>
      </c>
      <c r="B13534" s="2" t="str">
        <f>IFERROR(__xludf.DUMMYFUNCTION("GOOGLETRANSLATE(A13534, ""de"", ""en"")"),"flair")</f>
        <v>flair</v>
      </c>
    </row>
    <row r="13535">
      <c r="A13535" s="1" t="s">
        <v>13535</v>
      </c>
      <c r="B13535" s="2" t="str">
        <f>IFERROR(__xludf.DUMMYFUNCTION("GOOGLETRANSLATE(A13535, ""de"", ""en"")"),"briefcase")</f>
        <v>briefcase</v>
      </c>
    </row>
    <row r="13536">
      <c r="A13536" s="1" t="s">
        <v>13536</v>
      </c>
      <c r="B13536" s="2" t="str">
        <f>IFERROR(__xludf.DUMMYFUNCTION("GOOGLETRANSLATE(A13536, ""de"", ""en"")"),"fulfill")</f>
        <v>fulfill</v>
      </c>
    </row>
    <row r="13537">
      <c r="A13537" s="1" t="s">
        <v>13537</v>
      </c>
      <c r="B13537" s="2" t="str">
        <f>IFERROR(__xludf.DUMMYFUNCTION("GOOGLETRANSLATE(A13537, ""de"", ""en"")"),"prepared")</f>
        <v>prepared</v>
      </c>
    </row>
    <row r="13538">
      <c r="A13538" s="1" t="s">
        <v>13538</v>
      </c>
      <c r="B13538" s="2" t="str">
        <f>IFERROR(__xludf.DUMMYFUNCTION("GOOGLETRANSLATE(A13538, ""de"", ""en"")"),"be called")</f>
        <v>be called</v>
      </c>
    </row>
    <row r="13539">
      <c r="A13539" s="1" t="s">
        <v>13539</v>
      </c>
      <c r="B13539" s="2" t="str">
        <f>IFERROR(__xludf.DUMMYFUNCTION("GOOGLETRANSLATE(A13539, ""de"", ""en"")"),"ground")</f>
        <v>ground</v>
      </c>
    </row>
    <row r="13540">
      <c r="A13540" s="1" t="s">
        <v>13540</v>
      </c>
      <c r="B13540" s="2" t="str">
        <f>IFERROR(__xludf.DUMMYFUNCTION("GOOGLETRANSLATE(A13540, ""de"", ""en"")"),"hey")</f>
        <v>hey</v>
      </c>
    </row>
    <row r="13541">
      <c r="A13541" s="1" t="s">
        <v>13541</v>
      </c>
      <c r="B13541" s="2" t="str">
        <f>IFERROR(__xludf.DUMMYFUNCTION("GOOGLETRANSLATE(A13541, ""de"", ""en"")"),"bring in")</f>
        <v>bring in</v>
      </c>
    </row>
    <row r="13542">
      <c r="A13542" s="1" t="s">
        <v>13542</v>
      </c>
      <c r="B13542" s="2" t="str">
        <f>IFERROR(__xludf.DUMMYFUNCTION("GOOGLETRANSLATE(A13542, ""de"", ""en"")"),"previously convicted")</f>
        <v>previously convicted</v>
      </c>
    </row>
    <row r="13543">
      <c r="A13543" s="1" t="s">
        <v>13543</v>
      </c>
      <c r="B13543" s="2" t="str">
        <f>IFERROR(__xludf.DUMMYFUNCTION("GOOGLETRANSLATE(A13543, ""de"", ""en"")"),"sour")</f>
        <v>sour</v>
      </c>
    </row>
    <row r="13544">
      <c r="A13544" s="1" t="s">
        <v>13544</v>
      </c>
      <c r="B13544" s="2" t="str">
        <f>IFERROR(__xludf.DUMMYFUNCTION("GOOGLETRANSLATE(A13544, ""de"", ""en"")"),"successes")</f>
        <v>successes</v>
      </c>
    </row>
    <row r="13545">
      <c r="A13545" s="1" t="s">
        <v>13545</v>
      </c>
      <c r="B13545" s="2" t="str">
        <f>IFERROR(__xludf.DUMMYFUNCTION("GOOGLETRANSLATE(A13545, ""de"", ""en"")"),"draws")</f>
        <v>draws</v>
      </c>
    </row>
    <row r="13546">
      <c r="A13546" s="1" t="s">
        <v>13546</v>
      </c>
      <c r="B13546" s="2" t="str">
        <f>IFERROR(__xludf.DUMMYFUNCTION("GOOGLETRANSLATE(A13546, ""de"", ""en"")"),"junkyard")</f>
        <v>junkyard</v>
      </c>
    </row>
    <row r="13547">
      <c r="A13547" s="1" t="s">
        <v>13547</v>
      </c>
      <c r="B13547" s="2" t="str">
        <f>IFERROR(__xludf.DUMMYFUNCTION("GOOGLETRANSLATE(A13547, ""de"", ""en"")"),"exam")</f>
        <v>exam</v>
      </c>
    </row>
    <row r="13548">
      <c r="A13548" s="1" t="s">
        <v>13548</v>
      </c>
      <c r="B13548" s="2" t="str">
        <f>IFERROR(__xludf.DUMMYFUNCTION("GOOGLETRANSLATE(A13548, ""de"", ""en"")"),"cordial")</f>
        <v>cordial</v>
      </c>
    </row>
    <row r="13549">
      <c r="A13549" s="1" t="s">
        <v>13549</v>
      </c>
      <c r="B13549" s="2" t="str">
        <f>IFERROR(__xludf.DUMMYFUNCTION("GOOGLETRANSLATE(A13549, ""de"", ""en"")"),"tremble")</f>
        <v>tremble</v>
      </c>
    </row>
    <row r="13550">
      <c r="A13550" s="1" t="s">
        <v>13550</v>
      </c>
      <c r="B13550" s="2" t="str">
        <f>IFERROR(__xludf.DUMMYFUNCTION("GOOGLETRANSLATE(A13550, ""de"", ""en"")"),"defends")</f>
        <v>defends</v>
      </c>
    </row>
    <row r="13551">
      <c r="A13551" s="1" t="s">
        <v>13551</v>
      </c>
      <c r="B13551" s="2" t="str">
        <f>IFERROR(__xludf.DUMMYFUNCTION("GOOGLETRANSLATE(A13551, ""de"", ""en"")"),"canister")</f>
        <v>canister</v>
      </c>
    </row>
    <row r="13552">
      <c r="A13552" s="1" t="s">
        <v>13552</v>
      </c>
      <c r="B13552" s="2" t="str">
        <f>IFERROR(__xludf.DUMMYFUNCTION("GOOGLETRANSLATE(A13552, ""de"", ""en"")"),"opinions")</f>
        <v>opinions</v>
      </c>
    </row>
    <row r="13553">
      <c r="A13553" s="1" t="s">
        <v>13553</v>
      </c>
      <c r="B13553" s="2" t="str">
        <f>IFERROR(__xludf.DUMMYFUNCTION("GOOGLETRANSLATE(A13553, ""de"", ""en"")"),"bobo")</f>
        <v>bobo</v>
      </c>
    </row>
    <row r="13554">
      <c r="A13554" s="1" t="s">
        <v>13554</v>
      </c>
      <c r="B13554" s="2" t="str">
        <f>IFERROR(__xludf.DUMMYFUNCTION("GOOGLETRANSLATE(A13554, ""de"", ""en"")"),"levels")</f>
        <v>levels</v>
      </c>
    </row>
    <row r="13555">
      <c r="A13555" s="1" t="s">
        <v>13555</v>
      </c>
      <c r="B13555" s="2" t="str">
        <f>IFERROR(__xludf.DUMMYFUNCTION("GOOGLETRANSLATE(A13555, ""de"", ""en"")"),"omen")</f>
        <v>omen</v>
      </c>
    </row>
    <row r="13556">
      <c r="A13556" s="1" t="s">
        <v>13556</v>
      </c>
      <c r="B13556" s="2" t="str">
        <f>IFERROR(__xludf.DUMMYFUNCTION("GOOGLETRANSLATE(A13556, ""de"", ""en"")"),"counter")</f>
        <v>counter</v>
      </c>
    </row>
    <row r="13557">
      <c r="A13557" s="1" t="s">
        <v>13557</v>
      </c>
      <c r="B13557" s="2" t="str">
        <f>IFERROR(__xludf.DUMMYFUNCTION("GOOGLETRANSLATE(A13557, ""de"", ""en"")"),"nightmares")</f>
        <v>nightmares</v>
      </c>
    </row>
    <row r="13558">
      <c r="A13558" s="1" t="s">
        <v>13558</v>
      </c>
      <c r="B13558" s="2" t="str">
        <f>IFERROR(__xludf.DUMMYFUNCTION("GOOGLETRANSLATE(A13558, ""de"", ""en"")"),"very")</f>
        <v>very</v>
      </c>
    </row>
    <row r="13559">
      <c r="A13559" s="1" t="s">
        <v>13559</v>
      </c>
      <c r="B13559" s="2" t="str">
        <f>IFERROR(__xludf.DUMMYFUNCTION("GOOGLETRANSLATE(A13559, ""de"", ""en"")"),"leftist")</f>
        <v>leftist</v>
      </c>
    </row>
    <row r="13560">
      <c r="A13560" s="1" t="s">
        <v>13560</v>
      </c>
      <c r="B13560" s="2" t="str">
        <f>IFERROR(__xludf.DUMMYFUNCTION("GOOGLETRANSLATE(A13560, ""de"", ""en"")"),"first lieutenant")</f>
        <v>first lieutenant</v>
      </c>
    </row>
    <row r="13561">
      <c r="A13561" s="1" t="s">
        <v>13561</v>
      </c>
      <c r="B13561" s="2" t="str">
        <f>IFERROR(__xludf.DUMMYFUNCTION("GOOGLETRANSLATE(A13561, ""de"", ""en"")"),"exclusive")</f>
        <v>exclusive</v>
      </c>
    </row>
    <row r="13562">
      <c r="A13562" s="1" t="s">
        <v>13562</v>
      </c>
      <c r="B13562" s="2" t="str">
        <f>IFERROR(__xludf.DUMMYFUNCTION("GOOGLETRANSLATE(A13562, ""de"", ""en"")"),"proud")</f>
        <v>proud</v>
      </c>
    </row>
    <row r="13563">
      <c r="A13563" s="1" t="s">
        <v>13563</v>
      </c>
      <c r="B13563" s="2" t="str">
        <f>IFERROR(__xludf.DUMMYFUNCTION("GOOGLETRANSLATE(A13563, ""de"", ""en"")"),"additional")</f>
        <v>additional</v>
      </c>
    </row>
    <row r="13564">
      <c r="A13564" s="1" t="s">
        <v>13564</v>
      </c>
      <c r="B13564" s="2" t="str">
        <f>IFERROR(__xludf.DUMMYFUNCTION("GOOGLETRANSLATE(A13564, ""de"", ""en"")"),"evie")</f>
        <v>evie</v>
      </c>
    </row>
    <row r="13565">
      <c r="A13565" s="1" t="s">
        <v>13565</v>
      </c>
      <c r="B13565" s="2" t="str">
        <f>IFERROR(__xludf.DUMMYFUNCTION("GOOGLETRANSLATE(A13565, ""de"", ""en"")"),"disregarded")</f>
        <v>disregarded</v>
      </c>
    </row>
    <row r="13566">
      <c r="A13566" s="1" t="s">
        <v>13566</v>
      </c>
      <c r="B13566" s="2" t="str">
        <f>IFERROR(__xludf.DUMMYFUNCTION("GOOGLETRANSLATE(A13566, ""de"", ""en"")"),"suspended")</f>
        <v>suspended</v>
      </c>
    </row>
    <row r="13567">
      <c r="A13567" s="1" t="s">
        <v>13567</v>
      </c>
      <c r="B13567" s="2" t="str">
        <f>IFERROR(__xludf.DUMMYFUNCTION("GOOGLETRANSLATE(A13567, ""de"", ""en"")"),"discussions")</f>
        <v>discussions</v>
      </c>
    </row>
    <row r="13568">
      <c r="A13568" s="1" t="s">
        <v>13568</v>
      </c>
      <c r="B13568" s="2" t="str">
        <f>IFERROR(__xludf.DUMMYFUNCTION("GOOGLETRANSLATE(A13568, ""de"", ""en"")"),"mccarthy")</f>
        <v>mccarthy</v>
      </c>
    </row>
    <row r="13569">
      <c r="A13569" s="1" t="s">
        <v>13569</v>
      </c>
      <c r="B13569" s="2" t="str">
        <f>IFERROR(__xludf.DUMMYFUNCTION("GOOGLETRANSLATE(A13569, ""de"", ""en"")"),"marple")</f>
        <v>marple</v>
      </c>
    </row>
    <row r="13570">
      <c r="A13570" s="1" t="s">
        <v>13570</v>
      </c>
      <c r="B13570" s="2" t="str">
        <f>IFERROR(__xludf.DUMMYFUNCTION("GOOGLETRANSLATE(A13570, ""de"", ""en"")"),"Dublin")</f>
        <v>Dublin</v>
      </c>
    </row>
    <row r="13571">
      <c r="A13571" s="1" t="s">
        <v>13571</v>
      </c>
      <c r="B13571" s="2" t="str">
        <f>IFERROR(__xludf.DUMMYFUNCTION("GOOGLETRANSLATE(A13571, ""de"", ""en"")"),"convoy")</f>
        <v>convoy</v>
      </c>
    </row>
    <row r="13572">
      <c r="A13572" s="1" t="s">
        <v>13572</v>
      </c>
      <c r="B13572" s="2" t="str">
        <f>IFERROR(__xludf.DUMMYFUNCTION("GOOGLETRANSLATE(A13572, ""de"", ""en"")"),"facilities")</f>
        <v>facilities</v>
      </c>
    </row>
    <row r="13573">
      <c r="A13573" s="1" t="s">
        <v>13573</v>
      </c>
      <c r="B13573" s="2" t="str">
        <f>IFERROR(__xludf.DUMMYFUNCTION("GOOGLETRANSLATE(A13573, ""de"", ""en"")"),"subject")</f>
        <v>subject</v>
      </c>
    </row>
    <row r="13574">
      <c r="A13574" s="1" t="s">
        <v>13574</v>
      </c>
      <c r="B13574" s="2" t="str">
        <f>IFERROR(__xludf.DUMMYFUNCTION("GOOGLETRANSLATE(A13574, ""de"", ""en"")"),"fair")</f>
        <v>fair</v>
      </c>
    </row>
    <row r="13575">
      <c r="A13575" s="1" t="s">
        <v>13575</v>
      </c>
      <c r="B13575" s="2" t="str">
        <f>IFERROR(__xludf.DUMMYFUNCTION("GOOGLETRANSLATE(A13575, ""de"", ""en"")"),"brent")</f>
        <v>brent</v>
      </c>
    </row>
    <row r="13576">
      <c r="A13576" s="1" t="s">
        <v>13576</v>
      </c>
      <c r="B13576" s="2" t="str">
        <f>IFERROR(__xludf.DUMMYFUNCTION("GOOGLETRANSLATE(A13576, ""de"", ""en"")"),"kilometers")</f>
        <v>kilometers</v>
      </c>
    </row>
    <row r="13577">
      <c r="A13577" s="1" t="s">
        <v>13577</v>
      </c>
      <c r="B13577" s="2" t="str">
        <f>IFERROR(__xludf.DUMMYFUNCTION("GOOGLETRANSLATE(A13577, ""de"", ""en"")"),"measured")</f>
        <v>measured</v>
      </c>
    </row>
    <row r="13578">
      <c r="A13578" s="1" t="s">
        <v>13578</v>
      </c>
      <c r="B13578" s="2" t="str">
        <f>IFERROR(__xludf.DUMMYFUNCTION("GOOGLETRANSLATE(A13578, ""de"", ""en"")"),"footsteps")</f>
        <v>footsteps</v>
      </c>
    </row>
    <row r="13579">
      <c r="A13579" s="1" t="s">
        <v>13579</v>
      </c>
      <c r="B13579" s="2" t="str">
        <f>IFERROR(__xludf.DUMMYFUNCTION("GOOGLETRANSLATE(A13579, ""de"", ""en"")"),"anya")</f>
        <v>anya</v>
      </c>
    </row>
    <row r="13580">
      <c r="A13580" s="1" t="s">
        <v>13580</v>
      </c>
      <c r="B13580" s="2" t="str">
        <f>IFERROR(__xludf.DUMMYFUNCTION("GOOGLETRANSLATE(A13580, ""de"", ""en"")"),"toaster")</f>
        <v>toaster</v>
      </c>
    </row>
    <row r="13581">
      <c r="A13581" s="1" t="s">
        <v>13581</v>
      </c>
      <c r="B13581" s="2" t="str">
        <f>IFERROR(__xludf.DUMMYFUNCTION("GOOGLETRANSLATE(A13581, ""de"", ""en"")"),"confess")</f>
        <v>confess</v>
      </c>
    </row>
    <row r="13582">
      <c r="A13582" s="1" t="s">
        <v>13582</v>
      </c>
      <c r="B13582" s="2" t="str">
        <f>IFERROR(__xludf.DUMMYFUNCTION("GOOGLETRANSLATE(A13582, ""de"", ""en"")"),"strange")</f>
        <v>strange</v>
      </c>
    </row>
    <row r="13583">
      <c r="A13583" s="1" t="s">
        <v>13583</v>
      </c>
      <c r="B13583" s="2" t="str">
        <f>IFERROR(__xludf.DUMMYFUNCTION("GOOGLETRANSLATE(A13583, ""de"", ""en"")"),"successively")</f>
        <v>successively</v>
      </c>
    </row>
    <row r="13584">
      <c r="A13584" s="1" t="s">
        <v>13584</v>
      </c>
      <c r="B13584" s="2" t="str">
        <f>IFERROR(__xludf.DUMMYFUNCTION("GOOGLETRANSLATE(A13584, ""de"", ""en"")"),"dinozzo")</f>
        <v>dinozzo</v>
      </c>
    </row>
    <row r="13585">
      <c r="A13585" s="1" t="s">
        <v>13585</v>
      </c>
      <c r="B13585" s="2" t="str">
        <f>IFERROR(__xludf.DUMMYFUNCTION("GOOGLETRANSLATE(A13585, ""de"", ""en"")"),"arson")</f>
        <v>arson</v>
      </c>
    </row>
    <row r="13586">
      <c r="A13586" s="1" t="s">
        <v>13586</v>
      </c>
      <c r="B13586" s="2" t="str">
        <f>IFERROR(__xludf.DUMMYFUNCTION("GOOGLETRANSLATE(A13586, ""de"", ""en"")"),"laughed")</f>
        <v>laughed</v>
      </c>
    </row>
    <row r="13587">
      <c r="A13587" s="1" t="s">
        <v>13587</v>
      </c>
      <c r="B13587" s="2" t="str">
        <f>IFERROR(__xludf.DUMMYFUNCTION("GOOGLETRANSLATE(A13587, ""de"", ""en"")"),"references")</f>
        <v>references</v>
      </c>
    </row>
    <row r="13588">
      <c r="A13588" s="1" t="s">
        <v>13588</v>
      </c>
      <c r="B13588" s="2" t="str">
        <f>IFERROR(__xludf.DUMMYFUNCTION("GOOGLETRANSLATE(A13588, ""de"", ""en"")"),"tai")</f>
        <v>tai</v>
      </c>
    </row>
    <row r="13589">
      <c r="A13589" s="1" t="s">
        <v>13589</v>
      </c>
      <c r="B13589" s="2" t="str">
        <f>IFERROR(__xludf.DUMMYFUNCTION("GOOGLETRANSLATE(A13589, ""de"", ""en"")"),"mayor")</f>
        <v>mayor</v>
      </c>
    </row>
    <row r="13590">
      <c r="A13590" s="1" t="s">
        <v>13590</v>
      </c>
      <c r="B13590" s="2" t="str">
        <f>IFERROR(__xludf.DUMMYFUNCTION("GOOGLETRANSLATE(A13590, ""de"", ""en"")"),"fee")</f>
        <v>fee</v>
      </c>
    </row>
    <row r="13591">
      <c r="A13591" s="1" t="s">
        <v>13591</v>
      </c>
      <c r="B13591" s="2" t="str">
        <f>IFERROR(__xludf.DUMMYFUNCTION("GOOGLETRANSLATE(A13591, ""de"", ""en"")"),"refreshing")</f>
        <v>refreshing</v>
      </c>
    </row>
    <row r="13592">
      <c r="A13592" s="1" t="s">
        <v>13592</v>
      </c>
      <c r="B13592" s="2" t="str">
        <f>IFERROR(__xludf.DUMMYFUNCTION("GOOGLETRANSLATE(A13592, ""de"", ""en"")"),"moody")</f>
        <v>moody</v>
      </c>
    </row>
    <row r="13593">
      <c r="A13593" s="1" t="s">
        <v>13593</v>
      </c>
      <c r="B13593" s="2" t="str">
        <f>IFERROR(__xludf.DUMMYFUNCTION("GOOGLETRANSLATE(A13593, ""de"", ""en"")"),"recruited")</f>
        <v>recruited</v>
      </c>
    </row>
    <row r="13594">
      <c r="A13594" s="1" t="s">
        <v>13594</v>
      </c>
      <c r="B13594" s="2" t="str">
        <f>IFERROR(__xludf.DUMMYFUNCTION("GOOGLETRANSLATE(A13594, ""de"", ""en"")"),"factories")</f>
        <v>factories</v>
      </c>
    </row>
    <row r="13595">
      <c r="A13595" s="1" t="s">
        <v>13595</v>
      </c>
      <c r="B13595" s="2" t="str">
        <f>IFERROR(__xludf.DUMMYFUNCTION("GOOGLETRANSLATE(A13595, ""de"", ""en"")"),"premier")</f>
        <v>premier</v>
      </c>
    </row>
    <row r="13596">
      <c r="A13596" s="1" t="s">
        <v>13596</v>
      </c>
      <c r="B13596" s="2" t="str">
        <f>IFERROR(__xludf.DUMMYFUNCTION("GOOGLETRANSLATE(A13596, ""de"", ""en"")"),"terrence")</f>
        <v>terrence</v>
      </c>
    </row>
    <row r="13597">
      <c r="A13597" s="1" t="s">
        <v>13597</v>
      </c>
      <c r="B13597" s="2" t="str">
        <f>IFERROR(__xludf.DUMMYFUNCTION("GOOGLETRANSLATE(A13597, ""de"", ""en"")"),"open")</f>
        <v>open</v>
      </c>
    </row>
    <row r="13598">
      <c r="A13598" s="1" t="s">
        <v>13598</v>
      </c>
      <c r="B13598" s="2" t="str">
        <f>IFERROR(__xludf.DUMMYFUNCTION("GOOGLETRANSLATE(A13598, ""de"", ""en"")"),"you consider")</f>
        <v>you consider</v>
      </c>
    </row>
    <row r="13599">
      <c r="A13599" s="1" t="s">
        <v>13599</v>
      </c>
      <c r="B13599" s="2" t="str">
        <f>IFERROR(__xludf.DUMMYFUNCTION("GOOGLETRANSLATE(A13599, ""de"", ""en"")"),"turn")</f>
        <v>turn</v>
      </c>
    </row>
    <row r="13600">
      <c r="A13600" s="1" t="s">
        <v>13600</v>
      </c>
      <c r="B13600" s="2" t="str">
        <f>IFERROR(__xludf.DUMMYFUNCTION("GOOGLETRANSLATE(A13600, ""de"", ""en"")"),"gilles")</f>
        <v>gilles</v>
      </c>
    </row>
    <row r="13601">
      <c r="A13601" s="1" t="s">
        <v>13601</v>
      </c>
      <c r="B13601" s="2" t="str">
        <f>IFERROR(__xludf.DUMMYFUNCTION("GOOGLETRANSLATE(A13601, ""de"", ""en"")"),"chairman")</f>
        <v>chairman</v>
      </c>
    </row>
    <row r="13602">
      <c r="A13602" s="1" t="s">
        <v>13602</v>
      </c>
      <c r="B13602" s="2" t="str">
        <f>IFERROR(__xludf.DUMMYFUNCTION("GOOGLETRANSLATE(A13602, ""de"", ""en"")"),"state")</f>
        <v>state</v>
      </c>
    </row>
    <row r="13603">
      <c r="A13603" s="1" t="s">
        <v>13603</v>
      </c>
      <c r="B13603" s="2" t="str">
        <f>IFERROR(__xludf.DUMMYFUNCTION("GOOGLETRANSLATE(A13603, ""de"", ""en"")"),"written")</f>
        <v>written</v>
      </c>
    </row>
    <row r="13604">
      <c r="A13604" s="1" t="s">
        <v>13604</v>
      </c>
      <c r="B13604" s="2" t="str">
        <f>IFERROR(__xludf.DUMMYFUNCTION("GOOGLETRANSLATE(A13604, ""de"", ""en"")"),"uhtred")</f>
        <v>uhtred</v>
      </c>
    </row>
    <row r="13605">
      <c r="A13605" s="1" t="s">
        <v>13605</v>
      </c>
      <c r="B13605" s="2" t="str">
        <f>IFERROR(__xludf.DUMMYFUNCTION("GOOGLETRANSLATE(A13605, ""de"", ""en"")"),"Pakistan")</f>
        <v>Pakistan</v>
      </c>
    </row>
    <row r="13606">
      <c r="A13606" s="1" t="s">
        <v>13606</v>
      </c>
      <c r="B13606" s="2" t="str">
        <f>IFERROR(__xludf.DUMMYFUNCTION("GOOGLETRANSLATE(A13606, ""de"", ""en"")"),"screaming")</f>
        <v>screaming</v>
      </c>
    </row>
    <row r="13607">
      <c r="A13607" s="1" t="s">
        <v>13607</v>
      </c>
      <c r="B13607" s="2" t="str">
        <f>IFERROR(__xludf.DUMMYFUNCTION("GOOGLETRANSLATE(A13607, ""de"", ""en"")"),"continue working")</f>
        <v>continue working</v>
      </c>
    </row>
    <row r="13608">
      <c r="A13608" s="1" t="s">
        <v>13608</v>
      </c>
      <c r="B13608" s="2" t="str">
        <f>IFERROR(__xludf.DUMMYFUNCTION("GOOGLETRANSLATE(A13608, ""de"", ""en"")"),"diarrhea")</f>
        <v>diarrhea</v>
      </c>
    </row>
    <row r="13609">
      <c r="A13609" s="1" t="s">
        <v>13609</v>
      </c>
      <c r="B13609" s="2" t="str">
        <f>IFERROR(__xludf.DUMMYFUNCTION("GOOGLETRANSLATE(A13609, ""de"", ""en"")"),"went")</f>
        <v>went</v>
      </c>
    </row>
    <row r="13610">
      <c r="A13610" s="1" t="s">
        <v>13610</v>
      </c>
      <c r="B13610" s="2" t="str">
        <f>IFERROR(__xludf.DUMMYFUNCTION("GOOGLETRANSLATE(A13610, ""de"", ""en"")"),"more reasonable")</f>
        <v>more reasonable</v>
      </c>
    </row>
    <row r="13611">
      <c r="A13611" s="1" t="s">
        <v>13611</v>
      </c>
      <c r="B13611" s="2" t="str">
        <f>IFERROR(__xludf.DUMMYFUNCTION("GOOGLETRANSLATE(A13611, ""de"", ""en"")"),"dispose")</f>
        <v>dispose</v>
      </c>
    </row>
    <row r="13612">
      <c r="A13612" s="1" t="s">
        <v>13612</v>
      </c>
      <c r="B13612" s="2" t="str">
        <f>IFERROR(__xludf.DUMMYFUNCTION("GOOGLETRANSLATE(A13612, ""de"", ""en"")"),"defined")</f>
        <v>defined</v>
      </c>
    </row>
    <row r="13613">
      <c r="A13613" s="1" t="s">
        <v>13613</v>
      </c>
      <c r="B13613" s="2" t="str">
        <f>IFERROR(__xludf.DUMMYFUNCTION("GOOGLETRANSLATE(A13613, ""de"", ""en"")"),"ugly")</f>
        <v>ugly</v>
      </c>
    </row>
    <row r="13614">
      <c r="A13614" s="1" t="s">
        <v>13614</v>
      </c>
      <c r="B13614" s="2" t="str">
        <f>IFERROR(__xludf.DUMMYFUNCTION("GOOGLETRANSLATE(A13614, ""de"", ""en"")"),"ignites")</f>
        <v>ignites</v>
      </c>
    </row>
    <row r="13615">
      <c r="A13615" s="1" t="s">
        <v>13615</v>
      </c>
      <c r="B13615" s="2" t="str">
        <f>IFERROR(__xludf.DUMMYFUNCTION("GOOGLETRANSLATE(A13615, ""de"", ""en"")"),"devour")</f>
        <v>devour</v>
      </c>
    </row>
    <row r="13616">
      <c r="A13616" s="1" t="s">
        <v>13616</v>
      </c>
      <c r="B13616" s="2" t="str">
        <f>IFERROR(__xludf.DUMMYFUNCTION("GOOGLETRANSLATE(A13616, ""de"", ""en"")"),"board")</f>
        <v>board</v>
      </c>
    </row>
    <row r="13617">
      <c r="A13617" s="1" t="s">
        <v>13617</v>
      </c>
      <c r="B13617" s="2" t="str">
        <f>IFERROR(__xludf.DUMMYFUNCTION("GOOGLETRANSLATE(A13617, ""de"", ""en"")"),"swan")</f>
        <v>swan</v>
      </c>
    </row>
    <row r="13618">
      <c r="A13618" s="1" t="s">
        <v>13618</v>
      </c>
      <c r="B13618" s="2" t="str">
        <f>IFERROR(__xludf.DUMMYFUNCTION("GOOGLETRANSLATE(A13618, ""de"", ""en"")"),"souvenir")</f>
        <v>souvenir</v>
      </c>
    </row>
    <row r="13619">
      <c r="A13619" s="1" t="s">
        <v>13619</v>
      </c>
      <c r="B13619" s="2" t="str">
        <f>IFERROR(__xludf.DUMMYFUNCTION("GOOGLETRANSLATE(A13619, ""de"", ""en"")"),"ungrateful")</f>
        <v>ungrateful</v>
      </c>
    </row>
    <row r="13620">
      <c r="A13620" s="1" t="s">
        <v>13620</v>
      </c>
      <c r="B13620" s="2" t="str">
        <f>IFERROR(__xludf.DUMMYFUNCTION("GOOGLETRANSLATE(A13620, ""de"", ""en"")"),"sequence")</f>
        <v>sequence</v>
      </c>
    </row>
    <row r="13621">
      <c r="A13621" s="1" t="s">
        <v>13621</v>
      </c>
      <c r="B13621" s="2" t="str">
        <f>IFERROR(__xludf.DUMMYFUNCTION("GOOGLETRANSLATE(A13621, ""de"", ""en"")"),"way")</f>
        <v>way</v>
      </c>
    </row>
    <row r="13622">
      <c r="A13622" s="1" t="s">
        <v>13622</v>
      </c>
      <c r="B13622" s="2" t="str">
        <f>IFERROR(__xludf.DUMMYFUNCTION("GOOGLETRANSLATE(A13622, ""de"", ""en"")"),"acquired")</f>
        <v>acquired</v>
      </c>
    </row>
    <row r="13623">
      <c r="A13623" s="1" t="s">
        <v>13623</v>
      </c>
      <c r="B13623" s="2" t="str">
        <f>IFERROR(__xludf.DUMMYFUNCTION("GOOGLETRANSLATE(A13623, ""de"", ""en"")"),"can")</f>
        <v>can</v>
      </c>
    </row>
    <row r="13624">
      <c r="A13624" s="1" t="s">
        <v>13624</v>
      </c>
      <c r="B13624" s="2" t="str">
        <f>IFERROR(__xludf.DUMMYFUNCTION("GOOGLETRANSLATE(A13624, ""de"", ""en"")"),"salem")</f>
        <v>salem</v>
      </c>
    </row>
    <row r="13625">
      <c r="A13625" s="1" t="s">
        <v>13625</v>
      </c>
      <c r="B13625" s="2" t="str">
        <f>IFERROR(__xludf.DUMMYFUNCTION("GOOGLETRANSLATE(A13625, ""de"", ""en"")"),"Greek")</f>
        <v>Greek</v>
      </c>
    </row>
    <row r="13626">
      <c r="A13626" s="1" t="s">
        <v>13626</v>
      </c>
      <c r="B13626" s="2" t="str">
        <f>IFERROR(__xludf.DUMMYFUNCTION("GOOGLETRANSLATE(A13626, ""de"", ""en"")"),"harmon")</f>
        <v>harmon</v>
      </c>
    </row>
    <row r="13627">
      <c r="A13627" s="1" t="s">
        <v>13627</v>
      </c>
      <c r="B13627" s="2" t="str">
        <f>IFERROR(__xludf.DUMMYFUNCTION("GOOGLETRANSLATE(A13627, ""de"", ""en"")"),"recreation")</f>
        <v>recreation</v>
      </c>
    </row>
    <row r="13628">
      <c r="A13628" s="1" t="s">
        <v>13628</v>
      </c>
      <c r="B13628" s="2" t="str">
        <f>IFERROR(__xludf.DUMMYFUNCTION("GOOGLETRANSLATE(A13628, ""de"", ""en"")"),"control room")</f>
        <v>control room</v>
      </c>
    </row>
    <row r="13629">
      <c r="A13629" s="1" t="s">
        <v>13629</v>
      </c>
      <c r="B13629" s="2" t="str">
        <f>IFERROR(__xludf.DUMMYFUNCTION("GOOGLETRANSLATE(A13629, ""de"", ""en"")"),"dry")</f>
        <v>dry</v>
      </c>
    </row>
    <row r="13630">
      <c r="A13630" s="1" t="s">
        <v>13630</v>
      </c>
      <c r="B13630" s="2" t="str">
        <f>IFERROR(__xludf.DUMMYFUNCTION("GOOGLETRANSLATE(A13630, ""de"", ""en"")"),"Raphael")</f>
        <v>Raphael</v>
      </c>
    </row>
    <row r="13631">
      <c r="A13631" s="1" t="s">
        <v>13631</v>
      </c>
      <c r="B13631" s="2" t="str">
        <f>IFERROR(__xludf.DUMMYFUNCTION("GOOGLETRANSLATE(A13631, ""de"", ""en"")"),"slide")</f>
        <v>slide</v>
      </c>
    </row>
    <row r="13632">
      <c r="A13632" s="1" t="s">
        <v>13632</v>
      </c>
      <c r="B13632" s="2" t="str">
        <f>IFERROR(__xludf.DUMMYFUNCTION("GOOGLETRANSLATE(A13632, ""de"", ""en"")"),"lovers")</f>
        <v>lovers</v>
      </c>
    </row>
    <row r="13633">
      <c r="A13633" s="1" t="s">
        <v>13633</v>
      </c>
      <c r="B13633" s="2" t="str">
        <f>IFERROR(__xludf.DUMMYFUNCTION("GOOGLETRANSLATE(A13633, ""de"", ""en"")"),"studios")</f>
        <v>studios</v>
      </c>
    </row>
    <row r="13634">
      <c r="A13634" s="1" t="s">
        <v>13634</v>
      </c>
      <c r="B13634" s="2" t="str">
        <f>IFERROR(__xludf.DUMMYFUNCTION("GOOGLETRANSLATE(A13634, ""de"", ""en"")"),"artillery")</f>
        <v>artillery</v>
      </c>
    </row>
    <row r="13635">
      <c r="A13635" s="1" t="s">
        <v>13635</v>
      </c>
      <c r="B13635" s="2" t="str">
        <f>IFERROR(__xludf.DUMMYFUNCTION("GOOGLETRANSLATE(A13635, ""de"", ""en"")"),"hammer")</f>
        <v>hammer</v>
      </c>
    </row>
    <row r="13636">
      <c r="A13636" s="1" t="s">
        <v>13636</v>
      </c>
      <c r="B13636" s="2" t="str">
        <f>IFERROR(__xludf.DUMMYFUNCTION("GOOGLETRANSLATE(A13636, ""de"", ""en"")"),"homeless")</f>
        <v>homeless</v>
      </c>
    </row>
    <row r="13637">
      <c r="A13637" s="1" t="s">
        <v>13637</v>
      </c>
      <c r="B13637" s="2" t="str">
        <f>IFERROR(__xludf.DUMMYFUNCTION("GOOGLETRANSLATE(A13637, ""de"", ""en"")"),"depart")</f>
        <v>depart</v>
      </c>
    </row>
    <row r="13638">
      <c r="A13638" s="1" t="s">
        <v>13638</v>
      </c>
      <c r="B13638" s="2" t="str">
        <f>IFERROR(__xludf.DUMMYFUNCTION("GOOGLETRANSLATE(A13638, ""de"", ""en"")"),"real")</f>
        <v>real</v>
      </c>
    </row>
    <row r="13639">
      <c r="A13639" s="1" t="s">
        <v>13639</v>
      </c>
      <c r="B13639" s="2" t="str">
        <f>IFERROR(__xludf.DUMMYFUNCTION("GOOGLETRANSLATE(A13639, ""de"", ""en"")"),"nobility")</f>
        <v>nobility</v>
      </c>
    </row>
    <row r="13640">
      <c r="A13640" s="1" t="s">
        <v>13640</v>
      </c>
      <c r="B13640" s="2" t="str">
        <f>IFERROR(__xludf.DUMMYFUNCTION("GOOGLETRANSLATE(A13640, ""de"", ""en"")"),"crashes")</f>
        <v>crashes</v>
      </c>
    </row>
    <row r="13641">
      <c r="A13641" s="1" t="s">
        <v>13641</v>
      </c>
      <c r="B13641" s="2" t="str">
        <f>IFERROR(__xludf.DUMMYFUNCTION("GOOGLETRANSLATE(A13641, ""de"", ""en"")"),"cuddle")</f>
        <v>cuddle</v>
      </c>
    </row>
    <row r="13642">
      <c r="A13642" s="1" t="s">
        <v>13642</v>
      </c>
      <c r="B13642" s="2" t="str">
        <f>IFERROR(__xludf.DUMMYFUNCTION("GOOGLETRANSLATE(A13642, ""de"", ""en"")"),"pushed")</f>
        <v>pushed</v>
      </c>
    </row>
    <row r="13643">
      <c r="A13643" s="1" t="s">
        <v>13643</v>
      </c>
      <c r="B13643" s="2" t="str">
        <f>IFERROR(__xludf.DUMMYFUNCTION("GOOGLETRANSLATE(A13643, ""de"", ""en"")"),"doll")</f>
        <v>doll</v>
      </c>
    </row>
    <row r="13644">
      <c r="A13644" s="1" t="s">
        <v>13644</v>
      </c>
      <c r="B13644" s="2" t="str">
        <f>IFERROR(__xludf.DUMMYFUNCTION("GOOGLETRANSLATE(A13644, ""de"", ""en"")"),"intended")</f>
        <v>intended</v>
      </c>
    </row>
    <row r="13645">
      <c r="A13645" s="1" t="s">
        <v>13645</v>
      </c>
      <c r="B13645" s="2" t="str">
        <f>IFERROR(__xludf.DUMMYFUNCTION("GOOGLETRANSLATE(A13645, ""de"", ""en"")"),"penetrate")</f>
        <v>penetrate</v>
      </c>
    </row>
    <row r="13646">
      <c r="A13646" s="1" t="s">
        <v>13646</v>
      </c>
      <c r="B13646" s="2" t="str">
        <f>IFERROR(__xludf.DUMMYFUNCTION("GOOGLETRANSLATE(A13646, ""de"", ""en"")"),"brutal")</f>
        <v>brutal</v>
      </c>
    </row>
    <row r="13647">
      <c r="A13647" s="1" t="s">
        <v>13647</v>
      </c>
      <c r="B13647" s="2" t="str">
        <f>IFERROR(__xludf.DUMMYFUNCTION("GOOGLETRANSLATE(A13647, ""de"", ""en"")"),"cece")</f>
        <v>cece</v>
      </c>
    </row>
    <row r="13648">
      <c r="A13648" s="1" t="s">
        <v>13648</v>
      </c>
      <c r="B13648" s="2" t="str">
        <f>IFERROR(__xludf.DUMMYFUNCTION("GOOGLETRANSLATE(A13648, ""de"", ""en"")"),"assface")</f>
        <v>assface</v>
      </c>
    </row>
    <row r="13649">
      <c r="A13649" s="1" t="s">
        <v>13649</v>
      </c>
      <c r="B13649" s="2" t="str">
        <f>IFERROR(__xludf.DUMMYFUNCTION("GOOGLETRANSLATE(A13649, ""de"", ""en"")"),"muffin")</f>
        <v>muffin</v>
      </c>
    </row>
    <row r="13650">
      <c r="A13650" s="1" t="s">
        <v>13650</v>
      </c>
      <c r="B13650" s="2" t="str">
        <f>IFERROR(__xludf.DUMMYFUNCTION("GOOGLETRANSLATE(A13650, ""de"", ""en"")"),"reveal")</f>
        <v>reveal</v>
      </c>
    </row>
    <row r="13651">
      <c r="A13651" s="1" t="s">
        <v>13651</v>
      </c>
      <c r="B13651" s="2" t="str">
        <f>IFERROR(__xludf.DUMMYFUNCTION("GOOGLETRANSLATE(A13651, ""de"", ""en"")"),"again")</f>
        <v>again</v>
      </c>
    </row>
    <row r="13652">
      <c r="A13652" s="1" t="s">
        <v>13652</v>
      </c>
      <c r="B13652" s="2" t="str">
        <f>IFERROR(__xludf.DUMMYFUNCTION("GOOGLETRANSLATE(A13652, ""de"", ""en"")"),"head")</f>
        <v>head</v>
      </c>
    </row>
    <row r="13653">
      <c r="A13653" s="1" t="s">
        <v>13653</v>
      </c>
      <c r="B13653" s="2" t="str">
        <f>IFERROR(__xludf.DUMMYFUNCTION("GOOGLETRANSLATE(A13653, ""de"", ""en"")"),"carly")</f>
        <v>carly</v>
      </c>
    </row>
    <row r="13654">
      <c r="A13654" s="1" t="s">
        <v>13654</v>
      </c>
      <c r="B13654" s="2" t="str">
        <f>IFERROR(__xludf.DUMMYFUNCTION("GOOGLETRANSLATE(A13654, ""de"", ""en"")"),"natural talent")</f>
        <v>natural talent</v>
      </c>
    </row>
    <row r="13655">
      <c r="A13655" s="1" t="s">
        <v>13655</v>
      </c>
      <c r="B13655" s="2" t="str">
        <f>IFERROR(__xludf.DUMMYFUNCTION("GOOGLETRANSLATE(A13655, ""de"", ""en"")"),"nerd")</f>
        <v>nerd</v>
      </c>
    </row>
    <row r="13656">
      <c r="A13656" s="1" t="s">
        <v>13656</v>
      </c>
      <c r="B13656" s="2" t="str">
        <f>IFERROR(__xludf.DUMMYFUNCTION("GOOGLETRANSLATE(A13656, ""de"", ""en"")"),"mill")</f>
        <v>mill</v>
      </c>
    </row>
    <row r="13657">
      <c r="A13657" s="1" t="s">
        <v>13657</v>
      </c>
      <c r="B13657" s="2" t="str">
        <f>IFERROR(__xludf.DUMMYFUNCTION("GOOGLETRANSLATE(A13657, ""de"", ""en"")"),"margo")</f>
        <v>margo</v>
      </c>
    </row>
    <row r="13658">
      <c r="A13658" s="1" t="s">
        <v>13658</v>
      </c>
      <c r="B13658" s="2" t="str">
        <f>IFERROR(__xludf.DUMMYFUNCTION("GOOGLETRANSLATE(A13658, ""de"", ""en"")"),"removed")</f>
        <v>removed</v>
      </c>
    </row>
    <row r="13659">
      <c r="A13659" s="1" t="s">
        <v>13659</v>
      </c>
      <c r="B13659" s="2" t="str">
        <f>IFERROR(__xludf.DUMMYFUNCTION("GOOGLETRANSLATE(A13659, ""de"", ""en"")"),"sniff")</f>
        <v>sniff</v>
      </c>
    </row>
    <row r="13660">
      <c r="A13660" s="1" t="s">
        <v>13660</v>
      </c>
      <c r="B13660" s="2" t="str">
        <f>IFERROR(__xludf.DUMMYFUNCTION("GOOGLETRANSLATE(A13660, ""de"", ""en"")"),"perform")</f>
        <v>perform</v>
      </c>
    </row>
    <row r="13661">
      <c r="A13661" s="1" t="s">
        <v>13661</v>
      </c>
      <c r="B13661" s="2" t="str">
        <f>IFERROR(__xludf.DUMMYFUNCTION("GOOGLETRANSLATE(A13661, ""de"", ""en"")"),"wave")</f>
        <v>wave</v>
      </c>
    </row>
    <row r="13662">
      <c r="A13662" s="1" t="s">
        <v>13662</v>
      </c>
      <c r="B13662" s="2" t="str">
        <f>IFERROR(__xludf.DUMMYFUNCTION("GOOGLETRANSLATE(A13662, ""de"", ""en"")"),"rivals")</f>
        <v>rivals</v>
      </c>
    </row>
    <row r="13663">
      <c r="A13663" s="1" t="s">
        <v>13663</v>
      </c>
      <c r="B13663" s="2" t="str">
        <f>IFERROR(__xludf.DUMMYFUNCTION("GOOGLETRANSLATE(A13663, ""de"", ""en"")"),"retaliate")</f>
        <v>retaliate</v>
      </c>
    </row>
    <row r="13664">
      <c r="A13664" s="1" t="s">
        <v>13664</v>
      </c>
      <c r="B13664" s="2" t="str">
        <f>IFERROR(__xludf.DUMMYFUNCTION("GOOGLETRANSLATE(A13664, ""de"", ""en"")"),"uglier")</f>
        <v>uglier</v>
      </c>
    </row>
    <row r="13665">
      <c r="A13665" s="1" t="s">
        <v>13665</v>
      </c>
      <c r="B13665" s="2" t="str">
        <f>IFERROR(__xludf.DUMMYFUNCTION("GOOGLETRANSLATE(A13665, ""de"", ""en"")"),"Rene")</f>
        <v>Rene</v>
      </c>
    </row>
    <row r="13666">
      <c r="A13666" s="1" t="s">
        <v>13666</v>
      </c>
      <c r="B13666" s="2" t="str">
        <f>IFERROR(__xludf.DUMMYFUNCTION("GOOGLETRANSLATE(A13666, ""de"", ""en"")"),"certain things")</f>
        <v>certain things</v>
      </c>
    </row>
    <row r="13667">
      <c r="A13667" s="1" t="s">
        <v>13667</v>
      </c>
      <c r="B13667" s="2" t="str">
        <f>IFERROR(__xludf.DUMMYFUNCTION("GOOGLETRANSLATE(A13667, ""de"", ""en"")"),"anakin")</f>
        <v>anakin</v>
      </c>
    </row>
    <row r="13668">
      <c r="A13668" s="1" t="s">
        <v>13668</v>
      </c>
      <c r="B13668" s="2" t="str">
        <f>IFERROR(__xludf.DUMMYFUNCTION("GOOGLETRANSLATE(A13668, ""de"", ""en"")"),"encouraged")</f>
        <v>encouraged</v>
      </c>
    </row>
    <row r="13669">
      <c r="A13669" s="1" t="s">
        <v>13669</v>
      </c>
      <c r="B13669" s="2" t="str">
        <f>IFERROR(__xludf.DUMMYFUNCTION("GOOGLETRANSLATE(A13669, ""de"", ""en"")"),"come to terms with")</f>
        <v>come to terms with</v>
      </c>
    </row>
    <row r="13670">
      <c r="A13670" s="1" t="s">
        <v>13670</v>
      </c>
      <c r="B13670" s="2" t="str">
        <f>IFERROR(__xludf.DUMMYFUNCTION("GOOGLETRANSLATE(A13670, ""de"", ""en"")"),"dark")</f>
        <v>dark</v>
      </c>
    </row>
    <row r="13671">
      <c r="A13671" s="1" t="s">
        <v>13671</v>
      </c>
      <c r="B13671" s="2" t="str">
        <f>IFERROR(__xludf.DUMMYFUNCTION("GOOGLETRANSLATE(A13671, ""de"", ""en"")"),"truman")</f>
        <v>truman</v>
      </c>
    </row>
    <row r="13672">
      <c r="A13672" s="1" t="s">
        <v>13672</v>
      </c>
      <c r="B13672" s="2" t="str">
        <f>IFERROR(__xludf.DUMMYFUNCTION("GOOGLETRANSLATE(A13672, ""de"", ""en"")"),"oak")</f>
        <v>oak</v>
      </c>
    </row>
    <row r="13673">
      <c r="A13673" s="1" t="s">
        <v>13673</v>
      </c>
      <c r="B13673" s="2" t="str">
        <f>IFERROR(__xludf.DUMMYFUNCTION("GOOGLETRANSLATE(A13673, ""de"", ""en"")"),"push")</f>
        <v>push</v>
      </c>
    </row>
    <row r="13674">
      <c r="A13674" s="1" t="s">
        <v>13674</v>
      </c>
      <c r="B13674" s="2" t="str">
        <f>IFERROR(__xludf.DUMMYFUNCTION("GOOGLETRANSLATE(A13674, ""de"", ""en"")"),"Marguerite")</f>
        <v>Marguerite</v>
      </c>
    </row>
    <row r="13675">
      <c r="A13675" s="1" t="s">
        <v>13675</v>
      </c>
      <c r="B13675" s="2" t="str">
        <f>IFERROR(__xludf.DUMMYFUNCTION("GOOGLETRANSLATE(A13675, ""de"", ""en"")"),"newman")</f>
        <v>newman</v>
      </c>
    </row>
    <row r="13676">
      <c r="A13676" s="1" t="s">
        <v>13676</v>
      </c>
      <c r="B13676" s="2" t="str">
        <f>IFERROR(__xludf.DUMMYFUNCTION("GOOGLETRANSLATE(A13676, ""de"", ""en"")"),"breasts")</f>
        <v>breasts</v>
      </c>
    </row>
    <row r="13677">
      <c r="A13677" s="1" t="s">
        <v>13677</v>
      </c>
      <c r="B13677" s="2" t="str">
        <f>IFERROR(__xludf.DUMMYFUNCTION("GOOGLETRANSLATE(A13677, ""de"", ""en"")"),"paco")</f>
        <v>paco</v>
      </c>
    </row>
    <row r="13678">
      <c r="A13678" s="1" t="s">
        <v>13678</v>
      </c>
      <c r="B13678" s="2" t="str">
        <f>IFERROR(__xludf.DUMMYFUNCTION("GOOGLETRANSLATE(A13678, ""de"", ""en"")"),"swings")</f>
        <v>swings</v>
      </c>
    </row>
    <row r="13679">
      <c r="A13679" s="1" t="s">
        <v>13679</v>
      </c>
      <c r="B13679" s="2" t="str">
        <f>IFERROR(__xludf.DUMMYFUNCTION("GOOGLETRANSLATE(A13679, ""de"", ""en"")"),"espresso")</f>
        <v>espresso</v>
      </c>
    </row>
    <row r="13680">
      <c r="A13680" s="1" t="s">
        <v>13680</v>
      </c>
      <c r="B13680" s="2" t="str">
        <f>IFERROR(__xludf.DUMMYFUNCTION("GOOGLETRANSLATE(A13680, ""de"", ""en"")"),"Mabel")</f>
        <v>Mabel</v>
      </c>
    </row>
    <row r="13681">
      <c r="A13681" s="1" t="s">
        <v>13681</v>
      </c>
      <c r="B13681" s="2" t="str">
        <f>IFERROR(__xludf.DUMMYFUNCTION("GOOGLETRANSLATE(A13681, ""de"", ""en"")"),"insane")</f>
        <v>insane</v>
      </c>
    </row>
    <row r="13682">
      <c r="A13682" s="1" t="s">
        <v>13682</v>
      </c>
      <c r="B13682" s="2" t="str">
        <f>IFERROR(__xludf.DUMMYFUNCTION("GOOGLETRANSLATE(A13682, ""de"", ""en"")"),"respected")</f>
        <v>respected</v>
      </c>
    </row>
    <row r="13683">
      <c r="A13683" s="1" t="s">
        <v>13683</v>
      </c>
      <c r="B13683" s="2" t="str">
        <f>IFERROR(__xludf.DUMMYFUNCTION("GOOGLETRANSLATE(A13683, ""de"", ""en"")"),"suspects")</f>
        <v>suspects</v>
      </c>
    </row>
    <row r="13684">
      <c r="A13684" s="1" t="s">
        <v>13684</v>
      </c>
      <c r="B13684" s="2" t="str">
        <f>IFERROR(__xludf.DUMMYFUNCTION("GOOGLETRANSLATE(A13684, ""de"", ""en"")"),"chirp")</f>
        <v>chirp</v>
      </c>
    </row>
    <row r="13685">
      <c r="A13685" s="1" t="s">
        <v>13685</v>
      </c>
      <c r="B13685" s="2" t="str">
        <f>IFERROR(__xludf.DUMMYFUNCTION("GOOGLETRANSLATE(A13685, ""de"", ""en"")"),"restored")</f>
        <v>restored</v>
      </c>
    </row>
    <row r="13686">
      <c r="A13686" s="1" t="s">
        <v>13686</v>
      </c>
      <c r="B13686" s="2" t="str">
        <f>IFERROR(__xludf.DUMMYFUNCTION("GOOGLETRANSLATE(A13686, ""de"", ""en"")"),"breaks")</f>
        <v>breaks</v>
      </c>
    </row>
    <row r="13687">
      <c r="A13687" s="1" t="s">
        <v>13687</v>
      </c>
      <c r="B13687" s="2" t="str">
        <f>IFERROR(__xludf.DUMMYFUNCTION("GOOGLETRANSLATE(A13687, ""de"", ""en"")"),"computers")</f>
        <v>computers</v>
      </c>
    </row>
    <row r="13688">
      <c r="A13688" s="1" t="s">
        <v>13688</v>
      </c>
      <c r="B13688" s="2" t="str">
        <f>IFERROR(__xludf.DUMMYFUNCTION("GOOGLETRANSLATE(A13688, ""de"", ""en"")"),"has")</f>
        <v>has</v>
      </c>
    </row>
    <row r="13689">
      <c r="A13689" s="1" t="s">
        <v>13689</v>
      </c>
      <c r="B13689" s="2" t="str">
        <f>IFERROR(__xludf.DUMMYFUNCTION("GOOGLETRANSLATE(A13689, ""de"", ""en"")"),"disgraced")</f>
        <v>disgraced</v>
      </c>
    </row>
    <row r="13690">
      <c r="A13690" s="1" t="s">
        <v>13690</v>
      </c>
      <c r="B13690" s="2" t="str">
        <f>IFERROR(__xludf.DUMMYFUNCTION("GOOGLETRANSLATE(A13690, ""de"", ""en"")"),"attach")</f>
        <v>attach</v>
      </c>
    </row>
    <row r="13691">
      <c r="A13691" s="1" t="s">
        <v>13691</v>
      </c>
      <c r="B13691" s="2" t="str">
        <f>IFERROR(__xludf.DUMMYFUNCTION("GOOGLETRANSLATE(A13691, ""de"", ""en"")"),"sparrow")</f>
        <v>sparrow</v>
      </c>
    </row>
    <row r="13692">
      <c r="A13692" s="1" t="s">
        <v>13692</v>
      </c>
      <c r="B13692" s="2" t="str">
        <f>IFERROR(__xludf.DUMMYFUNCTION("GOOGLETRANSLATE(A13692, ""de"", ""en"")"),"shout at")</f>
        <v>shout at</v>
      </c>
    </row>
    <row r="13693">
      <c r="A13693" s="1" t="s">
        <v>13693</v>
      </c>
      <c r="B13693" s="2" t="str">
        <f>IFERROR(__xludf.DUMMYFUNCTION("GOOGLETRANSLATE(A13693, ""de"", ""en"")"),"promises")</f>
        <v>promises</v>
      </c>
    </row>
    <row r="13694">
      <c r="A13694" s="1" t="s">
        <v>13694</v>
      </c>
      <c r="B13694" s="2" t="str">
        <f>IFERROR(__xludf.DUMMYFUNCTION("GOOGLETRANSLATE(A13694, ""de"", ""en"")"),"magical")</f>
        <v>magical</v>
      </c>
    </row>
    <row r="13695">
      <c r="A13695" s="1" t="s">
        <v>13695</v>
      </c>
      <c r="B13695" s="2" t="str">
        <f>IFERROR(__xludf.DUMMYFUNCTION("GOOGLETRANSLATE(A13695, ""de"", ""en"")"),"crumbs")</f>
        <v>crumbs</v>
      </c>
    </row>
    <row r="13696">
      <c r="A13696" s="1" t="s">
        <v>13696</v>
      </c>
      <c r="B13696" s="2" t="str">
        <f>IFERROR(__xludf.DUMMYFUNCTION("GOOGLETRANSLATE(A13696, ""de"", ""en"")"),"loner")</f>
        <v>loner</v>
      </c>
    </row>
    <row r="13697">
      <c r="A13697" s="1" t="s">
        <v>13697</v>
      </c>
      <c r="B13697" s="2" t="str">
        <f>IFERROR(__xludf.DUMMYFUNCTION("GOOGLETRANSLATE(A13697, ""de"", ""en"")"),"lovers")</f>
        <v>lovers</v>
      </c>
    </row>
    <row r="13698">
      <c r="A13698" s="1" t="s">
        <v>13698</v>
      </c>
      <c r="B13698" s="2" t="str">
        <f>IFERROR(__xludf.DUMMYFUNCTION("GOOGLETRANSLATE(A13698, ""de"", ""en"")"),"medical")</f>
        <v>medical</v>
      </c>
    </row>
    <row r="13699">
      <c r="A13699" s="1" t="s">
        <v>13699</v>
      </c>
      <c r="B13699" s="2" t="str">
        <f>IFERROR(__xludf.DUMMYFUNCTION("GOOGLETRANSLATE(A13699, ""de"", ""en"")"),"wobble")</f>
        <v>wobble</v>
      </c>
    </row>
    <row r="13700">
      <c r="A13700" s="1" t="s">
        <v>13700</v>
      </c>
      <c r="B13700" s="2" t="str">
        <f>IFERROR(__xludf.DUMMYFUNCTION("GOOGLETRANSLATE(A13700, ""de"", ""en"")"),"season")</f>
        <v>season</v>
      </c>
    </row>
    <row r="13701">
      <c r="A13701" s="1" t="s">
        <v>13701</v>
      </c>
      <c r="B13701" s="2" t="str">
        <f>IFERROR(__xludf.DUMMYFUNCTION("GOOGLETRANSLATE(A13701, ""de"", ""en"")"),"interview")</f>
        <v>interview</v>
      </c>
    </row>
    <row r="13702">
      <c r="A13702" s="1" t="s">
        <v>13702</v>
      </c>
      <c r="B13702" s="2" t="str">
        <f>IFERROR(__xludf.DUMMYFUNCTION("GOOGLETRANSLATE(A13702, ""de"", ""en"")"),"restore")</f>
        <v>restore</v>
      </c>
    </row>
    <row r="13703">
      <c r="A13703" s="1" t="s">
        <v>13703</v>
      </c>
      <c r="B13703" s="2" t="str">
        <f>IFERROR(__xludf.DUMMYFUNCTION("GOOGLETRANSLATE(A13703, ""de"", ""en"")"),"fools")</f>
        <v>fools</v>
      </c>
    </row>
    <row r="13704">
      <c r="A13704" s="1" t="s">
        <v>13704</v>
      </c>
      <c r="B13704" s="2" t="str">
        <f>IFERROR(__xludf.DUMMYFUNCTION("GOOGLETRANSLATE(A13704, ""de"", ""en"")"),"precious")</f>
        <v>precious</v>
      </c>
    </row>
    <row r="13705">
      <c r="A13705" s="1" t="s">
        <v>13705</v>
      </c>
      <c r="B13705" s="2" t="str">
        <f>IFERROR(__xludf.DUMMYFUNCTION("GOOGLETRANSLATE(A13705, ""de"", ""en"")"),"mummy")</f>
        <v>mummy</v>
      </c>
    </row>
    <row r="13706">
      <c r="A13706" s="1" t="s">
        <v>13706</v>
      </c>
      <c r="B13706" s="2" t="str">
        <f>IFERROR(__xludf.DUMMYFUNCTION("GOOGLETRANSLATE(A13706, ""de"", ""en"")"),"smock")</f>
        <v>smock</v>
      </c>
    </row>
    <row r="13707">
      <c r="A13707" s="1" t="s">
        <v>13707</v>
      </c>
      <c r="B13707" s="2" t="str">
        <f>IFERROR(__xludf.DUMMYFUNCTION("GOOGLETRANSLATE(A13707, ""de"", ""en"")"),"surrender")</f>
        <v>surrender</v>
      </c>
    </row>
    <row r="13708">
      <c r="A13708" s="1" t="s">
        <v>13708</v>
      </c>
      <c r="B13708" s="2" t="str">
        <f>IFERROR(__xludf.DUMMYFUNCTION("GOOGLETRANSLATE(A13708, ""de"", ""en"")"),"from what")</f>
        <v>from what</v>
      </c>
    </row>
    <row r="13709">
      <c r="A13709" s="1" t="s">
        <v>13709</v>
      </c>
      <c r="B13709" s="2" t="str">
        <f>IFERROR(__xludf.DUMMYFUNCTION("GOOGLETRANSLATE(A13709, ""de"", ""en"")"),"waived")</f>
        <v>waived</v>
      </c>
    </row>
    <row r="13710">
      <c r="A13710" s="1" t="s">
        <v>13710</v>
      </c>
      <c r="B13710" s="2" t="str">
        <f>IFERROR(__xludf.DUMMYFUNCTION("GOOGLETRANSLATE(A13710, ""de"", ""en"")"),"blacksmith")</f>
        <v>blacksmith</v>
      </c>
    </row>
    <row r="13711">
      <c r="A13711" s="1" t="s">
        <v>13711</v>
      </c>
      <c r="B13711" s="2" t="str">
        <f>IFERROR(__xludf.DUMMYFUNCTION("GOOGLETRANSLATE(A13711, ""de"", ""en"")"),"thunder")</f>
        <v>thunder</v>
      </c>
    </row>
    <row r="13712">
      <c r="A13712" s="1" t="s">
        <v>13712</v>
      </c>
      <c r="B13712" s="2" t="str">
        <f>IFERROR(__xludf.DUMMYFUNCTION("GOOGLETRANSLATE(A13712, ""de"", ""en"")"),"lightman")</f>
        <v>lightman</v>
      </c>
    </row>
    <row r="13713">
      <c r="A13713" s="1" t="s">
        <v>13713</v>
      </c>
      <c r="B13713" s="2" t="str">
        <f>IFERROR(__xludf.DUMMYFUNCTION("GOOGLETRANSLATE(A13713, ""de"", ""en"")"),"monique")</f>
        <v>monique</v>
      </c>
    </row>
    <row r="13714">
      <c r="A13714" s="1" t="s">
        <v>13714</v>
      </c>
      <c r="B13714" s="2" t="str">
        <f>IFERROR(__xludf.DUMMYFUNCTION("GOOGLETRANSLATE(A13714, ""de"", ""en"")"),"him")</f>
        <v>him</v>
      </c>
    </row>
    <row r="13715">
      <c r="A13715" s="1" t="s">
        <v>13715</v>
      </c>
      <c r="B13715" s="2" t="str">
        <f>IFERROR(__xludf.DUMMYFUNCTION("GOOGLETRANSLATE(A13715, ""de"", ""en"")"),"hiro")</f>
        <v>hiro</v>
      </c>
    </row>
    <row r="13716">
      <c r="A13716" s="1" t="s">
        <v>13716</v>
      </c>
      <c r="B13716" s="2" t="str">
        <f>IFERROR(__xludf.DUMMYFUNCTION("GOOGLETRANSLATE(A13716, ""de"", ""en"")"),"ave")</f>
        <v>ave</v>
      </c>
    </row>
    <row r="13717">
      <c r="A13717" s="1" t="s">
        <v>13717</v>
      </c>
      <c r="B13717" s="2" t="str">
        <f>IFERROR(__xludf.DUMMYFUNCTION("GOOGLETRANSLATE(A13717, ""de"", ""en"")"),"lubricate")</f>
        <v>lubricate</v>
      </c>
    </row>
    <row r="13718">
      <c r="A13718" s="1" t="s">
        <v>13718</v>
      </c>
      <c r="B13718" s="2" t="str">
        <f>IFERROR(__xludf.DUMMYFUNCTION("GOOGLETRANSLATE(A13718, ""de"", ""en"")"),"lilli")</f>
        <v>lilli</v>
      </c>
    </row>
    <row r="13719">
      <c r="A13719" s="1" t="s">
        <v>13719</v>
      </c>
      <c r="B13719" s="2" t="str">
        <f>IFERROR(__xludf.DUMMYFUNCTION("GOOGLETRANSLATE(A13719, ""de"", ""en"")"),"hara")</f>
        <v>hara</v>
      </c>
    </row>
    <row r="13720">
      <c r="A13720" s="1" t="s">
        <v>13720</v>
      </c>
      <c r="B13720" s="2" t="str">
        <f>IFERROR(__xludf.DUMMYFUNCTION("GOOGLETRANSLATE(A13720, ""de"", ""en"")"),"easiest")</f>
        <v>easiest</v>
      </c>
    </row>
    <row r="13721">
      <c r="A13721" s="1" t="s">
        <v>13721</v>
      </c>
      <c r="B13721" s="2" t="str">
        <f>IFERROR(__xludf.DUMMYFUNCTION("GOOGLETRANSLATE(A13721, ""de"", ""en"")"),"Missouri")</f>
        <v>Missouri</v>
      </c>
    </row>
    <row r="13722">
      <c r="A13722" s="1" t="s">
        <v>13722</v>
      </c>
      <c r="B13722" s="2" t="str">
        <f>IFERROR(__xludf.DUMMYFUNCTION("GOOGLETRANSLATE(A13722, ""de"", ""en"")"),"more magnificent")</f>
        <v>more magnificent</v>
      </c>
    </row>
    <row r="13723">
      <c r="A13723" s="1" t="s">
        <v>13723</v>
      </c>
      <c r="B13723" s="2" t="str">
        <f>IFERROR(__xludf.DUMMYFUNCTION("GOOGLETRANSLATE(A13723, ""de"", ""en"")"),"lennox")</f>
        <v>lennox</v>
      </c>
    </row>
    <row r="13724">
      <c r="A13724" s="1" t="s">
        <v>13724</v>
      </c>
      <c r="B13724" s="2" t="str">
        <f>IFERROR(__xludf.DUMMYFUNCTION("GOOGLETRANSLATE(A13724, ""de"", ""en"")"),"client")</f>
        <v>client</v>
      </c>
    </row>
    <row r="13725">
      <c r="A13725" s="1" t="s">
        <v>13725</v>
      </c>
      <c r="B13725" s="2" t="str">
        <f>IFERROR(__xludf.DUMMYFUNCTION("GOOGLETRANSLATE(A13725, ""de"", ""en"")"),"magnificent")</f>
        <v>magnificent</v>
      </c>
    </row>
    <row r="13726">
      <c r="A13726" s="1" t="s">
        <v>13726</v>
      </c>
      <c r="B13726" s="2" t="str">
        <f>IFERROR(__xludf.DUMMYFUNCTION("GOOGLETRANSLATE(A13726, ""de"", ""en"")"),"colon")</f>
        <v>colon</v>
      </c>
    </row>
    <row r="13727">
      <c r="A13727" s="1" t="s">
        <v>13727</v>
      </c>
      <c r="B13727" s="2" t="str">
        <f>IFERROR(__xludf.DUMMYFUNCTION("GOOGLETRANSLATE(A13727, ""de"", ""en"")"),"Barb")</f>
        <v>Barb</v>
      </c>
    </row>
    <row r="13728">
      <c r="A13728" s="1" t="s">
        <v>13728</v>
      </c>
      <c r="B13728" s="2" t="str">
        <f>IFERROR(__xludf.DUMMYFUNCTION("GOOGLETRANSLATE(A13728, ""de"", ""en"")"),"to get there")</f>
        <v>to get there</v>
      </c>
    </row>
    <row r="13729">
      <c r="A13729" s="1" t="s">
        <v>13729</v>
      </c>
      <c r="B13729" s="2" t="str">
        <f>IFERROR(__xludf.DUMMYFUNCTION("GOOGLETRANSLATE(A13729, ""de"", ""en"")"),"transferred")</f>
        <v>transferred</v>
      </c>
    </row>
    <row r="13730">
      <c r="A13730" s="1" t="s">
        <v>13730</v>
      </c>
      <c r="B13730" s="2" t="str">
        <f>IFERROR(__xludf.DUMMYFUNCTION("GOOGLETRANSLATE(A13730, ""de"", ""en"")"),"identification")</f>
        <v>identification</v>
      </c>
    </row>
    <row r="13731">
      <c r="A13731" s="1" t="s">
        <v>13731</v>
      </c>
      <c r="B13731" s="2" t="str">
        <f>IFERROR(__xludf.DUMMYFUNCTION("GOOGLETRANSLATE(A13731, ""de"", ""en"")"),"kev")</f>
        <v>kev</v>
      </c>
    </row>
    <row r="13732">
      <c r="A13732" s="1" t="s">
        <v>13732</v>
      </c>
      <c r="B13732" s="2" t="str">
        <f>IFERROR(__xludf.DUMMYFUNCTION("GOOGLETRANSLATE(A13732, ""de"", ""en"")"),"virgin")</f>
        <v>virgin</v>
      </c>
    </row>
    <row r="13733">
      <c r="A13733" s="1" t="s">
        <v>13733</v>
      </c>
      <c r="B13733" s="2" t="str">
        <f>IFERROR(__xludf.DUMMYFUNCTION("GOOGLETRANSLATE(A13733, ""de"", ""en"")"),"talbot")</f>
        <v>talbot</v>
      </c>
    </row>
    <row r="13734">
      <c r="A13734" s="1" t="s">
        <v>13734</v>
      </c>
      <c r="B13734" s="2" t="str">
        <f>IFERROR(__xludf.DUMMYFUNCTION("GOOGLETRANSLATE(A13734, ""de"", ""en"")"),"ever")</f>
        <v>ever</v>
      </c>
    </row>
    <row r="13735">
      <c r="A13735" s="1" t="s">
        <v>13735</v>
      </c>
      <c r="B13735" s="2" t="str">
        <f>IFERROR(__xludf.DUMMYFUNCTION("GOOGLETRANSLATE(A13735, ""de"", ""en"")"),"barbecue")</f>
        <v>barbecue</v>
      </c>
    </row>
    <row r="13736">
      <c r="A13736" s="1" t="s">
        <v>13736</v>
      </c>
      <c r="B13736" s="2" t="str">
        <f>IFERROR(__xludf.DUMMYFUNCTION("GOOGLETRANSLATE(A13736, ""de"", ""en"")"),"banker")</f>
        <v>banker</v>
      </c>
    </row>
    <row r="13737">
      <c r="A13737" s="1" t="s">
        <v>13737</v>
      </c>
      <c r="B13737" s="2" t="str">
        <f>IFERROR(__xludf.DUMMYFUNCTION("GOOGLETRANSLATE(A13737, ""de"", ""en"")"),"business")</f>
        <v>business</v>
      </c>
    </row>
    <row r="13738">
      <c r="A13738" s="1" t="s">
        <v>13738</v>
      </c>
      <c r="B13738" s="2" t="str">
        <f>IFERROR(__xludf.DUMMYFUNCTION("GOOGLETRANSLATE(A13738, ""de"", ""en"")"),"Melinda")</f>
        <v>Melinda</v>
      </c>
    </row>
    <row r="13739">
      <c r="A13739" s="1" t="s">
        <v>13739</v>
      </c>
      <c r="B13739" s="2" t="str">
        <f>IFERROR(__xludf.DUMMYFUNCTION("GOOGLETRANSLATE(A13739, ""de"", ""en"")"),"snack")</f>
        <v>snack</v>
      </c>
    </row>
    <row r="13740">
      <c r="A13740" s="1" t="s">
        <v>13740</v>
      </c>
      <c r="B13740" s="2" t="str">
        <f>IFERROR(__xludf.DUMMYFUNCTION("GOOGLETRANSLATE(A13740, ""de"", ""en"")"),"vibrates")</f>
        <v>vibrates</v>
      </c>
    </row>
    <row r="13741">
      <c r="A13741" s="1" t="s">
        <v>13741</v>
      </c>
      <c r="B13741" s="2" t="str">
        <f>IFERROR(__xludf.DUMMYFUNCTION("GOOGLETRANSLATE(A13741, ""de"", ""en"")"),"davies")</f>
        <v>davies</v>
      </c>
    </row>
    <row r="13742">
      <c r="A13742" s="1" t="s">
        <v>13742</v>
      </c>
      <c r="B13742" s="2" t="str">
        <f>IFERROR(__xludf.DUMMYFUNCTION("GOOGLETRANSLATE(A13742, ""de"", ""en"")"),"send away")</f>
        <v>send away</v>
      </c>
    </row>
    <row r="13743">
      <c r="A13743" s="1" t="s">
        <v>13743</v>
      </c>
      <c r="B13743" s="2" t="str">
        <f>IFERROR(__xludf.DUMMYFUNCTION("GOOGLETRANSLATE(A13743, ""de"", ""en"")"),"carrots")</f>
        <v>carrots</v>
      </c>
    </row>
    <row r="13744">
      <c r="A13744" s="1" t="s">
        <v>13744</v>
      </c>
      <c r="B13744" s="2" t="str">
        <f>IFERROR(__xludf.DUMMYFUNCTION("GOOGLETRANSLATE(A13744, ""de"", ""en"")"),"Delaney")</f>
        <v>Delaney</v>
      </c>
    </row>
    <row r="13745">
      <c r="A13745" s="1" t="s">
        <v>13745</v>
      </c>
      <c r="B13745" s="2" t="str">
        <f>IFERROR(__xludf.DUMMYFUNCTION("GOOGLETRANSLATE(A13745, ""de"", ""en"")"),"failed")</f>
        <v>failed</v>
      </c>
    </row>
    <row r="13746">
      <c r="A13746" s="1" t="s">
        <v>13746</v>
      </c>
      <c r="B13746" s="2" t="str">
        <f>IFERROR(__xludf.DUMMYFUNCTION("GOOGLETRANSLATE(A13746, ""de"", ""en"")"),"prouder")</f>
        <v>prouder</v>
      </c>
    </row>
    <row r="13747">
      <c r="A13747" s="1" t="s">
        <v>13747</v>
      </c>
      <c r="B13747" s="2" t="str">
        <f>IFERROR(__xludf.DUMMYFUNCTION("GOOGLETRANSLATE(A13747, ""de"", ""en"")"),"establish")</f>
        <v>establish</v>
      </c>
    </row>
    <row r="13748">
      <c r="A13748" s="1" t="s">
        <v>13748</v>
      </c>
      <c r="B13748" s="2" t="str">
        <f>IFERROR(__xludf.DUMMYFUNCTION("GOOGLETRANSLATE(A13748, ""de"", ""en"")"),"shines")</f>
        <v>shines</v>
      </c>
    </row>
    <row r="13749">
      <c r="A13749" s="1" t="s">
        <v>13749</v>
      </c>
      <c r="B13749" s="2" t="str">
        <f>IFERROR(__xludf.DUMMYFUNCTION("GOOGLETRANSLATE(A13749, ""de"", ""en"")"),"arrogance")</f>
        <v>arrogance</v>
      </c>
    </row>
    <row r="13750">
      <c r="A13750" s="1" t="s">
        <v>13750</v>
      </c>
      <c r="B13750" s="2" t="str">
        <f>IFERROR(__xludf.DUMMYFUNCTION("GOOGLETRANSLATE(A13750, ""de"", ""en"")"),"Ha")</f>
        <v>Ha</v>
      </c>
    </row>
    <row r="13751">
      <c r="A13751" s="1" t="s">
        <v>13751</v>
      </c>
      <c r="B13751" s="2" t="str">
        <f>IFERROR(__xludf.DUMMYFUNCTION("GOOGLETRANSLATE(A13751, ""de"", ""en"")"),"Disneyland")</f>
        <v>Disneyland</v>
      </c>
    </row>
    <row r="13752">
      <c r="A13752" s="1" t="s">
        <v>13752</v>
      </c>
      <c r="B13752" s="2" t="str">
        <f>IFERROR(__xludf.DUMMYFUNCTION("GOOGLETRANSLATE(A13752, ""de"", ""en"")"),"geoffrey")</f>
        <v>geoffrey</v>
      </c>
    </row>
    <row r="13753">
      <c r="A13753" s="1" t="s">
        <v>13753</v>
      </c>
      <c r="B13753" s="2" t="str">
        <f>IFERROR(__xludf.DUMMYFUNCTION("GOOGLETRANSLATE(A13753, ""de"", ""en"")"),"vulnerable")</f>
        <v>vulnerable</v>
      </c>
    </row>
    <row r="13754">
      <c r="A13754" s="1" t="s">
        <v>13754</v>
      </c>
      <c r="B13754" s="2" t="str">
        <f>IFERROR(__xludf.DUMMYFUNCTION("GOOGLETRANSLATE(A13754, ""de"", ""en"")"),"Gregor")</f>
        <v>Gregor</v>
      </c>
    </row>
    <row r="13755">
      <c r="A13755" s="1" t="s">
        <v>13755</v>
      </c>
      <c r="B13755" s="2" t="str">
        <f>IFERROR(__xludf.DUMMYFUNCTION("GOOGLETRANSLATE(A13755, ""de"", ""en"")"),"Pegasus")</f>
        <v>Pegasus</v>
      </c>
    </row>
    <row r="13756">
      <c r="A13756" s="1" t="s">
        <v>13756</v>
      </c>
      <c r="B13756" s="2" t="str">
        <f>IFERROR(__xludf.DUMMYFUNCTION("GOOGLETRANSLATE(A13756, ""de"", ""en"")"),"to take away")</f>
        <v>to take away</v>
      </c>
    </row>
    <row r="13757">
      <c r="A13757" s="1" t="s">
        <v>13757</v>
      </c>
      <c r="B13757" s="2" t="str">
        <f>IFERROR(__xludf.DUMMYFUNCTION("GOOGLETRANSLATE(A13757, ""de"", ""en"")"),"port")</f>
        <v>port</v>
      </c>
    </row>
    <row r="13758">
      <c r="A13758" s="1" t="s">
        <v>13758</v>
      </c>
      <c r="B13758" s="2" t="str">
        <f>IFERROR(__xludf.DUMMYFUNCTION("GOOGLETRANSLATE(A13758, ""de"", ""en"")"),"stabilize")</f>
        <v>stabilize</v>
      </c>
    </row>
    <row r="13759">
      <c r="A13759" s="1" t="s">
        <v>13759</v>
      </c>
      <c r="B13759" s="2" t="str">
        <f>IFERROR(__xludf.DUMMYFUNCTION("GOOGLETRANSLATE(A13759, ""de"", ""en"")"),"Morrison")</f>
        <v>Morrison</v>
      </c>
    </row>
    <row r="13760">
      <c r="A13760" s="1" t="s">
        <v>13760</v>
      </c>
      <c r="B13760" s="2" t="str">
        <f>IFERROR(__xludf.DUMMYFUNCTION("GOOGLETRANSLATE(A13760, ""de"", ""en"")"),"bye")</f>
        <v>bye</v>
      </c>
    </row>
    <row r="13761">
      <c r="A13761" s="1" t="s">
        <v>13761</v>
      </c>
      <c r="B13761" s="2" t="str">
        <f>IFERROR(__xludf.DUMMYFUNCTION("GOOGLETRANSLATE(A13761, ""de"", ""en"")"),"Mexican")</f>
        <v>Mexican</v>
      </c>
    </row>
    <row r="13762">
      <c r="A13762" s="1" t="s">
        <v>13762</v>
      </c>
      <c r="B13762" s="2" t="str">
        <f>IFERROR(__xludf.DUMMYFUNCTION("GOOGLETRANSLATE(A13762, ""de"", ""en"")"),"circumstantial evidence")</f>
        <v>circumstantial evidence</v>
      </c>
    </row>
    <row r="13763">
      <c r="A13763" s="1" t="s">
        <v>13763</v>
      </c>
      <c r="B13763" s="2" t="str">
        <f>IFERROR(__xludf.DUMMYFUNCTION("GOOGLETRANSLATE(A13763, ""de"", ""en"")"),"gmbh")</f>
        <v>gmbh</v>
      </c>
    </row>
    <row r="13764">
      <c r="A13764" s="1" t="s">
        <v>13764</v>
      </c>
      <c r="B13764" s="2" t="str">
        <f>IFERROR(__xludf.DUMMYFUNCTION("GOOGLETRANSLATE(A13764, ""de"", ""en"")"),"dilemma")</f>
        <v>dilemma</v>
      </c>
    </row>
    <row r="13765">
      <c r="A13765" s="1" t="s">
        <v>13765</v>
      </c>
      <c r="B13765" s="2" t="str">
        <f>IFERROR(__xludf.DUMMYFUNCTION("GOOGLETRANSLATE(A13765, ""de"", ""en"")"),"telephone ringing")</f>
        <v>telephone ringing</v>
      </c>
    </row>
    <row r="13766">
      <c r="A13766" s="1" t="s">
        <v>13766</v>
      </c>
      <c r="B13766" s="2" t="str">
        <f>IFERROR(__xludf.DUMMYFUNCTION("GOOGLETRANSLATE(A13766, ""de"", ""en"")"),"residue")</f>
        <v>residue</v>
      </c>
    </row>
    <row r="13767">
      <c r="A13767" s="1" t="s">
        <v>13767</v>
      </c>
      <c r="B13767" s="2" t="str">
        <f>IFERROR(__xludf.DUMMYFUNCTION("GOOGLETRANSLATE(A13767, ""de"", ""en"")"),"execute")</f>
        <v>execute</v>
      </c>
    </row>
    <row r="13768">
      <c r="A13768" s="1" t="s">
        <v>13768</v>
      </c>
      <c r="B13768" s="2" t="str">
        <f>IFERROR(__xludf.DUMMYFUNCTION("GOOGLETRANSLATE(A13768, ""de"", ""en"")"),"extinct")</f>
        <v>extinct</v>
      </c>
    </row>
    <row r="13769">
      <c r="A13769" s="1" t="s">
        <v>13769</v>
      </c>
      <c r="B13769" s="2" t="str">
        <f>IFERROR(__xludf.DUMMYFUNCTION("GOOGLETRANSLATE(A13769, ""de"", ""en"")"),"sponsor")</f>
        <v>sponsor</v>
      </c>
    </row>
    <row r="13770">
      <c r="A13770" s="1" t="s">
        <v>13770</v>
      </c>
      <c r="B13770" s="2" t="str">
        <f>IFERROR(__xludf.DUMMYFUNCTION("GOOGLETRANSLATE(A13770, ""de"", ""en"")"),"ariel")</f>
        <v>ariel</v>
      </c>
    </row>
    <row r="13771">
      <c r="A13771" s="1" t="s">
        <v>13771</v>
      </c>
      <c r="B13771" s="2" t="str">
        <f>IFERROR(__xludf.DUMMYFUNCTION("GOOGLETRANSLATE(A13771, ""de"", ""en"")"),"search")</f>
        <v>search</v>
      </c>
    </row>
    <row r="13772">
      <c r="A13772" s="1" t="s">
        <v>13772</v>
      </c>
      <c r="B13772" s="2" t="str">
        <f>IFERROR(__xludf.DUMMYFUNCTION("GOOGLETRANSLATE(A13772, ""de"", ""en"")"),"general")</f>
        <v>general</v>
      </c>
    </row>
    <row r="13773">
      <c r="A13773" s="1" t="s">
        <v>13773</v>
      </c>
      <c r="B13773" s="2" t="str">
        <f>IFERROR(__xludf.DUMMYFUNCTION("GOOGLETRANSLATE(A13773, ""de"", ""en"")"),"theodore")</f>
        <v>theodore</v>
      </c>
    </row>
    <row r="13774">
      <c r="A13774" s="1" t="s">
        <v>13774</v>
      </c>
      <c r="B13774" s="2" t="str">
        <f>IFERROR(__xludf.DUMMYFUNCTION("GOOGLETRANSLATE(A13774, ""de"", ""en"")"),"higgins")</f>
        <v>higgins</v>
      </c>
    </row>
    <row r="13775">
      <c r="A13775" s="1" t="s">
        <v>13775</v>
      </c>
      <c r="B13775" s="2" t="str">
        <f>IFERROR(__xludf.DUMMYFUNCTION("GOOGLETRANSLATE(A13775, ""de"", ""en"")"),"breed")</f>
        <v>breed</v>
      </c>
    </row>
    <row r="13776">
      <c r="A13776" s="1" t="s">
        <v>13776</v>
      </c>
      <c r="B13776" s="2" t="str">
        <f>IFERROR(__xludf.DUMMYFUNCTION("GOOGLETRANSLATE(A13776, ""de"", ""en"")"),"old-fashioned")</f>
        <v>old-fashioned</v>
      </c>
    </row>
    <row r="13777">
      <c r="A13777" s="1" t="s">
        <v>13777</v>
      </c>
      <c r="B13777" s="2" t="str">
        <f>IFERROR(__xludf.DUMMYFUNCTION("GOOGLETRANSLATE(A13777, ""de"", ""en"")"),"Morocco")</f>
        <v>Morocco</v>
      </c>
    </row>
    <row r="13778">
      <c r="A13778" s="1" t="s">
        <v>13778</v>
      </c>
      <c r="B13778" s="2" t="str">
        <f>IFERROR(__xludf.DUMMYFUNCTION("GOOGLETRANSLATE(A13778, ""de"", ""en"")"),"forgives")</f>
        <v>forgives</v>
      </c>
    </row>
    <row r="13779">
      <c r="A13779" s="1" t="s">
        <v>13779</v>
      </c>
      <c r="B13779" s="2" t="str">
        <f>IFERROR(__xludf.DUMMYFUNCTION("GOOGLETRANSLATE(A13779, ""de"", ""en"")"),"pick")</f>
        <v>pick</v>
      </c>
    </row>
    <row r="13780">
      <c r="A13780" s="1" t="s">
        <v>13780</v>
      </c>
      <c r="B13780" s="2" t="str">
        <f>IFERROR(__xludf.DUMMYFUNCTION("GOOGLETRANSLATE(A13780, ""de"", ""en"")"),"grimes")</f>
        <v>grimes</v>
      </c>
    </row>
    <row r="13781">
      <c r="A13781" s="1" t="s">
        <v>13781</v>
      </c>
      <c r="B13781" s="2" t="str">
        <f>IFERROR(__xludf.DUMMYFUNCTION("GOOGLETRANSLATE(A13781, ""de"", ""en"")"),"ramirez")</f>
        <v>ramirez</v>
      </c>
    </row>
    <row r="13782">
      <c r="A13782" s="1" t="s">
        <v>13782</v>
      </c>
      <c r="B13782" s="2" t="str">
        <f>IFERROR(__xludf.DUMMYFUNCTION("GOOGLETRANSLATE(A13782, ""de"", ""en"")"),"spoils")</f>
        <v>spoils</v>
      </c>
    </row>
    <row r="13783">
      <c r="A13783" s="1" t="s">
        <v>13783</v>
      </c>
      <c r="B13783" s="2" t="str">
        <f>IFERROR(__xludf.DUMMYFUNCTION("GOOGLETRANSLATE(A13783, ""de"", ""en"")"),"morton")</f>
        <v>morton</v>
      </c>
    </row>
    <row r="13784">
      <c r="A13784" s="1" t="s">
        <v>13784</v>
      </c>
      <c r="B13784" s="2" t="str">
        <f>IFERROR(__xludf.DUMMYFUNCTION("GOOGLETRANSLATE(A13784, ""de"", ""en"")"),"gardens")</f>
        <v>gardens</v>
      </c>
    </row>
    <row r="13785">
      <c r="A13785" s="1" t="s">
        <v>13785</v>
      </c>
      <c r="B13785" s="2" t="str">
        <f>IFERROR(__xludf.DUMMYFUNCTION("GOOGLETRANSLATE(A13785, ""de"", ""en"")"),"thinks")</f>
        <v>thinks</v>
      </c>
    </row>
    <row r="13786">
      <c r="A13786" s="1" t="s">
        <v>13786</v>
      </c>
      <c r="B13786" s="2" t="str">
        <f>IFERROR(__xludf.DUMMYFUNCTION("GOOGLETRANSLATE(A13786, ""de"", ""en"")"),"Marko")</f>
        <v>Marko</v>
      </c>
    </row>
    <row r="13787">
      <c r="A13787" s="1" t="s">
        <v>13787</v>
      </c>
      <c r="B13787" s="2" t="str">
        <f>IFERROR(__xludf.DUMMYFUNCTION("GOOGLETRANSLATE(A13787, ""de"", ""en"")"),"joes")</f>
        <v>joes</v>
      </c>
    </row>
    <row r="13788">
      <c r="A13788" s="1" t="s">
        <v>13788</v>
      </c>
      <c r="B13788" s="2" t="str">
        <f>IFERROR(__xludf.DUMMYFUNCTION("GOOGLETRANSLATE(A13788, ""de"", ""en"")"),"churches")</f>
        <v>churches</v>
      </c>
    </row>
    <row r="13789">
      <c r="A13789" s="1" t="s">
        <v>13789</v>
      </c>
      <c r="B13789" s="2" t="str">
        <f>IFERROR(__xludf.DUMMYFUNCTION("GOOGLETRANSLATE(A13789, ""de"", ""en"")"),"notified")</f>
        <v>notified</v>
      </c>
    </row>
    <row r="13790">
      <c r="A13790" s="1" t="s">
        <v>13790</v>
      </c>
      <c r="B13790" s="2" t="str">
        <f>IFERROR(__xludf.DUMMYFUNCTION("GOOGLETRANSLATE(A13790, ""de"", ""en"")"),"funny")</f>
        <v>funny</v>
      </c>
    </row>
    <row r="13791">
      <c r="A13791" s="1" t="s">
        <v>13791</v>
      </c>
      <c r="B13791" s="2" t="str">
        <f>IFERROR(__xludf.DUMMYFUNCTION("GOOGLETRANSLATE(A13791, ""de"", ""en"")"),"dance music")</f>
        <v>dance music</v>
      </c>
    </row>
    <row r="13792">
      <c r="A13792" s="1" t="s">
        <v>13792</v>
      </c>
      <c r="B13792" s="2" t="str">
        <f>IFERROR(__xludf.DUMMYFUNCTION("GOOGLETRANSLATE(A13792, ""de"", ""en"")"),"chemo")</f>
        <v>chemo</v>
      </c>
    </row>
    <row r="13793">
      <c r="A13793" s="1" t="s">
        <v>13793</v>
      </c>
      <c r="B13793" s="2" t="str">
        <f>IFERROR(__xludf.DUMMYFUNCTION("GOOGLETRANSLATE(A13793, ""de"", ""en"")"),"remaining")</f>
        <v>remaining</v>
      </c>
    </row>
    <row r="13794">
      <c r="A13794" s="1" t="s">
        <v>13794</v>
      </c>
      <c r="B13794" s="2" t="str">
        <f>IFERROR(__xludf.DUMMYFUNCTION("GOOGLETRANSLATE(A13794, ""de"", ""en"")"),"well")</f>
        <v>well</v>
      </c>
    </row>
    <row r="13795">
      <c r="A13795" s="1" t="s">
        <v>13795</v>
      </c>
      <c r="B13795" s="2" t="str">
        <f>IFERROR(__xludf.DUMMYFUNCTION("GOOGLETRANSLATE(A13795, ""de"", ""en"")"),"promising")</f>
        <v>promising</v>
      </c>
    </row>
    <row r="13796">
      <c r="A13796" s="1" t="s">
        <v>13796</v>
      </c>
      <c r="B13796" s="2" t="str">
        <f>IFERROR(__xludf.DUMMYFUNCTION("GOOGLETRANSLATE(A13796, ""de"", ""en"")"),"revealed")</f>
        <v>revealed</v>
      </c>
    </row>
    <row r="13797">
      <c r="A13797" s="1" t="s">
        <v>13797</v>
      </c>
      <c r="B13797" s="2" t="str">
        <f>IFERROR(__xludf.DUMMYFUNCTION("GOOGLETRANSLATE(A13797, ""de"", ""en"")"),"pure")</f>
        <v>pure</v>
      </c>
    </row>
    <row r="13798">
      <c r="A13798" s="1" t="s">
        <v>13798</v>
      </c>
      <c r="B13798" s="2" t="str">
        <f>IFERROR(__xludf.DUMMYFUNCTION("GOOGLETRANSLATE(A13798, ""de"", ""en"")"),"fingernails")</f>
        <v>fingernails</v>
      </c>
    </row>
    <row r="13799">
      <c r="A13799" s="1" t="s">
        <v>13799</v>
      </c>
      <c r="B13799" s="2" t="str">
        <f>IFERROR(__xludf.DUMMYFUNCTION("GOOGLETRANSLATE(A13799, ""de"", ""en"")"),"ashtray")</f>
        <v>ashtray</v>
      </c>
    </row>
    <row r="13800">
      <c r="A13800" s="1" t="s">
        <v>13800</v>
      </c>
      <c r="B13800" s="2" t="str">
        <f>IFERROR(__xludf.DUMMYFUNCTION("GOOGLETRANSLATE(A13800, ""de"", ""en"")"),"tong")</f>
        <v>tong</v>
      </c>
    </row>
    <row r="13801">
      <c r="A13801" s="1" t="s">
        <v>13801</v>
      </c>
      <c r="B13801" s="2" t="str">
        <f>IFERROR(__xludf.DUMMYFUNCTION("GOOGLETRANSLATE(A13801, ""de"", ""en"")"),"eye")</f>
        <v>eye</v>
      </c>
    </row>
    <row r="13802">
      <c r="A13802" s="1" t="s">
        <v>13802</v>
      </c>
      <c r="B13802" s="2" t="str">
        <f>IFERROR(__xludf.DUMMYFUNCTION("GOOGLETRANSLATE(A13802, ""de"", ""en"")"),"Wisconsin")</f>
        <v>Wisconsin</v>
      </c>
    </row>
    <row r="13803">
      <c r="A13803" s="1" t="s">
        <v>13803</v>
      </c>
      <c r="B13803" s="2" t="str">
        <f>IFERROR(__xludf.DUMMYFUNCTION("GOOGLETRANSLATE(A13803, ""de"", ""en"")"),"unclear")</f>
        <v>unclear</v>
      </c>
    </row>
    <row r="13804">
      <c r="A13804" s="1" t="s">
        <v>13804</v>
      </c>
      <c r="B13804" s="2" t="str">
        <f>IFERROR(__xludf.DUMMYFUNCTION("GOOGLETRANSLATE(A13804, ""de"", ""en"")"),"some")</f>
        <v>some</v>
      </c>
    </row>
    <row r="13805">
      <c r="A13805" s="1" t="s">
        <v>13805</v>
      </c>
      <c r="B13805" s="2" t="str">
        <f>IFERROR(__xludf.DUMMYFUNCTION("GOOGLETRANSLATE(A13805, ""de"", ""en"")"),"boring")</f>
        <v>boring</v>
      </c>
    </row>
    <row r="13806">
      <c r="A13806" s="1" t="s">
        <v>13806</v>
      </c>
      <c r="B13806" s="2" t="str">
        <f>IFERROR(__xludf.DUMMYFUNCTION("GOOGLETRANSLATE(A13806, ""de"", ""en"")"),"gradient")</f>
        <v>gradient</v>
      </c>
    </row>
    <row r="13807">
      <c r="A13807" s="1" t="s">
        <v>13807</v>
      </c>
      <c r="B13807" s="2" t="str">
        <f>IFERROR(__xludf.DUMMYFUNCTION("GOOGLETRANSLATE(A13807, ""de"", ""en"")"),"foundation")</f>
        <v>foundation</v>
      </c>
    </row>
    <row r="13808">
      <c r="A13808" s="1" t="s">
        <v>13808</v>
      </c>
      <c r="B13808" s="2" t="str">
        <f>IFERROR(__xludf.DUMMYFUNCTION("GOOGLETRANSLATE(A13808, ""de"", ""en"")"),"freeze")</f>
        <v>freeze</v>
      </c>
    </row>
    <row r="13809">
      <c r="A13809" s="1" t="s">
        <v>13809</v>
      </c>
      <c r="B13809" s="2" t="str">
        <f>IFERROR(__xludf.DUMMYFUNCTION("GOOGLETRANSLATE(A13809, ""de"", ""en"")"),"deputy")</f>
        <v>deputy</v>
      </c>
    </row>
    <row r="13810">
      <c r="A13810" s="1" t="s">
        <v>13810</v>
      </c>
      <c r="B13810" s="2" t="str">
        <f>IFERROR(__xludf.DUMMYFUNCTION("GOOGLETRANSLATE(A13810, ""de"", ""en"")"),"Tennessee")</f>
        <v>Tennessee</v>
      </c>
    </row>
    <row r="13811">
      <c r="A13811" s="1" t="s">
        <v>13811</v>
      </c>
      <c r="B13811" s="2" t="str">
        <f>IFERROR(__xludf.DUMMYFUNCTION("GOOGLETRANSLATE(A13811, ""de"", ""en"")"),"stanton")</f>
        <v>stanton</v>
      </c>
    </row>
    <row r="13812">
      <c r="A13812" s="1" t="s">
        <v>13812</v>
      </c>
      <c r="B13812" s="2" t="str">
        <f>IFERROR(__xludf.DUMMYFUNCTION("GOOGLETRANSLATE(A13812, ""de"", ""en"")"),"Bartowski")</f>
        <v>Bartowski</v>
      </c>
    </row>
    <row r="13813">
      <c r="A13813" s="1" t="s">
        <v>13813</v>
      </c>
      <c r="B13813" s="2" t="str">
        <f>IFERROR(__xludf.DUMMYFUNCTION("GOOGLETRANSLATE(A13813, ""de"", ""en"")"),"hologram")</f>
        <v>hologram</v>
      </c>
    </row>
    <row r="13814">
      <c r="A13814" s="1" t="s">
        <v>13814</v>
      </c>
      <c r="B13814" s="2" t="str">
        <f>IFERROR(__xludf.DUMMYFUNCTION("GOOGLETRANSLATE(A13814, ""de"", ""en"")"),"increased")</f>
        <v>increased</v>
      </c>
    </row>
    <row r="13815">
      <c r="A13815" s="1" t="s">
        <v>13815</v>
      </c>
      <c r="B13815" s="2" t="str">
        <f>IFERROR(__xludf.DUMMYFUNCTION("GOOGLETRANSLATE(A13815, ""de"", ""en"")"),"classroom")</f>
        <v>classroom</v>
      </c>
    </row>
    <row r="13816">
      <c r="A13816" s="1" t="s">
        <v>13816</v>
      </c>
      <c r="B13816" s="2" t="str">
        <f>IFERROR(__xludf.DUMMYFUNCTION("GOOGLETRANSLATE(A13816, ""de"", ""en"")"),"catch up")</f>
        <v>catch up</v>
      </c>
    </row>
    <row r="13817">
      <c r="A13817" s="1" t="s">
        <v>13817</v>
      </c>
      <c r="B13817" s="2" t="str">
        <f>IFERROR(__xludf.DUMMYFUNCTION("GOOGLETRANSLATE(A13817, ""de"", ""en"")"),"bojack")</f>
        <v>bojack</v>
      </c>
    </row>
    <row r="13818">
      <c r="A13818" s="1" t="s">
        <v>13818</v>
      </c>
      <c r="B13818" s="2" t="str">
        <f>IFERROR(__xludf.DUMMYFUNCTION("GOOGLETRANSLATE(A13818, ""de"", ""en"")"),"cuts")</f>
        <v>cuts</v>
      </c>
    </row>
    <row r="13819">
      <c r="A13819" s="1" t="s">
        <v>13819</v>
      </c>
      <c r="B13819" s="2" t="str">
        <f>IFERROR(__xludf.DUMMYFUNCTION("GOOGLETRANSLATE(A13819, ""de"", ""en"")"),"lenient")</f>
        <v>lenient</v>
      </c>
    </row>
    <row r="13820">
      <c r="A13820" s="1" t="s">
        <v>13820</v>
      </c>
      <c r="B13820" s="2" t="str">
        <f>IFERROR(__xludf.DUMMYFUNCTION("GOOGLETRANSLATE(A13820, ""de"", ""en"")"),"ace")</f>
        <v>ace</v>
      </c>
    </row>
    <row r="13821">
      <c r="A13821" s="1" t="s">
        <v>13821</v>
      </c>
      <c r="B13821" s="2" t="str">
        <f>IFERROR(__xludf.DUMMYFUNCTION("GOOGLETRANSLATE(A13821, ""de"", ""en"")"),"coincidences")</f>
        <v>coincidences</v>
      </c>
    </row>
    <row r="13822">
      <c r="A13822" s="1" t="s">
        <v>13822</v>
      </c>
      <c r="B13822" s="2" t="str">
        <f>IFERROR(__xludf.DUMMYFUNCTION("GOOGLETRANSLATE(A13822, ""de"", ""en"")"),"borrow")</f>
        <v>borrow</v>
      </c>
    </row>
    <row r="13823">
      <c r="A13823" s="1" t="s">
        <v>13823</v>
      </c>
      <c r="B13823" s="2" t="str">
        <f>IFERROR(__xludf.DUMMYFUNCTION("GOOGLETRANSLATE(A13823, ""de"", ""en"")"),"transformed")</f>
        <v>transformed</v>
      </c>
    </row>
    <row r="13824">
      <c r="A13824" s="1" t="s">
        <v>13824</v>
      </c>
      <c r="B13824" s="2" t="str">
        <f>IFERROR(__xludf.DUMMYFUNCTION("GOOGLETRANSLATE(A13824, ""de"", ""en"")"),"love life")</f>
        <v>love life</v>
      </c>
    </row>
    <row r="13825">
      <c r="A13825" s="1" t="s">
        <v>13825</v>
      </c>
      <c r="B13825" s="2" t="str">
        <f>IFERROR(__xludf.DUMMYFUNCTION("GOOGLETRANSLATE(A13825, ""de"", ""en"")"),"showered")</f>
        <v>showered</v>
      </c>
    </row>
    <row r="13826">
      <c r="A13826" s="1" t="s">
        <v>13826</v>
      </c>
      <c r="B13826" s="2" t="str">
        <f>IFERROR(__xludf.DUMMYFUNCTION("GOOGLETRANSLATE(A13826, ""de"", ""en"")"),"dunham")</f>
        <v>dunham</v>
      </c>
    </row>
    <row r="13827">
      <c r="A13827" s="1" t="s">
        <v>13827</v>
      </c>
      <c r="B13827" s="2" t="str">
        <f>IFERROR(__xludf.DUMMYFUNCTION("GOOGLETRANSLATE(A13827, ""de"", ""en"")"),"everyone")</f>
        <v>everyone</v>
      </c>
    </row>
    <row r="13828">
      <c r="A13828" s="1" t="s">
        <v>13828</v>
      </c>
      <c r="B13828" s="2" t="str">
        <f>IFERROR(__xludf.DUMMYFUNCTION("GOOGLETRANSLATE(A13828, ""de"", ""en"")"),"efficient")</f>
        <v>efficient</v>
      </c>
    </row>
    <row r="13829">
      <c r="A13829" s="1" t="s">
        <v>13829</v>
      </c>
      <c r="B13829" s="2" t="str">
        <f>IFERROR(__xludf.DUMMYFUNCTION("GOOGLETRANSLATE(A13829, ""de"", ""en"")"),"standing")</f>
        <v>standing</v>
      </c>
    </row>
    <row r="13830">
      <c r="A13830" s="1" t="s">
        <v>13830</v>
      </c>
      <c r="B13830" s="2" t="str">
        <f>IFERROR(__xludf.DUMMYFUNCTION("GOOGLETRANSLATE(A13830, ""de"", ""en"")"),"areas")</f>
        <v>areas</v>
      </c>
    </row>
    <row r="13831">
      <c r="A13831" s="1" t="s">
        <v>13831</v>
      </c>
      <c r="B13831" s="2" t="str">
        <f>IFERROR(__xludf.DUMMYFUNCTION("GOOGLETRANSLATE(A13831, ""de"", ""en"")"),"occurrence")</f>
        <v>occurrence</v>
      </c>
    </row>
    <row r="13832">
      <c r="A13832" s="1" t="s">
        <v>13832</v>
      </c>
      <c r="B13832" s="2" t="str">
        <f>IFERROR(__xludf.DUMMYFUNCTION("GOOGLETRANSLATE(A13832, ""de"", ""en"")"),"angrier")</f>
        <v>angrier</v>
      </c>
    </row>
    <row r="13833">
      <c r="A13833" s="1" t="s">
        <v>13833</v>
      </c>
      <c r="B13833" s="2" t="str">
        <f>IFERROR(__xludf.DUMMYFUNCTION("GOOGLETRANSLATE(A13833, ""de"", ""en"")"),"oh-oh")</f>
        <v>oh-oh</v>
      </c>
    </row>
    <row r="13834">
      <c r="A13834" s="1" t="s">
        <v>13834</v>
      </c>
      <c r="B13834" s="2" t="str">
        <f>IFERROR(__xludf.DUMMYFUNCTION("GOOGLETRANSLATE(A13834, ""de"", ""en"")"),"noel")</f>
        <v>noel</v>
      </c>
    </row>
    <row r="13835">
      <c r="A13835" s="1" t="s">
        <v>13835</v>
      </c>
      <c r="B13835" s="2" t="str">
        <f>IFERROR(__xludf.DUMMYFUNCTION("GOOGLETRANSLATE(A13835, ""de"", ""en"")"),"vanilla")</f>
        <v>vanilla</v>
      </c>
    </row>
    <row r="13836">
      <c r="A13836" s="1" t="s">
        <v>13836</v>
      </c>
      <c r="B13836" s="2" t="str">
        <f>IFERROR(__xludf.DUMMYFUNCTION("GOOGLETRANSLATE(A13836, ""de"", ""en"")"),"buses")</f>
        <v>buses</v>
      </c>
    </row>
    <row r="13837">
      <c r="A13837" s="1" t="s">
        <v>13837</v>
      </c>
      <c r="B13837" s="2" t="str">
        <f>IFERROR(__xludf.DUMMYFUNCTION("GOOGLETRANSLATE(A13837, ""de"", ""en"")"),"guns")</f>
        <v>guns</v>
      </c>
    </row>
    <row r="13838">
      <c r="A13838" s="1" t="s">
        <v>13838</v>
      </c>
      <c r="B13838" s="2" t="str">
        <f>IFERROR(__xludf.DUMMYFUNCTION("GOOGLETRANSLATE(A13838, ""de"", ""en"")"),"Jewess")</f>
        <v>Jewess</v>
      </c>
    </row>
    <row r="13839">
      <c r="A13839" s="1" t="s">
        <v>13839</v>
      </c>
      <c r="B13839" s="2" t="str">
        <f>IFERROR(__xludf.DUMMYFUNCTION("GOOGLETRANSLATE(A13839, ""de"", ""en"")"),"revealed")</f>
        <v>revealed</v>
      </c>
    </row>
    <row r="13840">
      <c r="A13840" s="1" t="s">
        <v>13840</v>
      </c>
      <c r="B13840" s="2" t="str">
        <f>IFERROR(__xludf.DUMMYFUNCTION("GOOGLETRANSLATE(A13840, ""de"", ""en"")"),"lower")</f>
        <v>lower</v>
      </c>
    </row>
    <row r="13841">
      <c r="A13841" s="1" t="s">
        <v>13841</v>
      </c>
      <c r="B13841" s="2" t="str">
        <f>IFERROR(__xludf.DUMMYFUNCTION("GOOGLETRANSLATE(A13841, ""de"", ""en"")"),"straw")</f>
        <v>straw</v>
      </c>
    </row>
    <row r="13842">
      <c r="A13842" s="1" t="s">
        <v>13842</v>
      </c>
      <c r="B13842" s="2" t="str">
        <f>IFERROR(__xludf.DUMMYFUNCTION("GOOGLETRANSLATE(A13842, ""de"", ""en"")"),"exchange")</f>
        <v>exchange</v>
      </c>
    </row>
    <row r="13843">
      <c r="A13843" s="1" t="s">
        <v>13843</v>
      </c>
      <c r="B13843" s="2" t="str">
        <f>IFERROR(__xludf.DUMMYFUNCTION("GOOGLETRANSLATE(A13843, ""de"", ""en"")"),"kidnapped")</f>
        <v>kidnapped</v>
      </c>
    </row>
    <row r="13844">
      <c r="A13844" s="1" t="s">
        <v>13844</v>
      </c>
      <c r="B13844" s="2" t="str">
        <f>IFERROR(__xludf.DUMMYFUNCTION("GOOGLETRANSLATE(A13844, ""de"", ""en"")"),"generals")</f>
        <v>generals</v>
      </c>
    </row>
    <row r="13845">
      <c r="A13845" s="1" t="s">
        <v>13845</v>
      </c>
      <c r="B13845" s="2" t="str">
        <f>IFERROR(__xludf.DUMMYFUNCTION("GOOGLETRANSLATE(A13845, ""de"", ""en"")"),"winnetou")</f>
        <v>winnetou</v>
      </c>
    </row>
    <row r="13846">
      <c r="A13846" s="1" t="s">
        <v>13846</v>
      </c>
      <c r="B13846" s="2" t="str">
        <f>IFERROR(__xludf.DUMMYFUNCTION("GOOGLETRANSLATE(A13846, ""de"", ""en"")"),"to hurt")</f>
        <v>to hurt</v>
      </c>
    </row>
    <row r="13847">
      <c r="A13847" s="1" t="s">
        <v>13847</v>
      </c>
      <c r="B13847" s="2" t="str">
        <f>IFERROR(__xludf.DUMMYFUNCTION("GOOGLETRANSLATE(A13847, ""de"", ""en"")"),"think")</f>
        <v>think</v>
      </c>
    </row>
    <row r="13848">
      <c r="A13848" s="1" t="s">
        <v>13848</v>
      </c>
      <c r="B13848" s="2" t="str">
        <f>IFERROR(__xludf.DUMMYFUNCTION("GOOGLETRANSLATE(A13848, ""de"", ""en"")"),"court")</f>
        <v>court</v>
      </c>
    </row>
    <row r="13849">
      <c r="A13849" s="1" t="s">
        <v>13849</v>
      </c>
      <c r="B13849" s="2" t="str">
        <f>IFERROR(__xludf.DUMMYFUNCTION("GOOGLETRANSLATE(A13849, ""de"", ""en"")"),"Chinese")</f>
        <v>Chinese</v>
      </c>
    </row>
    <row r="13850">
      <c r="A13850" s="1" t="s">
        <v>13850</v>
      </c>
      <c r="B13850" s="2" t="str">
        <f>IFERROR(__xludf.DUMMYFUNCTION("GOOGLETRANSLATE(A13850, ""de"", ""en"")"),"nelly")</f>
        <v>nelly</v>
      </c>
    </row>
    <row r="13851">
      <c r="A13851" s="1" t="s">
        <v>13851</v>
      </c>
      <c r="B13851" s="2" t="str">
        <f>IFERROR(__xludf.DUMMYFUNCTION("GOOGLETRANSLATE(A13851, ""de"", ""en"")"),"walking")</f>
        <v>walking</v>
      </c>
    </row>
    <row r="13852">
      <c r="A13852" s="1" t="s">
        <v>13852</v>
      </c>
      <c r="B13852" s="2" t="str">
        <f>IFERROR(__xludf.DUMMYFUNCTION("GOOGLETRANSLATE(A13852, ""de"", ""en"")"),"rebirth")</f>
        <v>rebirth</v>
      </c>
    </row>
    <row r="13853">
      <c r="A13853" s="1" t="s">
        <v>13853</v>
      </c>
      <c r="B13853" s="2" t="str">
        <f>IFERROR(__xludf.DUMMYFUNCTION("GOOGLETRANSLATE(A13853, ""de"", ""en"")"),"artifact")</f>
        <v>artifact</v>
      </c>
    </row>
    <row r="13854">
      <c r="A13854" s="1" t="s">
        <v>13854</v>
      </c>
      <c r="B13854" s="2" t="str">
        <f>IFERROR(__xludf.DUMMYFUNCTION("GOOGLETRANSLATE(A13854, ""de"", ""en"")"),"recognize")</f>
        <v>recognize</v>
      </c>
    </row>
    <row r="13855">
      <c r="A13855" s="1" t="s">
        <v>13855</v>
      </c>
      <c r="B13855" s="2" t="str">
        <f>IFERROR(__xludf.DUMMYFUNCTION("GOOGLETRANSLATE(A13855, ""de"", ""en"")"),"latch")</f>
        <v>latch</v>
      </c>
    </row>
    <row r="13856">
      <c r="A13856" s="1" t="s">
        <v>13856</v>
      </c>
      <c r="B13856" s="2" t="str">
        <f>IFERROR(__xludf.DUMMYFUNCTION("GOOGLETRANSLATE(A13856, ""de"", ""en"")"),"exceptions")</f>
        <v>exceptions</v>
      </c>
    </row>
    <row r="13857">
      <c r="A13857" s="1" t="s">
        <v>13857</v>
      </c>
      <c r="B13857" s="2" t="str">
        <f>IFERROR(__xludf.DUMMYFUNCTION("GOOGLETRANSLATE(A13857, ""de"", ""en"")"),"artificially")</f>
        <v>artificially</v>
      </c>
    </row>
    <row r="13858">
      <c r="A13858" s="1" t="s">
        <v>13858</v>
      </c>
      <c r="B13858" s="2" t="str">
        <f>IFERROR(__xludf.DUMMYFUNCTION("GOOGLETRANSLATE(A13858, ""de"", ""en"")"),"example")</f>
        <v>example</v>
      </c>
    </row>
    <row r="13859">
      <c r="A13859" s="1" t="s">
        <v>13859</v>
      </c>
      <c r="B13859" s="2" t="str">
        <f>IFERROR(__xludf.DUMMYFUNCTION("GOOGLETRANSLATE(A13859, ""de"", ""en"")"),"break")</f>
        <v>break</v>
      </c>
    </row>
    <row r="13860">
      <c r="A13860" s="1" t="s">
        <v>13860</v>
      </c>
      <c r="B13860" s="2" t="str">
        <f>IFERROR(__xludf.DUMMYFUNCTION("GOOGLETRANSLATE(A13860, ""de"", ""en"")"),"regarding")</f>
        <v>regarding</v>
      </c>
    </row>
    <row r="13861">
      <c r="A13861" s="1" t="s">
        <v>13861</v>
      </c>
      <c r="B13861" s="2" t="str">
        <f>IFERROR(__xludf.DUMMYFUNCTION("GOOGLETRANSLATE(A13861, ""de"", ""en"")"),"oprah")</f>
        <v>oprah</v>
      </c>
    </row>
    <row r="13862">
      <c r="A13862" s="1" t="s">
        <v>13862</v>
      </c>
      <c r="B13862" s="2" t="str">
        <f>IFERROR(__xludf.DUMMYFUNCTION("GOOGLETRANSLATE(A13862, ""de"", ""en"")"),"dug")</f>
        <v>dug</v>
      </c>
    </row>
    <row r="13863">
      <c r="A13863" s="1" t="s">
        <v>13863</v>
      </c>
      <c r="B13863" s="2" t="str">
        <f>IFERROR(__xludf.DUMMYFUNCTION("GOOGLETRANSLATE(A13863, ""de"", ""en"")"),"submerge")</f>
        <v>submerge</v>
      </c>
    </row>
    <row r="13864">
      <c r="A13864" s="1" t="s">
        <v>13864</v>
      </c>
      <c r="B13864" s="2" t="str">
        <f>IFERROR(__xludf.DUMMYFUNCTION("GOOGLETRANSLATE(A13864, ""de"", ""en"")"),"design")</f>
        <v>design</v>
      </c>
    </row>
    <row r="13865">
      <c r="A13865" s="1" t="s">
        <v>13865</v>
      </c>
      <c r="B13865" s="2" t="str">
        <f>IFERROR(__xludf.DUMMYFUNCTION("GOOGLETRANSLATE(A13865, ""de"", ""en"")"),"culprit")</f>
        <v>culprit</v>
      </c>
    </row>
    <row r="13866">
      <c r="A13866" s="1" t="s">
        <v>13866</v>
      </c>
      <c r="B13866" s="2" t="str">
        <f>IFERROR(__xludf.DUMMYFUNCTION("GOOGLETRANSLATE(A13866, ""de"", ""en"")"),"Athens")</f>
        <v>Athens</v>
      </c>
    </row>
    <row r="13867">
      <c r="A13867" s="1" t="s">
        <v>13867</v>
      </c>
      <c r="B13867" s="2" t="str">
        <f>IFERROR(__xludf.DUMMYFUNCTION("GOOGLETRANSLATE(A13867, ""de"", ""en"")"),"trembles")</f>
        <v>trembles</v>
      </c>
    </row>
    <row r="13868">
      <c r="A13868" s="1" t="s">
        <v>13868</v>
      </c>
      <c r="B13868" s="2" t="str">
        <f>IFERROR(__xludf.DUMMYFUNCTION("GOOGLETRANSLATE(A13868, ""de"", ""en"")"),"up")</f>
        <v>up</v>
      </c>
    </row>
    <row r="13869">
      <c r="A13869" s="1" t="s">
        <v>13869</v>
      </c>
      <c r="B13869" s="2" t="str">
        <f>IFERROR(__xludf.DUMMYFUNCTION("GOOGLETRANSLATE(A13869, ""de"", ""en"")"),"opinion")</f>
        <v>opinion</v>
      </c>
    </row>
    <row r="13870">
      <c r="A13870" s="1" t="s">
        <v>13870</v>
      </c>
      <c r="B13870" s="2" t="str">
        <f>IFERROR(__xludf.DUMMYFUNCTION("GOOGLETRANSLATE(A13870, ""de"", ""en"")"),"Judas")</f>
        <v>Judas</v>
      </c>
    </row>
    <row r="13871">
      <c r="A13871" s="1" t="s">
        <v>13871</v>
      </c>
      <c r="B13871" s="2" t="str">
        <f>IFERROR(__xludf.DUMMYFUNCTION("GOOGLETRANSLATE(A13871, ""de"", ""en"")"),"mrt")</f>
        <v>mrt</v>
      </c>
    </row>
    <row r="13872">
      <c r="A13872" s="1" t="s">
        <v>13872</v>
      </c>
      <c r="B13872" s="2" t="str">
        <f>IFERROR(__xludf.DUMMYFUNCTION("GOOGLETRANSLATE(A13872, ""de"", ""en"")"),"flowers")</f>
        <v>flowers</v>
      </c>
    </row>
    <row r="13873">
      <c r="A13873" s="1" t="s">
        <v>13873</v>
      </c>
      <c r="B13873" s="2" t="str">
        <f>IFERROR(__xludf.DUMMYFUNCTION("GOOGLETRANSLATE(A13873, ""de"", ""en"")"),"enacted")</f>
        <v>enacted</v>
      </c>
    </row>
    <row r="13874">
      <c r="A13874" s="1" t="s">
        <v>13874</v>
      </c>
      <c r="B13874" s="2" t="str">
        <f>IFERROR(__xludf.DUMMYFUNCTION("GOOGLETRANSLATE(A13874, ""de"", ""en"")"),"Gael")</f>
        <v>Gael</v>
      </c>
    </row>
    <row r="13875">
      <c r="A13875" s="1" t="s">
        <v>13875</v>
      </c>
      <c r="B13875" s="2" t="str">
        <f>IFERROR(__xludf.DUMMYFUNCTION("GOOGLETRANSLATE(A13875, ""de"", ""en"")"),"most expensive")</f>
        <v>most expensive</v>
      </c>
    </row>
    <row r="13876">
      <c r="A13876" s="1" t="s">
        <v>13876</v>
      </c>
      <c r="B13876" s="2" t="str">
        <f>IFERROR(__xludf.DUMMYFUNCTION("GOOGLETRANSLATE(A13876, ""de"", ""en"")"),"nightgown")</f>
        <v>nightgown</v>
      </c>
    </row>
    <row r="13877">
      <c r="A13877" s="1" t="s">
        <v>13877</v>
      </c>
      <c r="B13877" s="2" t="str">
        <f>IFERROR(__xludf.DUMMYFUNCTION("GOOGLETRANSLATE(A13877, ""de"", ""en"")"),"bullet wound")</f>
        <v>bullet wound</v>
      </c>
    </row>
    <row r="13878">
      <c r="A13878" s="1" t="s">
        <v>13878</v>
      </c>
      <c r="B13878" s="2" t="str">
        <f>IFERROR(__xludf.DUMMYFUNCTION("GOOGLETRANSLATE(A13878, ""de"", ""en"")"),"exit")</f>
        <v>exit</v>
      </c>
    </row>
    <row r="13879">
      <c r="A13879" s="1" t="s">
        <v>13879</v>
      </c>
      <c r="B13879" s="2" t="str">
        <f>IFERROR(__xludf.DUMMYFUNCTION("GOOGLETRANSLATE(A13879, ""de"", ""en"")"),"aiden")</f>
        <v>aiden</v>
      </c>
    </row>
    <row r="13880">
      <c r="A13880" s="1" t="s">
        <v>13880</v>
      </c>
      <c r="B13880" s="2" t="str">
        <f>IFERROR(__xludf.DUMMYFUNCTION("GOOGLETRANSLATE(A13880, ""de"", ""en"")"),"amateur")</f>
        <v>amateur</v>
      </c>
    </row>
    <row r="13881">
      <c r="A13881" s="1" t="s">
        <v>13881</v>
      </c>
      <c r="B13881" s="2" t="str">
        <f>IFERROR(__xludf.DUMMYFUNCTION("GOOGLETRANSLATE(A13881, ""de"", ""en"")"),"hey")</f>
        <v>hey</v>
      </c>
    </row>
    <row r="13882">
      <c r="A13882" s="1" t="s">
        <v>13882</v>
      </c>
      <c r="B13882" s="2" t="str">
        <f>IFERROR(__xludf.DUMMYFUNCTION("GOOGLETRANSLATE(A13882, ""de"", ""en"")"),"decks")</f>
        <v>decks</v>
      </c>
    </row>
    <row r="13883">
      <c r="A13883" s="1" t="s">
        <v>13883</v>
      </c>
      <c r="B13883" s="2" t="str">
        <f>IFERROR(__xludf.DUMMYFUNCTION("GOOGLETRANSLATE(A13883, ""de"", ""en"")"),"debra")</f>
        <v>debra</v>
      </c>
    </row>
    <row r="13884">
      <c r="A13884" s="1" t="s">
        <v>13884</v>
      </c>
      <c r="B13884" s="2" t="str">
        <f>IFERROR(__xludf.DUMMYFUNCTION("GOOGLETRANSLATE(A13884, ""de"", ""en"")"),"lazy ones")</f>
        <v>lazy ones</v>
      </c>
    </row>
    <row r="13885">
      <c r="A13885" s="1" t="s">
        <v>13885</v>
      </c>
      <c r="B13885" s="2" t="str">
        <f>IFERROR(__xludf.DUMMYFUNCTION("GOOGLETRANSLATE(A13885, ""de"", ""en"")"),"nova")</f>
        <v>nova</v>
      </c>
    </row>
    <row r="13886">
      <c r="A13886" s="1" t="s">
        <v>13886</v>
      </c>
      <c r="B13886" s="2" t="str">
        <f>IFERROR(__xludf.DUMMYFUNCTION("GOOGLETRANSLATE(A13886, ""de"", ""en"")"),"problems")</f>
        <v>problems</v>
      </c>
    </row>
    <row r="13887">
      <c r="A13887" s="1" t="s">
        <v>13887</v>
      </c>
      <c r="B13887" s="2" t="str">
        <f>IFERROR(__xludf.DUMMYFUNCTION("GOOGLETRANSLATE(A13887, ""de"", ""en"")"),"grandma")</f>
        <v>grandma</v>
      </c>
    </row>
    <row r="13888">
      <c r="A13888" s="1" t="s">
        <v>13888</v>
      </c>
      <c r="B13888" s="2" t="str">
        <f>IFERROR(__xludf.DUMMYFUNCTION("GOOGLETRANSLATE(A13888, ""de"", ""en"")"),"nightclub")</f>
        <v>nightclub</v>
      </c>
    </row>
    <row r="13889">
      <c r="A13889" s="1" t="s">
        <v>13889</v>
      </c>
      <c r="B13889" s="2" t="str">
        <f>IFERROR(__xludf.DUMMYFUNCTION("GOOGLETRANSLATE(A13889, ""de"", ""en"")"),"phone call")</f>
        <v>phone call</v>
      </c>
    </row>
    <row r="13890">
      <c r="A13890" s="1" t="s">
        <v>13890</v>
      </c>
      <c r="B13890" s="2" t="str">
        <f>IFERROR(__xludf.DUMMYFUNCTION("GOOGLETRANSLATE(A13890, ""de"", ""en"")"),"more masculine")</f>
        <v>more masculine</v>
      </c>
    </row>
    <row r="13891">
      <c r="A13891" s="1" t="s">
        <v>13891</v>
      </c>
      <c r="B13891" s="2" t="str">
        <f>IFERROR(__xludf.DUMMYFUNCTION("GOOGLETRANSLATE(A13891, ""de"", ""en"")"),"tasteless")</f>
        <v>tasteless</v>
      </c>
    </row>
    <row r="13892">
      <c r="A13892" s="1" t="s">
        <v>13892</v>
      </c>
      <c r="B13892" s="2" t="str">
        <f>IFERROR(__xludf.DUMMYFUNCTION("GOOGLETRANSLATE(A13892, ""de"", ""en"")"),"internal")</f>
        <v>internal</v>
      </c>
    </row>
    <row r="13893">
      <c r="A13893" s="1" t="s">
        <v>13893</v>
      </c>
      <c r="B13893" s="2" t="str">
        <f>IFERROR(__xludf.DUMMYFUNCTION("GOOGLETRANSLATE(A13893, ""de"", ""en"")"),"Utah")</f>
        <v>Utah</v>
      </c>
    </row>
    <row r="13894">
      <c r="A13894" s="1" t="s">
        <v>13894</v>
      </c>
      <c r="B13894" s="2" t="str">
        <f>IFERROR(__xludf.DUMMYFUNCTION("GOOGLETRANSLATE(A13894, ""de"", ""en"")"),"court martial")</f>
        <v>court martial</v>
      </c>
    </row>
    <row r="13895">
      <c r="A13895" s="1" t="s">
        <v>13895</v>
      </c>
      <c r="B13895" s="2" t="str">
        <f>IFERROR(__xludf.DUMMYFUNCTION("GOOGLETRANSLATE(A13895, ""de"", ""en"")"),"buster")</f>
        <v>buster</v>
      </c>
    </row>
    <row r="13896">
      <c r="A13896" s="1" t="s">
        <v>13896</v>
      </c>
      <c r="B13896" s="2" t="str">
        <f>IFERROR(__xludf.DUMMYFUNCTION("GOOGLETRANSLATE(A13896, ""de"", ""en"")"),"Mathilde")</f>
        <v>Mathilde</v>
      </c>
    </row>
    <row r="13897">
      <c r="A13897" s="1" t="s">
        <v>13897</v>
      </c>
      <c r="B13897" s="2" t="str">
        <f>IFERROR(__xludf.DUMMYFUNCTION("GOOGLETRANSLATE(A13897, ""de"", ""en"")"),"glory")</f>
        <v>glory</v>
      </c>
    </row>
    <row r="13898">
      <c r="A13898" s="1" t="s">
        <v>13898</v>
      </c>
      <c r="B13898" s="2" t="str">
        <f>IFERROR(__xludf.DUMMYFUNCTION("GOOGLETRANSLATE(A13898, ""de"", ""en"")"),"attached")</f>
        <v>attached</v>
      </c>
    </row>
    <row r="13899">
      <c r="A13899" s="1" t="s">
        <v>13899</v>
      </c>
      <c r="B13899" s="2" t="str">
        <f>IFERROR(__xludf.DUMMYFUNCTION("GOOGLETRANSLATE(A13899, ""de"", ""en"")"),"shampoo")</f>
        <v>shampoo</v>
      </c>
    </row>
    <row r="13900">
      <c r="A13900" s="1" t="s">
        <v>13900</v>
      </c>
      <c r="B13900" s="2" t="str">
        <f>IFERROR(__xludf.DUMMYFUNCTION("GOOGLETRANSLATE(A13900, ""de"", ""en"")"),"miserable")</f>
        <v>miserable</v>
      </c>
    </row>
    <row r="13901">
      <c r="A13901" s="1" t="s">
        <v>13901</v>
      </c>
      <c r="B13901" s="2" t="str">
        <f>IFERROR(__xludf.DUMMYFUNCTION("GOOGLETRANSLATE(A13901, ""de"", ""en"")"),"griffith")</f>
        <v>griffith</v>
      </c>
    </row>
    <row r="13902">
      <c r="A13902" s="1" t="s">
        <v>13902</v>
      </c>
      <c r="B13902" s="2" t="str">
        <f>IFERROR(__xludf.DUMMYFUNCTION("GOOGLETRANSLATE(A13902, ""de"", ""en"")"),"fun")</f>
        <v>fun</v>
      </c>
    </row>
    <row r="13903">
      <c r="A13903" s="1" t="s">
        <v>13903</v>
      </c>
      <c r="B13903" s="2" t="str">
        <f>IFERROR(__xludf.DUMMYFUNCTION("GOOGLETRANSLATE(A13903, ""de"", ""en"")"),"unicorn")</f>
        <v>unicorn</v>
      </c>
    </row>
    <row r="13904">
      <c r="A13904" s="1" t="s">
        <v>13904</v>
      </c>
      <c r="B13904" s="2" t="str">
        <f>IFERROR(__xludf.DUMMYFUNCTION("GOOGLETRANSLATE(A13904, ""de"", ""en"")"),"wedding night")</f>
        <v>wedding night</v>
      </c>
    </row>
    <row r="13905">
      <c r="A13905" s="1" t="s">
        <v>13905</v>
      </c>
      <c r="B13905" s="2" t="str">
        <f>IFERROR(__xludf.DUMMYFUNCTION("GOOGLETRANSLATE(A13905, ""de"", ""en"")"),"irresistible")</f>
        <v>irresistible</v>
      </c>
    </row>
    <row r="13906">
      <c r="A13906" s="1" t="s">
        <v>13906</v>
      </c>
      <c r="B13906" s="2" t="str">
        <f>IFERROR(__xludf.DUMMYFUNCTION("GOOGLETRANSLATE(A13906, ""de"", ""en"")"),"orbit")</f>
        <v>orbit</v>
      </c>
    </row>
    <row r="13907">
      <c r="A13907" s="1" t="s">
        <v>13907</v>
      </c>
      <c r="B13907" s="2" t="str">
        <f>IFERROR(__xludf.DUMMYFUNCTION("GOOGLETRANSLATE(A13907, ""de"", ""en"")"),"balance")</f>
        <v>balance</v>
      </c>
    </row>
    <row r="13908">
      <c r="A13908" s="1" t="s">
        <v>13908</v>
      </c>
      <c r="B13908" s="2" t="str">
        <f>IFERROR(__xludf.DUMMYFUNCTION("GOOGLETRANSLATE(A13908, ""de"", ""en"")"),"splinter")</f>
        <v>splinter</v>
      </c>
    </row>
    <row r="13909">
      <c r="A13909" s="1" t="s">
        <v>13909</v>
      </c>
      <c r="B13909" s="2" t="str">
        <f>IFERROR(__xludf.DUMMYFUNCTION("GOOGLETRANSLATE(A13909, ""de"", ""en"")"),"to go")</f>
        <v>to go</v>
      </c>
    </row>
    <row r="13910">
      <c r="A13910" s="1" t="s">
        <v>13910</v>
      </c>
      <c r="B13910" s="2" t="str">
        <f>IFERROR(__xludf.DUMMYFUNCTION("GOOGLETRANSLATE(A13910, ""de"", ""en"")"),"muppet")</f>
        <v>muppet</v>
      </c>
    </row>
    <row r="13911">
      <c r="A13911" s="1" t="s">
        <v>13911</v>
      </c>
      <c r="B13911" s="2" t="str">
        <f>IFERROR(__xludf.DUMMYFUNCTION("GOOGLETRANSLATE(A13911, ""de"", ""en"")"),"checked")</f>
        <v>checked</v>
      </c>
    </row>
    <row r="13912">
      <c r="A13912" s="1" t="s">
        <v>13912</v>
      </c>
      <c r="B13912" s="2" t="str">
        <f>IFERROR(__xludf.DUMMYFUNCTION("GOOGLETRANSLATE(A13912, ""de"", ""en"")"),"fixed")</f>
        <v>fixed</v>
      </c>
    </row>
    <row r="13913">
      <c r="A13913" s="1" t="s">
        <v>13913</v>
      </c>
      <c r="B13913" s="2" t="str">
        <f>IFERROR(__xludf.DUMMYFUNCTION("GOOGLETRANSLATE(A13913, ""de"", ""en"")"),"drunker")</f>
        <v>drunker</v>
      </c>
    </row>
    <row r="13914">
      <c r="A13914" s="1" t="s">
        <v>13914</v>
      </c>
      <c r="B13914" s="2" t="str">
        <f>IFERROR(__xludf.DUMMYFUNCTION("GOOGLETRANSLATE(A13914, ""de"", ""en"")"),"audience")</f>
        <v>audience</v>
      </c>
    </row>
    <row r="13915">
      <c r="A13915" s="1" t="s">
        <v>13915</v>
      </c>
      <c r="B13915" s="2" t="str">
        <f>IFERROR(__xludf.DUMMYFUNCTION("GOOGLETRANSLATE(A13915, ""de"", ""en"")"),"argument")</f>
        <v>argument</v>
      </c>
    </row>
    <row r="13916">
      <c r="A13916" s="1" t="s">
        <v>13916</v>
      </c>
      <c r="B13916" s="2" t="str">
        <f>IFERROR(__xludf.DUMMYFUNCTION("GOOGLETRANSLATE(A13916, ""de"", ""en"")"),"chase away")</f>
        <v>chase away</v>
      </c>
    </row>
    <row r="13917">
      <c r="A13917" s="1" t="s">
        <v>13917</v>
      </c>
      <c r="B13917" s="2" t="str">
        <f>IFERROR(__xludf.DUMMYFUNCTION("GOOGLETRANSLATE(A13917, ""de"", ""en"")"),"doubted")</f>
        <v>doubted</v>
      </c>
    </row>
    <row r="13918">
      <c r="A13918" s="1" t="s">
        <v>13918</v>
      </c>
      <c r="B13918" s="2" t="str">
        <f>IFERROR(__xludf.DUMMYFUNCTION("GOOGLETRANSLATE(A13918, ""de"", ""en"")"),"ten times")</f>
        <v>ten times</v>
      </c>
    </row>
    <row r="13919">
      <c r="A13919" s="1" t="s">
        <v>13919</v>
      </c>
      <c r="B13919" s="2" t="str">
        <f>IFERROR(__xludf.DUMMYFUNCTION("GOOGLETRANSLATE(A13919, ""de"", ""en"")"),"jasmine")</f>
        <v>jasmine</v>
      </c>
    </row>
    <row r="13920">
      <c r="A13920" s="1" t="s">
        <v>13920</v>
      </c>
      <c r="B13920" s="2" t="str">
        <f>IFERROR(__xludf.DUMMYFUNCTION("GOOGLETRANSLATE(A13920, ""de"", ""en"")"),"destroyer")</f>
        <v>destroyer</v>
      </c>
    </row>
    <row r="13921">
      <c r="A13921" s="1" t="s">
        <v>13921</v>
      </c>
      <c r="B13921" s="2" t="str">
        <f>IFERROR(__xludf.DUMMYFUNCTION("GOOGLETRANSLATE(A13921, ""de"", ""en"")"),"drive")</f>
        <v>drive</v>
      </c>
    </row>
    <row r="13922">
      <c r="A13922" s="1" t="s">
        <v>13922</v>
      </c>
      <c r="B13922" s="2" t="str">
        <f>IFERROR(__xludf.DUMMYFUNCTION("GOOGLETRANSLATE(A13922, ""de"", ""en"")"),"popped")</f>
        <v>popped</v>
      </c>
    </row>
    <row r="13923">
      <c r="A13923" s="1" t="s">
        <v>13923</v>
      </c>
      <c r="B13923" s="2" t="str">
        <f>IFERROR(__xludf.DUMMYFUNCTION("GOOGLETRANSLATE(A13923, ""de"", ""en"")"),"input")</f>
        <v>input</v>
      </c>
    </row>
    <row r="13924">
      <c r="A13924" s="1" t="s">
        <v>13924</v>
      </c>
      <c r="B13924" s="2" t="str">
        <f>IFERROR(__xludf.DUMMYFUNCTION("GOOGLETRANSLATE(A13924, ""de"", ""en"")"),"stick")</f>
        <v>stick</v>
      </c>
    </row>
    <row r="13925">
      <c r="A13925" s="1" t="s">
        <v>13925</v>
      </c>
      <c r="B13925" s="2" t="str">
        <f>IFERROR(__xludf.DUMMYFUNCTION("GOOGLETRANSLATE(A13925, ""de"", ""en"")"),"dive")</f>
        <v>dive</v>
      </c>
    </row>
    <row r="13926">
      <c r="A13926" s="1" t="s">
        <v>13926</v>
      </c>
      <c r="B13926" s="2" t="str">
        <f>IFERROR(__xludf.DUMMYFUNCTION("GOOGLETRANSLATE(A13926, ""de"", ""en"")"),"vegetarian")</f>
        <v>vegetarian</v>
      </c>
    </row>
    <row r="13927">
      <c r="A13927" s="1" t="s">
        <v>13927</v>
      </c>
      <c r="B13927" s="2" t="str">
        <f>IFERROR(__xludf.DUMMYFUNCTION("GOOGLETRANSLATE(A13927, ""de"", ""en"")"),"epidemic")</f>
        <v>epidemic</v>
      </c>
    </row>
    <row r="13928">
      <c r="A13928" s="1" t="s">
        <v>13928</v>
      </c>
      <c r="B13928" s="2" t="str">
        <f>IFERROR(__xludf.DUMMYFUNCTION("GOOGLETRANSLATE(A13928, ""de"", ""en"")"),"zhang")</f>
        <v>zhang</v>
      </c>
    </row>
    <row r="13929">
      <c r="A13929" s="1" t="s">
        <v>13929</v>
      </c>
      <c r="B13929" s="2" t="str">
        <f>IFERROR(__xludf.DUMMYFUNCTION("GOOGLETRANSLATE(A13929, ""de"", ""en"")"),"cheating")</f>
        <v>cheating</v>
      </c>
    </row>
    <row r="13930">
      <c r="A13930" s="1" t="s">
        <v>13930</v>
      </c>
      <c r="B13930" s="2" t="str">
        <f>IFERROR(__xludf.DUMMYFUNCTION("GOOGLETRANSLATE(A13930, ""de"", ""en"")"),"root")</f>
        <v>root</v>
      </c>
    </row>
    <row r="13931">
      <c r="A13931" s="1" t="s">
        <v>13931</v>
      </c>
      <c r="B13931" s="2" t="str">
        <f>IFERROR(__xludf.DUMMYFUNCTION("GOOGLETRANSLATE(A13931, ""de"", ""en"")"),"positive")</f>
        <v>positive</v>
      </c>
    </row>
    <row r="13932">
      <c r="A13932" s="1" t="s">
        <v>13932</v>
      </c>
      <c r="B13932" s="2" t="str">
        <f>IFERROR(__xludf.DUMMYFUNCTION("GOOGLETRANSLATE(A13932, ""de"", ""en"")"),"frequencies")</f>
        <v>frequencies</v>
      </c>
    </row>
    <row r="13933">
      <c r="A13933" s="1" t="s">
        <v>13933</v>
      </c>
      <c r="B13933" s="2" t="str">
        <f>IFERROR(__xludf.DUMMYFUNCTION("GOOGLETRANSLATE(A13933, ""de"", ""en"")"),"caught")</f>
        <v>caught</v>
      </c>
    </row>
    <row r="13934">
      <c r="A13934" s="1" t="s">
        <v>13934</v>
      </c>
      <c r="B13934" s="2" t="str">
        <f>IFERROR(__xludf.DUMMYFUNCTION("GOOGLETRANSLATE(A13934, ""de"", ""en"")"),"rarer")</f>
        <v>rarer</v>
      </c>
    </row>
    <row r="13935">
      <c r="A13935" s="1" t="s">
        <v>13935</v>
      </c>
      <c r="B13935" s="2" t="str">
        <f>IFERROR(__xludf.DUMMYFUNCTION("GOOGLETRANSLATE(A13935, ""de"", ""en"")"),"perverts")</f>
        <v>perverts</v>
      </c>
    </row>
    <row r="13936">
      <c r="A13936" s="1" t="s">
        <v>13936</v>
      </c>
      <c r="B13936" s="2" t="str">
        <f>IFERROR(__xludf.DUMMYFUNCTION("GOOGLETRANSLATE(A13936, ""de"", ""en"")"),"fairer")</f>
        <v>fairer</v>
      </c>
    </row>
    <row r="13937">
      <c r="A13937" s="1" t="s">
        <v>13937</v>
      </c>
      <c r="B13937" s="2" t="str">
        <f>IFERROR(__xludf.DUMMYFUNCTION("GOOGLETRANSLATE(A13937, ""de"", ""en"")"),"avatar")</f>
        <v>avatar</v>
      </c>
    </row>
    <row r="13938">
      <c r="A13938" s="1" t="s">
        <v>13938</v>
      </c>
      <c r="B13938" s="2" t="str">
        <f>IFERROR(__xludf.DUMMYFUNCTION("GOOGLETRANSLATE(A13938, ""de"", ""en"")"),"transfer")</f>
        <v>transfer</v>
      </c>
    </row>
    <row r="13939">
      <c r="A13939" s="1" t="s">
        <v>13939</v>
      </c>
      <c r="B13939" s="2" t="str">
        <f>IFERROR(__xludf.DUMMYFUNCTION("GOOGLETRANSLATE(A13939, ""de"", ""en"")"),"tolerate")</f>
        <v>tolerate</v>
      </c>
    </row>
    <row r="13940">
      <c r="A13940" s="1" t="s">
        <v>13940</v>
      </c>
      <c r="B13940" s="2" t="str">
        <f>IFERROR(__xludf.DUMMYFUNCTION("GOOGLETRANSLATE(A13940, ""de"", ""en"")"),"sybil")</f>
        <v>sybil</v>
      </c>
    </row>
    <row r="13941">
      <c r="A13941" s="1" t="s">
        <v>13941</v>
      </c>
      <c r="B13941" s="2" t="str">
        <f>IFERROR(__xludf.DUMMYFUNCTION("GOOGLETRANSLATE(A13941, ""de"", ""en"")"),"credible")</f>
        <v>credible</v>
      </c>
    </row>
    <row r="13942">
      <c r="A13942" s="1" t="s">
        <v>13942</v>
      </c>
      <c r="B13942" s="2" t="str">
        <f>IFERROR(__xludf.DUMMYFUNCTION("GOOGLETRANSLATE(A13942, ""de"", ""en"")"),"grace")</f>
        <v>grace</v>
      </c>
    </row>
    <row r="13943">
      <c r="A13943" s="1" t="s">
        <v>13943</v>
      </c>
      <c r="B13943" s="2" t="str">
        <f>IFERROR(__xludf.DUMMYFUNCTION("GOOGLETRANSLATE(A13943, ""de"", ""en"")"),"extraterrestrial")</f>
        <v>extraterrestrial</v>
      </c>
    </row>
    <row r="13944">
      <c r="A13944" s="1" t="s">
        <v>13944</v>
      </c>
      <c r="B13944" s="2" t="str">
        <f>IFERROR(__xludf.DUMMYFUNCTION("GOOGLETRANSLATE(A13944, ""de"", ""en"")"),"bikini")</f>
        <v>bikini</v>
      </c>
    </row>
    <row r="13945">
      <c r="A13945" s="1" t="s">
        <v>13945</v>
      </c>
      <c r="B13945" s="2" t="str">
        <f>IFERROR(__xludf.DUMMYFUNCTION("GOOGLETRANSLATE(A13945, ""de"", ""en"")"),"fart")</f>
        <v>fart</v>
      </c>
    </row>
    <row r="13946">
      <c r="A13946" s="1" t="s">
        <v>13946</v>
      </c>
      <c r="B13946" s="2" t="str">
        <f>IFERROR(__xludf.DUMMYFUNCTION("GOOGLETRANSLATE(A13946, ""de"", ""en"")"),"tears")</f>
        <v>tears</v>
      </c>
    </row>
    <row r="13947">
      <c r="A13947" s="1" t="s">
        <v>13947</v>
      </c>
      <c r="B13947" s="2" t="str">
        <f>IFERROR(__xludf.DUMMYFUNCTION("GOOGLETRANSLATE(A13947, ""de"", ""en"")"),"Manchester")</f>
        <v>Manchester</v>
      </c>
    </row>
    <row r="13948">
      <c r="A13948" s="1" t="s">
        <v>13948</v>
      </c>
      <c r="B13948" s="2" t="str">
        <f>IFERROR(__xludf.DUMMYFUNCTION("GOOGLETRANSLATE(A13948, ""de"", ""en"")"),"make out")</f>
        <v>make out</v>
      </c>
    </row>
    <row r="13949">
      <c r="A13949" s="1" t="s">
        <v>13949</v>
      </c>
      <c r="B13949" s="2" t="str">
        <f>IFERROR(__xludf.DUMMYFUNCTION("GOOGLETRANSLATE(A13949, ""de"", ""en"")"),"present")</f>
        <v>present</v>
      </c>
    </row>
    <row r="13950">
      <c r="A13950" s="1" t="s">
        <v>13950</v>
      </c>
      <c r="B13950" s="2" t="str">
        <f>IFERROR(__xludf.DUMMYFUNCTION("GOOGLETRANSLATE(A13950, ""de"", ""en"")"),"gong")</f>
        <v>gong</v>
      </c>
    </row>
    <row r="13951">
      <c r="A13951" s="1" t="s">
        <v>13951</v>
      </c>
      <c r="B13951" s="2" t="str">
        <f>IFERROR(__xludf.DUMMYFUNCTION("GOOGLETRANSLATE(A13951, ""de"", ""en"")"),"get ready")</f>
        <v>get ready</v>
      </c>
    </row>
    <row r="13952">
      <c r="A13952" s="1" t="s">
        <v>13952</v>
      </c>
      <c r="B13952" s="2" t="str">
        <f>IFERROR(__xludf.DUMMYFUNCTION("GOOGLETRANSLATE(A13952, ""de"", ""en"")"),"Ruben")</f>
        <v>Ruben</v>
      </c>
    </row>
    <row r="13953">
      <c r="A13953" s="1" t="s">
        <v>13953</v>
      </c>
      <c r="B13953" s="2" t="str">
        <f>IFERROR(__xludf.DUMMYFUNCTION("GOOGLETRANSLATE(A13953, ""de"", ""en"")"),"interim")</f>
        <v>interim</v>
      </c>
    </row>
    <row r="13954">
      <c r="A13954" s="1" t="s">
        <v>13954</v>
      </c>
      <c r="B13954" s="2" t="str">
        <f>IFERROR(__xludf.DUMMYFUNCTION("GOOGLETRANSLATE(A13954, ""de"", ""en"")"),"Cairo")</f>
        <v>Cairo</v>
      </c>
    </row>
    <row r="13955">
      <c r="A13955" s="1" t="s">
        <v>13955</v>
      </c>
      <c r="B13955" s="2" t="str">
        <f>IFERROR(__xludf.DUMMYFUNCTION("GOOGLETRANSLATE(A13955, ""de"", ""en"")"),"cappuccino")</f>
        <v>cappuccino</v>
      </c>
    </row>
    <row r="13956">
      <c r="A13956" s="1" t="s">
        <v>13956</v>
      </c>
      <c r="B13956" s="2" t="str">
        <f>IFERROR(__xludf.DUMMYFUNCTION("GOOGLETRANSLATE(A13956, ""de"", ""en"")"),"blur")</f>
        <v>blur</v>
      </c>
    </row>
    <row r="13957">
      <c r="A13957" s="1" t="s">
        <v>13957</v>
      </c>
      <c r="B13957" s="2" t="str">
        <f>IFERROR(__xludf.DUMMYFUNCTION("GOOGLETRANSLATE(A13957, ""de"", ""en"")"),"put on")</f>
        <v>put on</v>
      </c>
    </row>
    <row r="13958">
      <c r="A13958" s="1" t="s">
        <v>13958</v>
      </c>
      <c r="B13958" s="2" t="str">
        <f>IFERROR(__xludf.DUMMYFUNCTION("GOOGLETRANSLATE(A13958, ""de"", ""en"")"),"to do")</f>
        <v>to do</v>
      </c>
    </row>
    <row r="13959">
      <c r="A13959" s="1" t="s">
        <v>13959</v>
      </c>
      <c r="B13959" s="2" t="str">
        <f>IFERROR(__xludf.DUMMYFUNCTION("GOOGLETRANSLATE(A13959, ""de"", ""en"")"),"superheroes")</f>
        <v>superheroes</v>
      </c>
    </row>
    <row r="13960">
      <c r="A13960" s="1" t="s">
        <v>13960</v>
      </c>
      <c r="B13960" s="2" t="str">
        <f>IFERROR(__xludf.DUMMYFUNCTION("GOOGLETRANSLATE(A13960, ""de"", ""en"")"),"admiration")</f>
        <v>admiration</v>
      </c>
    </row>
    <row r="13961">
      <c r="A13961" s="1" t="s">
        <v>13961</v>
      </c>
      <c r="B13961" s="2" t="str">
        <f>IFERROR(__xludf.DUMMYFUNCTION("GOOGLETRANSLATE(A13961, ""de"", ""en"")"),"spaceship")</f>
        <v>spaceship</v>
      </c>
    </row>
    <row r="13962">
      <c r="A13962" s="1" t="s">
        <v>13962</v>
      </c>
      <c r="B13962" s="2" t="str">
        <f>IFERROR(__xludf.DUMMYFUNCTION("GOOGLETRANSLATE(A13962, ""de"", ""en"")"),"skip")</f>
        <v>skip</v>
      </c>
    </row>
    <row r="13963">
      <c r="A13963" s="1" t="s">
        <v>13963</v>
      </c>
      <c r="B13963" s="2" t="str">
        <f>IFERROR(__xludf.DUMMYFUNCTION("GOOGLETRANSLATE(A13963, ""de"", ""en"")"),"ada")</f>
        <v>ada</v>
      </c>
    </row>
    <row r="13964">
      <c r="A13964" s="1" t="s">
        <v>13964</v>
      </c>
      <c r="B13964" s="2" t="str">
        <f>IFERROR(__xludf.DUMMYFUNCTION("GOOGLETRANSLATE(A13964, ""de"", ""en"")"),"cutler")</f>
        <v>cutler</v>
      </c>
    </row>
    <row r="13965">
      <c r="A13965" s="1" t="s">
        <v>13965</v>
      </c>
      <c r="B13965" s="2" t="str">
        <f>IFERROR(__xludf.DUMMYFUNCTION("GOOGLETRANSLATE(A13965, ""de"", ""en"")"),"hip")</f>
        <v>hip</v>
      </c>
    </row>
    <row r="13966">
      <c r="A13966" s="1" t="s">
        <v>13966</v>
      </c>
      <c r="B13966" s="2" t="str">
        <f>IFERROR(__xludf.DUMMYFUNCTION("GOOGLETRANSLATE(A13966, ""de"", ""en"")"),"overwhelm")</f>
        <v>overwhelm</v>
      </c>
    </row>
    <row r="13967">
      <c r="A13967" s="1" t="s">
        <v>13967</v>
      </c>
      <c r="B13967" s="2" t="str">
        <f>IFERROR(__xludf.DUMMYFUNCTION("GOOGLETRANSLATE(A13967, ""de"", ""en"")"),"came in")</f>
        <v>came in</v>
      </c>
    </row>
    <row r="13968">
      <c r="A13968" s="1" t="s">
        <v>13968</v>
      </c>
      <c r="B13968" s="2" t="str">
        <f>IFERROR(__xludf.DUMMYFUNCTION("GOOGLETRANSLATE(A13968, ""de"", ""en"")"),"barracks")</f>
        <v>barracks</v>
      </c>
    </row>
    <row r="13969">
      <c r="A13969" s="1" t="s">
        <v>13969</v>
      </c>
      <c r="B13969" s="2" t="str">
        <f>IFERROR(__xludf.DUMMYFUNCTION("GOOGLETRANSLATE(A13969, ""de"", ""en"")"),"thank you")</f>
        <v>thank you</v>
      </c>
    </row>
    <row r="13970">
      <c r="A13970" s="1" t="s">
        <v>13970</v>
      </c>
      <c r="B13970" s="2" t="str">
        <f>IFERROR(__xludf.DUMMYFUNCTION("GOOGLETRANSLATE(A13970, ""de"", ""en"")"),"paid")</f>
        <v>paid</v>
      </c>
    </row>
    <row r="13971">
      <c r="A13971" s="1" t="s">
        <v>13971</v>
      </c>
      <c r="B13971" s="2" t="str">
        <f>IFERROR(__xludf.DUMMYFUNCTION("GOOGLETRANSLATE(A13971, ""de"", ""en"")"),"dubois")</f>
        <v>dubois</v>
      </c>
    </row>
    <row r="13972">
      <c r="A13972" s="1" t="s">
        <v>13972</v>
      </c>
      <c r="B13972" s="2" t="str">
        <f>IFERROR(__xludf.DUMMYFUNCTION("GOOGLETRANSLATE(A13972, ""de"", ""en"")"),"trumpet")</f>
        <v>trumpet</v>
      </c>
    </row>
    <row r="13973">
      <c r="A13973" s="1" t="s">
        <v>13973</v>
      </c>
      <c r="B13973" s="2" t="str">
        <f>IFERROR(__xludf.DUMMYFUNCTION("GOOGLETRANSLATE(A13973, ""de"", ""en"")"),"regulates")</f>
        <v>regulates</v>
      </c>
    </row>
    <row r="13974">
      <c r="A13974" s="1" t="s">
        <v>13974</v>
      </c>
      <c r="B13974" s="2" t="str">
        <f>IFERROR(__xludf.DUMMYFUNCTION("GOOGLETRANSLATE(A13974, ""de"", ""en"")"),"European")</f>
        <v>European</v>
      </c>
    </row>
    <row r="13975">
      <c r="A13975" s="1" t="s">
        <v>13975</v>
      </c>
      <c r="B13975" s="2" t="str">
        <f>IFERROR(__xludf.DUMMYFUNCTION("GOOGLETRANSLATE(A13975, ""de"", ""en"")"),"Berliner")</f>
        <v>Berliner</v>
      </c>
    </row>
    <row r="13976">
      <c r="A13976" s="1" t="s">
        <v>13976</v>
      </c>
      <c r="B13976" s="2" t="str">
        <f>IFERROR(__xludf.DUMMYFUNCTION("GOOGLETRANSLATE(A13976, ""de"", ""en"")"),"shotgun")</f>
        <v>shotgun</v>
      </c>
    </row>
    <row r="13977">
      <c r="A13977" s="1" t="s">
        <v>13977</v>
      </c>
      <c r="B13977" s="2" t="str">
        <f>IFERROR(__xludf.DUMMYFUNCTION("GOOGLETRANSLATE(A13977, ""de"", ""en"")"),"achieve")</f>
        <v>achieve</v>
      </c>
    </row>
    <row r="13978">
      <c r="A13978" s="1" t="s">
        <v>13978</v>
      </c>
      <c r="B13978" s="2" t="str">
        <f>IFERROR(__xludf.DUMMYFUNCTION("GOOGLETRANSLATE(A13978, ""de"", ""en"")"),"sewerage")</f>
        <v>sewerage</v>
      </c>
    </row>
    <row r="13979">
      <c r="A13979" s="1" t="s">
        <v>13979</v>
      </c>
      <c r="B13979" s="2" t="str">
        <f>IFERROR(__xludf.DUMMYFUNCTION("GOOGLETRANSLATE(A13979, ""de"", ""en"")"),"case")</f>
        <v>case</v>
      </c>
    </row>
    <row r="13980">
      <c r="A13980" s="1" t="s">
        <v>13980</v>
      </c>
      <c r="B13980" s="2" t="str">
        <f>IFERROR(__xludf.DUMMYFUNCTION("GOOGLETRANSLATE(A13980, ""de"", ""en"")"),"tribes")</f>
        <v>tribes</v>
      </c>
    </row>
    <row r="13981">
      <c r="A13981" s="1" t="s">
        <v>13981</v>
      </c>
      <c r="B13981" s="2" t="str">
        <f>IFERROR(__xludf.DUMMYFUNCTION("GOOGLETRANSLATE(A13981, ""de"", ""en"")"),"rumble")</f>
        <v>rumble</v>
      </c>
    </row>
    <row r="13982">
      <c r="A13982" s="1" t="s">
        <v>13982</v>
      </c>
      <c r="B13982" s="2" t="str">
        <f>IFERROR(__xludf.DUMMYFUNCTION("GOOGLETRANSLATE(A13982, ""de"", ""en"")"),"blow your mind")</f>
        <v>blow your mind</v>
      </c>
    </row>
    <row r="13983">
      <c r="A13983" s="1" t="s">
        <v>13983</v>
      </c>
      <c r="B13983" s="2" t="str">
        <f>IFERROR(__xludf.DUMMYFUNCTION("GOOGLETRANSLATE(A13983, ""de"", ""en"")"),"compassion")</f>
        <v>compassion</v>
      </c>
    </row>
    <row r="13984">
      <c r="A13984" s="1" t="s">
        <v>13984</v>
      </c>
      <c r="B13984" s="2" t="str">
        <f>IFERROR(__xludf.DUMMYFUNCTION("GOOGLETRANSLATE(A13984, ""de"", ""en"")"),"website")</f>
        <v>website</v>
      </c>
    </row>
    <row r="13985">
      <c r="A13985" s="1" t="s">
        <v>13985</v>
      </c>
      <c r="B13985" s="2" t="str">
        <f>IFERROR(__xludf.DUMMYFUNCTION("GOOGLETRANSLATE(A13985, ""de"", ""en"")"),"contempt")</f>
        <v>contempt</v>
      </c>
    </row>
    <row r="13986">
      <c r="A13986" s="1" t="s">
        <v>13986</v>
      </c>
      <c r="B13986" s="2" t="str">
        <f>IFERROR(__xludf.DUMMYFUNCTION("GOOGLETRANSLATE(A13986, ""de"", ""en"")"),"cylinder")</f>
        <v>cylinder</v>
      </c>
    </row>
    <row r="13987">
      <c r="A13987" s="1" t="s">
        <v>13987</v>
      </c>
      <c r="B13987" s="2" t="str">
        <f>IFERROR(__xludf.DUMMYFUNCTION("GOOGLETRANSLATE(A13987, ""de"", ""en"")"),"please")</f>
        <v>please</v>
      </c>
    </row>
    <row r="13988">
      <c r="A13988" s="1" t="s">
        <v>13988</v>
      </c>
      <c r="B13988" s="2" t="str">
        <f>IFERROR(__xludf.DUMMYFUNCTION("GOOGLETRANSLATE(A13988, ""de"", ""en"")"),"commission")</f>
        <v>commission</v>
      </c>
    </row>
    <row r="13989">
      <c r="A13989" s="1" t="s">
        <v>13989</v>
      </c>
      <c r="B13989" s="2" t="str">
        <f>IFERROR(__xludf.DUMMYFUNCTION("GOOGLETRANSLATE(A13989, ""de"", ""en"")"),"disco")</f>
        <v>disco</v>
      </c>
    </row>
    <row r="13990">
      <c r="A13990" s="1" t="s">
        <v>13990</v>
      </c>
      <c r="B13990" s="2" t="str">
        <f>IFERROR(__xludf.DUMMYFUNCTION("GOOGLETRANSLATE(A13990, ""de"", ""en"")"),"any")</f>
        <v>any</v>
      </c>
    </row>
    <row r="13991">
      <c r="A13991" s="1" t="s">
        <v>13991</v>
      </c>
      <c r="B13991" s="2" t="str">
        <f>IFERROR(__xludf.DUMMYFUNCTION("GOOGLETRANSLATE(A13991, ""de"", ""en"")"),"destroy")</f>
        <v>destroy</v>
      </c>
    </row>
    <row r="13992">
      <c r="A13992" s="1" t="s">
        <v>13992</v>
      </c>
      <c r="B13992" s="2" t="str">
        <f>IFERROR(__xludf.DUMMYFUNCTION("GOOGLETRANSLATE(A13992, ""de"", ""en"")"),"mira")</f>
        <v>mira</v>
      </c>
    </row>
    <row r="13993">
      <c r="A13993" s="1" t="s">
        <v>13993</v>
      </c>
      <c r="B13993" s="2" t="str">
        <f>IFERROR(__xludf.DUMMYFUNCTION("GOOGLETRANSLATE(A13993, ""de"", ""en"")"),"east")</f>
        <v>east</v>
      </c>
    </row>
    <row r="13994">
      <c r="A13994" s="1" t="s">
        <v>13994</v>
      </c>
      <c r="B13994" s="2" t="str">
        <f>IFERROR(__xludf.DUMMYFUNCTION("GOOGLETRANSLATE(A13994, ""de"", ""en"")"),"mutiny")</f>
        <v>mutiny</v>
      </c>
    </row>
    <row r="13995">
      <c r="A13995" s="1" t="s">
        <v>13995</v>
      </c>
      <c r="B13995" s="2" t="str">
        <f>IFERROR(__xludf.DUMMYFUNCTION("GOOGLETRANSLATE(A13995, ""de"", ""en"")"),"resemble")</f>
        <v>resemble</v>
      </c>
    </row>
    <row r="13996">
      <c r="A13996" s="1" t="s">
        <v>13996</v>
      </c>
      <c r="B13996" s="2" t="str">
        <f>IFERROR(__xludf.DUMMYFUNCTION("GOOGLETRANSLATE(A13996, ""de"", ""en"")"),"raise")</f>
        <v>raise</v>
      </c>
    </row>
    <row r="13997">
      <c r="A13997" s="1" t="s">
        <v>13997</v>
      </c>
      <c r="B13997" s="2" t="str">
        <f>IFERROR(__xludf.DUMMYFUNCTION("GOOGLETRANSLATE(A13997, ""de"", ""en"")"),"ferengi")</f>
        <v>ferengi</v>
      </c>
    </row>
    <row r="13998">
      <c r="A13998" s="1" t="s">
        <v>13998</v>
      </c>
      <c r="B13998" s="2" t="str">
        <f>IFERROR(__xludf.DUMMYFUNCTION("GOOGLETRANSLATE(A13998, ""de"", ""en"")"),"disadvantage")</f>
        <v>disadvantage</v>
      </c>
    </row>
    <row r="13999">
      <c r="A13999" s="1" t="s">
        <v>13999</v>
      </c>
      <c r="B13999" s="2" t="str">
        <f>IFERROR(__xludf.DUMMYFUNCTION("GOOGLETRANSLATE(A13999, ""de"", ""en"")"),"Alzheimer")</f>
        <v>Alzheimer</v>
      </c>
    </row>
    <row r="14000">
      <c r="A14000" s="1" t="s">
        <v>14000</v>
      </c>
      <c r="B14000" s="2" t="str">
        <f>IFERROR(__xludf.DUMMYFUNCTION("GOOGLETRANSLATE(A14000, ""de"", ""en"")"),"effort")</f>
        <v>effort</v>
      </c>
    </row>
    <row r="14001">
      <c r="A14001" s="1" t="s">
        <v>14001</v>
      </c>
      <c r="B14001" s="2" t="str">
        <f>IFERROR(__xludf.DUMMYFUNCTION("GOOGLETRANSLATE(A14001, ""de"", ""en"")"),"elliott")</f>
        <v>elliott</v>
      </c>
    </row>
    <row r="14002">
      <c r="A14002" s="1" t="s">
        <v>14002</v>
      </c>
      <c r="B14002" s="2" t="str">
        <f>IFERROR(__xludf.DUMMYFUNCTION("GOOGLETRANSLATE(A14002, ""de"", ""en"")"),"torch")</f>
        <v>torch</v>
      </c>
    </row>
    <row r="14003">
      <c r="A14003" s="1" t="s">
        <v>14003</v>
      </c>
      <c r="B14003" s="2" t="str">
        <f>IFERROR(__xludf.DUMMYFUNCTION("GOOGLETRANSLATE(A14003, ""de"", ""en"")"),"continuously")</f>
        <v>continuously</v>
      </c>
    </row>
    <row r="14004">
      <c r="A14004" s="1" t="s">
        <v>14004</v>
      </c>
      <c r="B14004" s="2" t="str">
        <f>IFERROR(__xludf.DUMMYFUNCTION("GOOGLETRANSLATE(A14004, ""de"", ""en"")"),"dept")</f>
        <v>dept</v>
      </c>
    </row>
    <row r="14005">
      <c r="A14005" s="1" t="s">
        <v>14005</v>
      </c>
      <c r="B14005" s="2" t="str">
        <f>IFERROR(__xludf.DUMMYFUNCTION("GOOGLETRANSLATE(A14005, ""de"", ""en"")"),"murdered")</f>
        <v>murdered</v>
      </c>
    </row>
    <row r="14006">
      <c r="A14006" s="1" t="s">
        <v>14006</v>
      </c>
      <c r="B14006" s="2" t="str">
        <f>IFERROR(__xludf.DUMMYFUNCTION("GOOGLETRANSLATE(A14006, ""de"", ""en"")"),"assessment")</f>
        <v>assessment</v>
      </c>
    </row>
    <row r="14007">
      <c r="A14007" s="1" t="s">
        <v>14007</v>
      </c>
      <c r="B14007" s="2" t="str">
        <f>IFERROR(__xludf.DUMMYFUNCTION("GOOGLETRANSLATE(A14007, ""de"", ""en"")"),"milt")</f>
        <v>milt</v>
      </c>
    </row>
    <row r="14008">
      <c r="A14008" s="1" t="s">
        <v>14008</v>
      </c>
      <c r="B14008" s="2" t="str">
        <f>IFERROR(__xludf.DUMMYFUNCTION("GOOGLETRANSLATE(A14008, ""de"", ""en"")"),"trains")</f>
        <v>trains</v>
      </c>
    </row>
    <row r="14009">
      <c r="A14009" s="1" t="s">
        <v>14009</v>
      </c>
      <c r="B14009" s="2" t="str">
        <f>IFERROR(__xludf.DUMMYFUNCTION("GOOGLETRANSLATE(A14009, ""de"", ""en"")"),"dusk")</f>
        <v>dusk</v>
      </c>
    </row>
    <row r="14010">
      <c r="A14010" s="1" t="s">
        <v>14010</v>
      </c>
      <c r="B14010" s="2" t="str">
        <f>IFERROR(__xludf.DUMMYFUNCTION("GOOGLETRANSLATE(A14010, ""de"", ""en"")"),"satisfied")</f>
        <v>satisfied</v>
      </c>
    </row>
    <row r="14011">
      <c r="A14011" s="1" t="s">
        <v>14011</v>
      </c>
      <c r="B14011" s="2" t="str">
        <f>IFERROR(__xludf.DUMMYFUNCTION("GOOGLETRANSLATE(A14011, ""de"", ""en"")"),"delicate")</f>
        <v>delicate</v>
      </c>
    </row>
    <row r="14012">
      <c r="A14012" s="1" t="s">
        <v>14012</v>
      </c>
      <c r="B14012" s="2" t="str">
        <f>IFERROR(__xludf.DUMMYFUNCTION("GOOGLETRANSLATE(A14012, ""de"", ""en"")"),"calculates")</f>
        <v>calculates</v>
      </c>
    </row>
    <row r="14013">
      <c r="A14013" s="1" t="s">
        <v>14013</v>
      </c>
      <c r="B14013" s="2" t="str">
        <f>IFERROR(__xludf.DUMMYFUNCTION("GOOGLETRANSLATE(A14013, ""de"", ""en"")"),"river")</f>
        <v>river</v>
      </c>
    </row>
    <row r="14014">
      <c r="A14014" s="1" t="s">
        <v>14014</v>
      </c>
      <c r="B14014" s="2" t="str">
        <f>IFERROR(__xludf.DUMMYFUNCTION("GOOGLETRANSLATE(A14014, ""de"", ""en"")"),"started")</f>
        <v>started</v>
      </c>
    </row>
    <row r="14015">
      <c r="A14015" s="1" t="s">
        <v>14015</v>
      </c>
      <c r="B14015" s="2" t="str">
        <f>IFERROR(__xludf.DUMMYFUNCTION("GOOGLETRANSLATE(A14015, ""de"", ""en"")"),"amateurs")</f>
        <v>amateurs</v>
      </c>
    </row>
    <row r="14016">
      <c r="A14016" s="1" t="s">
        <v>14016</v>
      </c>
      <c r="B14016" s="2" t="str">
        <f>IFERROR(__xludf.DUMMYFUNCTION("GOOGLETRANSLATE(A14016, ""de"", ""en"")"),"attack")</f>
        <v>attack</v>
      </c>
    </row>
    <row r="14017">
      <c r="A14017" s="1" t="s">
        <v>14017</v>
      </c>
      <c r="B14017" s="2" t="str">
        <f>IFERROR(__xludf.DUMMYFUNCTION("GOOGLETRANSLATE(A14017, ""de"", ""en"")"),"attacked")</f>
        <v>attacked</v>
      </c>
    </row>
    <row r="14018">
      <c r="A14018" s="1" t="s">
        <v>14018</v>
      </c>
      <c r="B14018" s="2" t="str">
        <f>IFERROR(__xludf.DUMMYFUNCTION("GOOGLETRANSLATE(A14018, ""de"", ""en"")"),"desperate")</f>
        <v>desperate</v>
      </c>
    </row>
    <row r="14019">
      <c r="A14019" s="1" t="s">
        <v>14019</v>
      </c>
      <c r="B14019" s="2" t="str">
        <f>IFERROR(__xludf.DUMMYFUNCTION("GOOGLETRANSLATE(A14019, ""de"", ""en"")"),"caught up")</f>
        <v>caught up</v>
      </c>
    </row>
    <row r="14020">
      <c r="A14020" s="1" t="s">
        <v>14020</v>
      </c>
      <c r="B14020" s="2" t="str">
        <f>IFERROR(__xludf.DUMMYFUNCTION("GOOGLETRANSLATE(A14020, ""de"", ""en"")"),"Muenster")</f>
        <v>Muenster</v>
      </c>
    </row>
    <row r="14021">
      <c r="A14021" s="1" t="s">
        <v>14021</v>
      </c>
      <c r="B14021" s="2" t="str">
        <f>IFERROR(__xludf.DUMMYFUNCTION("GOOGLETRANSLATE(A14021, ""de"", ""en"")"),"lasagne")</f>
        <v>lasagne</v>
      </c>
    </row>
    <row r="14022">
      <c r="A14022" s="1" t="s">
        <v>14022</v>
      </c>
      <c r="B14022" s="2" t="str">
        <f>IFERROR(__xludf.DUMMYFUNCTION("GOOGLETRANSLATE(A14022, ""de"", ""en"")"),"malfunction")</f>
        <v>malfunction</v>
      </c>
    </row>
    <row r="14023">
      <c r="A14023" s="1" t="s">
        <v>14023</v>
      </c>
      <c r="B14023" s="2" t="str">
        <f>IFERROR(__xludf.DUMMYFUNCTION("GOOGLETRANSLATE(A14023, ""de"", ""en"")"),"dino")</f>
        <v>dino</v>
      </c>
    </row>
    <row r="14024">
      <c r="A14024" s="1" t="s">
        <v>14024</v>
      </c>
      <c r="B14024" s="2" t="str">
        <f>IFERROR(__xludf.DUMMYFUNCTION("GOOGLETRANSLATE(A14024, ""de"", ""en"")"),"sold")</f>
        <v>sold</v>
      </c>
    </row>
    <row r="14025">
      <c r="A14025" s="1" t="s">
        <v>14025</v>
      </c>
      <c r="B14025" s="2" t="str">
        <f>IFERROR(__xludf.DUMMYFUNCTION("GOOGLETRANSLATE(A14025, ""de"", ""en"")"),"master")</f>
        <v>master</v>
      </c>
    </row>
    <row r="14026">
      <c r="A14026" s="1" t="s">
        <v>14026</v>
      </c>
      <c r="B14026" s="2" t="str">
        <f>IFERROR(__xludf.DUMMYFUNCTION("GOOGLETRANSLATE(A14026, ""de"", ""en"")"),"rags")</f>
        <v>rags</v>
      </c>
    </row>
    <row r="14027">
      <c r="A14027" s="1" t="s">
        <v>14027</v>
      </c>
      <c r="B14027" s="2" t="str">
        <f>IFERROR(__xludf.DUMMYFUNCTION("GOOGLETRANSLATE(A14027, ""de"", ""en"")"),"tail")</f>
        <v>tail</v>
      </c>
    </row>
    <row r="14028">
      <c r="A14028" s="1" t="s">
        <v>14028</v>
      </c>
      <c r="B14028" s="2" t="str">
        <f>IFERROR(__xludf.DUMMYFUNCTION("GOOGLETRANSLATE(A14028, ""de"", ""en"")"),"trucks")</f>
        <v>trucks</v>
      </c>
    </row>
    <row r="14029">
      <c r="A14029" s="1" t="s">
        <v>14029</v>
      </c>
      <c r="B14029" s="2" t="str">
        <f>IFERROR(__xludf.DUMMYFUNCTION("GOOGLETRANSLATE(A14029, ""de"", ""en"")"),"bing")</f>
        <v>bing</v>
      </c>
    </row>
    <row r="14030">
      <c r="A14030" s="1" t="s">
        <v>14030</v>
      </c>
      <c r="B14030" s="2" t="str">
        <f>IFERROR(__xludf.DUMMYFUNCTION("GOOGLETRANSLATE(A14030, ""de"", ""en"")"),"introduced")</f>
        <v>introduced</v>
      </c>
    </row>
    <row r="14031">
      <c r="A14031" s="1" t="s">
        <v>14031</v>
      </c>
      <c r="B14031" s="2" t="str">
        <f>IFERROR(__xludf.DUMMYFUNCTION("GOOGLETRANSLATE(A14031, ""de"", ""en"")"),"appropriate")</f>
        <v>appropriate</v>
      </c>
    </row>
    <row r="14032">
      <c r="A14032" s="1" t="s">
        <v>14032</v>
      </c>
      <c r="B14032" s="2" t="str">
        <f>IFERROR(__xludf.DUMMYFUNCTION("GOOGLETRANSLATE(A14032, ""de"", ""en"")"),"sultan")</f>
        <v>sultan</v>
      </c>
    </row>
    <row r="14033">
      <c r="A14033" s="1" t="s">
        <v>14033</v>
      </c>
      <c r="B14033" s="2" t="str">
        <f>IFERROR(__xludf.DUMMYFUNCTION("GOOGLETRANSLATE(A14033, ""de"", ""en"")"),"burrows")</f>
        <v>burrows</v>
      </c>
    </row>
    <row r="14034">
      <c r="A14034" s="1" t="s">
        <v>14034</v>
      </c>
      <c r="B14034" s="2" t="str">
        <f>IFERROR(__xludf.DUMMYFUNCTION("GOOGLETRANSLATE(A14034, ""de"", ""en"")"),"install")</f>
        <v>install</v>
      </c>
    </row>
    <row r="14035">
      <c r="A14035" s="1" t="s">
        <v>14035</v>
      </c>
      <c r="B14035" s="2" t="str">
        <f>IFERROR(__xludf.DUMMYFUNCTION("GOOGLETRANSLATE(A14035, ""de"", ""en"")"),"lst")</f>
        <v>lst</v>
      </c>
    </row>
    <row r="14036">
      <c r="A14036" s="1" t="s">
        <v>14036</v>
      </c>
      <c r="B14036" s="2" t="str">
        <f>IFERROR(__xludf.DUMMYFUNCTION("GOOGLETRANSLATE(A14036, ""de"", ""en"")"),"terri")</f>
        <v>terri</v>
      </c>
    </row>
    <row r="14037">
      <c r="A14037" s="1" t="s">
        <v>14037</v>
      </c>
      <c r="B14037" s="2" t="str">
        <f>IFERROR(__xludf.DUMMYFUNCTION("GOOGLETRANSLATE(A14037, ""de"", ""en"")"),"fake")</f>
        <v>fake</v>
      </c>
    </row>
    <row r="14038">
      <c r="A14038" s="1" t="s">
        <v>14038</v>
      </c>
      <c r="B14038" s="2" t="str">
        <f>IFERROR(__xludf.DUMMYFUNCTION("GOOGLETRANSLATE(A14038, ""de"", ""en"")"),"Hercules")</f>
        <v>Hercules</v>
      </c>
    </row>
    <row r="14039">
      <c r="A14039" s="1" t="s">
        <v>14039</v>
      </c>
      <c r="B14039" s="2" t="str">
        <f>IFERROR(__xludf.DUMMYFUNCTION("GOOGLETRANSLATE(A14039, ""de"", ""en"")"),"brave")</f>
        <v>brave</v>
      </c>
    </row>
    <row r="14040">
      <c r="A14040" s="1" t="s">
        <v>14040</v>
      </c>
      <c r="B14040" s="2" t="str">
        <f>IFERROR(__xludf.DUMMYFUNCTION("GOOGLETRANSLATE(A14040, ""de"", ""en"")"),"selfish")</f>
        <v>selfish</v>
      </c>
    </row>
    <row r="14041">
      <c r="A14041" s="1" t="s">
        <v>14041</v>
      </c>
      <c r="B14041" s="2" t="str">
        <f>IFERROR(__xludf.DUMMYFUNCTION("GOOGLETRANSLATE(A14041, ""de"", ""en"")"),"billiards")</f>
        <v>billiards</v>
      </c>
    </row>
    <row r="14042">
      <c r="A14042" s="1" t="s">
        <v>14042</v>
      </c>
      <c r="B14042" s="2" t="str">
        <f>IFERROR(__xludf.DUMMYFUNCTION("GOOGLETRANSLATE(A14042, ""de"", ""en"")"),"subject")</f>
        <v>subject</v>
      </c>
    </row>
    <row r="14043">
      <c r="A14043" s="1" t="s">
        <v>14043</v>
      </c>
      <c r="B14043" s="2" t="str">
        <f>IFERROR(__xludf.DUMMYFUNCTION("GOOGLETRANSLATE(A14043, ""de"", ""en"")"),"fair")</f>
        <v>fair</v>
      </c>
    </row>
    <row r="14044">
      <c r="A14044" s="1" t="s">
        <v>14044</v>
      </c>
      <c r="B14044" s="2" t="str">
        <f>IFERROR(__xludf.DUMMYFUNCTION("GOOGLETRANSLATE(A14044, ""de"", ""en"")"),"sarcasm")</f>
        <v>sarcasm</v>
      </c>
    </row>
    <row r="14045">
      <c r="A14045" s="1" t="s">
        <v>14045</v>
      </c>
      <c r="B14045" s="2" t="str">
        <f>IFERROR(__xludf.DUMMYFUNCTION("GOOGLETRANSLATE(A14045, ""de"", ""en"")"),"melvin")</f>
        <v>melvin</v>
      </c>
    </row>
    <row r="14046">
      <c r="A14046" s="1" t="s">
        <v>14046</v>
      </c>
      <c r="B14046" s="2" t="str">
        <f>IFERROR(__xludf.DUMMYFUNCTION("GOOGLETRANSLATE(A14046, ""de"", ""en"")"),"fax")</f>
        <v>fax</v>
      </c>
    </row>
    <row r="14047">
      <c r="A14047" s="1" t="s">
        <v>14047</v>
      </c>
      <c r="B14047" s="2" t="str">
        <f>IFERROR(__xludf.DUMMYFUNCTION("GOOGLETRANSLATE(A14047, ""de"", ""en"")"),"omega")</f>
        <v>omega</v>
      </c>
    </row>
    <row r="14048">
      <c r="A14048" s="1" t="s">
        <v>14048</v>
      </c>
      <c r="B14048" s="2" t="str">
        <f>IFERROR(__xludf.DUMMYFUNCTION("GOOGLETRANSLATE(A14048, ""de"", ""en"")"),"clean")</f>
        <v>clean</v>
      </c>
    </row>
    <row r="14049">
      <c r="A14049" s="1" t="s">
        <v>14049</v>
      </c>
      <c r="B14049" s="2" t="str">
        <f>IFERROR(__xludf.DUMMYFUNCTION("GOOGLETRANSLATE(A14049, ""de"", ""en"")"),"fantastic")</f>
        <v>fantastic</v>
      </c>
    </row>
    <row r="14050">
      <c r="A14050" s="1" t="s">
        <v>14050</v>
      </c>
      <c r="B14050" s="2" t="str">
        <f>IFERROR(__xludf.DUMMYFUNCTION("GOOGLETRANSLATE(A14050, ""de"", ""en"")"),"disappointing")</f>
        <v>disappointing</v>
      </c>
    </row>
    <row r="14051">
      <c r="A14051" s="1" t="s">
        <v>14051</v>
      </c>
      <c r="B14051" s="2" t="str">
        <f>IFERROR(__xludf.DUMMYFUNCTION("GOOGLETRANSLATE(A14051, ""de"", ""en"")"),"reports")</f>
        <v>reports</v>
      </c>
    </row>
    <row r="14052">
      <c r="A14052" s="1" t="s">
        <v>14052</v>
      </c>
      <c r="B14052" s="2" t="str">
        <f>IFERROR(__xludf.DUMMYFUNCTION("GOOGLETRANSLATE(A14052, ""de"", ""en"")"),"hours.")</f>
        <v>hours.</v>
      </c>
    </row>
    <row r="14053">
      <c r="A14053" s="1" t="s">
        <v>14053</v>
      </c>
      <c r="B14053" s="2" t="str">
        <f>IFERROR(__xludf.DUMMYFUNCTION("GOOGLETRANSLATE(A14053, ""de"", ""en"")"),"rivers")</f>
        <v>rivers</v>
      </c>
    </row>
    <row r="14054">
      <c r="A14054" s="1" t="s">
        <v>14054</v>
      </c>
      <c r="B14054" s="2" t="str">
        <f>IFERROR(__xludf.DUMMYFUNCTION("GOOGLETRANSLATE(A14054, ""de"", ""en"")"),"archbishop")</f>
        <v>archbishop</v>
      </c>
    </row>
    <row r="14055">
      <c r="A14055" s="1" t="s">
        <v>14055</v>
      </c>
      <c r="B14055" s="2" t="str">
        <f>IFERROR(__xludf.DUMMYFUNCTION("GOOGLETRANSLATE(A14055, ""de"", ""en"")"),"homeless")</f>
        <v>homeless</v>
      </c>
    </row>
    <row r="14056">
      <c r="A14056" s="1" t="s">
        <v>14056</v>
      </c>
      <c r="B14056" s="2" t="str">
        <f>IFERROR(__xludf.DUMMYFUNCTION("GOOGLETRANSLATE(A14056, ""de"", ""en"")"),"field")</f>
        <v>field</v>
      </c>
    </row>
    <row r="14057">
      <c r="A14057" s="1" t="s">
        <v>14057</v>
      </c>
      <c r="B14057" s="2" t="str">
        <f>IFERROR(__xludf.DUMMYFUNCTION("GOOGLETRANSLATE(A14057, ""de"", ""en"")"),"created")</f>
        <v>created</v>
      </c>
    </row>
    <row r="14058">
      <c r="A14058" s="1" t="s">
        <v>14058</v>
      </c>
      <c r="B14058" s="2" t="str">
        <f>IFERROR(__xludf.DUMMYFUNCTION("GOOGLETRANSLATE(A14058, ""de"", ""en"")"),"for miles")</f>
        <v>for miles</v>
      </c>
    </row>
    <row r="14059">
      <c r="A14059" s="1" t="s">
        <v>14059</v>
      </c>
      <c r="B14059" s="2" t="str">
        <f>IFERROR(__xludf.DUMMYFUNCTION("GOOGLETRANSLATE(A14059, ""de"", ""en"")"),"Vermont")</f>
        <v>Vermont</v>
      </c>
    </row>
    <row r="14060">
      <c r="A14060" s="1" t="s">
        <v>14060</v>
      </c>
      <c r="B14060" s="2" t="str">
        <f>IFERROR(__xludf.DUMMYFUNCTION("GOOGLETRANSLATE(A14060, ""de"", ""en"")"),"Chloe")</f>
        <v>Chloe</v>
      </c>
    </row>
    <row r="14061">
      <c r="A14061" s="1" t="s">
        <v>14061</v>
      </c>
      <c r="B14061" s="2" t="str">
        <f>IFERROR(__xludf.DUMMYFUNCTION("GOOGLETRANSLATE(A14061, ""de"", ""en"")"),"sexual intercourse")</f>
        <v>sexual intercourse</v>
      </c>
    </row>
    <row r="14062">
      <c r="A14062" s="1" t="s">
        <v>14062</v>
      </c>
      <c r="B14062" s="2" t="str">
        <f>IFERROR(__xludf.DUMMYFUNCTION("GOOGLETRANSLATE(A14062, ""de"", ""en"")"),"teyla")</f>
        <v>teyla</v>
      </c>
    </row>
    <row r="14063">
      <c r="A14063" s="1" t="s">
        <v>14063</v>
      </c>
      <c r="B14063" s="2" t="str">
        <f>IFERROR(__xludf.DUMMYFUNCTION("GOOGLETRANSLATE(A14063, ""de"", ""en"")"),"seizures")</f>
        <v>seizures</v>
      </c>
    </row>
    <row r="14064">
      <c r="A14064" s="1" t="s">
        <v>14064</v>
      </c>
      <c r="B14064" s="2" t="str">
        <f>IFERROR(__xludf.DUMMYFUNCTION("GOOGLETRANSLATE(A14064, ""de"", ""en"")"),"hodgins")</f>
        <v>hodgins</v>
      </c>
    </row>
    <row r="14065">
      <c r="A14065" s="1" t="s">
        <v>14065</v>
      </c>
      <c r="B14065" s="2" t="str">
        <f>IFERROR(__xludf.DUMMYFUNCTION("GOOGLETRANSLATE(A14065, ""de"", ""en"")"),"halfway")</f>
        <v>halfway</v>
      </c>
    </row>
    <row r="14066">
      <c r="A14066" s="1" t="s">
        <v>14066</v>
      </c>
      <c r="B14066" s="2" t="str">
        <f>IFERROR(__xludf.DUMMYFUNCTION("GOOGLETRANSLATE(A14066, ""de"", ""en"")"),"mumble")</f>
        <v>mumble</v>
      </c>
    </row>
    <row r="14067">
      <c r="A14067" s="1" t="s">
        <v>14067</v>
      </c>
      <c r="B14067" s="2" t="str">
        <f>IFERROR(__xludf.DUMMYFUNCTION("GOOGLETRANSLATE(A14067, ""de"", ""en"")"),"glass")</f>
        <v>glass</v>
      </c>
    </row>
    <row r="14068">
      <c r="A14068" s="1" t="s">
        <v>14068</v>
      </c>
      <c r="B14068" s="2" t="str">
        <f>IFERROR(__xludf.DUMMYFUNCTION("GOOGLETRANSLATE(A14068, ""de"", ""en"")"),"political")</f>
        <v>political</v>
      </c>
    </row>
    <row r="14069">
      <c r="A14069" s="1" t="s">
        <v>14069</v>
      </c>
      <c r="B14069" s="2" t="str">
        <f>IFERROR(__xludf.DUMMYFUNCTION("GOOGLETRANSLATE(A14069, ""de"", ""en"")"),"anubis")</f>
        <v>anubis</v>
      </c>
    </row>
    <row r="14070">
      <c r="A14070" s="1" t="s">
        <v>14070</v>
      </c>
      <c r="B14070" s="2" t="str">
        <f>IFERROR(__xludf.DUMMYFUNCTION("GOOGLETRANSLATE(A14070, ""de"", ""en"")"),"dance floor")</f>
        <v>dance floor</v>
      </c>
    </row>
    <row r="14071">
      <c r="A14071" s="1" t="s">
        <v>14071</v>
      </c>
      <c r="B14071" s="2" t="str">
        <f>IFERROR(__xludf.DUMMYFUNCTION("GOOGLETRANSLATE(A14071, ""de"", ""en"")"),"drowned")</f>
        <v>drowned</v>
      </c>
    </row>
    <row r="14072">
      <c r="A14072" s="1" t="s">
        <v>14072</v>
      </c>
      <c r="B14072" s="2" t="str">
        <f>IFERROR(__xludf.DUMMYFUNCTION("GOOGLETRANSLATE(A14072, ""de"", ""en"")"),"sing to")</f>
        <v>sing to</v>
      </c>
    </row>
    <row r="14073">
      <c r="A14073" s="1" t="s">
        <v>14073</v>
      </c>
      <c r="B14073" s="2" t="str">
        <f>IFERROR(__xludf.DUMMYFUNCTION("GOOGLETRANSLATE(A14073, ""de"", ""en"")"),"matrix")</f>
        <v>matrix</v>
      </c>
    </row>
    <row r="14074">
      <c r="A14074" s="1" t="s">
        <v>14074</v>
      </c>
      <c r="B14074" s="2" t="str">
        <f>IFERROR(__xludf.DUMMYFUNCTION("GOOGLETRANSLATE(A14074, ""de"", ""en"")"),"positive")</f>
        <v>positive</v>
      </c>
    </row>
    <row r="14075">
      <c r="A14075" s="1" t="s">
        <v>14075</v>
      </c>
      <c r="B14075" s="2" t="str">
        <f>IFERROR(__xludf.DUMMYFUNCTION("GOOGLETRANSLATE(A14075, ""de"", ""en"")"),"decade")</f>
        <v>decade</v>
      </c>
    </row>
    <row r="14076">
      <c r="A14076" s="1" t="s">
        <v>14076</v>
      </c>
      <c r="B14076" s="2" t="str">
        <f>IFERROR(__xludf.DUMMYFUNCTION("GOOGLETRANSLATE(A14076, ""de"", ""en"")"),"freezes")</f>
        <v>freezes</v>
      </c>
    </row>
    <row r="14077">
      <c r="A14077" s="1" t="s">
        <v>14077</v>
      </c>
      <c r="B14077" s="2" t="str">
        <f>IFERROR(__xludf.DUMMYFUNCTION("GOOGLETRANSLATE(A14077, ""de"", ""en"")"),"silver")</f>
        <v>silver</v>
      </c>
    </row>
    <row r="14078">
      <c r="A14078" s="1" t="s">
        <v>14078</v>
      </c>
      <c r="B14078" s="2" t="str">
        <f>IFERROR(__xludf.DUMMYFUNCTION("GOOGLETRANSLATE(A14078, ""de"", ""en"")"),"guest list")</f>
        <v>guest list</v>
      </c>
    </row>
    <row r="14079">
      <c r="A14079" s="1" t="s">
        <v>14079</v>
      </c>
      <c r="B14079" s="2" t="str">
        <f>IFERROR(__xludf.DUMMYFUNCTION("GOOGLETRANSLATE(A14079, ""de"", ""en"")"),"stepped away")</f>
        <v>stepped away</v>
      </c>
    </row>
    <row r="14080">
      <c r="A14080" s="1" t="s">
        <v>14080</v>
      </c>
      <c r="B14080" s="2" t="str">
        <f>IFERROR(__xludf.DUMMYFUNCTION("GOOGLETRANSLATE(A14080, ""de"", ""en"")"),"beak")</f>
        <v>beak</v>
      </c>
    </row>
    <row r="14081">
      <c r="A14081" s="1" t="s">
        <v>14081</v>
      </c>
      <c r="B14081" s="2" t="str">
        <f>IFERROR(__xludf.DUMMYFUNCTION("GOOGLETRANSLATE(A14081, ""de"", ""en"")"),"musketeers")</f>
        <v>musketeers</v>
      </c>
    </row>
    <row r="14082">
      <c r="A14082" s="1" t="s">
        <v>14082</v>
      </c>
      <c r="B14082" s="2" t="str">
        <f>IFERROR(__xludf.DUMMYFUNCTION("GOOGLETRANSLATE(A14082, ""de"", ""en"")"),"mystic")</f>
        <v>mystic</v>
      </c>
    </row>
    <row r="14083">
      <c r="A14083" s="1" t="s">
        <v>14083</v>
      </c>
      <c r="B14083" s="2" t="str">
        <f>IFERROR(__xludf.DUMMYFUNCTION("GOOGLETRANSLATE(A14083, ""de"", ""en"")"),"Josephine")</f>
        <v>Josephine</v>
      </c>
    </row>
    <row r="14084">
      <c r="A14084" s="1" t="s">
        <v>14084</v>
      </c>
      <c r="B14084" s="2" t="str">
        <f>IFERROR(__xludf.DUMMYFUNCTION("GOOGLETRANSLATE(A14084, ""de"", ""en"")"),"dishes")</f>
        <v>dishes</v>
      </c>
    </row>
    <row r="14085">
      <c r="A14085" s="1" t="s">
        <v>14085</v>
      </c>
      <c r="B14085" s="2" t="str">
        <f>IFERROR(__xludf.DUMMYFUNCTION("GOOGLETRANSLATE(A14085, ""de"", ""en"")"),"keyword")</f>
        <v>keyword</v>
      </c>
    </row>
    <row r="14086">
      <c r="A14086" s="1" t="s">
        <v>14086</v>
      </c>
      <c r="B14086" s="2" t="str">
        <f>IFERROR(__xludf.DUMMYFUNCTION("GOOGLETRANSLATE(A14086, ""de"", ""en"")"),"secretly")</f>
        <v>secretly</v>
      </c>
    </row>
    <row r="14087">
      <c r="A14087" s="1" t="s">
        <v>14087</v>
      </c>
      <c r="B14087" s="2" t="str">
        <f>IFERROR(__xludf.DUMMYFUNCTION("GOOGLETRANSLATE(A14087, ""de"", ""en"")"),"hello")</f>
        <v>hello</v>
      </c>
    </row>
    <row r="14088">
      <c r="A14088" s="1" t="s">
        <v>14088</v>
      </c>
      <c r="B14088" s="2" t="str">
        <f>IFERROR(__xludf.DUMMYFUNCTION("GOOGLETRANSLATE(A14088, ""de"", ""en"")"),"stole")</f>
        <v>stole</v>
      </c>
    </row>
    <row r="14089">
      <c r="A14089" s="1" t="s">
        <v>14089</v>
      </c>
      <c r="B14089" s="2" t="str">
        <f>IFERROR(__xludf.DUMMYFUNCTION("GOOGLETRANSLATE(A14089, ""de"", ""en"")"),"protest")</f>
        <v>protest</v>
      </c>
    </row>
    <row r="14090">
      <c r="A14090" s="1" t="s">
        <v>14090</v>
      </c>
      <c r="B14090" s="2" t="str">
        <f>IFERROR(__xludf.DUMMYFUNCTION("GOOGLETRANSLATE(A14090, ""de"", ""en"")"),"sleeping pills")</f>
        <v>sleeping pills</v>
      </c>
    </row>
    <row r="14091">
      <c r="A14091" s="1" t="s">
        <v>14091</v>
      </c>
      <c r="B14091" s="2" t="str">
        <f>IFERROR(__xludf.DUMMYFUNCTION("GOOGLETRANSLATE(A14091, ""de"", ""en"")"),"prospects")</f>
        <v>prospects</v>
      </c>
    </row>
    <row r="14092">
      <c r="A14092" s="1" t="s">
        <v>14092</v>
      </c>
      <c r="B14092" s="2" t="str">
        <f>IFERROR(__xludf.DUMMYFUNCTION("GOOGLETRANSLATE(A14092, ""de"", ""en"")"),"potato")</f>
        <v>potato</v>
      </c>
    </row>
    <row r="14093">
      <c r="A14093" s="1" t="s">
        <v>14093</v>
      </c>
      <c r="B14093" s="2" t="str">
        <f>IFERROR(__xludf.DUMMYFUNCTION("GOOGLETRANSLATE(A14093, ""de"", ""en"")"),"davids")</f>
        <v>davids</v>
      </c>
    </row>
    <row r="14094">
      <c r="A14094" s="1" t="s">
        <v>14094</v>
      </c>
      <c r="B14094" s="2" t="str">
        <f>IFERROR(__xludf.DUMMYFUNCTION("GOOGLETRANSLATE(A14094, ""de"", ""en"")"),"talisman")</f>
        <v>talisman</v>
      </c>
    </row>
    <row r="14095">
      <c r="A14095" s="1" t="s">
        <v>14095</v>
      </c>
      <c r="B14095" s="2" t="str">
        <f>IFERROR(__xludf.DUMMYFUNCTION("GOOGLETRANSLATE(A14095, ""de"", ""en"")"),"dazzling")</f>
        <v>dazzling</v>
      </c>
    </row>
    <row r="14096">
      <c r="A14096" s="1" t="s">
        <v>14096</v>
      </c>
      <c r="B14096" s="2" t="str">
        <f>IFERROR(__xludf.DUMMYFUNCTION("GOOGLETRANSLATE(A14096, ""de"", ""en"")"),"Mohammed")</f>
        <v>Mohammed</v>
      </c>
    </row>
    <row r="14097">
      <c r="A14097" s="1" t="s">
        <v>14097</v>
      </c>
      <c r="B14097" s="2" t="str">
        <f>IFERROR(__xludf.DUMMYFUNCTION("GOOGLETRANSLATE(A14097, ""de"", ""en"")"),"bi")</f>
        <v>bi</v>
      </c>
    </row>
    <row r="14098">
      <c r="A14098" s="1" t="s">
        <v>14098</v>
      </c>
      <c r="B14098" s="2" t="str">
        <f>IFERROR(__xludf.DUMMYFUNCTION("GOOGLETRANSLATE(A14098, ""de"", ""en"")"),"video games")</f>
        <v>video games</v>
      </c>
    </row>
    <row r="14099">
      <c r="A14099" s="1" t="s">
        <v>14099</v>
      </c>
      <c r="B14099" s="2" t="str">
        <f>IFERROR(__xludf.DUMMYFUNCTION("GOOGLETRANSLATE(A14099, ""de"", ""en"")"),"chico")</f>
        <v>chico</v>
      </c>
    </row>
    <row r="14100">
      <c r="A14100" s="1" t="s">
        <v>14100</v>
      </c>
      <c r="B14100" s="2" t="str">
        <f>IFERROR(__xludf.DUMMYFUNCTION("GOOGLETRANSLATE(A14100, ""de"", ""en"")"),"fire")</f>
        <v>fire</v>
      </c>
    </row>
    <row r="14101">
      <c r="A14101" s="1" t="s">
        <v>14101</v>
      </c>
      <c r="B14101" s="2" t="str">
        <f>IFERROR(__xludf.DUMMYFUNCTION("GOOGLETRANSLATE(A14101, ""de"", ""en"")"),"pay out")</f>
        <v>pay out</v>
      </c>
    </row>
    <row r="14102">
      <c r="A14102" s="1" t="s">
        <v>14102</v>
      </c>
      <c r="B14102" s="2" t="str">
        <f>IFERROR(__xludf.DUMMYFUNCTION("GOOGLETRANSLATE(A14102, ""de"", ""en"")"),"crime")</f>
        <v>crime</v>
      </c>
    </row>
    <row r="14103">
      <c r="A14103" s="1" t="s">
        <v>14103</v>
      </c>
      <c r="B14103" s="2" t="str">
        <f>IFERROR(__xludf.DUMMYFUNCTION("GOOGLETRANSLATE(A14103, ""de"", ""en"")"),"everyone")</f>
        <v>everyone</v>
      </c>
    </row>
    <row r="14104">
      <c r="A14104" s="1" t="s">
        <v>14104</v>
      </c>
      <c r="B14104" s="2" t="str">
        <f>IFERROR(__xludf.DUMMYFUNCTION("GOOGLETRANSLATE(A14104, ""de"", ""en"")"),"test results")</f>
        <v>test results</v>
      </c>
    </row>
    <row r="14105">
      <c r="A14105" s="1" t="s">
        <v>14105</v>
      </c>
      <c r="B14105" s="2" t="str">
        <f>IFERROR(__xludf.DUMMYFUNCTION("GOOGLETRANSLATE(A14105, ""de"", ""en"")"),"most powerful")</f>
        <v>most powerful</v>
      </c>
    </row>
    <row r="14106">
      <c r="A14106" s="1" t="s">
        <v>14106</v>
      </c>
      <c r="B14106" s="2" t="str">
        <f>IFERROR(__xludf.DUMMYFUNCTION("GOOGLETRANSLATE(A14106, ""de"", ""en"")"),"devious")</f>
        <v>devious</v>
      </c>
    </row>
    <row r="14107">
      <c r="A14107" s="1" t="s">
        <v>14107</v>
      </c>
      <c r="B14107" s="2" t="str">
        <f>IFERROR(__xludf.DUMMYFUNCTION("GOOGLETRANSLATE(A14107, ""de"", ""en"")"),"merchant")</f>
        <v>merchant</v>
      </c>
    </row>
    <row r="14108">
      <c r="A14108" s="1" t="s">
        <v>14108</v>
      </c>
      <c r="B14108" s="2" t="str">
        <f>IFERROR(__xludf.DUMMYFUNCTION("GOOGLETRANSLATE(A14108, ""de"", ""en"")"),"impregnated")</f>
        <v>impregnated</v>
      </c>
    </row>
    <row r="14109">
      <c r="A14109" s="1" t="s">
        <v>14109</v>
      </c>
      <c r="B14109" s="2" t="str">
        <f>IFERROR(__xludf.DUMMYFUNCTION("GOOGLETRANSLATE(A14109, ""de"", ""en"")"),"related")</f>
        <v>related</v>
      </c>
    </row>
    <row r="14110">
      <c r="A14110" s="1" t="s">
        <v>14110</v>
      </c>
      <c r="B14110" s="2" t="str">
        <f>IFERROR(__xludf.DUMMYFUNCTION("GOOGLETRANSLATE(A14110, ""de"", ""en"")"),"maddy")</f>
        <v>maddy</v>
      </c>
    </row>
    <row r="14111">
      <c r="A14111" s="1" t="s">
        <v>14111</v>
      </c>
      <c r="B14111" s="2" t="str">
        <f>IFERROR(__xludf.DUMMYFUNCTION("GOOGLETRANSLATE(A14111, ""de"", ""en"")"),"expensive")</f>
        <v>expensive</v>
      </c>
    </row>
    <row r="14112">
      <c r="A14112" s="1" t="s">
        <v>14112</v>
      </c>
      <c r="B14112" s="2" t="str">
        <f>IFERROR(__xludf.DUMMYFUNCTION("GOOGLETRANSLATE(A14112, ""de"", ""en"")"),"treated")</f>
        <v>treated</v>
      </c>
    </row>
    <row r="14113">
      <c r="A14113" s="1" t="s">
        <v>14113</v>
      </c>
      <c r="B14113" s="2" t="str">
        <f>IFERROR(__xludf.DUMMYFUNCTION("GOOGLETRANSLATE(A14113, ""de"", ""en"")"),"ready")</f>
        <v>ready</v>
      </c>
    </row>
    <row r="14114">
      <c r="A14114" s="1" t="s">
        <v>14114</v>
      </c>
      <c r="B14114" s="2" t="str">
        <f>IFERROR(__xludf.DUMMYFUNCTION("GOOGLETRANSLATE(A14114, ""de"", ""en"")"),"france")</f>
        <v>france</v>
      </c>
    </row>
    <row r="14115">
      <c r="A14115" s="1" t="s">
        <v>14115</v>
      </c>
      <c r="B14115" s="2" t="str">
        <f>IFERROR(__xludf.DUMMYFUNCTION("GOOGLETRANSLATE(A14115, ""de"", ""en"")"),"need")</f>
        <v>need</v>
      </c>
    </row>
    <row r="14116">
      <c r="A14116" s="1" t="s">
        <v>14116</v>
      </c>
      <c r="B14116" s="2" t="str">
        <f>IFERROR(__xludf.DUMMYFUNCTION("GOOGLETRANSLATE(A14116, ""de"", ""en"")"),"yuan")</f>
        <v>yuan</v>
      </c>
    </row>
    <row r="14117">
      <c r="A14117" s="1" t="s">
        <v>14117</v>
      </c>
      <c r="B14117" s="2" t="str">
        <f>IFERROR(__xludf.DUMMYFUNCTION("GOOGLETRANSLATE(A14117, ""de"", ""en"")"),"kung fu")</f>
        <v>kung fu</v>
      </c>
    </row>
    <row r="14118">
      <c r="A14118" s="1" t="s">
        <v>14118</v>
      </c>
      <c r="B14118" s="2" t="str">
        <f>IFERROR(__xludf.DUMMYFUNCTION("GOOGLETRANSLATE(A14118, ""de"", ""en"")"),"indulgence")</f>
        <v>indulgence</v>
      </c>
    </row>
    <row r="14119">
      <c r="A14119" s="1" t="s">
        <v>14119</v>
      </c>
      <c r="B14119" s="2" t="str">
        <f>IFERROR(__xludf.DUMMYFUNCTION("GOOGLETRANSLATE(A14119, ""de"", ""en"")"),"juanita")</f>
        <v>juanita</v>
      </c>
    </row>
    <row r="14120">
      <c r="A14120" s="1" t="s">
        <v>14120</v>
      </c>
      <c r="B14120" s="2" t="str">
        <f>IFERROR(__xludf.DUMMYFUNCTION("GOOGLETRANSLATE(A14120, ""de"", ""en"")"),"dag")</f>
        <v>dag</v>
      </c>
    </row>
    <row r="14121">
      <c r="A14121" s="1" t="s">
        <v>14121</v>
      </c>
      <c r="B14121" s="2" t="str">
        <f>IFERROR(__xludf.DUMMYFUNCTION("GOOGLETRANSLATE(A14121, ""de"", ""en"")"),"was pleased")</f>
        <v>was pleased</v>
      </c>
    </row>
    <row r="14122">
      <c r="A14122" s="1" t="s">
        <v>14122</v>
      </c>
      <c r="B14122" s="2" t="str">
        <f>IFERROR(__xludf.DUMMYFUNCTION("GOOGLETRANSLATE(A14122, ""de"", ""en"")"),"buckle")</f>
        <v>buckle</v>
      </c>
    </row>
    <row r="14123">
      <c r="A14123" s="1" t="s">
        <v>14123</v>
      </c>
      <c r="B14123" s="2" t="str">
        <f>IFERROR(__xludf.DUMMYFUNCTION("GOOGLETRANSLATE(A14123, ""de"", ""en"")"),"available")</f>
        <v>available</v>
      </c>
    </row>
    <row r="14124">
      <c r="A14124" s="1" t="s">
        <v>14124</v>
      </c>
      <c r="B14124" s="2" t="str">
        <f>IFERROR(__xludf.DUMMYFUNCTION("GOOGLETRANSLATE(A14124, ""de"", ""en"")"),"rumble of thunder")</f>
        <v>rumble of thunder</v>
      </c>
    </row>
    <row r="14125">
      <c r="A14125" s="1" t="s">
        <v>14125</v>
      </c>
      <c r="B14125" s="2" t="str">
        <f>IFERROR(__xludf.DUMMYFUNCTION("GOOGLETRANSLATE(A14125, ""de"", ""en"")"),"physical")</f>
        <v>physical</v>
      </c>
    </row>
    <row r="14126">
      <c r="A14126" s="1" t="s">
        <v>14126</v>
      </c>
      <c r="B14126" s="2" t="str">
        <f>IFERROR(__xludf.DUMMYFUNCTION("GOOGLETRANSLATE(A14126, ""de"", ""en"")"),"planned")</f>
        <v>planned</v>
      </c>
    </row>
    <row r="14127">
      <c r="A14127" s="1" t="s">
        <v>14127</v>
      </c>
      <c r="B14127" s="2" t="str">
        <f>IFERROR(__xludf.DUMMYFUNCTION("GOOGLETRANSLATE(A14127, ""de"", ""en"")"),"take into account")</f>
        <v>take into account</v>
      </c>
    </row>
    <row r="14128">
      <c r="A14128" s="1" t="s">
        <v>14128</v>
      </c>
      <c r="B14128" s="2" t="str">
        <f>IFERROR(__xludf.DUMMYFUNCTION("GOOGLETRANSLATE(A14128, ""de"", ""en"")"),"nasty")</f>
        <v>nasty</v>
      </c>
    </row>
    <row r="14129">
      <c r="A14129" s="1" t="s">
        <v>14129</v>
      </c>
      <c r="B14129" s="2" t="str">
        <f>IFERROR(__xludf.DUMMYFUNCTION("GOOGLETRANSLATE(A14129, ""de"", ""en"")"),"right")</f>
        <v>right</v>
      </c>
    </row>
    <row r="14130">
      <c r="A14130" s="1" t="s">
        <v>14130</v>
      </c>
      <c r="B14130" s="2" t="str">
        <f>IFERROR(__xludf.DUMMYFUNCTION("GOOGLETRANSLATE(A14130, ""de"", ""en"")"),"annoyed")</f>
        <v>annoyed</v>
      </c>
    </row>
    <row r="14131">
      <c r="A14131" s="1" t="s">
        <v>14131</v>
      </c>
      <c r="B14131" s="2" t="str">
        <f>IFERROR(__xludf.DUMMYFUNCTION("GOOGLETRANSLATE(A14131, ""de"", ""en"")"),"lotto")</f>
        <v>lotto</v>
      </c>
    </row>
    <row r="14132">
      <c r="A14132" s="1" t="s">
        <v>14132</v>
      </c>
      <c r="B14132" s="2" t="str">
        <f>IFERROR(__xludf.DUMMYFUNCTION("GOOGLETRANSLATE(A14132, ""de"", ""en"")"),"relaxation")</f>
        <v>relaxation</v>
      </c>
    </row>
    <row r="14133">
      <c r="A14133" s="1" t="s">
        <v>14133</v>
      </c>
      <c r="B14133" s="2" t="str">
        <f>IFERROR(__xludf.DUMMYFUNCTION("GOOGLETRANSLATE(A14133, ""de"", ""en"")"),"aidan")</f>
        <v>aidan</v>
      </c>
    </row>
    <row r="14134">
      <c r="A14134" s="1" t="s">
        <v>14134</v>
      </c>
      <c r="B14134" s="2" t="str">
        <f>IFERROR(__xludf.DUMMYFUNCTION("GOOGLETRANSLATE(A14134, ""de"", ""en"")"),"skeleton")</f>
        <v>skeleton</v>
      </c>
    </row>
    <row r="14135">
      <c r="A14135" s="1" t="s">
        <v>14135</v>
      </c>
      <c r="B14135" s="2" t="str">
        <f>IFERROR(__xludf.DUMMYFUNCTION("GOOGLETRANSLATE(A14135, ""de"", ""en"")"),"rivers")</f>
        <v>rivers</v>
      </c>
    </row>
    <row r="14136">
      <c r="A14136" s="1" t="s">
        <v>14136</v>
      </c>
      <c r="B14136" s="2" t="str">
        <f>IFERROR(__xludf.DUMMYFUNCTION("GOOGLETRANSLATE(A14136, ""de"", ""en"")"),"anonymous")</f>
        <v>anonymous</v>
      </c>
    </row>
    <row r="14137">
      <c r="A14137" s="1" t="s">
        <v>14137</v>
      </c>
      <c r="B14137" s="2" t="str">
        <f>IFERROR(__xludf.DUMMYFUNCTION("GOOGLETRANSLATE(A14137, ""de"", ""en"")"),"financing")</f>
        <v>financing</v>
      </c>
    </row>
    <row r="14138">
      <c r="A14138" s="1" t="s">
        <v>14138</v>
      </c>
      <c r="B14138" s="2" t="str">
        <f>IFERROR(__xludf.DUMMYFUNCTION("GOOGLETRANSLATE(A14138, ""de"", ""en"")"),"signs")</f>
        <v>signs</v>
      </c>
    </row>
    <row r="14139">
      <c r="A14139" s="1" t="s">
        <v>14139</v>
      </c>
      <c r="B14139" s="2" t="str">
        <f>IFERROR(__xludf.DUMMYFUNCTION("GOOGLETRANSLATE(A14139, ""de"", ""en"")"),"scaredy-cat")</f>
        <v>scaredy-cat</v>
      </c>
    </row>
    <row r="14140">
      <c r="A14140" s="1" t="s">
        <v>14140</v>
      </c>
      <c r="B14140" s="2" t="str">
        <f>IFERROR(__xludf.DUMMYFUNCTION("GOOGLETRANSLATE(A14140, ""de"", ""en"")"),"tablet")</f>
        <v>tablet</v>
      </c>
    </row>
    <row r="14141">
      <c r="A14141" s="1" t="s">
        <v>14141</v>
      </c>
      <c r="B14141" s="2" t="str">
        <f>IFERROR(__xludf.DUMMYFUNCTION("GOOGLETRANSLATE(A14141, ""de"", ""en"")"),"authorized")</f>
        <v>authorized</v>
      </c>
    </row>
    <row r="14142">
      <c r="A14142" s="1" t="s">
        <v>14142</v>
      </c>
      <c r="B14142" s="2" t="str">
        <f>IFERROR(__xludf.DUMMYFUNCTION("GOOGLETRANSLATE(A14142, ""de"", ""en"")"),"onm")</f>
        <v>onm</v>
      </c>
    </row>
    <row r="14143">
      <c r="A14143" s="1" t="s">
        <v>14143</v>
      </c>
      <c r="B14143" s="2" t="str">
        <f>IFERROR(__xludf.DUMMYFUNCTION("GOOGLETRANSLATE(A14143, ""de"", ""en"")"),"Messiah")</f>
        <v>Messiah</v>
      </c>
    </row>
    <row r="14144">
      <c r="A14144" s="1" t="s">
        <v>14144</v>
      </c>
      <c r="B14144" s="2" t="str">
        <f>IFERROR(__xludf.DUMMYFUNCTION("GOOGLETRANSLATE(A14144, ""de"", ""en"")"),"killing")</f>
        <v>killing</v>
      </c>
    </row>
    <row r="14145">
      <c r="A14145" s="1" t="s">
        <v>14145</v>
      </c>
      <c r="B14145" s="2" t="str">
        <f>IFERROR(__xludf.DUMMYFUNCTION("GOOGLETRANSLATE(A14145, ""de"", ""en"")"),"cut through")</f>
        <v>cut through</v>
      </c>
    </row>
    <row r="14146">
      <c r="A14146" s="1" t="s">
        <v>14146</v>
      </c>
      <c r="B14146" s="2" t="str">
        <f>IFERROR(__xludf.DUMMYFUNCTION("GOOGLETRANSLATE(A14146, ""de"", ""en"")"),"dreamer")</f>
        <v>dreamer</v>
      </c>
    </row>
    <row r="14147">
      <c r="A14147" s="1" t="s">
        <v>14147</v>
      </c>
      <c r="B14147" s="2" t="str">
        <f>IFERROR(__xludf.DUMMYFUNCTION("GOOGLETRANSLATE(A14147, ""de"", ""en"")"),"gutter")</f>
        <v>gutter</v>
      </c>
    </row>
    <row r="14148">
      <c r="A14148" s="1" t="s">
        <v>14148</v>
      </c>
      <c r="B14148" s="2" t="str">
        <f>IFERROR(__xludf.DUMMYFUNCTION("GOOGLETRANSLATE(A14148, ""de"", ""en"")"),"Greer")</f>
        <v>Greer</v>
      </c>
    </row>
    <row r="14149">
      <c r="A14149" s="1" t="s">
        <v>14149</v>
      </c>
      <c r="B14149" s="2" t="str">
        <f>IFERROR(__xludf.DUMMYFUNCTION("GOOGLETRANSLATE(A14149, ""de"", ""en"")"),"rain")</f>
        <v>rain</v>
      </c>
    </row>
    <row r="14150">
      <c r="A14150" s="1" t="s">
        <v>14150</v>
      </c>
      <c r="B14150" s="2" t="str">
        <f>IFERROR(__xludf.DUMMYFUNCTION("GOOGLETRANSLATE(A14150, ""de"", ""en"")"),"Artagnan")</f>
        <v>Artagnan</v>
      </c>
    </row>
    <row r="14151">
      <c r="A14151" s="1" t="s">
        <v>14151</v>
      </c>
      <c r="B14151" s="2" t="str">
        <f>IFERROR(__xludf.DUMMYFUNCTION("GOOGLETRANSLATE(A14151, ""de"", ""en"")"),"Colleen")</f>
        <v>Colleen</v>
      </c>
    </row>
    <row r="14152">
      <c r="A14152" s="1" t="s">
        <v>14152</v>
      </c>
      <c r="B14152" s="2" t="str">
        <f>IFERROR(__xludf.DUMMYFUNCTION("GOOGLETRANSLATE(A14152, ""de"", ""en"")"),"sensation")</f>
        <v>sensation</v>
      </c>
    </row>
    <row r="14153">
      <c r="A14153" s="1" t="s">
        <v>14153</v>
      </c>
      <c r="B14153" s="2" t="str">
        <f>IFERROR(__xludf.DUMMYFUNCTION("GOOGLETRANSLATE(A14153, ""de"", ""en"")"),"give away")</f>
        <v>give away</v>
      </c>
    </row>
    <row r="14154">
      <c r="A14154" s="1" t="s">
        <v>14154</v>
      </c>
      <c r="B14154" s="2" t="str">
        <f>IFERROR(__xludf.DUMMYFUNCTION("GOOGLETRANSLATE(A14154, ""de"", ""en"")"),"liberty")</f>
        <v>liberty</v>
      </c>
    </row>
    <row r="14155">
      <c r="A14155" s="1" t="s">
        <v>14155</v>
      </c>
      <c r="B14155" s="2" t="str">
        <f>IFERROR(__xludf.DUMMYFUNCTION("GOOGLETRANSLATE(A14155, ""de"", ""en"")"),"dig up")</f>
        <v>dig up</v>
      </c>
    </row>
    <row r="14156">
      <c r="A14156" s="1" t="s">
        <v>14156</v>
      </c>
      <c r="B14156" s="2" t="str">
        <f>IFERROR(__xludf.DUMMYFUNCTION("GOOGLETRANSLATE(A14156, ""de"", ""en"")"),"Nobel")</f>
        <v>Nobel</v>
      </c>
    </row>
    <row r="14157">
      <c r="A14157" s="1" t="s">
        <v>14157</v>
      </c>
      <c r="B14157" s="2" t="str">
        <f>IFERROR(__xludf.DUMMYFUNCTION("GOOGLETRANSLATE(A14157, ""de"", ""en"")"),"identities")</f>
        <v>identities</v>
      </c>
    </row>
    <row r="14158">
      <c r="A14158" s="1" t="s">
        <v>14158</v>
      </c>
      <c r="B14158" s="2" t="str">
        <f>IFERROR(__xludf.DUMMYFUNCTION("GOOGLETRANSLATE(A14158, ""de"", ""en"")"),"credibility")</f>
        <v>credibility</v>
      </c>
    </row>
    <row r="14159">
      <c r="A14159" s="1" t="s">
        <v>14159</v>
      </c>
      <c r="B14159" s="2" t="str">
        <f>IFERROR(__xludf.DUMMYFUNCTION("GOOGLETRANSLATE(A14159, ""de"", ""en"")"),"grows up")</f>
        <v>grows up</v>
      </c>
    </row>
    <row r="14160">
      <c r="A14160" s="1" t="s">
        <v>14160</v>
      </c>
      <c r="B14160" s="2" t="str">
        <f>IFERROR(__xludf.DUMMYFUNCTION("GOOGLETRANSLATE(A14160, ""de"", ""en"")"),"survive")</f>
        <v>survive</v>
      </c>
    </row>
    <row r="14161">
      <c r="A14161" s="1" t="s">
        <v>14161</v>
      </c>
      <c r="B14161" s="2" t="str">
        <f>IFERROR(__xludf.DUMMYFUNCTION("GOOGLETRANSLATE(A14161, ""de"", ""en"")"),"form")</f>
        <v>form</v>
      </c>
    </row>
    <row r="14162">
      <c r="A14162" s="1" t="s">
        <v>14162</v>
      </c>
      <c r="B14162" s="2" t="str">
        <f>IFERROR(__xludf.DUMMYFUNCTION("GOOGLETRANSLATE(A14162, ""de"", ""en"")"),"shoot")</f>
        <v>shoot</v>
      </c>
    </row>
    <row r="14163">
      <c r="A14163" s="1" t="s">
        <v>14163</v>
      </c>
      <c r="B14163" s="2" t="str">
        <f>IFERROR(__xludf.DUMMYFUNCTION("GOOGLETRANSLATE(A14163, ""de"", ""en"")"),"hillary")</f>
        <v>hillary</v>
      </c>
    </row>
    <row r="14164">
      <c r="A14164" s="1" t="s">
        <v>14164</v>
      </c>
      <c r="B14164" s="2" t="str">
        <f>IFERROR(__xludf.DUMMYFUNCTION("GOOGLETRANSLATE(A14164, ""de"", ""en"")"),"global")</f>
        <v>global</v>
      </c>
    </row>
    <row r="14165">
      <c r="A14165" s="1" t="s">
        <v>14165</v>
      </c>
      <c r="B14165" s="2" t="str">
        <f>IFERROR(__xludf.DUMMYFUNCTION("GOOGLETRANSLATE(A14165, ""de"", ""en"")"),"increase")</f>
        <v>increase</v>
      </c>
    </row>
    <row r="14166">
      <c r="A14166" s="1" t="s">
        <v>14166</v>
      </c>
      <c r="B14166" s="2" t="str">
        <f>IFERROR(__xludf.DUMMYFUNCTION("GOOGLETRANSLATE(A14166, ""de"", ""en"")"),"foreplay")</f>
        <v>foreplay</v>
      </c>
    </row>
    <row r="14167">
      <c r="A14167" s="1" t="s">
        <v>14167</v>
      </c>
      <c r="B14167" s="2" t="str">
        <f>IFERROR(__xludf.DUMMYFUNCTION("GOOGLETRANSLATE(A14167, ""de"", ""en"")"),"shy")</f>
        <v>shy</v>
      </c>
    </row>
    <row r="14168">
      <c r="A14168" s="1" t="s">
        <v>14168</v>
      </c>
      <c r="B14168" s="2" t="str">
        <f>IFERROR(__xludf.DUMMYFUNCTION("GOOGLETRANSLATE(A14168, ""de"", ""en"")"),"ps")</f>
        <v>ps</v>
      </c>
    </row>
    <row r="14169">
      <c r="A14169" s="1" t="s">
        <v>14169</v>
      </c>
      <c r="B14169" s="2" t="str">
        <f>IFERROR(__xludf.DUMMYFUNCTION("GOOGLETRANSLATE(A14169, ""de"", ""en"")"),"bestowed")</f>
        <v>bestowed</v>
      </c>
    </row>
    <row r="14170">
      <c r="A14170" s="1" t="s">
        <v>14170</v>
      </c>
      <c r="B14170" s="2" t="str">
        <f>IFERROR(__xludf.DUMMYFUNCTION("GOOGLETRANSLATE(A14170, ""de"", ""en"")"),"Randolph")</f>
        <v>Randolph</v>
      </c>
    </row>
    <row r="14171">
      <c r="A14171" s="1" t="s">
        <v>14171</v>
      </c>
      <c r="B14171" s="2" t="str">
        <f>IFERROR(__xludf.DUMMYFUNCTION("GOOGLETRANSLATE(A14171, ""de"", ""en"")"),"imagine")</f>
        <v>imagine</v>
      </c>
    </row>
    <row r="14172">
      <c r="A14172" s="1" t="s">
        <v>14172</v>
      </c>
      <c r="B14172" s="2" t="str">
        <f>IFERROR(__xludf.DUMMYFUNCTION("GOOGLETRANSLATE(A14172, ""de"", ""en"")"),"renovated")</f>
        <v>renovated</v>
      </c>
    </row>
    <row r="14173">
      <c r="A14173" s="1" t="s">
        <v>14173</v>
      </c>
      <c r="B14173" s="2" t="str">
        <f>IFERROR(__xludf.DUMMYFUNCTION("GOOGLETRANSLATE(A14173, ""de"", ""en"")"),"acquitted")</f>
        <v>acquitted</v>
      </c>
    </row>
    <row r="14174">
      <c r="A14174" s="1" t="s">
        <v>14174</v>
      </c>
      <c r="B14174" s="2" t="str">
        <f>IFERROR(__xludf.DUMMYFUNCTION("GOOGLETRANSLATE(A14174, ""de"", ""en"")"),"fists")</f>
        <v>fists</v>
      </c>
    </row>
    <row r="14175">
      <c r="A14175" s="1" t="s">
        <v>14175</v>
      </c>
      <c r="B14175" s="2" t="str">
        <f>IFERROR(__xludf.DUMMYFUNCTION("GOOGLETRANSLATE(A14175, ""de"", ""en"")"),"honors")</f>
        <v>honors</v>
      </c>
    </row>
    <row r="14176">
      <c r="A14176" s="1" t="s">
        <v>14176</v>
      </c>
      <c r="B14176" s="2" t="str">
        <f>IFERROR(__xludf.DUMMYFUNCTION("GOOGLETRANSLATE(A14176, ""de"", ""en"")"),"quote")</f>
        <v>quote</v>
      </c>
    </row>
    <row r="14177">
      <c r="A14177" s="1" t="s">
        <v>14177</v>
      </c>
      <c r="B14177" s="2" t="str">
        <f>IFERROR(__xludf.DUMMYFUNCTION("GOOGLETRANSLATE(A14177, ""de"", ""en"")"),"editorial")</f>
        <v>editorial</v>
      </c>
    </row>
    <row r="14178">
      <c r="A14178" s="1" t="s">
        <v>14178</v>
      </c>
      <c r="B14178" s="2" t="str">
        <f>IFERROR(__xludf.DUMMYFUNCTION("GOOGLETRANSLATE(A14178, ""de"", ""en"")"),"santos")</f>
        <v>santos</v>
      </c>
    </row>
    <row r="14179">
      <c r="A14179" s="1" t="s">
        <v>14179</v>
      </c>
      <c r="B14179" s="2" t="str">
        <f>IFERROR(__xludf.DUMMYFUNCTION("GOOGLETRANSLATE(A14179, ""de"", ""en"")"),"emperor")</f>
        <v>emperor</v>
      </c>
    </row>
    <row r="14180">
      <c r="A14180" s="1" t="s">
        <v>14180</v>
      </c>
      <c r="B14180" s="2" t="str">
        <f>IFERROR(__xludf.DUMMYFUNCTION("GOOGLETRANSLATE(A14180, ""de"", ""en"")"),"demo")</f>
        <v>demo</v>
      </c>
    </row>
    <row r="14181">
      <c r="A14181" s="1" t="s">
        <v>14181</v>
      </c>
      <c r="B14181" s="2" t="str">
        <f>IFERROR(__xludf.DUMMYFUNCTION("GOOGLETRANSLATE(A14181, ""de"", ""en"")"),"complete")</f>
        <v>complete</v>
      </c>
    </row>
    <row r="14182">
      <c r="A14182" s="1" t="s">
        <v>14182</v>
      </c>
      <c r="B14182" s="2" t="str">
        <f>IFERROR(__xludf.DUMMYFUNCTION("GOOGLETRANSLATE(A14182, ""de"", ""en"")"),"insight")</f>
        <v>insight</v>
      </c>
    </row>
    <row r="14183">
      <c r="A14183" s="1" t="s">
        <v>14183</v>
      </c>
      <c r="B14183" s="2" t="str">
        <f>IFERROR(__xludf.DUMMYFUNCTION("GOOGLETRANSLATE(A14183, ""de"", ""en"")"),"bank account")</f>
        <v>bank account</v>
      </c>
    </row>
    <row r="14184">
      <c r="A14184" s="1" t="s">
        <v>14184</v>
      </c>
      <c r="B14184" s="2" t="str">
        <f>IFERROR(__xludf.DUMMYFUNCTION("GOOGLETRANSLATE(A14184, ""de"", ""en"")"),"dirty")</f>
        <v>dirty</v>
      </c>
    </row>
    <row r="14185">
      <c r="A14185" s="1" t="s">
        <v>14185</v>
      </c>
      <c r="B14185" s="2" t="str">
        <f>IFERROR(__xludf.DUMMYFUNCTION("GOOGLETRANSLATE(A14185, ""de"", ""en"")"),"sent")</f>
        <v>sent</v>
      </c>
    </row>
    <row r="14186">
      <c r="A14186" s="1" t="s">
        <v>14186</v>
      </c>
      <c r="B14186" s="2" t="str">
        <f>IFERROR(__xludf.DUMMYFUNCTION("GOOGLETRANSLATE(A14186, ""de"", ""en"")"),"to wake up")</f>
        <v>to wake up</v>
      </c>
    </row>
    <row r="14187">
      <c r="A14187" s="1" t="s">
        <v>14187</v>
      </c>
      <c r="B14187" s="2" t="str">
        <f>IFERROR(__xludf.DUMMYFUNCTION("GOOGLETRANSLATE(A14187, ""de"", ""en"")"),"purgatory")</f>
        <v>purgatory</v>
      </c>
    </row>
    <row r="14188">
      <c r="A14188" s="1" t="s">
        <v>14188</v>
      </c>
      <c r="B14188" s="2" t="str">
        <f>IFERROR(__xludf.DUMMYFUNCTION("GOOGLETRANSLATE(A14188, ""de"", ""en"")"),"fight")</f>
        <v>fight</v>
      </c>
    </row>
    <row r="14189">
      <c r="A14189" s="1" t="s">
        <v>14189</v>
      </c>
      <c r="B14189" s="2" t="str">
        <f>IFERROR(__xludf.DUMMYFUNCTION("GOOGLETRANSLATE(A14189, ""de"", ""en"")"),"consent")</f>
        <v>consent</v>
      </c>
    </row>
    <row r="14190">
      <c r="A14190" s="1" t="s">
        <v>14190</v>
      </c>
      <c r="B14190" s="2" t="str">
        <f>IFERROR(__xludf.DUMMYFUNCTION("GOOGLETRANSLATE(A14190, ""de"", ""en"")"),"his")</f>
        <v>his</v>
      </c>
    </row>
    <row r="14191">
      <c r="A14191" s="1" t="s">
        <v>14191</v>
      </c>
      <c r="B14191" s="2" t="str">
        <f>IFERROR(__xludf.DUMMYFUNCTION("GOOGLETRANSLATE(A14191, ""de"", ""en"")"),"personalities")</f>
        <v>personalities</v>
      </c>
    </row>
    <row r="14192">
      <c r="A14192" s="1" t="s">
        <v>14192</v>
      </c>
      <c r="B14192" s="2" t="str">
        <f>IFERROR(__xludf.DUMMYFUNCTION("GOOGLETRANSLATE(A14192, ""de"", ""en"")"),"horace")</f>
        <v>horace</v>
      </c>
    </row>
    <row r="14193">
      <c r="A14193" s="1" t="s">
        <v>14193</v>
      </c>
      <c r="B14193" s="2" t="str">
        <f>IFERROR(__xludf.DUMMYFUNCTION("GOOGLETRANSLATE(A14193, ""de"", ""en"")"),"wolfgang")</f>
        <v>wolfgang</v>
      </c>
    </row>
    <row r="14194">
      <c r="A14194" s="1" t="s">
        <v>14194</v>
      </c>
      <c r="B14194" s="2" t="str">
        <f>IFERROR(__xludf.DUMMYFUNCTION("GOOGLETRANSLATE(A14194, ""de"", ""en"")"),"wonder")</f>
        <v>wonder</v>
      </c>
    </row>
    <row r="14195">
      <c r="A14195" s="1" t="s">
        <v>14195</v>
      </c>
      <c r="B14195" s="2" t="str">
        <f>IFERROR(__xludf.DUMMYFUNCTION("GOOGLETRANSLATE(A14195, ""de"", ""en"")"),"Jewish")</f>
        <v>Jewish</v>
      </c>
    </row>
    <row r="14196">
      <c r="A14196" s="1" t="s">
        <v>14196</v>
      </c>
      <c r="B14196" s="2" t="str">
        <f>IFERROR(__xludf.DUMMYFUNCTION("GOOGLETRANSLATE(A14196, ""de"", ""en"")"),"multiply")</f>
        <v>multiply</v>
      </c>
    </row>
    <row r="14197">
      <c r="A14197" s="1" t="s">
        <v>14197</v>
      </c>
      <c r="B14197" s="2" t="str">
        <f>IFERROR(__xludf.DUMMYFUNCTION("GOOGLETRANSLATE(A14197, ""de"", ""en"")"),"tractor")</f>
        <v>tractor</v>
      </c>
    </row>
    <row r="14198">
      <c r="A14198" s="1" t="s">
        <v>14198</v>
      </c>
      <c r="B14198" s="2" t="str">
        <f>IFERROR(__xludf.DUMMYFUNCTION("GOOGLETRANSLATE(A14198, ""de"", ""en"")"),"Muriel")</f>
        <v>Muriel</v>
      </c>
    </row>
    <row r="14199">
      <c r="A14199" s="1" t="s">
        <v>14199</v>
      </c>
      <c r="B14199" s="2" t="str">
        <f>IFERROR(__xludf.DUMMYFUNCTION("GOOGLETRANSLATE(A14199, ""de"", ""en"")"),"Pepe")</f>
        <v>Pepe</v>
      </c>
    </row>
    <row r="14200">
      <c r="A14200" s="1" t="s">
        <v>14200</v>
      </c>
      <c r="B14200" s="2" t="str">
        <f>IFERROR(__xludf.DUMMYFUNCTION("GOOGLETRANSLATE(A14200, ""de"", ""en"")"),"reconcile")</f>
        <v>reconcile</v>
      </c>
    </row>
    <row r="14201">
      <c r="A14201" s="1" t="s">
        <v>14201</v>
      </c>
      <c r="B14201" s="2" t="str">
        <f>IFERROR(__xludf.DUMMYFUNCTION("GOOGLETRANSLATE(A14201, ""de"", ""en"")"),"admirable")</f>
        <v>admirable</v>
      </c>
    </row>
    <row r="14202">
      <c r="A14202" s="1" t="s">
        <v>14202</v>
      </c>
      <c r="B14202" s="2" t="str">
        <f>IFERROR(__xludf.DUMMYFUNCTION("GOOGLETRANSLATE(A14202, ""de"", ""en"")"),"French")</f>
        <v>French</v>
      </c>
    </row>
    <row r="14203">
      <c r="A14203" s="1" t="s">
        <v>14203</v>
      </c>
      <c r="B14203" s="2" t="str">
        <f>IFERROR(__xludf.DUMMYFUNCTION("GOOGLETRANSLATE(A14203, ""de"", ""en"")"),"Nicholas")</f>
        <v>Nicholas</v>
      </c>
    </row>
    <row r="14204">
      <c r="A14204" s="1" t="s">
        <v>14204</v>
      </c>
      <c r="B14204" s="2" t="str">
        <f>IFERROR(__xludf.DUMMYFUNCTION("GOOGLETRANSLATE(A14204, ""de"", ""en"")"),"penetrate")</f>
        <v>penetrate</v>
      </c>
    </row>
    <row r="14205">
      <c r="A14205" s="1" t="s">
        <v>14205</v>
      </c>
      <c r="B14205" s="2" t="str">
        <f>IFERROR(__xludf.DUMMYFUNCTION("GOOGLETRANSLATE(A14205, ""de"", ""en"")"),"dusty")</f>
        <v>dusty</v>
      </c>
    </row>
    <row r="14206">
      <c r="A14206" s="1" t="s">
        <v>14206</v>
      </c>
      <c r="B14206" s="2" t="str">
        <f>IFERROR(__xludf.DUMMYFUNCTION("GOOGLETRANSLATE(A14206, ""de"", ""en"")"),"evaluate")</f>
        <v>evaluate</v>
      </c>
    </row>
    <row r="14207">
      <c r="A14207" s="1" t="s">
        <v>14207</v>
      </c>
      <c r="B14207" s="2" t="str">
        <f>IFERROR(__xludf.DUMMYFUNCTION("GOOGLETRANSLATE(A14207, ""de"", ""en"")"),"conceded")</f>
        <v>conceded</v>
      </c>
    </row>
    <row r="14208">
      <c r="A14208" s="1" t="s">
        <v>14208</v>
      </c>
      <c r="B14208" s="2" t="str">
        <f>IFERROR(__xludf.DUMMYFUNCTION("GOOGLETRANSLATE(A14208, ""de"", ""en"")"),"formation")</f>
        <v>formation</v>
      </c>
    </row>
    <row r="14209">
      <c r="A14209" s="1" t="s">
        <v>14209</v>
      </c>
      <c r="B14209" s="2" t="str">
        <f>IFERROR(__xludf.DUMMYFUNCTION("GOOGLETRANSLATE(A14209, ""de"", ""en"")"),"gomez")</f>
        <v>gomez</v>
      </c>
    </row>
    <row r="14210">
      <c r="A14210" s="1" t="s">
        <v>14210</v>
      </c>
      <c r="B14210" s="2" t="str">
        <f>IFERROR(__xludf.DUMMYFUNCTION("GOOGLETRANSLATE(A14210, ""de"", ""en"")"),"struck")</f>
        <v>struck</v>
      </c>
    </row>
    <row r="14211">
      <c r="A14211" s="1" t="s">
        <v>14211</v>
      </c>
      <c r="B14211" s="2" t="str">
        <f>IFERROR(__xludf.DUMMYFUNCTION("GOOGLETRANSLATE(A14211, ""de"", ""en"")"),"nucky")</f>
        <v>nucky</v>
      </c>
    </row>
    <row r="14212">
      <c r="A14212" s="1" t="s">
        <v>14212</v>
      </c>
      <c r="B14212" s="2" t="str">
        <f>IFERROR(__xludf.DUMMYFUNCTION("GOOGLETRANSLATE(A14212, ""de"", ""en"")"),"visibility")</f>
        <v>visibility</v>
      </c>
    </row>
    <row r="14213">
      <c r="A14213" s="1" t="s">
        <v>14213</v>
      </c>
      <c r="B14213" s="2" t="str">
        <f>IFERROR(__xludf.DUMMYFUNCTION("GOOGLETRANSLATE(A14213, ""de"", ""en"")"),"manipulation")</f>
        <v>manipulation</v>
      </c>
    </row>
    <row r="14214">
      <c r="A14214" s="1" t="s">
        <v>14214</v>
      </c>
      <c r="B14214" s="2" t="str">
        <f>IFERROR(__xludf.DUMMYFUNCTION("GOOGLETRANSLATE(A14214, ""de"", ""en"")"),"stared")</f>
        <v>stared</v>
      </c>
    </row>
    <row r="14215">
      <c r="A14215" s="1" t="s">
        <v>14215</v>
      </c>
      <c r="B14215" s="2" t="str">
        <f>IFERROR(__xludf.DUMMYFUNCTION("GOOGLETRANSLATE(A14215, ""de"", ""en"")"),"meetings")</f>
        <v>meetings</v>
      </c>
    </row>
    <row r="14216">
      <c r="A14216" s="1" t="s">
        <v>14216</v>
      </c>
      <c r="B14216" s="2" t="str">
        <f>IFERROR(__xludf.DUMMYFUNCTION("GOOGLETRANSLATE(A14216, ""de"", ""en"")"),"ch34faf9")</f>
        <v>ch34faf9</v>
      </c>
    </row>
    <row r="14217">
      <c r="A14217" s="1" t="s">
        <v>14217</v>
      </c>
      <c r="B14217" s="2" t="str">
        <f>IFERROR(__xludf.DUMMYFUNCTION("GOOGLETRANSLATE(A14217, ""de"", ""en"")"),"shows")</f>
        <v>shows</v>
      </c>
    </row>
    <row r="14218">
      <c r="A14218" s="1" t="s">
        <v>14218</v>
      </c>
      <c r="B14218" s="2" t="str">
        <f>IFERROR(__xludf.DUMMYFUNCTION("GOOGLETRANSLATE(A14218, ""de"", ""en"")"),"united")</f>
        <v>united</v>
      </c>
    </row>
    <row r="14219">
      <c r="A14219" s="1" t="s">
        <v>14219</v>
      </c>
      <c r="B14219" s="2" t="str">
        <f>IFERROR(__xludf.DUMMYFUNCTION("GOOGLETRANSLATE(A14219, ""de"", ""en"")"),"spoilsport")</f>
        <v>spoilsport</v>
      </c>
    </row>
    <row r="14220">
      <c r="A14220" s="1" t="s">
        <v>14220</v>
      </c>
      <c r="B14220" s="2" t="str">
        <f>IFERROR(__xludf.DUMMYFUNCTION("GOOGLETRANSLATE(A14220, ""de"", ""en"")"),"wake up")</f>
        <v>wake up</v>
      </c>
    </row>
    <row r="14221">
      <c r="A14221" s="1" t="s">
        <v>14221</v>
      </c>
      <c r="B14221" s="2" t="str">
        <f>IFERROR(__xludf.DUMMYFUNCTION("GOOGLETRANSLATE(A14221, ""de"", ""en"")"),"thick")</f>
        <v>thick</v>
      </c>
    </row>
    <row r="14222">
      <c r="A14222" s="1" t="s">
        <v>14222</v>
      </c>
      <c r="B14222" s="2" t="str">
        <f>IFERROR(__xludf.DUMMYFUNCTION("GOOGLETRANSLATE(A14222, ""de"", ""en"")"),"spell")</f>
        <v>spell</v>
      </c>
    </row>
    <row r="14223">
      <c r="A14223" s="1" t="s">
        <v>14223</v>
      </c>
      <c r="B14223" s="2" t="str">
        <f>IFERROR(__xludf.DUMMYFUNCTION("GOOGLETRANSLATE(A14223, ""de"", ""en"")"),"period")</f>
        <v>period</v>
      </c>
    </row>
    <row r="14224">
      <c r="A14224" s="1" t="s">
        <v>14224</v>
      </c>
      <c r="B14224" s="2" t="str">
        <f>IFERROR(__xludf.DUMMYFUNCTION("GOOGLETRANSLATE(A14224, ""de"", ""en"")"),"Indians")</f>
        <v>Indians</v>
      </c>
    </row>
    <row r="14225">
      <c r="A14225" s="1" t="s">
        <v>14225</v>
      </c>
      <c r="B14225" s="2" t="str">
        <f>IFERROR(__xludf.DUMMYFUNCTION("GOOGLETRANSLATE(A14225, ""de"", ""en"")"),"knock")</f>
        <v>knock</v>
      </c>
    </row>
    <row r="14226">
      <c r="A14226" s="1" t="s">
        <v>14226</v>
      </c>
      <c r="B14226" s="2" t="str">
        <f>IFERROR(__xludf.DUMMYFUNCTION("GOOGLETRANSLATE(A14226, ""de"", ""en"")"),"shot down")</f>
        <v>shot down</v>
      </c>
    </row>
    <row r="14227">
      <c r="A14227" s="1" t="s">
        <v>14227</v>
      </c>
      <c r="B14227" s="2" t="str">
        <f>IFERROR(__xludf.DUMMYFUNCTION("GOOGLETRANSLATE(A14227, ""de"", ""en"")"),"napkin")</f>
        <v>napkin</v>
      </c>
    </row>
    <row r="14228">
      <c r="A14228" s="1" t="s">
        <v>14228</v>
      </c>
      <c r="B14228" s="2" t="str">
        <f>IFERROR(__xludf.DUMMYFUNCTION("GOOGLETRANSLATE(A14228, ""de"", ""en"")"),"feeds")</f>
        <v>feeds</v>
      </c>
    </row>
    <row r="14229">
      <c r="A14229" s="1" t="s">
        <v>14229</v>
      </c>
      <c r="B14229" s="2" t="str">
        <f>IFERROR(__xludf.DUMMYFUNCTION("GOOGLETRANSLATE(A14229, ""de"", ""en"")"),"flattering")</f>
        <v>flattering</v>
      </c>
    </row>
    <row r="14230">
      <c r="A14230" s="1" t="s">
        <v>14230</v>
      </c>
      <c r="B14230" s="2" t="str">
        <f>IFERROR(__xludf.DUMMYFUNCTION("GOOGLETRANSLATE(A14230, ""de"", ""en"")"),"pyramid")</f>
        <v>pyramid</v>
      </c>
    </row>
    <row r="14231">
      <c r="A14231" s="1" t="s">
        <v>14231</v>
      </c>
      <c r="B14231" s="2" t="str">
        <f>IFERROR(__xludf.DUMMYFUNCTION("GOOGLETRANSLATE(A14231, ""de"", ""en"")"),"reward")</f>
        <v>reward</v>
      </c>
    </row>
    <row r="14232">
      <c r="A14232" s="1" t="s">
        <v>14232</v>
      </c>
      <c r="B14232" s="2" t="str">
        <f>IFERROR(__xludf.DUMMYFUNCTION("GOOGLETRANSLATE(A14232, ""de"", ""en"")"),"pineapple")</f>
        <v>pineapple</v>
      </c>
    </row>
    <row r="14233">
      <c r="A14233" s="1" t="s">
        <v>14233</v>
      </c>
      <c r="B14233" s="2" t="str">
        <f>IFERROR(__xludf.DUMMYFUNCTION("GOOGLETRANSLATE(A14233, ""de"", ""en"")"),"challenge")</f>
        <v>challenge</v>
      </c>
    </row>
    <row r="14234">
      <c r="A14234" s="1" t="s">
        <v>14234</v>
      </c>
      <c r="B14234" s="2" t="str">
        <f>IFERROR(__xludf.DUMMYFUNCTION("GOOGLETRANSLATE(A14234, ""de"", ""en"")"),"won")</f>
        <v>won</v>
      </c>
    </row>
    <row r="14235">
      <c r="A14235" s="1" t="s">
        <v>14235</v>
      </c>
      <c r="B14235" s="2" t="str">
        <f>IFERROR(__xludf.DUMMYFUNCTION("GOOGLETRANSLATE(A14235, ""de"", ""en"")"),"strange")</f>
        <v>strange</v>
      </c>
    </row>
    <row r="14236">
      <c r="A14236" s="1" t="s">
        <v>14236</v>
      </c>
      <c r="B14236" s="2" t="str">
        <f>IFERROR(__xludf.DUMMYFUNCTION("GOOGLETRANSLATE(A14236, ""de"", ""en"")"),"yacht")</f>
        <v>yacht</v>
      </c>
    </row>
    <row r="14237">
      <c r="A14237" s="1" t="s">
        <v>14237</v>
      </c>
      <c r="B14237" s="2" t="str">
        <f>IFERROR(__xludf.DUMMYFUNCTION("GOOGLETRANSLATE(A14237, ""de"", ""en"")"),"brewster")</f>
        <v>brewster</v>
      </c>
    </row>
    <row r="14238">
      <c r="A14238" s="1" t="s">
        <v>14238</v>
      </c>
      <c r="B14238" s="2" t="str">
        <f>IFERROR(__xludf.DUMMYFUNCTION("GOOGLETRANSLATE(A14238, ""de"", ""en"")"),"ultrasonic")</f>
        <v>ultrasonic</v>
      </c>
    </row>
    <row r="14239">
      <c r="A14239" s="1" t="s">
        <v>14239</v>
      </c>
      <c r="B14239" s="2" t="str">
        <f>IFERROR(__xludf.DUMMYFUNCTION("GOOGLETRANSLATE(A14239, ""de"", ""en"")"),"christmas tree")</f>
        <v>christmas tree</v>
      </c>
    </row>
    <row r="14240">
      <c r="A14240" s="1" t="s">
        <v>14240</v>
      </c>
      <c r="B14240" s="2" t="str">
        <f>IFERROR(__xludf.DUMMYFUNCTION("GOOGLETRANSLATE(A14240, ""de"", ""en"")"),"miss")</f>
        <v>miss</v>
      </c>
    </row>
    <row r="14241">
      <c r="A14241" s="1" t="s">
        <v>14241</v>
      </c>
      <c r="B14241" s="2" t="str">
        <f>IFERROR(__xludf.DUMMYFUNCTION("GOOGLETRANSLATE(A14241, ""de"", ""en"")"),"fire")</f>
        <v>fire</v>
      </c>
    </row>
    <row r="14242">
      <c r="A14242" s="1" t="s">
        <v>14242</v>
      </c>
      <c r="B14242" s="2" t="str">
        <f>IFERROR(__xludf.DUMMYFUNCTION("GOOGLETRANSLATE(A14242, ""de"", ""en"")"),"self-pity")</f>
        <v>self-pity</v>
      </c>
    </row>
    <row r="14243">
      <c r="A14243" s="1" t="s">
        <v>14243</v>
      </c>
      <c r="B14243" s="2" t="str">
        <f>IFERROR(__xludf.DUMMYFUNCTION("GOOGLETRANSLATE(A14243, ""de"", ""en"")"),"different")</f>
        <v>different</v>
      </c>
    </row>
    <row r="14244">
      <c r="A14244" s="1" t="s">
        <v>14244</v>
      </c>
      <c r="B14244" s="2" t="str">
        <f>IFERROR(__xludf.DUMMYFUNCTION("GOOGLETRANSLATE(A14244, ""de"", ""en"")"),"hunt")</f>
        <v>hunt</v>
      </c>
    </row>
    <row r="14245">
      <c r="A14245" s="1" t="s">
        <v>14245</v>
      </c>
      <c r="B14245" s="2" t="str">
        <f>IFERROR(__xludf.DUMMYFUNCTION("GOOGLETRANSLATE(A14245, ""de"", ""en"")"),"interrupt")</f>
        <v>interrupt</v>
      </c>
    </row>
    <row r="14246">
      <c r="A14246" s="1" t="s">
        <v>14246</v>
      </c>
      <c r="B14246" s="2" t="str">
        <f>IFERROR(__xludf.DUMMYFUNCTION("GOOGLETRANSLATE(A14246, ""de"", ""en"")"),"deny")</f>
        <v>deny</v>
      </c>
    </row>
    <row r="14247">
      <c r="A14247" s="1" t="s">
        <v>14247</v>
      </c>
      <c r="B14247" s="2" t="str">
        <f>IFERROR(__xludf.DUMMYFUNCTION("GOOGLETRANSLATE(A14247, ""de"", ""en"")"),"pull up")</f>
        <v>pull up</v>
      </c>
    </row>
    <row r="14248">
      <c r="A14248" s="1" t="s">
        <v>14248</v>
      </c>
      <c r="B14248" s="2" t="str">
        <f>IFERROR(__xludf.DUMMYFUNCTION("GOOGLETRANSLATE(A14248, ""de"", ""en"")"),"French")</f>
        <v>French</v>
      </c>
    </row>
    <row r="14249">
      <c r="A14249" s="1" t="s">
        <v>14249</v>
      </c>
      <c r="B14249" s="2" t="str">
        <f>IFERROR(__xludf.DUMMYFUNCTION("GOOGLETRANSLATE(A14249, ""de"", ""en"")"),"each other")</f>
        <v>each other</v>
      </c>
    </row>
    <row r="14250">
      <c r="A14250" s="1" t="s">
        <v>14250</v>
      </c>
      <c r="B14250" s="2" t="str">
        <f>IFERROR(__xludf.DUMMYFUNCTION("GOOGLETRANSLATE(A14250, ""de"", ""en"")"),"google")</f>
        <v>google</v>
      </c>
    </row>
    <row r="14251">
      <c r="A14251" s="1" t="s">
        <v>14251</v>
      </c>
      <c r="B14251" s="2" t="str">
        <f>IFERROR(__xludf.DUMMYFUNCTION("GOOGLETRANSLATE(A14251, ""de"", ""en"")"),"rubber stamp")</f>
        <v>rubber stamp</v>
      </c>
    </row>
    <row r="14252">
      <c r="A14252" s="1" t="s">
        <v>14252</v>
      </c>
      <c r="B14252" s="2" t="str">
        <f>IFERROR(__xludf.DUMMYFUNCTION("GOOGLETRANSLATE(A14252, ""de"", ""en"")"),"romantic")</f>
        <v>romantic</v>
      </c>
    </row>
    <row r="14253">
      <c r="A14253" s="1" t="s">
        <v>14253</v>
      </c>
      <c r="B14253" s="2" t="str">
        <f>IFERROR(__xludf.DUMMYFUNCTION("GOOGLETRANSLATE(A14253, ""de"", ""en"")"),"cook")</f>
        <v>cook</v>
      </c>
    </row>
    <row r="14254">
      <c r="A14254" s="1" t="s">
        <v>14254</v>
      </c>
      <c r="B14254" s="2" t="str">
        <f>IFERROR(__xludf.DUMMYFUNCTION("GOOGLETRANSLATE(A14254, ""de"", ""en"")"),"recipes")</f>
        <v>recipes</v>
      </c>
    </row>
    <row r="14255">
      <c r="A14255" s="1" t="s">
        <v>14255</v>
      </c>
      <c r="B14255" s="2" t="str">
        <f>IFERROR(__xludf.DUMMYFUNCTION("GOOGLETRANSLATE(A14255, ""de"", ""en"")"),"sylvester")</f>
        <v>sylvester</v>
      </c>
    </row>
    <row r="14256">
      <c r="A14256" s="1" t="s">
        <v>14256</v>
      </c>
      <c r="B14256" s="2" t="str">
        <f>IFERROR(__xludf.DUMMYFUNCTION("GOOGLETRANSLATE(A14256, ""de"", ""en"")"),"expanded")</f>
        <v>expanded</v>
      </c>
    </row>
    <row r="14257">
      <c r="A14257" s="1" t="s">
        <v>14257</v>
      </c>
      <c r="B14257" s="2" t="str">
        <f>IFERROR(__xludf.DUMMYFUNCTION("GOOGLETRANSLATE(A14257, ""de"", ""en"")"),"asthma")</f>
        <v>asthma</v>
      </c>
    </row>
    <row r="14258">
      <c r="A14258" s="1" t="s">
        <v>14258</v>
      </c>
      <c r="B14258" s="2" t="str">
        <f>IFERROR(__xludf.DUMMYFUNCTION("GOOGLETRANSLATE(A14258, ""de"", ""en"")"),"critters")</f>
        <v>critters</v>
      </c>
    </row>
    <row r="14259">
      <c r="A14259" s="1" t="s">
        <v>14259</v>
      </c>
      <c r="B14259" s="2" t="str">
        <f>IFERROR(__xludf.DUMMYFUNCTION("GOOGLETRANSLATE(A14259, ""de"", ""en"")"),"thorpe")</f>
        <v>thorpe</v>
      </c>
    </row>
    <row r="14260">
      <c r="A14260" s="1" t="s">
        <v>14260</v>
      </c>
      <c r="B14260" s="2" t="str">
        <f>IFERROR(__xludf.DUMMYFUNCTION("GOOGLETRANSLATE(A14260, ""de"", ""en"")"),"unusual")</f>
        <v>unusual</v>
      </c>
    </row>
    <row r="14261">
      <c r="A14261" s="1" t="s">
        <v>14261</v>
      </c>
      <c r="B14261" s="2" t="str">
        <f>IFERROR(__xludf.DUMMYFUNCTION("GOOGLETRANSLATE(A14261, ""de"", ""en"")"),"cruel")</f>
        <v>cruel</v>
      </c>
    </row>
    <row r="14262">
      <c r="A14262" s="1" t="s">
        <v>14262</v>
      </c>
      <c r="B14262" s="2" t="str">
        <f>IFERROR(__xludf.DUMMYFUNCTION("GOOGLETRANSLATE(A14262, ""de"", ""en"")"),"privileges")</f>
        <v>privileges</v>
      </c>
    </row>
    <row r="14263">
      <c r="A14263" s="1" t="s">
        <v>14263</v>
      </c>
      <c r="B14263" s="2" t="str">
        <f>IFERROR(__xludf.DUMMYFUNCTION("GOOGLETRANSLATE(A14263, ""de"", ""en"")"),"Christmas present")</f>
        <v>Christmas present</v>
      </c>
    </row>
    <row r="14264">
      <c r="A14264" s="1" t="s">
        <v>14264</v>
      </c>
      <c r="B14264" s="2" t="str">
        <f>IFERROR(__xludf.DUMMYFUNCTION("GOOGLETRANSLATE(A14264, ""de"", ""en"")"),"carousel")</f>
        <v>carousel</v>
      </c>
    </row>
    <row r="14265">
      <c r="A14265" s="1" t="s">
        <v>14265</v>
      </c>
      <c r="B14265" s="2" t="str">
        <f>IFERROR(__xludf.DUMMYFUNCTION("GOOGLETRANSLATE(A14265, ""de"", ""en"")"),"oldest")</f>
        <v>oldest</v>
      </c>
    </row>
    <row r="14266">
      <c r="A14266" s="1" t="s">
        <v>14266</v>
      </c>
      <c r="B14266" s="2" t="str">
        <f>IFERROR(__xludf.DUMMYFUNCTION("GOOGLETRANSLATE(A14266, ""de"", ""en"")"),"obstacles")</f>
        <v>obstacles</v>
      </c>
    </row>
    <row r="14267">
      <c r="A14267" s="1" t="s">
        <v>14267</v>
      </c>
      <c r="B14267" s="2" t="str">
        <f>IFERROR(__xludf.DUMMYFUNCTION("GOOGLETRANSLATE(A14267, ""de"", ""en"")"),"remove")</f>
        <v>remove</v>
      </c>
    </row>
    <row r="14268">
      <c r="A14268" s="1" t="s">
        <v>14268</v>
      </c>
      <c r="B14268" s="2" t="str">
        <f>IFERROR(__xludf.DUMMYFUNCTION("GOOGLETRANSLATE(A14268, ""de"", ""en"")"),"say")</f>
        <v>say</v>
      </c>
    </row>
    <row r="14269">
      <c r="A14269" s="1" t="s">
        <v>14269</v>
      </c>
      <c r="B14269" s="2" t="str">
        <f>IFERROR(__xludf.DUMMYFUNCTION("GOOGLETRANSLATE(A14269, ""de"", ""en"")"),"priority")</f>
        <v>priority</v>
      </c>
    </row>
    <row r="14270">
      <c r="A14270" s="1" t="s">
        <v>14270</v>
      </c>
      <c r="B14270" s="2" t="str">
        <f>IFERROR(__xludf.DUMMYFUNCTION("GOOGLETRANSLATE(A14270, ""de"", ""en"")"),"body parts")</f>
        <v>body parts</v>
      </c>
    </row>
    <row r="14271">
      <c r="A14271" s="1" t="s">
        <v>14271</v>
      </c>
      <c r="B14271" s="2" t="str">
        <f>IFERROR(__xludf.DUMMYFUNCTION("GOOGLETRANSLATE(A14271, ""de"", ""en"")"),"sniper")</f>
        <v>sniper</v>
      </c>
    </row>
    <row r="14272">
      <c r="A14272" s="1" t="s">
        <v>14272</v>
      </c>
      <c r="B14272" s="2" t="str">
        <f>IFERROR(__xludf.DUMMYFUNCTION("GOOGLETRANSLATE(A14272, ""de"", ""en"")"),"Obama")</f>
        <v>Obama</v>
      </c>
    </row>
    <row r="14273">
      <c r="A14273" s="1" t="s">
        <v>14273</v>
      </c>
      <c r="B14273" s="2" t="str">
        <f>IFERROR(__xludf.DUMMYFUNCTION("GOOGLETRANSLATE(A14273, ""de"", ""en"")"),"precautions")</f>
        <v>precautions</v>
      </c>
    </row>
    <row r="14274">
      <c r="A14274" s="1" t="s">
        <v>14274</v>
      </c>
      <c r="B14274" s="2" t="str">
        <f>IFERROR(__xludf.DUMMYFUNCTION("GOOGLETRANSLATE(A14274, ""de"", ""en"")"),"franck")</f>
        <v>franck</v>
      </c>
    </row>
    <row r="14275">
      <c r="A14275" s="1" t="s">
        <v>14275</v>
      </c>
      <c r="B14275" s="2" t="str">
        <f>IFERROR(__xludf.DUMMYFUNCTION("GOOGLETRANSLATE(A14275, ""de"", ""en"")"),"camilla")</f>
        <v>camilla</v>
      </c>
    </row>
    <row r="14276">
      <c r="A14276" s="1" t="s">
        <v>14276</v>
      </c>
      <c r="B14276" s="2" t="str">
        <f>IFERROR(__xludf.DUMMYFUNCTION("GOOGLETRANSLATE(A14276, ""de"", ""en"")"),"hamptons")</f>
        <v>hamptons</v>
      </c>
    </row>
    <row r="14277">
      <c r="A14277" s="1" t="s">
        <v>14277</v>
      </c>
      <c r="B14277" s="2" t="str">
        <f>IFERROR(__xludf.DUMMYFUNCTION("GOOGLETRANSLATE(A14277, ""de"", ""en"")"),"listen")</f>
        <v>listen</v>
      </c>
    </row>
    <row r="14278">
      <c r="A14278" s="1" t="s">
        <v>14278</v>
      </c>
      <c r="B14278" s="2" t="str">
        <f>IFERROR(__xludf.DUMMYFUNCTION("GOOGLETRANSLATE(A14278, ""de"", ""en"")"),"acceptable")</f>
        <v>acceptable</v>
      </c>
    </row>
    <row r="14279">
      <c r="A14279" s="1" t="s">
        <v>14279</v>
      </c>
      <c r="B14279" s="2" t="str">
        <f>IFERROR(__xludf.DUMMYFUNCTION("GOOGLETRANSLATE(A14279, ""de"", ""en"")"),"invisible")</f>
        <v>invisible</v>
      </c>
    </row>
    <row r="14280">
      <c r="A14280" s="1" t="s">
        <v>14280</v>
      </c>
      <c r="B14280" s="2" t="str">
        <f>IFERROR(__xludf.DUMMYFUNCTION("GOOGLETRANSLATE(A14280, ""de"", ""en"")"),"kidnapped")</f>
        <v>kidnapped</v>
      </c>
    </row>
    <row r="14281">
      <c r="A14281" s="1" t="s">
        <v>14281</v>
      </c>
      <c r="B14281" s="2" t="str">
        <f>IFERROR(__xludf.DUMMYFUNCTION("GOOGLETRANSLATE(A14281, ""de"", ""en"")"),"dragon")</f>
        <v>dragon</v>
      </c>
    </row>
    <row r="14282">
      <c r="A14282" s="1" t="s">
        <v>14282</v>
      </c>
      <c r="B14282" s="2" t="str">
        <f>IFERROR(__xludf.DUMMYFUNCTION("GOOGLETRANSLATE(A14282, ""de"", ""en"")"),"deliveries")</f>
        <v>deliveries</v>
      </c>
    </row>
    <row r="14283">
      <c r="A14283" s="1" t="s">
        <v>14283</v>
      </c>
      <c r="B14283" s="2" t="str">
        <f>IFERROR(__xludf.DUMMYFUNCTION("GOOGLETRANSLATE(A14283, ""de"", ""en"")"),"buy")</f>
        <v>buy</v>
      </c>
    </row>
    <row r="14284">
      <c r="A14284" s="1" t="s">
        <v>14284</v>
      </c>
      <c r="B14284" s="2" t="str">
        <f>IFERROR(__xludf.DUMMYFUNCTION("GOOGLETRANSLATE(A14284, ""de"", ""en"")"),"carver")</f>
        <v>carver</v>
      </c>
    </row>
    <row r="14285">
      <c r="A14285" s="1" t="s">
        <v>14285</v>
      </c>
      <c r="B14285" s="2" t="str">
        <f>IFERROR(__xludf.DUMMYFUNCTION("GOOGLETRANSLATE(A14285, ""de"", ""en"")"),"more direct")</f>
        <v>more direct</v>
      </c>
    </row>
    <row r="14286">
      <c r="A14286" s="1" t="s">
        <v>14286</v>
      </c>
      <c r="B14286" s="2" t="str">
        <f>IFERROR(__xludf.DUMMYFUNCTION("GOOGLETRANSLATE(A14286, ""de"", ""en"")"),"accused")</f>
        <v>accused</v>
      </c>
    </row>
    <row r="14287">
      <c r="A14287" s="1" t="s">
        <v>14287</v>
      </c>
      <c r="B14287" s="2" t="str">
        <f>IFERROR(__xludf.DUMMYFUNCTION("GOOGLETRANSLATE(A14287, ""de"", ""en"")"),"basically")</f>
        <v>basically</v>
      </c>
    </row>
    <row r="14288">
      <c r="A14288" s="1" t="s">
        <v>14288</v>
      </c>
      <c r="B14288" s="2" t="str">
        <f>IFERROR(__xludf.DUMMYFUNCTION("GOOGLETRANSLATE(A14288, ""de"", ""en"")"),"campfire")</f>
        <v>campfire</v>
      </c>
    </row>
    <row r="14289">
      <c r="A14289" s="1" t="s">
        <v>14289</v>
      </c>
      <c r="B14289" s="2" t="str">
        <f>IFERROR(__xludf.DUMMYFUNCTION("GOOGLETRANSLATE(A14289, ""de"", ""en"")"),"smaller")</f>
        <v>smaller</v>
      </c>
    </row>
    <row r="14290">
      <c r="A14290" s="1" t="s">
        <v>14290</v>
      </c>
      <c r="B14290" s="2" t="str">
        <f>IFERROR(__xludf.DUMMYFUNCTION("GOOGLETRANSLATE(A14290, ""de"", ""en"")"),"show time")</f>
        <v>show time</v>
      </c>
    </row>
    <row r="14291">
      <c r="A14291" s="1" t="s">
        <v>14291</v>
      </c>
      <c r="B14291" s="2" t="str">
        <f>IFERROR(__xludf.DUMMYFUNCTION("GOOGLETRANSLATE(A14291, ""de"", ""en"")"),"gamera")</f>
        <v>gamera</v>
      </c>
    </row>
    <row r="14292">
      <c r="A14292" s="1" t="s">
        <v>14292</v>
      </c>
      <c r="B14292" s="2" t="str">
        <f>IFERROR(__xludf.DUMMYFUNCTION("GOOGLETRANSLATE(A14292, ""de"", ""en"")"),"assist")</f>
        <v>assist</v>
      </c>
    </row>
    <row r="14293">
      <c r="A14293" s="1" t="s">
        <v>14293</v>
      </c>
      <c r="B14293" s="2" t="str">
        <f>IFERROR(__xludf.DUMMYFUNCTION("GOOGLETRANSLATE(A14293, ""de"", ""en"")"),"sword")</f>
        <v>sword</v>
      </c>
    </row>
    <row r="14294">
      <c r="A14294" s="1" t="s">
        <v>14294</v>
      </c>
      <c r="B14294" s="2" t="str">
        <f>IFERROR(__xludf.DUMMYFUNCTION("GOOGLETRANSLATE(A14294, ""de"", ""en"")"),"Beijing")</f>
        <v>Beijing</v>
      </c>
    </row>
    <row r="14295">
      <c r="A14295" s="1" t="s">
        <v>14295</v>
      </c>
      <c r="B14295" s="2" t="str">
        <f>IFERROR(__xludf.DUMMYFUNCTION("GOOGLETRANSLATE(A14295, ""de"", ""en"")"),"yan")</f>
        <v>yan</v>
      </c>
    </row>
    <row r="14296">
      <c r="A14296" s="1" t="s">
        <v>14296</v>
      </c>
      <c r="B14296" s="2" t="str">
        <f>IFERROR(__xludf.DUMMYFUNCTION("GOOGLETRANSLATE(A14296, ""de"", ""en"")"),"ban")</f>
        <v>ban</v>
      </c>
    </row>
    <row r="14297">
      <c r="A14297" s="1" t="s">
        <v>14297</v>
      </c>
      <c r="B14297" s="2" t="str">
        <f>IFERROR(__xludf.DUMMYFUNCTION("GOOGLETRANSLATE(A14297, ""de"", ""en"")"),"punk")</f>
        <v>punk</v>
      </c>
    </row>
    <row r="14298">
      <c r="A14298" s="1" t="s">
        <v>14298</v>
      </c>
      <c r="B14298" s="2" t="str">
        <f>IFERROR(__xludf.DUMMYFUNCTION("GOOGLETRANSLATE(A14298, ""de"", ""en"")"),"reigned")</f>
        <v>reigned</v>
      </c>
    </row>
    <row r="14299">
      <c r="A14299" s="1" t="s">
        <v>14299</v>
      </c>
      <c r="B14299" s="2" t="str">
        <f>IFERROR(__xludf.DUMMYFUNCTION("GOOGLETRANSLATE(A14299, ""de"", ""en"")"),"closed")</f>
        <v>closed</v>
      </c>
    </row>
    <row r="14300">
      <c r="A14300" s="1" t="s">
        <v>14300</v>
      </c>
      <c r="B14300" s="2" t="str">
        <f>IFERROR(__xludf.DUMMYFUNCTION("GOOGLETRANSLATE(A14300, ""de"", ""en"")"),"intimate")</f>
        <v>intimate</v>
      </c>
    </row>
    <row r="14301">
      <c r="A14301" s="1" t="s">
        <v>14301</v>
      </c>
      <c r="B14301" s="2" t="str">
        <f>IFERROR(__xludf.DUMMYFUNCTION("GOOGLETRANSLATE(A14301, ""de"", ""en"")"),"exaggerates")</f>
        <v>exaggerates</v>
      </c>
    </row>
    <row r="14302">
      <c r="A14302" s="1" t="s">
        <v>14302</v>
      </c>
      <c r="B14302" s="2" t="str">
        <f>IFERROR(__xludf.DUMMYFUNCTION("GOOGLETRANSLATE(A14302, ""de"", ""en"")"),"whimper")</f>
        <v>whimper</v>
      </c>
    </row>
    <row r="14303">
      <c r="A14303" s="1" t="s">
        <v>14303</v>
      </c>
      <c r="B14303" s="2" t="str">
        <f>IFERROR(__xludf.DUMMYFUNCTION("GOOGLETRANSLATE(A14303, ""de"", ""en"")"),"refugee")</f>
        <v>refugee</v>
      </c>
    </row>
    <row r="14304">
      <c r="A14304" s="1" t="s">
        <v>14304</v>
      </c>
      <c r="B14304" s="2" t="str">
        <f>IFERROR(__xludf.DUMMYFUNCTION("GOOGLETRANSLATE(A14304, ""de"", ""en"")"),"work")</f>
        <v>work</v>
      </c>
    </row>
    <row r="14305">
      <c r="A14305" s="1" t="s">
        <v>14305</v>
      </c>
      <c r="B14305" s="2" t="str">
        <f>IFERROR(__xludf.DUMMYFUNCTION("GOOGLETRANSLATE(A14305, ""de"", ""en"")"),"antidote")</f>
        <v>antidote</v>
      </c>
    </row>
    <row r="14306">
      <c r="A14306" s="1" t="s">
        <v>14306</v>
      </c>
      <c r="B14306" s="2" t="str">
        <f>IFERROR(__xludf.DUMMYFUNCTION("GOOGLETRANSLATE(A14306, ""de"", ""en"")"),"cupcakes")</f>
        <v>cupcakes</v>
      </c>
    </row>
    <row r="14307">
      <c r="A14307" s="1" t="s">
        <v>14307</v>
      </c>
      <c r="B14307" s="2" t="str">
        <f>IFERROR(__xludf.DUMMYFUNCTION("GOOGLETRANSLATE(A14307, ""de"", ""en"")"),"toil")</f>
        <v>toil</v>
      </c>
    </row>
    <row r="14308">
      <c r="A14308" s="1" t="s">
        <v>14308</v>
      </c>
      <c r="B14308" s="2" t="str">
        <f>IFERROR(__xludf.DUMMYFUNCTION("GOOGLETRANSLATE(A14308, ""de"", ""en"")"),"bouquet")</f>
        <v>bouquet</v>
      </c>
    </row>
    <row r="14309">
      <c r="A14309" s="1" t="s">
        <v>14309</v>
      </c>
      <c r="B14309" s="2" t="str">
        <f>IFERROR(__xludf.DUMMYFUNCTION("GOOGLETRANSLATE(A14309, ""de"", ""en"")"),"healthy")</f>
        <v>healthy</v>
      </c>
    </row>
    <row r="14310">
      <c r="A14310" s="1" t="s">
        <v>14310</v>
      </c>
      <c r="B14310" s="2" t="str">
        <f>IFERROR(__xludf.DUMMYFUNCTION("GOOGLETRANSLATE(A14310, ""de"", ""en"")"),"aspect")</f>
        <v>aspect</v>
      </c>
    </row>
    <row r="14311">
      <c r="A14311" s="1" t="s">
        <v>14311</v>
      </c>
      <c r="B14311" s="2" t="str">
        <f>IFERROR(__xludf.DUMMYFUNCTION("GOOGLETRANSLATE(A14311, ""de"", ""en"")"),"ex boyfriend")</f>
        <v>ex boyfriend</v>
      </c>
    </row>
    <row r="14312">
      <c r="A14312" s="1" t="s">
        <v>14312</v>
      </c>
      <c r="B14312" s="2" t="str">
        <f>IFERROR(__xludf.DUMMYFUNCTION("GOOGLETRANSLATE(A14312, ""de"", ""en"")"),"berries")</f>
        <v>berries</v>
      </c>
    </row>
    <row r="14313">
      <c r="A14313" s="1" t="s">
        <v>14313</v>
      </c>
      <c r="B14313" s="2" t="str">
        <f>IFERROR(__xludf.DUMMYFUNCTION("GOOGLETRANSLATE(A14313, ""de"", ""en"")"),"back down")</f>
        <v>back down</v>
      </c>
    </row>
    <row r="14314">
      <c r="A14314" s="1" t="s">
        <v>14314</v>
      </c>
      <c r="B14314" s="2" t="str">
        <f>IFERROR(__xludf.DUMMYFUNCTION("GOOGLETRANSLATE(A14314, ""de"", ""en"")"),"prime")</f>
        <v>prime</v>
      </c>
    </row>
    <row r="14315">
      <c r="A14315" s="1" t="s">
        <v>14315</v>
      </c>
      <c r="B14315" s="2" t="str">
        <f>IFERROR(__xludf.DUMMYFUNCTION("GOOGLETRANSLATE(A14315, ""de"", ""en"")"),"rosemary")</f>
        <v>rosemary</v>
      </c>
    </row>
    <row r="14316">
      <c r="A14316" s="1" t="s">
        <v>14316</v>
      </c>
      <c r="B14316" s="2" t="str">
        <f>IFERROR(__xludf.DUMMYFUNCTION("GOOGLETRANSLATE(A14316, ""de"", ""en"")"),"unfriendly")</f>
        <v>unfriendly</v>
      </c>
    </row>
    <row r="14317">
      <c r="A14317" s="1" t="s">
        <v>14317</v>
      </c>
      <c r="B14317" s="2" t="str">
        <f>IFERROR(__xludf.DUMMYFUNCTION("GOOGLETRANSLATE(A14317, ""de"", ""en"")"),"to look at")</f>
        <v>to look at</v>
      </c>
    </row>
    <row r="14318">
      <c r="A14318" s="1" t="s">
        <v>14318</v>
      </c>
      <c r="B14318" s="2" t="str">
        <f>IFERROR(__xludf.DUMMYFUNCTION("GOOGLETRANSLATE(A14318, ""de"", ""en"")"),"despised")</f>
        <v>despised</v>
      </c>
    </row>
    <row r="14319">
      <c r="A14319" s="1" t="s">
        <v>14319</v>
      </c>
      <c r="B14319" s="2" t="str">
        <f>IFERROR(__xludf.DUMMYFUNCTION("GOOGLETRANSLATE(A14319, ""de"", ""en"")"),"dell")</f>
        <v>dell</v>
      </c>
    </row>
    <row r="14320">
      <c r="A14320" s="1" t="s">
        <v>14320</v>
      </c>
      <c r="B14320" s="2" t="str">
        <f>IFERROR(__xludf.DUMMYFUNCTION("GOOGLETRANSLATE(A14320, ""de"", ""en"")"),"baroness")</f>
        <v>baroness</v>
      </c>
    </row>
    <row r="14321">
      <c r="A14321" s="1" t="s">
        <v>14321</v>
      </c>
      <c r="B14321" s="2" t="str">
        <f>IFERROR(__xludf.DUMMYFUNCTION("GOOGLETRANSLATE(A14321, ""de"", ""en"")"),"sons")</f>
        <v>sons</v>
      </c>
    </row>
    <row r="14322">
      <c r="A14322" s="1" t="s">
        <v>14322</v>
      </c>
      <c r="B14322" s="2" t="str">
        <f>IFERROR(__xludf.DUMMYFUNCTION("GOOGLETRANSLATE(A14322, ""de"", ""en"")"),"beep")</f>
        <v>beep</v>
      </c>
    </row>
    <row r="14323">
      <c r="A14323" s="1" t="s">
        <v>14323</v>
      </c>
      <c r="B14323" s="2" t="str">
        <f>IFERROR(__xludf.DUMMYFUNCTION("GOOGLETRANSLATE(A14323, ""de"", ""en"")"),"left there")</f>
        <v>left there</v>
      </c>
    </row>
    <row r="14324">
      <c r="A14324" s="1" t="s">
        <v>14324</v>
      </c>
      <c r="B14324" s="2" t="str">
        <f>IFERROR(__xludf.DUMMYFUNCTION("GOOGLETRANSLATE(A14324, ""de"", ""en"")"),"colder")</f>
        <v>colder</v>
      </c>
    </row>
    <row r="14325">
      <c r="A14325" s="1" t="s">
        <v>14325</v>
      </c>
      <c r="B14325" s="2" t="str">
        <f>IFERROR(__xludf.DUMMYFUNCTION("GOOGLETRANSLATE(A14325, ""de"", ""en"")"),"tickles")</f>
        <v>tickles</v>
      </c>
    </row>
    <row r="14326">
      <c r="A14326" s="1" t="s">
        <v>14326</v>
      </c>
      <c r="B14326" s="2" t="str">
        <f>IFERROR(__xludf.DUMMYFUNCTION("GOOGLETRANSLATE(A14326, ""de"", ""en"")"),"nausea")</f>
        <v>nausea</v>
      </c>
    </row>
    <row r="14327">
      <c r="A14327" s="1" t="s">
        <v>14327</v>
      </c>
      <c r="B14327" s="2" t="str">
        <f>IFERROR(__xludf.DUMMYFUNCTION("GOOGLETRANSLATE(A14327, ""de"", ""en"")"),"came out")</f>
        <v>came out</v>
      </c>
    </row>
    <row r="14328">
      <c r="A14328" s="1" t="s">
        <v>14328</v>
      </c>
      <c r="B14328" s="2" t="str">
        <f>IFERROR(__xludf.DUMMYFUNCTION("GOOGLETRANSLATE(A14328, ""de"", ""en"")"),"minimum")</f>
        <v>minimum</v>
      </c>
    </row>
    <row r="14329">
      <c r="A14329" s="1" t="s">
        <v>14329</v>
      </c>
      <c r="B14329" s="2" t="str">
        <f>IFERROR(__xludf.DUMMYFUNCTION("GOOGLETRANSLATE(A14329, ""de"", ""en"")"),"sneeze")</f>
        <v>sneeze</v>
      </c>
    </row>
    <row r="14330">
      <c r="A14330" s="1" t="s">
        <v>14330</v>
      </c>
      <c r="B14330" s="2" t="str">
        <f>IFERROR(__xludf.DUMMYFUNCTION("GOOGLETRANSLATE(A14330, ""de"", ""en"")"),"cal-el")</f>
        <v>cal-el</v>
      </c>
    </row>
    <row r="14331">
      <c r="A14331" s="1" t="s">
        <v>14331</v>
      </c>
      <c r="B14331" s="2" t="str">
        <f>IFERROR(__xludf.DUMMYFUNCTION("GOOGLETRANSLATE(A14331, ""de"", ""en"")"),"seventh")</f>
        <v>seventh</v>
      </c>
    </row>
    <row r="14332">
      <c r="A14332" s="1" t="s">
        <v>14332</v>
      </c>
      <c r="B14332" s="2" t="str">
        <f>IFERROR(__xludf.DUMMYFUNCTION("GOOGLETRANSLATE(A14332, ""de"", ""en"")"),"to lie to")</f>
        <v>to lie to</v>
      </c>
    </row>
    <row r="14333">
      <c r="A14333" s="1" t="s">
        <v>14333</v>
      </c>
      <c r="B14333" s="2" t="str">
        <f>IFERROR(__xludf.DUMMYFUNCTION("GOOGLETRANSLATE(A14333, ""de"", ""en"")"),"thinker")</f>
        <v>thinker</v>
      </c>
    </row>
    <row r="14334">
      <c r="A14334" s="1" t="s">
        <v>14334</v>
      </c>
      <c r="B14334" s="2" t="str">
        <f>IFERROR(__xludf.DUMMYFUNCTION("GOOGLETRANSLATE(A14334, ""de"", ""en"")"),"ag")</f>
        <v>ag</v>
      </c>
    </row>
    <row r="14335">
      <c r="A14335" s="1" t="s">
        <v>14335</v>
      </c>
      <c r="B14335" s="2" t="str">
        <f>IFERROR(__xludf.DUMMYFUNCTION("GOOGLETRANSLATE(A14335, ""de"", ""en"")"),"fourth")</f>
        <v>fourth</v>
      </c>
    </row>
    <row r="14336">
      <c r="A14336" s="1" t="s">
        <v>14336</v>
      </c>
      <c r="B14336" s="2" t="str">
        <f>IFERROR(__xludf.DUMMYFUNCTION("GOOGLETRANSLATE(A14336, ""de"", ""en"")"),"risen")</f>
        <v>risen</v>
      </c>
    </row>
    <row r="14337">
      <c r="A14337" s="1" t="s">
        <v>14337</v>
      </c>
      <c r="B14337" s="2" t="str">
        <f>IFERROR(__xludf.DUMMYFUNCTION("GOOGLETRANSLATE(A14337, ""de"", ""en"")"),"aunty")</f>
        <v>aunty</v>
      </c>
    </row>
    <row r="14338">
      <c r="A14338" s="1" t="s">
        <v>14338</v>
      </c>
      <c r="B14338" s="2" t="str">
        <f>IFERROR(__xludf.DUMMYFUNCTION("GOOGLETRANSLATE(A14338, ""de"", ""en"")"),"wins")</f>
        <v>wins</v>
      </c>
    </row>
    <row r="14339">
      <c r="A14339" s="1" t="s">
        <v>14339</v>
      </c>
      <c r="B14339" s="2" t="str">
        <f>IFERROR(__xludf.DUMMYFUNCTION("GOOGLETRANSLATE(A14339, ""de"", ""en"")"),"report")</f>
        <v>report</v>
      </c>
    </row>
    <row r="14340">
      <c r="A14340" s="1" t="s">
        <v>14340</v>
      </c>
      <c r="B14340" s="2" t="str">
        <f>IFERROR(__xludf.DUMMYFUNCTION("GOOGLETRANSLATE(A14340, ""de"", ""en"")"),"deep")</f>
        <v>deep</v>
      </c>
    </row>
    <row r="14341">
      <c r="A14341" s="1" t="s">
        <v>14341</v>
      </c>
      <c r="B14341" s="2" t="str">
        <f>IFERROR(__xludf.DUMMYFUNCTION("GOOGLETRANSLATE(A14341, ""de"", ""en"")"),"trusted")</f>
        <v>trusted</v>
      </c>
    </row>
    <row r="14342">
      <c r="A14342" s="1" t="s">
        <v>14342</v>
      </c>
      <c r="B14342" s="2" t="str">
        <f>IFERROR(__xludf.DUMMYFUNCTION("GOOGLETRANSLATE(A14342, ""de"", ""en"")"),"complete idiots")</f>
        <v>complete idiots</v>
      </c>
    </row>
    <row r="14343">
      <c r="A14343" s="1" t="s">
        <v>14343</v>
      </c>
      <c r="B14343" s="2" t="str">
        <f>IFERROR(__xludf.DUMMYFUNCTION("GOOGLETRANSLATE(A14343, ""de"", ""en"")"),"sea")</f>
        <v>sea</v>
      </c>
    </row>
    <row r="14344">
      <c r="A14344" s="1" t="s">
        <v>14344</v>
      </c>
      <c r="B14344" s="2" t="str">
        <f>IFERROR(__xludf.DUMMYFUNCTION("GOOGLETRANSLATE(A14344, ""de"", ""en"")"),"disguised")</f>
        <v>disguised</v>
      </c>
    </row>
    <row r="14345">
      <c r="A14345" s="1" t="s">
        <v>14345</v>
      </c>
      <c r="B14345" s="2" t="str">
        <f>IFERROR(__xludf.DUMMYFUNCTION("GOOGLETRANSLATE(A14345, ""de"", ""en"")"),"deputy")</f>
        <v>deputy</v>
      </c>
    </row>
    <row r="14346">
      <c r="A14346" s="1" t="s">
        <v>14346</v>
      </c>
      <c r="B14346" s="2" t="str">
        <f>IFERROR(__xludf.DUMMYFUNCTION("GOOGLETRANSLATE(A14346, ""de"", ""en"")"),"upper")</f>
        <v>upper</v>
      </c>
    </row>
    <row r="14347">
      <c r="A14347" s="1" t="s">
        <v>14347</v>
      </c>
      <c r="B14347" s="2" t="str">
        <f>IFERROR(__xludf.DUMMYFUNCTION("GOOGLETRANSLATE(A14347, ""de"", ""en"")"),"drinker")</f>
        <v>drinker</v>
      </c>
    </row>
    <row r="14348">
      <c r="A14348" s="1" t="s">
        <v>14348</v>
      </c>
      <c r="B14348" s="2" t="str">
        <f>IFERROR(__xludf.DUMMYFUNCTION("GOOGLETRANSLATE(A14348, ""de"", ""en"")"),"regardless")</f>
        <v>regardless</v>
      </c>
    </row>
    <row r="14349">
      <c r="A14349" s="1" t="s">
        <v>14349</v>
      </c>
      <c r="B14349" s="2" t="str">
        <f>IFERROR(__xludf.DUMMYFUNCTION("GOOGLETRANSLATE(A14349, ""de"", ""en"")"),"injustice")</f>
        <v>injustice</v>
      </c>
    </row>
    <row r="14350">
      <c r="A14350" s="1" t="s">
        <v>14350</v>
      </c>
      <c r="B14350" s="2" t="str">
        <f>IFERROR(__xludf.DUMMYFUNCTION("GOOGLETRANSLATE(A14350, ""de"", ""en"")"),"sergei")</f>
        <v>sergei</v>
      </c>
    </row>
    <row r="14351">
      <c r="A14351" s="1" t="s">
        <v>14351</v>
      </c>
      <c r="B14351" s="2" t="str">
        <f>IFERROR(__xludf.DUMMYFUNCTION("GOOGLETRANSLATE(A14351, ""de"", ""en"")"),"wet")</f>
        <v>wet</v>
      </c>
    </row>
    <row r="14352">
      <c r="A14352" s="1" t="s">
        <v>14352</v>
      </c>
      <c r="B14352" s="2" t="str">
        <f>IFERROR(__xludf.DUMMYFUNCTION("GOOGLETRANSLATE(A14352, ""de"", ""en"")"),"walnut")</f>
        <v>walnut</v>
      </c>
    </row>
    <row r="14353">
      <c r="A14353" s="1" t="s">
        <v>14353</v>
      </c>
      <c r="B14353" s="2" t="str">
        <f>IFERROR(__xludf.DUMMYFUNCTION("GOOGLETRANSLATE(A14353, ""de"", ""en"")"),"lurk")</f>
        <v>lurk</v>
      </c>
    </row>
    <row r="14354">
      <c r="A14354" s="1" t="s">
        <v>14354</v>
      </c>
      <c r="B14354" s="2" t="str">
        <f>IFERROR(__xludf.DUMMYFUNCTION("GOOGLETRANSLATE(A14354, ""de"", ""en"")"),"stare")</f>
        <v>stare</v>
      </c>
    </row>
    <row r="14355">
      <c r="A14355" s="1" t="s">
        <v>14355</v>
      </c>
      <c r="B14355" s="2" t="str">
        <f>IFERROR(__xludf.DUMMYFUNCTION("GOOGLETRANSLATE(A14355, ""de"", ""en"")"),"dark")</f>
        <v>dark</v>
      </c>
    </row>
    <row r="14356">
      <c r="A14356" s="1" t="s">
        <v>14356</v>
      </c>
      <c r="B14356" s="2" t="str">
        <f>IFERROR(__xludf.DUMMYFUNCTION("GOOGLETRANSLATE(A14356, ""de"", ""en"")"),"reimbursed")</f>
        <v>reimbursed</v>
      </c>
    </row>
    <row r="14357">
      <c r="A14357" s="1" t="s">
        <v>14357</v>
      </c>
      <c r="B14357" s="2" t="str">
        <f>IFERROR(__xludf.DUMMYFUNCTION("GOOGLETRANSLATE(A14357, ""de"", ""en"")"),"spreads")</f>
        <v>spreads</v>
      </c>
    </row>
    <row r="14358">
      <c r="A14358" s="1" t="s">
        <v>14358</v>
      </c>
      <c r="B14358" s="2" t="str">
        <f>IFERROR(__xludf.DUMMYFUNCTION("GOOGLETRANSLATE(A14358, ""de"", ""en"")"),"noble")</f>
        <v>noble</v>
      </c>
    </row>
    <row r="14359">
      <c r="A14359" s="1" t="s">
        <v>14359</v>
      </c>
      <c r="B14359" s="2" t="str">
        <f>IFERROR(__xludf.DUMMYFUNCTION("GOOGLETRANSLATE(A14359, ""de"", ""en"")"),"rush")</f>
        <v>rush</v>
      </c>
    </row>
    <row r="14360">
      <c r="A14360" s="1" t="s">
        <v>14360</v>
      </c>
      <c r="B14360" s="2" t="str">
        <f>IFERROR(__xludf.DUMMYFUNCTION("GOOGLETRANSLATE(A14360, ""de"", ""en"")"),"si")</f>
        <v>si</v>
      </c>
    </row>
    <row r="14361">
      <c r="A14361" s="1" t="s">
        <v>14361</v>
      </c>
      <c r="B14361" s="2" t="str">
        <f>IFERROR(__xludf.DUMMYFUNCTION("GOOGLETRANSLATE(A14361, ""de"", ""en"")"),"broken")</f>
        <v>broken</v>
      </c>
    </row>
    <row r="14362">
      <c r="A14362" s="1" t="s">
        <v>14362</v>
      </c>
      <c r="B14362" s="2" t="str">
        <f>IFERROR(__xludf.DUMMYFUNCTION("GOOGLETRANSLATE(A14362, ""de"", ""en"")"),"mom")</f>
        <v>mom</v>
      </c>
    </row>
    <row r="14363">
      <c r="A14363" s="1" t="s">
        <v>14363</v>
      </c>
      <c r="B14363" s="2" t="str">
        <f>IFERROR(__xludf.DUMMYFUNCTION("GOOGLETRANSLATE(A14363, ""de"", ""en"")"),"rented")</f>
        <v>rented</v>
      </c>
    </row>
    <row r="14364">
      <c r="A14364" s="1" t="s">
        <v>14364</v>
      </c>
      <c r="B14364" s="2" t="str">
        <f>IFERROR(__xludf.DUMMYFUNCTION("GOOGLETRANSLATE(A14364, ""de"", ""en"")"),"fried")</f>
        <v>fried</v>
      </c>
    </row>
    <row r="14365">
      <c r="A14365" s="1" t="s">
        <v>14365</v>
      </c>
      <c r="B14365" s="2" t="str">
        <f>IFERROR(__xludf.DUMMYFUNCTION("GOOGLETRANSLATE(A14365, ""de"", ""en"")"),"for a while")</f>
        <v>for a while</v>
      </c>
    </row>
    <row r="14366">
      <c r="A14366" s="1" t="s">
        <v>14366</v>
      </c>
      <c r="B14366" s="2" t="str">
        <f>IFERROR(__xludf.DUMMYFUNCTION("GOOGLETRANSLATE(A14366, ""de"", ""en"")"),"Cambridge")</f>
        <v>Cambridge</v>
      </c>
    </row>
    <row r="14367">
      <c r="A14367" s="1" t="s">
        <v>14367</v>
      </c>
      <c r="B14367" s="2" t="str">
        <f>IFERROR(__xludf.DUMMYFUNCTION("GOOGLETRANSLATE(A14367, ""de"", ""en"")"),"overjoyed")</f>
        <v>overjoyed</v>
      </c>
    </row>
    <row r="14368">
      <c r="A14368" s="1" t="s">
        <v>14368</v>
      </c>
      <c r="B14368" s="2" t="str">
        <f>IFERROR(__xludf.DUMMYFUNCTION("GOOGLETRANSLATE(A14368, ""de"", ""en"")"),"aaah")</f>
        <v>aaah</v>
      </c>
    </row>
    <row r="14369">
      <c r="A14369" s="1" t="s">
        <v>14369</v>
      </c>
      <c r="B14369" s="2" t="str">
        <f>IFERROR(__xludf.DUMMYFUNCTION("GOOGLETRANSLATE(A14369, ""de"", ""en"")"),"evaluate")</f>
        <v>evaluate</v>
      </c>
    </row>
    <row r="14370">
      <c r="A14370" s="1" t="s">
        <v>14370</v>
      </c>
      <c r="B14370" s="2" t="str">
        <f>IFERROR(__xludf.DUMMYFUNCTION("GOOGLETRANSLATE(A14370, ""de"", ""en"")"),"Iowa")</f>
        <v>Iowa</v>
      </c>
    </row>
    <row r="14371">
      <c r="A14371" s="1" t="s">
        <v>14371</v>
      </c>
      <c r="B14371" s="2" t="str">
        <f>IFERROR(__xludf.DUMMYFUNCTION("GOOGLETRANSLATE(A14371, ""de"", ""en"")"),"realized")</f>
        <v>realized</v>
      </c>
    </row>
    <row r="14372">
      <c r="A14372" s="1" t="s">
        <v>14372</v>
      </c>
      <c r="B14372" s="2" t="str">
        <f>IFERROR(__xludf.DUMMYFUNCTION("GOOGLETRANSLATE(A14372, ""de"", ""en"")"),"tardis")</f>
        <v>tardis</v>
      </c>
    </row>
    <row r="14373">
      <c r="A14373" s="1" t="s">
        <v>14373</v>
      </c>
      <c r="B14373" s="2" t="str">
        <f>IFERROR(__xludf.DUMMYFUNCTION("GOOGLETRANSLATE(A14373, ""de"", ""en"")"),"Jacobs")</f>
        <v>Jacobs</v>
      </c>
    </row>
    <row r="14374">
      <c r="A14374" s="1" t="s">
        <v>14374</v>
      </c>
      <c r="B14374" s="2" t="str">
        <f>IFERROR(__xludf.DUMMYFUNCTION("GOOGLETRANSLATE(A14374, ""de"", ""en"")"),"inconvenient")</f>
        <v>inconvenient</v>
      </c>
    </row>
    <row r="14375">
      <c r="A14375" s="1" t="s">
        <v>14375</v>
      </c>
      <c r="B14375" s="2" t="str">
        <f>IFERROR(__xludf.DUMMYFUNCTION("GOOGLETRANSLATE(A14375, ""de"", ""en"")"),"experience")</f>
        <v>experience</v>
      </c>
    </row>
    <row r="14376">
      <c r="A14376" s="1" t="s">
        <v>14376</v>
      </c>
      <c r="B14376" s="2" t="str">
        <f>IFERROR(__xludf.DUMMYFUNCTION("GOOGLETRANSLATE(A14376, ""de"", ""en"")"),"primitive")</f>
        <v>primitive</v>
      </c>
    </row>
    <row r="14377">
      <c r="A14377" s="1" t="s">
        <v>14377</v>
      </c>
      <c r="B14377" s="2" t="str">
        <f>IFERROR(__xludf.DUMMYFUNCTION("GOOGLETRANSLATE(A14377, ""de"", ""en"")"),"apophis")</f>
        <v>apophis</v>
      </c>
    </row>
    <row r="14378">
      <c r="A14378" s="1" t="s">
        <v>14378</v>
      </c>
      <c r="B14378" s="2" t="str">
        <f>IFERROR(__xludf.DUMMYFUNCTION("GOOGLETRANSLATE(A14378, ""de"", ""en"")"),"Lindsey")</f>
        <v>Lindsey</v>
      </c>
    </row>
    <row r="14379">
      <c r="A14379" s="1" t="s">
        <v>14379</v>
      </c>
      <c r="B14379" s="2" t="str">
        <f>IFERROR(__xludf.DUMMYFUNCTION("GOOGLETRANSLATE(A14379, ""de"", ""en"")"),"buffet")</f>
        <v>buffet</v>
      </c>
    </row>
    <row r="14380">
      <c r="A14380" s="1" t="s">
        <v>14380</v>
      </c>
      <c r="B14380" s="2" t="str">
        <f>IFERROR(__xludf.DUMMYFUNCTION("GOOGLETRANSLATE(A14380, ""de"", ""en"")"),"rose")</f>
        <v>rose</v>
      </c>
    </row>
    <row r="14381">
      <c r="A14381" s="1" t="s">
        <v>14381</v>
      </c>
      <c r="B14381" s="2" t="str">
        <f>IFERROR(__xludf.DUMMYFUNCTION("GOOGLETRANSLATE(A14381, ""de"", ""en"")"),"experienced")</f>
        <v>experienced</v>
      </c>
    </row>
    <row r="14382">
      <c r="A14382" s="1" t="s">
        <v>14382</v>
      </c>
      <c r="B14382" s="2" t="str">
        <f>IFERROR(__xludf.DUMMYFUNCTION("GOOGLETRANSLATE(A14382, ""de"", ""en"")"),"blurred")</f>
        <v>blurred</v>
      </c>
    </row>
    <row r="14383">
      <c r="A14383" s="1" t="s">
        <v>14383</v>
      </c>
      <c r="B14383" s="2" t="str">
        <f>IFERROR(__xludf.DUMMYFUNCTION("GOOGLETRANSLATE(A14383, ""de"", ""en"")"),"I-")</f>
        <v>I-</v>
      </c>
    </row>
    <row r="14384">
      <c r="A14384" s="1" t="s">
        <v>14384</v>
      </c>
      <c r="B14384" s="2" t="str">
        <f>IFERROR(__xludf.DUMMYFUNCTION("GOOGLETRANSLATE(A14384, ""de"", ""en"")"),"toys")</f>
        <v>toys</v>
      </c>
    </row>
    <row r="14385">
      <c r="A14385" s="1" t="s">
        <v>14385</v>
      </c>
      <c r="B14385" s="2" t="str">
        <f>IFERROR(__xludf.DUMMYFUNCTION("GOOGLETRANSLATE(A14385, ""de"", ""en"")"),"smuggled")</f>
        <v>smuggled</v>
      </c>
    </row>
    <row r="14386">
      <c r="A14386" s="1" t="s">
        <v>14386</v>
      </c>
      <c r="B14386" s="2" t="str">
        <f>IFERROR(__xludf.DUMMYFUNCTION("GOOGLETRANSLATE(A14386, ""de"", ""en"")"),"bully")</f>
        <v>bully</v>
      </c>
    </row>
    <row r="14387">
      <c r="A14387" s="1" t="s">
        <v>14387</v>
      </c>
      <c r="B14387" s="2" t="str">
        <f>IFERROR(__xludf.DUMMYFUNCTION("GOOGLETRANSLATE(A14387, ""de"", ""en"")"),"improvement")</f>
        <v>improvement</v>
      </c>
    </row>
    <row r="14388">
      <c r="A14388" s="1" t="s">
        <v>14388</v>
      </c>
      <c r="B14388" s="2" t="str">
        <f>IFERROR(__xludf.DUMMYFUNCTION("GOOGLETRANSLATE(A14388, ""de"", ""en"")"),"carnival")</f>
        <v>carnival</v>
      </c>
    </row>
    <row r="14389">
      <c r="A14389" s="1" t="s">
        <v>14389</v>
      </c>
      <c r="B14389" s="2" t="str">
        <f>IFERROR(__xludf.DUMMYFUNCTION("GOOGLETRANSLATE(A14389, ""de"", ""en"")"),"stamps")</f>
        <v>stamps</v>
      </c>
    </row>
    <row r="14390">
      <c r="A14390" s="1" t="s">
        <v>14390</v>
      </c>
      <c r="B14390" s="2" t="str">
        <f>IFERROR(__xludf.DUMMYFUNCTION("GOOGLETRANSLATE(A14390, ""de"", ""en"")"),"UFO")</f>
        <v>UFO</v>
      </c>
    </row>
    <row r="14391">
      <c r="A14391" s="1" t="s">
        <v>14391</v>
      </c>
      <c r="B14391" s="2" t="str">
        <f>IFERROR(__xludf.DUMMYFUNCTION("GOOGLETRANSLATE(A14391, ""de"", ""en"")"),"milan")</f>
        <v>milan</v>
      </c>
    </row>
    <row r="14392">
      <c r="A14392" s="1" t="s">
        <v>14392</v>
      </c>
      <c r="B14392" s="2" t="str">
        <f>IFERROR(__xludf.DUMMYFUNCTION("GOOGLETRANSLATE(A14392, ""de"", ""en"")"),"filter")</f>
        <v>filter</v>
      </c>
    </row>
    <row r="14393">
      <c r="A14393" s="1" t="s">
        <v>14393</v>
      </c>
      <c r="B14393" s="2" t="str">
        <f>IFERROR(__xludf.DUMMYFUNCTION("GOOGLETRANSLATE(A14393, ""de"", ""en"")"),"beatles")</f>
        <v>beatles</v>
      </c>
    </row>
    <row r="14394">
      <c r="A14394" s="1" t="s">
        <v>14394</v>
      </c>
      <c r="B14394" s="2" t="str">
        <f>IFERROR(__xludf.DUMMYFUNCTION("GOOGLETRANSLATE(A14394, ""de"", ""en"")"),"hisses")</f>
        <v>hisses</v>
      </c>
    </row>
    <row r="14395">
      <c r="A14395" s="1" t="s">
        <v>14395</v>
      </c>
      <c r="B14395" s="2" t="str">
        <f>IFERROR(__xludf.DUMMYFUNCTION("GOOGLETRANSLATE(A14395, ""de"", ""en"")"),"push through")</f>
        <v>push through</v>
      </c>
    </row>
    <row r="14396">
      <c r="A14396" s="1" t="s">
        <v>14396</v>
      </c>
      <c r="B14396" s="2" t="str">
        <f>IFERROR(__xludf.DUMMYFUNCTION("GOOGLETRANSLATE(A14396, ""de"", ""en"")"),"lurks")</f>
        <v>lurks</v>
      </c>
    </row>
    <row r="14397">
      <c r="A14397" s="1" t="s">
        <v>14397</v>
      </c>
      <c r="B14397" s="2" t="str">
        <f>IFERROR(__xludf.DUMMYFUNCTION("GOOGLETRANSLATE(A14397, ""de"", ""en"")"),"ride")</f>
        <v>ride</v>
      </c>
    </row>
    <row r="14398">
      <c r="A14398" s="1" t="s">
        <v>14398</v>
      </c>
      <c r="B14398" s="2" t="str">
        <f>IFERROR(__xludf.DUMMYFUNCTION("GOOGLETRANSLATE(A14398, ""de"", ""en"")"),"confirmed")</f>
        <v>confirmed</v>
      </c>
    </row>
    <row r="14399">
      <c r="A14399" s="1" t="s">
        <v>14399</v>
      </c>
      <c r="B14399" s="2" t="str">
        <f>IFERROR(__xludf.DUMMYFUNCTION("GOOGLETRANSLATE(A14399, ""de"", ""en"")"),"obey")</f>
        <v>obey</v>
      </c>
    </row>
    <row r="14400">
      <c r="A14400" s="1" t="s">
        <v>14400</v>
      </c>
      <c r="B14400" s="2" t="str">
        <f>IFERROR(__xludf.DUMMYFUNCTION("GOOGLETRANSLATE(A14400, ""de"", ""en"")"),"passage")</f>
        <v>passage</v>
      </c>
    </row>
    <row r="14401">
      <c r="A14401" s="1" t="s">
        <v>14401</v>
      </c>
      <c r="B14401" s="2" t="str">
        <f>IFERROR(__xludf.DUMMYFUNCTION("GOOGLETRANSLATE(A14401, ""de"", ""en"")"),"endless")</f>
        <v>endless</v>
      </c>
    </row>
    <row r="14402">
      <c r="A14402" s="1" t="s">
        <v>14402</v>
      </c>
      <c r="B14402" s="2" t="str">
        <f>IFERROR(__xludf.DUMMYFUNCTION("GOOGLETRANSLATE(A14402, ""de"", ""en"")"),"ridge")</f>
        <v>ridge</v>
      </c>
    </row>
    <row r="14403">
      <c r="A14403" s="1" t="s">
        <v>14403</v>
      </c>
      <c r="B14403" s="2" t="str">
        <f>IFERROR(__xludf.DUMMYFUNCTION("GOOGLETRANSLATE(A14403, ""de"", ""en"")"),"magical")</f>
        <v>magical</v>
      </c>
    </row>
    <row r="14404">
      <c r="A14404" s="1" t="s">
        <v>14404</v>
      </c>
      <c r="B14404" s="2" t="str">
        <f>IFERROR(__xludf.DUMMYFUNCTION("GOOGLETRANSLATE(A14404, ""de"", ""en"")"),"relatives")</f>
        <v>relatives</v>
      </c>
    </row>
    <row r="14405">
      <c r="A14405" s="1" t="s">
        <v>14405</v>
      </c>
      <c r="B14405" s="2" t="str">
        <f>IFERROR(__xludf.DUMMYFUNCTION("GOOGLETRANSLATE(A14405, ""de"", ""en"")"),"illegal")</f>
        <v>illegal</v>
      </c>
    </row>
    <row r="14406">
      <c r="A14406" s="1" t="s">
        <v>14406</v>
      </c>
      <c r="B14406" s="2" t="str">
        <f>IFERROR(__xludf.DUMMYFUNCTION("GOOGLETRANSLATE(A14406, ""de"", ""en"")"),"heal")</f>
        <v>heal</v>
      </c>
    </row>
    <row r="14407">
      <c r="A14407" s="1" t="s">
        <v>14407</v>
      </c>
      <c r="B14407" s="2" t="str">
        <f>IFERROR(__xludf.DUMMYFUNCTION("GOOGLETRANSLATE(A14407, ""de"", ""en"")"),"palm")</f>
        <v>palm</v>
      </c>
    </row>
    <row r="14408">
      <c r="A14408" s="1" t="s">
        <v>14408</v>
      </c>
      <c r="B14408" s="2" t="str">
        <f>IFERROR(__xludf.DUMMYFUNCTION("GOOGLETRANSLATE(A14408, ""de"", ""en"")"),"organized")</f>
        <v>organized</v>
      </c>
    </row>
    <row r="14409">
      <c r="A14409" s="1" t="s">
        <v>14409</v>
      </c>
      <c r="B14409" s="2" t="str">
        <f>IFERROR(__xludf.DUMMYFUNCTION("GOOGLETRANSLATE(A14409, ""de"", ""en"")"),"lucille")</f>
        <v>lucille</v>
      </c>
    </row>
    <row r="14410">
      <c r="A14410" s="1" t="s">
        <v>14410</v>
      </c>
      <c r="B14410" s="2" t="str">
        <f>IFERROR(__xludf.DUMMYFUNCTION("GOOGLETRANSLATE(A14410, ""de"", ""en"")"),"time of death")</f>
        <v>time of death</v>
      </c>
    </row>
    <row r="14411">
      <c r="A14411" s="1" t="s">
        <v>14411</v>
      </c>
      <c r="B14411" s="2" t="str">
        <f>IFERROR(__xludf.DUMMYFUNCTION("GOOGLETRANSLATE(A14411, ""de"", ""en"")"),"spirits")</f>
        <v>spirits</v>
      </c>
    </row>
    <row r="14412">
      <c r="A14412" s="1" t="s">
        <v>14412</v>
      </c>
      <c r="B14412" s="2" t="str">
        <f>IFERROR(__xludf.DUMMYFUNCTION("GOOGLETRANSLATE(A14412, ""de"", ""en"")"),"located")</f>
        <v>located</v>
      </c>
    </row>
    <row r="14413">
      <c r="A14413" s="1" t="s">
        <v>14413</v>
      </c>
      <c r="B14413" s="2" t="str">
        <f>IFERROR(__xludf.DUMMYFUNCTION("GOOGLETRANSLATE(A14413, ""de"", ""en"")"),"wife")</f>
        <v>wife</v>
      </c>
    </row>
    <row r="14414">
      <c r="A14414" s="1" t="s">
        <v>14414</v>
      </c>
      <c r="B14414" s="2" t="str">
        <f>IFERROR(__xludf.DUMMYFUNCTION("GOOGLETRANSLATE(A14414, ""de"", ""en"")"),"act")</f>
        <v>act</v>
      </c>
    </row>
    <row r="14415">
      <c r="A14415" s="1" t="s">
        <v>14415</v>
      </c>
      <c r="B14415" s="2" t="str">
        <f>IFERROR(__xludf.DUMMYFUNCTION("GOOGLETRANSLATE(A14415, ""de"", ""en"")"),"climb")</f>
        <v>climb</v>
      </c>
    </row>
    <row r="14416">
      <c r="A14416" s="1" t="s">
        <v>14416</v>
      </c>
      <c r="B14416" s="2" t="str">
        <f>IFERROR(__xludf.DUMMYFUNCTION("GOOGLETRANSLATE(A14416, ""de"", ""en"")"),"Tanya")</f>
        <v>Tanya</v>
      </c>
    </row>
    <row r="14417">
      <c r="A14417" s="1" t="s">
        <v>14417</v>
      </c>
      <c r="B14417" s="2" t="str">
        <f>IFERROR(__xludf.DUMMYFUNCTION("GOOGLETRANSLATE(A14417, ""de"", ""en"")"),"biggest")</f>
        <v>biggest</v>
      </c>
    </row>
    <row r="14418">
      <c r="A14418" s="1" t="s">
        <v>14418</v>
      </c>
      <c r="B14418" s="2" t="str">
        <f>IFERROR(__xludf.DUMMYFUNCTION("GOOGLETRANSLATE(A14418, ""de"", ""en"")"),"touchdown")</f>
        <v>touchdown</v>
      </c>
    </row>
    <row r="14419">
      <c r="A14419" s="1" t="s">
        <v>14419</v>
      </c>
      <c r="B14419" s="2" t="str">
        <f>IFERROR(__xludf.DUMMYFUNCTION("GOOGLETRANSLATE(A14419, ""de"", ""en"")"),"mate")</f>
        <v>mate</v>
      </c>
    </row>
    <row r="14420">
      <c r="A14420" s="1" t="s">
        <v>14420</v>
      </c>
      <c r="B14420" s="2" t="str">
        <f>IFERROR(__xludf.DUMMYFUNCTION("GOOGLETRANSLATE(A14420, ""de"", ""en"")"),"scans")</f>
        <v>scans</v>
      </c>
    </row>
    <row r="14421">
      <c r="A14421" s="1" t="s">
        <v>14421</v>
      </c>
      <c r="B14421" s="2" t="str">
        <f>IFERROR(__xludf.DUMMYFUNCTION("GOOGLETRANSLATE(A14421, ""de"", ""en"")"),"got out")</f>
        <v>got out</v>
      </c>
    </row>
    <row r="14422">
      <c r="A14422" s="1" t="s">
        <v>14422</v>
      </c>
      <c r="B14422" s="2" t="str">
        <f>IFERROR(__xludf.DUMMYFUNCTION("GOOGLETRANSLATE(A14422, ""de"", ""en"")"),"fourteen")</f>
        <v>fourteen</v>
      </c>
    </row>
    <row r="14423">
      <c r="A14423" s="1" t="s">
        <v>14423</v>
      </c>
      <c r="B14423" s="2" t="str">
        <f>IFERROR(__xludf.DUMMYFUNCTION("GOOGLETRANSLATE(A14423, ""de"", ""en"")"),"mixed")</f>
        <v>mixed</v>
      </c>
    </row>
    <row r="14424">
      <c r="A14424" s="1" t="s">
        <v>14424</v>
      </c>
      <c r="B14424" s="2" t="str">
        <f>IFERROR(__xludf.DUMMYFUNCTION("GOOGLETRANSLATE(A14424, ""de"", ""en"")"),"get out")</f>
        <v>get out</v>
      </c>
    </row>
    <row r="14425">
      <c r="A14425" s="1" t="s">
        <v>14425</v>
      </c>
      <c r="B14425" s="2" t="str">
        <f>IFERROR(__xludf.DUMMYFUNCTION("GOOGLETRANSLATE(A14425, ""de"", ""en"")"),"gives way")</f>
        <v>gives way</v>
      </c>
    </row>
    <row r="14426">
      <c r="A14426" s="1" t="s">
        <v>14426</v>
      </c>
      <c r="B14426" s="2" t="str">
        <f>IFERROR(__xludf.DUMMYFUNCTION("GOOGLETRANSLATE(A14426, ""de"", ""en"")"),"untranslated")</f>
        <v>untranslated</v>
      </c>
    </row>
    <row r="14427">
      <c r="A14427" s="1" t="s">
        <v>14427</v>
      </c>
      <c r="B14427" s="2" t="str">
        <f>IFERROR(__xludf.DUMMYFUNCTION("GOOGLETRANSLATE(A14427, ""de"", ""en"")"),"downhill")</f>
        <v>downhill</v>
      </c>
    </row>
    <row r="14428">
      <c r="A14428" s="1" t="s">
        <v>14428</v>
      </c>
      <c r="B14428" s="2" t="str">
        <f>IFERROR(__xludf.DUMMYFUNCTION("GOOGLETRANSLATE(A14428, ""de"", ""en"")"),"screw")</f>
        <v>screw</v>
      </c>
    </row>
    <row r="14429">
      <c r="A14429" s="1" t="s">
        <v>14429</v>
      </c>
      <c r="B14429" s="2" t="str">
        <f>IFERROR(__xludf.DUMMYFUNCTION("GOOGLETRANSLATE(A14429, ""de"", ""en"")"),"cortez")</f>
        <v>cortez</v>
      </c>
    </row>
    <row r="14430">
      <c r="A14430" s="1" t="s">
        <v>14430</v>
      </c>
      <c r="B14430" s="2" t="str">
        <f>IFERROR(__xludf.DUMMYFUNCTION("GOOGLETRANSLATE(A14430, ""de"", ""en"")"),"cut open")</f>
        <v>cut open</v>
      </c>
    </row>
    <row r="14431">
      <c r="A14431" s="1" t="s">
        <v>14431</v>
      </c>
      <c r="B14431" s="2" t="str">
        <f>IFERROR(__xludf.DUMMYFUNCTION("GOOGLETRANSLATE(A14431, ""de"", ""en"")"),"more fundamentally good")</f>
        <v>more fundamentally good</v>
      </c>
    </row>
    <row r="14432">
      <c r="A14432" s="1" t="s">
        <v>14432</v>
      </c>
      <c r="B14432" s="2" t="str">
        <f>IFERROR(__xludf.DUMMYFUNCTION("GOOGLETRANSLATE(A14432, ""de"", ""en"")"),"ground floor")</f>
        <v>ground floor</v>
      </c>
    </row>
    <row r="14433">
      <c r="A14433" s="1" t="s">
        <v>14433</v>
      </c>
      <c r="B14433" s="2" t="str">
        <f>IFERROR(__xludf.DUMMYFUNCTION("GOOGLETRANSLATE(A14433, ""de"", ""en"")"),"arrange")</f>
        <v>arrange</v>
      </c>
    </row>
    <row r="14434">
      <c r="A14434" s="1" t="s">
        <v>14434</v>
      </c>
      <c r="B14434" s="2" t="str">
        <f>IFERROR(__xludf.DUMMYFUNCTION("GOOGLETRANSLATE(A14434, ""de"", ""en"")"),"militia")</f>
        <v>militia</v>
      </c>
    </row>
    <row r="14435">
      <c r="A14435" s="1" t="s">
        <v>14435</v>
      </c>
      <c r="B14435" s="2" t="str">
        <f>IFERROR(__xludf.DUMMYFUNCTION("GOOGLETRANSLATE(A14435, ""de"", ""en"")"),"require")</f>
        <v>require</v>
      </c>
    </row>
    <row r="14436">
      <c r="A14436" s="1" t="s">
        <v>14436</v>
      </c>
      <c r="B14436" s="2" t="str">
        <f>IFERROR(__xludf.DUMMYFUNCTION("GOOGLETRANSLATE(A14436, ""de"", ""en"")"),"umpteen")</f>
        <v>umpteen</v>
      </c>
    </row>
    <row r="14437">
      <c r="A14437" s="1" t="s">
        <v>14437</v>
      </c>
      <c r="B14437" s="2" t="str">
        <f>IFERROR(__xludf.DUMMYFUNCTION("GOOGLETRANSLATE(A14437, ""de"", ""en"")"),"cucumbers")</f>
        <v>cucumbers</v>
      </c>
    </row>
    <row r="14438">
      <c r="A14438" s="1" t="s">
        <v>14438</v>
      </c>
      <c r="B14438" s="2" t="str">
        <f>IFERROR(__xludf.DUMMYFUNCTION("GOOGLETRANSLATE(A14438, ""de"", ""en"")"),"quarter of an hour")</f>
        <v>quarter of an hour</v>
      </c>
    </row>
    <row r="14439">
      <c r="A14439" s="1" t="s">
        <v>14439</v>
      </c>
      <c r="B14439" s="2" t="str">
        <f>IFERROR(__xludf.DUMMYFUNCTION("GOOGLETRANSLATE(A14439, ""de"", ""en"")"),"tech")</f>
        <v>tech</v>
      </c>
    </row>
    <row r="14440">
      <c r="A14440" s="1" t="s">
        <v>14440</v>
      </c>
      <c r="B14440" s="2" t="str">
        <f>IFERROR(__xludf.DUMMYFUNCTION("GOOGLETRANSLATE(A14440, ""de"", ""en"")"),"humility")</f>
        <v>humility</v>
      </c>
    </row>
    <row r="14441">
      <c r="A14441" s="1" t="s">
        <v>14441</v>
      </c>
      <c r="B14441" s="2" t="str">
        <f>IFERROR(__xludf.DUMMYFUNCTION("GOOGLETRANSLATE(A14441, ""de"", ""en"")"),"Americans")</f>
        <v>Americans</v>
      </c>
    </row>
    <row r="14442">
      <c r="A14442" s="1" t="s">
        <v>14442</v>
      </c>
      <c r="B14442" s="2" t="str">
        <f>IFERROR(__xludf.DUMMYFUNCTION("GOOGLETRANSLATE(A14442, ""de"", ""en"")"),"superior")</f>
        <v>superior</v>
      </c>
    </row>
    <row r="14443">
      <c r="A14443" s="1" t="s">
        <v>14443</v>
      </c>
      <c r="B14443" s="2" t="str">
        <f>IFERROR(__xludf.DUMMYFUNCTION("GOOGLETRANSLATE(A14443, ""de"", ""en"")"),"stingy")</f>
        <v>stingy</v>
      </c>
    </row>
    <row r="14444">
      <c r="A14444" s="1" t="s">
        <v>14444</v>
      </c>
      <c r="B14444" s="2" t="str">
        <f>IFERROR(__xludf.DUMMYFUNCTION("GOOGLETRANSLATE(A14444, ""de"", ""en"")"),"diamond")</f>
        <v>diamond</v>
      </c>
    </row>
    <row r="14445">
      <c r="A14445" s="1" t="s">
        <v>14445</v>
      </c>
      <c r="B14445" s="2" t="str">
        <f>IFERROR(__xludf.DUMMYFUNCTION("GOOGLETRANSLATE(A14445, ""de"", ""en"")"),"looking")</f>
        <v>looking</v>
      </c>
    </row>
    <row r="14446">
      <c r="A14446" s="1" t="s">
        <v>14446</v>
      </c>
      <c r="B14446" s="2" t="str">
        <f>IFERROR(__xludf.DUMMYFUNCTION("GOOGLETRANSLATE(A14446, ""de"", ""en"")"),"robs")</f>
        <v>robs</v>
      </c>
    </row>
    <row r="14447">
      <c r="A14447" s="1" t="s">
        <v>14447</v>
      </c>
      <c r="B14447" s="2" t="str">
        <f>IFERROR(__xludf.DUMMYFUNCTION("GOOGLETRANSLATE(A14447, ""de"", ""en"")"),"skeptical")</f>
        <v>skeptical</v>
      </c>
    </row>
    <row r="14448">
      <c r="A14448" s="1" t="s">
        <v>14448</v>
      </c>
      <c r="B14448" s="2" t="str">
        <f>IFERROR(__xludf.DUMMYFUNCTION("GOOGLETRANSLATE(A14448, ""de"", ""en"")"),"erich")</f>
        <v>erich</v>
      </c>
    </row>
    <row r="14449">
      <c r="A14449" s="1" t="s">
        <v>14449</v>
      </c>
      <c r="B14449" s="2" t="str">
        <f>IFERROR(__xludf.DUMMYFUNCTION("GOOGLETRANSLATE(A14449, ""de"", ""en"")"),"deaths")</f>
        <v>deaths</v>
      </c>
    </row>
    <row r="14450">
      <c r="A14450" s="1" t="s">
        <v>14450</v>
      </c>
      <c r="B14450" s="2" t="str">
        <f>IFERROR(__xludf.DUMMYFUNCTION("GOOGLETRANSLATE(A14450, ""de"", ""en"")"),"divine")</f>
        <v>divine</v>
      </c>
    </row>
    <row r="14451">
      <c r="A14451" s="1" t="s">
        <v>14451</v>
      </c>
      <c r="B14451" s="2" t="str">
        <f>IFERROR(__xludf.DUMMYFUNCTION("GOOGLETRANSLATE(A14451, ""de"", ""en"")"),"sit down")</f>
        <v>sit down</v>
      </c>
    </row>
    <row r="14452">
      <c r="A14452" s="1" t="s">
        <v>14452</v>
      </c>
      <c r="B14452" s="2" t="str">
        <f>IFERROR(__xludf.DUMMYFUNCTION("GOOGLETRANSLATE(A14452, ""de"", ""en"")"),"conflicts")</f>
        <v>conflicts</v>
      </c>
    </row>
    <row r="14453">
      <c r="A14453" s="1" t="s">
        <v>14453</v>
      </c>
      <c r="B14453" s="2" t="str">
        <f>IFERROR(__xludf.DUMMYFUNCTION("GOOGLETRANSLATE(A14453, ""de"", ""en"")"),"throw")</f>
        <v>throw</v>
      </c>
    </row>
    <row r="14454">
      <c r="A14454" s="1" t="s">
        <v>14454</v>
      </c>
      <c r="B14454" s="2" t="str">
        <f>IFERROR(__xludf.DUMMYFUNCTION("GOOGLETRANSLATE(A14454, ""de"", ""en"")"),"visa")</f>
        <v>visa</v>
      </c>
    </row>
    <row r="14455">
      <c r="A14455" s="1" t="s">
        <v>14455</v>
      </c>
      <c r="B14455" s="2" t="str">
        <f>IFERROR(__xludf.DUMMYFUNCTION("GOOGLETRANSLATE(A14455, ""de"", ""en"")"),"mosquitoes")</f>
        <v>mosquitoes</v>
      </c>
    </row>
    <row r="14456">
      <c r="A14456" s="1" t="s">
        <v>14456</v>
      </c>
      <c r="B14456" s="2" t="str">
        <f>IFERROR(__xludf.DUMMYFUNCTION("GOOGLETRANSLATE(A14456, ""de"", ""en"")"),"looked at")</f>
        <v>looked at</v>
      </c>
    </row>
    <row r="14457">
      <c r="A14457" s="1" t="s">
        <v>14457</v>
      </c>
      <c r="B14457" s="2" t="str">
        <f>IFERROR(__xludf.DUMMYFUNCTION("GOOGLETRANSLATE(A14457, ""de"", ""en"")"),"novels")</f>
        <v>novels</v>
      </c>
    </row>
    <row r="14458">
      <c r="A14458" s="1" t="s">
        <v>14458</v>
      </c>
      <c r="B14458" s="2" t="str">
        <f>IFERROR(__xludf.DUMMYFUNCTION("GOOGLETRANSLATE(A14458, ""de"", ""en"")"),"grail")</f>
        <v>grail</v>
      </c>
    </row>
    <row r="14459">
      <c r="A14459" s="1" t="s">
        <v>14459</v>
      </c>
      <c r="B14459" s="2" t="str">
        <f>IFERROR(__xludf.DUMMYFUNCTION("GOOGLETRANSLATE(A14459, ""de"", ""en"")"),"prompted")</f>
        <v>prompted</v>
      </c>
    </row>
    <row r="14460">
      <c r="A14460" s="1" t="s">
        <v>14460</v>
      </c>
      <c r="B14460" s="2" t="str">
        <f>IFERROR(__xludf.DUMMYFUNCTION("GOOGLETRANSLATE(A14460, ""de"", ""en"")"),"channing")</f>
        <v>channing</v>
      </c>
    </row>
    <row r="14461">
      <c r="A14461" s="1" t="s">
        <v>14461</v>
      </c>
      <c r="B14461" s="2" t="str">
        <f>IFERROR(__xludf.DUMMYFUNCTION("GOOGLETRANSLATE(A14461, ""de"", ""en"")"),"unfortunate")</f>
        <v>unfortunate</v>
      </c>
    </row>
    <row r="14462">
      <c r="A14462" s="1" t="s">
        <v>14462</v>
      </c>
      <c r="B14462" s="2" t="str">
        <f>IFERROR(__xludf.DUMMYFUNCTION("GOOGLETRANSLATE(A14462, ""de"", ""en"")"),"publisher")</f>
        <v>publisher</v>
      </c>
    </row>
    <row r="14463">
      <c r="A14463" s="1" t="s">
        <v>14463</v>
      </c>
      <c r="B14463" s="2" t="str">
        <f>IFERROR(__xludf.DUMMYFUNCTION("GOOGLETRANSLATE(A14463, ""de"", ""en"")"),"snorts")</f>
        <v>snorts</v>
      </c>
    </row>
    <row r="14464">
      <c r="A14464" s="1" t="s">
        <v>14464</v>
      </c>
      <c r="B14464" s="2" t="str">
        <f>IFERROR(__xludf.DUMMYFUNCTION("GOOGLETRANSLATE(A14464, ""de"", ""en"")"),"clean up")</f>
        <v>clean up</v>
      </c>
    </row>
    <row r="14465">
      <c r="A14465" s="1" t="s">
        <v>14465</v>
      </c>
      <c r="B14465" s="2" t="str">
        <f>IFERROR(__xludf.DUMMYFUNCTION("GOOGLETRANSLATE(A14465, ""de"", ""en"")"),"Niko")</f>
        <v>Niko</v>
      </c>
    </row>
    <row r="14466">
      <c r="A14466" s="1" t="s">
        <v>14466</v>
      </c>
      <c r="B14466" s="2" t="str">
        <f>IFERROR(__xludf.DUMMYFUNCTION("GOOGLETRANSLATE(A14466, ""de"", ""en"")"),"symptom")</f>
        <v>symptom</v>
      </c>
    </row>
    <row r="14467">
      <c r="A14467" s="1" t="s">
        <v>14467</v>
      </c>
      <c r="B14467" s="2" t="str">
        <f>IFERROR(__xludf.DUMMYFUNCTION("GOOGLETRANSLATE(A14467, ""de"", ""en"")"),"shot at")</f>
        <v>shot at</v>
      </c>
    </row>
    <row r="14468">
      <c r="A14468" s="1" t="s">
        <v>14468</v>
      </c>
      <c r="B14468" s="2" t="str">
        <f>IFERROR(__xludf.DUMMYFUNCTION("GOOGLETRANSLATE(A14468, ""de"", ""en"")"),"princeton")</f>
        <v>princeton</v>
      </c>
    </row>
    <row r="14469">
      <c r="A14469" s="1" t="s">
        <v>14469</v>
      </c>
      <c r="B14469" s="2" t="str">
        <f>IFERROR(__xludf.DUMMYFUNCTION("GOOGLETRANSLATE(A14469, ""de"", ""en"")"),"volatile")</f>
        <v>volatile</v>
      </c>
    </row>
    <row r="14470">
      <c r="A14470" s="1" t="s">
        <v>14470</v>
      </c>
      <c r="B14470" s="2" t="str">
        <f>IFERROR(__xludf.DUMMYFUNCTION("GOOGLETRANSLATE(A14470, ""de"", ""en"")"),"skill")</f>
        <v>skill</v>
      </c>
    </row>
    <row r="14471">
      <c r="A14471" s="1" t="s">
        <v>14471</v>
      </c>
      <c r="B14471" s="2" t="str">
        <f>IFERROR(__xludf.DUMMYFUNCTION("GOOGLETRANSLATE(A14471, ""de"", ""en"")"),"pigeon")</f>
        <v>pigeon</v>
      </c>
    </row>
    <row r="14472">
      <c r="A14472" s="1" t="s">
        <v>14472</v>
      </c>
      <c r="B14472" s="2" t="str">
        <f>IFERROR(__xludf.DUMMYFUNCTION("GOOGLETRANSLATE(A14472, ""de"", ""en"")"),"family member")</f>
        <v>family member</v>
      </c>
    </row>
    <row r="14473">
      <c r="A14473" s="1" t="s">
        <v>14473</v>
      </c>
      <c r="B14473" s="2" t="str">
        <f>IFERROR(__xludf.DUMMYFUNCTION("GOOGLETRANSLATE(A14473, ""de"", ""en"")"),"reins")</f>
        <v>reins</v>
      </c>
    </row>
    <row r="14474">
      <c r="A14474" s="1" t="s">
        <v>14474</v>
      </c>
      <c r="B14474" s="2" t="str">
        <f>IFERROR(__xludf.DUMMYFUNCTION("GOOGLETRANSLATE(A14474, ""de"", ""en"")"),"flow")</f>
        <v>flow</v>
      </c>
    </row>
    <row r="14475">
      <c r="A14475" s="1" t="s">
        <v>14475</v>
      </c>
      <c r="B14475" s="2" t="str">
        <f>IFERROR(__xludf.DUMMYFUNCTION("GOOGLETRANSLATE(A14475, ""de"", ""en"")"),"pass")</f>
        <v>pass</v>
      </c>
    </row>
    <row r="14476">
      <c r="A14476" s="1" t="s">
        <v>14476</v>
      </c>
      <c r="B14476" s="2" t="str">
        <f>IFERROR(__xludf.DUMMYFUNCTION("GOOGLETRANSLATE(A14476, ""de"", ""en"")"),"retrieved")</f>
        <v>retrieved</v>
      </c>
    </row>
    <row r="14477">
      <c r="A14477" s="1" t="s">
        <v>14477</v>
      </c>
      <c r="B14477" s="2" t="str">
        <f>IFERROR(__xludf.DUMMYFUNCTION("GOOGLETRANSLATE(A14477, ""de"", ""en"")"),"invoice")</f>
        <v>invoice</v>
      </c>
    </row>
    <row r="14478">
      <c r="A14478" s="1" t="s">
        <v>14478</v>
      </c>
      <c r="B14478" s="2" t="str">
        <f>IFERROR(__xludf.DUMMYFUNCTION("GOOGLETRANSLATE(A14478, ""de"", ""en"")"),"shoot")</f>
        <v>shoot</v>
      </c>
    </row>
    <row r="14479">
      <c r="A14479" s="1" t="s">
        <v>14479</v>
      </c>
      <c r="B14479" s="2" t="str">
        <f>IFERROR(__xludf.DUMMYFUNCTION("GOOGLETRANSLATE(A14479, ""de"", ""en"")"),"tax office")</f>
        <v>tax office</v>
      </c>
    </row>
    <row r="14480">
      <c r="A14480" s="1" t="s">
        <v>14480</v>
      </c>
      <c r="B14480" s="2" t="str">
        <f>IFERROR(__xludf.DUMMYFUNCTION("GOOGLETRANSLATE(A14480, ""de"", ""en"")"),"spotlight")</f>
        <v>spotlight</v>
      </c>
    </row>
    <row r="14481">
      <c r="A14481" s="1" t="s">
        <v>14481</v>
      </c>
      <c r="B14481" s="2" t="str">
        <f>IFERROR(__xludf.DUMMYFUNCTION("GOOGLETRANSLATE(A14481, ""de"", ""en"")"),"dragged")</f>
        <v>dragged</v>
      </c>
    </row>
    <row r="14482">
      <c r="A14482" s="1" t="s">
        <v>14482</v>
      </c>
      <c r="B14482" s="2" t="str">
        <f>IFERROR(__xludf.DUMMYFUNCTION("GOOGLETRANSLATE(A14482, ""de"", ""en"")"),"tracking transmitter")</f>
        <v>tracking transmitter</v>
      </c>
    </row>
    <row r="14483">
      <c r="A14483" s="1" t="s">
        <v>14483</v>
      </c>
      <c r="B14483" s="2" t="str">
        <f>IFERROR(__xludf.DUMMYFUNCTION("GOOGLETRANSLATE(A14483, ""de"", ""en"")"),"through")</f>
        <v>through</v>
      </c>
    </row>
    <row r="14484">
      <c r="A14484" s="1" t="s">
        <v>14484</v>
      </c>
      <c r="B14484" s="2" t="str">
        <f>IFERROR(__xludf.DUMMYFUNCTION("GOOGLETRANSLATE(A14484, ""de"", ""en"")"),"yin")</f>
        <v>yin</v>
      </c>
    </row>
    <row r="14485">
      <c r="A14485" s="1" t="s">
        <v>14485</v>
      </c>
      <c r="B14485" s="2" t="str">
        <f>IFERROR(__xludf.DUMMYFUNCTION("GOOGLETRANSLATE(A14485, ""de"", ""en"")"),"inn")</f>
        <v>inn</v>
      </c>
    </row>
    <row r="14486">
      <c r="A14486" s="1" t="s">
        <v>14486</v>
      </c>
      <c r="B14486" s="2" t="str">
        <f>IFERROR(__xludf.DUMMYFUNCTION("GOOGLETRANSLATE(A14486, ""de"", ""en"")"),"elle")</f>
        <v>elle</v>
      </c>
    </row>
    <row r="14487">
      <c r="A14487" s="1" t="s">
        <v>14487</v>
      </c>
      <c r="B14487" s="2" t="str">
        <f>IFERROR(__xludf.DUMMYFUNCTION("GOOGLETRANSLATE(A14487, ""de"", ""en"")"),"twitch")</f>
        <v>twitch</v>
      </c>
    </row>
    <row r="14488">
      <c r="A14488" s="1" t="s">
        <v>14488</v>
      </c>
      <c r="B14488" s="2" t="str">
        <f>IFERROR(__xludf.DUMMYFUNCTION("GOOGLETRANSLATE(A14488, ""de"", ""en"")"),"sleep")</f>
        <v>sleep</v>
      </c>
    </row>
    <row r="14489">
      <c r="A14489" s="1" t="s">
        <v>14489</v>
      </c>
      <c r="B14489" s="2" t="str">
        <f>IFERROR(__xludf.DUMMYFUNCTION("GOOGLETRANSLATE(A14489, ""de"", ""en"")"),"complete idiot")</f>
        <v>complete idiot</v>
      </c>
    </row>
    <row r="14490">
      <c r="A14490" s="1" t="s">
        <v>14490</v>
      </c>
      <c r="B14490" s="2" t="str">
        <f>IFERROR(__xludf.DUMMYFUNCTION("GOOGLETRANSLATE(A14490, ""de"", ""en"")"),"breathtaking")</f>
        <v>breathtaking</v>
      </c>
    </row>
    <row r="14491">
      <c r="A14491" s="1" t="s">
        <v>14491</v>
      </c>
      <c r="B14491" s="2" t="str">
        <f>IFERROR(__xludf.DUMMYFUNCTION("GOOGLETRANSLATE(A14491, ""de"", ""en"")"),"Gisborne")</f>
        <v>Gisborne</v>
      </c>
    </row>
    <row r="14492">
      <c r="A14492" s="1" t="s">
        <v>14492</v>
      </c>
      <c r="B14492" s="2" t="str">
        <f>IFERROR(__xludf.DUMMYFUNCTION("GOOGLETRANSLATE(A14492, ""de"", ""en"")"),"Hayden")</f>
        <v>Hayden</v>
      </c>
    </row>
    <row r="14493">
      <c r="A14493" s="1" t="s">
        <v>14493</v>
      </c>
      <c r="B14493" s="2" t="str">
        <f>IFERROR(__xludf.DUMMYFUNCTION("GOOGLETRANSLATE(A14493, ""de"", ""en"")"),"rose")</f>
        <v>rose</v>
      </c>
    </row>
    <row r="14494">
      <c r="A14494" s="1" t="s">
        <v>14494</v>
      </c>
      <c r="B14494" s="2" t="str">
        <f>IFERROR(__xludf.DUMMYFUNCTION("GOOGLETRANSLATE(A14494, ""de"", ""en"")"),"enormous")</f>
        <v>enormous</v>
      </c>
    </row>
    <row r="14495">
      <c r="A14495" s="1" t="s">
        <v>14495</v>
      </c>
      <c r="B14495" s="2" t="str">
        <f>IFERROR(__xludf.DUMMYFUNCTION("GOOGLETRANSLATE(A14495, ""de"", ""en"")"),"realize")</f>
        <v>realize</v>
      </c>
    </row>
    <row r="14496">
      <c r="A14496" s="1" t="s">
        <v>14496</v>
      </c>
      <c r="B14496" s="2" t="str">
        <f>IFERROR(__xludf.DUMMYFUNCTION("GOOGLETRANSLATE(A14496, ""de"", ""en"")"),"physical")</f>
        <v>physical</v>
      </c>
    </row>
    <row r="14497">
      <c r="A14497" s="1" t="s">
        <v>14497</v>
      </c>
      <c r="B14497" s="2" t="str">
        <f>IFERROR(__xludf.DUMMYFUNCTION("GOOGLETRANSLATE(A14497, ""de"", ""en"")"),"mirror image")</f>
        <v>mirror image</v>
      </c>
    </row>
    <row r="14498">
      <c r="A14498" s="1" t="s">
        <v>14498</v>
      </c>
      <c r="B14498" s="2" t="str">
        <f>IFERROR(__xludf.DUMMYFUNCTION("GOOGLETRANSLATE(A14498, ""de"", ""en"")"),"vin")</f>
        <v>vin</v>
      </c>
    </row>
    <row r="14499">
      <c r="A14499" s="1" t="s">
        <v>14499</v>
      </c>
      <c r="B14499" s="2" t="str">
        <f>IFERROR(__xludf.DUMMYFUNCTION("GOOGLETRANSLATE(A14499, ""de"", ""en"")"),"parrish")</f>
        <v>parrish</v>
      </c>
    </row>
    <row r="14500">
      <c r="A14500" s="1" t="s">
        <v>14500</v>
      </c>
      <c r="B14500" s="2" t="str">
        <f>IFERROR(__xludf.DUMMYFUNCTION("GOOGLETRANSLATE(A14500, ""de"", ""en"")"),"sexuality")</f>
        <v>sexuality</v>
      </c>
    </row>
    <row r="14501">
      <c r="A14501" s="1" t="s">
        <v>14501</v>
      </c>
      <c r="B14501" s="2" t="str">
        <f>IFERROR(__xludf.DUMMYFUNCTION("GOOGLETRANSLATE(A14501, ""de"", ""en"")"),"heartless")</f>
        <v>heartless</v>
      </c>
    </row>
    <row r="14502">
      <c r="A14502" s="1" t="s">
        <v>14502</v>
      </c>
      <c r="B14502" s="2" t="str">
        <f>IFERROR(__xludf.DUMMYFUNCTION("GOOGLETRANSLATE(A14502, ""de"", ""en"")"),"Remy")</f>
        <v>Remy</v>
      </c>
    </row>
    <row r="14503">
      <c r="A14503" s="1" t="s">
        <v>14503</v>
      </c>
      <c r="B14503" s="2" t="str">
        <f>IFERROR(__xludf.DUMMYFUNCTION("GOOGLETRANSLATE(A14503, ""de"", ""en"")"),"cosmos")</f>
        <v>cosmos</v>
      </c>
    </row>
    <row r="14504">
      <c r="A14504" s="1" t="s">
        <v>14504</v>
      </c>
      <c r="B14504" s="2" t="str">
        <f>IFERROR(__xludf.DUMMYFUNCTION("GOOGLETRANSLATE(A14504, ""de"", ""en"")"),"packages")</f>
        <v>packages</v>
      </c>
    </row>
    <row r="14505">
      <c r="A14505" s="1" t="s">
        <v>14505</v>
      </c>
      <c r="B14505" s="2" t="str">
        <f>IFERROR(__xludf.DUMMYFUNCTION("GOOGLETRANSLATE(A14505, ""de"", ""en"")"),"eliza")</f>
        <v>eliza</v>
      </c>
    </row>
    <row r="14506">
      <c r="A14506" s="1" t="s">
        <v>14506</v>
      </c>
      <c r="B14506" s="2" t="str">
        <f>IFERROR(__xludf.DUMMYFUNCTION("GOOGLETRANSLATE(A14506, ""de"", ""en"")"),"came here")</f>
        <v>came here</v>
      </c>
    </row>
    <row r="14507">
      <c r="A14507" s="1" t="s">
        <v>14507</v>
      </c>
      <c r="B14507" s="2" t="str">
        <f>IFERROR(__xludf.DUMMYFUNCTION("GOOGLETRANSLATE(A14507, ""de"", ""en"")"),"Norton")</f>
        <v>Norton</v>
      </c>
    </row>
    <row r="14508">
      <c r="A14508" s="1" t="s">
        <v>14508</v>
      </c>
      <c r="B14508" s="2" t="str">
        <f>IFERROR(__xludf.DUMMYFUNCTION("GOOGLETRANSLATE(A14508, ""de"", ""en"")"),"gino")</f>
        <v>gino</v>
      </c>
    </row>
    <row r="14509">
      <c r="A14509" s="1" t="s">
        <v>14509</v>
      </c>
      <c r="B14509" s="2" t="str">
        <f>IFERROR(__xludf.DUMMYFUNCTION("GOOGLETRANSLATE(A14509, ""de"", ""en"")"),"offers")</f>
        <v>offers</v>
      </c>
    </row>
    <row r="14510">
      <c r="A14510" s="1" t="s">
        <v>14510</v>
      </c>
      <c r="B14510" s="2" t="str">
        <f>IFERROR(__xludf.DUMMYFUNCTION("GOOGLETRANSLATE(A14510, ""de"", ""en"")"),"Singapore")</f>
        <v>Singapore</v>
      </c>
    </row>
    <row r="14511">
      <c r="A14511" s="1" t="s">
        <v>14511</v>
      </c>
      <c r="B14511" s="2" t="str">
        <f>IFERROR(__xludf.DUMMYFUNCTION("GOOGLETRANSLATE(A14511, ""de"", ""en"")"),"wha")</f>
        <v>wha</v>
      </c>
    </row>
    <row r="14512">
      <c r="A14512" s="1" t="s">
        <v>14512</v>
      </c>
      <c r="B14512" s="2" t="str">
        <f>IFERROR(__xludf.DUMMYFUNCTION("GOOGLETRANSLATE(A14512, ""de"", ""en"")"),"dresser")</f>
        <v>dresser</v>
      </c>
    </row>
    <row r="14513">
      <c r="A14513" s="1" t="s">
        <v>14513</v>
      </c>
      <c r="B14513" s="2" t="str">
        <f>IFERROR(__xludf.DUMMYFUNCTION("GOOGLETRANSLATE(A14513, ""de"", ""en"")"),"to penetrate")</f>
        <v>to penetrate</v>
      </c>
    </row>
    <row r="14514">
      <c r="A14514" s="1" t="s">
        <v>14514</v>
      </c>
      <c r="B14514" s="2" t="str">
        <f>IFERROR(__xludf.DUMMYFUNCTION("GOOGLETRANSLATE(A14514, ""de"", ""en"")"),"terminal")</f>
        <v>terminal</v>
      </c>
    </row>
    <row r="14515">
      <c r="A14515" s="1" t="s">
        <v>14515</v>
      </c>
      <c r="B14515" s="2" t="str">
        <f>IFERROR(__xludf.DUMMYFUNCTION("GOOGLETRANSLATE(A14515, ""de"", ""en"")"),"push away")</f>
        <v>push away</v>
      </c>
    </row>
    <row r="14516">
      <c r="A14516" s="1" t="s">
        <v>14516</v>
      </c>
      <c r="B14516" s="2" t="str">
        <f>IFERROR(__xludf.DUMMYFUNCTION("GOOGLETRANSLATE(A14516, ""de"", ""en"")"),"final station")</f>
        <v>final station</v>
      </c>
    </row>
    <row r="14517">
      <c r="A14517" s="1" t="s">
        <v>14517</v>
      </c>
      <c r="B14517" s="2" t="str">
        <f>IFERROR(__xludf.DUMMYFUNCTION("GOOGLETRANSLATE(A14517, ""de"", ""en"")"),"supervisor")</f>
        <v>supervisor</v>
      </c>
    </row>
    <row r="14518">
      <c r="A14518" s="1" t="s">
        <v>14518</v>
      </c>
      <c r="B14518" s="2" t="str">
        <f>IFERROR(__xludf.DUMMYFUNCTION("GOOGLETRANSLATE(A14518, ""de"", ""en"")"),"alertness")</f>
        <v>alertness</v>
      </c>
    </row>
    <row r="14519">
      <c r="A14519" s="1" t="s">
        <v>14519</v>
      </c>
      <c r="B14519" s="2" t="str">
        <f>IFERROR(__xludf.DUMMYFUNCTION("GOOGLETRANSLATE(A14519, ""de"", ""en"")"),"insights")</f>
        <v>insights</v>
      </c>
    </row>
    <row r="14520">
      <c r="A14520" s="1" t="s">
        <v>14520</v>
      </c>
      <c r="B14520" s="2" t="str">
        <f>IFERROR(__xludf.DUMMYFUNCTION("GOOGLETRANSLATE(A14520, ""de"", ""en"")"),"newbie")</f>
        <v>newbie</v>
      </c>
    </row>
    <row r="14521">
      <c r="A14521" s="1" t="s">
        <v>14521</v>
      </c>
      <c r="B14521" s="2" t="str">
        <f>IFERROR(__xludf.DUMMYFUNCTION("GOOGLETRANSLATE(A14521, ""de"", ""en"")"),"revered")</f>
        <v>revered</v>
      </c>
    </row>
    <row r="14522">
      <c r="A14522" s="1" t="s">
        <v>14522</v>
      </c>
      <c r="B14522" s="2" t="str">
        <f>IFERROR(__xludf.DUMMYFUNCTION("GOOGLETRANSLATE(A14522, ""de"", ""en"")"),"troll")</f>
        <v>troll</v>
      </c>
    </row>
    <row r="14523">
      <c r="A14523" s="1" t="s">
        <v>14523</v>
      </c>
      <c r="B14523" s="2" t="str">
        <f>IFERROR(__xludf.DUMMYFUNCTION("GOOGLETRANSLATE(A14523, ""de"", ""en"")"),"bookmaker")</f>
        <v>bookmaker</v>
      </c>
    </row>
    <row r="14524">
      <c r="A14524" s="1" t="s">
        <v>14524</v>
      </c>
      <c r="B14524" s="2" t="str">
        <f>IFERROR(__xludf.DUMMYFUNCTION("GOOGLETRANSLATE(A14524, ""de"", ""en"")"),"prayed")</f>
        <v>prayed</v>
      </c>
    </row>
    <row r="14525">
      <c r="A14525" s="1" t="s">
        <v>14525</v>
      </c>
      <c r="B14525" s="2" t="str">
        <f>IFERROR(__xludf.DUMMYFUNCTION("GOOGLETRANSLATE(A14525, ""de"", ""en"")"),"cared for")</f>
        <v>cared for</v>
      </c>
    </row>
    <row r="14526">
      <c r="A14526" s="1" t="s">
        <v>14526</v>
      </c>
      <c r="B14526" s="2" t="str">
        <f>IFERROR(__xludf.DUMMYFUNCTION("GOOGLETRANSLATE(A14526, ""de"", ""en"")"),"rhonda")</f>
        <v>rhonda</v>
      </c>
    </row>
    <row r="14527">
      <c r="A14527" s="1" t="s">
        <v>14527</v>
      </c>
      <c r="B14527" s="2" t="str">
        <f>IFERROR(__xludf.DUMMYFUNCTION("GOOGLETRANSLATE(A14527, ""de"", ""en"")"),"head of security")</f>
        <v>head of security</v>
      </c>
    </row>
    <row r="14528">
      <c r="A14528" s="1" t="s">
        <v>14528</v>
      </c>
      <c r="B14528" s="2" t="str">
        <f>IFERROR(__xludf.DUMMYFUNCTION("GOOGLETRANSLATE(A14528, ""de"", ""en"")"),"tuna")</f>
        <v>tuna</v>
      </c>
    </row>
    <row r="14529">
      <c r="A14529" s="1" t="s">
        <v>14529</v>
      </c>
      <c r="B14529" s="2" t="str">
        <f>IFERROR(__xludf.DUMMYFUNCTION("GOOGLETRANSLATE(A14529, ""de"", ""en"")"),"chokes")</f>
        <v>chokes</v>
      </c>
    </row>
    <row r="14530">
      <c r="A14530" s="1" t="s">
        <v>14530</v>
      </c>
      <c r="B14530" s="2" t="str">
        <f>IFERROR(__xludf.DUMMYFUNCTION("GOOGLETRANSLATE(A14530, ""de"", ""en"")"),"captain")</f>
        <v>captain</v>
      </c>
    </row>
    <row r="14531">
      <c r="A14531" s="1" t="s">
        <v>14531</v>
      </c>
      <c r="B14531" s="2" t="str">
        <f>IFERROR(__xludf.DUMMYFUNCTION("GOOGLETRANSLATE(A14531, ""de"", ""en"")"),"reduce")</f>
        <v>reduce</v>
      </c>
    </row>
    <row r="14532">
      <c r="A14532" s="1" t="s">
        <v>14532</v>
      </c>
      <c r="B14532" s="2" t="str">
        <f>IFERROR(__xludf.DUMMYFUNCTION("GOOGLETRANSLATE(A14532, ""de"", ""en"")"),"conway")</f>
        <v>conway</v>
      </c>
    </row>
    <row r="14533">
      <c r="A14533" s="1" t="s">
        <v>14533</v>
      </c>
      <c r="B14533" s="2" t="str">
        <f>IFERROR(__xludf.DUMMYFUNCTION("GOOGLETRANSLATE(A14533, ""de"", ""en"")"),"creatures")</f>
        <v>creatures</v>
      </c>
    </row>
    <row r="14534">
      <c r="A14534" s="1" t="s">
        <v>14534</v>
      </c>
      <c r="B14534" s="2" t="str">
        <f>IFERROR(__xludf.DUMMYFUNCTION("GOOGLETRANSLATE(A14534, ""de"", ""en"")"),"vlad")</f>
        <v>vlad</v>
      </c>
    </row>
    <row r="14535">
      <c r="A14535" s="1" t="s">
        <v>14535</v>
      </c>
      <c r="B14535" s="2" t="str">
        <f>IFERROR(__xludf.DUMMYFUNCTION("GOOGLETRANSLATE(A14535, ""de"", ""en"")"),"smarter")</f>
        <v>smarter</v>
      </c>
    </row>
    <row r="14536">
      <c r="A14536" s="1" t="s">
        <v>14536</v>
      </c>
      <c r="B14536" s="2" t="str">
        <f>IFERROR(__xludf.DUMMYFUNCTION("GOOGLETRANSLATE(A14536, ""de"", ""en"")"),"smartest")</f>
        <v>smartest</v>
      </c>
    </row>
    <row r="14537">
      <c r="A14537" s="1" t="s">
        <v>14537</v>
      </c>
      <c r="B14537" s="2" t="str">
        <f>IFERROR(__xludf.DUMMYFUNCTION("GOOGLETRANSLATE(A14537, ""de"", ""en"")"),"by hand")</f>
        <v>by hand</v>
      </c>
    </row>
    <row r="14538">
      <c r="A14538" s="1" t="s">
        <v>14538</v>
      </c>
      <c r="B14538" s="2" t="str">
        <f>IFERROR(__xludf.DUMMYFUNCTION("GOOGLETRANSLATE(A14538, ""de"", ""en"")"),"block")</f>
        <v>block</v>
      </c>
    </row>
    <row r="14539">
      <c r="A14539" s="1" t="s">
        <v>14539</v>
      </c>
      <c r="B14539" s="2" t="str">
        <f>IFERROR(__xludf.DUMMYFUNCTION("GOOGLETRANSLATE(A14539, ""de"", ""en"")"),"ask")</f>
        <v>ask</v>
      </c>
    </row>
    <row r="14540">
      <c r="A14540" s="1" t="s">
        <v>14540</v>
      </c>
      <c r="B14540" s="2" t="str">
        <f>IFERROR(__xludf.DUMMYFUNCTION("GOOGLETRANSLATE(A14540, ""de"", ""en"")"),"stranger")</f>
        <v>stranger</v>
      </c>
    </row>
    <row r="14541">
      <c r="A14541" s="1" t="s">
        <v>14541</v>
      </c>
      <c r="B14541" s="2" t="str">
        <f>IFERROR(__xludf.DUMMYFUNCTION("GOOGLETRANSLATE(A14541, ""de"", ""en"")"),"limp")</f>
        <v>limp</v>
      </c>
    </row>
    <row r="14542">
      <c r="A14542" s="1" t="s">
        <v>14542</v>
      </c>
      <c r="B14542" s="2" t="str">
        <f>IFERROR(__xludf.DUMMYFUNCTION("GOOGLETRANSLATE(A14542, ""de"", ""en"")"),"filming")</f>
        <v>filming</v>
      </c>
    </row>
    <row r="14543">
      <c r="A14543" s="1" t="s">
        <v>14543</v>
      </c>
      <c r="B14543" s="2" t="str">
        <f>IFERROR(__xludf.DUMMYFUNCTION("GOOGLETRANSLATE(A14543, ""de"", ""en"")"),"by means of")</f>
        <v>by means of</v>
      </c>
    </row>
    <row r="14544">
      <c r="A14544" s="1" t="s">
        <v>14544</v>
      </c>
      <c r="B14544" s="2" t="str">
        <f>IFERROR(__xludf.DUMMYFUNCTION("GOOGLETRANSLATE(A14544, ""de"", ""en"")"),"if necessary")</f>
        <v>if necessary</v>
      </c>
    </row>
    <row r="14545">
      <c r="A14545" s="1" t="s">
        <v>14545</v>
      </c>
      <c r="B14545" s="2" t="str">
        <f>IFERROR(__xludf.DUMMYFUNCTION("GOOGLETRANSLATE(A14545, ""de"", ""en"")"),"warm")</f>
        <v>warm</v>
      </c>
    </row>
    <row r="14546">
      <c r="A14546" s="1" t="s">
        <v>14546</v>
      </c>
      <c r="B14546" s="2" t="str">
        <f>IFERROR(__xludf.DUMMYFUNCTION("GOOGLETRANSLATE(A14546, ""de"", ""en"")"),"tensions")</f>
        <v>tensions</v>
      </c>
    </row>
    <row r="14547">
      <c r="A14547" s="1" t="s">
        <v>14547</v>
      </c>
      <c r="B14547" s="2" t="str">
        <f>IFERROR(__xludf.DUMMYFUNCTION("GOOGLETRANSLATE(A14547, ""de"", ""en"")"),"worship")</f>
        <v>worship</v>
      </c>
    </row>
    <row r="14548">
      <c r="A14548" s="1" t="s">
        <v>14548</v>
      </c>
      <c r="B14548" s="2" t="str">
        <f>IFERROR(__xludf.DUMMYFUNCTION("GOOGLETRANSLATE(A14548, ""de"", ""en"")"),"felicia")</f>
        <v>felicia</v>
      </c>
    </row>
    <row r="14549">
      <c r="A14549" s="1" t="s">
        <v>14549</v>
      </c>
      <c r="B14549" s="2" t="str">
        <f>IFERROR(__xludf.DUMMYFUNCTION("GOOGLETRANSLATE(A14549, ""de"", ""en"")"),"appointments")</f>
        <v>appointments</v>
      </c>
    </row>
    <row r="14550">
      <c r="A14550" s="1" t="s">
        <v>14550</v>
      </c>
      <c r="B14550" s="2" t="str">
        <f>IFERROR(__xludf.DUMMYFUNCTION("GOOGLETRANSLATE(A14550, ""de"", ""en"")"),"solutions")</f>
        <v>solutions</v>
      </c>
    </row>
    <row r="14551">
      <c r="A14551" s="1" t="s">
        <v>14551</v>
      </c>
      <c r="B14551" s="2" t="str">
        <f>IFERROR(__xludf.DUMMYFUNCTION("GOOGLETRANSLATE(A14551, ""de"", ""en"")"),"handsome")</f>
        <v>handsome</v>
      </c>
    </row>
    <row r="14552">
      <c r="A14552" s="1" t="s">
        <v>14552</v>
      </c>
      <c r="B14552" s="2" t="str">
        <f>IFERROR(__xludf.DUMMYFUNCTION("GOOGLETRANSLATE(A14552, ""de"", ""en"")"),"you brought")</f>
        <v>you brought</v>
      </c>
    </row>
    <row r="14553">
      <c r="A14553" s="1" t="s">
        <v>14553</v>
      </c>
      <c r="B14553" s="2" t="str">
        <f>IFERROR(__xludf.DUMMYFUNCTION("GOOGLETRANSLATE(A14553, ""de"", ""en"")"),"moist")</f>
        <v>moist</v>
      </c>
    </row>
    <row r="14554">
      <c r="A14554" s="1" t="s">
        <v>14554</v>
      </c>
      <c r="B14554" s="2" t="str">
        <f>IFERROR(__xludf.DUMMYFUNCTION("GOOGLETRANSLATE(A14554, ""de"", ""en"")"),"angelina")</f>
        <v>angelina</v>
      </c>
    </row>
    <row r="14555">
      <c r="A14555" s="1" t="s">
        <v>14555</v>
      </c>
      <c r="B14555" s="2" t="str">
        <f>IFERROR(__xludf.DUMMYFUNCTION("GOOGLETRANSLATE(A14555, ""de"", ""en"")"),"cup")</f>
        <v>cup</v>
      </c>
    </row>
    <row r="14556">
      <c r="A14556" s="1" t="s">
        <v>14556</v>
      </c>
      <c r="B14556" s="2" t="str">
        <f>IFERROR(__xludf.DUMMYFUNCTION("GOOGLETRANSLATE(A14556, ""de"", ""en"")"),"premium")</f>
        <v>premium</v>
      </c>
    </row>
    <row r="14557">
      <c r="A14557" s="1" t="s">
        <v>14557</v>
      </c>
      <c r="B14557" s="2" t="str">
        <f>IFERROR(__xludf.DUMMYFUNCTION("GOOGLETRANSLATE(A14557, ""de"", ""en"")"),"comes out")</f>
        <v>comes out</v>
      </c>
    </row>
    <row r="14558">
      <c r="A14558" s="1" t="s">
        <v>14558</v>
      </c>
      <c r="B14558" s="2" t="str">
        <f>IFERROR(__xludf.DUMMYFUNCTION("GOOGLETRANSLATE(A14558, ""de"", ""en"")"),"leader")</f>
        <v>leader</v>
      </c>
    </row>
    <row r="14559">
      <c r="A14559" s="1" t="s">
        <v>14559</v>
      </c>
      <c r="B14559" s="2" t="str">
        <f>IFERROR(__xludf.DUMMYFUNCTION("GOOGLETRANSLATE(A14559, ""de"", ""en"")"),"muse")</f>
        <v>muse</v>
      </c>
    </row>
    <row r="14560">
      <c r="A14560" s="1" t="s">
        <v>14560</v>
      </c>
      <c r="B14560" s="2" t="str">
        <f>IFERROR(__xludf.DUMMYFUNCTION("GOOGLETRANSLATE(A14560, ""de"", ""en"")"),"suspicious")</f>
        <v>suspicious</v>
      </c>
    </row>
    <row r="14561">
      <c r="A14561" s="1" t="s">
        <v>14561</v>
      </c>
      <c r="B14561" s="2" t="str">
        <f>IFERROR(__xludf.DUMMYFUNCTION("GOOGLETRANSLATE(A14561, ""de"", ""en"")"),"brash")</f>
        <v>brash</v>
      </c>
    </row>
    <row r="14562">
      <c r="A14562" s="1" t="s">
        <v>14562</v>
      </c>
      <c r="B14562" s="2" t="str">
        <f>IFERROR(__xludf.DUMMYFUNCTION("GOOGLETRANSLATE(A14562, ""de"", ""en"")"),"eat")</f>
        <v>eat</v>
      </c>
    </row>
    <row r="14563">
      <c r="A14563" s="1" t="s">
        <v>14563</v>
      </c>
      <c r="B14563" s="2" t="str">
        <f>IFERROR(__xludf.DUMMYFUNCTION("GOOGLETRANSLATE(A14563, ""de"", ""en"")"),"hull")</f>
        <v>hull</v>
      </c>
    </row>
    <row r="14564">
      <c r="A14564" s="1" t="s">
        <v>14564</v>
      </c>
      <c r="B14564" s="2" t="str">
        <f>IFERROR(__xludf.DUMMYFUNCTION("GOOGLETRANSLATE(A14564, ""de"", ""en"")"),"creaks")</f>
        <v>creaks</v>
      </c>
    </row>
    <row r="14565">
      <c r="A14565" s="1" t="s">
        <v>14565</v>
      </c>
      <c r="B14565" s="2" t="str">
        <f>IFERROR(__xludf.DUMMYFUNCTION("GOOGLETRANSLATE(A14565, ""de"", ""en"")"),"turned")</f>
        <v>turned</v>
      </c>
    </row>
    <row r="14566">
      <c r="A14566" s="1" t="s">
        <v>14566</v>
      </c>
      <c r="B14566" s="2" t="str">
        <f>IFERROR(__xludf.DUMMYFUNCTION("GOOGLETRANSLATE(A14566, ""de"", ""en"")"),"surveillance camera")</f>
        <v>surveillance camera</v>
      </c>
    </row>
    <row r="14567">
      <c r="A14567" s="1" t="s">
        <v>14567</v>
      </c>
      <c r="B14567" s="2" t="str">
        <f>IFERROR(__xludf.DUMMYFUNCTION("GOOGLETRANSLATE(A14567, ""de"", ""en"")"),"walker")</f>
        <v>walker</v>
      </c>
    </row>
    <row r="14568">
      <c r="A14568" s="1" t="s">
        <v>14568</v>
      </c>
      <c r="B14568" s="2" t="str">
        <f>IFERROR(__xludf.DUMMYFUNCTION("GOOGLETRANSLATE(A14568, ""de"", ""en"")"),"peed")</f>
        <v>peed</v>
      </c>
    </row>
    <row r="14569">
      <c r="A14569" s="1" t="s">
        <v>14569</v>
      </c>
      <c r="B14569" s="2" t="str">
        <f>IFERROR(__xludf.DUMMYFUNCTION("GOOGLETRANSLATE(A14569, ""de"", ""en"")"),"picks up")</f>
        <v>picks up</v>
      </c>
    </row>
    <row r="14570">
      <c r="A14570" s="1" t="s">
        <v>14570</v>
      </c>
      <c r="B14570" s="2" t="str">
        <f>IFERROR(__xludf.DUMMYFUNCTION("GOOGLETRANSLATE(A14570, ""de"", ""en"")"),"repetition")</f>
        <v>repetition</v>
      </c>
    </row>
    <row r="14571">
      <c r="A14571" s="1" t="s">
        <v>14571</v>
      </c>
      <c r="B14571" s="2" t="str">
        <f>IFERROR(__xludf.DUMMYFUNCTION("GOOGLETRANSLATE(A14571, ""de"", ""en"")"),"hoped")</f>
        <v>hoped</v>
      </c>
    </row>
    <row r="14572">
      <c r="A14572" s="1" t="s">
        <v>14572</v>
      </c>
      <c r="B14572" s="2" t="str">
        <f>IFERROR(__xludf.DUMMYFUNCTION("GOOGLETRANSLATE(A14572, ""de"", ""en"")"),"playboy")</f>
        <v>playboy</v>
      </c>
    </row>
    <row r="14573">
      <c r="A14573" s="1" t="s">
        <v>14573</v>
      </c>
      <c r="B14573" s="2" t="str">
        <f>IFERROR(__xludf.DUMMYFUNCTION("GOOGLETRANSLATE(A14573, ""de"", ""en"")"),"hope")</f>
        <v>hope</v>
      </c>
    </row>
    <row r="14574">
      <c r="A14574" s="1" t="s">
        <v>14574</v>
      </c>
      <c r="B14574" s="2" t="str">
        <f>IFERROR(__xludf.DUMMYFUNCTION("GOOGLETRANSLATE(A14574, ""de"", ""en"")"),"starved")</f>
        <v>starved</v>
      </c>
    </row>
    <row r="14575">
      <c r="A14575" s="1" t="s">
        <v>14575</v>
      </c>
      <c r="B14575" s="2" t="str">
        <f>IFERROR(__xludf.DUMMYFUNCTION("GOOGLETRANSLATE(A14575, ""de"", ""en"")"),"tang")</f>
        <v>tang</v>
      </c>
    </row>
    <row r="14576">
      <c r="A14576" s="1" t="s">
        <v>14576</v>
      </c>
      <c r="B14576" s="2" t="str">
        <f>IFERROR(__xludf.DUMMYFUNCTION("GOOGLETRANSLATE(A14576, ""de"", ""en"")"),"priceless")</f>
        <v>priceless</v>
      </c>
    </row>
    <row r="14577">
      <c r="A14577" s="1" t="s">
        <v>14577</v>
      </c>
      <c r="B14577" s="2" t="str">
        <f>IFERROR(__xludf.DUMMYFUNCTION("GOOGLETRANSLATE(A14577, ""de"", ""en"")"),"dark")</f>
        <v>dark</v>
      </c>
    </row>
    <row r="14578">
      <c r="A14578" s="1" t="s">
        <v>14578</v>
      </c>
      <c r="B14578" s="2" t="str">
        <f>IFERROR(__xludf.DUMMYFUNCTION("GOOGLETRANSLATE(A14578, ""de"", ""en"")"),"shin")</f>
        <v>shin</v>
      </c>
    </row>
    <row r="14579">
      <c r="A14579" s="1" t="s">
        <v>14579</v>
      </c>
      <c r="B14579" s="2" t="str">
        <f>IFERROR(__xludf.DUMMYFUNCTION("GOOGLETRANSLATE(A14579, ""de"", ""en"")"),"huhu")</f>
        <v>huhu</v>
      </c>
    </row>
    <row r="14580">
      <c r="A14580" s="1" t="s">
        <v>14580</v>
      </c>
      <c r="B14580" s="2" t="str">
        <f>IFERROR(__xludf.DUMMYFUNCTION("GOOGLETRANSLATE(A14580, ""de"", ""en"")"),"camel")</f>
        <v>camel</v>
      </c>
    </row>
    <row r="14581">
      <c r="A14581" s="1" t="s">
        <v>14581</v>
      </c>
      <c r="B14581" s="2" t="str">
        <f>IFERROR(__xludf.DUMMYFUNCTION("GOOGLETRANSLATE(A14581, ""de"", ""en"")"),"lying around")</f>
        <v>lying around</v>
      </c>
    </row>
    <row r="14582">
      <c r="A14582" s="1" t="s">
        <v>14582</v>
      </c>
      <c r="B14582" s="2" t="str">
        <f>IFERROR(__xludf.DUMMYFUNCTION("GOOGLETRANSLATE(A14582, ""de"", ""en"")"),"petra")</f>
        <v>petra</v>
      </c>
    </row>
    <row r="14583">
      <c r="A14583" s="1" t="s">
        <v>14583</v>
      </c>
      <c r="B14583" s="2" t="str">
        <f>IFERROR(__xludf.DUMMYFUNCTION("GOOGLETRANSLATE(A14583, ""de"", ""en"")"),"superstar")</f>
        <v>superstar</v>
      </c>
    </row>
    <row r="14584">
      <c r="A14584" s="1" t="s">
        <v>14584</v>
      </c>
      <c r="B14584" s="2" t="str">
        <f>IFERROR(__xludf.DUMMYFUNCTION("GOOGLETRANSLATE(A14584, ""de"", ""en"")"),"five times")</f>
        <v>five times</v>
      </c>
    </row>
    <row r="14585">
      <c r="A14585" s="1" t="s">
        <v>14585</v>
      </c>
      <c r="B14585" s="2" t="str">
        <f>IFERROR(__xludf.DUMMYFUNCTION("GOOGLETRANSLATE(A14585, ""de"", ""en"")"),"avert")</f>
        <v>avert</v>
      </c>
    </row>
    <row r="14586">
      <c r="A14586" s="1" t="s">
        <v>14586</v>
      </c>
      <c r="B14586" s="2" t="str">
        <f>IFERROR(__xludf.DUMMYFUNCTION("GOOGLETRANSLATE(A14586, ""de"", ""en"")"),"farm yard")</f>
        <v>farm yard</v>
      </c>
    </row>
    <row r="14587">
      <c r="A14587" s="1" t="s">
        <v>14587</v>
      </c>
      <c r="B14587" s="2" t="str">
        <f>IFERROR(__xludf.DUMMYFUNCTION("GOOGLETRANSLATE(A14587, ""de"", ""en"")"),"headache")</f>
        <v>headache</v>
      </c>
    </row>
    <row r="14588">
      <c r="A14588" s="1" t="s">
        <v>14588</v>
      </c>
      <c r="B14588" s="2" t="str">
        <f>IFERROR(__xludf.DUMMYFUNCTION("GOOGLETRANSLATE(A14588, ""de"", ""en"")"),"strict")</f>
        <v>strict</v>
      </c>
    </row>
    <row r="14589">
      <c r="A14589" s="1" t="s">
        <v>14589</v>
      </c>
      <c r="B14589" s="2" t="str">
        <f>IFERROR(__xludf.DUMMYFUNCTION("GOOGLETRANSLATE(A14589, ""de"", ""en"")"),"melon")</f>
        <v>melon</v>
      </c>
    </row>
    <row r="14590">
      <c r="A14590" s="1" t="s">
        <v>14590</v>
      </c>
      <c r="B14590" s="2" t="str">
        <f>IFERROR(__xludf.DUMMYFUNCTION("GOOGLETRANSLATE(A14590, ""de"", ""en"")"),"wonder")</f>
        <v>wonder</v>
      </c>
    </row>
    <row r="14591">
      <c r="A14591" s="1" t="s">
        <v>14591</v>
      </c>
      <c r="B14591" s="2" t="str">
        <f>IFERROR(__xludf.DUMMYFUNCTION("GOOGLETRANSLATE(A14591, ""de"", ""en"")"),"procedure")</f>
        <v>procedure</v>
      </c>
    </row>
    <row r="14592">
      <c r="A14592" s="1" t="s">
        <v>14592</v>
      </c>
      <c r="B14592" s="2" t="str">
        <f>IFERROR(__xludf.DUMMYFUNCTION("GOOGLETRANSLATE(A14592, ""de"", ""en"")"),"psyche")</f>
        <v>psyche</v>
      </c>
    </row>
    <row r="14593">
      <c r="A14593" s="1" t="s">
        <v>14593</v>
      </c>
      <c r="B14593" s="2" t="str">
        <f>IFERROR(__xludf.DUMMYFUNCTION("GOOGLETRANSLATE(A14593, ""de"", ""en"")"),"go home")</f>
        <v>go home</v>
      </c>
    </row>
    <row r="14594">
      <c r="A14594" s="1" t="s">
        <v>14594</v>
      </c>
      <c r="B14594" s="2" t="str">
        <f>IFERROR(__xludf.DUMMYFUNCTION("GOOGLETRANSLATE(A14594, ""de"", ""en"")"),"friendships")</f>
        <v>friendships</v>
      </c>
    </row>
    <row r="14595">
      <c r="A14595" s="1" t="s">
        <v>14595</v>
      </c>
      <c r="B14595" s="2" t="str">
        <f>IFERROR(__xludf.DUMMYFUNCTION("GOOGLETRANSLATE(A14595, ""de"", ""en"")"),"praise")</f>
        <v>praise</v>
      </c>
    </row>
    <row r="14596">
      <c r="A14596" s="1" t="s">
        <v>14596</v>
      </c>
      <c r="B14596" s="2" t="str">
        <f>IFERROR(__xludf.DUMMYFUNCTION("GOOGLETRANSLATE(A14596, ""de"", ""en"")"),"coolest")</f>
        <v>coolest</v>
      </c>
    </row>
    <row r="14597">
      <c r="A14597" s="1" t="s">
        <v>14597</v>
      </c>
      <c r="B14597" s="2" t="str">
        <f>IFERROR(__xludf.DUMMYFUNCTION("GOOGLETRANSLATE(A14597, ""de"", ""en"")"),"earring")</f>
        <v>earring</v>
      </c>
    </row>
    <row r="14598">
      <c r="A14598" s="1" t="s">
        <v>14598</v>
      </c>
      <c r="B14598" s="2" t="str">
        <f>IFERROR(__xludf.DUMMYFUNCTION("GOOGLETRANSLATE(A14598, ""de"", ""en"")"),"cell phone number")</f>
        <v>cell phone number</v>
      </c>
    </row>
    <row r="14599">
      <c r="A14599" s="1" t="s">
        <v>14599</v>
      </c>
      <c r="B14599" s="2" t="str">
        <f>IFERROR(__xludf.DUMMYFUNCTION("GOOGLETRANSLATE(A14599, ""de"", ""en"")"),"architecture")</f>
        <v>architecture</v>
      </c>
    </row>
    <row r="14600">
      <c r="A14600" s="1" t="s">
        <v>14600</v>
      </c>
      <c r="B14600" s="2" t="str">
        <f>IFERROR(__xludf.DUMMYFUNCTION("GOOGLETRANSLATE(A14600, ""de"", ""en"")"),"undone")</f>
        <v>undone</v>
      </c>
    </row>
    <row r="14601">
      <c r="A14601" s="1" t="s">
        <v>14601</v>
      </c>
      <c r="B14601" s="2" t="str">
        <f>IFERROR(__xludf.DUMMYFUNCTION("GOOGLETRANSLATE(A14601, ""de"", ""en"")"),"jt")</f>
        <v>jt</v>
      </c>
    </row>
    <row r="14602">
      <c r="A14602" s="1" t="s">
        <v>14602</v>
      </c>
      <c r="B14602" s="2" t="str">
        <f>IFERROR(__xludf.DUMMYFUNCTION("GOOGLETRANSLATE(A14602, ""de"", ""en"")"),"past")</f>
        <v>past</v>
      </c>
    </row>
    <row r="14603">
      <c r="A14603" s="1" t="s">
        <v>14603</v>
      </c>
      <c r="B14603" s="2" t="str">
        <f>IFERROR(__xludf.DUMMYFUNCTION("GOOGLETRANSLATE(A14603, ""de"", ""en"")"),"loads")</f>
        <v>loads</v>
      </c>
    </row>
    <row r="14604">
      <c r="A14604" s="1" t="s">
        <v>14604</v>
      </c>
      <c r="B14604" s="2" t="str">
        <f>IFERROR(__xludf.DUMMYFUNCTION("GOOGLETRANSLATE(A14604, ""de"", ""en"")"),"racist")</f>
        <v>racist</v>
      </c>
    </row>
    <row r="14605">
      <c r="A14605" s="1" t="s">
        <v>14605</v>
      </c>
      <c r="B14605" s="2" t="str">
        <f>IFERROR(__xludf.DUMMYFUNCTION("GOOGLETRANSLATE(A14605, ""de"", ""en"")"),"curiosity")</f>
        <v>curiosity</v>
      </c>
    </row>
    <row r="14606">
      <c r="A14606" s="1" t="s">
        <v>14606</v>
      </c>
      <c r="B14606" s="2" t="str">
        <f>IFERROR(__xludf.DUMMYFUNCTION("GOOGLETRANSLATE(A14606, ""de"", ""en"")"),"magda")</f>
        <v>magda</v>
      </c>
    </row>
    <row r="14607">
      <c r="A14607" s="1" t="s">
        <v>14607</v>
      </c>
      <c r="B14607" s="2" t="str">
        <f>IFERROR(__xludf.DUMMYFUNCTION("GOOGLETRANSLATE(A14607, ""de"", ""en"")"),"filled out")</f>
        <v>filled out</v>
      </c>
    </row>
    <row r="14608">
      <c r="A14608" s="1" t="s">
        <v>14608</v>
      </c>
      <c r="B14608" s="2" t="str">
        <f>IFERROR(__xludf.DUMMYFUNCTION("GOOGLETRANSLATE(A14608, ""de"", ""en"")"),"took")</f>
        <v>took</v>
      </c>
    </row>
    <row r="14609">
      <c r="A14609" s="1" t="s">
        <v>14609</v>
      </c>
      <c r="B14609" s="2" t="str">
        <f>IFERROR(__xludf.DUMMYFUNCTION("GOOGLETRANSLATE(A14609, ""de"", ""en"")"),"limit")</f>
        <v>limit</v>
      </c>
    </row>
    <row r="14610">
      <c r="A14610" s="1" t="s">
        <v>14610</v>
      </c>
      <c r="B14610" s="2" t="str">
        <f>IFERROR(__xludf.DUMMYFUNCTION("GOOGLETRANSLATE(A14610, ""de"", ""en"")"),"to touch")</f>
        <v>to touch</v>
      </c>
    </row>
    <row r="14611">
      <c r="A14611" s="1" t="s">
        <v>14611</v>
      </c>
      <c r="B14611" s="2" t="str">
        <f>IFERROR(__xludf.DUMMYFUNCTION("GOOGLETRANSLATE(A14611, ""de"", ""en"")"),"Siberia")</f>
        <v>Siberia</v>
      </c>
    </row>
    <row r="14612">
      <c r="A14612" s="1" t="s">
        <v>14612</v>
      </c>
      <c r="B14612" s="2" t="str">
        <f>IFERROR(__xludf.DUMMYFUNCTION("GOOGLETRANSLATE(A14612, ""de"", ""en"")"),"masculinity")</f>
        <v>masculinity</v>
      </c>
    </row>
    <row r="14613">
      <c r="A14613" s="1" t="s">
        <v>14613</v>
      </c>
      <c r="B14613" s="2" t="str">
        <f>IFERROR(__xludf.DUMMYFUNCTION("GOOGLETRANSLATE(A14613, ""de"", ""en"")"),"law")</f>
        <v>law</v>
      </c>
    </row>
    <row r="14614">
      <c r="A14614" s="1" t="s">
        <v>14614</v>
      </c>
      <c r="B14614" s="2" t="str">
        <f>IFERROR(__xludf.DUMMYFUNCTION("GOOGLETRANSLATE(A14614, ""de"", ""en"")"),"Liza")</f>
        <v>Liza</v>
      </c>
    </row>
    <row r="14615">
      <c r="A14615" s="1" t="s">
        <v>14615</v>
      </c>
      <c r="B14615" s="2" t="str">
        <f>IFERROR(__xludf.DUMMYFUNCTION("GOOGLETRANSLATE(A14615, ""de"", ""en"")"),"patch")</f>
        <v>patch</v>
      </c>
    </row>
    <row r="14616">
      <c r="A14616" s="1" t="s">
        <v>14616</v>
      </c>
      <c r="B14616" s="2" t="str">
        <f>IFERROR(__xludf.DUMMYFUNCTION("GOOGLETRANSLATE(A14616, ""de"", ""en"")"),"howled")</f>
        <v>howled</v>
      </c>
    </row>
    <row r="14617">
      <c r="A14617" s="1" t="s">
        <v>14617</v>
      </c>
      <c r="B14617" s="2" t="str">
        <f>IFERROR(__xludf.DUMMYFUNCTION("GOOGLETRANSLATE(A14617, ""de"", ""en"")"),"motorhome")</f>
        <v>motorhome</v>
      </c>
    </row>
    <row r="14618">
      <c r="A14618" s="1" t="s">
        <v>14618</v>
      </c>
      <c r="B14618" s="2" t="str">
        <f>IFERROR(__xludf.DUMMYFUNCTION("GOOGLETRANSLATE(A14618, ""de"", ""en"")"),"everywhere")</f>
        <v>everywhere</v>
      </c>
    </row>
    <row r="14619">
      <c r="A14619" s="1" t="s">
        <v>14619</v>
      </c>
      <c r="B14619" s="2" t="str">
        <f>IFERROR(__xludf.DUMMYFUNCTION("GOOGLETRANSLATE(A14619, ""de"", ""en"")"),"shards")</f>
        <v>shards</v>
      </c>
    </row>
    <row r="14620">
      <c r="A14620" s="1" t="s">
        <v>14620</v>
      </c>
      <c r="B14620" s="2" t="str">
        <f>IFERROR(__xludf.DUMMYFUNCTION("GOOGLETRANSLATE(A14620, ""de"", ""en"")"),"into each other")</f>
        <v>into each other</v>
      </c>
    </row>
    <row r="14621">
      <c r="A14621" s="1" t="s">
        <v>14621</v>
      </c>
      <c r="B14621" s="2" t="str">
        <f>IFERROR(__xludf.DUMMYFUNCTION("GOOGLETRANSLATE(A14621, ""de"", ""en"")"),"excellent")</f>
        <v>excellent</v>
      </c>
    </row>
    <row r="14622">
      <c r="A14622" s="1" t="s">
        <v>14622</v>
      </c>
      <c r="B14622" s="2" t="str">
        <f>IFERROR(__xludf.DUMMYFUNCTION("GOOGLETRANSLATE(A14622, ""de"", ""en"")"),"debris")</f>
        <v>debris</v>
      </c>
    </row>
    <row r="14623">
      <c r="A14623" s="1" t="s">
        <v>14623</v>
      </c>
      <c r="B14623" s="2" t="str">
        <f>IFERROR(__xludf.DUMMYFUNCTION("GOOGLETRANSLATE(A14623, ""de"", ""en"")"),"blood sample")</f>
        <v>blood sample</v>
      </c>
    </row>
    <row r="14624">
      <c r="A14624" s="1" t="s">
        <v>14624</v>
      </c>
      <c r="B14624" s="2" t="str">
        <f>IFERROR(__xludf.DUMMYFUNCTION("GOOGLETRANSLATE(A14624, ""de"", ""en"")"),"goes wrong")</f>
        <v>goes wrong</v>
      </c>
    </row>
    <row r="14625">
      <c r="A14625" s="1" t="s">
        <v>14625</v>
      </c>
      <c r="B14625" s="2" t="str">
        <f>IFERROR(__xludf.DUMMYFUNCTION("GOOGLETRANSLATE(A14625, ""de"", ""en"")"),"dong")</f>
        <v>dong</v>
      </c>
    </row>
    <row r="14626">
      <c r="A14626" s="1" t="s">
        <v>14626</v>
      </c>
      <c r="B14626" s="2" t="str">
        <f>IFERROR(__xludf.DUMMYFUNCTION("GOOGLETRANSLATE(A14626, ""de"", ""en"")"),"looser")</f>
        <v>looser</v>
      </c>
    </row>
    <row r="14627">
      <c r="A14627" s="1" t="s">
        <v>14627</v>
      </c>
      <c r="B14627" s="2" t="str">
        <f>IFERROR(__xludf.DUMMYFUNCTION("GOOGLETRANSLATE(A14627, ""de"", ""en"")"),"cafe")</f>
        <v>cafe</v>
      </c>
    </row>
    <row r="14628">
      <c r="A14628" s="1" t="s">
        <v>14628</v>
      </c>
      <c r="B14628" s="2" t="str">
        <f>IFERROR(__xludf.DUMMYFUNCTION("GOOGLETRANSLATE(A14628, ""de"", ""en"")"),"forensic medicine")</f>
        <v>forensic medicine</v>
      </c>
    </row>
    <row r="14629">
      <c r="A14629" s="1" t="s">
        <v>14629</v>
      </c>
      <c r="B14629" s="2" t="str">
        <f>IFERROR(__xludf.DUMMYFUNCTION("GOOGLETRANSLATE(A14629, ""de"", ""en"")"),"son")</f>
        <v>son</v>
      </c>
    </row>
    <row r="14630">
      <c r="A14630" s="1" t="s">
        <v>14630</v>
      </c>
      <c r="B14630" s="2" t="str">
        <f>IFERROR(__xludf.DUMMYFUNCTION("GOOGLETRANSLATE(A14630, ""de"", ""en"")"),"ahmed")</f>
        <v>ahmed</v>
      </c>
    </row>
    <row r="14631">
      <c r="A14631" s="1" t="s">
        <v>14631</v>
      </c>
      <c r="B14631" s="2" t="str">
        <f>IFERROR(__xludf.DUMMYFUNCTION("GOOGLETRANSLATE(A14631, ""de"", ""en"")"),"thanked")</f>
        <v>thanked</v>
      </c>
    </row>
    <row r="14632">
      <c r="A14632" s="1" t="s">
        <v>14632</v>
      </c>
      <c r="B14632" s="2" t="str">
        <f>IFERROR(__xludf.DUMMYFUNCTION("GOOGLETRANSLATE(A14632, ""de"", ""en"")"),"salazar")</f>
        <v>salazar</v>
      </c>
    </row>
    <row r="14633">
      <c r="A14633" s="1" t="s">
        <v>14633</v>
      </c>
      <c r="B14633" s="2" t="str">
        <f>IFERROR(__xludf.DUMMYFUNCTION("GOOGLETRANSLATE(A14633, ""de"", ""en"")"),"mad")</f>
        <v>mad</v>
      </c>
    </row>
    <row r="14634">
      <c r="A14634" s="1" t="s">
        <v>14634</v>
      </c>
      <c r="B14634" s="2" t="str">
        <f>IFERROR(__xludf.DUMMYFUNCTION("GOOGLETRANSLATE(A14634, ""de"", ""en"")"),"fingerprint")</f>
        <v>fingerprint</v>
      </c>
    </row>
    <row r="14635">
      <c r="A14635" s="1" t="s">
        <v>14635</v>
      </c>
      <c r="B14635" s="2" t="str">
        <f>IFERROR(__xludf.DUMMYFUNCTION("GOOGLETRANSLATE(A14635, ""de"", ""en"")"),"chocolate bar")</f>
        <v>chocolate bar</v>
      </c>
    </row>
    <row r="14636">
      <c r="A14636" s="1" t="s">
        <v>14636</v>
      </c>
      <c r="B14636" s="2" t="str">
        <f>IFERROR(__xludf.DUMMYFUNCTION("GOOGLETRANSLATE(A14636, ""de"", ""en"")"),"spy")</f>
        <v>spy</v>
      </c>
    </row>
    <row r="14637">
      <c r="A14637" s="1" t="s">
        <v>14637</v>
      </c>
      <c r="B14637" s="2" t="str">
        <f>IFERROR(__xludf.DUMMYFUNCTION("GOOGLETRANSLATE(A14637, ""de"", ""en"")"),"reserve")</f>
        <v>reserve</v>
      </c>
    </row>
    <row r="14638">
      <c r="A14638" s="1" t="s">
        <v>14638</v>
      </c>
      <c r="B14638" s="2" t="str">
        <f>IFERROR(__xludf.DUMMYFUNCTION("GOOGLETRANSLATE(A14638, ""de"", ""en"")"),"self-respect")</f>
        <v>self-respect</v>
      </c>
    </row>
    <row r="14639">
      <c r="A14639" s="1" t="s">
        <v>14639</v>
      </c>
      <c r="B14639" s="2" t="str">
        <f>IFERROR(__xludf.DUMMYFUNCTION("GOOGLETRANSLATE(A14639, ""de"", ""en"")"),"persuade")</f>
        <v>persuade</v>
      </c>
    </row>
    <row r="14640">
      <c r="A14640" s="1" t="s">
        <v>14640</v>
      </c>
      <c r="B14640" s="2" t="str">
        <f>IFERROR(__xludf.DUMMYFUNCTION("GOOGLETRANSLATE(A14640, ""de"", ""en"")"),"almonds")</f>
        <v>almonds</v>
      </c>
    </row>
    <row r="14641">
      <c r="A14641" s="1" t="s">
        <v>14641</v>
      </c>
      <c r="B14641" s="2" t="str">
        <f>IFERROR(__xludf.DUMMYFUNCTION("GOOGLETRANSLATE(A14641, ""de"", ""en"")"),"lantern")</f>
        <v>lantern</v>
      </c>
    </row>
    <row r="14642">
      <c r="A14642" s="1" t="s">
        <v>14642</v>
      </c>
      <c r="B14642" s="2" t="str">
        <f>IFERROR(__xludf.DUMMYFUNCTION("GOOGLETRANSLATE(A14642, ""de"", ""en"")"),"writer")</f>
        <v>writer</v>
      </c>
    </row>
    <row r="14643">
      <c r="A14643" s="1" t="s">
        <v>14643</v>
      </c>
      <c r="B14643" s="2" t="str">
        <f>IFERROR(__xludf.DUMMYFUNCTION("GOOGLETRANSLATE(A14643, ""de"", ""en"")"),"stay")</f>
        <v>stay</v>
      </c>
    </row>
    <row r="14644">
      <c r="A14644" s="1" t="s">
        <v>14644</v>
      </c>
      <c r="B14644" s="2" t="str">
        <f>IFERROR(__xludf.DUMMYFUNCTION("GOOGLETRANSLATE(A14644, ""de"", ""en"")"),"weir")</f>
        <v>weir</v>
      </c>
    </row>
    <row r="14645">
      <c r="A14645" s="1" t="s">
        <v>14645</v>
      </c>
      <c r="B14645" s="2" t="str">
        <f>IFERROR(__xludf.DUMMYFUNCTION("GOOGLETRANSLATE(A14645, ""de"", ""en"")"),"inevitable")</f>
        <v>inevitable</v>
      </c>
    </row>
    <row r="14646">
      <c r="A14646" s="1" t="s">
        <v>14646</v>
      </c>
      <c r="B14646" s="2" t="str">
        <f>IFERROR(__xludf.DUMMYFUNCTION("GOOGLETRANSLATE(A14646, ""de"", ""en"")"),"apron")</f>
        <v>apron</v>
      </c>
    </row>
    <row r="14647">
      <c r="A14647" s="1" t="s">
        <v>14647</v>
      </c>
      <c r="B14647" s="2" t="str">
        <f>IFERROR(__xludf.DUMMYFUNCTION("GOOGLETRANSLATE(A14647, ""de"", ""en"")"),"juice")</f>
        <v>juice</v>
      </c>
    </row>
    <row r="14648">
      <c r="A14648" s="1" t="s">
        <v>14648</v>
      </c>
      <c r="B14648" s="2" t="str">
        <f>IFERROR(__xludf.DUMMYFUNCTION("GOOGLETRANSLATE(A14648, ""de"", ""en"")"),"responded")</f>
        <v>responded</v>
      </c>
    </row>
    <row r="14649">
      <c r="A14649" s="1" t="s">
        <v>14649</v>
      </c>
      <c r="B14649" s="2" t="str">
        <f>IFERROR(__xludf.DUMMYFUNCTION("GOOGLETRANSLATE(A14649, ""de"", ""en"")"),"jaguar")</f>
        <v>jaguar</v>
      </c>
    </row>
    <row r="14650">
      <c r="A14650" s="1" t="s">
        <v>14650</v>
      </c>
      <c r="B14650" s="2" t="str">
        <f>IFERROR(__xludf.DUMMYFUNCTION("GOOGLETRANSLATE(A14650, ""de"", ""en"")"),"enchanting")</f>
        <v>enchanting</v>
      </c>
    </row>
    <row r="14651">
      <c r="A14651" s="1" t="s">
        <v>14651</v>
      </c>
      <c r="B14651" s="2" t="str">
        <f>IFERROR(__xludf.DUMMYFUNCTION("GOOGLETRANSLATE(A14651, ""de"", ""en"")"),"pulled away")</f>
        <v>pulled away</v>
      </c>
    </row>
    <row r="14652">
      <c r="A14652" s="1" t="s">
        <v>14652</v>
      </c>
      <c r="B14652" s="2" t="str">
        <f>IFERROR(__xludf.DUMMYFUNCTION("GOOGLETRANSLATE(A14652, ""de"", ""en"")"),"cecil")</f>
        <v>cecil</v>
      </c>
    </row>
    <row r="14653">
      <c r="A14653" s="1" t="s">
        <v>14653</v>
      </c>
      <c r="B14653" s="2" t="str">
        <f>IFERROR(__xludf.DUMMYFUNCTION("GOOGLETRANSLATE(A14653, ""de"", ""en"")"),"processed")</f>
        <v>processed</v>
      </c>
    </row>
    <row r="14654">
      <c r="A14654" s="1" t="s">
        <v>14654</v>
      </c>
      <c r="B14654" s="2" t="str">
        <f>IFERROR(__xludf.DUMMYFUNCTION("GOOGLETRANSLATE(A14654, ""de"", ""en"")"),"x.")</f>
        <v>x.</v>
      </c>
    </row>
    <row r="14655">
      <c r="A14655" s="1" t="s">
        <v>14655</v>
      </c>
      <c r="B14655" s="2" t="str">
        <f>IFERROR(__xludf.DUMMYFUNCTION("GOOGLETRANSLATE(A14655, ""de"", ""en"")"),"individual")</f>
        <v>individual</v>
      </c>
    </row>
    <row r="14656">
      <c r="A14656" s="1" t="s">
        <v>14656</v>
      </c>
      <c r="B14656" s="2" t="str">
        <f>IFERROR(__xludf.DUMMYFUNCTION("GOOGLETRANSLATE(A14656, ""de"", ""en"")"),"Moretti")</f>
        <v>Moretti</v>
      </c>
    </row>
    <row r="14657">
      <c r="A14657" s="1" t="s">
        <v>14657</v>
      </c>
      <c r="B14657" s="2" t="str">
        <f>IFERROR(__xludf.DUMMYFUNCTION("GOOGLETRANSLATE(A14657, ""de"", ""en"")"),"lynch")</f>
        <v>lynch</v>
      </c>
    </row>
    <row r="14658">
      <c r="A14658" s="1" t="s">
        <v>14658</v>
      </c>
      <c r="B14658" s="2" t="str">
        <f>IFERROR(__xludf.DUMMYFUNCTION("GOOGLETRANSLATE(A14658, ""de"", ""en"")"),"over")</f>
        <v>over</v>
      </c>
    </row>
    <row r="14659">
      <c r="A14659" s="1" t="s">
        <v>14659</v>
      </c>
      <c r="B14659" s="2" t="str">
        <f>IFERROR(__xludf.DUMMYFUNCTION("GOOGLETRANSLATE(A14659, ""de"", ""en"")"),"rangers")</f>
        <v>rangers</v>
      </c>
    </row>
    <row r="14660">
      <c r="A14660" s="1" t="s">
        <v>14660</v>
      </c>
      <c r="B14660" s="2" t="str">
        <f>IFERROR(__xludf.DUMMYFUNCTION("GOOGLETRANSLATE(A14660, ""de"", ""en"")"),"disposed of")</f>
        <v>disposed of</v>
      </c>
    </row>
    <row r="14661">
      <c r="A14661" s="1" t="s">
        <v>14661</v>
      </c>
      <c r="B14661" s="2" t="str">
        <f>IFERROR(__xludf.DUMMYFUNCTION("GOOGLETRANSLATE(A14661, ""de"", ""en"")"),"depends")</f>
        <v>depends</v>
      </c>
    </row>
    <row r="14662">
      <c r="A14662" s="1" t="s">
        <v>14662</v>
      </c>
      <c r="B14662" s="2" t="str">
        <f>IFERROR(__xludf.DUMMYFUNCTION("GOOGLETRANSLATE(A14662, ""de"", ""en"")"),"make a phone call")</f>
        <v>make a phone call</v>
      </c>
    </row>
    <row r="14663">
      <c r="A14663" s="1" t="s">
        <v>14663</v>
      </c>
      <c r="B14663" s="2" t="str">
        <f>IFERROR(__xludf.DUMMYFUNCTION("GOOGLETRANSLATE(A14663, ""de"", ""en"")"),"institution")</f>
        <v>institution</v>
      </c>
    </row>
    <row r="14664">
      <c r="A14664" s="1" t="s">
        <v>14664</v>
      </c>
      <c r="B14664" s="2" t="str">
        <f>IFERROR(__xludf.DUMMYFUNCTION("GOOGLETRANSLATE(A14664, ""de"", ""en"")"),"low")</f>
        <v>low</v>
      </c>
    </row>
    <row r="14665">
      <c r="A14665" s="1" t="s">
        <v>14665</v>
      </c>
      <c r="B14665" s="2" t="str">
        <f>IFERROR(__xludf.DUMMYFUNCTION("GOOGLETRANSLATE(A14665, ""de"", ""en"")"),"smells")</f>
        <v>smells</v>
      </c>
    </row>
    <row r="14666">
      <c r="A14666" s="1" t="s">
        <v>14666</v>
      </c>
      <c r="B14666" s="2" t="str">
        <f>IFERROR(__xludf.DUMMYFUNCTION("GOOGLETRANSLATE(A14666, ""de"", ""en"")"),"end of life")</f>
        <v>end of life</v>
      </c>
    </row>
    <row r="14667">
      <c r="A14667" s="1" t="s">
        <v>14667</v>
      </c>
      <c r="B14667" s="2" t="str">
        <f>IFERROR(__xludf.DUMMYFUNCTION("GOOGLETRANSLATE(A14667, ""de"", ""en"")"),"serious")</f>
        <v>serious</v>
      </c>
    </row>
    <row r="14668">
      <c r="A14668" s="1" t="s">
        <v>14668</v>
      </c>
      <c r="B14668" s="2" t="str">
        <f>IFERROR(__xludf.DUMMYFUNCTION("GOOGLETRANSLATE(A14668, ""de"", ""en"")"),"hammers")</f>
        <v>hammers</v>
      </c>
    </row>
    <row r="14669">
      <c r="A14669" s="1" t="s">
        <v>14669</v>
      </c>
      <c r="B14669" s="2" t="str">
        <f>IFERROR(__xludf.DUMMYFUNCTION("GOOGLETRANSLATE(A14669, ""de"", ""en"")"),"created")</f>
        <v>created</v>
      </c>
    </row>
    <row r="14670">
      <c r="A14670" s="1" t="s">
        <v>14670</v>
      </c>
      <c r="B14670" s="2" t="str">
        <f>IFERROR(__xludf.DUMMYFUNCTION("GOOGLETRANSLATE(A14670, ""de"", ""en"")"),"noble")</f>
        <v>noble</v>
      </c>
    </row>
    <row r="14671">
      <c r="A14671" s="1" t="s">
        <v>14671</v>
      </c>
      <c r="B14671" s="2" t="str">
        <f>IFERROR(__xludf.DUMMYFUNCTION("GOOGLETRANSLATE(A14671, ""de"", ""en"")"),"temple")</f>
        <v>temple</v>
      </c>
    </row>
    <row r="14672">
      <c r="A14672" s="1" t="s">
        <v>14672</v>
      </c>
      <c r="B14672" s="2" t="str">
        <f>IFERROR(__xludf.DUMMYFUNCTION("GOOGLETRANSLATE(A14672, ""de"", ""en"")"),"squat")</f>
        <v>squat</v>
      </c>
    </row>
    <row r="14673">
      <c r="A14673" s="1" t="s">
        <v>14673</v>
      </c>
      <c r="B14673" s="2" t="str">
        <f>IFERROR(__xludf.DUMMYFUNCTION("GOOGLETRANSLATE(A14673, ""de"", ""en"")"),"servant")</f>
        <v>servant</v>
      </c>
    </row>
    <row r="14674">
      <c r="A14674" s="1" t="s">
        <v>14674</v>
      </c>
      <c r="B14674" s="2" t="str">
        <f>IFERROR(__xludf.DUMMYFUNCTION("GOOGLETRANSLATE(A14674, ""de"", ""en"")"),"tripp")</f>
        <v>tripp</v>
      </c>
    </row>
    <row r="14675">
      <c r="A14675" s="1" t="s">
        <v>14675</v>
      </c>
      <c r="B14675" s="2" t="str">
        <f>IFERROR(__xludf.DUMMYFUNCTION("GOOGLETRANSLATE(A14675, ""de"", ""en"")"),"organ")</f>
        <v>organ</v>
      </c>
    </row>
    <row r="14676">
      <c r="A14676" s="1" t="s">
        <v>14676</v>
      </c>
      <c r="B14676" s="2" t="str">
        <f>IFERROR(__xludf.DUMMYFUNCTION("GOOGLETRANSLATE(A14676, ""de"", ""en"")"),"brunch")</f>
        <v>brunch</v>
      </c>
    </row>
    <row r="14677">
      <c r="A14677" s="1" t="s">
        <v>14677</v>
      </c>
      <c r="B14677" s="2" t="str">
        <f>IFERROR(__xludf.DUMMYFUNCTION("GOOGLETRANSLATE(A14677, ""de"", ""en"")"),"mort")</f>
        <v>mort</v>
      </c>
    </row>
    <row r="14678">
      <c r="A14678" s="1" t="s">
        <v>14678</v>
      </c>
      <c r="B14678" s="2" t="str">
        <f>IFERROR(__xludf.DUMMYFUNCTION("GOOGLETRANSLATE(A14678, ""de"", ""en"")"),"ex girlfriend")</f>
        <v>ex girlfriend</v>
      </c>
    </row>
    <row r="14679">
      <c r="A14679" s="1" t="s">
        <v>14679</v>
      </c>
      <c r="B14679" s="2" t="str">
        <f>IFERROR(__xludf.DUMMYFUNCTION("GOOGLETRANSLATE(A14679, ""de"", ""en"")"),"psychological")</f>
        <v>psychological</v>
      </c>
    </row>
    <row r="14680">
      <c r="A14680" s="1" t="s">
        <v>14680</v>
      </c>
      <c r="B14680" s="2" t="str">
        <f>IFERROR(__xludf.DUMMYFUNCTION("GOOGLETRANSLATE(A14680, ""de"", ""en"")"),"amor")</f>
        <v>amor</v>
      </c>
    </row>
    <row r="14681">
      <c r="A14681" s="1" t="s">
        <v>14681</v>
      </c>
      <c r="B14681" s="2" t="str">
        <f>IFERROR(__xludf.DUMMYFUNCTION("GOOGLETRANSLATE(A14681, ""de"", ""en"")"),"glory")</f>
        <v>glory</v>
      </c>
    </row>
    <row r="14682">
      <c r="A14682" s="1" t="s">
        <v>14682</v>
      </c>
      <c r="B14682" s="2" t="str">
        <f>IFERROR(__xludf.DUMMYFUNCTION("GOOGLETRANSLATE(A14682, ""de"", ""en"")"),"farewell letter")</f>
        <v>farewell letter</v>
      </c>
    </row>
    <row r="14683">
      <c r="A14683" s="1" t="s">
        <v>14683</v>
      </c>
      <c r="B14683" s="2" t="str">
        <f>IFERROR(__xludf.DUMMYFUNCTION("GOOGLETRANSLATE(A14683, ""de"", ""en"")"),"defense")</f>
        <v>defense</v>
      </c>
    </row>
    <row r="14684">
      <c r="A14684" s="1" t="s">
        <v>14684</v>
      </c>
      <c r="B14684" s="2" t="str">
        <f>IFERROR(__xludf.DUMMYFUNCTION("GOOGLETRANSLATE(A14684, ""de"", ""en"")"),"own")</f>
        <v>own</v>
      </c>
    </row>
    <row r="14685">
      <c r="A14685" s="1" t="s">
        <v>14685</v>
      </c>
      <c r="B14685" s="2" t="str">
        <f>IFERROR(__xludf.DUMMYFUNCTION("GOOGLETRANSLATE(A14685, ""de"", ""en"")"),"head")</f>
        <v>head</v>
      </c>
    </row>
    <row r="14686">
      <c r="A14686" s="1" t="s">
        <v>14686</v>
      </c>
      <c r="B14686" s="2" t="str">
        <f>IFERROR(__xludf.DUMMYFUNCTION("GOOGLETRANSLATE(A14686, ""de"", ""en"")"),"mosque")</f>
        <v>mosque</v>
      </c>
    </row>
    <row r="14687">
      <c r="A14687" s="1" t="s">
        <v>14687</v>
      </c>
      <c r="B14687" s="2" t="str">
        <f>IFERROR(__xludf.DUMMYFUNCTION("GOOGLETRANSLATE(A14687, ""de"", ""en"")"),"us government")</f>
        <v>us government</v>
      </c>
    </row>
    <row r="14688">
      <c r="A14688" s="1" t="s">
        <v>14688</v>
      </c>
      <c r="B14688" s="2" t="str">
        <f>IFERROR(__xludf.DUMMYFUNCTION("GOOGLETRANSLATE(A14688, ""de"", ""en"")"),"disassembled")</f>
        <v>disassembled</v>
      </c>
    </row>
    <row r="14689">
      <c r="A14689" s="1" t="s">
        <v>14689</v>
      </c>
      <c r="B14689" s="2" t="str">
        <f>IFERROR(__xludf.DUMMYFUNCTION("GOOGLETRANSLATE(A14689, ""de"", ""en"")"),"carefully")</f>
        <v>carefully</v>
      </c>
    </row>
    <row r="14690">
      <c r="A14690" s="1" t="s">
        <v>14690</v>
      </c>
      <c r="B14690" s="2" t="str">
        <f>IFERROR(__xludf.DUMMYFUNCTION("GOOGLETRANSLATE(A14690, ""de"", ""en"")"),"branch")</f>
        <v>branch</v>
      </c>
    </row>
    <row r="14691">
      <c r="A14691" s="1" t="s">
        <v>14691</v>
      </c>
      <c r="B14691" s="2" t="str">
        <f>IFERROR(__xludf.DUMMYFUNCTION("GOOGLETRANSLATE(A14691, ""de"", ""en"")"),"one hundred percent")</f>
        <v>one hundred percent</v>
      </c>
    </row>
    <row r="14692">
      <c r="A14692" s="1" t="s">
        <v>14692</v>
      </c>
      <c r="B14692" s="2" t="str">
        <f>IFERROR(__xludf.DUMMYFUNCTION("GOOGLETRANSLATE(A14692, ""de"", ""en"")"),"timings")</f>
        <v>timings</v>
      </c>
    </row>
    <row r="14693">
      <c r="A14693" s="1" t="s">
        <v>14693</v>
      </c>
      <c r="B14693" s="2" t="str">
        <f>IFERROR(__xludf.DUMMYFUNCTION("GOOGLETRANSLATE(A14693, ""de"", ""en"")"),"birthmark")</f>
        <v>birthmark</v>
      </c>
    </row>
    <row r="14694">
      <c r="A14694" s="1" t="s">
        <v>14694</v>
      </c>
      <c r="B14694" s="2" t="str">
        <f>IFERROR(__xludf.DUMMYFUNCTION("GOOGLETRANSLATE(A14694, ""de"", ""en"")"),"daughter-in-law")</f>
        <v>daughter-in-law</v>
      </c>
    </row>
    <row r="14695">
      <c r="A14695" s="1" t="s">
        <v>14695</v>
      </c>
      <c r="B14695" s="2" t="str">
        <f>IFERROR(__xludf.DUMMYFUNCTION("GOOGLETRANSLATE(A14695, ""de"", ""en"")"),"foreign")</f>
        <v>foreign</v>
      </c>
    </row>
    <row r="14696">
      <c r="A14696" s="1" t="s">
        <v>14696</v>
      </c>
      <c r="B14696" s="2" t="str">
        <f>IFERROR(__xludf.DUMMYFUNCTION("GOOGLETRANSLATE(A14696, ""de"", ""en"")"),"tribute")</f>
        <v>tribute</v>
      </c>
    </row>
    <row r="14697">
      <c r="A14697" s="1" t="s">
        <v>14697</v>
      </c>
      <c r="B14697" s="2" t="str">
        <f>IFERROR(__xludf.DUMMYFUNCTION("GOOGLETRANSLATE(A14697, ""de"", ""en"")"),"poet")</f>
        <v>poet</v>
      </c>
    </row>
    <row r="14698">
      <c r="A14698" s="1" t="s">
        <v>14698</v>
      </c>
      <c r="B14698" s="2" t="str">
        <f>IFERROR(__xludf.DUMMYFUNCTION("GOOGLETRANSLATE(A14698, ""de"", ""en"")"),"confesses")</f>
        <v>confesses</v>
      </c>
    </row>
    <row r="14699">
      <c r="A14699" s="1" t="s">
        <v>14699</v>
      </c>
      <c r="B14699" s="2" t="str">
        <f>IFERROR(__xludf.DUMMYFUNCTION("GOOGLETRANSLATE(A14699, ""de"", ""en"")"),"blockade")</f>
        <v>blockade</v>
      </c>
    </row>
    <row r="14700">
      <c r="A14700" s="1" t="s">
        <v>14700</v>
      </c>
      <c r="B14700" s="2" t="str">
        <f>IFERROR(__xludf.DUMMYFUNCTION("GOOGLETRANSLATE(A14700, ""de"", ""en"")"),"sent back")</f>
        <v>sent back</v>
      </c>
    </row>
    <row r="14701">
      <c r="A14701" s="1" t="s">
        <v>14701</v>
      </c>
      <c r="B14701" s="2" t="str">
        <f>IFERROR(__xludf.DUMMYFUNCTION("GOOGLETRANSLATE(A14701, ""de"", ""en"")"),"collection")</f>
        <v>collection</v>
      </c>
    </row>
    <row r="14702">
      <c r="A14702" s="1" t="s">
        <v>14702</v>
      </c>
      <c r="B14702" s="2" t="str">
        <f>IFERROR(__xludf.DUMMYFUNCTION("GOOGLETRANSLATE(A14702, ""de"", ""en"")"),"sauna")</f>
        <v>sauna</v>
      </c>
    </row>
    <row r="14703">
      <c r="A14703" s="1" t="s">
        <v>14703</v>
      </c>
      <c r="B14703" s="2" t="str">
        <f>IFERROR(__xludf.DUMMYFUNCTION("GOOGLETRANSLATE(A14703, ""de"", ""en"")"),"grows")</f>
        <v>grows</v>
      </c>
    </row>
    <row r="14704">
      <c r="A14704" s="1" t="s">
        <v>14704</v>
      </c>
      <c r="B14704" s="2" t="str">
        <f>IFERROR(__xludf.DUMMYFUNCTION("GOOGLETRANSLATE(A14704, ""de"", ""en"")"),"birth certificate")</f>
        <v>birth certificate</v>
      </c>
    </row>
    <row r="14705">
      <c r="A14705" s="1" t="s">
        <v>14705</v>
      </c>
      <c r="B14705" s="2" t="str">
        <f>IFERROR(__xludf.DUMMYFUNCTION("GOOGLETRANSLATE(A14705, ""de"", ""en"")"),"traditional")</f>
        <v>traditional</v>
      </c>
    </row>
    <row r="14706">
      <c r="A14706" s="1" t="s">
        <v>14706</v>
      </c>
      <c r="B14706" s="2" t="str">
        <f>IFERROR(__xludf.DUMMYFUNCTION("GOOGLETRANSLATE(A14706, ""de"", ""en"")"),"sprayed")</f>
        <v>sprayed</v>
      </c>
    </row>
    <row r="14707">
      <c r="A14707" s="1" t="s">
        <v>14707</v>
      </c>
      <c r="B14707" s="2" t="str">
        <f>IFERROR(__xludf.DUMMYFUNCTION("GOOGLETRANSLATE(A14707, ""de"", ""en"")"),"stood still")</f>
        <v>stood still</v>
      </c>
    </row>
    <row r="14708">
      <c r="A14708" s="1" t="s">
        <v>14708</v>
      </c>
      <c r="B14708" s="2" t="str">
        <f>IFERROR(__xludf.DUMMYFUNCTION("GOOGLETRANSLATE(A14708, ""de"", ""en"")"),"freeze to death")</f>
        <v>freeze to death</v>
      </c>
    </row>
    <row r="14709">
      <c r="A14709" s="1" t="s">
        <v>14709</v>
      </c>
      <c r="B14709" s="2" t="str">
        <f>IFERROR(__xludf.DUMMYFUNCTION("GOOGLETRANSLATE(A14709, ""de"", ""en"")"),"Leah")</f>
        <v>Leah</v>
      </c>
    </row>
    <row r="14710">
      <c r="A14710" s="1" t="s">
        <v>14710</v>
      </c>
      <c r="B14710" s="2" t="str">
        <f>IFERROR(__xludf.DUMMYFUNCTION("GOOGLETRANSLATE(A14710, ""de"", ""en"")"),"libby")</f>
        <v>libby</v>
      </c>
    </row>
    <row r="14711">
      <c r="A14711" s="1" t="s">
        <v>14711</v>
      </c>
      <c r="B14711" s="2" t="str">
        <f>IFERROR(__xludf.DUMMYFUNCTION("GOOGLETRANSLATE(A14711, ""de"", ""en"")"),"ghost")</f>
        <v>ghost</v>
      </c>
    </row>
    <row r="14712">
      <c r="A14712" s="1" t="s">
        <v>14712</v>
      </c>
      <c r="B14712" s="2" t="str">
        <f>IFERROR(__xludf.DUMMYFUNCTION("GOOGLETRANSLATE(A14712, ""de"", ""en"")"),"rammed")</f>
        <v>rammed</v>
      </c>
    </row>
    <row r="14713">
      <c r="A14713" s="1" t="s">
        <v>14713</v>
      </c>
      <c r="B14713" s="2" t="str">
        <f>IFERROR(__xludf.DUMMYFUNCTION("GOOGLETRANSLATE(A14713, ""de"", ""en"")"),"Kendra")</f>
        <v>Kendra</v>
      </c>
    </row>
    <row r="14714">
      <c r="A14714" s="1" t="s">
        <v>14714</v>
      </c>
      <c r="B14714" s="2" t="str">
        <f>IFERROR(__xludf.DUMMYFUNCTION("GOOGLETRANSLATE(A14714, ""de"", ""en"")"),"grabbed")</f>
        <v>grabbed</v>
      </c>
    </row>
    <row r="14715">
      <c r="A14715" s="1" t="s">
        <v>14715</v>
      </c>
      <c r="B14715" s="2" t="str">
        <f>IFERROR(__xludf.DUMMYFUNCTION("GOOGLETRANSLATE(A14715, ""de"", ""en"")"),"rayburn")</f>
        <v>rayburn</v>
      </c>
    </row>
    <row r="14716">
      <c r="A14716" s="1" t="s">
        <v>14716</v>
      </c>
      <c r="B14716" s="2" t="str">
        <f>IFERROR(__xludf.DUMMYFUNCTION("GOOGLETRANSLATE(A14716, ""de"", ""en"")"),"orion")</f>
        <v>orion</v>
      </c>
    </row>
    <row r="14717">
      <c r="A14717" s="1" t="s">
        <v>14717</v>
      </c>
      <c r="B14717" s="2" t="str">
        <f>IFERROR(__xludf.DUMMYFUNCTION("GOOGLETRANSLATE(A14717, ""de"", ""en"")"),"models")</f>
        <v>models</v>
      </c>
    </row>
    <row r="14718">
      <c r="A14718" s="1" t="s">
        <v>14718</v>
      </c>
      <c r="B14718" s="2" t="str">
        <f>IFERROR(__xludf.DUMMYFUNCTION("GOOGLETRANSLATE(A14718, ""de"", ""en"")"),"i-i")</f>
        <v>i-i</v>
      </c>
    </row>
    <row r="14719">
      <c r="A14719" s="1" t="s">
        <v>14719</v>
      </c>
      <c r="B14719" s="2" t="str">
        <f>IFERROR(__xludf.DUMMYFUNCTION("GOOGLETRANSLATE(A14719, ""de"", ""en"")"),"snapped")</f>
        <v>snapped</v>
      </c>
    </row>
    <row r="14720">
      <c r="A14720" s="1" t="s">
        <v>14720</v>
      </c>
      <c r="B14720" s="2" t="str">
        <f>IFERROR(__xludf.DUMMYFUNCTION("GOOGLETRANSLATE(A14720, ""de"", ""en"")"),"sulfur")</f>
        <v>sulfur</v>
      </c>
    </row>
    <row r="14721">
      <c r="A14721" s="1" t="s">
        <v>14721</v>
      </c>
      <c r="B14721" s="2" t="str">
        <f>IFERROR(__xludf.DUMMYFUNCTION("GOOGLETRANSLATE(A14721, ""de"", ""en"")"),"vomited")</f>
        <v>vomited</v>
      </c>
    </row>
    <row r="14722">
      <c r="A14722" s="1" t="s">
        <v>14722</v>
      </c>
      <c r="B14722" s="2" t="str">
        <f>IFERROR(__xludf.DUMMYFUNCTION("GOOGLETRANSLATE(A14722, ""de"", ""en"")"),"strained")</f>
        <v>strained</v>
      </c>
    </row>
    <row r="14723">
      <c r="A14723" s="1" t="s">
        <v>14723</v>
      </c>
      <c r="B14723" s="2" t="str">
        <f>IFERROR(__xludf.DUMMYFUNCTION("GOOGLETRANSLATE(A14723, ""de"", ""en"")"),"stronger")</f>
        <v>stronger</v>
      </c>
    </row>
    <row r="14724">
      <c r="A14724" s="1" t="s">
        <v>14724</v>
      </c>
      <c r="B14724" s="2" t="str">
        <f>IFERROR(__xludf.DUMMYFUNCTION("GOOGLETRANSLATE(A14724, ""de"", ""en"")"),"protocols")</f>
        <v>protocols</v>
      </c>
    </row>
    <row r="14725">
      <c r="A14725" s="1" t="s">
        <v>14725</v>
      </c>
      <c r="B14725" s="2" t="str">
        <f>IFERROR(__xludf.DUMMYFUNCTION("GOOGLETRANSLATE(A14725, ""de"", ""en"")"),"to clarify")</f>
        <v>to clarify</v>
      </c>
    </row>
    <row r="14726">
      <c r="A14726" s="1" t="s">
        <v>14726</v>
      </c>
      <c r="B14726" s="2" t="str">
        <f>IFERROR(__xludf.DUMMYFUNCTION("GOOGLETRANSLATE(A14726, ""de"", ""en"")"),"yards")</f>
        <v>yards</v>
      </c>
    </row>
    <row r="14727">
      <c r="A14727" s="1" t="s">
        <v>14727</v>
      </c>
      <c r="B14727" s="2" t="str">
        <f>IFERROR(__xludf.DUMMYFUNCTION("GOOGLETRANSLATE(A14727, ""de"", ""en"")"),"North Pole")</f>
        <v>North Pole</v>
      </c>
    </row>
    <row r="14728">
      <c r="A14728" s="1" t="s">
        <v>14728</v>
      </c>
      <c r="B14728" s="2" t="str">
        <f>IFERROR(__xludf.DUMMYFUNCTION("GOOGLETRANSLATE(A14728, ""de"", ""en"")"),"eclair")</f>
        <v>eclair</v>
      </c>
    </row>
    <row r="14729">
      <c r="A14729" s="1" t="s">
        <v>14729</v>
      </c>
      <c r="B14729" s="2" t="str">
        <f>IFERROR(__xludf.DUMMYFUNCTION("GOOGLETRANSLATE(A14729, ""de"", ""en"")"),"legally")</f>
        <v>legally</v>
      </c>
    </row>
    <row r="14730">
      <c r="A14730" s="1" t="s">
        <v>14730</v>
      </c>
      <c r="B14730" s="2" t="str">
        <f>IFERROR(__xludf.DUMMYFUNCTION("GOOGLETRANSLATE(A14730, ""de"", ""en"")"),"garbage can")</f>
        <v>garbage can</v>
      </c>
    </row>
    <row r="14731">
      <c r="A14731" s="1" t="s">
        <v>14731</v>
      </c>
      <c r="B14731" s="2" t="str">
        <f>IFERROR(__xludf.DUMMYFUNCTION("GOOGLETRANSLATE(A14731, ""de"", ""en"")"),"resurrection")</f>
        <v>resurrection</v>
      </c>
    </row>
    <row r="14732">
      <c r="A14732" s="1" t="s">
        <v>14732</v>
      </c>
      <c r="B14732" s="2" t="str">
        <f>IFERROR(__xludf.DUMMYFUNCTION("GOOGLETRANSLATE(A14732, ""de"", ""en"")"),"drain")</f>
        <v>drain</v>
      </c>
    </row>
    <row r="14733">
      <c r="A14733" s="1" t="s">
        <v>14733</v>
      </c>
      <c r="B14733" s="2" t="str">
        <f>IFERROR(__xludf.DUMMYFUNCTION("GOOGLETRANSLATE(A14733, ""de"", ""en"")"),"lends")</f>
        <v>lends</v>
      </c>
    </row>
    <row r="14734">
      <c r="A14734" s="1" t="s">
        <v>14734</v>
      </c>
      <c r="B14734" s="2" t="str">
        <f>IFERROR(__xludf.DUMMYFUNCTION("GOOGLETRANSLATE(A14734, ""de"", ""en"")"),"listed")</f>
        <v>listed</v>
      </c>
    </row>
    <row r="14735">
      <c r="A14735" s="1" t="s">
        <v>14735</v>
      </c>
      <c r="B14735" s="2" t="str">
        <f>IFERROR(__xludf.DUMMYFUNCTION("GOOGLETRANSLATE(A14735, ""de"", ""en"")"),"talent")</f>
        <v>talent</v>
      </c>
    </row>
    <row r="14736">
      <c r="A14736" s="1" t="s">
        <v>14736</v>
      </c>
      <c r="B14736" s="2" t="str">
        <f>IFERROR(__xludf.DUMMYFUNCTION("GOOGLETRANSLATE(A14736, ""de"", ""en"")"),"quiet")</f>
        <v>quiet</v>
      </c>
    </row>
    <row r="14737">
      <c r="A14737" s="1" t="s">
        <v>14737</v>
      </c>
      <c r="B14737" s="2" t="str">
        <f>IFERROR(__xludf.DUMMYFUNCTION("GOOGLETRANSLATE(A14737, ""de"", ""en"")"),"reno")</f>
        <v>reno</v>
      </c>
    </row>
    <row r="14738">
      <c r="A14738" s="1" t="s">
        <v>14738</v>
      </c>
      <c r="B14738" s="2" t="str">
        <f>IFERROR(__xludf.DUMMYFUNCTION("GOOGLETRANSLATE(A14738, ""de"", ""en"")"),"pilgrim")</f>
        <v>pilgrim</v>
      </c>
    </row>
    <row r="14739">
      <c r="A14739" s="1" t="s">
        <v>14739</v>
      </c>
      <c r="B14739" s="2" t="str">
        <f>IFERROR(__xludf.DUMMYFUNCTION("GOOGLETRANSLATE(A14739, ""de"", ""en"")"),"cunt")</f>
        <v>cunt</v>
      </c>
    </row>
    <row r="14740">
      <c r="A14740" s="1" t="s">
        <v>14740</v>
      </c>
      <c r="B14740" s="2" t="str">
        <f>IFERROR(__xludf.DUMMYFUNCTION("GOOGLETRANSLATE(A14740, ""de"", ""en"")"),"supernatural")</f>
        <v>supernatural</v>
      </c>
    </row>
    <row r="14741">
      <c r="A14741" s="1" t="s">
        <v>14741</v>
      </c>
      <c r="B14741" s="2" t="str">
        <f>IFERROR(__xludf.DUMMYFUNCTION("GOOGLETRANSLATE(A14741, ""de"", ""en"")"),"specter")</f>
        <v>specter</v>
      </c>
    </row>
    <row r="14742">
      <c r="A14742" s="1" t="s">
        <v>14742</v>
      </c>
      <c r="B14742" s="2" t="str">
        <f>IFERROR(__xludf.DUMMYFUNCTION("GOOGLETRANSLATE(A14742, ""de"", ""en"")"),"conquer")</f>
        <v>conquer</v>
      </c>
    </row>
    <row r="14743">
      <c r="A14743" s="1" t="s">
        <v>14743</v>
      </c>
      <c r="B14743" s="2" t="str">
        <f>IFERROR(__xludf.DUMMYFUNCTION("GOOGLETRANSLATE(A14743, ""de"", ""en"")"),"kendall")</f>
        <v>kendall</v>
      </c>
    </row>
    <row r="14744">
      <c r="A14744" s="1" t="s">
        <v>14744</v>
      </c>
      <c r="B14744" s="2" t="str">
        <f>IFERROR(__xludf.DUMMYFUNCTION("GOOGLETRANSLATE(A14744, ""de"", ""en"")"),"attracts")</f>
        <v>attracts</v>
      </c>
    </row>
    <row r="14745">
      <c r="A14745" s="1" t="s">
        <v>14745</v>
      </c>
      <c r="B14745" s="2" t="str">
        <f>IFERROR(__xludf.DUMMYFUNCTION("GOOGLETRANSLATE(A14745, ""de"", ""en"")"),"American")</f>
        <v>American</v>
      </c>
    </row>
    <row r="14746">
      <c r="A14746" s="1" t="s">
        <v>14746</v>
      </c>
      <c r="B14746" s="2" t="str">
        <f>IFERROR(__xludf.DUMMYFUNCTION("GOOGLETRANSLATE(A14746, ""de"", ""en"")"),"hockey")</f>
        <v>hockey</v>
      </c>
    </row>
    <row r="14747">
      <c r="A14747" s="1" t="s">
        <v>14747</v>
      </c>
      <c r="B14747" s="2" t="str">
        <f>IFERROR(__xludf.DUMMYFUNCTION("GOOGLETRANSLATE(A14747, ""de"", ""en"")"),"disregard")</f>
        <v>disregard</v>
      </c>
    </row>
    <row r="14748">
      <c r="A14748" s="1" t="s">
        <v>14748</v>
      </c>
      <c r="B14748" s="2" t="str">
        <f>IFERROR(__xludf.DUMMYFUNCTION("GOOGLETRANSLATE(A14748, ""de"", ""en"")"),"va")</f>
        <v>va</v>
      </c>
    </row>
    <row r="14749">
      <c r="A14749" s="1" t="s">
        <v>14749</v>
      </c>
      <c r="B14749" s="2" t="str">
        <f>IFERROR(__xludf.DUMMYFUNCTION("GOOGLETRANSLATE(A14749, ""de"", ""en"")"),"simple")</f>
        <v>simple</v>
      </c>
    </row>
    <row r="14750">
      <c r="A14750" s="1" t="s">
        <v>14750</v>
      </c>
      <c r="B14750" s="2" t="str">
        <f>IFERROR(__xludf.DUMMYFUNCTION("GOOGLETRANSLATE(A14750, ""de"", ""en"")"),"instructor")</f>
        <v>instructor</v>
      </c>
    </row>
    <row r="14751">
      <c r="A14751" s="1" t="s">
        <v>14751</v>
      </c>
      <c r="B14751" s="2" t="str">
        <f>IFERROR(__xludf.DUMMYFUNCTION("GOOGLETRANSLATE(A14751, ""de"", ""en"")"),"hoover")</f>
        <v>hoover</v>
      </c>
    </row>
    <row r="14752">
      <c r="A14752" s="1" t="s">
        <v>14752</v>
      </c>
      <c r="B14752" s="2" t="str">
        <f>IFERROR(__xludf.DUMMYFUNCTION("GOOGLETRANSLATE(A14752, ""de"", ""en"")"),"recognize")</f>
        <v>recognize</v>
      </c>
    </row>
    <row r="14753">
      <c r="A14753" s="1" t="s">
        <v>14753</v>
      </c>
      <c r="B14753" s="2" t="str">
        <f>IFERROR(__xludf.DUMMYFUNCTION("GOOGLETRANSLATE(A14753, ""de"", ""en"")"),"colder")</f>
        <v>colder</v>
      </c>
    </row>
    <row r="14754">
      <c r="A14754" s="1" t="s">
        <v>14754</v>
      </c>
      <c r="B14754" s="2" t="str">
        <f>IFERROR(__xludf.DUMMYFUNCTION("GOOGLETRANSLATE(A14754, ""de"", ""en"")"),"knowledge")</f>
        <v>knowledge</v>
      </c>
    </row>
    <row r="14755">
      <c r="A14755" s="1" t="s">
        <v>14755</v>
      </c>
      <c r="B14755" s="2" t="str">
        <f>IFERROR(__xludf.DUMMYFUNCTION("GOOGLETRANSLATE(A14755, ""de"", ""en"")"),"moments")</f>
        <v>moments</v>
      </c>
    </row>
    <row r="14756">
      <c r="A14756" s="1" t="s">
        <v>14756</v>
      </c>
      <c r="B14756" s="2" t="str">
        <f>IFERROR(__xludf.DUMMYFUNCTION("GOOGLETRANSLATE(A14756, ""de"", ""en"")"),"marcello")</f>
        <v>marcello</v>
      </c>
    </row>
    <row r="14757">
      <c r="A14757" s="1" t="s">
        <v>14757</v>
      </c>
      <c r="B14757" s="2" t="str">
        <f>IFERROR(__xludf.DUMMYFUNCTION("GOOGLETRANSLATE(A14757, ""de"", ""en"")"),"working day")</f>
        <v>working day</v>
      </c>
    </row>
    <row r="14758">
      <c r="A14758" s="1" t="s">
        <v>14758</v>
      </c>
      <c r="B14758" s="2" t="str">
        <f>IFERROR(__xludf.DUMMYFUNCTION("GOOGLETRANSLATE(A14758, ""de"", ""en"")"),"give away")</f>
        <v>give away</v>
      </c>
    </row>
    <row r="14759">
      <c r="A14759" s="1" t="s">
        <v>14759</v>
      </c>
      <c r="B14759" s="2" t="str">
        <f>IFERROR(__xludf.DUMMYFUNCTION("GOOGLETRANSLATE(A14759, ""de"", ""en"")"),"falcon")</f>
        <v>falcon</v>
      </c>
    </row>
    <row r="14760">
      <c r="A14760" s="1" t="s">
        <v>14760</v>
      </c>
      <c r="B14760" s="2" t="str">
        <f>IFERROR(__xludf.DUMMYFUNCTION("GOOGLETRANSLATE(A14760, ""de"", ""en"")"),"more typical")</f>
        <v>more typical</v>
      </c>
    </row>
    <row r="14761">
      <c r="A14761" s="1" t="s">
        <v>14761</v>
      </c>
      <c r="B14761" s="2" t="str">
        <f>IFERROR(__xludf.DUMMYFUNCTION("GOOGLETRANSLATE(A14761, ""de"", ""en"")"),"choy")</f>
        <v>choy</v>
      </c>
    </row>
    <row r="14762">
      <c r="A14762" s="1" t="s">
        <v>14762</v>
      </c>
      <c r="B14762" s="2" t="str">
        <f>IFERROR(__xludf.DUMMYFUNCTION("GOOGLETRANSLATE(A14762, ""de"", ""en"")"),"settlers")</f>
        <v>settlers</v>
      </c>
    </row>
    <row r="14763">
      <c r="A14763" s="1" t="s">
        <v>14763</v>
      </c>
      <c r="B14763" s="2" t="str">
        <f>IFERROR(__xludf.DUMMYFUNCTION("GOOGLETRANSLATE(A14763, ""de"", ""en"")"),"steal from")</f>
        <v>steal from</v>
      </c>
    </row>
    <row r="14764">
      <c r="A14764" s="1" t="s">
        <v>14764</v>
      </c>
      <c r="B14764" s="2" t="str">
        <f>IFERROR(__xludf.DUMMYFUNCTION("GOOGLETRANSLATE(A14764, ""de"", ""en"")"),"conceived")</f>
        <v>conceived</v>
      </c>
    </row>
    <row r="14765">
      <c r="A14765" s="1" t="s">
        <v>14765</v>
      </c>
      <c r="B14765" s="2" t="str">
        <f>IFERROR(__xludf.DUMMYFUNCTION("GOOGLETRANSLATE(A14765, ""de"", ""en"")"),"fake")</f>
        <v>fake</v>
      </c>
    </row>
    <row r="14766">
      <c r="A14766" s="1" t="s">
        <v>14766</v>
      </c>
      <c r="B14766" s="2" t="str">
        <f>IFERROR(__xludf.DUMMYFUNCTION("GOOGLETRANSLATE(A14766, ""de"", ""en"")"),"Cromwell")</f>
        <v>Cromwell</v>
      </c>
    </row>
    <row r="14767">
      <c r="A14767" s="1" t="s">
        <v>14767</v>
      </c>
      <c r="B14767" s="2" t="str">
        <f>IFERROR(__xludf.DUMMYFUNCTION("GOOGLETRANSLATE(A14767, ""de"", ""en"")"),"callahan")</f>
        <v>callahan</v>
      </c>
    </row>
    <row r="14768">
      <c r="A14768" s="1" t="s">
        <v>14768</v>
      </c>
      <c r="B14768" s="2" t="str">
        <f>IFERROR(__xludf.DUMMYFUNCTION("GOOGLETRANSLATE(A14768, ""de"", ""en"")"),"poles")</f>
        <v>poles</v>
      </c>
    </row>
    <row r="14769">
      <c r="A14769" s="1" t="s">
        <v>14769</v>
      </c>
      <c r="B14769" s="2" t="str">
        <f>IFERROR(__xludf.DUMMYFUNCTION("GOOGLETRANSLATE(A14769, ""de"", ""en"")"),"bright")</f>
        <v>bright</v>
      </c>
    </row>
    <row r="14770">
      <c r="A14770" s="1" t="s">
        <v>14770</v>
      </c>
      <c r="B14770" s="2" t="str">
        <f>IFERROR(__xludf.DUMMYFUNCTION("GOOGLETRANSLATE(A14770, ""de"", ""en"")"),"clarissa")</f>
        <v>clarissa</v>
      </c>
    </row>
    <row r="14771">
      <c r="A14771" s="1" t="s">
        <v>14771</v>
      </c>
      <c r="B14771" s="2" t="str">
        <f>IFERROR(__xludf.DUMMYFUNCTION("GOOGLETRANSLATE(A14771, ""de"", ""en"")"),"delicious")</f>
        <v>delicious</v>
      </c>
    </row>
    <row r="14772">
      <c r="A14772" s="1" t="s">
        <v>14772</v>
      </c>
      <c r="B14772" s="2" t="str">
        <f>IFERROR(__xludf.DUMMYFUNCTION("GOOGLETRANSLATE(A14772, ""de"", ""en"")"),"nana")</f>
        <v>nana</v>
      </c>
    </row>
    <row r="14773">
      <c r="A14773" s="1" t="s">
        <v>14773</v>
      </c>
      <c r="B14773" s="2" t="str">
        <f>IFERROR(__xludf.DUMMYFUNCTION("GOOGLETRANSLATE(A14773, ""de"", ""en"")"),"to create")</f>
        <v>to create</v>
      </c>
    </row>
    <row r="14774">
      <c r="A14774" s="1" t="s">
        <v>14774</v>
      </c>
      <c r="B14774" s="2" t="str">
        <f>IFERROR(__xludf.DUMMYFUNCTION("GOOGLETRANSLATE(A14774, ""de"", ""en"")"),"Ahsoka")</f>
        <v>Ahsoka</v>
      </c>
    </row>
    <row r="14775">
      <c r="A14775" s="1" t="s">
        <v>14775</v>
      </c>
      <c r="B14775" s="2" t="str">
        <f>IFERROR(__xludf.DUMMYFUNCTION("GOOGLETRANSLATE(A14775, ""de"", ""en"")"),"sniffs")</f>
        <v>sniffs</v>
      </c>
    </row>
    <row r="14776">
      <c r="A14776" s="1" t="s">
        <v>14776</v>
      </c>
      <c r="B14776" s="2" t="str">
        <f>IFERROR(__xludf.DUMMYFUNCTION("GOOGLETRANSLATE(A14776, ""de"", ""en"")"),"submerged")</f>
        <v>submerged</v>
      </c>
    </row>
    <row r="14777">
      <c r="A14777" s="1" t="s">
        <v>14777</v>
      </c>
      <c r="B14777" s="2" t="str">
        <f>IFERROR(__xludf.DUMMYFUNCTION("GOOGLETRANSLATE(A14777, ""de"", ""en"")"),"intersect")</f>
        <v>intersect</v>
      </c>
    </row>
    <row r="14778">
      <c r="A14778" s="1" t="s">
        <v>14778</v>
      </c>
      <c r="B14778" s="2" t="str">
        <f>IFERROR(__xludf.DUMMYFUNCTION("GOOGLETRANSLATE(A14778, ""de"", ""en"")"),"to take off")</f>
        <v>to take off</v>
      </c>
    </row>
    <row r="14779">
      <c r="A14779" s="1" t="s">
        <v>14779</v>
      </c>
      <c r="B14779" s="2" t="str">
        <f>IFERROR(__xludf.DUMMYFUNCTION("GOOGLETRANSLATE(A14779, ""de"", ""en"")"),"pharmacist")</f>
        <v>pharmacist</v>
      </c>
    </row>
    <row r="14780">
      <c r="A14780" s="1" t="s">
        <v>14780</v>
      </c>
      <c r="B14780" s="2" t="str">
        <f>IFERROR(__xludf.DUMMYFUNCTION("GOOGLETRANSLATE(A14780, ""de"", ""en"")"),"dock")</f>
        <v>dock</v>
      </c>
    </row>
    <row r="14781">
      <c r="A14781" s="1" t="s">
        <v>14781</v>
      </c>
      <c r="B14781" s="2" t="str">
        <f>IFERROR(__xludf.DUMMYFUNCTION("GOOGLETRANSLATE(A14781, ""de"", ""en"")"),"Scylla")</f>
        <v>Scylla</v>
      </c>
    </row>
    <row r="14782">
      <c r="A14782" s="1" t="s">
        <v>14782</v>
      </c>
      <c r="B14782" s="2" t="str">
        <f>IFERROR(__xludf.DUMMYFUNCTION("GOOGLETRANSLATE(A14782, ""de"", ""en"")"),"hobbies")</f>
        <v>hobbies</v>
      </c>
    </row>
    <row r="14783">
      <c r="A14783" s="1" t="s">
        <v>14783</v>
      </c>
      <c r="B14783" s="2" t="str">
        <f>IFERROR(__xludf.DUMMYFUNCTION("GOOGLETRANSLATE(A14783, ""de"", ""en"")"),"played along")</f>
        <v>played along</v>
      </c>
    </row>
    <row r="14784">
      <c r="A14784" s="1" t="s">
        <v>14784</v>
      </c>
      <c r="B14784" s="2" t="str">
        <f>IFERROR(__xludf.DUMMYFUNCTION("GOOGLETRANSLATE(A14784, ""de"", ""en"")"),"miserable")</f>
        <v>miserable</v>
      </c>
    </row>
    <row r="14785">
      <c r="A14785" s="1" t="s">
        <v>14785</v>
      </c>
      <c r="B14785" s="2" t="str">
        <f>IFERROR(__xludf.DUMMYFUNCTION("GOOGLETRANSLATE(A14785, ""de"", ""en"")"),"olives")</f>
        <v>olives</v>
      </c>
    </row>
    <row r="14786">
      <c r="A14786" s="1" t="s">
        <v>14786</v>
      </c>
      <c r="B14786" s="2" t="str">
        <f>IFERROR(__xludf.DUMMYFUNCTION("GOOGLETRANSLATE(A14786, ""de"", ""en"")"),"shotgun")</f>
        <v>shotgun</v>
      </c>
    </row>
    <row r="14787">
      <c r="A14787" s="1" t="s">
        <v>14787</v>
      </c>
      <c r="B14787" s="2" t="str">
        <f>IFERROR(__xludf.DUMMYFUNCTION("GOOGLETRANSLATE(A14787, ""de"", ""en"")"),"guitar music")</f>
        <v>guitar music</v>
      </c>
    </row>
    <row r="14788">
      <c r="A14788" s="1" t="s">
        <v>14788</v>
      </c>
      <c r="B14788" s="2" t="str">
        <f>IFERROR(__xludf.DUMMYFUNCTION("GOOGLETRANSLATE(A14788, ""de"", ""en"")"),"Geoff")</f>
        <v>Geoff</v>
      </c>
    </row>
    <row r="14789">
      <c r="A14789" s="1" t="s">
        <v>14789</v>
      </c>
      <c r="B14789" s="2" t="str">
        <f>IFERROR(__xludf.DUMMYFUNCTION("GOOGLETRANSLATE(A14789, ""de"", ""en"")"),"morning")</f>
        <v>morning</v>
      </c>
    </row>
    <row r="14790">
      <c r="A14790" s="1" t="s">
        <v>14790</v>
      </c>
      <c r="B14790" s="2" t="str">
        <f>IFERROR(__xludf.DUMMYFUNCTION("GOOGLETRANSLATE(A14790, ""de"", ""en"")"),"deo")</f>
        <v>deo</v>
      </c>
    </row>
    <row r="14791">
      <c r="A14791" s="1" t="s">
        <v>14791</v>
      </c>
      <c r="B14791" s="2" t="str">
        <f>IFERROR(__xludf.DUMMYFUNCTION("GOOGLETRANSLATE(A14791, ""de"", ""en"")"),"refused")</f>
        <v>refused</v>
      </c>
    </row>
    <row r="14792">
      <c r="A14792" s="1" t="s">
        <v>14792</v>
      </c>
      <c r="B14792" s="2" t="str">
        <f>IFERROR(__xludf.DUMMYFUNCTION("GOOGLETRANSLATE(A14792, ""de"", ""en"")"),"smuggler")</f>
        <v>smuggler</v>
      </c>
    </row>
    <row r="14793">
      <c r="A14793" s="1" t="s">
        <v>14793</v>
      </c>
      <c r="B14793" s="2" t="str">
        <f>IFERROR(__xludf.DUMMYFUNCTION("GOOGLETRANSLATE(A14793, ""de"", ""en"")"),"scooter")</f>
        <v>scooter</v>
      </c>
    </row>
    <row r="14794">
      <c r="A14794" s="1" t="s">
        <v>14794</v>
      </c>
      <c r="B14794" s="2" t="str">
        <f>IFERROR(__xludf.DUMMYFUNCTION("GOOGLETRANSLATE(A14794, ""de"", ""en"")"),"myers")</f>
        <v>myers</v>
      </c>
    </row>
    <row r="14795">
      <c r="A14795" s="1" t="s">
        <v>14795</v>
      </c>
      <c r="B14795" s="2" t="str">
        <f>IFERROR(__xludf.DUMMYFUNCTION("GOOGLETRANSLATE(A14795, ""de"", ""en"")"),"key")</f>
        <v>key</v>
      </c>
    </row>
    <row r="14796">
      <c r="A14796" s="1" t="s">
        <v>14796</v>
      </c>
      <c r="B14796" s="2" t="str">
        <f>IFERROR(__xludf.DUMMYFUNCTION("GOOGLETRANSLATE(A14796, ""de"", ""en"")"),"construction")</f>
        <v>construction</v>
      </c>
    </row>
    <row r="14797">
      <c r="A14797" s="1" t="s">
        <v>14797</v>
      </c>
      <c r="B14797" s="2" t="str">
        <f>IFERROR(__xludf.DUMMYFUNCTION("GOOGLETRANSLATE(A14797, ""de"", ""en"")"),"alphonse")</f>
        <v>alphonse</v>
      </c>
    </row>
    <row r="14798">
      <c r="A14798" s="1" t="s">
        <v>14798</v>
      </c>
      <c r="B14798" s="2" t="str">
        <f>IFERROR(__xludf.DUMMYFUNCTION("GOOGLETRANSLATE(A14798, ""de"", ""en"")"),"R.A.M")</f>
        <v>R.A.M</v>
      </c>
    </row>
    <row r="14799">
      <c r="A14799" s="1" t="s">
        <v>14799</v>
      </c>
      <c r="B14799" s="2" t="str">
        <f>IFERROR(__xludf.DUMMYFUNCTION("GOOGLETRANSLATE(A14799, ""de"", ""en"")"),"Helene")</f>
        <v>Helene</v>
      </c>
    </row>
    <row r="14800">
      <c r="A14800" s="1" t="s">
        <v>14800</v>
      </c>
      <c r="B14800" s="2" t="str">
        <f>IFERROR(__xludf.DUMMYFUNCTION("GOOGLETRANSLATE(A14800, ""de"", ""en"")"),"Nebraska")</f>
        <v>Nebraska</v>
      </c>
    </row>
    <row r="14801">
      <c r="A14801" s="1" t="s">
        <v>14801</v>
      </c>
      <c r="B14801" s="2" t="str">
        <f>IFERROR(__xludf.DUMMYFUNCTION("GOOGLETRANSLATE(A14801, ""de"", ""en"")"),"washcloth")</f>
        <v>washcloth</v>
      </c>
    </row>
    <row r="14802">
      <c r="A14802" s="1" t="s">
        <v>14802</v>
      </c>
      <c r="B14802" s="2" t="str">
        <f>IFERROR(__xludf.DUMMYFUNCTION("GOOGLETRANSLATE(A14802, ""de"", ""en"")"),"immigrants")</f>
        <v>immigrants</v>
      </c>
    </row>
    <row r="14803">
      <c r="A14803" s="1" t="s">
        <v>14803</v>
      </c>
      <c r="B14803" s="2" t="str">
        <f>IFERROR(__xludf.DUMMYFUNCTION("GOOGLETRANSLATE(A14803, ""de"", ""en"")"),"achieved")</f>
        <v>achieved</v>
      </c>
    </row>
    <row r="14804">
      <c r="A14804" s="1" t="s">
        <v>14804</v>
      </c>
      <c r="B14804" s="2" t="str">
        <f>IFERROR(__xludf.DUMMYFUNCTION("GOOGLETRANSLATE(A14804, ""de"", ""en"")"),"mg")</f>
        <v>mg</v>
      </c>
    </row>
    <row r="14805">
      <c r="A14805" s="1" t="s">
        <v>14805</v>
      </c>
      <c r="B14805" s="2" t="str">
        <f>IFERROR(__xludf.DUMMYFUNCTION("GOOGLETRANSLATE(A14805, ""de"", ""en"")"),"swimsuit")</f>
        <v>swimsuit</v>
      </c>
    </row>
    <row r="14806">
      <c r="A14806" s="1" t="s">
        <v>14806</v>
      </c>
      <c r="B14806" s="2" t="str">
        <f>IFERROR(__xludf.DUMMYFUNCTION("GOOGLETRANSLATE(A14806, ""de"", ""en"")"),"thinner")</f>
        <v>thinner</v>
      </c>
    </row>
    <row r="14807">
      <c r="A14807" s="1" t="s">
        <v>14807</v>
      </c>
      <c r="B14807" s="2" t="str">
        <f>IFERROR(__xludf.DUMMYFUNCTION("GOOGLETRANSLATE(A14807, ""de"", ""en"")"),"fair")</f>
        <v>fair</v>
      </c>
    </row>
    <row r="14808">
      <c r="A14808" s="1" t="s">
        <v>14808</v>
      </c>
      <c r="B14808" s="2" t="str">
        <f>IFERROR(__xludf.DUMMYFUNCTION("GOOGLETRANSLATE(A14808, ""de"", ""en"")"),"temperatures")</f>
        <v>temperatures</v>
      </c>
    </row>
    <row r="14809">
      <c r="A14809" s="1" t="s">
        <v>14809</v>
      </c>
      <c r="B14809" s="2" t="str">
        <f>IFERROR(__xludf.DUMMYFUNCTION("GOOGLETRANSLATE(A14809, ""de"", ""en"")"),"sounds")</f>
        <v>sounds</v>
      </c>
    </row>
    <row r="14810">
      <c r="A14810" s="1" t="s">
        <v>14810</v>
      </c>
      <c r="B14810" s="2" t="str">
        <f>IFERROR(__xludf.DUMMYFUNCTION("GOOGLETRANSLATE(A14810, ""de"", ""en"")"),"captain")</f>
        <v>captain</v>
      </c>
    </row>
    <row r="14811">
      <c r="A14811" s="1" t="s">
        <v>14811</v>
      </c>
      <c r="B14811" s="2" t="str">
        <f>IFERROR(__xludf.DUMMYFUNCTION("GOOGLETRANSLATE(A14811, ""de"", ""en"")"),"muck")</f>
        <v>muck</v>
      </c>
    </row>
    <row r="14812">
      <c r="A14812" s="1" t="s">
        <v>14812</v>
      </c>
      <c r="B14812" s="2" t="str">
        <f>IFERROR(__xludf.DUMMYFUNCTION("GOOGLETRANSLATE(A14812, ""de"", ""en"")"),"vulgar")</f>
        <v>vulgar</v>
      </c>
    </row>
    <row r="14813">
      <c r="A14813" s="1" t="s">
        <v>14813</v>
      </c>
      <c r="B14813" s="2" t="str">
        <f>IFERROR(__xludf.DUMMYFUNCTION("GOOGLETRANSLATE(A14813, ""de"", ""en"")"),"subdue")</f>
        <v>subdue</v>
      </c>
    </row>
    <row r="14814">
      <c r="A14814" s="1" t="s">
        <v>14814</v>
      </c>
      <c r="B14814" s="2" t="str">
        <f>IFERROR(__xludf.DUMMYFUNCTION("GOOGLETRANSLATE(A14814, ""de"", ""en"")"),"must")</f>
        <v>must</v>
      </c>
    </row>
    <row r="14815">
      <c r="A14815" s="1" t="s">
        <v>14815</v>
      </c>
      <c r="B14815" s="2" t="str">
        <f>IFERROR(__xludf.DUMMYFUNCTION("GOOGLETRANSLATE(A14815, ""de"", ""en"")"),"camp")</f>
        <v>camp</v>
      </c>
    </row>
    <row r="14816">
      <c r="A14816" s="1" t="s">
        <v>14816</v>
      </c>
      <c r="B14816" s="2" t="str">
        <f>IFERROR(__xludf.DUMMYFUNCTION("GOOGLETRANSLATE(A14816, ""de"", ""en"")"),"werewolves")</f>
        <v>werewolves</v>
      </c>
    </row>
    <row r="14817">
      <c r="A14817" s="1" t="s">
        <v>14817</v>
      </c>
      <c r="B14817" s="2" t="str">
        <f>IFERROR(__xludf.DUMMYFUNCTION("GOOGLETRANSLATE(A14817, ""de"", ""en"")"),"heaviest")</f>
        <v>heaviest</v>
      </c>
    </row>
    <row r="14818">
      <c r="A14818" s="1" t="s">
        <v>14818</v>
      </c>
      <c r="B14818" s="2" t="str">
        <f>IFERROR(__xludf.DUMMYFUNCTION("GOOGLETRANSLATE(A14818, ""de"", ""en"")"),"Dakota")</f>
        <v>Dakota</v>
      </c>
    </row>
    <row r="14819">
      <c r="A14819" s="1" t="s">
        <v>14819</v>
      </c>
      <c r="B14819" s="2" t="str">
        <f>IFERROR(__xludf.DUMMYFUNCTION("GOOGLETRANSLATE(A14819, ""de"", ""en"")"),"bordeaux")</f>
        <v>bordeaux</v>
      </c>
    </row>
    <row r="14820">
      <c r="A14820" s="1" t="s">
        <v>14820</v>
      </c>
      <c r="B14820" s="2" t="str">
        <f>IFERROR(__xludf.DUMMYFUNCTION("GOOGLETRANSLATE(A14820, ""de"", ""en"")"),"unfavorable")</f>
        <v>unfavorable</v>
      </c>
    </row>
    <row r="14821">
      <c r="A14821" s="1" t="s">
        <v>14821</v>
      </c>
      <c r="B14821" s="2" t="str">
        <f>IFERROR(__xludf.DUMMYFUNCTION("GOOGLETRANSLATE(A14821, ""de"", ""en"")"),"shown")</f>
        <v>shown</v>
      </c>
    </row>
    <row r="14822">
      <c r="A14822" s="1" t="s">
        <v>14822</v>
      </c>
      <c r="B14822" s="2" t="str">
        <f>IFERROR(__xludf.DUMMYFUNCTION("GOOGLETRANSLATE(A14822, ""de"", ""en"")"),"complex")</f>
        <v>complex</v>
      </c>
    </row>
    <row r="14823">
      <c r="A14823" s="1" t="s">
        <v>14823</v>
      </c>
      <c r="B14823" s="2" t="str">
        <f>IFERROR(__xludf.DUMMYFUNCTION("GOOGLETRANSLATE(A14823, ""de"", ""en"")"),"maid")</f>
        <v>maid</v>
      </c>
    </row>
    <row r="14824">
      <c r="A14824" s="1" t="s">
        <v>14824</v>
      </c>
      <c r="B14824" s="2" t="str">
        <f>IFERROR(__xludf.DUMMYFUNCTION("GOOGLETRANSLATE(A14824, ""de"", ""en"")"),"deputies")</f>
        <v>deputies</v>
      </c>
    </row>
    <row r="14825">
      <c r="A14825" s="1" t="s">
        <v>14825</v>
      </c>
      <c r="B14825" s="2" t="str">
        <f>IFERROR(__xludf.DUMMYFUNCTION("GOOGLETRANSLATE(A14825, ""de"", ""en"")"),"borrow")</f>
        <v>borrow</v>
      </c>
    </row>
    <row r="14826">
      <c r="A14826" s="1" t="s">
        <v>14826</v>
      </c>
      <c r="B14826" s="2" t="str">
        <f>IFERROR(__xludf.DUMMYFUNCTION("GOOGLETRANSLATE(A14826, ""de"", ""en"")"),"thorne")</f>
        <v>thorne</v>
      </c>
    </row>
    <row r="14827">
      <c r="A14827" s="1" t="s">
        <v>14827</v>
      </c>
      <c r="B14827" s="2" t="str">
        <f>IFERROR(__xludf.DUMMYFUNCTION("GOOGLETRANSLATE(A14827, ""de"", ""en"")"),"straight away")</f>
        <v>straight away</v>
      </c>
    </row>
    <row r="14828">
      <c r="A14828" s="1" t="s">
        <v>14828</v>
      </c>
      <c r="B14828" s="2" t="str">
        <f>IFERROR(__xludf.DUMMYFUNCTION("GOOGLETRANSLATE(A14828, ""de"", ""en"")"),"revealed")</f>
        <v>revealed</v>
      </c>
    </row>
    <row r="14829">
      <c r="A14829" s="1" t="s">
        <v>14829</v>
      </c>
      <c r="B14829" s="2" t="str">
        <f>IFERROR(__xludf.DUMMYFUNCTION("GOOGLETRANSLATE(A14829, ""de"", ""en"")"),"insulted")</f>
        <v>insulted</v>
      </c>
    </row>
    <row r="14830">
      <c r="A14830" s="1" t="s">
        <v>14830</v>
      </c>
      <c r="B14830" s="2" t="str">
        <f>IFERROR(__xludf.DUMMYFUNCTION("GOOGLETRANSLATE(A14830, ""de"", ""en"")"),"pastries")</f>
        <v>pastries</v>
      </c>
    </row>
    <row r="14831">
      <c r="A14831" s="1" t="s">
        <v>14831</v>
      </c>
      <c r="B14831" s="2" t="str">
        <f>IFERROR(__xludf.DUMMYFUNCTION("GOOGLETRANSLATE(A14831, ""de"", ""en"")"),"ride share")</f>
        <v>ride share</v>
      </c>
    </row>
    <row r="14832">
      <c r="A14832" s="1" t="s">
        <v>14832</v>
      </c>
      <c r="B14832" s="2" t="str">
        <f>IFERROR(__xludf.DUMMYFUNCTION("GOOGLETRANSLATE(A14832, ""de"", ""en"")"),"Patrick")</f>
        <v>Patrick</v>
      </c>
    </row>
    <row r="14833">
      <c r="A14833" s="1" t="s">
        <v>14833</v>
      </c>
      <c r="B14833" s="2" t="str">
        <f>IFERROR(__xludf.DUMMYFUNCTION("GOOGLETRANSLATE(A14833, ""de"", ""en"")"),"diploma")</f>
        <v>diploma</v>
      </c>
    </row>
    <row r="14834">
      <c r="A14834" s="1" t="s">
        <v>14834</v>
      </c>
      <c r="B14834" s="2" t="str">
        <f>IFERROR(__xludf.DUMMYFUNCTION("GOOGLETRANSLATE(A14834, ""de"", ""en"")"),"marys")</f>
        <v>marys</v>
      </c>
    </row>
    <row r="14835">
      <c r="A14835" s="1" t="s">
        <v>14835</v>
      </c>
      <c r="B14835" s="2" t="str">
        <f>IFERROR(__xludf.DUMMYFUNCTION("GOOGLETRANSLATE(A14835, ""de"", ""en"")"),"run for office")</f>
        <v>run for office</v>
      </c>
    </row>
    <row r="14836">
      <c r="A14836" s="1" t="s">
        <v>14836</v>
      </c>
      <c r="B14836" s="2" t="str">
        <f>IFERROR(__xludf.DUMMYFUNCTION("GOOGLETRANSLATE(A14836, ""de"", ""en"")"),"introduce")</f>
        <v>introduce</v>
      </c>
    </row>
    <row r="14837">
      <c r="A14837" s="1" t="s">
        <v>14837</v>
      </c>
      <c r="B14837" s="2" t="str">
        <f>IFERROR(__xludf.DUMMYFUNCTION("GOOGLETRANSLATE(A14837, ""de"", ""en"")"),"sharp")</f>
        <v>sharp</v>
      </c>
    </row>
    <row r="14838">
      <c r="A14838" s="1" t="s">
        <v>14838</v>
      </c>
      <c r="B14838" s="2" t="str">
        <f>IFERROR(__xludf.DUMMYFUNCTION("GOOGLETRANSLATE(A14838, ""de"", ""en"")"),"opium")</f>
        <v>opium</v>
      </c>
    </row>
    <row r="14839">
      <c r="A14839" s="1" t="s">
        <v>14839</v>
      </c>
      <c r="B14839" s="2" t="str">
        <f>IFERROR(__xludf.DUMMYFUNCTION("GOOGLETRANSLATE(A14839, ""de"", ""en"")"),"consider")</f>
        <v>consider</v>
      </c>
    </row>
    <row r="14840">
      <c r="A14840" s="1" t="s">
        <v>14840</v>
      </c>
      <c r="B14840" s="2" t="str">
        <f>IFERROR(__xludf.DUMMYFUNCTION("GOOGLETRANSLATE(A14840, ""de"", ""en"")"),"playful")</f>
        <v>playful</v>
      </c>
    </row>
    <row r="14841">
      <c r="A14841" s="1" t="s">
        <v>14841</v>
      </c>
      <c r="B14841" s="2" t="str">
        <f>IFERROR(__xludf.DUMMYFUNCTION("GOOGLETRANSLATE(A14841, ""de"", ""en"")"),"dig")</f>
        <v>dig</v>
      </c>
    </row>
    <row r="14842">
      <c r="A14842" s="1" t="s">
        <v>14842</v>
      </c>
      <c r="B14842" s="2" t="str">
        <f>IFERROR(__xludf.DUMMYFUNCTION("GOOGLETRANSLATE(A14842, ""de"", ""en"")"),"kitty")</f>
        <v>kitty</v>
      </c>
    </row>
    <row r="14843">
      <c r="A14843" s="1" t="s">
        <v>14843</v>
      </c>
      <c r="B14843" s="2" t="str">
        <f>IFERROR(__xludf.DUMMYFUNCTION("GOOGLETRANSLATE(A14843, ""de"", ""en"")"),"original")</f>
        <v>original</v>
      </c>
    </row>
    <row r="14844">
      <c r="A14844" s="1" t="s">
        <v>14844</v>
      </c>
      <c r="B14844" s="2" t="str">
        <f>IFERROR(__xludf.DUMMYFUNCTION("GOOGLETRANSLATE(A14844, ""de"", ""en"")"),"tickets")</f>
        <v>tickets</v>
      </c>
    </row>
    <row r="14845">
      <c r="A14845" s="1" t="s">
        <v>14845</v>
      </c>
      <c r="B14845" s="2" t="str">
        <f>IFERROR(__xludf.DUMMYFUNCTION("GOOGLETRANSLATE(A14845, ""de"", ""en"")"),"summers")</f>
        <v>summers</v>
      </c>
    </row>
    <row r="14846">
      <c r="A14846" s="1" t="s">
        <v>14846</v>
      </c>
      <c r="B14846" s="2" t="str">
        <f>IFERROR(__xludf.DUMMYFUNCTION("GOOGLETRANSLATE(A14846, ""de"", ""en"")"),"put in")</f>
        <v>put in</v>
      </c>
    </row>
    <row r="14847">
      <c r="A14847" s="1" t="s">
        <v>14847</v>
      </c>
      <c r="B14847" s="2" t="str">
        <f>IFERROR(__xludf.DUMMYFUNCTION("GOOGLETRANSLATE(A14847, ""de"", ""en"")"),"syd")</f>
        <v>syd</v>
      </c>
    </row>
    <row r="14848">
      <c r="A14848" s="1" t="s">
        <v>14848</v>
      </c>
      <c r="B14848" s="2" t="str">
        <f>IFERROR(__xludf.DUMMYFUNCTION("GOOGLETRANSLATE(A14848, ""de"", ""en"")"),"to show up")</f>
        <v>to show up</v>
      </c>
    </row>
    <row r="14849">
      <c r="A14849" s="1" t="s">
        <v>14849</v>
      </c>
      <c r="B14849" s="2" t="str">
        <f>IFERROR(__xludf.DUMMYFUNCTION("GOOGLETRANSLATE(A14849, ""de"", ""en"")"),"ninth")</f>
        <v>ninth</v>
      </c>
    </row>
    <row r="14850">
      <c r="A14850" s="1" t="s">
        <v>14850</v>
      </c>
      <c r="B14850" s="2" t="str">
        <f>IFERROR(__xludf.DUMMYFUNCTION("GOOGLETRANSLATE(A14850, ""de"", ""en"")"),"disgusting")</f>
        <v>disgusting</v>
      </c>
    </row>
    <row r="14851">
      <c r="A14851" s="1" t="s">
        <v>14851</v>
      </c>
      <c r="B14851" s="2" t="str">
        <f>IFERROR(__xludf.DUMMYFUNCTION("GOOGLETRANSLATE(A14851, ""de"", ""en"")"),"copper")</f>
        <v>copper</v>
      </c>
    </row>
    <row r="14852">
      <c r="A14852" s="1" t="s">
        <v>14852</v>
      </c>
      <c r="B14852" s="2" t="str">
        <f>IFERROR(__xludf.DUMMYFUNCTION("GOOGLETRANSLATE(A14852, ""de"", ""en"")"),"laugh")</f>
        <v>laugh</v>
      </c>
    </row>
    <row r="14853">
      <c r="A14853" s="1" t="s">
        <v>14853</v>
      </c>
      <c r="B14853" s="2" t="str">
        <f>IFERROR(__xludf.DUMMYFUNCTION("GOOGLETRANSLATE(A14853, ""de"", ""en"")"),"antenna")</f>
        <v>antenna</v>
      </c>
    </row>
    <row r="14854">
      <c r="A14854" s="1" t="s">
        <v>14854</v>
      </c>
      <c r="B14854" s="2" t="str">
        <f>IFERROR(__xludf.DUMMYFUNCTION("GOOGLETRANSLATE(A14854, ""de"", ""en"")"),"eat up")</f>
        <v>eat up</v>
      </c>
    </row>
    <row r="14855">
      <c r="A14855" s="1" t="s">
        <v>14855</v>
      </c>
      <c r="B14855" s="2" t="str">
        <f>IFERROR(__xludf.DUMMYFUNCTION("GOOGLETRANSLATE(A14855, ""de"", ""en"")"),"filmtiger")</f>
        <v>filmtiger</v>
      </c>
    </row>
    <row r="14856">
      <c r="A14856" s="1" t="s">
        <v>14856</v>
      </c>
      <c r="B14856" s="2" t="str">
        <f>IFERROR(__xludf.DUMMYFUNCTION("GOOGLETRANSLATE(A14856, ""de"", ""en"")"),"clarifies")</f>
        <v>clarifies</v>
      </c>
    </row>
    <row r="14857">
      <c r="A14857" s="1" t="s">
        <v>14857</v>
      </c>
      <c r="B14857" s="2" t="str">
        <f>IFERROR(__xludf.DUMMYFUNCTION("GOOGLETRANSLATE(A14857, ""de"", ""en"")"),"casting")</f>
        <v>casting</v>
      </c>
    </row>
    <row r="14858">
      <c r="A14858" s="1" t="s">
        <v>14858</v>
      </c>
      <c r="B14858" s="2" t="str">
        <f>IFERROR(__xludf.DUMMYFUNCTION("GOOGLETRANSLATE(A14858, ""de"", ""en"")"),"self-employed")</f>
        <v>self-employed</v>
      </c>
    </row>
    <row r="14859">
      <c r="A14859" s="1" t="s">
        <v>14859</v>
      </c>
      <c r="B14859" s="2" t="str">
        <f>IFERROR(__xludf.DUMMYFUNCTION("GOOGLETRANSLATE(A14859, ""de"", ""en"")"),"more brilliant")</f>
        <v>more brilliant</v>
      </c>
    </row>
    <row r="14860">
      <c r="A14860" s="1" t="s">
        <v>14860</v>
      </c>
      <c r="B14860" s="2" t="str">
        <f>IFERROR(__xludf.DUMMYFUNCTION("GOOGLETRANSLATE(A14860, ""de"", ""en"")"),"donate")</f>
        <v>donate</v>
      </c>
    </row>
    <row r="14861">
      <c r="A14861" s="1" t="s">
        <v>14861</v>
      </c>
      <c r="B14861" s="2" t="str">
        <f>IFERROR(__xludf.DUMMYFUNCTION("GOOGLETRANSLATE(A14861, ""de"", ""en"")"),"snake")</f>
        <v>snake</v>
      </c>
    </row>
    <row r="14862">
      <c r="A14862" s="1" t="s">
        <v>14862</v>
      </c>
      <c r="B14862" s="2" t="str">
        <f>IFERROR(__xludf.DUMMYFUNCTION("GOOGLETRANSLATE(A14862, ""de"", ""en"")"),"kings")</f>
        <v>kings</v>
      </c>
    </row>
    <row r="14863">
      <c r="A14863" s="1" t="s">
        <v>14863</v>
      </c>
      <c r="B14863" s="2" t="str">
        <f>IFERROR(__xludf.DUMMYFUNCTION("GOOGLETRANSLATE(A14863, ""de"", ""en"")"),"order")</f>
        <v>order</v>
      </c>
    </row>
    <row r="14864">
      <c r="A14864" s="1" t="s">
        <v>14864</v>
      </c>
      <c r="B14864" s="2" t="str">
        <f>IFERROR(__xludf.DUMMYFUNCTION("GOOGLETRANSLATE(A14864, ""de"", ""en"")"),"dress")</f>
        <v>dress</v>
      </c>
    </row>
    <row r="14865">
      <c r="A14865" s="1" t="s">
        <v>14865</v>
      </c>
      <c r="B14865" s="2" t="str">
        <f>IFERROR(__xludf.DUMMYFUNCTION("GOOGLETRANSLATE(A14865, ""de"", ""en"")"),"cheng")</f>
        <v>cheng</v>
      </c>
    </row>
    <row r="14866">
      <c r="A14866" s="1" t="s">
        <v>14866</v>
      </c>
      <c r="B14866" s="2" t="str">
        <f>IFERROR(__xludf.DUMMYFUNCTION("GOOGLETRANSLATE(A14866, ""de"", ""en"")"),"author")</f>
        <v>author</v>
      </c>
    </row>
    <row r="14867">
      <c r="A14867" s="1" t="s">
        <v>14867</v>
      </c>
      <c r="B14867" s="2" t="str">
        <f>IFERROR(__xludf.DUMMYFUNCTION("GOOGLETRANSLATE(A14867, ""de"", ""en"")"),"more private")</f>
        <v>more private</v>
      </c>
    </row>
    <row r="14868">
      <c r="A14868" s="1" t="s">
        <v>14868</v>
      </c>
      <c r="B14868" s="2" t="str">
        <f>IFERROR(__xludf.DUMMYFUNCTION("GOOGLETRANSLATE(A14868, ""de"", ""en"")"),"to adapt")</f>
        <v>to adapt</v>
      </c>
    </row>
    <row r="14869">
      <c r="A14869" s="1" t="s">
        <v>14869</v>
      </c>
      <c r="B14869" s="2" t="str">
        <f>IFERROR(__xludf.DUMMYFUNCTION("GOOGLETRANSLATE(A14869, ""de"", ""en"")"),"designation")</f>
        <v>designation</v>
      </c>
    </row>
    <row r="14870">
      <c r="A14870" s="1" t="s">
        <v>14870</v>
      </c>
      <c r="B14870" s="2" t="str">
        <f>IFERROR(__xludf.DUMMYFUNCTION("GOOGLETRANSLATE(A14870, ""de"", ""en"")"),"insane")</f>
        <v>insane</v>
      </c>
    </row>
    <row r="14871">
      <c r="A14871" s="1" t="s">
        <v>14871</v>
      </c>
      <c r="B14871" s="2" t="str">
        <f>IFERROR(__xludf.DUMMYFUNCTION("GOOGLETRANSLATE(A14871, ""de"", ""en"")"),"lighthouse")</f>
        <v>lighthouse</v>
      </c>
    </row>
    <row r="14872">
      <c r="A14872" s="1" t="s">
        <v>14872</v>
      </c>
      <c r="B14872" s="2" t="str">
        <f>IFERROR(__xludf.DUMMYFUNCTION("GOOGLETRANSLATE(A14872, ""de"", ""en"")"),"lice")</f>
        <v>lice</v>
      </c>
    </row>
    <row r="14873">
      <c r="A14873" s="1" t="s">
        <v>14873</v>
      </c>
      <c r="B14873" s="2" t="str">
        <f>IFERROR(__xludf.DUMMYFUNCTION("GOOGLETRANSLATE(A14873, ""de"", ""en"")"),"divided")</f>
        <v>divided</v>
      </c>
    </row>
    <row r="14874">
      <c r="A14874" s="1" t="s">
        <v>14874</v>
      </c>
      <c r="B14874" s="2" t="str">
        <f>IFERROR(__xludf.DUMMYFUNCTION("GOOGLETRANSLATE(A14874, ""de"", ""en"")"),"cabinet")</f>
        <v>cabinet</v>
      </c>
    </row>
    <row r="14875">
      <c r="A14875" s="1" t="s">
        <v>14875</v>
      </c>
      <c r="B14875" s="2" t="str">
        <f>IFERROR(__xludf.DUMMYFUNCTION("GOOGLETRANSLATE(A14875, ""de"", ""en"")"),"hopper")</f>
        <v>hopper</v>
      </c>
    </row>
    <row r="14876">
      <c r="A14876" s="1" t="s">
        <v>14876</v>
      </c>
      <c r="B14876" s="2" t="str">
        <f>IFERROR(__xludf.DUMMYFUNCTION("GOOGLETRANSLATE(A14876, ""de"", ""en"")"),"greets")</f>
        <v>greets</v>
      </c>
    </row>
    <row r="14877">
      <c r="A14877" s="1" t="s">
        <v>14877</v>
      </c>
      <c r="B14877" s="2" t="str">
        <f>IFERROR(__xludf.DUMMYFUNCTION("GOOGLETRANSLATE(A14877, ""de"", ""en"")"),"wired")</f>
        <v>wired</v>
      </c>
    </row>
    <row r="14878">
      <c r="A14878" s="1" t="s">
        <v>14878</v>
      </c>
      <c r="B14878" s="2" t="str">
        <f>IFERROR(__xludf.DUMMYFUNCTION("GOOGLETRANSLATE(A14878, ""de"", ""en"")"),"hung")</f>
        <v>hung</v>
      </c>
    </row>
    <row r="14879">
      <c r="A14879" s="1" t="s">
        <v>14879</v>
      </c>
      <c r="B14879" s="2" t="str">
        <f>IFERROR(__xludf.DUMMYFUNCTION("GOOGLETRANSLATE(A14879, ""de"", ""en"")"),"with impunity")</f>
        <v>with impunity</v>
      </c>
    </row>
    <row r="14880">
      <c r="A14880" s="1" t="s">
        <v>14880</v>
      </c>
      <c r="B14880" s="2" t="str">
        <f>IFERROR(__xludf.DUMMYFUNCTION("GOOGLETRANSLATE(A14880, ""de"", ""en"")"),"driveway")</f>
        <v>driveway</v>
      </c>
    </row>
    <row r="14881">
      <c r="A14881" s="1" t="s">
        <v>14881</v>
      </c>
      <c r="B14881" s="2" t="str">
        <f>IFERROR(__xludf.DUMMYFUNCTION("GOOGLETRANSLATE(A14881, ""de"", ""en"")"),"eat up")</f>
        <v>eat up</v>
      </c>
    </row>
    <row r="14882">
      <c r="A14882" s="1" t="s">
        <v>14882</v>
      </c>
      <c r="B14882" s="2" t="str">
        <f>IFERROR(__xludf.DUMMYFUNCTION("GOOGLETRANSLATE(A14882, ""de"", ""en"")"),"catholic")</f>
        <v>catholic</v>
      </c>
    </row>
    <row r="14883">
      <c r="A14883" s="1" t="s">
        <v>14883</v>
      </c>
      <c r="B14883" s="2" t="str">
        <f>IFERROR(__xludf.DUMMYFUNCTION("GOOGLETRANSLATE(A14883, ""de"", ""en"")"),"wing")</f>
        <v>wing</v>
      </c>
    </row>
    <row r="14884">
      <c r="A14884" s="1" t="s">
        <v>14884</v>
      </c>
      <c r="B14884" s="2" t="str">
        <f>IFERROR(__xludf.DUMMYFUNCTION("GOOGLETRANSLATE(A14884, ""de"", ""en"")"),"collapse")</f>
        <v>collapse</v>
      </c>
    </row>
    <row r="14885">
      <c r="A14885" s="1" t="s">
        <v>14885</v>
      </c>
      <c r="B14885" s="2" t="str">
        <f>IFERROR(__xludf.DUMMYFUNCTION("GOOGLETRANSLATE(A14885, ""de"", ""en"")"),"fair")</f>
        <v>fair</v>
      </c>
    </row>
    <row r="14886">
      <c r="A14886" s="1" t="s">
        <v>14886</v>
      </c>
      <c r="B14886" s="2" t="str">
        <f>IFERROR(__xludf.DUMMYFUNCTION("GOOGLETRANSLATE(A14886, ""de"", ""en"")"),"outlook")</f>
        <v>outlook</v>
      </c>
    </row>
    <row r="14887">
      <c r="A14887" s="1" t="s">
        <v>14887</v>
      </c>
      <c r="B14887" s="2" t="str">
        <f>IFERROR(__xludf.DUMMYFUNCTION("GOOGLETRANSLATE(A14887, ""de"", ""en"")"),"to clarify")</f>
        <v>to clarify</v>
      </c>
    </row>
    <row r="14888">
      <c r="A14888" s="1" t="s">
        <v>14888</v>
      </c>
      <c r="B14888" s="2" t="str">
        <f>IFERROR(__xludf.DUMMYFUNCTION("GOOGLETRANSLATE(A14888, ""de"", ""en"")"),"celebrity")</f>
        <v>celebrity</v>
      </c>
    </row>
    <row r="14889">
      <c r="A14889" s="1" t="s">
        <v>14889</v>
      </c>
      <c r="B14889" s="2" t="str">
        <f>IFERROR(__xludf.DUMMYFUNCTION("GOOGLETRANSLATE(A14889, ""de"", ""en"")"),"glove compartment")</f>
        <v>glove compartment</v>
      </c>
    </row>
    <row r="14890">
      <c r="A14890" s="1" t="s">
        <v>14890</v>
      </c>
      <c r="B14890" s="2" t="str">
        <f>IFERROR(__xludf.DUMMYFUNCTION("GOOGLETRANSLATE(A14890, ""de"", ""en"")"),"Nathaniel")</f>
        <v>Nathaniel</v>
      </c>
    </row>
    <row r="14891">
      <c r="A14891" s="1" t="s">
        <v>14891</v>
      </c>
      <c r="B14891" s="2" t="str">
        <f>IFERROR(__xludf.DUMMYFUNCTION("GOOGLETRANSLATE(A14891, ""de"", ""en"")"),"shitty thing")</f>
        <v>shitty thing</v>
      </c>
    </row>
    <row r="14892">
      <c r="A14892" s="1" t="s">
        <v>14892</v>
      </c>
      <c r="B14892" s="2" t="str">
        <f>IFERROR(__xludf.DUMMYFUNCTION("GOOGLETRANSLATE(A14892, ""de"", ""en"")"),"bleed to death")</f>
        <v>bleed to death</v>
      </c>
    </row>
    <row r="14893">
      <c r="A14893" s="1" t="s">
        <v>14893</v>
      </c>
      <c r="B14893" s="2" t="str">
        <f>IFERROR(__xludf.DUMMYFUNCTION("GOOGLETRANSLATE(A14893, ""de"", ""en"")"),"pinching")</f>
        <v>pinching</v>
      </c>
    </row>
    <row r="14894">
      <c r="A14894" s="1" t="s">
        <v>14894</v>
      </c>
      <c r="B14894" s="2" t="str">
        <f>IFERROR(__xludf.DUMMYFUNCTION("GOOGLETRANSLATE(A14894, ""de"", ""en"")"),"insurance")</f>
        <v>insurance</v>
      </c>
    </row>
    <row r="14895">
      <c r="A14895" s="1" t="s">
        <v>14895</v>
      </c>
      <c r="B14895" s="2" t="str">
        <f>IFERROR(__xludf.DUMMYFUNCTION("GOOGLETRANSLATE(A14895, ""de"", ""en"")"),"caldwell")</f>
        <v>caldwell</v>
      </c>
    </row>
    <row r="14896">
      <c r="A14896" s="1" t="s">
        <v>14896</v>
      </c>
      <c r="B14896" s="2" t="str">
        <f>IFERROR(__xludf.DUMMYFUNCTION("GOOGLETRANSLATE(A14896, ""de"", ""en"")"),"accepts")</f>
        <v>accepts</v>
      </c>
    </row>
    <row r="14897">
      <c r="A14897" s="1" t="s">
        <v>14897</v>
      </c>
      <c r="B14897" s="2" t="str">
        <f>IFERROR(__xludf.DUMMYFUNCTION("GOOGLETRANSLATE(A14897, ""de"", ""en"")"),"pulled in")</f>
        <v>pulled in</v>
      </c>
    </row>
    <row r="14898">
      <c r="A14898" s="1" t="s">
        <v>14898</v>
      </c>
      <c r="B14898" s="2" t="str">
        <f>IFERROR(__xludf.DUMMYFUNCTION("GOOGLETRANSLATE(A14898, ""de"", ""en"")"),"located")</f>
        <v>located</v>
      </c>
    </row>
    <row r="14899">
      <c r="A14899" s="1" t="s">
        <v>14899</v>
      </c>
      <c r="B14899" s="2" t="str">
        <f>IFERROR(__xludf.DUMMYFUNCTION("GOOGLETRANSLATE(A14899, ""de"", ""en"")"),"class meeting")</f>
        <v>class meeting</v>
      </c>
    </row>
    <row r="14900">
      <c r="A14900" s="1" t="s">
        <v>14900</v>
      </c>
      <c r="B14900" s="2" t="str">
        <f>IFERROR(__xludf.DUMMYFUNCTION("GOOGLETRANSLATE(A14900, ""de"", ""en"")"),"mothers")</f>
        <v>mothers</v>
      </c>
    </row>
    <row r="14901">
      <c r="A14901" s="1" t="s">
        <v>14901</v>
      </c>
      <c r="B14901" s="2" t="str">
        <f>IFERROR(__xludf.DUMMYFUNCTION("GOOGLETRANSLATE(A14901, ""de"", ""en"")"),"myrtle")</f>
        <v>myrtle</v>
      </c>
    </row>
    <row r="14902">
      <c r="A14902" s="1" t="s">
        <v>14902</v>
      </c>
      <c r="B14902" s="2" t="str">
        <f>IFERROR(__xludf.DUMMYFUNCTION("GOOGLETRANSLATE(A14902, ""de"", ""en"")"),"longest")</f>
        <v>longest</v>
      </c>
    </row>
    <row r="14903">
      <c r="A14903" s="1" t="s">
        <v>14903</v>
      </c>
      <c r="B14903" s="2" t="str">
        <f>IFERROR(__xludf.DUMMYFUNCTION("GOOGLETRANSLATE(A14903, ""de"", ""en"")"),"update")</f>
        <v>update</v>
      </c>
    </row>
    <row r="14904">
      <c r="A14904" s="1" t="s">
        <v>14904</v>
      </c>
      <c r="B14904" s="2" t="str">
        <f>IFERROR(__xludf.DUMMYFUNCTION("GOOGLETRANSLATE(A14904, ""de"", ""en"")"),"tremble")</f>
        <v>tremble</v>
      </c>
    </row>
    <row r="14905">
      <c r="A14905" s="1" t="s">
        <v>14905</v>
      </c>
      <c r="B14905" s="2" t="str">
        <f>IFERROR(__xludf.DUMMYFUNCTION("GOOGLETRANSLATE(A14905, ""de"", ""en"")"),"hectares")</f>
        <v>hectares</v>
      </c>
    </row>
    <row r="14906">
      <c r="A14906" s="1" t="s">
        <v>14906</v>
      </c>
      <c r="B14906" s="2" t="str">
        <f>IFERROR(__xludf.DUMMYFUNCTION("GOOGLETRANSLATE(A14906, ""de"", ""en"")"),"aging")</f>
        <v>aging</v>
      </c>
    </row>
    <row r="14907">
      <c r="A14907" s="1" t="s">
        <v>14907</v>
      </c>
      <c r="B14907" s="2" t="str">
        <f>IFERROR(__xludf.DUMMYFUNCTION("GOOGLETRANSLATE(A14907, ""de"", ""en"")"),"berger")</f>
        <v>berger</v>
      </c>
    </row>
    <row r="14908">
      <c r="A14908" s="1" t="s">
        <v>14908</v>
      </c>
      <c r="B14908" s="2" t="str">
        <f>IFERROR(__xludf.DUMMYFUNCTION("GOOGLETRANSLATE(A14908, ""de"", ""en"")"),"miserable")</f>
        <v>miserable</v>
      </c>
    </row>
    <row r="14909">
      <c r="A14909" s="1" t="s">
        <v>14909</v>
      </c>
      <c r="B14909" s="2" t="str">
        <f>IFERROR(__xludf.DUMMYFUNCTION("GOOGLETRANSLATE(A14909, ""de"", ""en"")"),"affairs")</f>
        <v>affairs</v>
      </c>
    </row>
    <row r="14910">
      <c r="A14910" s="1" t="s">
        <v>14910</v>
      </c>
      <c r="B14910" s="2" t="str">
        <f>IFERROR(__xludf.DUMMYFUNCTION("GOOGLETRANSLATE(A14910, ""de"", ""en"")"),"benefits")</f>
        <v>benefits</v>
      </c>
    </row>
    <row r="14911">
      <c r="A14911" s="1" t="s">
        <v>14911</v>
      </c>
      <c r="B14911" s="2" t="str">
        <f>IFERROR(__xludf.DUMMYFUNCTION("GOOGLETRANSLATE(A14911, ""de"", ""en"")"),"catalog")</f>
        <v>catalog</v>
      </c>
    </row>
    <row r="14912">
      <c r="A14912" s="1" t="s">
        <v>14912</v>
      </c>
      <c r="B14912" s="2" t="str">
        <f>IFERROR(__xludf.DUMMYFUNCTION("GOOGLETRANSLATE(A14912, ""de"", ""en"")"),"hurley")</f>
        <v>hurley</v>
      </c>
    </row>
    <row r="14913">
      <c r="A14913" s="1" t="s">
        <v>14913</v>
      </c>
      <c r="B14913" s="2" t="str">
        <f>IFERROR(__xludf.DUMMYFUNCTION("GOOGLETRANSLATE(A14913, ""de"", ""en"")"),"jokes")</f>
        <v>jokes</v>
      </c>
    </row>
    <row r="14914">
      <c r="A14914" s="1" t="s">
        <v>14914</v>
      </c>
      <c r="B14914" s="2" t="str">
        <f>IFERROR(__xludf.DUMMYFUNCTION("GOOGLETRANSLATE(A14914, ""de"", ""en"")"),"rock")</f>
        <v>rock</v>
      </c>
    </row>
    <row r="14915">
      <c r="A14915" s="1" t="s">
        <v>14915</v>
      </c>
      <c r="B14915" s="2" t="str">
        <f>IFERROR(__xludf.DUMMYFUNCTION("GOOGLETRANSLATE(A14915, ""de"", ""en"")"),"stomach pain")</f>
        <v>stomach pain</v>
      </c>
    </row>
    <row r="14916">
      <c r="A14916" s="1" t="s">
        <v>14916</v>
      </c>
      <c r="B14916" s="2" t="str">
        <f>IFERROR(__xludf.DUMMYFUNCTION("GOOGLETRANSLATE(A14916, ""de"", ""en"")"),"authorized")</f>
        <v>authorized</v>
      </c>
    </row>
    <row r="14917">
      <c r="A14917" s="1" t="s">
        <v>14917</v>
      </c>
      <c r="B14917" s="2" t="str">
        <f>IFERROR(__xludf.DUMMYFUNCTION("GOOGLETRANSLATE(A14917, ""de"", ""en"")"),"search")</f>
        <v>search</v>
      </c>
    </row>
    <row r="14918">
      <c r="A14918" s="1" t="s">
        <v>14918</v>
      </c>
      <c r="B14918" s="2" t="str">
        <f>IFERROR(__xludf.DUMMYFUNCTION("GOOGLETRANSLATE(A14918, ""de"", ""en"")"),"moon")</f>
        <v>moon</v>
      </c>
    </row>
    <row r="14919">
      <c r="A14919" s="1" t="s">
        <v>14919</v>
      </c>
      <c r="B14919" s="2" t="str">
        <f>IFERROR(__xludf.DUMMYFUNCTION("GOOGLETRANSLATE(A14919, ""de"", ""en"")"),"titanic")</f>
        <v>titanic</v>
      </c>
    </row>
    <row r="14920">
      <c r="A14920" s="1" t="s">
        <v>14920</v>
      </c>
      <c r="B14920" s="2" t="str">
        <f>IFERROR(__xludf.DUMMYFUNCTION("GOOGLETRANSLATE(A14920, ""de"", ""en"")"),"together")</f>
        <v>together</v>
      </c>
    </row>
    <row r="14921">
      <c r="A14921" s="1" t="s">
        <v>14921</v>
      </c>
      <c r="B14921" s="2" t="str">
        <f>IFERROR(__xludf.DUMMYFUNCTION("GOOGLETRANSLATE(A14921, ""de"", ""en"")"),"sabotaged")</f>
        <v>sabotaged</v>
      </c>
    </row>
    <row r="14922">
      <c r="A14922" s="1" t="s">
        <v>14922</v>
      </c>
      <c r="B14922" s="2" t="str">
        <f>IFERROR(__xludf.DUMMYFUNCTION("GOOGLETRANSLATE(A14922, ""de"", ""en"")"),"relieve")</f>
        <v>relieve</v>
      </c>
    </row>
    <row r="14923">
      <c r="A14923" s="1" t="s">
        <v>14923</v>
      </c>
      <c r="B14923" s="2" t="str">
        <f>IFERROR(__xludf.DUMMYFUNCTION("GOOGLETRANSLATE(A14923, ""de"", ""en"")"),"Mathias")</f>
        <v>Mathias</v>
      </c>
    </row>
    <row r="14924">
      <c r="A14924" s="1" t="s">
        <v>14924</v>
      </c>
      <c r="B14924" s="2" t="str">
        <f>IFERROR(__xludf.DUMMYFUNCTION("GOOGLETRANSLATE(A14924, ""de"", ""en"")"),"Caribbean")</f>
        <v>Caribbean</v>
      </c>
    </row>
    <row r="14925">
      <c r="A14925" s="1" t="s">
        <v>14925</v>
      </c>
      <c r="B14925" s="2" t="str">
        <f>IFERROR(__xludf.DUMMYFUNCTION("GOOGLETRANSLATE(A14925, ""de"", ""en"")"),"downright")</f>
        <v>downright</v>
      </c>
    </row>
    <row r="14926">
      <c r="A14926" s="1" t="s">
        <v>14926</v>
      </c>
      <c r="B14926" s="2" t="str">
        <f>IFERROR(__xludf.DUMMYFUNCTION("GOOGLETRANSLATE(A14926, ""de"", ""en"")"),"freeze")</f>
        <v>freeze</v>
      </c>
    </row>
    <row r="14927">
      <c r="A14927" s="1" t="s">
        <v>14927</v>
      </c>
      <c r="B14927" s="2" t="str">
        <f>IFERROR(__xludf.DUMMYFUNCTION("GOOGLETRANSLATE(A14927, ""de"", ""en"")"),"deke")</f>
        <v>deke</v>
      </c>
    </row>
    <row r="14928">
      <c r="A14928" s="1" t="s">
        <v>14928</v>
      </c>
      <c r="B14928" s="2" t="str">
        <f>IFERROR(__xludf.DUMMYFUNCTION("GOOGLETRANSLATE(A14928, ""de"", ""en"")"),"significant")</f>
        <v>significant</v>
      </c>
    </row>
    <row r="14929">
      <c r="A14929" s="1" t="s">
        <v>14929</v>
      </c>
      <c r="B14929" s="2" t="str">
        <f>IFERROR(__xludf.DUMMYFUNCTION("GOOGLETRANSLATE(A14929, ""de"", ""en"")"),"move on")</f>
        <v>move on</v>
      </c>
    </row>
    <row r="14930">
      <c r="A14930" s="1" t="s">
        <v>14930</v>
      </c>
      <c r="B14930" s="2" t="str">
        <f>IFERROR(__xludf.DUMMYFUNCTION("GOOGLETRANSLATE(A14930, ""de"", ""en"")"),"mat")</f>
        <v>mat</v>
      </c>
    </row>
    <row r="14931">
      <c r="A14931" s="1" t="s">
        <v>14931</v>
      </c>
      <c r="B14931" s="2" t="str">
        <f>IFERROR(__xludf.DUMMYFUNCTION("GOOGLETRANSLATE(A14931, ""de"", ""en"")"),"ramp")</f>
        <v>ramp</v>
      </c>
    </row>
    <row r="14932">
      <c r="A14932" s="1" t="s">
        <v>14932</v>
      </c>
      <c r="B14932" s="2" t="str">
        <f>IFERROR(__xludf.DUMMYFUNCTION("GOOGLETRANSLATE(A14932, ""de"", ""en"")"),"scale")</f>
        <v>scale</v>
      </c>
    </row>
    <row r="14933">
      <c r="A14933" s="1" t="s">
        <v>14933</v>
      </c>
      <c r="B14933" s="2" t="str">
        <f>IFERROR(__xludf.DUMMYFUNCTION("GOOGLETRANSLATE(A14933, ""de"", ""en"")"),"rested")</f>
        <v>rested</v>
      </c>
    </row>
    <row r="14934">
      <c r="A14934" s="1" t="s">
        <v>14934</v>
      </c>
      <c r="B14934" s="2" t="str">
        <f>IFERROR(__xludf.DUMMYFUNCTION("GOOGLETRANSLATE(A14934, ""de"", ""en"")"),"corps")</f>
        <v>corps</v>
      </c>
    </row>
    <row r="14935">
      <c r="A14935" s="1" t="s">
        <v>14935</v>
      </c>
      <c r="B14935" s="2" t="str">
        <f>IFERROR(__xludf.DUMMYFUNCTION("GOOGLETRANSLATE(A14935, ""de"", ""en"")"),"tamara")</f>
        <v>tamara</v>
      </c>
    </row>
    <row r="14936">
      <c r="A14936" s="1" t="s">
        <v>14936</v>
      </c>
      <c r="B14936" s="2" t="str">
        <f>IFERROR(__xludf.DUMMYFUNCTION("GOOGLETRANSLATE(A14936, ""de"", ""en"")"),"taken away")</f>
        <v>taken away</v>
      </c>
    </row>
    <row r="14937">
      <c r="A14937" s="1" t="s">
        <v>14937</v>
      </c>
      <c r="B14937" s="2" t="str">
        <f>IFERROR(__xludf.DUMMYFUNCTION("GOOGLETRANSLATE(A14937, ""de"", ""en"")"),"innocent")</f>
        <v>innocent</v>
      </c>
    </row>
    <row r="14938">
      <c r="A14938" s="1" t="s">
        <v>14938</v>
      </c>
      <c r="B14938" s="2" t="str">
        <f>IFERROR(__xludf.DUMMYFUNCTION("GOOGLETRANSLATE(A14938, ""de"", ""en"")"),"acquired")</f>
        <v>acquired</v>
      </c>
    </row>
    <row r="14939">
      <c r="A14939" s="1" t="s">
        <v>14939</v>
      </c>
      <c r="B14939" s="2" t="str">
        <f>IFERROR(__xludf.DUMMYFUNCTION("GOOGLETRANSLATE(A14939, ""de"", ""en"")"),"to clean up")</f>
        <v>to clean up</v>
      </c>
    </row>
    <row r="14940">
      <c r="A14940" s="1" t="s">
        <v>14940</v>
      </c>
      <c r="B14940" s="2" t="str">
        <f>IFERROR(__xludf.DUMMYFUNCTION("GOOGLETRANSLATE(A14940, ""de"", ""en"")"),"remarks")</f>
        <v>remarks</v>
      </c>
    </row>
    <row r="14941">
      <c r="A14941" s="1" t="s">
        <v>14941</v>
      </c>
      <c r="B14941" s="2" t="str">
        <f>IFERROR(__xludf.DUMMYFUNCTION("GOOGLETRANSLATE(A14941, ""de"", ""en"")"),"current")</f>
        <v>current</v>
      </c>
    </row>
    <row r="14942">
      <c r="A14942" s="1" t="s">
        <v>14942</v>
      </c>
      <c r="B14942" s="2" t="str">
        <f>IFERROR(__xludf.DUMMYFUNCTION("GOOGLETRANSLATE(A14942, ""de"", ""en"")"),"chunks")</f>
        <v>chunks</v>
      </c>
    </row>
    <row r="14943">
      <c r="A14943" s="1" t="s">
        <v>14943</v>
      </c>
      <c r="B14943" s="2" t="str">
        <f>IFERROR(__xludf.DUMMYFUNCTION("GOOGLETRANSLATE(A14943, ""de"", ""en"")"),"tacos")</f>
        <v>tacos</v>
      </c>
    </row>
    <row r="14944">
      <c r="A14944" s="1" t="s">
        <v>14944</v>
      </c>
      <c r="B14944" s="2" t="str">
        <f>IFERROR(__xludf.DUMMYFUNCTION("GOOGLETRANSLATE(A14944, ""de"", ""en"")"),"payments")</f>
        <v>payments</v>
      </c>
    </row>
    <row r="14945">
      <c r="A14945" s="1" t="s">
        <v>14945</v>
      </c>
      <c r="B14945" s="2" t="str">
        <f>IFERROR(__xludf.DUMMYFUNCTION("GOOGLETRANSLATE(A14945, ""de"", ""en"")"),"feasible")</f>
        <v>feasible</v>
      </c>
    </row>
    <row r="14946">
      <c r="A14946" s="1" t="s">
        <v>14946</v>
      </c>
      <c r="B14946" s="2" t="str">
        <f>IFERROR(__xludf.DUMMYFUNCTION("GOOGLETRANSLATE(A14946, ""de"", ""en"")"),"dream")</f>
        <v>dream</v>
      </c>
    </row>
    <row r="14947">
      <c r="A14947" s="1" t="s">
        <v>14947</v>
      </c>
      <c r="B14947" s="2" t="str">
        <f>IFERROR(__xludf.DUMMYFUNCTION("GOOGLETRANSLATE(A14947, ""de"", ""en"")"),"idiots")</f>
        <v>idiots</v>
      </c>
    </row>
    <row r="14948">
      <c r="A14948" s="1" t="s">
        <v>14948</v>
      </c>
      <c r="B14948" s="2" t="str">
        <f>IFERROR(__xludf.DUMMYFUNCTION("GOOGLETRANSLATE(A14948, ""de"", ""en"")"),"apple")</f>
        <v>apple</v>
      </c>
    </row>
    <row r="14949">
      <c r="A14949" s="1" t="s">
        <v>14949</v>
      </c>
      <c r="B14949" s="2" t="str">
        <f>IFERROR(__xludf.DUMMYFUNCTION("GOOGLETRANSLATE(A14949, ""de"", ""en"")"),"crusade")</f>
        <v>crusade</v>
      </c>
    </row>
    <row r="14950">
      <c r="A14950" s="1" t="s">
        <v>14950</v>
      </c>
      <c r="B14950" s="2" t="str">
        <f>IFERROR(__xludf.DUMMYFUNCTION("GOOGLETRANSLATE(A14950, ""de"", ""en"")"),"steal")</f>
        <v>steal</v>
      </c>
    </row>
    <row r="14951">
      <c r="A14951" s="1" t="s">
        <v>14951</v>
      </c>
      <c r="B14951" s="2" t="str">
        <f>IFERROR(__xludf.DUMMYFUNCTION("GOOGLETRANSLATE(A14951, ""de"", ""en"")"),"loudmouth")</f>
        <v>loudmouth</v>
      </c>
    </row>
    <row r="14952">
      <c r="A14952" s="1" t="s">
        <v>14952</v>
      </c>
      <c r="B14952" s="2" t="str">
        <f>IFERROR(__xludf.DUMMYFUNCTION("GOOGLETRANSLATE(A14952, ""de"", ""en"")"),"colored")</f>
        <v>colored</v>
      </c>
    </row>
    <row r="14953">
      <c r="A14953" s="1" t="s">
        <v>14953</v>
      </c>
      <c r="B14953" s="2" t="str">
        <f>IFERROR(__xludf.DUMMYFUNCTION("GOOGLETRANSLATE(A14953, ""de"", ""en"")"),"moose")</f>
        <v>moose</v>
      </c>
    </row>
    <row r="14954">
      <c r="A14954" s="1" t="s">
        <v>14954</v>
      </c>
      <c r="B14954" s="2" t="str">
        <f>IFERROR(__xludf.DUMMYFUNCTION("GOOGLETRANSLATE(A14954, ""de"", ""en"")"),"lighting")</f>
        <v>lighting</v>
      </c>
    </row>
    <row r="14955">
      <c r="A14955" s="1" t="s">
        <v>14955</v>
      </c>
      <c r="B14955" s="2" t="str">
        <f>IFERROR(__xludf.DUMMYFUNCTION("GOOGLETRANSLATE(A14955, ""de"", ""en"")"),"cynical")</f>
        <v>cynical</v>
      </c>
    </row>
    <row r="14956">
      <c r="A14956" s="1" t="s">
        <v>14956</v>
      </c>
      <c r="B14956" s="2" t="str">
        <f>IFERROR(__xludf.DUMMYFUNCTION("GOOGLETRANSLATE(A14956, ""de"", ""en"")"),"Bethany")</f>
        <v>Bethany</v>
      </c>
    </row>
    <row r="14957">
      <c r="A14957" s="1" t="s">
        <v>14957</v>
      </c>
      <c r="B14957" s="2" t="str">
        <f>IFERROR(__xludf.DUMMYFUNCTION("GOOGLETRANSLATE(A14957, ""de"", ""en"")"),"iv")</f>
        <v>iv</v>
      </c>
    </row>
    <row r="14958">
      <c r="A14958" s="1" t="s">
        <v>14958</v>
      </c>
      <c r="B14958" s="2" t="str">
        <f>IFERROR(__xludf.DUMMYFUNCTION("GOOGLETRANSLATE(A14958, ""de"", ""en"")"),"laughed at")</f>
        <v>laughed at</v>
      </c>
    </row>
    <row r="14959">
      <c r="A14959" s="1" t="s">
        <v>14959</v>
      </c>
      <c r="B14959" s="2" t="str">
        <f>IFERROR(__xludf.DUMMYFUNCTION("GOOGLETRANSLATE(A14959, ""de"", ""en"")"),"hook up")</f>
        <v>hook up</v>
      </c>
    </row>
    <row r="14960">
      <c r="A14960" s="1" t="s">
        <v>14960</v>
      </c>
      <c r="B14960" s="2" t="str">
        <f>IFERROR(__xludf.DUMMYFUNCTION("GOOGLETRANSLATE(A14960, ""de"", ""en"")"),"hometown")</f>
        <v>hometown</v>
      </c>
    </row>
    <row r="14961">
      <c r="A14961" s="1" t="s">
        <v>14961</v>
      </c>
      <c r="B14961" s="2" t="str">
        <f>IFERROR(__xludf.DUMMYFUNCTION("GOOGLETRANSLATE(A14961, ""de"", ""en"")"),"rocco")</f>
        <v>rocco</v>
      </c>
    </row>
    <row r="14962">
      <c r="A14962" s="1" t="s">
        <v>14962</v>
      </c>
      <c r="B14962" s="2" t="str">
        <f>IFERROR(__xludf.DUMMYFUNCTION("GOOGLETRANSLATE(A14962, ""de"", ""en"")"),"weak")</f>
        <v>weak</v>
      </c>
    </row>
    <row r="14963">
      <c r="A14963" s="1" t="s">
        <v>14963</v>
      </c>
      <c r="B14963" s="2" t="str">
        <f>IFERROR(__xludf.DUMMYFUNCTION("GOOGLETRANSLATE(A14963, ""de"", ""en"")"),"salami")</f>
        <v>salami</v>
      </c>
    </row>
    <row r="14964">
      <c r="A14964" s="1" t="s">
        <v>14964</v>
      </c>
      <c r="B14964" s="2" t="str">
        <f>IFERROR(__xludf.DUMMYFUNCTION("GOOGLETRANSLATE(A14964, ""de"", ""en"")"),"backyard")</f>
        <v>backyard</v>
      </c>
    </row>
    <row r="14965">
      <c r="A14965" s="1" t="s">
        <v>14965</v>
      </c>
      <c r="B14965" s="2" t="str">
        <f>IFERROR(__xludf.DUMMYFUNCTION("GOOGLETRANSLATE(A14965, ""de"", ""en"")"),"got in")</f>
        <v>got in</v>
      </c>
    </row>
    <row r="14966">
      <c r="A14966" s="1" t="s">
        <v>14966</v>
      </c>
      <c r="B14966" s="2" t="str">
        <f>IFERROR(__xludf.DUMMYFUNCTION("GOOGLETRANSLATE(A14966, ""de"", ""en"")"),"compromises")</f>
        <v>compromises</v>
      </c>
    </row>
    <row r="14967">
      <c r="A14967" s="1" t="s">
        <v>14967</v>
      </c>
      <c r="B14967" s="2" t="str">
        <f>IFERROR(__xludf.DUMMYFUNCTION("GOOGLETRANSLATE(A14967, ""de"", ""en"")"),"imagination")</f>
        <v>imagination</v>
      </c>
    </row>
    <row r="14968">
      <c r="A14968" s="1" t="s">
        <v>14968</v>
      </c>
      <c r="B14968" s="2" t="str">
        <f>IFERROR(__xludf.DUMMYFUNCTION("GOOGLETRANSLATE(A14968, ""de"", ""en"")"),"apply")</f>
        <v>apply</v>
      </c>
    </row>
    <row r="14969">
      <c r="A14969" s="1" t="s">
        <v>14969</v>
      </c>
      <c r="B14969" s="2" t="str">
        <f>IFERROR(__xludf.DUMMYFUNCTION("GOOGLETRANSLATE(A14969, ""de"", ""en"")"),"got to know")</f>
        <v>got to know</v>
      </c>
    </row>
    <row r="14970">
      <c r="A14970" s="1" t="s">
        <v>14970</v>
      </c>
      <c r="B14970" s="2" t="str">
        <f>IFERROR(__xludf.DUMMYFUNCTION("GOOGLETRANSLATE(A14970, ""de"", ""en"")"),"threatening")</f>
        <v>threatening</v>
      </c>
    </row>
    <row r="14971">
      <c r="A14971" s="1" t="s">
        <v>14971</v>
      </c>
      <c r="B14971" s="2" t="str">
        <f>IFERROR(__xludf.DUMMYFUNCTION("GOOGLETRANSLATE(A14971, ""de"", ""en"")"),"Chaplin")</f>
        <v>Chaplin</v>
      </c>
    </row>
    <row r="14972">
      <c r="A14972" s="1" t="s">
        <v>14972</v>
      </c>
      <c r="B14972" s="2" t="str">
        <f>IFERROR(__xludf.DUMMYFUNCTION("GOOGLETRANSLATE(A14972, ""de"", ""en"")"),"j.j.")</f>
        <v>j.j.</v>
      </c>
    </row>
    <row r="14973">
      <c r="A14973" s="1" t="s">
        <v>14973</v>
      </c>
      <c r="B14973" s="2" t="str">
        <f>IFERROR(__xludf.DUMMYFUNCTION("GOOGLETRANSLATE(A14973, ""de"", ""en"")"),"tough")</f>
        <v>tough</v>
      </c>
    </row>
    <row r="14974">
      <c r="A14974" s="1" t="s">
        <v>14974</v>
      </c>
      <c r="B14974" s="2" t="str">
        <f>IFERROR(__xludf.DUMMYFUNCTION("GOOGLETRANSLATE(A14974, ""de"", ""en"")"),"hands over")</f>
        <v>hands over</v>
      </c>
    </row>
    <row r="14975">
      <c r="A14975" s="1" t="s">
        <v>14975</v>
      </c>
      <c r="B14975" s="2" t="str">
        <f>IFERROR(__xludf.DUMMYFUNCTION("GOOGLETRANSLATE(A14975, ""de"", ""en"")"),"wobbles")</f>
        <v>wobbles</v>
      </c>
    </row>
    <row r="14976">
      <c r="A14976" s="1" t="s">
        <v>14976</v>
      </c>
      <c r="B14976" s="2" t="str">
        <f>IFERROR(__xludf.DUMMYFUNCTION("GOOGLETRANSLATE(A14976, ""de"", ""en"")"),"power plant")</f>
        <v>power plant</v>
      </c>
    </row>
    <row r="14977">
      <c r="A14977" s="1" t="s">
        <v>14977</v>
      </c>
      <c r="B14977" s="2" t="str">
        <f>IFERROR(__xludf.DUMMYFUNCTION("GOOGLETRANSLATE(A14977, ""de"", ""en"")"),"steer")</f>
        <v>steer</v>
      </c>
    </row>
    <row r="14978">
      <c r="A14978" s="1" t="s">
        <v>14978</v>
      </c>
      <c r="B14978" s="2" t="str">
        <f>IFERROR(__xludf.DUMMYFUNCTION("GOOGLETRANSLATE(A14978, ""de"", ""en"")"),"hawks")</f>
        <v>hawks</v>
      </c>
    </row>
    <row r="14979">
      <c r="A14979" s="1" t="s">
        <v>14979</v>
      </c>
      <c r="B14979" s="2" t="str">
        <f>IFERROR(__xludf.DUMMYFUNCTION("GOOGLETRANSLATE(A14979, ""de"", ""en"")"),"prevail")</f>
        <v>prevail</v>
      </c>
    </row>
    <row r="14980">
      <c r="A14980" s="1" t="s">
        <v>14980</v>
      </c>
      <c r="B14980" s="2" t="str">
        <f>IFERROR(__xludf.DUMMYFUNCTION("GOOGLETRANSLATE(A14980, ""de"", ""en"")"),"dowry")</f>
        <v>dowry</v>
      </c>
    </row>
    <row r="14981">
      <c r="A14981" s="1" t="s">
        <v>14981</v>
      </c>
      <c r="B14981" s="2" t="str">
        <f>IFERROR(__xludf.DUMMYFUNCTION("GOOGLETRANSLATE(A14981, ""de"", ""en"")"),"make")</f>
        <v>make</v>
      </c>
    </row>
    <row r="14982">
      <c r="A14982" s="1" t="s">
        <v>14982</v>
      </c>
      <c r="B14982" s="2" t="str">
        <f>IFERROR(__xludf.DUMMYFUNCTION("GOOGLETRANSLATE(A14982, ""de"", ""en"")"),"got rid of")</f>
        <v>got rid of</v>
      </c>
    </row>
    <row r="14983">
      <c r="A14983" s="1" t="s">
        <v>14983</v>
      </c>
      <c r="B14983" s="2" t="str">
        <f>IFERROR(__xludf.DUMMYFUNCTION("GOOGLETRANSLATE(A14983, ""de"", ""en"")"),"hall")</f>
        <v>hall</v>
      </c>
    </row>
    <row r="14984">
      <c r="A14984" s="1" t="s">
        <v>14984</v>
      </c>
      <c r="B14984" s="2" t="str">
        <f>IFERROR(__xludf.DUMMYFUNCTION("GOOGLETRANSLATE(A14984, ""de"", ""en"")"),"briefcase")</f>
        <v>briefcase</v>
      </c>
    </row>
    <row r="14985">
      <c r="A14985" s="1" t="s">
        <v>14985</v>
      </c>
      <c r="B14985" s="2" t="str">
        <f>IFERROR(__xludf.DUMMYFUNCTION("GOOGLETRANSLATE(A14985, ""de"", ""en"")"),"compiled")</f>
        <v>compiled</v>
      </c>
    </row>
    <row r="14986">
      <c r="A14986" s="1" t="s">
        <v>14986</v>
      </c>
      <c r="B14986" s="2" t="str">
        <f>IFERROR(__xludf.DUMMYFUNCTION("GOOGLETRANSLATE(A14986, ""de"", ""en"")"),"blink")</f>
        <v>blink</v>
      </c>
    </row>
    <row r="14987">
      <c r="A14987" s="1" t="s">
        <v>14987</v>
      </c>
      <c r="B14987" s="2" t="str">
        <f>IFERROR(__xludf.DUMMYFUNCTION("GOOGLETRANSLATE(A14987, ""de"", ""en"")"),"greene")</f>
        <v>greene</v>
      </c>
    </row>
    <row r="14988">
      <c r="A14988" s="1" t="s">
        <v>14988</v>
      </c>
      <c r="B14988" s="2" t="str">
        <f>IFERROR(__xludf.DUMMYFUNCTION("GOOGLETRANSLATE(A14988, ""de"", ""en"")"),"literally")</f>
        <v>literally</v>
      </c>
    </row>
    <row r="14989">
      <c r="A14989" s="1" t="s">
        <v>14989</v>
      </c>
      <c r="B14989" s="2" t="str">
        <f>IFERROR(__xludf.DUMMYFUNCTION("GOOGLETRANSLATE(A14989, ""de"", ""en"")"),"vault")</f>
        <v>vault</v>
      </c>
    </row>
    <row r="14990">
      <c r="A14990" s="1" t="s">
        <v>14990</v>
      </c>
      <c r="B14990" s="2" t="str">
        <f>IFERROR(__xludf.DUMMYFUNCTION("GOOGLETRANSLATE(A14990, ""de"", ""en"")"),"civilized")</f>
        <v>civilized</v>
      </c>
    </row>
    <row r="14991">
      <c r="A14991" s="1" t="s">
        <v>14991</v>
      </c>
      <c r="B14991" s="2" t="str">
        <f>IFERROR(__xludf.DUMMYFUNCTION("GOOGLETRANSLATE(A14991, ""de"", ""en"")"),"amuse")</f>
        <v>amuse</v>
      </c>
    </row>
    <row r="14992">
      <c r="A14992" s="1" t="s">
        <v>14992</v>
      </c>
      <c r="B14992" s="2" t="str">
        <f>IFERROR(__xludf.DUMMYFUNCTION("GOOGLETRANSLATE(A14992, ""de"", ""en"")"),"valve")</f>
        <v>valve</v>
      </c>
    </row>
    <row r="14993">
      <c r="A14993" s="1" t="s">
        <v>14993</v>
      </c>
      <c r="B14993" s="2" t="str">
        <f>IFERROR(__xludf.DUMMYFUNCTION("GOOGLETRANSLATE(A14993, ""de"", ""en"")"),"crept")</f>
        <v>crept</v>
      </c>
    </row>
    <row r="14994">
      <c r="A14994" s="1" t="s">
        <v>14994</v>
      </c>
      <c r="B14994" s="2" t="str">
        <f>IFERROR(__xludf.DUMMYFUNCTION("GOOGLETRANSLATE(A14994, ""de"", ""en"")"),"Patti")</f>
        <v>Patti</v>
      </c>
    </row>
    <row r="14995">
      <c r="A14995" s="1" t="s">
        <v>14995</v>
      </c>
      <c r="B14995" s="2" t="str">
        <f>IFERROR(__xludf.DUMMYFUNCTION("GOOGLETRANSLATE(A14995, ""de"", ""en"")"),"Redeemer")</f>
        <v>Redeemer</v>
      </c>
    </row>
    <row r="14996">
      <c r="A14996" s="1" t="s">
        <v>14996</v>
      </c>
      <c r="B14996" s="2" t="str">
        <f>IFERROR(__xludf.DUMMYFUNCTION("GOOGLETRANSLATE(A14996, ""de"", ""en"")"),"even")</f>
        <v>even</v>
      </c>
    </row>
    <row r="14997">
      <c r="A14997" s="1" t="s">
        <v>14997</v>
      </c>
      <c r="B14997" s="2" t="str">
        <f>IFERROR(__xludf.DUMMYFUNCTION("GOOGLETRANSLATE(A14997, ""de"", ""en"")"),"in vain")</f>
        <v>in vain</v>
      </c>
    </row>
    <row r="14998">
      <c r="A14998" s="1" t="s">
        <v>14998</v>
      </c>
      <c r="B14998" s="2" t="str">
        <f>IFERROR(__xludf.DUMMYFUNCTION("GOOGLETRANSLATE(A14998, ""de"", ""en"")"),"magic potion")</f>
        <v>magic potion</v>
      </c>
    </row>
    <row r="14999">
      <c r="A14999" s="1" t="s">
        <v>14999</v>
      </c>
      <c r="B14999" s="2" t="str">
        <f>IFERROR(__xludf.DUMMYFUNCTION("GOOGLETRANSLATE(A14999, ""de"", ""en"")"),"looks at")</f>
        <v>looks at</v>
      </c>
    </row>
    <row r="15000">
      <c r="A15000" s="1" t="s">
        <v>15000</v>
      </c>
      <c r="B15000" s="2" t="str">
        <f>IFERROR(__xludf.DUMMYFUNCTION("GOOGLETRANSLATE(A15000, ""de"", ""en"")"),"breeze")</f>
        <v>breeze</v>
      </c>
    </row>
    <row r="15001">
      <c r="A15001" s="1" t="s">
        <v>15001</v>
      </c>
      <c r="B15001" s="2" t="str">
        <f>IFERROR(__xludf.DUMMYFUNCTION("GOOGLETRANSLATE(A15001, ""de"", ""en"")"),"krishna")</f>
        <v>krishna</v>
      </c>
    </row>
    <row r="15002">
      <c r="A15002" s="1" t="s">
        <v>15002</v>
      </c>
      <c r="B15002" s="2" t="str">
        <f>IFERROR(__xludf.DUMMYFUNCTION("GOOGLETRANSLATE(A15002, ""de"", ""en"")"),"foreign")</f>
        <v>foreign</v>
      </c>
    </row>
    <row r="15003">
      <c r="A15003" s="1" t="s">
        <v>15003</v>
      </c>
      <c r="B15003" s="2" t="str">
        <f>IFERROR(__xludf.DUMMYFUNCTION("GOOGLETRANSLATE(A15003, ""de"", ""en"")"),"hush")</f>
        <v>hush</v>
      </c>
    </row>
    <row r="15004">
      <c r="A15004" s="1" t="s">
        <v>15004</v>
      </c>
      <c r="B15004" s="2" t="str">
        <f>IFERROR(__xludf.DUMMYFUNCTION("GOOGLETRANSLATE(A15004, ""de"", ""en"")"),"crews")</f>
        <v>crews</v>
      </c>
    </row>
    <row r="15005">
      <c r="A15005" s="1" t="s">
        <v>15005</v>
      </c>
      <c r="B15005" s="2" t="str">
        <f>IFERROR(__xludf.DUMMYFUNCTION("GOOGLETRANSLATE(A15005, ""de"", ""en"")"),"ames")</f>
        <v>ames</v>
      </c>
    </row>
    <row r="15006">
      <c r="A15006" s="1" t="s">
        <v>15006</v>
      </c>
      <c r="B15006" s="2" t="str">
        <f>IFERROR(__xludf.DUMMYFUNCTION("GOOGLETRANSLATE(A15006, ""de"", ""en"")"),"irresponsible")</f>
        <v>irresponsible</v>
      </c>
    </row>
    <row r="15007">
      <c r="A15007" s="1" t="s">
        <v>15007</v>
      </c>
      <c r="B15007" s="2" t="str">
        <f>IFERROR(__xludf.DUMMYFUNCTION("GOOGLETRANSLATE(A15007, ""de"", ""en"")"),"stabilized")</f>
        <v>stabilized</v>
      </c>
    </row>
    <row r="15008">
      <c r="A15008" s="1" t="s">
        <v>15008</v>
      </c>
      <c r="B15008" s="2" t="str">
        <f>IFERROR(__xludf.DUMMYFUNCTION("GOOGLETRANSLATE(A15008, ""de"", ""en"")"),"editor")</f>
        <v>editor</v>
      </c>
    </row>
    <row r="15009">
      <c r="A15009" s="1" t="s">
        <v>15009</v>
      </c>
      <c r="B15009" s="2" t="str">
        <f>IFERROR(__xludf.DUMMYFUNCTION("GOOGLETRANSLATE(A15009, ""de"", ""en"")"),"weak point")</f>
        <v>weak point</v>
      </c>
    </row>
    <row r="15010">
      <c r="A15010" s="1" t="s">
        <v>15010</v>
      </c>
      <c r="B15010" s="2" t="str">
        <f>IFERROR(__xludf.DUMMYFUNCTION("GOOGLETRANSLATE(A15010, ""de"", ""en"")"),"sharp")</f>
        <v>sharp</v>
      </c>
    </row>
    <row r="15011">
      <c r="A15011" s="1" t="s">
        <v>15011</v>
      </c>
      <c r="B15011" s="2" t="str">
        <f>IFERROR(__xludf.DUMMYFUNCTION("GOOGLETRANSLATE(A15011, ""de"", ""en"")"),"sailor")</f>
        <v>sailor</v>
      </c>
    </row>
    <row r="15012">
      <c r="A15012" s="1" t="s">
        <v>15012</v>
      </c>
      <c r="B15012" s="2" t="str">
        <f>IFERROR(__xludf.DUMMYFUNCTION("GOOGLETRANSLATE(A15012, ""de"", ""en"")"),"to go away")</f>
        <v>to go away</v>
      </c>
    </row>
    <row r="15013">
      <c r="A15013" s="1" t="s">
        <v>15013</v>
      </c>
      <c r="B15013" s="2" t="str">
        <f>IFERROR(__xludf.DUMMYFUNCTION("GOOGLETRANSLATE(A15013, ""de"", ""en"")"),"chevy")</f>
        <v>chevy</v>
      </c>
    </row>
    <row r="15014">
      <c r="A15014" s="1" t="s">
        <v>15014</v>
      </c>
      <c r="B15014" s="2" t="str">
        <f>IFERROR(__xludf.DUMMYFUNCTION("GOOGLETRANSLATE(A15014, ""de"", ""en"")"),"brutal")</f>
        <v>brutal</v>
      </c>
    </row>
    <row r="15015">
      <c r="A15015" s="1" t="s">
        <v>15015</v>
      </c>
      <c r="B15015" s="2" t="str">
        <f>IFERROR(__xludf.DUMMYFUNCTION("GOOGLETRANSLATE(A15015, ""de"", ""en"")"),"luigi")</f>
        <v>luigi</v>
      </c>
    </row>
    <row r="15016">
      <c r="A15016" s="1" t="s">
        <v>15016</v>
      </c>
      <c r="B15016" s="2" t="str">
        <f>IFERROR(__xludf.DUMMYFUNCTION("GOOGLETRANSLATE(A15016, ""de"", ""en"")"),"glittering")</f>
        <v>glittering</v>
      </c>
    </row>
    <row r="15017">
      <c r="A15017" s="1" t="s">
        <v>15017</v>
      </c>
      <c r="B15017" s="2" t="str">
        <f>IFERROR(__xludf.DUMMYFUNCTION("GOOGLETRANSLATE(A15017, ""de"", ""en"")"),"overreacted")</f>
        <v>overreacted</v>
      </c>
    </row>
    <row r="15018">
      <c r="A15018" s="1" t="s">
        <v>15018</v>
      </c>
      <c r="B15018" s="2" t="str">
        <f>IFERROR(__xludf.DUMMYFUNCTION("GOOGLETRANSLATE(A15018, ""de"", ""en"")"),"willie")</f>
        <v>willie</v>
      </c>
    </row>
    <row r="15019">
      <c r="A15019" s="1" t="s">
        <v>15019</v>
      </c>
      <c r="B15019" s="2" t="str">
        <f>IFERROR(__xludf.DUMMYFUNCTION("GOOGLETRANSLATE(A15019, ""de"", ""en"")"),"roadside")</f>
        <v>roadside</v>
      </c>
    </row>
    <row r="15020">
      <c r="A15020" s="1" t="s">
        <v>15020</v>
      </c>
      <c r="B15020" s="2" t="str">
        <f>IFERROR(__xludf.DUMMYFUNCTION("GOOGLETRANSLATE(A15020, ""de"", ""en"")"),"junkies")</f>
        <v>junkies</v>
      </c>
    </row>
    <row r="15021">
      <c r="A15021" s="1" t="s">
        <v>15021</v>
      </c>
      <c r="B15021" s="2" t="str">
        <f>IFERROR(__xludf.DUMMYFUNCTION("GOOGLETRANSLATE(A15021, ""de"", ""en"")"),"more attractive")</f>
        <v>more attractive</v>
      </c>
    </row>
    <row r="15022">
      <c r="A15022" s="1" t="s">
        <v>15022</v>
      </c>
      <c r="B15022" s="2" t="str">
        <f>IFERROR(__xludf.DUMMYFUNCTION("GOOGLETRANSLATE(A15022, ""de"", ""en"")"),"ecstasy")</f>
        <v>ecstasy</v>
      </c>
    </row>
    <row r="15023">
      <c r="A15023" s="1" t="s">
        <v>15023</v>
      </c>
      <c r="B15023" s="2" t="str">
        <f>IFERROR(__xludf.DUMMYFUNCTION("GOOGLETRANSLATE(A15023, ""de"", ""en"")"),"come home")</f>
        <v>come home</v>
      </c>
    </row>
    <row r="15024">
      <c r="A15024" s="1" t="s">
        <v>15024</v>
      </c>
      <c r="B15024" s="2" t="str">
        <f>IFERROR(__xludf.DUMMYFUNCTION("GOOGLETRANSLATE(A15024, ""de"", ""en"")"),"talk")</f>
        <v>talk</v>
      </c>
    </row>
    <row r="15025">
      <c r="A15025" s="1" t="s">
        <v>15025</v>
      </c>
      <c r="B15025" s="2" t="str">
        <f>IFERROR(__xludf.DUMMYFUNCTION("GOOGLETRANSLATE(A15025, ""de"", ""en"")"),"cargo hold")</f>
        <v>cargo hold</v>
      </c>
    </row>
    <row r="15026">
      <c r="A15026" s="1" t="s">
        <v>15026</v>
      </c>
      <c r="B15026" s="2" t="str">
        <f>IFERROR(__xludf.DUMMYFUNCTION("GOOGLETRANSLATE(A15026, ""de"", ""en"")"),"inappropriate")</f>
        <v>inappropriate</v>
      </c>
    </row>
    <row r="15027">
      <c r="A15027" s="1" t="s">
        <v>15027</v>
      </c>
      <c r="B15027" s="2" t="str">
        <f>IFERROR(__xludf.DUMMYFUNCTION("GOOGLETRANSLATE(A15027, ""de"", ""en"")"),"hot")</f>
        <v>hot</v>
      </c>
    </row>
    <row r="15028">
      <c r="A15028" s="1" t="s">
        <v>15028</v>
      </c>
      <c r="B15028" s="2" t="str">
        <f>IFERROR(__xludf.DUMMYFUNCTION("GOOGLETRANSLATE(A15028, ""de"", ""en"")"),"bombed")</f>
        <v>bombed</v>
      </c>
    </row>
    <row r="15029">
      <c r="A15029" s="1" t="s">
        <v>15029</v>
      </c>
      <c r="B15029" s="2" t="str">
        <f>IFERROR(__xludf.DUMMYFUNCTION("GOOGLETRANSLATE(A15029, ""de"", ""en"")"),"bunch")</f>
        <v>bunch</v>
      </c>
    </row>
    <row r="15030">
      <c r="A15030" s="1" t="s">
        <v>15030</v>
      </c>
      <c r="B15030" s="2" t="str">
        <f>IFERROR(__xludf.DUMMYFUNCTION("GOOGLETRANSLATE(A15030, ""de"", ""en"")"),"outpost")</f>
        <v>outpost</v>
      </c>
    </row>
    <row r="15031">
      <c r="A15031" s="1" t="s">
        <v>15031</v>
      </c>
      <c r="B15031" s="2" t="str">
        <f>IFERROR(__xludf.DUMMYFUNCTION("GOOGLETRANSLATE(A15031, ""de"", ""en"")"),"kitschy")</f>
        <v>kitschy</v>
      </c>
    </row>
    <row r="15032">
      <c r="A15032" s="1" t="s">
        <v>15032</v>
      </c>
      <c r="B15032" s="2" t="str">
        <f>IFERROR(__xludf.DUMMYFUNCTION("GOOGLETRANSLATE(A15032, ""de"", ""en"")"),"accusation")</f>
        <v>accusation</v>
      </c>
    </row>
    <row r="15033">
      <c r="A15033" s="1" t="s">
        <v>15033</v>
      </c>
      <c r="B15033" s="2" t="str">
        <f>IFERROR(__xludf.DUMMYFUNCTION("GOOGLETRANSLATE(A15033, ""de"", ""en"")"),"draw")</f>
        <v>draw</v>
      </c>
    </row>
    <row r="15034">
      <c r="A15034" s="1" t="s">
        <v>15034</v>
      </c>
      <c r="B15034" s="2" t="str">
        <f>IFERROR(__xludf.DUMMYFUNCTION("GOOGLETRANSLATE(A15034, ""de"", ""en"")"),"Castro")</f>
        <v>Castro</v>
      </c>
    </row>
    <row r="15035">
      <c r="A15035" s="1" t="s">
        <v>15035</v>
      </c>
      <c r="B15035" s="2" t="str">
        <f>IFERROR(__xludf.DUMMYFUNCTION("GOOGLETRANSLATE(A15035, ""de"", ""en"")"),"bugs")</f>
        <v>bugs</v>
      </c>
    </row>
    <row r="15036">
      <c r="A15036" s="1" t="s">
        <v>15036</v>
      </c>
      <c r="B15036" s="2" t="str">
        <f>IFERROR(__xludf.DUMMYFUNCTION("GOOGLETRANSLATE(A15036, ""de"", ""en"")"),"importance")</f>
        <v>importance</v>
      </c>
    </row>
    <row r="15037">
      <c r="A15037" s="1" t="s">
        <v>15037</v>
      </c>
      <c r="B15037" s="2" t="str">
        <f>IFERROR(__xludf.DUMMYFUNCTION("GOOGLETRANSLATE(A15037, ""de"", ""en"")"),"willard")</f>
        <v>willard</v>
      </c>
    </row>
    <row r="15038">
      <c r="A15038" s="1" t="s">
        <v>15038</v>
      </c>
      <c r="B15038" s="2" t="str">
        <f>IFERROR(__xludf.DUMMYFUNCTION("GOOGLETRANSLATE(A15038, ""de"", ""en"")"),"spa")</f>
        <v>spa</v>
      </c>
    </row>
    <row r="15039">
      <c r="A15039" s="1" t="s">
        <v>15039</v>
      </c>
      <c r="B15039" s="2" t="str">
        <f>IFERROR(__xludf.DUMMYFUNCTION("GOOGLETRANSLATE(A15039, ""de"", ""en"")"),"jeweler")</f>
        <v>jeweler</v>
      </c>
    </row>
    <row r="15040">
      <c r="A15040" s="1" t="s">
        <v>15040</v>
      </c>
      <c r="B15040" s="2" t="str">
        <f>IFERROR(__xludf.DUMMYFUNCTION("GOOGLETRANSLATE(A15040, ""de"", ""en"")"),"medical doctor")</f>
        <v>medical doctor</v>
      </c>
    </row>
    <row r="15041">
      <c r="A15041" s="1" t="s">
        <v>15041</v>
      </c>
      <c r="B15041" s="2" t="str">
        <f>IFERROR(__xludf.DUMMYFUNCTION("GOOGLETRANSLATE(A15041, ""de"", ""en"")"),"representation")</f>
        <v>representation</v>
      </c>
    </row>
    <row r="15042">
      <c r="A15042" s="1" t="s">
        <v>15042</v>
      </c>
      <c r="B15042" s="2" t="str">
        <f>IFERROR(__xludf.DUMMYFUNCTION("GOOGLETRANSLATE(A15042, ""de"", ""en"")"),"circulation")</f>
        <v>circulation</v>
      </c>
    </row>
    <row r="15043">
      <c r="A15043" s="1" t="s">
        <v>15043</v>
      </c>
      <c r="B15043" s="2" t="str">
        <f>IFERROR(__xludf.DUMMYFUNCTION("GOOGLETRANSLATE(A15043, ""de"", ""en"")"),"Sasha")</f>
        <v>Sasha</v>
      </c>
    </row>
    <row r="15044">
      <c r="A15044" s="1" t="s">
        <v>15044</v>
      </c>
      <c r="B15044" s="2" t="str">
        <f>IFERROR(__xludf.DUMMYFUNCTION("GOOGLETRANSLATE(A15044, ""de"", ""en"")"),"traced back")</f>
        <v>traced back</v>
      </c>
    </row>
    <row r="15045">
      <c r="A15045" s="1" t="s">
        <v>15045</v>
      </c>
      <c r="B15045" s="2" t="str">
        <f>IFERROR(__xludf.DUMMYFUNCTION("GOOGLETRANSLATE(A15045, ""de"", ""en"")"),"sucks")</f>
        <v>sucks</v>
      </c>
    </row>
    <row r="15046">
      <c r="A15046" s="1" t="s">
        <v>15046</v>
      </c>
      <c r="B15046" s="2" t="str">
        <f>IFERROR(__xludf.DUMMYFUNCTION("GOOGLETRANSLATE(A15046, ""de"", ""en"")"),"tension-filled")</f>
        <v>tension-filled</v>
      </c>
    </row>
    <row r="15047">
      <c r="A15047" s="1" t="s">
        <v>15047</v>
      </c>
      <c r="B15047" s="2" t="str">
        <f>IFERROR(__xludf.DUMMYFUNCTION("GOOGLETRANSLATE(A15047, ""de"", ""en"")"),"brawl")</f>
        <v>brawl</v>
      </c>
    </row>
    <row r="15048">
      <c r="A15048" s="1" t="s">
        <v>15048</v>
      </c>
      <c r="B15048" s="2" t="str">
        <f>IFERROR(__xludf.DUMMYFUNCTION("GOOGLETRANSLATE(A15048, ""de"", ""en"")"),"contract")</f>
        <v>contract</v>
      </c>
    </row>
    <row r="15049">
      <c r="A15049" s="1" t="s">
        <v>15049</v>
      </c>
      <c r="B15049" s="2" t="str">
        <f>IFERROR(__xludf.DUMMYFUNCTION("GOOGLETRANSLATE(A15049, ""de"", ""en"")"),"come up")</f>
        <v>come up</v>
      </c>
    </row>
    <row r="15050">
      <c r="A15050" s="1" t="s">
        <v>15050</v>
      </c>
      <c r="B15050" s="2" t="str">
        <f>IFERROR(__xludf.DUMMYFUNCTION("GOOGLETRANSLATE(A15050, ""de"", ""en"")"),"sealed")</f>
        <v>sealed</v>
      </c>
    </row>
    <row r="15051">
      <c r="A15051" s="1" t="s">
        <v>15051</v>
      </c>
      <c r="B15051" s="2" t="str">
        <f>IFERROR(__xludf.DUMMYFUNCTION("GOOGLETRANSLATE(A15051, ""de"", ""en"")"),"discover")</f>
        <v>discover</v>
      </c>
    </row>
    <row r="15052">
      <c r="A15052" s="1" t="s">
        <v>15052</v>
      </c>
      <c r="B15052" s="2" t="str">
        <f>IFERROR(__xludf.DUMMYFUNCTION("GOOGLETRANSLATE(A15052, ""de"", ""en"")"),"mendez")</f>
        <v>mendez</v>
      </c>
    </row>
    <row r="15053">
      <c r="A15053" s="1" t="s">
        <v>15053</v>
      </c>
      <c r="B15053" s="2" t="str">
        <f>IFERROR(__xludf.DUMMYFUNCTION("GOOGLETRANSLATE(A15053, ""de"", ""en"")"),"subtitles")</f>
        <v>subtitles</v>
      </c>
    </row>
    <row r="15054">
      <c r="A15054" s="1" t="s">
        <v>15054</v>
      </c>
      <c r="B15054" s="2" t="str">
        <f>IFERROR(__xludf.DUMMYFUNCTION("GOOGLETRANSLATE(A15054, ""de"", ""en"")"),"seas")</f>
        <v>seas</v>
      </c>
    </row>
    <row r="15055">
      <c r="A15055" s="1" t="s">
        <v>15055</v>
      </c>
      <c r="B15055" s="2" t="str">
        <f>IFERROR(__xludf.DUMMYFUNCTION("GOOGLETRANSLATE(A15055, ""de"", ""en"")"),"con")</f>
        <v>con</v>
      </c>
    </row>
    <row r="15056">
      <c r="A15056" s="1" t="s">
        <v>15056</v>
      </c>
      <c r="B15056" s="2" t="str">
        <f>IFERROR(__xludf.DUMMYFUNCTION("GOOGLETRANSLATE(A15056, ""de"", ""en"")"),"shrine")</f>
        <v>shrine</v>
      </c>
    </row>
    <row r="15057">
      <c r="A15057" s="1" t="s">
        <v>15057</v>
      </c>
      <c r="B15057" s="2" t="str">
        <f>IFERROR(__xludf.DUMMYFUNCTION("GOOGLETRANSLATE(A15057, ""de"", ""en"")"),"threatened")</f>
        <v>threatened</v>
      </c>
    </row>
    <row r="15058">
      <c r="A15058" s="1" t="s">
        <v>15058</v>
      </c>
      <c r="B15058" s="2" t="str">
        <f>IFERROR(__xludf.DUMMYFUNCTION("GOOGLETRANSLATE(A15058, ""de"", ""en"")"),"counsellor")</f>
        <v>counsellor</v>
      </c>
    </row>
    <row r="15059">
      <c r="A15059" s="1" t="s">
        <v>15059</v>
      </c>
      <c r="B15059" s="2" t="str">
        <f>IFERROR(__xludf.DUMMYFUNCTION("GOOGLETRANSLATE(A15059, ""de"", ""en"")"),"hisses")</f>
        <v>hisses</v>
      </c>
    </row>
    <row r="15060">
      <c r="A15060" s="1" t="s">
        <v>15060</v>
      </c>
      <c r="B15060" s="2" t="str">
        <f>IFERROR(__xludf.DUMMYFUNCTION("GOOGLETRANSLATE(A15060, ""de"", ""en"")"),"Akira")</f>
        <v>Akira</v>
      </c>
    </row>
    <row r="15061">
      <c r="A15061" s="1" t="s">
        <v>15061</v>
      </c>
      <c r="B15061" s="2" t="str">
        <f>IFERROR(__xludf.DUMMYFUNCTION("GOOGLETRANSLATE(A15061, ""de"", ""en"")"),"raylan")</f>
        <v>raylan</v>
      </c>
    </row>
    <row r="15062">
      <c r="A15062" s="1" t="s">
        <v>15062</v>
      </c>
      <c r="B15062" s="2" t="str">
        <f>IFERROR(__xludf.DUMMYFUNCTION("GOOGLETRANSLATE(A15062, ""de"", ""en"")"),"mucus")</f>
        <v>mucus</v>
      </c>
    </row>
    <row r="15063">
      <c r="A15063" s="1" t="s">
        <v>15063</v>
      </c>
      <c r="B15063" s="2" t="str">
        <f>IFERROR(__xludf.DUMMYFUNCTION("GOOGLETRANSLATE(A15063, ""de"", ""en"")"),"throw")</f>
        <v>throw</v>
      </c>
    </row>
    <row r="15064">
      <c r="A15064" s="1" t="s">
        <v>15064</v>
      </c>
      <c r="B15064" s="2" t="str">
        <f>IFERROR(__xludf.DUMMYFUNCTION("GOOGLETRANSLATE(A15064, ""de"", ""en"")"),"lovely")</f>
        <v>lovely</v>
      </c>
    </row>
    <row r="15065">
      <c r="A15065" s="1" t="s">
        <v>15065</v>
      </c>
      <c r="B15065" s="2" t="str">
        <f>IFERROR(__xludf.DUMMYFUNCTION("GOOGLETRANSLATE(A15065, ""de"", ""en"")"),"excellent")</f>
        <v>excellent</v>
      </c>
    </row>
    <row r="15066">
      <c r="A15066" s="1" t="s">
        <v>15066</v>
      </c>
      <c r="B15066" s="2" t="str">
        <f>IFERROR(__xludf.DUMMYFUNCTION("GOOGLETRANSLATE(A15066, ""de"", ""en"")"),"mastery")</f>
        <v>mastery</v>
      </c>
    </row>
    <row r="15067">
      <c r="A15067" s="1" t="s">
        <v>15067</v>
      </c>
      <c r="B15067" s="2" t="str">
        <f>IFERROR(__xludf.DUMMYFUNCTION("GOOGLETRANSLATE(A15067, ""de"", ""en"")"),"roentgen")</f>
        <v>roentgen</v>
      </c>
    </row>
    <row r="15068">
      <c r="A15068" s="1" t="s">
        <v>15068</v>
      </c>
      <c r="B15068" s="2" t="str">
        <f>IFERROR(__xludf.DUMMYFUNCTION("GOOGLETRANSLATE(A15068, ""de"", ""en"")"),"servant")</f>
        <v>servant</v>
      </c>
    </row>
    <row r="15069">
      <c r="A15069" s="1" t="s">
        <v>15069</v>
      </c>
      <c r="B15069" s="2" t="str">
        <f>IFERROR(__xludf.DUMMYFUNCTION("GOOGLETRANSLATE(A15069, ""de"", ""en"")"),"destroyed")</f>
        <v>destroyed</v>
      </c>
    </row>
    <row r="15070">
      <c r="A15070" s="1" t="s">
        <v>15070</v>
      </c>
      <c r="B15070" s="2" t="str">
        <f>IFERROR(__xludf.DUMMYFUNCTION("GOOGLETRANSLATE(A15070, ""de"", ""en"")"),"turned off")</f>
        <v>turned off</v>
      </c>
    </row>
    <row r="15071">
      <c r="A15071" s="1" t="s">
        <v>15071</v>
      </c>
      <c r="B15071" s="2" t="str">
        <f>IFERROR(__xludf.DUMMYFUNCTION("GOOGLETRANSLATE(A15071, ""de"", ""en"")"),"manners")</f>
        <v>manners</v>
      </c>
    </row>
    <row r="15072">
      <c r="A15072" s="1" t="s">
        <v>15072</v>
      </c>
      <c r="B15072" s="2" t="str">
        <f>IFERROR(__xludf.DUMMYFUNCTION("GOOGLETRANSLATE(A15072, ""de"", ""en"")"),"poster")</f>
        <v>poster</v>
      </c>
    </row>
    <row r="15073">
      <c r="A15073" s="1" t="s">
        <v>15073</v>
      </c>
      <c r="B15073" s="2" t="str">
        <f>IFERROR(__xludf.DUMMYFUNCTION("GOOGLETRANSLATE(A15073, ""de"", ""en"")"),"endurance")</f>
        <v>endurance</v>
      </c>
    </row>
    <row r="15074">
      <c r="A15074" s="1" t="s">
        <v>15074</v>
      </c>
      <c r="B15074" s="2" t="str">
        <f>IFERROR(__xludf.DUMMYFUNCTION("GOOGLETRANSLATE(A15074, ""de"", ""en"")"),"administer")</f>
        <v>administer</v>
      </c>
    </row>
    <row r="15075">
      <c r="A15075" s="1" t="s">
        <v>15075</v>
      </c>
      <c r="B15075" s="2" t="str">
        <f>IFERROR(__xludf.DUMMYFUNCTION("GOOGLETRANSLATE(A15075, ""de"", ""en"")"),"nag")</f>
        <v>nag</v>
      </c>
    </row>
    <row r="15076">
      <c r="A15076" s="1" t="s">
        <v>15076</v>
      </c>
      <c r="B15076" s="2" t="str">
        <f>IFERROR(__xludf.DUMMYFUNCTION("GOOGLETRANSLATE(A15076, ""de"", ""en"")"),"push")</f>
        <v>push</v>
      </c>
    </row>
    <row r="15077">
      <c r="A15077" s="1" t="s">
        <v>15077</v>
      </c>
      <c r="B15077" s="2" t="str">
        <f>IFERROR(__xludf.DUMMYFUNCTION("GOOGLETRANSLATE(A15077, ""de"", ""en"")"),"beaver")</f>
        <v>beaver</v>
      </c>
    </row>
    <row r="15078">
      <c r="A15078" s="1" t="s">
        <v>15078</v>
      </c>
      <c r="B15078" s="2" t="str">
        <f>IFERROR(__xludf.DUMMYFUNCTION("GOOGLETRANSLATE(A15078, ""de"", ""en"")"),"boy")</f>
        <v>boy</v>
      </c>
    </row>
    <row r="15079">
      <c r="A15079" s="1" t="s">
        <v>15079</v>
      </c>
      <c r="B15079" s="2" t="str">
        <f>IFERROR(__xludf.DUMMYFUNCTION("GOOGLETRANSLATE(A15079, ""de"", ""en"")"),"conclusion")</f>
        <v>conclusion</v>
      </c>
    </row>
    <row r="15080">
      <c r="A15080" s="1" t="s">
        <v>15080</v>
      </c>
      <c r="B15080" s="2" t="str">
        <f>IFERROR(__xludf.DUMMYFUNCTION("GOOGLETRANSLATE(A15080, ""de"", ""en"")"),"kamui")</f>
        <v>kamui</v>
      </c>
    </row>
    <row r="15081">
      <c r="A15081" s="1" t="s">
        <v>15081</v>
      </c>
      <c r="B15081" s="2" t="str">
        <f>IFERROR(__xludf.DUMMYFUNCTION("GOOGLETRANSLATE(A15081, ""de"", ""en"")"),"command")</f>
        <v>command</v>
      </c>
    </row>
    <row r="15082">
      <c r="A15082" s="1" t="s">
        <v>15082</v>
      </c>
      <c r="B15082" s="2" t="str">
        <f>IFERROR(__xludf.DUMMYFUNCTION("GOOGLETRANSLATE(A15082, ""de"", ""en"")"),"leave here")</f>
        <v>leave here</v>
      </c>
    </row>
    <row r="15083">
      <c r="A15083" s="1" t="s">
        <v>15083</v>
      </c>
      <c r="B15083" s="2" t="str">
        <f>IFERROR(__xludf.DUMMYFUNCTION("GOOGLETRANSLATE(A15083, ""de"", ""en"")"),"channels")</f>
        <v>channels</v>
      </c>
    </row>
    <row r="15084">
      <c r="A15084" s="1" t="s">
        <v>15084</v>
      </c>
      <c r="B15084" s="2" t="str">
        <f>IFERROR(__xludf.DUMMYFUNCTION("GOOGLETRANSLATE(A15084, ""de"", ""en"")"),"sorry")</f>
        <v>sorry</v>
      </c>
    </row>
    <row r="15085">
      <c r="A15085" s="1" t="s">
        <v>15085</v>
      </c>
      <c r="B15085" s="2" t="str">
        <f>IFERROR(__xludf.DUMMYFUNCTION("GOOGLETRANSLATE(A15085, ""de"", ""en"")"),"blah")</f>
        <v>blah</v>
      </c>
    </row>
    <row r="15086">
      <c r="A15086" s="1" t="s">
        <v>15086</v>
      </c>
      <c r="B15086" s="2" t="str">
        <f>IFERROR(__xludf.DUMMYFUNCTION("GOOGLETRANSLATE(A15086, ""de"", ""en"")"),"sons of bitches")</f>
        <v>sons of bitches</v>
      </c>
    </row>
    <row r="15087">
      <c r="A15087" s="1" t="s">
        <v>15087</v>
      </c>
      <c r="B15087" s="2" t="str">
        <f>IFERROR(__xludf.DUMMYFUNCTION("GOOGLETRANSLATE(A15087, ""de"", ""en"")"),"coordinated")</f>
        <v>coordinated</v>
      </c>
    </row>
    <row r="15088">
      <c r="A15088" s="1" t="s">
        <v>15088</v>
      </c>
      <c r="B15088" s="2" t="str">
        <f>IFERROR(__xludf.DUMMYFUNCTION("GOOGLETRANSLATE(A15088, ""de"", ""en"")"),"tweet")</f>
        <v>tweet</v>
      </c>
    </row>
    <row r="15089">
      <c r="A15089" s="1" t="s">
        <v>15089</v>
      </c>
      <c r="B15089" s="2" t="str">
        <f>IFERROR(__xludf.DUMMYFUNCTION("GOOGLETRANSLATE(A15089, ""de"", ""en"")"),"finds out")</f>
        <v>finds out</v>
      </c>
    </row>
    <row r="15090">
      <c r="A15090" s="1" t="s">
        <v>15090</v>
      </c>
      <c r="B15090" s="2" t="str">
        <f>IFERROR(__xludf.DUMMYFUNCTION("GOOGLETRANSLATE(A15090, ""de"", ""en"")"),"addition")</f>
        <v>addition</v>
      </c>
    </row>
    <row r="15091">
      <c r="A15091" s="1" t="s">
        <v>15091</v>
      </c>
      <c r="B15091" s="2" t="str">
        <f>IFERROR(__xludf.DUMMYFUNCTION("GOOGLETRANSLATE(A15091, ""de"", ""en"")"),"barefoot")</f>
        <v>barefoot</v>
      </c>
    </row>
    <row r="15092">
      <c r="A15092" s="1" t="s">
        <v>15092</v>
      </c>
      <c r="B15092" s="2" t="str">
        <f>IFERROR(__xludf.DUMMYFUNCTION("GOOGLETRANSLATE(A15092, ""de"", ""en"")"),"beg")</f>
        <v>beg</v>
      </c>
    </row>
    <row r="15093">
      <c r="A15093" s="1" t="s">
        <v>15093</v>
      </c>
      <c r="B15093" s="2" t="str">
        <f>IFERROR(__xludf.DUMMYFUNCTION("GOOGLETRANSLATE(A15093, ""de"", ""en"")"),"allergy")</f>
        <v>allergy</v>
      </c>
    </row>
    <row r="15094">
      <c r="A15094" s="1" t="s">
        <v>15094</v>
      </c>
      <c r="B15094" s="2" t="str">
        <f>IFERROR(__xludf.DUMMYFUNCTION("GOOGLETRANSLATE(A15094, ""de"", ""en"")"),"raw")</f>
        <v>raw</v>
      </c>
    </row>
    <row r="15095">
      <c r="A15095" s="1" t="s">
        <v>15095</v>
      </c>
      <c r="B15095" s="2" t="str">
        <f>IFERROR(__xludf.DUMMYFUNCTION("GOOGLETRANSLATE(A15095, ""de"", ""en"")"),"blinded")</f>
        <v>blinded</v>
      </c>
    </row>
    <row r="15096">
      <c r="A15096" s="1" t="s">
        <v>15096</v>
      </c>
      <c r="B15096" s="2" t="str">
        <f>IFERROR(__xludf.DUMMYFUNCTION("GOOGLETRANSLATE(A15096, ""de"", ""en"")"),"mackenzie")</f>
        <v>mackenzie</v>
      </c>
    </row>
    <row r="15097">
      <c r="A15097" s="1" t="s">
        <v>15097</v>
      </c>
      <c r="B15097" s="2" t="str">
        <f>IFERROR(__xludf.DUMMYFUNCTION("GOOGLETRANSLATE(A15097, ""de"", ""en"")"),"resignation")</f>
        <v>resignation</v>
      </c>
    </row>
    <row r="15098">
      <c r="A15098" s="1" t="s">
        <v>15098</v>
      </c>
      <c r="B15098" s="2" t="str">
        <f>IFERROR(__xludf.DUMMYFUNCTION("GOOGLETRANSLATE(A15098, ""de"", ""en"")"),"bought")</f>
        <v>bought</v>
      </c>
    </row>
    <row r="15099">
      <c r="A15099" s="1" t="s">
        <v>15099</v>
      </c>
      <c r="B15099" s="2" t="str">
        <f>IFERROR(__xludf.DUMMYFUNCTION("GOOGLETRANSLATE(A15099, ""de"", ""en"")"),"mix")</f>
        <v>mix</v>
      </c>
    </row>
    <row r="15100">
      <c r="A15100" s="1" t="s">
        <v>15100</v>
      </c>
      <c r="B15100" s="2" t="str">
        <f>IFERROR(__xludf.DUMMYFUNCTION("GOOGLETRANSLATE(A15100, ""de"", ""en"")"),"surcharge")</f>
        <v>surcharge</v>
      </c>
    </row>
    <row r="15101">
      <c r="A15101" s="1" t="s">
        <v>15101</v>
      </c>
      <c r="B15101" s="2" t="str">
        <f>IFERROR(__xludf.DUMMYFUNCTION("GOOGLETRANSLATE(A15101, ""de"", ""en"")"),"looking")</f>
        <v>looking</v>
      </c>
    </row>
    <row r="15102">
      <c r="A15102" s="1" t="s">
        <v>15102</v>
      </c>
      <c r="B15102" s="2" t="str">
        <f>IFERROR(__xludf.DUMMYFUNCTION("GOOGLETRANSLATE(A15102, ""de"", ""en"")"),"landed")</f>
        <v>landed</v>
      </c>
    </row>
    <row r="15103">
      <c r="A15103" s="1" t="s">
        <v>15103</v>
      </c>
      <c r="B15103" s="2" t="str">
        <f>IFERROR(__xludf.DUMMYFUNCTION("GOOGLETRANSLATE(A15103, ""de"", ""en"")"),"useful")</f>
        <v>useful</v>
      </c>
    </row>
    <row r="15104">
      <c r="A15104" s="1" t="s">
        <v>15104</v>
      </c>
      <c r="B15104" s="2" t="str">
        <f>IFERROR(__xludf.DUMMYFUNCTION("GOOGLETRANSLATE(A15104, ""de"", ""en"")"),"bomb")</f>
        <v>bomb</v>
      </c>
    </row>
    <row r="15105">
      <c r="A15105" s="1" t="s">
        <v>15105</v>
      </c>
      <c r="B15105" s="2" t="str">
        <f>IFERROR(__xludf.DUMMYFUNCTION("GOOGLETRANSLATE(A15105, ""de"", ""en"")"),"polo")</f>
        <v>polo</v>
      </c>
    </row>
    <row r="15106">
      <c r="A15106" s="1" t="s">
        <v>15106</v>
      </c>
      <c r="B15106" s="2" t="str">
        <f>IFERROR(__xludf.DUMMYFUNCTION("GOOGLETRANSLATE(A15106, ""de"", ""en"")"),"can")</f>
        <v>can</v>
      </c>
    </row>
    <row r="15107">
      <c r="A15107" s="1" t="s">
        <v>15107</v>
      </c>
      <c r="B15107" s="2" t="str">
        <f>IFERROR(__xludf.DUMMYFUNCTION("GOOGLETRANSLATE(A15107, ""de"", ""en"")"),"cheer up")</f>
        <v>cheer up</v>
      </c>
    </row>
    <row r="15108">
      <c r="A15108" s="1" t="s">
        <v>15108</v>
      </c>
      <c r="B15108" s="2" t="str">
        <f>IFERROR(__xludf.DUMMYFUNCTION("GOOGLETRANSLATE(A15108, ""de"", ""en"")"),"weeping")</f>
        <v>weeping</v>
      </c>
    </row>
    <row r="15109">
      <c r="A15109" s="1" t="s">
        <v>15109</v>
      </c>
      <c r="B15109" s="2" t="str">
        <f>IFERROR(__xludf.DUMMYFUNCTION("GOOGLETRANSLATE(A15109, ""de"", ""en"")"),"retained")</f>
        <v>retained</v>
      </c>
    </row>
    <row r="15110">
      <c r="A15110" s="1" t="s">
        <v>15110</v>
      </c>
      <c r="B15110" s="2" t="str">
        <f>IFERROR(__xludf.DUMMYFUNCTION("GOOGLETRANSLATE(A15110, ""de"", ""en"")"),"Felipe")</f>
        <v>Felipe</v>
      </c>
    </row>
    <row r="15111">
      <c r="A15111" s="1" t="s">
        <v>15111</v>
      </c>
      <c r="B15111" s="2" t="str">
        <f>IFERROR(__xludf.DUMMYFUNCTION("GOOGLETRANSLATE(A15111, ""de"", ""en"")"),"Hercules")</f>
        <v>Hercules</v>
      </c>
    </row>
    <row r="15112">
      <c r="A15112" s="1" t="s">
        <v>15112</v>
      </c>
      <c r="B15112" s="2" t="str">
        <f>IFERROR(__xludf.DUMMYFUNCTION("GOOGLETRANSLATE(A15112, ""de"", ""en"")"),"deny")</f>
        <v>deny</v>
      </c>
    </row>
    <row r="15113">
      <c r="A15113" s="1" t="s">
        <v>15113</v>
      </c>
      <c r="B15113" s="2" t="str">
        <f>IFERROR(__xludf.DUMMYFUNCTION("GOOGLETRANSLATE(A15113, ""de"", ""en"")"),"trapped")</f>
        <v>trapped</v>
      </c>
    </row>
    <row r="15114">
      <c r="A15114" s="1" t="s">
        <v>15114</v>
      </c>
      <c r="B15114" s="2" t="str">
        <f>IFERROR(__xludf.DUMMYFUNCTION("GOOGLETRANSLATE(A15114, ""de"", ""en"")"),"purchases")</f>
        <v>purchases</v>
      </c>
    </row>
    <row r="15115">
      <c r="A15115" s="1" t="s">
        <v>15115</v>
      </c>
      <c r="B15115" s="2" t="str">
        <f>IFERROR(__xludf.DUMMYFUNCTION("GOOGLETRANSLATE(A15115, ""de"", ""en"")"),"0h")</f>
        <v>0h</v>
      </c>
    </row>
    <row r="15116">
      <c r="A15116" s="1" t="s">
        <v>15116</v>
      </c>
      <c r="B15116" s="2" t="str">
        <f>IFERROR(__xludf.DUMMYFUNCTION("GOOGLETRANSLATE(A15116, ""de"", ""en"")"),"movie")</f>
        <v>movie</v>
      </c>
    </row>
    <row r="15117">
      <c r="A15117" s="1" t="s">
        <v>15117</v>
      </c>
      <c r="B15117" s="2" t="str">
        <f>IFERROR(__xludf.DUMMYFUNCTION("GOOGLETRANSLATE(A15117, ""de"", ""en"")"),"office")</f>
        <v>office</v>
      </c>
    </row>
    <row r="15118">
      <c r="A15118" s="1" t="s">
        <v>15118</v>
      </c>
      <c r="B15118" s="2" t="str">
        <f>IFERROR(__xludf.DUMMYFUNCTION("GOOGLETRANSLATE(A15118, ""de"", ""en"")"),"waldorf")</f>
        <v>waldorf</v>
      </c>
    </row>
    <row r="15119">
      <c r="A15119" s="1" t="s">
        <v>15119</v>
      </c>
      <c r="B15119" s="2" t="str">
        <f>IFERROR(__xludf.DUMMYFUNCTION("GOOGLETRANSLATE(A15119, ""de"", ""en"")"),"salt")</f>
        <v>salt</v>
      </c>
    </row>
    <row r="15120">
      <c r="A15120" s="1" t="s">
        <v>15120</v>
      </c>
      <c r="B15120" s="2" t="str">
        <f>IFERROR(__xludf.DUMMYFUNCTION("GOOGLETRANSLATE(A15120, ""de"", ""en"")"),"Marjorie")</f>
        <v>Marjorie</v>
      </c>
    </row>
    <row r="15121">
      <c r="A15121" s="1" t="s">
        <v>15121</v>
      </c>
      <c r="B15121" s="2" t="str">
        <f>IFERROR(__xludf.DUMMYFUNCTION("GOOGLETRANSLATE(A15121, ""de"", ""en"")"),"to let go")</f>
        <v>to let go</v>
      </c>
    </row>
    <row r="15122">
      <c r="A15122" s="1" t="s">
        <v>15122</v>
      </c>
      <c r="B15122" s="2" t="str">
        <f>IFERROR(__xludf.DUMMYFUNCTION("GOOGLETRANSLATE(A15122, ""de"", ""en"")"),"duane")</f>
        <v>duane</v>
      </c>
    </row>
    <row r="15123">
      <c r="A15123" s="1" t="s">
        <v>15123</v>
      </c>
      <c r="B15123" s="2" t="str">
        <f>IFERROR(__xludf.DUMMYFUNCTION("GOOGLETRANSLATE(A15123, ""de"", ""en"")"),"haunted")</f>
        <v>haunted</v>
      </c>
    </row>
    <row r="15124">
      <c r="A15124" s="1" t="s">
        <v>15124</v>
      </c>
      <c r="B15124" s="2" t="str">
        <f>IFERROR(__xludf.DUMMYFUNCTION("GOOGLETRANSLATE(A15124, ""de"", ""en"")"),"pat")</f>
        <v>pat</v>
      </c>
    </row>
    <row r="15125">
      <c r="A15125" s="1" t="s">
        <v>15125</v>
      </c>
      <c r="B15125" s="2" t="str">
        <f>IFERROR(__xludf.DUMMYFUNCTION("GOOGLETRANSLATE(A15125, ""de"", ""en"")"),"insight")</f>
        <v>insight</v>
      </c>
    </row>
    <row r="15126">
      <c r="A15126" s="1" t="s">
        <v>15126</v>
      </c>
      <c r="B15126" s="2" t="str">
        <f>IFERROR(__xludf.DUMMYFUNCTION("GOOGLETRANSLATE(A15126, ""de"", ""en"")"),"denies")</f>
        <v>denies</v>
      </c>
    </row>
    <row r="15127">
      <c r="A15127" s="1" t="s">
        <v>15127</v>
      </c>
      <c r="B15127" s="2" t="str">
        <f>IFERROR(__xludf.DUMMYFUNCTION("GOOGLETRANSLATE(A15127, ""de"", ""en"")"),"merlyn")</f>
        <v>merlyn</v>
      </c>
    </row>
    <row r="15128">
      <c r="A15128" s="1" t="s">
        <v>15128</v>
      </c>
      <c r="B15128" s="2" t="str">
        <f>IFERROR(__xludf.DUMMYFUNCTION("GOOGLETRANSLATE(A15128, ""de"", ""en"")"),"submit")</f>
        <v>submit</v>
      </c>
    </row>
    <row r="15129">
      <c r="A15129" s="1" t="s">
        <v>15129</v>
      </c>
      <c r="B15129" s="2" t="str">
        <f>IFERROR(__xludf.DUMMYFUNCTION("GOOGLETRANSLATE(A15129, ""de"", ""en"")"),"wedding dress")</f>
        <v>wedding dress</v>
      </c>
    </row>
    <row r="15130">
      <c r="A15130" s="1" t="s">
        <v>15130</v>
      </c>
      <c r="B15130" s="2" t="str">
        <f>IFERROR(__xludf.DUMMYFUNCTION("GOOGLETRANSLATE(A15130, ""de"", ""en"")"),"addy")</f>
        <v>addy</v>
      </c>
    </row>
    <row r="15131">
      <c r="A15131" s="1" t="s">
        <v>15131</v>
      </c>
      <c r="B15131" s="2" t="str">
        <f>IFERROR(__xludf.DUMMYFUNCTION("GOOGLETRANSLATE(A15131, ""de"", ""en"")"),"employees")</f>
        <v>employees</v>
      </c>
    </row>
    <row r="15132">
      <c r="A15132" s="1" t="s">
        <v>15132</v>
      </c>
      <c r="B15132" s="2" t="str">
        <f>IFERROR(__xludf.DUMMYFUNCTION("GOOGLETRANSLATE(A15132, ""de"", ""en"")"),"holodeck")</f>
        <v>holodeck</v>
      </c>
    </row>
    <row r="15133">
      <c r="A15133" s="1" t="s">
        <v>15133</v>
      </c>
      <c r="B15133" s="2" t="str">
        <f>IFERROR(__xludf.DUMMYFUNCTION("GOOGLETRANSLATE(A15133, ""de"", ""en"")"),"satisfaction")</f>
        <v>satisfaction</v>
      </c>
    </row>
    <row r="15134">
      <c r="A15134" s="1" t="s">
        <v>15134</v>
      </c>
      <c r="B15134" s="2" t="str">
        <f>IFERROR(__xludf.DUMMYFUNCTION("GOOGLETRANSLATE(A15134, ""de"", ""en"")"),"willoughby")</f>
        <v>willoughby</v>
      </c>
    </row>
    <row r="15135">
      <c r="A15135" s="1" t="s">
        <v>15135</v>
      </c>
      <c r="B15135" s="2" t="str">
        <f>IFERROR(__xludf.DUMMYFUNCTION("GOOGLETRANSLATE(A15135, ""de"", ""en"")"),"standard")</f>
        <v>standard</v>
      </c>
    </row>
    <row r="15136">
      <c r="A15136" s="1" t="s">
        <v>15136</v>
      </c>
      <c r="B15136" s="2" t="str">
        <f>IFERROR(__xludf.DUMMYFUNCTION("GOOGLETRANSLATE(A15136, ""de"", ""en"")"),"impulsive")</f>
        <v>impulsive</v>
      </c>
    </row>
    <row r="15137">
      <c r="A15137" s="1" t="s">
        <v>15137</v>
      </c>
      <c r="B15137" s="2" t="str">
        <f>IFERROR(__xludf.DUMMYFUNCTION("GOOGLETRANSLATE(A15137, ""de"", ""en"")"),"very best")</f>
        <v>very best</v>
      </c>
    </row>
    <row r="15138">
      <c r="A15138" s="1" t="s">
        <v>15138</v>
      </c>
      <c r="B15138" s="2" t="str">
        <f>IFERROR(__xludf.DUMMYFUNCTION("GOOGLETRANSLATE(A15138, ""de"", ""en"")"),"cramps")</f>
        <v>cramps</v>
      </c>
    </row>
    <row r="15139">
      <c r="A15139" s="1" t="s">
        <v>15139</v>
      </c>
      <c r="B15139" s="2" t="str">
        <f>IFERROR(__xludf.DUMMYFUNCTION("GOOGLETRANSLATE(A15139, ""de"", ""en"")"),"commercial")</f>
        <v>commercial</v>
      </c>
    </row>
    <row r="15140">
      <c r="A15140" s="1" t="s">
        <v>15140</v>
      </c>
      <c r="B15140" s="2" t="str">
        <f>IFERROR(__xludf.DUMMYFUNCTION("GOOGLETRANSLATE(A15140, ""de"", ""en"")"),"solemnly")</f>
        <v>solemnly</v>
      </c>
    </row>
    <row r="15141">
      <c r="A15141" s="1" t="s">
        <v>15141</v>
      </c>
      <c r="B15141" s="2" t="str">
        <f>IFERROR(__xludf.DUMMYFUNCTION("GOOGLETRANSLATE(A15141, ""de"", ""en"")"),"prisons")</f>
        <v>prisons</v>
      </c>
    </row>
    <row r="15142">
      <c r="A15142" s="1" t="s">
        <v>15142</v>
      </c>
      <c r="B15142" s="2" t="str">
        <f>IFERROR(__xludf.DUMMYFUNCTION("GOOGLETRANSLATE(A15142, ""de"", ""en"")"),"based")</f>
        <v>based</v>
      </c>
    </row>
    <row r="15143">
      <c r="A15143" s="1" t="s">
        <v>15143</v>
      </c>
      <c r="B15143" s="2" t="str">
        <f>IFERROR(__xludf.DUMMYFUNCTION("GOOGLETRANSLATE(A15143, ""de"", ""en"")"),"all of them")</f>
        <v>all of them</v>
      </c>
    </row>
    <row r="15144">
      <c r="A15144" s="1" t="b">
        <v>1</v>
      </c>
      <c r="B15144" s="2" t="str">
        <f>IFERROR(__xludf.DUMMYFUNCTION("GOOGLETRANSLATE(A15144, ""de"", ""en"")"),"TRUE")</f>
        <v>TRUE</v>
      </c>
    </row>
    <row r="15145">
      <c r="A15145" s="1" t="s">
        <v>15144</v>
      </c>
      <c r="B15145" s="2" t="str">
        <f>IFERROR(__xludf.DUMMYFUNCTION("GOOGLETRANSLATE(A15145, ""de"", ""en"")"),"open")</f>
        <v>open</v>
      </c>
    </row>
    <row r="15146">
      <c r="A15146" s="1" t="s">
        <v>15145</v>
      </c>
      <c r="B15146" s="2" t="str">
        <f>IFERROR(__xludf.DUMMYFUNCTION("GOOGLETRANSLATE(A15146, ""de"", ""en"")"),"rattles")</f>
        <v>rattles</v>
      </c>
    </row>
    <row r="15147">
      <c r="A15147" s="1" t="s">
        <v>15146</v>
      </c>
      <c r="B15147" s="2" t="str">
        <f>IFERROR(__xludf.DUMMYFUNCTION("GOOGLETRANSLATE(A15147, ""de"", ""en"")"),"heathens")</f>
        <v>heathens</v>
      </c>
    </row>
    <row r="15148">
      <c r="A15148" s="1" t="s">
        <v>15147</v>
      </c>
      <c r="B15148" s="2" t="str">
        <f>IFERROR(__xludf.DUMMYFUNCTION("GOOGLETRANSLATE(A15148, ""de"", ""en"")"),"Highness")</f>
        <v>Highness</v>
      </c>
    </row>
    <row r="15149">
      <c r="A15149" s="1" t="s">
        <v>15148</v>
      </c>
      <c r="B15149" s="2" t="str">
        <f>IFERROR(__xludf.DUMMYFUNCTION("GOOGLETRANSLATE(A15149, ""de"", ""en"")"),"tsar")</f>
        <v>tsar</v>
      </c>
    </row>
    <row r="15150">
      <c r="A15150" s="1" t="s">
        <v>15149</v>
      </c>
      <c r="B15150" s="2" t="str">
        <f>IFERROR(__xludf.DUMMYFUNCTION("GOOGLETRANSLATE(A15150, ""de"", ""en"")"),"rabbit")</f>
        <v>rabbit</v>
      </c>
    </row>
    <row r="15151">
      <c r="A15151" s="1" t="s">
        <v>15150</v>
      </c>
      <c r="B15151" s="2" t="str">
        <f>IFERROR(__xludf.DUMMYFUNCTION("GOOGLETRANSLATE(A15151, ""de"", ""en"")"),"cordoned off")</f>
        <v>cordoned off</v>
      </c>
    </row>
    <row r="15152">
      <c r="A15152" s="1" t="s">
        <v>15151</v>
      </c>
      <c r="B15152" s="2" t="str">
        <f>IFERROR(__xludf.DUMMYFUNCTION("GOOGLETRANSLATE(A15152, ""de"", ""en"")"),"ours")</f>
        <v>ours</v>
      </c>
    </row>
    <row r="15153">
      <c r="A15153" s="1" t="s">
        <v>15152</v>
      </c>
      <c r="B15153" s="2" t="str">
        <f>IFERROR(__xludf.DUMMYFUNCTION("GOOGLETRANSLATE(A15153, ""de"", ""en"")"),"smelly")</f>
        <v>smelly</v>
      </c>
    </row>
    <row r="15154">
      <c r="A15154" s="1" t="s">
        <v>15153</v>
      </c>
      <c r="B15154" s="2" t="str">
        <f>IFERROR(__xludf.DUMMYFUNCTION("GOOGLETRANSLATE(A15154, ""de"", ""en"")"),"Gerda")</f>
        <v>Gerda</v>
      </c>
    </row>
    <row r="15155">
      <c r="A15155" s="1" t="s">
        <v>15154</v>
      </c>
      <c r="B15155" s="2" t="str">
        <f>IFERROR(__xludf.DUMMYFUNCTION("GOOGLETRANSLATE(A15155, ""de"", ""en"")"),"parked")</f>
        <v>parked</v>
      </c>
    </row>
    <row r="15156">
      <c r="A15156" s="1" t="s">
        <v>15155</v>
      </c>
      <c r="B15156" s="2" t="str">
        <f>IFERROR(__xludf.DUMMYFUNCTION("GOOGLETRANSLATE(A15156, ""de"", ""en"")"),"alfonso")</f>
        <v>alfonso</v>
      </c>
    </row>
    <row r="15157">
      <c r="A15157" s="1" t="s">
        <v>15156</v>
      </c>
      <c r="B15157" s="2" t="str">
        <f>IFERROR(__xludf.DUMMYFUNCTION("GOOGLETRANSLATE(A15157, ""de"", ""en"")"),"met")</f>
        <v>met</v>
      </c>
    </row>
    <row r="15158">
      <c r="A15158" s="1" t="s">
        <v>15157</v>
      </c>
      <c r="B15158" s="2" t="str">
        <f>IFERROR(__xludf.DUMMYFUNCTION("GOOGLETRANSLATE(A15158, ""de"", ""en"")"),"saddened")</f>
        <v>saddened</v>
      </c>
    </row>
    <row r="15159">
      <c r="A15159" s="1" t="s">
        <v>15158</v>
      </c>
      <c r="B15159" s="2" t="str">
        <f>IFERROR(__xludf.DUMMYFUNCTION("GOOGLETRANSLATE(A15159, ""de"", ""en"")"),"ignore")</f>
        <v>ignore</v>
      </c>
    </row>
    <row r="15160">
      <c r="A15160" s="1" t="s">
        <v>15159</v>
      </c>
      <c r="B15160" s="2" t="str">
        <f>IFERROR(__xludf.DUMMYFUNCTION("GOOGLETRANSLATE(A15160, ""de"", ""en"")"),"yours")</f>
        <v>yours</v>
      </c>
    </row>
    <row r="15161">
      <c r="A15161" s="1" t="s">
        <v>15160</v>
      </c>
      <c r="B15161" s="2" t="str">
        <f>IFERROR(__xludf.DUMMYFUNCTION("GOOGLETRANSLATE(A15161, ""de"", ""en"")"),"smarter")</f>
        <v>smarter</v>
      </c>
    </row>
    <row r="15162">
      <c r="A15162" s="1" t="s">
        <v>15161</v>
      </c>
      <c r="B15162" s="2" t="str">
        <f>IFERROR(__xludf.DUMMYFUNCTION("GOOGLETRANSLATE(A15162, ""de"", ""en"")"),"whistle")</f>
        <v>whistle</v>
      </c>
    </row>
    <row r="15163">
      <c r="A15163" s="1" t="s">
        <v>15162</v>
      </c>
      <c r="B15163" s="2" t="str">
        <f>IFERROR(__xludf.DUMMYFUNCTION("GOOGLETRANSLATE(A15163, ""de"", ""en"")"),"tutoring")</f>
        <v>tutoring</v>
      </c>
    </row>
    <row r="15164">
      <c r="A15164" s="1" t="s">
        <v>15163</v>
      </c>
      <c r="B15164" s="2" t="str">
        <f>IFERROR(__xludf.DUMMYFUNCTION("GOOGLETRANSLATE(A15164, ""de"", ""en"")"),"avenged")</f>
        <v>avenged</v>
      </c>
    </row>
    <row r="15165">
      <c r="A15165" s="1" t="s">
        <v>15164</v>
      </c>
      <c r="B15165" s="2" t="str">
        <f>IFERROR(__xludf.DUMMYFUNCTION("GOOGLETRANSLATE(A15165, ""de"", ""en"")"),"costume")</f>
        <v>costume</v>
      </c>
    </row>
    <row r="15166">
      <c r="A15166" s="1" t="s">
        <v>15165</v>
      </c>
      <c r="B15166" s="2" t="str">
        <f>IFERROR(__xludf.DUMMYFUNCTION("GOOGLETRANSLATE(A15166, ""de"", ""en"")"),"thing")</f>
        <v>thing</v>
      </c>
    </row>
    <row r="15167">
      <c r="A15167" s="1" t="s">
        <v>15166</v>
      </c>
      <c r="B15167" s="2" t="str">
        <f>IFERROR(__xludf.DUMMYFUNCTION("GOOGLETRANSLATE(A15167, ""de"", ""en"")"),"gringo")</f>
        <v>gringo</v>
      </c>
    </row>
    <row r="15168">
      <c r="A15168" s="1" t="s">
        <v>15167</v>
      </c>
      <c r="B15168" s="2" t="str">
        <f>IFERROR(__xludf.DUMMYFUNCTION("GOOGLETRANSLATE(A15168, ""de"", ""en"")"),"to nothing")</f>
        <v>to nothing</v>
      </c>
    </row>
    <row r="15169">
      <c r="A15169" s="1" t="s">
        <v>15168</v>
      </c>
      <c r="B15169" s="2" t="str">
        <f>IFERROR(__xludf.DUMMYFUNCTION("GOOGLETRANSLATE(A15169, ""de"", ""en"")"),"shake")</f>
        <v>shake</v>
      </c>
    </row>
    <row r="15170">
      <c r="A15170" s="1" t="s">
        <v>15169</v>
      </c>
      <c r="B15170" s="2" t="str">
        <f>IFERROR(__xludf.DUMMYFUNCTION("GOOGLETRANSLATE(A15170, ""de"", ""en"")"),"drug trafficking")</f>
        <v>drug trafficking</v>
      </c>
    </row>
    <row r="15171">
      <c r="A15171" s="1" t="s">
        <v>15170</v>
      </c>
      <c r="B15171" s="2" t="str">
        <f>IFERROR(__xludf.DUMMYFUNCTION("GOOGLETRANSLATE(A15171, ""de"", ""en"")"),"perez")</f>
        <v>perez</v>
      </c>
    </row>
    <row r="15172">
      <c r="A15172" s="1" t="s">
        <v>15171</v>
      </c>
      <c r="B15172" s="2" t="str">
        <f>IFERROR(__xludf.DUMMYFUNCTION("GOOGLETRANSLATE(A15172, ""de"", ""en"")"),"barracks")</f>
        <v>barracks</v>
      </c>
    </row>
    <row r="15173">
      <c r="A15173" s="1" t="s">
        <v>15172</v>
      </c>
      <c r="B15173" s="2" t="str">
        <f>IFERROR(__xludf.DUMMYFUNCTION("GOOGLETRANSLATE(A15173, ""de"", ""en"")"),"mcqueen")</f>
        <v>mcqueen</v>
      </c>
    </row>
    <row r="15174">
      <c r="A15174" s="1" t="s">
        <v>15173</v>
      </c>
      <c r="B15174" s="2" t="str">
        <f>IFERROR(__xludf.DUMMYFUNCTION("GOOGLETRANSLATE(A15174, ""de"", ""en"")"),"grunt")</f>
        <v>grunt</v>
      </c>
    </row>
    <row r="15175">
      <c r="A15175" s="1" t="s">
        <v>15174</v>
      </c>
      <c r="B15175" s="2" t="str">
        <f>IFERROR(__xludf.DUMMYFUNCTION("GOOGLETRANSLATE(A15175, ""de"", ""en"")"),"failure")</f>
        <v>failure</v>
      </c>
    </row>
    <row r="15176">
      <c r="A15176" s="1" t="s">
        <v>15175</v>
      </c>
      <c r="B15176" s="2" t="str">
        <f>IFERROR(__xludf.DUMMYFUNCTION("GOOGLETRANSLATE(A15176, ""de"", ""en"")"),"dickie")</f>
        <v>dickie</v>
      </c>
    </row>
    <row r="15177">
      <c r="A15177" s="1" t="s">
        <v>15176</v>
      </c>
      <c r="B15177" s="2" t="str">
        <f>IFERROR(__xludf.DUMMYFUNCTION("GOOGLETRANSLATE(A15177, ""de"", ""en"")"),"oleg")</f>
        <v>oleg</v>
      </c>
    </row>
    <row r="15178">
      <c r="A15178" s="1" t="s">
        <v>15177</v>
      </c>
      <c r="B15178" s="2" t="str">
        <f>IFERROR(__xludf.DUMMYFUNCTION("GOOGLETRANSLATE(A15178, ""de"", ""en"")"),"fellow citizens")</f>
        <v>fellow citizens</v>
      </c>
    </row>
    <row r="15179">
      <c r="A15179" s="1" t="s">
        <v>15178</v>
      </c>
      <c r="B15179" s="2" t="str">
        <f>IFERROR(__xludf.DUMMYFUNCTION("GOOGLETRANSLATE(A15179, ""de"", ""en"")"),"nicest")</f>
        <v>nicest</v>
      </c>
    </row>
    <row r="15180">
      <c r="A15180" s="1" t="s">
        <v>15179</v>
      </c>
      <c r="B15180" s="2" t="str">
        <f>IFERROR(__xludf.DUMMYFUNCTION("GOOGLETRANSLATE(A15180, ""de"", ""en"")"),"stronger")</f>
        <v>stronger</v>
      </c>
    </row>
    <row r="15181">
      <c r="A15181" s="1" t="s">
        <v>15180</v>
      </c>
      <c r="B15181" s="2" t="str">
        <f>IFERROR(__xludf.DUMMYFUNCTION("GOOGLETRANSLATE(A15181, ""de"", ""en"")"),"lexi")</f>
        <v>lexi</v>
      </c>
    </row>
    <row r="15182">
      <c r="A15182" s="1" t="s">
        <v>15181</v>
      </c>
      <c r="B15182" s="2" t="str">
        <f>IFERROR(__xludf.DUMMYFUNCTION("GOOGLETRANSLATE(A15182, ""de"", ""en"")"),"pathetic")</f>
        <v>pathetic</v>
      </c>
    </row>
    <row r="15183">
      <c r="A15183" s="1" t="s">
        <v>15182</v>
      </c>
      <c r="B15183" s="2" t="str">
        <f>IFERROR(__xludf.DUMMYFUNCTION("GOOGLETRANSLATE(A15183, ""de"", ""en"")"),"wake up")</f>
        <v>wake up</v>
      </c>
    </row>
    <row r="15184">
      <c r="A15184" s="1" t="s">
        <v>15183</v>
      </c>
      <c r="B15184" s="2" t="str">
        <f>IFERROR(__xludf.DUMMYFUNCTION("GOOGLETRANSLATE(A15184, ""de"", ""en"")"),"install")</f>
        <v>install</v>
      </c>
    </row>
    <row r="15185">
      <c r="A15185" s="1" t="s">
        <v>15184</v>
      </c>
      <c r="B15185" s="2" t="str">
        <f>IFERROR(__xludf.DUMMYFUNCTION("GOOGLETRANSLATE(A15185, ""de"", ""en"")"),"crawls")</f>
        <v>crawls</v>
      </c>
    </row>
    <row r="15186">
      <c r="A15186" s="1" t="s">
        <v>15185</v>
      </c>
      <c r="B15186" s="2" t="str">
        <f>IFERROR(__xludf.DUMMYFUNCTION("GOOGLETRANSLATE(A15186, ""de"", ""en"")"),"problem-free")</f>
        <v>problem-free</v>
      </c>
    </row>
    <row r="15187">
      <c r="A15187" s="1" t="s">
        <v>15186</v>
      </c>
      <c r="B15187" s="2" t="str">
        <f>IFERROR(__xludf.DUMMYFUNCTION("GOOGLETRANSLATE(A15187, ""de"", ""en"")"),"listen")</f>
        <v>listen</v>
      </c>
    </row>
    <row r="15188">
      <c r="A15188" s="1" t="s">
        <v>15187</v>
      </c>
      <c r="B15188" s="2" t="str">
        <f>IFERROR(__xludf.DUMMYFUNCTION("GOOGLETRANSLATE(A15188, ""de"", ""en"")"),"lise")</f>
        <v>lise</v>
      </c>
    </row>
    <row r="15189">
      <c r="A15189" s="1" t="s">
        <v>15188</v>
      </c>
      <c r="B15189" s="2" t="str">
        <f>IFERROR(__xludf.DUMMYFUNCTION("GOOGLETRANSLATE(A15189, ""de"", ""en"")"),"ser")</f>
        <v>ser</v>
      </c>
    </row>
    <row r="15190">
      <c r="A15190" s="1" t="s">
        <v>15189</v>
      </c>
      <c r="B15190" s="2" t="str">
        <f>IFERROR(__xludf.DUMMYFUNCTION("GOOGLETRANSLATE(A15190, ""de"", ""en"")"),"mercy")</f>
        <v>mercy</v>
      </c>
    </row>
    <row r="15191">
      <c r="A15191" s="1" t="s">
        <v>15190</v>
      </c>
      <c r="B15191" s="2" t="str">
        <f>IFERROR(__xludf.DUMMYFUNCTION("GOOGLETRANSLATE(A15191, ""de"", ""en"")"),"tear")</f>
        <v>tear</v>
      </c>
    </row>
    <row r="15192">
      <c r="A15192" s="1" t="s">
        <v>15191</v>
      </c>
      <c r="B15192" s="2" t="str">
        <f>IFERROR(__xludf.DUMMYFUNCTION("GOOGLETRANSLATE(A15192, ""de"", ""en"")"),"grunts")</f>
        <v>grunts</v>
      </c>
    </row>
    <row r="15193">
      <c r="A15193" s="1" t="s">
        <v>15192</v>
      </c>
      <c r="B15193" s="2" t="str">
        <f>IFERROR(__xludf.DUMMYFUNCTION("GOOGLETRANSLATE(A15193, ""de"", ""en"")"),"foot")</f>
        <v>foot</v>
      </c>
    </row>
    <row r="15194">
      <c r="A15194" s="1" t="s">
        <v>15193</v>
      </c>
      <c r="B15194" s="2" t="str">
        <f>IFERROR(__xludf.DUMMYFUNCTION("GOOGLETRANSLATE(A15194, ""de"", ""en"")"),"political")</f>
        <v>political</v>
      </c>
    </row>
    <row r="15195">
      <c r="A15195" s="1" t="s">
        <v>15194</v>
      </c>
      <c r="B15195" s="2" t="str">
        <f>IFERROR(__xludf.DUMMYFUNCTION("GOOGLETRANSLATE(A15195, ""de"", ""en"")"),"carpenter")</f>
        <v>carpenter</v>
      </c>
    </row>
    <row r="15196">
      <c r="A15196" s="1" t="s">
        <v>15195</v>
      </c>
      <c r="B15196" s="2" t="str">
        <f>IFERROR(__xludf.DUMMYFUNCTION("GOOGLETRANSLATE(A15196, ""de"", ""en"")"),"almanzo")</f>
        <v>almanzo</v>
      </c>
    </row>
    <row r="15197">
      <c r="A15197" s="1" t="s">
        <v>15196</v>
      </c>
      <c r="B15197" s="2" t="str">
        <f>IFERROR(__xludf.DUMMYFUNCTION("GOOGLETRANSLATE(A15197, ""de"", ""en"")"),"glass")</f>
        <v>glass</v>
      </c>
    </row>
    <row r="15198">
      <c r="A15198" s="1" t="s">
        <v>15197</v>
      </c>
      <c r="B15198" s="2" t="str">
        <f>IFERROR(__xludf.DUMMYFUNCTION("GOOGLETRANSLATE(A15198, ""de"", ""en"")"),"entertaining")</f>
        <v>entertaining</v>
      </c>
    </row>
    <row r="15199">
      <c r="A15199" s="1" t="s">
        <v>15198</v>
      </c>
      <c r="B15199" s="2" t="str">
        <f>IFERROR(__xludf.DUMMYFUNCTION("GOOGLETRANSLATE(A15199, ""de"", ""en"")"),"stretch")</f>
        <v>stretch</v>
      </c>
    </row>
    <row r="15200">
      <c r="A15200" s="1" t="s">
        <v>15199</v>
      </c>
      <c r="B15200" s="2" t="str">
        <f>IFERROR(__xludf.DUMMYFUNCTION("GOOGLETRANSLATE(A15200, ""de"", ""en"")"),"play")</f>
        <v>play</v>
      </c>
    </row>
    <row r="15201">
      <c r="A15201" s="1" t="s">
        <v>15200</v>
      </c>
      <c r="B15201" s="2" t="str">
        <f>IFERROR(__xludf.DUMMYFUNCTION("GOOGLETRANSLATE(A15201, ""de"", ""en"")"),"shorten")</f>
        <v>shorten</v>
      </c>
    </row>
    <row r="15202">
      <c r="A15202" s="1" t="s">
        <v>15201</v>
      </c>
      <c r="B15202" s="2" t="str">
        <f>IFERROR(__xludf.DUMMYFUNCTION("GOOGLETRANSLATE(A15202, ""de"", ""en"")"),"devlin")</f>
        <v>devlin</v>
      </c>
    </row>
    <row r="15203">
      <c r="A15203" s="1" t="s">
        <v>15202</v>
      </c>
      <c r="B15203" s="2" t="str">
        <f>IFERROR(__xludf.DUMMYFUNCTION("GOOGLETRANSLATE(A15203, ""de"", ""en"")"),"quoted")</f>
        <v>quoted</v>
      </c>
    </row>
    <row r="15204">
      <c r="A15204" s="1" t="s">
        <v>15203</v>
      </c>
      <c r="B15204" s="2" t="str">
        <f>IFERROR(__xludf.DUMMYFUNCTION("GOOGLETRANSLATE(A15204, ""de"", ""en"")"),"classes")</f>
        <v>classes</v>
      </c>
    </row>
    <row r="15205">
      <c r="A15205" s="1" t="s">
        <v>15204</v>
      </c>
      <c r="B15205" s="2" t="str">
        <f>IFERROR(__xludf.DUMMYFUNCTION("GOOGLETRANSLATE(A15205, ""de"", ""en"")"),"Scorpio")</f>
        <v>Scorpio</v>
      </c>
    </row>
    <row r="15206">
      <c r="A15206" s="1" t="s">
        <v>15205</v>
      </c>
      <c r="B15206" s="2" t="str">
        <f>IFERROR(__xludf.DUMMYFUNCTION("GOOGLETRANSLATE(A15206, ""de"", ""en"")"),"most powerful")</f>
        <v>most powerful</v>
      </c>
    </row>
    <row r="15207">
      <c r="A15207" s="1" t="s">
        <v>15206</v>
      </c>
      <c r="B15207" s="2" t="str">
        <f>IFERROR(__xludf.DUMMYFUNCTION("GOOGLETRANSLATE(A15207, ""de"", ""en"")"),"belt")</f>
        <v>belt</v>
      </c>
    </row>
    <row r="15208">
      <c r="A15208" s="1" t="s">
        <v>15207</v>
      </c>
      <c r="B15208" s="2" t="str">
        <f>IFERROR(__xludf.DUMMYFUNCTION("GOOGLETRANSLATE(A15208, ""de"", ""en"")"),"agreement")</f>
        <v>agreement</v>
      </c>
    </row>
    <row r="15209">
      <c r="A15209" s="1" t="s">
        <v>15208</v>
      </c>
      <c r="B15209" s="2" t="str">
        <f>IFERROR(__xludf.DUMMYFUNCTION("GOOGLETRANSLATE(A15209, ""de"", ""en"")"),"drought")</f>
        <v>drought</v>
      </c>
    </row>
    <row r="15210">
      <c r="A15210" s="1" t="s">
        <v>15209</v>
      </c>
      <c r="B15210" s="2" t="str">
        <f>IFERROR(__xludf.DUMMYFUNCTION("GOOGLETRANSLATE(A15210, ""de"", ""en"")"),"lower")</f>
        <v>lower</v>
      </c>
    </row>
    <row r="15211">
      <c r="A15211" s="1" t="s">
        <v>15210</v>
      </c>
      <c r="B15211" s="2" t="str">
        <f>IFERROR(__xludf.DUMMYFUNCTION("GOOGLETRANSLATE(A15211, ""de"", ""en"")"),"poorest")</f>
        <v>poorest</v>
      </c>
    </row>
    <row r="15212">
      <c r="A15212" s="1" t="s">
        <v>15211</v>
      </c>
      <c r="B15212" s="2" t="str">
        <f>IFERROR(__xludf.DUMMYFUNCTION("GOOGLETRANSLATE(A15212, ""de"", ""en"")"),"nine")</f>
        <v>nine</v>
      </c>
    </row>
    <row r="15213">
      <c r="A15213" s="1" t="s">
        <v>15212</v>
      </c>
      <c r="B15213" s="2" t="str">
        <f>IFERROR(__xludf.DUMMYFUNCTION("GOOGLETRANSLATE(A15213, ""de"", ""en"")"),"assessed")</f>
        <v>assessed</v>
      </c>
    </row>
    <row r="15214">
      <c r="A15214" s="1" t="s">
        <v>15213</v>
      </c>
      <c r="B15214" s="2" t="str">
        <f>IFERROR(__xludf.DUMMYFUNCTION("GOOGLETRANSLATE(A15214, ""de"", ""en"")"),"affected")</f>
        <v>affected</v>
      </c>
    </row>
    <row r="15215">
      <c r="A15215" s="1" t="s">
        <v>15214</v>
      </c>
      <c r="B15215" s="2" t="str">
        <f>IFERROR(__xludf.DUMMYFUNCTION("GOOGLETRANSLATE(A15215, ""de"", ""en"")"),"forge")</f>
        <v>forge</v>
      </c>
    </row>
    <row r="15216">
      <c r="A15216" s="1" t="s">
        <v>15215</v>
      </c>
      <c r="B15216" s="2" t="str">
        <f>IFERROR(__xludf.DUMMYFUNCTION("GOOGLETRANSLATE(A15216, ""de"", ""en"")"),"plugged in")</f>
        <v>plugged in</v>
      </c>
    </row>
    <row r="15217">
      <c r="A15217" s="1" t="s">
        <v>15216</v>
      </c>
      <c r="B15217" s="2" t="str">
        <f>IFERROR(__xludf.DUMMYFUNCTION("GOOGLETRANSLATE(A15217, ""de"", ""en"")"),"Irish")</f>
        <v>Irish</v>
      </c>
    </row>
    <row r="15218">
      <c r="A15218" s="1" t="s">
        <v>15217</v>
      </c>
      <c r="B15218" s="2" t="str">
        <f>IFERROR(__xludf.DUMMYFUNCTION("GOOGLETRANSLATE(A15218, ""de"", ""en"")"),"swap")</f>
        <v>swap</v>
      </c>
    </row>
    <row r="15219">
      <c r="A15219" s="1" t="s">
        <v>15218</v>
      </c>
      <c r="B15219" s="2" t="str">
        <f>IFERROR(__xludf.DUMMYFUNCTION("GOOGLETRANSLATE(A15219, ""de"", ""en"")"),"printer")</f>
        <v>printer</v>
      </c>
    </row>
    <row r="15220">
      <c r="A15220" s="1" t="s">
        <v>15219</v>
      </c>
      <c r="B15220" s="2" t="str">
        <f>IFERROR(__xludf.DUMMYFUNCTION("GOOGLETRANSLATE(A15220, ""de"", ""en"")"),"hutchinson")</f>
        <v>hutchinson</v>
      </c>
    </row>
    <row r="15221">
      <c r="A15221" s="1" t="s">
        <v>15220</v>
      </c>
      <c r="B15221" s="2" t="str">
        <f>IFERROR(__xludf.DUMMYFUNCTION("GOOGLETRANSLATE(A15221, ""de"", ""en"")"),"yearly")</f>
        <v>yearly</v>
      </c>
    </row>
    <row r="15222">
      <c r="A15222" s="1" t="s">
        <v>15221</v>
      </c>
      <c r="B15222" s="2" t="str">
        <f>IFERROR(__xludf.DUMMYFUNCTION("GOOGLETRANSLATE(A15222, ""de"", ""en"")"),"wounded")</f>
        <v>wounded</v>
      </c>
    </row>
    <row r="15223">
      <c r="A15223" s="1" t="s">
        <v>15222</v>
      </c>
      <c r="B15223" s="2" t="str">
        <f>IFERROR(__xludf.DUMMYFUNCTION("GOOGLETRANSLATE(A15223, ""de"", ""en"")"),"walk")</f>
        <v>walk</v>
      </c>
    </row>
    <row r="15224">
      <c r="A15224" s="1" t="s">
        <v>15223</v>
      </c>
      <c r="B15224" s="2" t="str">
        <f>IFERROR(__xludf.DUMMYFUNCTION("GOOGLETRANSLATE(A15224, ""de"", ""en"")"),"lay")</f>
        <v>lay</v>
      </c>
    </row>
    <row r="15225">
      <c r="A15225" s="1" t="s">
        <v>15224</v>
      </c>
      <c r="B15225" s="2" t="str">
        <f>IFERROR(__xludf.DUMMYFUNCTION("GOOGLETRANSLATE(A15225, ""de"", ""en"")"),"qualities")</f>
        <v>qualities</v>
      </c>
    </row>
    <row r="15226">
      <c r="A15226" s="1" t="s">
        <v>15225</v>
      </c>
      <c r="B15226" s="2" t="str">
        <f>IFERROR(__xludf.DUMMYFUNCTION("GOOGLETRANSLATE(A15226, ""de"", ""en"")"),"trustworthy")</f>
        <v>trustworthy</v>
      </c>
    </row>
    <row r="15227">
      <c r="A15227" s="1" t="s">
        <v>15226</v>
      </c>
      <c r="B15227" s="2" t="str">
        <f>IFERROR(__xludf.DUMMYFUNCTION("GOOGLETRANSLATE(A15227, ""de"", ""en"")"),"zeb")</f>
        <v>zeb</v>
      </c>
    </row>
    <row r="15228">
      <c r="A15228" s="1" t="s">
        <v>15227</v>
      </c>
      <c r="B15228" s="2" t="str">
        <f>IFERROR(__xludf.DUMMYFUNCTION("GOOGLETRANSLATE(A15228, ""de"", ""en"")"),"Johnny")</f>
        <v>Johnny</v>
      </c>
    </row>
    <row r="15229">
      <c r="A15229" s="1" t="s">
        <v>15228</v>
      </c>
      <c r="B15229" s="2" t="str">
        <f>IFERROR(__xludf.DUMMYFUNCTION("GOOGLETRANSLATE(A15229, ""de"", ""en"")"),"crosses")</f>
        <v>crosses</v>
      </c>
    </row>
    <row r="15230">
      <c r="A15230" s="1" t="s">
        <v>15229</v>
      </c>
      <c r="B15230" s="2" t="str">
        <f>IFERROR(__xludf.DUMMYFUNCTION("GOOGLETRANSLATE(A15230, ""de"", ""en"")"),"massage")</f>
        <v>massage</v>
      </c>
    </row>
    <row r="15231">
      <c r="A15231" s="1" t="s">
        <v>15230</v>
      </c>
      <c r="B15231" s="2" t="str">
        <f>IFERROR(__xludf.DUMMYFUNCTION("GOOGLETRANSLATE(A15231, ""de"", ""en"")"),"transporter room")</f>
        <v>transporter room</v>
      </c>
    </row>
    <row r="15232">
      <c r="A15232" s="1" t="s">
        <v>15231</v>
      </c>
      <c r="B15232" s="2" t="str">
        <f>IFERROR(__xludf.DUMMYFUNCTION("GOOGLETRANSLATE(A15232, ""de"", ""en"")"),"kar")</f>
        <v>kar</v>
      </c>
    </row>
    <row r="15233">
      <c r="A15233" s="1" t="s">
        <v>15232</v>
      </c>
      <c r="B15233" s="2" t="str">
        <f>IFERROR(__xludf.DUMMYFUNCTION("GOOGLETRANSLATE(A15233, ""de"", ""en"")"),"equation")</f>
        <v>equation</v>
      </c>
    </row>
    <row r="15234">
      <c r="A15234" s="1" t="s">
        <v>15233</v>
      </c>
      <c r="B15234" s="2" t="str">
        <f>IFERROR(__xludf.DUMMYFUNCTION("GOOGLETRANSLATE(A15234, ""de"", ""en"")"),"rhymes")</f>
        <v>rhymes</v>
      </c>
    </row>
    <row r="15235">
      <c r="A15235" s="1" t="s">
        <v>15234</v>
      </c>
      <c r="B15235" s="2" t="str">
        <f>IFERROR(__xludf.DUMMYFUNCTION("GOOGLETRANSLATE(A15235, ""de"", ""en"")"),"sympathy")</f>
        <v>sympathy</v>
      </c>
    </row>
    <row r="15236">
      <c r="A15236" s="1" t="s">
        <v>15235</v>
      </c>
      <c r="B15236" s="2" t="str">
        <f>IFERROR(__xludf.DUMMYFUNCTION("GOOGLETRANSLATE(A15236, ""de"", ""en"")"),"southern")</f>
        <v>southern</v>
      </c>
    </row>
    <row r="15237">
      <c r="A15237" s="1" t="s">
        <v>15236</v>
      </c>
      <c r="B15237" s="2" t="str">
        <f>IFERROR(__xludf.DUMMYFUNCTION("GOOGLETRANSLATE(A15237, ""de"", ""en"")"),"negligent")</f>
        <v>negligent</v>
      </c>
    </row>
    <row r="15238">
      <c r="A15238" s="1" t="s">
        <v>15237</v>
      </c>
      <c r="B15238" s="2" t="str">
        <f>IFERROR(__xludf.DUMMYFUNCTION("GOOGLETRANSLATE(A15238, ""de"", ""en"")"),"fee")</f>
        <v>fee</v>
      </c>
    </row>
    <row r="15239">
      <c r="A15239" s="1" t="s">
        <v>15238</v>
      </c>
      <c r="B15239" s="2" t="str">
        <f>IFERROR(__xludf.DUMMYFUNCTION("GOOGLETRANSLATE(A15239, ""de"", ""en"")"),"aligned")</f>
        <v>aligned</v>
      </c>
    </row>
    <row r="15240">
      <c r="A15240" s="1" t="s">
        <v>15239</v>
      </c>
      <c r="B15240" s="2" t="str">
        <f>IFERROR(__xludf.DUMMYFUNCTION("GOOGLETRANSLATE(A15240, ""de"", ""en"")"),"inspire")</f>
        <v>inspire</v>
      </c>
    </row>
    <row r="15241">
      <c r="A15241" s="1" t="s">
        <v>15240</v>
      </c>
      <c r="B15241" s="2" t="str">
        <f>IFERROR(__xludf.DUMMYFUNCTION("GOOGLETRANSLATE(A15241, ""de"", ""en"")"),"military")</f>
        <v>military</v>
      </c>
    </row>
    <row r="15242">
      <c r="A15242" s="1" t="s">
        <v>15241</v>
      </c>
      <c r="B15242" s="2" t="str">
        <f>IFERROR(__xludf.DUMMYFUNCTION("GOOGLETRANSLATE(A15242, ""de"", ""en"")"),"Peru")</f>
        <v>Peru</v>
      </c>
    </row>
    <row r="15243">
      <c r="A15243" s="1" t="s">
        <v>15242</v>
      </c>
      <c r="B15243" s="2" t="str">
        <f>IFERROR(__xludf.DUMMYFUNCTION("GOOGLETRANSLATE(A15243, ""de"", ""en"")"),"wheels")</f>
        <v>wheels</v>
      </c>
    </row>
    <row r="15244">
      <c r="A15244" s="1" t="s">
        <v>15243</v>
      </c>
      <c r="B15244" s="2" t="str">
        <f>IFERROR(__xludf.DUMMYFUNCTION("GOOGLETRANSLATE(A15244, ""de"", ""en"")"),"frozen")</f>
        <v>frozen</v>
      </c>
    </row>
    <row r="15245">
      <c r="A15245" s="1" t="s">
        <v>15244</v>
      </c>
      <c r="B15245" s="2" t="str">
        <f>IFERROR(__xludf.DUMMYFUNCTION("GOOGLETRANSLATE(A15245, ""de"", ""en"")"),"Scots")</f>
        <v>Scots</v>
      </c>
    </row>
    <row r="15246">
      <c r="A15246" s="1" t="s">
        <v>15245</v>
      </c>
      <c r="B15246" s="2" t="str">
        <f>IFERROR(__xludf.DUMMYFUNCTION("GOOGLETRANSLATE(A15246, ""de"", ""en"")"),"Alfredo")</f>
        <v>Alfredo</v>
      </c>
    </row>
    <row r="15247">
      <c r="A15247" s="1" t="s">
        <v>15246</v>
      </c>
      <c r="B15247" s="2" t="str">
        <f>IFERROR(__xludf.DUMMYFUNCTION("GOOGLETRANSLATE(A15247, ""de"", ""en"")"),"got through")</f>
        <v>got through</v>
      </c>
    </row>
    <row r="15248">
      <c r="A15248" s="1" t="s">
        <v>15247</v>
      </c>
      <c r="B15248" s="2" t="str">
        <f>IFERROR(__xludf.DUMMYFUNCTION("GOOGLETRANSLATE(A15248, ""de"", ""en"")"),"devoured")</f>
        <v>devoured</v>
      </c>
    </row>
    <row r="15249">
      <c r="A15249" s="1" t="s">
        <v>15248</v>
      </c>
      <c r="B15249" s="2" t="str">
        <f>IFERROR(__xludf.DUMMYFUNCTION("GOOGLETRANSLATE(A15249, ""de"", ""en"")"),"met")</f>
        <v>met</v>
      </c>
    </row>
    <row r="15250">
      <c r="A15250" s="1" t="s">
        <v>15249</v>
      </c>
      <c r="B15250" s="2" t="str">
        <f>IFERROR(__xludf.DUMMYFUNCTION("GOOGLETRANSLATE(A15250, ""de"", ""en"")"),"ferrule")</f>
        <v>ferrule</v>
      </c>
    </row>
    <row r="15251">
      <c r="A15251" s="1" t="s">
        <v>15250</v>
      </c>
      <c r="B15251" s="2" t="str">
        <f>IFERROR(__xludf.DUMMYFUNCTION("GOOGLETRANSLATE(A15251, ""de"", ""en"")"),"adds")</f>
        <v>adds</v>
      </c>
    </row>
    <row r="15252">
      <c r="A15252" s="1" t="s">
        <v>15251</v>
      </c>
      <c r="B15252" s="2" t="str">
        <f>IFERROR(__xludf.DUMMYFUNCTION("GOOGLETRANSLATE(A15252, ""de"", ""en"")"),"youtube")</f>
        <v>youtube</v>
      </c>
    </row>
    <row r="15253">
      <c r="A15253" s="1" t="s">
        <v>15252</v>
      </c>
      <c r="B15253" s="2" t="str">
        <f>IFERROR(__xludf.DUMMYFUNCTION("GOOGLETRANSLATE(A15253, ""de"", ""en"")"),"recognized")</f>
        <v>recognized</v>
      </c>
    </row>
    <row r="15254">
      <c r="A15254" s="1" t="s">
        <v>15253</v>
      </c>
      <c r="B15254" s="2" t="str">
        <f>IFERROR(__xludf.DUMMYFUNCTION("GOOGLETRANSLATE(A15254, ""de"", ""en"")"),"agreed")</f>
        <v>agreed</v>
      </c>
    </row>
    <row r="15255">
      <c r="A15255" s="1" t="s">
        <v>15254</v>
      </c>
      <c r="B15255" s="2" t="str">
        <f>IFERROR(__xludf.DUMMYFUNCTION("GOOGLETRANSLATE(A15255, ""de"", ""en"")"),"leopard")</f>
        <v>leopard</v>
      </c>
    </row>
    <row r="15256">
      <c r="A15256" s="1" t="s">
        <v>15255</v>
      </c>
      <c r="B15256" s="2" t="str">
        <f>IFERROR(__xludf.DUMMYFUNCTION("GOOGLETRANSLATE(A15256, ""de"", ""en"")"),"comes")</f>
        <v>comes</v>
      </c>
    </row>
    <row r="15257">
      <c r="A15257" s="1" t="s">
        <v>15256</v>
      </c>
      <c r="B15257" s="2" t="str">
        <f>IFERROR(__xludf.DUMMYFUNCTION("GOOGLETRANSLATE(A15257, ""de"", ""en"")"),"hold")</f>
        <v>hold</v>
      </c>
    </row>
    <row r="15258">
      <c r="A15258" s="1" t="s">
        <v>15257</v>
      </c>
      <c r="B15258" s="2" t="str">
        <f>IFERROR(__xludf.DUMMYFUNCTION("GOOGLETRANSLATE(A15258, ""de"", ""en"")"),"Benedict")</f>
        <v>Benedict</v>
      </c>
    </row>
    <row r="15259">
      <c r="A15259" s="1" t="s">
        <v>15258</v>
      </c>
      <c r="B15259" s="2" t="str">
        <f>IFERROR(__xludf.DUMMYFUNCTION("GOOGLETRANSLATE(A15259, ""de"", ""en"")"),"shaolin")</f>
        <v>shaolin</v>
      </c>
    </row>
    <row r="15260">
      <c r="A15260" s="1" t="s">
        <v>15259</v>
      </c>
      <c r="B15260" s="2" t="str">
        <f>IFERROR(__xludf.DUMMYFUNCTION("GOOGLETRANSLATE(A15260, ""de"", ""en"")"),"went in")</f>
        <v>went in</v>
      </c>
    </row>
    <row r="15261">
      <c r="A15261" s="1" t="s">
        <v>15260</v>
      </c>
      <c r="B15261" s="2" t="str">
        <f>IFERROR(__xludf.DUMMYFUNCTION("GOOGLETRANSLATE(A15261, ""de"", ""en"")"),"signature")</f>
        <v>signature</v>
      </c>
    </row>
    <row r="15262">
      <c r="A15262" s="1" t="s">
        <v>15261</v>
      </c>
      <c r="B15262" s="2" t="str">
        <f>IFERROR(__xludf.DUMMYFUNCTION("GOOGLETRANSLATE(A15262, ""de"", ""en"")"),"insignificant")</f>
        <v>insignificant</v>
      </c>
    </row>
    <row r="15263">
      <c r="A15263" s="1" t="s">
        <v>15262</v>
      </c>
      <c r="B15263" s="2" t="str">
        <f>IFERROR(__xludf.DUMMYFUNCTION("GOOGLETRANSLATE(A15263, ""de"", ""en"")"),"back room")</f>
        <v>back room</v>
      </c>
    </row>
    <row r="15264">
      <c r="A15264" s="1" t="s">
        <v>15263</v>
      </c>
      <c r="B15264" s="2" t="str">
        <f>IFERROR(__xludf.DUMMYFUNCTION("GOOGLETRANSLATE(A15264, ""de"", ""en"")"),"introduction")</f>
        <v>introduction</v>
      </c>
    </row>
    <row r="15265">
      <c r="A15265" s="1" t="s">
        <v>15264</v>
      </c>
      <c r="B15265" s="2" t="str">
        <f>IFERROR(__xludf.DUMMYFUNCTION("GOOGLETRANSLATE(A15265, ""de"", ""en"")"),"henrys")</f>
        <v>henrys</v>
      </c>
    </row>
    <row r="15266">
      <c r="A15266" s="1" t="s">
        <v>15265</v>
      </c>
      <c r="B15266" s="2" t="str">
        <f>IFERROR(__xludf.DUMMYFUNCTION("GOOGLETRANSLATE(A15266, ""de"", ""en"")"),"scale")</f>
        <v>scale</v>
      </c>
    </row>
    <row r="15267">
      <c r="A15267" s="1" t="s">
        <v>15266</v>
      </c>
      <c r="B15267" s="2" t="str">
        <f>IFERROR(__xludf.DUMMYFUNCTION("GOOGLETRANSLATE(A15267, ""de"", ""en"")"),"to hurt")</f>
        <v>to hurt</v>
      </c>
    </row>
    <row r="15268">
      <c r="A15268" s="1" t="s">
        <v>15267</v>
      </c>
      <c r="B15268" s="2" t="str">
        <f>IFERROR(__xludf.DUMMYFUNCTION("GOOGLETRANSLATE(A15268, ""de"", ""en"")"),"poppy")</f>
        <v>poppy</v>
      </c>
    </row>
    <row r="15269">
      <c r="A15269" s="1" t="s">
        <v>15268</v>
      </c>
      <c r="B15269" s="2" t="str">
        <f>IFERROR(__xludf.DUMMYFUNCTION("GOOGLETRANSLATE(A15269, ""de"", ""en"")"),"high")</f>
        <v>high</v>
      </c>
    </row>
    <row r="15270">
      <c r="A15270" s="1" t="s">
        <v>15269</v>
      </c>
      <c r="B15270" s="2" t="str">
        <f>IFERROR(__xludf.DUMMYFUNCTION("GOOGLETRANSLATE(A15270, ""de"", ""en"")"),"tube")</f>
        <v>tube</v>
      </c>
    </row>
    <row r="15271">
      <c r="A15271" s="1" t="s">
        <v>15270</v>
      </c>
      <c r="B15271" s="2" t="str">
        <f>IFERROR(__xludf.DUMMYFUNCTION("GOOGLETRANSLATE(A15271, ""de"", ""en"")"),"mushroom")</f>
        <v>mushroom</v>
      </c>
    </row>
    <row r="15272">
      <c r="A15272" s="1" t="s">
        <v>15271</v>
      </c>
      <c r="B15272" s="2" t="str">
        <f>IFERROR(__xludf.DUMMYFUNCTION("GOOGLETRANSLATE(A15272, ""de"", ""en"")"),"mutants")</f>
        <v>mutants</v>
      </c>
    </row>
    <row r="15273">
      <c r="A15273" s="1" t="s">
        <v>15272</v>
      </c>
      <c r="B15273" s="2" t="str">
        <f>IFERROR(__xludf.DUMMYFUNCTION("GOOGLETRANSLATE(A15273, ""de"", ""en"")"),"stolen")</f>
        <v>stolen</v>
      </c>
    </row>
    <row r="15274">
      <c r="A15274" s="1" t="s">
        <v>15273</v>
      </c>
      <c r="B15274" s="2" t="str">
        <f>IFERROR(__xludf.DUMMYFUNCTION("GOOGLETRANSLATE(A15274, ""de"", ""en"")"),"homicide")</f>
        <v>homicide</v>
      </c>
    </row>
    <row r="15275">
      <c r="A15275" s="1" t="s">
        <v>15274</v>
      </c>
      <c r="B15275" s="2" t="str">
        <f>IFERROR(__xludf.DUMMYFUNCTION("GOOGLETRANSLATE(A15275, ""de"", ""en"")"),"exist")</f>
        <v>exist</v>
      </c>
    </row>
    <row r="15276">
      <c r="A15276" s="1" t="s">
        <v>15275</v>
      </c>
      <c r="B15276" s="2" t="str">
        <f>IFERROR(__xludf.DUMMYFUNCTION("GOOGLETRANSLATE(A15276, ""de"", ""en"")"),"advantages")</f>
        <v>advantages</v>
      </c>
    </row>
    <row r="15277">
      <c r="A15277" s="1" t="s">
        <v>15276</v>
      </c>
      <c r="B15277" s="2" t="str">
        <f>IFERROR(__xludf.DUMMYFUNCTION("GOOGLETRANSLATE(A15277, ""de"", ""en"")"),"acquire")</f>
        <v>acquire</v>
      </c>
    </row>
    <row r="15278">
      <c r="A15278" s="1" t="s">
        <v>15277</v>
      </c>
      <c r="B15278" s="2" t="str">
        <f>IFERROR(__xludf.DUMMYFUNCTION("GOOGLETRANSLATE(A15278, ""de"", ""en"")"),"appearances")</f>
        <v>appearances</v>
      </c>
    </row>
    <row r="15279">
      <c r="A15279" s="1" t="s">
        <v>15278</v>
      </c>
      <c r="B15279" s="2" t="str">
        <f>IFERROR(__xludf.DUMMYFUNCTION("GOOGLETRANSLATE(A15279, ""de"", ""en"")"),"control")</f>
        <v>control</v>
      </c>
    </row>
    <row r="15280">
      <c r="A15280" s="1" t="s">
        <v>15279</v>
      </c>
      <c r="B15280" s="2" t="str">
        <f>IFERROR(__xludf.DUMMYFUNCTION("GOOGLETRANSLATE(A15280, ""de"", ""en"")"),"freak out")</f>
        <v>freak out</v>
      </c>
    </row>
    <row r="15281">
      <c r="A15281" s="1" t="s">
        <v>15280</v>
      </c>
      <c r="B15281" s="2" t="str">
        <f>IFERROR(__xludf.DUMMYFUNCTION("GOOGLETRANSLATE(A15281, ""de"", ""en"")"),"turned")</f>
        <v>turned</v>
      </c>
    </row>
    <row r="15282">
      <c r="A15282" s="1" t="s">
        <v>15281</v>
      </c>
      <c r="B15282" s="2" t="str">
        <f>IFERROR(__xludf.DUMMYFUNCTION("GOOGLETRANSLATE(A15282, ""de"", ""en"")"),"wash off")</f>
        <v>wash off</v>
      </c>
    </row>
    <row r="15283">
      <c r="A15283" s="1" t="s">
        <v>15282</v>
      </c>
      <c r="B15283" s="2" t="str">
        <f>IFERROR(__xludf.DUMMYFUNCTION("GOOGLETRANSLATE(A15283, ""de"", ""en"")"),"rodeo")</f>
        <v>rodeo</v>
      </c>
    </row>
    <row r="15284">
      <c r="A15284" s="1" t="s">
        <v>15283</v>
      </c>
      <c r="B15284" s="2" t="str">
        <f>IFERROR(__xludf.DUMMYFUNCTION("GOOGLETRANSLATE(A15284, ""de"", ""en"")"),"cheap")</f>
        <v>cheap</v>
      </c>
    </row>
    <row r="15285">
      <c r="A15285" s="1" t="s">
        <v>15284</v>
      </c>
      <c r="B15285" s="2" t="str">
        <f>IFERROR(__xludf.DUMMYFUNCTION("GOOGLETRANSLATE(A15285, ""de"", ""en"")"),"down")</f>
        <v>down</v>
      </c>
    </row>
    <row r="15286">
      <c r="A15286" s="1" t="s">
        <v>15285</v>
      </c>
      <c r="B15286" s="2" t="str">
        <f>IFERROR(__xludf.DUMMYFUNCTION("GOOGLETRANSLATE(A15286, ""de"", ""en"")"),"fallen")</f>
        <v>fallen</v>
      </c>
    </row>
    <row r="15287">
      <c r="A15287" s="1" t="s">
        <v>15286</v>
      </c>
      <c r="B15287" s="2" t="str">
        <f>IFERROR(__xludf.DUMMYFUNCTION("GOOGLETRANSLATE(A15287, ""de"", ""en"")"),"procrastination")</f>
        <v>procrastination</v>
      </c>
    </row>
    <row r="15288">
      <c r="A15288" s="1" t="s">
        <v>15287</v>
      </c>
      <c r="B15288" s="2" t="str">
        <f>IFERROR(__xludf.DUMMYFUNCTION("GOOGLETRANSLATE(A15288, ""de"", ""en"")"),"clem")</f>
        <v>clem</v>
      </c>
    </row>
    <row r="15289">
      <c r="A15289" s="1" t="s">
        <v>15288</v>
      </c>
      <c r="B15289" s="2" t="str">
        <f>IFERROR(__xludf.DUMMYFUNCTION("GOOGLETRANSLATE(A15289, ""de"", ""en"")"),"hitchhiker")</f>
        <v>hitchhiker</v>
      </c>
    </row>
    <row r="15290">
      <c r="A15290" s="1" t="s">
        <v>15289</v>
      </c>
      <c r="B15290" s="2" t="str">
        <f>IFERROR(__xludf.DUMMYFUNCTION("GOOGLETRANSLATE(A15290, ""de"", ""en"")"),"whines")</f>
        <v>whines</v>
      </c>
    </row>
    <row r="15291">
      <c r="A15291" s="1" t="s">
        <v>15290</v>
      </c>
      <c r="B15291" s="2" t="str">
        <f>IFERROR(__xludf.DUMMYFUNCTION("GOOGLETRANSLATE(A15291, ""de"", ""en"")"),"swollen")</f>
        <v>swollen</v>
      </c>
    </row>
    <row r="15292">
      <c r="A15292" s="1" t="s">
        <v>15291</v>
      </c>
      <c r="B15292" s="2" t="str">
        <f>IFERROR(__xludf.DUMMYFUNCTION("GOOGLETRANSLATE(A15292, ""de"", ""en"")"),"listeners")</f>
        <v>listeners</v>
      </c>
    </row>
    <row r="15293">
      <c r="A15293" s="1" t="s">
        <v>15292</v>
      </c>
      <c r="B15293" s="2" t="str">
        <f>IFERROR(__xludf.DUMMYFUNCTION("GOOGLETRANSLATE(A15293, ""de"", ""en"")"),"Andrey")</f>
        <v>Andrey</v>
      </c>
    </row>
    <row r="15294">
      <c r="A15294" s="1" t="s">
        <v>15293</v>
      </c>
      <c r="B15294" s="2" t="str">
        <f>IFERROR(__xludf.DUMMYFUNCTION("GOOGLETRANSLATE(A15294, ""de"", ""en"")"),"alarmed")</f>
        <v>alarmed</v>
      </c>
    </row>
    <row r="15295">
      <c r="A15295" s="1" t="s">
        <v>15294</v>
      </c>
      <c r="B15295" s="2" t="str">
        <f>IFERROR(__xludf.DUMMYFUNCTION("GOOGLETRANSLATE(A15295, ""de"", ""en"")"),"wendell")</f>
        <v>wendell</v>
      </c>
    </row>
    <row r="15296">
      <c r="A15296" s="1" t="s">
        <v>15295</v>
      </c>
      <c r="B15296" s="2" t="str">
        <f>IFERROR(__xludf.DUMMYFUNCTION("GOOGLETRANSLATE(A15296, ""de"", ""en"")"),"court")</f>
        <v>court</v>
      </c>
    </row>
    <row r="15297">
      <c r="A15297" s="1" t="s">
        <v>15296</v>
      </c>
      <c r="B15297" s="2" t="str">
        <f>IFERROR(__xludf.DUMMYFUNCTION("GOOGLETRANSLATE(A15297, ""de"", ""en"")"),"plan")</f>
        <v>plan</v>
      </c>
    </row>
    <row r="15298">
      <c r="A15298" s="1" t="s">
        <v>15297</v>
      </c>
      <c r="B15298" s="2" t="str">
        <f>IFERROR(__xludf.DUMMYFUNCTION("GOOGLETRANSLATE(A15298, ""de"", ""en"")"),"rituals")</f>
        <v>rituals</v>
      </c>
    </row>
    <row r="15299">
      <c r="A15299" s="1" t="s">
        <v>15298</v>
      </c>
      <c r="B15299" s="2" t="str">
        <f>IFERROR(__xludf.DUMMYFUNCTION("GOOGLETRANSLATE(A15299, ""de"", ""en"")"),"fascinating")</f>
        <v>fascinating</v>
      </c>
    </row>
    <row r="15300">
      <c r="A15300" s="1" t="s">
        <v>15299</v>
      </c>
      <c r="B15300" s="2" t="str">
        <f>IFERROR(__xludf.DUMMYFUNCTION("GOOGLETRANSLATE(A15300, ""de"", ""en"")"),"try")</f>
        <v>try</v>
      </c>
    </row>
    <row r="15301">
      <c r="A15301" s="1" t="s">
        <v>15300</v>
      </c>
      <c r="B15301" s="2" t="str">
        <f>IFERROR(__xludf.DUMMYFUNCTION("GOOGLETRANSLATE(A15301, ""de"", ""en"")"),"lyndsey")</f>
        <v>lyndsey</v>
      </c>
    </row>
    <row r="15302">
      <c r="A15302" s="1" t="s">
        <v>15301</v>
      </c>
      <c r="B15302" s="2" t="str">
        <f>IFERROR(__xludf.DUMMYFUNCTION("GOOGLETRANSLATE(A15302, ""de"", ""en"")"),"pajamas")</f>
        <v>pajamas</v>
      </c>
    </row>
    <row r="15303">
      <c r="A15303" s="1" t="s">
        <v>15302</v>
      </c>
      <c r="B15303" s="2" t="str">
        <f>IFERROR(__xludf.DUMMYFUNCTION("GOOGLETRANSLATE(A15303, ""de"", ""en"")"),"reasonable")</f>
        <v>reasonable</v>
      </c>
    </row>
    <row r="15304">
      <c r="A15304" s="1" t="s">
        <v>15303</v>
      </c>
      <c r="B15304" s="2" t="str">
        <f>IFERROR(__xludf.DUMMYFUNCTION("GOOGLETRANSLATE(A15304, ""de"", ""en"")"),"left behind")</f>
        <v>left behind</v>
      </c>
    </row>
    <row r="15305">
      <c r="A15305" s="1" t="s">
        <v>15304</v>
      </c>
      <c r="B15305" s="2" t="str">
        <f>IFERROR(__xludf.DUMMYFUNCTION("GOOGLETRANSLATE(A15305, ""de"", ""en"")"),"fear of death")</f>
        <v>fear of death</v>
      </c>
    </row>
    <row r="15306">
      <c r="A15306" s="1" t="s">
        <v>15305</v>
      </c>
      <c r="B15306" s="2" t="str">
        <f>IFERROR(__xludf.DUMMYFUNCTION("GOOGLETRANSLATE(A15306, ""de"", ""en"")"),"classic")</f>
        <v>classic</v>
      </c>
    </row>
    <row r="15307">
      <c r="A15307" s="1" t="s">
        <v>15306</v>
      </c>
      <c r="B15307" s="2" t="str">
        <f>IFERROR(__xludf.DUMMYFUNCTION("GOOGLETRANSLATE(A15307, ""de"", ""en"")"),"guest of honor")</f>
        <v>guest of honor</v>
      </c>
    </row>
    <row r="15308">
      <c r="A15308" s="1" t="s">
        <v>15307</v>
      </c>
      <c r="B15308" s="2" t="str">
        <f>IFERROR(__xludf.DUMMYFUNCTION("GOOGLETRANSLATE(A15308, ""de"", ""en"")"),"magic")</f>
        <v>magic</v>
      </c>
    </row>
    <row r="15309">
      <c r="A15309" s="1" t="s">
        <v>15308</v>
      </c>
      <c r="B15309" s="2" t="str">
        <f>IFERROR(__xludf.DUMMYFUNCTION("GOOGLETRANSLATE(A15309, ""de"", ""en"")"),"payday")</f>
        <v>payday</v>
      </c>
    </row>
    <row r="15310">
      <c r="A15310" s="1" t="s">
        <v>15309</v>
      </c>
      <c r="B15310" s="2" t="str">
        <f>IFERROR(__xludf.DUMMYFUNCTION("GOOGLETRANSLATE(A15310, ""de"", ""en"")"),"prettiest")</f>
        <v>prettiest</v>
      </c>
    </row>
    <row r="15311">
      <c r="A15311" s="1" t="s">
        <v>15310</v>
      </c>
      <c r="B15311" s="2" t="str">
        <f>IFERROR(__xludf.DUMMYFUNCTION("GOOGLETRANSLATE(A15311, ""de"", ""en"")"),"cello")</f>
        <v>cello</v>
      </c>
    </row>
    <row r="15312">
      <c r="A15312" s="1" t="s">
        <v>15311</v>
      </c>
      <c r="B15312" s="2" t="str">
        <f>IFERROR(__xludf.DUMMYFUNCTION("GOOGLETRANSLATE(A15312, ""de"", ""en"")"),"dismayed")</f>
        <v>dismayed</v>
      </c>
    </row>
    <row r="15313">
      <c r="A15313" s="1" t="s">
        <v>15312</v>
      </c>
      <c r="B15313" s="2" t="str">
        <f>IFERROR(__xludf.DUMMYFUNCTION("GOOGLETRANSLATE(A15313, ""de"", ""en"")"),"contradicts")</f>
        <v>contradicts</v>
      </c>
    </row>
    <row r="15314">
      <c r="A15314" s="1" t="s">
        <v>15313</v>
      </c>
      <c r="B15314" s="2" t="str">
        <f>IFERROR(__xludf.DUMMYFUNCTION("GOOGLETRANSLATE(A15314, ""de"", ""en"")"),"overdrawn")</f>
        <v>overdrawn</v>
      </c>
    </row>
    <row r="15315">
      <c r="A15315" s="1" t="s">
        <v>15314</v>
      </c>
      <c r="B15315" s="2" t="str">
        <f>IFERROR(__xludf.DUMMYFUNCTION("GOOGLETRANSLATE(A15315, ""de"", ""en"")"),"tenth")</f>
        <v>tenth</v>
      </c>
    </row>
    <row r="15316">
      <c r="A15316" s="1" t="s">
        <v>15315</v>
      </c>
      <c r="B15316" s="2" t="str">
        <f>IFERROR(__xludf.DUMMYFUNCTION("GOOGLETRANSLATE(A15316, ""de"", ""en"")"),"sea")</f>
        <v>sea</v>
      </c>
    </row>
    <row r="15317">
      <c r="A15317" s="1" t="s">
        <v>15316</v>
      </c>
      <c r="B15317" s="2" t="str">
        <f>IFERROR(__xludf.DUMMYFUNCTION("GOOGLETRANSLATE(A15317, ""de"", ""en"")"),"whims")</f>
        <v>whims</v>
      </c>
    </row>
    <row r="15318">
      <c r="A15318" s="1" t="s">
        <v>15317</v>
      </c>
      <c r="B15318" s="2" t="str">
        <f>IFERROR(__xludf.DUMMYFUNCTION("GOOGLETRANSLATE(A15318, ""de"", ""en"")"),"snack")</f>
        <v>snack</v>
      </c>
    </row>
    <row r="15319">
      <c r="A15319" s="1" t="s">
        <v>15318</v>
      </c>
      <c r="B15319" s="2" t="str">
        <f>IFERROR(__xludf.DUMMYFUNCTION("GOOGLETRANSLATE(A15319, ""de"", ""en"")"),"aj")</f>
        <v>aj</v>
      </c>
    </row>
    <row r="15320">
      <c r="A15320" s="1" t="s">
        <v>15319</v>
      </c>
      <c r="B15320" s="2" t="str">
        <f>IFERROR(__xludf.DUMMYFUNCTION("GOOGLETRANSLATE(A15320, ""de"", ""en"")"),"casa")</f>
        <v>casa</v>
      </c>
    </row>
    <row r="15321">
      <c r="A15321" s="1" t="s">
        <v>15320</v>
      </c>
      <c r="B15321" s="2" t="str">
        <f>IFERROR(__xludf.DUMMYFUNCTION("GOOGLETRANSLATE(A15321, ""de"", ""en"")"),"chalk")</f>
        <v>chalk</v>
      </c>
    </row>
    <row r="15322">
      <c r="A15322" s="1" t="s">
        <v>15321</v>
      </c>
      <c r="B15322" s="2" t="str">
        <f>IFERROR(__xludf.DUMMYFUNCTION("GOOGLETRANSLATE(A15322, ""de"", ""en"")"),"lyon")</f>
        <v>lyon</v>
      </c>
    </row>
    <row r="15323">
      <c r="A15323" s="1" t="s">
        <v>15322</v>
      </c>
      <c r="B15323" s="2" t="str">
        <f>IFERROR(__xludf.DUMMYFUNCTION("GOOGLETRANSLATE(A15323, ""de"", ""en"")"),"hack")</f>
        <v>hack</v>
      </c>
    </row>
    <row r="15324">
      <c r="A15324" s="1" t="s">
        <v>15323</v>
      </c>
      <c r="B15324" s="2" t="str">
        <f>IFERROR(__xludf.DUMMYFUNCTION("GOOGLETRANSLATE(A15324, ""de"", ""en"")"),"fisk")</f>
        <v>fisk</v>
      </c>
    </row>
    <row r="15325">
      <c r="A15325" s="1" t="s">
        <v>15324</v>
      </c>
      <c r="B15325" s="2" t="str">
        <f>IFERROR(__xludf.DUMMYFUNCTION("GOOGLETRANSLATE(A15325, ""de"", ""en"")"),"racetrack")</f>
        <v>racetrack</v>
      </c>
    </row>
    <row r="15326">
      <c r="A15326" s="1" t="s">
        <v>15325</v>
      </c>
      <c r="B15326" s="2" t="str">
        <f>IFERROR(__xludf.DUMMYFUNCTION("GOOGLETRANSLATE(A15326, ""de"", ""en"")"),"drunkenness")</f>
        <v>drunkenness</v>
      </c>
    </row>
    <row r="15327">
      <c r="A15327" s="1" t="s">
        <v>15326</v>
      </c>
      <c r="B15327" s="2" t="str">
        <f>IFERROR(__xludf.DUMMYFUNCTION("GOOGLETRANSLATE(A15327, ""de"", ""en"")"),"anyway")</f>
        <v>anyway</v>
      </c>
    </row>
    <row r="15328">
      <c r="A15328" s="1" t="s">
        <v>15327</v>
      </c>
      <c r="B15328" s="2" t="str">
        <f>IFERROR(__xludf.DUMMYFUNCTION("GOOGLETRANSLATE(A15328, ""de"", ""en"")"),"requested")</f>
        <v>requested</v>
      </c>
    </row>
    <row r="15329">
      <c r="A15329" s="1" t="s">
        <v>15328</v>
      </c>
      <c r="B15329" s="2" t="str">
        <f>IFERROR(__xludf.DUMMYFUNCTION("GOOGLETRANSLATE(A15329, ""de"", ""en"")"),"business trip")</f>
        <v>business trip</v>
      </c>
    </row>
    <row r="15330">
      <c r="A15330" s="1" t="s">
        <v>15329</v>
      </c>
      <c r="B15330" s="2" t="str">
        <f>IFERROR(__xludf.DUMMYFUNCTION("GOOGLETRANSLATE(A15330, ""de"", ""en"")"),"pine")</f>
        <v>pine</v>
      </c>
    </row>
    <row r="15331">
      <c r="A15331" s="1" t="s">
        <v>15330</v>
      </c>
      <c r="B15331" s="2" t="str">
        <f>IFERROR(__xludf.DUMMYFUNCTION("GOOGLETRANSLATE(A15331, ""de"", ""en"")"),"nurses")</f>
        <v>nurses</v>
      </c>
    </row>
    <row r="15332">
      <c r="A15332" s="1" t="s">
        <v>15331</v>
      </c>
      <c r="B15332" s="2" t="str">
        <f>IFERROR(__xludf.DUMMYFUNCTION("GOOGLETRANSLATE(A15332, ""de"", ""en"")"),"shared")</f>
        <v>shared</v>
      </c>
    </row>
    <row r="15333">
      <c r="A15333" s="1" t="s">
        <v>15332</v>
      </c>
      <c r="B15333" s="2" t="str">
        <f>IFERROR(__xludf.DUMMYFUNCTION("GOOGLETRANSLATE(A15333, ""de"", ""en"")"),"covered up")</f>
        <v>covered up</v>
      </c>
    </row>
    <row r="15334">
      <c r="A15334" s="1" t="s">
        <v>15333</v>
      </c>
      <c r="B15334" s="2" t="str">
        <f>IFERROR(__xludf.DUMMYFUNCTION("GOOGLETRANSLATE(A15334, ""de"", ""en"")"),"fellow human beings")</f>
        <v>fellow human beings</v>
      </c>
    </row>
    <row r="15335">
      <c r="A15335" s="1" t="s">
        <v>15334</v>
      </c>
      <c r="B15335" s="2" t="str">
        <f>IFERROR(__xludf.DUMMYFUNCTION("GOOGLETRANSLATE(A15335, ""de"", ""en"")"),"excellent")</f>
        <v>excellent</v>
      </c>
    </row>
    <row r="15336">
      <c r="A15336" s="1" t="s">
        <v>15335</v>
      </c>
      <c r="B15336" s="2" t="str">
        <f>IFERROR(__xludf.DUMMYFUNCTION("GOOGLETRANSLATE(A15336, ""de"", ""en"")"),"localized")</f>
        <v>localized</v>
      </c>
    </row>
    <row r="15337">
      <c r="A15337" s="1" t="s">
        <v>15336</v>
      </c>
      <c r="B15337" s="2" t="str">
        <f>IFERROR(__xludf.DUMMYFUNCTION("GOOGLETRANSLATE(A15337, ""de"", ""en"")"),"together")</f>
        <v>together</v>
      </c>
    </row>
    <row r="15338">
      <c r="A15338" s="1" t="s">
        <v>15337</v>
      </c>
      <c r="B15338" s="2" t="str">
        <f>IFERROR(__xludf.DUMMYFUNCTION("GOOGLETRANSLATE(A15338, ""de"", ""en"")"),"inserted")</f>
        <v>inserted</v>
      </c>
    </row>
    <row r="15339">
      <c r="A15339" s="1" t="s">
        <v>15338</v>
      </c>
      <c r="B15339" s="2" t="str">
        <f>IFERROR(__xludf.DUMMYFUNCTION("GOOGLETRANSLATE(A15339, ""de"", ""en"")"),"brother")</f>
        <v>brother</v>
      </c>
    </row>
    <row r="15340">
      <c r="A15340" s="1" t="s">
        <v>15339</v>
      </c>
      <c r="B15340" s="2" t="str">
        <f>IFERROR(__xludf.DUMMYFUNCTION("GOOGLETRANSLATE(A15340, ""de"", ""en"")"),"come back")</f>
        <v>come back</v>
      </c>
    </row>
    <row r="15341">
      <c r="A15341" s="1" t="s">
        <v>15340</v>
      </c>
      <c r="B15341" s="2" t="str">
        <f>IFERROR(__xludf.DUMMYFUNCTION("GOOGLETRANSLATE(A15341, ""de"", ""en"")"),"grace")</f>
        <v>grace</v>
      </c>
    </row>
    <row r="15342">
      <c r="A15342" s="1" t="s">
        <v>15341</v>
      </c>
      <c r="B15342" s="2" t="str">
        <f>IFERROR(__xludf.DUMMYFUNCTION("GOOGLETRANSLATE(A15342, ""de"", ""en"")"),"trusted")</f>
        <v>trusted</v>
      </c>
    </row>
    <row r="15343">
      <c r="A15343" s="1" t="s">
        <v>15342</v>
      </c>
      <c r="B15343" s="2" t="str">
        <f>IFERROR(__xludf.DUMMYFUNCTION("GOOGLETRANSLATE(A15343, ""de"", ""en"")"),"geordi")</f>
        <v>geordi</v>
      </c>
    </row>
    <row r="15344">
      <c r="A15344" s="1" t="s">
        <v>15343</v>
      </c>
      <c r="B15344" s="2" t="str">
        <f>IFERROR(__xludf.DUMMYFUNCTION("GOOGLETRANSLATE(A15344, ""de"", ""en"")"),"crash")</f>
        <v>crash</v>
      </c>
    </row>
    <row r="15345">
      <c r="A15345" s="1" t="s">
        <v>15344</v>
      </c>
      <c r="B15345" s="2" t="str">
        <f>IFERROR(__xludf.DUMMYFUNCTION("GOOGLETRANSLATE(A15345, ""de"", ""en"")"),"unbeatable")</f>
        <v>unbeatable</v>
      </c>
    </row>
    <row r="15346">
      <c r="A15346" s="1" t="s">
        <v>15345</v>
      </c>
      <c r="B15346" s="2" t="str">
        <f>IFERROR(__xludf.DUMMYFUNCTION("GOOGLETRANSLATE(A15346, ""de"", ""en"")"),"nan")</f>
        <v>nan</v>
      </c>
    </row>
    <row r="15347">
      <c r="A15347" s="1" t="s">
        <v>15346</v>
      </c>
      <c r="B15347" s="2" t="str">
        <f>IFERROR(__xludf.DUMMYFUNCTION("GOOGLETRANSLATE(A15347, ""de"", ""en"")"),"note")</f>
        <v>note</v>
      </c>
    </row>
    <row r="15348">
      <c r="A15348" s="1" t="s">
        <v>15347</v>
      </c>
      <c r="B15348" s="2" t="str">
        <f>IFERROR(__xludf.DUMMYFUNCTION("GOOGLETRANSLATE(A15348, ""de"", ""en"")"),"angels")</f>
        <v>angels</v>
      </c>
    </row>
    <row r="15349">
      <c r="A15349" s="1" t="s">
        <v>15348</v>
      </c>
      <c r="B15349" s="2" t="str">
        <f>IFERROR(__xludf.DUMMYFUNCTION("GOOGLETRANSLATE(A15349, ""de"", ""en"")"),"Alvin")</f>
        <v>Alvin</v>
      </c>
    </row>
    <row r="15350">
      <c r="A15350" s="1" t="s">
        <v>15349</v>
      </c>
      <c r="B15350" s="2" t="str">
        <f>IFERROR(__xludf.DUMMYFUNCTION("GOOGLETRANSLATE(A15350, ""de"", ""en"")"),"connors")</f>
        <v>connors</v>
      </c>
    </row>
    <row r="15351">
      <c r="A15351" s="1" t="s">
        <v>15350</v>
      </c>
      <c r="B15351" s="2" t="str">
        <f>IFERROR(__xludf.DUMMYFUNCTION("GOOGLETRANSLATE(A15351, ""de"", ""en"")"),"civilian")</f>
        <v>civilian</v>
      </c>
    </row>
    <row r="15352">
      <c r="A15352" s="1" t="s">
        <v>15351</v>
      </c>
      <c r="B15352" s="2" t="str">
        <f>IFERROR(__xludf.DUMMYFUNCTION("GOOGLETRANSLATE(A15352, ""de"", ""en"")"),"farewell")</f>
        <v>farewell</v>
      </c>
    </row>
    <row r="15353">
      <c r="A15353" s="1" t="s">
        <v>15352</v>
      </c>
      <c r="B15353" s="2" t="str">
        <f>IFERROR(__xludf.DUMMYFUNCTION("GOOGLETRANSLATE(A15353, ""de"", ""en"")"),"retirement home")</f>
        <v>retirement home</v>
      </c>
    </row>
    <row r="15354">
      <c r="A15354" s="1" t="s">
        <v>15353</v>
      </c>
      <c r="B15354" s="2" t="str">
        <f>IFERROR(__xludf.DUMMYFUNCTION("GOOGLETRANSLATE(A15354, ""de"", ""en"")"),"reef")</f>
        <v>reef</v>
      </c>
    </row>
    <row r="15355">
      <c r="A15355" s="1" t="s">
        <v>15354</v>
      </c>
      <c r="B15355" s="2" t="str">
        <f>IFERROR(__xludf.DUMMYFUNCTION("GOOGLETRANSLATE(A15355, ""de"", ""en"")"),"thigh")</f>
        <v>thigh</v>
      </c>
    </row>
    <row r="15356">
      <c r="A15356" s="1" t="s">
        <v>15355</v>
      </c>
      <c r="B15356" s="2" t="str">
        <f>IFERROR(__xludf.DUMMYFUNCTION("GOOGLETRANSLATE(A15356, ""de"", ""en"")"),"abuse")</f>
        <v>abuse</v>
      </c>
    </row>
    <row r="15357">
      <c r="A15357" s="1" t="s">
        <v>15356</v>
      </c>
      <c r="B15357" s="2" t="str">
        <f>IFERROR(__xludf.DUMMYFUNCTION("GOOGLETRANSLATE(A15357, ""de"", ""en"")"),"unreasonable")</f>
        <v>unreasonable</v>
      </c>
    </row>
    <row r="15358">
      <c r="A15358" s="1" t="s">
        <v>15357</v>
      </c>
      <c r="B15358" s="2" t="str">
        <f>IFERROR(__xludf.DUMMYFUNCTION("GOOGLETRANSLATE(A15358, ""de"", ""en"")"),"pie")</f>
        <v>pie</v>
      </c>
    </row>
    <row r="15359">
      <c r="A15359" s="1" t="s">
        <v>15358</v>
      </c>
      <c r="B15359" s="2" t="str">
        <f>IFERROR(__xludf.DUMMYFUNCTION("GOOGLETRANSLATE(A15359, ""de"", ""en"")"),"weakling")</f>
        <v>weakling</v>
      </c>
    </row>
    <row r="15360">
      <c r="A15360" s="1" t="s">
        <v>15359</v>
      </c>
      <c r="B15360" s="2" t="str">
        <f>IFERROR(__xludf.DUMMYFUNCTION("GOOGLETRANSLATE(A15360, ""de"", ""en"")"),"encourage")</f>
        <v>encourage</v>
      </c>
    </row>
    <row r="15361">
      <c r="A15361" s="1" t="s">
        <v>15360</v>
      </c>
      <c r="B15361" s="2" t="str">
        <f>IFERROR(__xludf.DUMMYFUNCTION("GOOGLETRANSLATE(A15361, ""de"", ""en"")"),"went out")</f>
        <v>went out</v>
      </c>
    </row>
    <row r="15362">
      <c r="A15362" s="1" t="s">
        <v>15361</v>
      </c>
      <c r="B15362" s="2" t="str">
        <f>IFERROR(__xludf.DUMMYFUNCTION("GOOGLETRANSLATE(A15362, ""de"", ""en"")"),"happen")</f>
        <v>happen</v>
      </c>
    </row>
    <row r="15363">
      <c r="A15363" s="1" t="s">
        <v>15362</v>
      </c>
      <c r="B15363" s="2" t="str">
        <f>IFERROR(__xludf.DUMMYFUNCTION("GOOGLETRANSLATE(A15363, ""de"", ""en"")"),"flirted")</f>
        <v>flirted</v>
      </c>
    </row>
    <row r="15364">
      <c r="A15364" s="1" t="s">
        <v>15363</v>
      </c>
      <c r="B15364" s="2" t="str">
        <f>IFERROR(__xludf.DUMMYFUNCTION("GOOGLETRANSLATE(A15364, ""de"", ""en"")"),"real")</f>
        <v>real</v>
      </c>
    </row>
    <row r="15365">
      <c r="A15365" s="1" t="s">
        <v>15364</v>
      </c>
      <c r="B15365" s="2" t="str">
        <f>IFERROR(__xludf.DUMMYFUNCTION("GOOGLETRANSLATE(A15365, ""de"", ""en"")"),"pulled here")</f>
        <v>pulled here</v>
      </c>
    </row>
    <row r="15366">
      <c r="A15366" s="1" t="s">
        <v>15365</v>
      </c>
      <c r="B15366" s="2" t="str">
        <f>IFERROR(__xludf.DUMMYFUNCTION("GOOGLETRANSLATE(A15366, ""de"", ""en"")"),"enormous")</f>
        <v>enormous</v>
      </c>
    </row>
    <row r="15367">
      <c r="A15367" s="1" t="s">
        <v>15366</v>
      </c>
      <c r="B15367" s="2" t="str">
        <f>IFERROR(__xludf.DUMMYFUNCTION("GOOGLETRANSLATE(A15367, ""de"", ""en"")"),"roller coaster")</f>
        <v>roller coaster</v>
      </c>
    </row>
    <row r="15368">
      <c r="A15368" s="1" t="s">
        <v>15367</v>
      </c>
      <c r="B15368" s="2" t="str">
        <f>IFERROR(__xludf.DUMMYFUNCTION("GOOGLETRANSLATE(A15368, ""de"", ""en"")"),"burned down")</f>
        <v>burned down</v>
      </c>
    </row>
    <row r="15369">
      <c r="A15369" s="1" t="s">
        <v>15368</v>
      </c>
      <c r="B15369" s="2" t="str">
        <f>IFERROR(__xludf.DUMMYFUNCTION("GOOGLETRANSLATE(A15369, ""de"", ""en"")"),"gap")</f>
        <v>gap</v>
      </c>
    </row>
    <row r="15370">
      <c r="A15370" s="1" t="s">
        <v>15369</v>
      </c>
      <c r="B15370" s="2" t="str">
        <f>IFERROR(__xludf.DUMMYFUNCTION("GOOGLETRANSLATE(A15370, ""de"", ""en"")"),"parking garage")</f>
        <v>parking garage</v>
      </c>
    </row>
    <row r="15371">
      <c r="A15371" s="1" t="s">
        <v>15370</v>
      </c>
      <c r="B15371" s="2" t="str">
        <f>IFERROR(__xludf.DUMMYFUNCTION("GOOGLETRANSLATE(A15371, ""de"", ""en"")"),"essential")</f>
        <v>essential</v>
      </c>
    </row>
    <row r="15372">
      <c r="A15372" s="1" t="s">
        <v>15371</v>
      </c>
      <c r="B15372" s="2" t="str">
        <f>IFERROR(__xludf.DUMMYFUNCTION("GOOGLETRANSLATE(A15372, ""de"", ""en"")"),"hamster")</f>
        <v>hamster</v>
      </c>
    </row>
    <row r="15373">
      <c r="A15373" s="1" t="s">
        <v>15372</v>
      </c>
      <c r="B15373" s="2" t="str">
        <f>IFERROR(__xludf.DUMMYFUNCTION("GOOGLETRANSLATE(A15373, ""de"", ""en"")"),"entrepreneur")</f>
        <v>entrepreneur</v>
      </c>
    </row>
    <row r="15374">
      <c r="A15374" s="1" t="s">
        <v>15373</v>
      </c>
      <c r="B15374" s="2" t="str">
        <f>IFERROR(__xludf.DUMMYFUNCTION("GOOGLETRANSLATE(A15374, ""de"", ""en"")"),"saved")</f>
        <v>saved</v>
      </c>
    </row>
    <row r="15375">
      <c r="A15375" s="1" t="s">
        <v>15374</v>
      </c>
      <c r="B15375" s="2" t="str">
        <f>IFERROR(__xludf.DUMMYFUNCTION("GOOGLETRANSLATE(A15375, ""de"", ""en"")"),"dragged")</f>
        <v>dragged</v>
      </c>
    </row>
    <row r="15376">
      <c r="A15376" s="1" t="s">
        <v>15375</v>
      </c>
      <c r="B15376" s="2" t="str">
        <f>IFERROR(__xludf.DUMMYFUNCTION("GOOGLETRANSLATE(A15376, ""de"", ""en"")"),"Casanova")</f>
        <v>Casanova</v>
      </c>
    </row>
    <row r="15377">
      <c r="A15377" s="1" t="s">
        <v>15376</v>
      </c>
      <c r="B15377" s="2" t="str">
        <f>IFERROR(__xludf.DUMMYFUNCTION("GOOGLETRANSLATE(A15377, ""de"", ""en"")"),"charged")</f>
        <v>charged</v>
      </c>
    </row>
    <row r="15378">
      <c r="A15378" s="1" t="s">
        <v>15377</v>
      </c>
      <c r="B15378" s="2" t="str">
        <f>IFERROR(__xludf.DUMMYFUNCTION("GOOGLETRANSLATE(A15378, ""de"", ""en"")"),"grew up")</f>
        <v>grew up</v>
      </c>
    </row>
    <row r="15379">
      <c r="A15379" s="1" t="s">
        <v>15378</v>
      </c>
      <c r="B15379" s="2" t="str">
        <f>IFERROR(__xludf.DUMMYFUNCTION("GOOGLETRANSLATE(A15379, ""de"", ""en"")"),"panicked")</f>
        <v>panicked</v>
      </c>
    </row>
    <row r="15380">
      <c r="A15380" s="1" t="s">
        <v>15379</v>
      </c>
      <c r="B15380" s="2" t="str">
        <f>IFERROR(__xludf.DUMMYFUNCTION("GOOGLETRANSLATE(A15380, ""de"", ""en"")"),"machine")</f>
        <v>machine</v>
      </c>
    </row>
    <row r="15381">
      <c r="A15381" s="1" t="s">
        <v>15380</v>
      </c>
      <c r="B15381" s="2" t="str">
        <f>IFERROR(__xludf.DUMMYFUNCTION("GOOGLETRANSLATE(A15381, ""de"", ""en"")"),"shine")</f>
        <v>shine</v>
      </c>
    </row>
    <row r="15382">
      <c r="A15382" s="1" t="s">
        <v>15381</v>
      </c>
      <c r="B15382" s="2" t="str">
        <f>IFERROR(__xludf.DUMMYFUNCTION("GOOGLETRANSLATE(A15382, ""de"", ""en"")"),"decent")</f>
        <v>decent</v>
      </c>
    </row>
    <row r="15383">
      <c r="A15383" s="1" t="s">
        <v>15382</v>
      </c>
      <c r="B15383" s="2" t="str">
        <f>IFERROR(__xludf.DUMMYFUNCTION("GOOGLETRANSLATE(A15383, ""de"", ""en"")"),"murder")</f>
        <v>murder</v>
      </c>
    </row>
    <row r="15384">
      <c r="A15384" s="1" t="s">
        <v>15383</v>
      </c>
      <c r="B15384" s="2" t="str">
        <f>IFERROR(__xludf.DUMMYFUNCTION("GOOGLETRANSLATE(A15384, ""de"", ""en"")"),"Atlantic")</f>
        <v>Atlantic</v>
      </c>
    </row>
    <row r="15385">
      <c r="A15385" s="1" t="s">
        <v>15384</v>
      </c>
      <c r="B15385" s="2" t="str">
        <f>IFERROR(__xludf.DUMMYFUNCTION("GOOGLETRANSLATE(A15385, ""de"", ""en"")"),"messed up")</f>
        <v>messed up</v>
      </c>
    </row>
    <row r="15386">
      <c r="A15386" s="1" t="s">
        <v>15385</v>
      </c>
      <c r="B15386" s="2" t="str">
        <f>IFERROR(__xludf.DUMMYFUNCTION("GOOGLETRANSLATE(A15386, ""de"", ""en"")"),"ladyship")</f>
        <v>ladyship</v>
      </c>
    </row>
    <row r="15387">
      <c r="A15387" s="1" t="s">
        <v>15386</v>
      </c>
      <c r="B15387" s="2" t="str">
        <f>IFERROR(__xludf.DUMMYFUNCTION("GOOGLETRANSLATE(A15387, ""de"", ""en"")"),"paint brush")</f>
        <v>paint brush</v>
      </c>
    </row>
    <row r="15388">
      <c r="A15388" s="1" t="s">
        <v>15387</v>
      </c>
      <c r="B15388" s="2" t="str">
        <f>IFERROR(__xludf.DUMMYFUNCTION("GOOGLETRANSLATE(A15388, ""de"", ""en"")"),"por")</f>
        <v>por</v>
      </c>
    </row>
    <row r="15389">
      <c r="A15389" s="1" t="s">
        <v>15388</v>
      </c>
      <c r="B15389" s="2" t="str">
        <f>IFERROR(__xludf.DUMMYFUNCTION("GOOGLETRANSLATE(A15389, ""de"", ""en"")"),"choose")</f>
        <v>choose</v>
      </c>
    </row>
    <row r="15390">
      <c r="A15390" s="1" t="s">
        <v>15389</v>
      </c>
      <c r="B15390" s="2" t="str">
        <f>IFERROR(__xludf.DUMMYFUNCTION("GOOGLETRANSLATE(A15390, ""de"", ""en"")"),"caffeine")</f>
        <v>caffeine</v>
      </c>
    </row>
    <row r="15391">
      <c r="A15391" s="1" t="s">
        <v>15390</v>
      </c>
      <c r="B15391" s="2" t="str">
        <f>IFERROR(__xludf.DUMMYFUNCTION("GOOGLETRANSLATE(A15391, ""de"", ""en"")"),"col")</f>
        <v>col</v>
      </c>
    </row>
    <row r="15392">
      <c r="A15392" s="1" t="s">
        <v>15391</v>
      </c>
      <c r="B15392" s="2" t="str">
        <f>IFERROR(__xludf.DUMMYFUNCTION("GOOGLETRANSLATE(A15392, ""de"", ""en"")"),"you defend")</f>
        <v>you defend</v>
      </c>
    </row>
    <row r="15393">
      <c r="A15393" s="1" t="s">
        <v>15392</v>
      </c>
      <c r="B15393" s="2" t="str">
        <f>IFERROR(__xludf.DUMMYFUNCTION("GOOGLETRANSLATE(A15393, ""de"", ""en"")"),"pervert")</f>
        <v>pervert</v>
      </c>
    </row>
    <row r="15394">
      <c r="A15394" s="1" t="s">
        <v>15393</v>
      </c>
      <c r="B15394" s="2" t="str">
        <f>IFERROR(__xludf.DUMMYFUNCTION("GOOGLETRANSLATE(A15394, ""de"", ""en"")"),"gaps")</f>
        <v>gaps</v>
      </c>
    </row>
    <row r="15395">
      <c r="A15395" s="1" t="s">
        <v>15394</v>
      </c>
      <c r="B15395" s="2" t="str">
        <f>IFERROR(__xludf.DUMMYFUNCTION("GOOGLETRANSLATE(A15395, ""de"", ""en"")"),"to some extent")</f>
        <v>to some extent</v>
      </c>
    </row>
    <row r="15396">
      <c r="A15396" s="1" t="s">
        <v>15395</v>
      </c>
      <c r="B15396" s="2" t="str">
        <f>IFERROR(__xludf.DUMMYFUNCTION("GOOGLETRANSLATE(A15396, ""de"", ""en"")"),"healthier")</f>
        <v>healthier</v>
      </c>
    </row>
    <row r="15397">
      <c r="A15397" s="1" t="s">
        <v>15396</v>
      </c>
      <c r="B15397" s="2" t="str">
        <f>IFERROR(__xludf.DUMMYFUNCTION("GOOGLETRANSLATE(A15397, ""de"", ""en"")"),"che")</f>
        <v>che</v>
      </c>
    </row>
    <row r="15398">
      <c r="A15398" s="1" t="s">
        <v>15397</v>
      </c>
      <c r="B15398" s="2" t="str">
        <f>IFERROR(__xludf.DUMMYFUNCTION("GOOGLETRANSLATE(A15398, ""de"", ""en"")"),"swear")</f>
        <v>swear</v>
      </c>
    </row>
    <row r="15399">
      <c r="A15399" s="1" t="s">
        <v>15398</v>
      </c>
      <c r="B15399" s="2" t="str">
        <f>IFERROR(__xludf.DUMMYFUNCTION("GOOGLETRANSLATE(A15399, ""de"", ""en"")"),"bouncer")</f>
        <v>bouncer</v>
      </c>
    </row>
    <row r="15400">
      <c r="A15400" s="1" t="s">
        <v>15399</v>
      </c>
      <c r="B15400" s="2" t="str">
        <f>IFERROR(__xludf.DUMMYFUNCTION("GOOGLETRANSLATE(A15400, ""de"", ""en"")"),"guillaume")</f>
        <v>guillaume</v>
      </c>
    </row>
    <row r="15401">
      <c r="A15401" s="1" t="s">
        <v>15400</v>
      </c>
      <c r="B15401" s="2" t="str">
        <f>IFERROR(__xludf.DUMMYFUNCTION("GOOGLETRANSLATE(A15401, ""de"", ""en"")"),"Wow")</f>
        <v>Wow</v>
      </c>
    </row>
    <row r="15402">
      <c r="A15402" s="1" t="s">
        <v>15401</v>
      </c>
      <c r="B15402" s="2" t="str">
        <f>IFERROR(__xludf.DUMMYFUNCTION("GOOGLETRANSLATE(A15402, ""de"", ""en"")"),"stitches")</f>
        <v>stitches</v>
      </c>
    </row>
    <row r="15403">
      <c r="A15403" s="1" t="s">
        <v>15402</v>
      </c>
      <c r="B15403" s="2" t="str">
        <f>IFERROR(__xludf.DUMMYFUNCTION("GOOGLETRANSLATE(A15403, ""de"", ""en"")"),"blizzard")</f>
        <v>blizzard</v>
      </c>
    </row>
    <row r="15404">
      <c r="A15404" s="1" t="s">
        <v>15403</v>
      </c>
      <c r="B15404" s="2" t="str">
        <f>IFERROR(__xludf.DUMMYFUNCTION("GOOGLETRANSLATE(A15404, ""de"", ""en"")"),"pull out")</f>
        <v>pull out</v>
      </c>
    </row>
    <row r="15405">
      <c r="A15405" s="1" t="s">
        <v>15404</v>
      </c>
      <c r="B15405" s="2" t="str">
        <f>IFERROR(__xludf.DUMMYFUNCTION("GOOGLETRANSLATE(A15405, ""de"", ""en"")"),"Luke")</f>
        <v>Luke</v>
      </c>
    </row>
    <row r="15406">
      <c r="A15406" s="1" t="s">
        <v>15405</v>
      </c>
      <c r="B15406" s="2" t="str">
        <f>IFERROR(__xludf.DUMMYFUNCTION("GOOGLETRANSLATE(A15406, ""de"", ""en"")"),"controlled")</f>
        <v>controlled</v>
      </c>
    </row>
    <row r="15407">
      <c r="A15407" s="1" t="s">
        <v>15406</v>
      </c>
      <c r="B15407" s="2" t="str">
        <f>IFERROR(__xludf.DUMMYFUNCTION("GOOGLETRANSLATE(A15407, ""de"", ""en"")"),"puberty")</f>
        <v>puberty</v>
      </c>
    </row>
    <row r="15408">
      <c r="A15408" s="1" t="s">
        <v>15407</v>
      </c>
      <c r="B15408" s="2" t="str">
        <f>IFERROR(__xludf.DUMMYFUNCTION("GOOGLETRANSLATE(A15408, ""de"", ""en"")"),"arise")</f>
        <v>arise</v>
      </c>
    </row>
    <row r="15409">
      <c r="A15409" s="1" t="s">
        <v>15408</v>
      </c>
      <c r="B15409" s="2" t="str">
        <f>IFERROR(__xludf.DUMMYFUNCTION("GOOGLETRANSLATE(A15409, ""de"", ""en"")"),"sykes")</f>
        <v>sykes</v>
      </c>
    </row>
    <row r="15410">
      <c r="A15410" s="1" t="s">
        <v>15409</v>
      </c>
      <c r="B15410" s="2" t="str">
        <f>IFERROR(__xludf.DUMMYFUNCTION("GOOGLETRANSLATE(A15410, ""de"", ""en"")"),"counter")</f>
        <v>counter</v>
      </c>
    </row>
    <row r="15411">
      <c r="A15411" s="1" t="s">
        <v>15410</v>
      </c>
      <c r="B15411" s="2" t="str">
        <f>IFERROR(__xludf.DUMMYFUNCTION("GOOGLETRANSLATE(A15411, ""de"", ""en"")"),"mermaid")</f>
        <v>mermaid</v>
      </c>
    </row>
    <row r="15412">
      <c r="A15412" s="1" t="s">
        <v>15411</v>
      </c>
      <c r="B15412" s="2" t="str">
        <f>IFERROR(__xludf.DUMMYFUNCTION("GOOGLETRANSLATE(A15412, ""de"", ""en"")"),"outputs")</f>
        <v>outputs</v>
      </c>
    </row>
    <row r="15413">
      <c r="A15413" s="1" t="s">
        <v>15412</v>
      </c>
      <c r="B15413" s="2" t="str">
        <f>IFERROR(__xludf.DUMMYFUNCTION("GOOGLETRANSLATE(A15413, ""de"", ""en"")"),"propaganda")</f>
        <v>propaganda</v>
      </c>
    </row>
    <row r="15414">
      <c r="A15414" s="1" t="s">
        <v>15413</v>
      </c>
      <c r="B15414" s="2" t="str">
        <f>IFERROR(__xludf.DUMMYFUNCTION("GOOGLETRANSLATE(A15414, ""de"", ""en"")"),"bags")</f>
        <v>bags</v>
      </c>
    </row>
    <row r="15415">
      <c r="A15415" s="1" t="s">
        <v>15414</v>
      </c>
      <c r="B15415" s="2" t="str">
        <f>IFERROR(__xludf.DUMMYFUNCTION("GOOGLETRANSLATE(A15415, ""de"", ""en"")"),"foreign")</f>
        <v>foreign</v>
      </c>
    </row>
    <row r="15416">
      <c r="A15416" s="1" t="s">
        <v>15415</v>
      </c>
      <c r="B15416" s="2" t="str">
        <f>IFERROR(__xludf.DUMMYFUNCTION("GOOGLETRANSLATE(A15416, ""de"", ""en"")"),"engineers")</f>
        <v>engineers</v>
      </c>
    </row>
    <row r="15417">
      <c r="A15417" s="1" t="s">
        <v>15416</v>
      </c>
      <c r="B15417" s="2" t="str">
        <f>IFERROR(__xludf.DUMMYFUNCTION("GOOGLETRANSLATE(A15417, ""de"", ""en"")"),"entertained")</f>
        <v>entertained</v>
      </c>
    </row>
    <row r="15418">
      <c r="A15418" s="1" t="s">
        <v>15417</v>
      </c>
      <c r="B15418" s="2" t="str">
        <f>IFERROR(__xludf.DUMMYFUNCTION("GOOGLETRANSLATE(A15418, ""de"", ""en"")"),"zod")</f>
        <v>zod</v>
      </c>
    </row>
    <row r="15419">
      <c r="A15419" s="1" t="s">
        <v>15418</v>
      </c>
      <c r="B15419" s="2" t="str">
        <f>IFERROR(__xludf.DUMMYFUNCTION("GOOGLETRANSLATE(A15419, ""de"", ""en"")"),"most difficult")</f>
        <v>most difficult</v>
      </c>
    </row>
    <row r="15420">
      <c r="A15420" s="1" t="s">
        <v>15419</v>
      </c>
      <c r="B15420" s="2" t="str">
        <f>IFERROR(__xludf.DUMMYFUNCTION("GOOGLETRANSLATE(A15420, ""de"", ""en"")"),"maja")</f>
        <v>maja</v>
      </c>
    </row>
    <row r="15421">
      <c r="A15421" s="1" t="s">
        <v>15420</v>
      </c>
      <c r="B15421" s="2" t="str">
        <f>IFERROR(__xludf.DUMMYFUNCTION("GOOGLETRANSLATE(A15421, ""de"", ""en"")"),"apprentice")</f>
        <v>apprentice</v>
      </c>
    </row>
    <row r="15422">
      <c r="A15422" s="1" t="s">
        <v>15421</v>
      </c>
      <c r="B15422" s="2" t="str">
        <f>IFERROR(__xludf.DUMMYFUNCTION("GOOGLETRANSLATE(A15422, ""de"", ""en"")"),"bam")</f>
        <v>bam</v>
      </c>
    </row>
    <row r="15423">
      <c r="A15423" s="1" t="s">
        <v>15422</v>
      </c>
      <c r="B15423" s="2" t="str">
        <f>IFERROR(__xludf.DUMMYFUNCTION("GOOGLETRANSLATE(A15423, ""de"", ""en"")"),"wake up")</f>
        <v>wake up</v>
      </c>
    </row>
    <row r="15424">
      <c r="A15424" s="1" t="s">
        <v>15423</v>
      </c>
      <c r="B15424" s="2" t="str">
        <f>IFERROR(__xludf.DUMMYFUNCTION("GOOGLETRANSLATE(A15424, ""de"", ""en"")"),"crater")</f>
        <v>crater</v>
      </c>
    </row>
    <row r="15425">
      <c r="A15425" s="1" t="s">
        <v>15424</v>
      </c>
      <c r="B15425" s="2" t="str">
        <f>IFERROR(__xludf.DUMMYFUNCTION("GOOGLETRANSLATE(A15425, ""de"", ""en"")"),"pass by")</f>
        <v>pass by</v>
      </c>
    </row>
    <row r="15426">
      <c r="A15426" s="1" t="s">
        <v>15425</v>
      </c>
      <c r="B15426" s="2" t="str">
        <f>IFERROR(__xludf.DUMMYFUNCTION("GOOGLETRANSLATE(A15426, ""de"", ""en"")"),"Bahamas")</f>
        <v>Bahamas</v>
      </c>
    </row>
    <row r="15427">
      <c r="A15427" s="1" t="s">
        <v>15426</v>
      </c>
      <c r="B15427" s="2" t="str">
        <f>IFERROR(__xludf.DUMMYFUNCTION("GOOGLETRANSLATE(A15427, ""de"", ""en"")"),"marshal")</f>
        <v>marshal</v>
      </c>
    </row>
    <row r="15428">
      <c r="A15428" s="1" t="s">
        <v>15427</v>
      </c>
      <c r="B15428" s="2" t="str">
        <f>IFERROR(__xludf.DUMMYFUNCTION("GOOGLETRANSLATE(A15428, ""de"", ""en"")"),"functions")</f>
        <v>functions</v>
      </c>
    </row>
    <row r="15429">
      <c r="A15429" s="1" t="s">
        <v>15428</v>
      </c>
      <c r="B15429" s="2" t="str">
        <f>IFERROR(__xludf.DUMMYFUNCTION("GOOGLETRANSLATE(A15429, ""de"", ""en"")"),"nero")</f>
        <v>nero</v>
      </c>
    </row>
    <row r="15430">
      <c r="A15430" s="1" t="s">
        <v>15429</v>
      </c>
      <c r="B15430" s="2" t="str">
        <f>IFERROR(__xludf.DUMMYFUNCTION("GOOGLETRANSLATE(A15430, ""de"", ""en"")"),"comic")</f>
        <v>comic</v>
      </c>
    </row>
    <row r="15431">
      <c r="A15431" s="1" t="s">
        <v>15430</v>
      </c>
      <c r="B15431" s="2" t="str">
        <f>IFERROR(__xludf.DUMMYFUNCTION("GOOGLETRANSLATE(A15431, ""de"", ""en"")"),"grande")</f>
        <v>grande</v>
      </c>
    </row>
    <row r="15432">
      <c r="A15432" s="1" t="s">
        <v>15431</v>
      </c>
      <c r="B15432" s="2" t="str">
        <f>IFERROR(__xludf.DUMMYFUNCTION("GOOGLETRANSLATE(A15432, ""de"", ""en"")"),"stupider")</f>
        <v>stupider</v>
      </c>
    </row>
    <row r="15433">
      <c r="A15433" s="1" t="s">
        <v>15432</v>
      </c>
      <c r="B15433" s="2" t="str">
        <f>IFERROR(__xludf.DUMMYFUNCTION("GOOGLETRANSLATE(A15433, ""de"", ""en"")"),"more exciting")</f>
        <v>more exciting</v>
      </c>
    </row>
    <row r="15434">
      <c r="A15434" s="1" t="s">
        <v>15433</v>
      </c>
      <c r="B15434" s="2" t="str">
        <f>IFERROR(__xludf.DUMMYFUNCTION("GOOGLETRANSLATE(A15434, ""de"", ""en"")"),"swimming pool")</f>
        <v>swimming pool</v>
      </c>
    </row>
    <row r="15435">
      <c r="A15435" s="1" t="s">
        <v>15434</v>
      </c>
      <c r="B15435" s="2" t="str">
        <f>IFERROR(__xludf.DUMMYFUNCTION("GOOGLETRANSLATE(A15435, ""de"", ""en"")"),"all of that")</f>
        <v>all of that</v>
      </c>
    </row>
    <row r="15436">
      <c r="A15436" s="1" t="s">
        <v>15435</v>
      </c>
      <c r="B15436" s="2" t="str">
        <f>IFERROR(__xludf.DUMMYFUNCTION("GOOGLETRANSLATE(A15436, ""de"", ""en"")"),"stake")</f>
        <v>stake</v>
      </c>
    </row>
    <row r="15437">
      <c r="A15437" s="1" t="s">
        <v>15436</v>
      </c>
      <c r="B15437" s="2" t="str">
        <f>IFERROR(__xludf.DUMMYFUNCTION("GOOGLETRANSLATE(A15437, ""de"", ""en"")"),"wellington")</f>
        <v>wellington</v>
      </c>
    </row>
    <row r="15438">
      <c r="A15438" s="1" t="s">
        <v>15437</v>
      </c>
      <c r="B15438" s="2" t="str">
        <f>IFERROR(__xludf.DUMMYFUNCTION("GOOGLETRANSLATE(A15438, ""de"", ""en"")"),"ringo")</f>
        <v>ringo</v>
      </c>
    </row>
    <row r="15439">
      <c r="A15439" s="1" t="s">
        <v>15438</v>
      </c>
      <c r="B15439" s="2" t="str">
        <f>IFERROR(__xludf.DUMMYFUNCTION("GOOGLETRANSLATE(A15439, ""de"", ""en"")"),"splendid")</f>
        <v>splendid</v>
      </c>
    </row>
    <row r="15440">
      <c r="A15440" s="1" t="s">
        <v>15439</v>
      </c>
      <c r="B15440" s="2" t="str">
        <f>IFERROR(__xludf.DUMMYFUNCTION("GOOGLETRANSLATE(A15440, ""de"", ""en"")"),"floors")</f>
        <v>floors</v>
      </c>
    </row>
    <row r="15441">
      <c r="A15441" s="1" t="s">
        <v>15440</v>
      </c>
      <c r="B15441" s="2" t="str">
        <f>IFERROR(__xludf.DUMMYFUNCTION("GOOGLETRANSLATE(A15441, ""de"", ""en"")"),"lsd")</f>
        <v>lsd</v>
      </c>
    </row>
    <row r="15442">
      <c r="A15442" s="1" t="s">
        <v>15441</v>
      </c>
      <c r="B15442" s="2" t="str">
        <f>IFERROR(__xludf.DUMMYFUNCTION("GOOGLETRANSLATE(A15442, ""de"", ""en"")"),"j.r.")</f>
        <v>j.r.</v>
      </c>
    </row>
    <row r="15443">
      <c r="A15443" s="1" t="s">
        <v>15442</v>
      </c>
      <c r="B15443" s="2" t="str">
        <f>IFERROR(__xludf.DUMMYFUNCTION("GOOGLETRANSLATE(A15443, ""de"", ""en"")"),"certificate")</f>
        <v>certificate</v>
      </c>
    </row>
    <row r="15444">
      <c r="A15444" s="1" t="s">
        <v>15443</v>
      </c>
      <c r="B15444" s="2" t="str">
        <f>IFERROR(__xludf.DUMMYFUNCTION("GOOGLETRANSLATE(A15444, ""de"", ""en"")"),"hype")</f>
        <v>hype</v>
      </c>
    </row>
    <row r="15445">
      <c r="A15445" s="1" t="s">
        <v>15444</v>
      </c>
      <c r="B15445" s="2" t="str">
        <f>IFERROR(__xludf.DUMMYFUNCTION("GOOGLETRANSLATE(A15445, ""de"", ""en"")"),"torch")</f>
        <v>torch</v>
      </c>
    </row>
    <row r="15446">
      <c r="A15446" s="1" t="s">
        <v>15445</v>
      </c>
      <c r="B15446" s="2" t="str">
        <f>IFERROR(__xludf.DUMMYFUNCTION("GOOGLETRANSLATE(A15446, ""de"", ""en"")"),"great-grandfather")</f>
        <v>great-grandfather</v>
      </c>
    </row>
    <row r="15447">
      <c r="A15447" s="1" t="s">
        <v>15446</v>
      </c>
      <c r="B15447" s="2" t="str">
        <f>IFERROR(__xludf.DUMMYFUNCTION("GOOGLETRANSLATE(A15447, ""de"", ""en"")"),"performance")</f>
        <v>performance</v>
      </c>
    </row>
    <row r="15448">
      <c r="A15448" s="1" t="s">
        <v>15447</v>
      </c>
      <c r="B15448" s="2" t="str">
        <f>IFERROR(__xludf.DUMMYFUNCTION("GOOGLETRANSLATE(A15448, ""de"", ""en"")"),"animal")</f>
        <v>animal</v>
      </c>
    </row>
    <row r="15449">
      <c r="A15449" s="1" t="s">
        <v>15448</v>
      </c>
      <c r="B15449" s="2" t="str">
        <f>IFERROR(__xludf.DUMMYFUNCTION("GOOGLETRANSLATE(A15449, ""de"", ""en"")"),"Kathleen")</f>
        <v>Kathleen</v>
      </c>
    </row>
    <row r="15450">
      <c r="A15450" s="1" t="s">
        <v>15449</v>
      </c>
      <c r="B15450" s="2" t="str">
        <f>IFERROR(__xludf.DUMMYFUNCTION("GOOGLETRANSLATE(A15450, ""de"", ""en"")"),"ain")</f>
        <v>ain</v>
      </c>
    </row>
    <row r="15451">
      <c r="A15451" s="1" t="s">
        <v>15450</v>
      </c>
      <c r="B15451" s="2" t="str">
        <f>IFERROR(__xludf.DUMMYFUNCTION("GOOGLETRANSLATE(A15451, ""de"", ""en"")"),"boxes")</f>
        <v>boxes</v>
      </c>
    </row>
    <row r="15452">
      <c r="A15452" s="1" t="s">
        <v>15451</v>
      </c>
      <c r="B15452" s="2" t="str">
        <f>IFERROR(__xludf.DUMMYFUNCTION("GOOGLETRANSLATE(A15452, ""de"", ""en"")"),"tend")</f>
        <v>tend</v>
      </c>
    </row>
    <row r="15453">
      <c r="A15453" s="1" t="s">
        <v>15452</v>
      </c>
      <c r="B15453" s="2" t="str">
        <f>IFERROR(__xludf.DUMMYFUNCTION("GOOGLETRANSLATE(A15453, ""de"", ""en"")"),"cherries")</f>
        <v>cherries</v>
      </c>
    </row>
    <row r="15454">
      <c r="A15454" s="1" t="s">
        <v>15453</v>
      </c>
      <c r="B15454" s="2" t="str">
        <f>IFERROR(__xludf.DUMMYFUNCTION("GOOGLETRANSLATE(A15454, ""de"", ""en"")"),"machine gun")</f>
        <v>machine gun</v>
      </c>
    </row>
    <row r="15455">
      <c r="A15455" s="1" t="s">
        <v>15454</v>
      </c>
      <c r="B15455" s="2" t="str">
        <f>IFERROR(__xludf.DUMMYFUNCTION("GOOGLETRANSLATE(A15455, ""de"", ""en"")"),"poe")</f>
        <v>poe</v>
      </c>
    </row>
    <row r="15456">
      <c r="A15456" s="1" t="s">
        <v>15455</v>
      </c>
      <c r="B15456" s="2" t="str">
        <f>IFERROR(__xludf.DUMMYFUNCTION("GOOGLETRANSLATE(A15456, ""de"", ""en"")"),"Rodriguez")</f>
        <v>Rodriguez</v>
      </c>
    </row>
    <row r="15457">
      <c r="A15457" s="1" t="s">
        <v>15456</v>
      </c>
      <c r="B15457" s="2" t="str">
        <f>IFERROR(__xludf.DUMMYFUNCTION("GOOGLETRANSLATE(A15457, ""de"", ""en"")"),"blackout")</f>
        <v>blackout</v>
      </c>
    </row>
    <row r="15458">
      <c r="A15458" s="1" t="s">
        <v>15457</v>
      </c>
      <c r="B15458" s="2" t="str">
        <f>IFERROR(__xludf.DUMMYFUNCTION("GOOGLETRANSLATE(A15458, ""de"", ""en"")"),"crawley")</f>
        <v>crawley</v>
      </c>
    </row>
    <row r="15459">
      <c r="A15459" s="1" t="s">
        <v>15458</v>
      </c>
      <c r="B15459" s="2" t="str">
        <f>IFERROR(__xludf.DUMMYFUNCTION("GOOGLETRANSLATE(A15459, ""de"", ""en"")"),"fit")</f>
        <v>fit</v>
      </c>
    </row>
    <row r="15460">
      <c r="A15460" s="1" t="s">
        <v>15459</v>
      </c>
      <c r="B15460" s="2" t="str">
        <f>IFERROR(__xludf.DUMMYFUNCTION("GOOGLETRANSLATE(A15460, ""de"", ""en"")"),"figs")</f>
        <v>figs</v>
      </c>
    </row>
    <row r="15461">
      <c r="A15461" s="1" t="s">
        <v>15460</v>
      </c>
      <c r="B15461" s="2" t="str">
        <f>IFERROR(__xludf.DUMMYFUNCTION("GOOGLETRANSLATE(A15461, ""de"", ""en"")"),"members")</f>
        <v>members</v>
      </c>
    </row>
    <row r="15462">
      <c r="A15462" s="1" t="s">
        <v>15461</v>
      </c>
      <c r="B15462" s="2" t="str">
        <f>IFERROR(__xludf.DUMMYFUNCTION("GOOGLETRANSLATE(A15462, ""de"", ""en"")"),"valuable")</f>
        <v>valuable</v>
      </c>
    </row>
    <row r="15463">
      <c r="A15463" s="1" t="s">
        <v>15462</v>
      </c>
      <c r="B15463" s="2" t="str">
        <f>IFERROR(__xludf.DUMMYFUNCTION("GOOGLETRANSLATE(A15463, ""de"", ""en"")"),"scout")</f>
        <v>scout</v>
      </c>
    </row>
    <row r="15464">
      <c r="A15464" s="1" t="s">
        <v>15463</v>
      </c>
      <c r="B15464" s="2" t="str">
        <f>IFERROR(__xludf.DUMMYFUNCTION("GOOGLETRANSLATE(A15464, ""de"", ""en"")"),"masters")</f>
        <v>masters</v>
      </c>
    </row>
    <row r="15465">
      <c r="A15465" s="1" t="s">
        <v>15464</v>
      </c>
      <c r="B15465" s="2" t="str">
        <f>IFERROR(__xludf.DUMMYFUNCTION("GOOGLETRANSLATE(A15465, ""de"", ""en"")"),"cup")</f>
        <v>cup</v>
      </c>
    </row>
    <row r="15466">
      <c r="A15466" s="1" t="s">
        <v>15465</v>
      </c>
      <c r="B15466" s="2" t="str">
        <f>IFERROR(__xludf.DUMMYFUNCTION("GOOGLETRANSLATE(A15466, ""de"", ""en"")"),"hypothetically")</f>
        <v>hypothetically</v>
      </c>
    </row>
    <row r="15467">
      <c r="A15467" s="1" t="s">
        <v>15466</v>
      </c>
      <c r="B15467" s="2" t="str">
        <f>IFERROR(__xludf.DUMMYFUNCTION("GOOGLETRANSLATE(A15467, ""de"", ""en"")"),"god")</f>
        <v>god</v>
      </c>
    </row>
    <row r="15468">
      <c r="A15468" s="1" t="s">
        <v>15467</v>
      </c>
      <c r="B15468" s="2" t="str">
        <f>IFERROR(__xludf.DUMMYFUNCTION("GOOGLETRANSLATE(A15468, ""de"", ""en"")"),"rice")</f>
        <v>rice</v>
      </c>
    </row>
    <row r="15469">
      <c r="A15469" s="1" t="s">
        <v>15468</v>
      </c>
      <c r="B15469" s="2" t="str">
        <f>IFERROR(__xludf.DUMMYFUNCTION("GOOGLETRANSLATE(A15469, ""de"", ""en"")"),"brother")</f>
        <v>brother</v>
      </c>
    </row>
    <row r="15470">
      <c r="A15470" s="1" t="s">
        <v>15469</v>
      </c>
      <c r="B15470" s="2" t="str">
        <f>IFERROR(__xludf.DUMMYFUNCTION("GOOGLETRANSLATE(A15470, ""de"", ""en"")"),"announcer")</f>
        <v>announcer</v>
      </c>
    </row>
    <row r="15471">
      <c r="A15471" s="1" t="s">
        <v>15470</v>
      </c>
      <c r="B15471" s="2" t="str">
        <f>IFERROR(__xludf.DUMMYFUNCTION("GOOGLETRANSLATE(A15471, ""de"", ""en"")"),"going")</f>
        <v>going</v>
      </c>
    </row>
    <row r="15472">
      <c r="A15472" s="1" t="s">
        <v>15471</v>
      </c>
      <c r="B15472" s="2" t="str">
        <f>IFERROR(__xludf.DUMMYFUNCTION("GOOGLETRANSLATE(A15472, ""de"", ""en"")"),"break something")</f>
        <v>break something</v>
      </c>
    </row>
    <row r="15473">
      <c r="A15473" s="1" t="s">
        <v>15472</v>
      </c>
      <c r="B15473" s="2" t="str">
        <f>IFERROR(__xludf.DUMMYFUNCTION("GOOGLETRANSLATE(A15473, ""de"", ""en"")"),"hampton")</f>
        <v>hampton</v>
      </c>
    </row>
    <row r="15474">
      <c r="A15474" s="1" t="s">
        <v>15473</v>
      </c>
      <c r="B15474" s="2" t="str">
        <f>IFERROR(__xludf.DUMMYFUNCTION("GOOGLETRANSLATE(A15474, ""de"", ""en"")"),"blocked")</f>
        <v>blocked</v>
      </c>
    </row>
    <row r="15475">
      <c r="A15475" s="1" t="s">
        <v>15474</v>
      </c>
      <c r="B15475" s="2" t="str">
        <f>IFERROR(__xludf.DUMMYFUNCTION("GOOGLETRANSLATE(A15475, ""de"", ""en"")"),"openness")</f>
        <v>openness</v>
      </c>
    </row>
    <row r="15476">
      <c r="A15476" s="1" t="s">
        <v>15475</v>
      </c>
      <c r="B15476" s="2" t="str">
        <f>IFERROR(__xludf.DUMMYFUNCTION("GOOGLETRANSLATE(A15476, ""de"", ""en"")"),"horse")</f>
        <v>horse</v>
      </c>
    </row>
    <row r="15477">
      <c r="A15477" s="1" t="s">
        <v>15476</v>
      </c>
      <c r="B15477" s="2" t="str">
        <f>IFERROR(__xludf.DUMMYFUNCTION("GOOGLETRANSLATE(A15477, ""de"", ""en"")"),"Janine")</f>
        <v>Janine</v>
      </c>
    </row>
    <row r="15478">
      <c r="A15478" s="1" t="s">
        <v>15477</v>
      </c>
      <c r="B15478" s="2" t="str">
        <f>IFERROR(__xludf.DUMMYFUNCTION("GOOGLETRANSLATE(A15478, ""de"", ""en"")"),"ran")</f>
        <v>ran</v>
      </c>
    </row>
    <row r="15479">
      <c r="A15479" s="1" t="s">
        <v>15478</v>
      </c>
      <c r="B15479" s="2" t="str">
        <f>IFERROR(__xludf.DUMMYFUNCTION("GOOGLETRANSLATE(A15479, ""de"", ""en"")"),"emerson")</f>
        <v>emerson</v>
      </c>
    </row>
    <row r="15480">
      <c r="A15480" s="1" t="s">
        <v>15479</v>
      </c>
      <c r="B15480" s="2" t="str">
        <f>IFERROR(__xludf.DUMMYFUNCTION("GOOGLETRANSLATE(A15480, ""de"", ""en"")"),"lower")</f>
        <v>lower</v>
      </c>
    </row>
    <row r="15481">
      <c r="A15481" s="1" t="s">
        <v>15480</v>
      </c>
      <c r="B15481" s="2" t="str">
        <f>IFERROR(__xludf.DUMMYFUNCTION("GOOGLETRANSLATE(A15481, ""de"", ""en"")"),"take out")</f>
        <v>take out</v>
      </c>
    </row>
    <row r="15482">
      <c r="A15482" s="1" t="s">
        <v>15481</v>
      </c>
      <c r="B15482" s="2" t="str">
        <f>IFERROR(__xludf.DUMMYFUNCTION("GOOGLETRANSLATE(A15482, ""de"", ""en"")"),"left-handed")</f>
        <v>left-handed</v>
      </c>
    </row>
    <row r="15483">
      <c r="A15483" s="1" t="s">
        <v>15482</v>
      </c>
      <c r="B15483" s="2" t="str">
        <f>IFERROR(__xludf.DUMMYFUNCTION("GOOGLETRANSLATE(A15483, ""de"", ""en"")"),"wrap")</f>
        <v>wrap</v>
      </c>
    </row>
    <row r="15484">
      <c r="A15484" s="1" t="s">
        <v>15483</v>
      </c>
      <c r="B15484" s="2" t="str">
        <f>IFERROR(__xludf.DUMMYFUNCTION("GOOGLETRANSLATE(A15484, ""de"", ""en"")"),"angry ones")</f>
        <v>angry ones</v>
      </c>
    </row>
    <row r="15485">
      <c r="A15485" s="1" t="s">
        <v>15484</v>
      </c>
      <c r="B15485" s="2" t="str">
        <f>IFERROR(__xludf.DUMMYFUNCTION("GOOGLETRANSLATE(A15485, ""de"", ""en"")"),"favorite food")</f>
        <v>favorite food</v>
      </c>
    </row>
    <row r="15486">
      <c r="A15486" s="1" t="s">
        <v>15485</v>
      </c>
      <c r="B15486" s="2" t="str">
        <f>IFERROR(__xludf.DUMMYFUNCTION("GOOGLETRANSLATE(A15486, ""de"", ""en"")"),"t.j.")</f>
        <v>t.j.</v>
      </c>
    </row>
    <row r="15487">
      <c r="A15487" s="1" t="s">
        <v>15486</v>
      </c>
      <c r="B15487" s="2" t="str">
        <f>IFERROR(__xludf.DUMMYFUNCTION("GOOGLETRANSLATE(A15487, ""de"", ""en"")"),"specimens")</f>
        <v>specimens</v>
      </c>
    </row>
    <row r="15488">
      <c r="A15488" s="1" t="s">
        <v>15487</v>
      </c>
      <c r="B15488" s="2" t="str">
        <f>IFERROR(__xludf.DUMMYFUNCTION("GOOGLETRANSLATE(A15488, ""de"", ""en"")"),"cell phone ringing")</f>
        <v>cell phone ringing</v>
      </c>
    </row>
    <row r="15489">
      <c r="A15489" s="1" t="s">
        <v>15488</v>
      </c>
      <c r="B15489" s="2" t="str">
        <f>IFERROR(__xludf.DUMMYFUNCTION("GOOGLETRANSLATE(A15489, ""de"", ""en"")"),"hon")</f>
        <v>hon</v>
      </c>
    </row>
    <row r="15490">
      <c r="A15490" s="1" t="s">
        <v>15489</v>
      </c>
      <c r="B15490" s="2" t="str">
        <f>IFERROR(__xludf.DUMMYFUNCTION("GOOGLETRANSLATE(A15490, ""de"", ""en"")"),"centauri")</f>
        <v>centauri</v>
      </c>
    </row>
    <row r="15491">
      <c r="A15491" s="1" t="s">
        <v>15490</v>
      </c>
      <c r="B15491" s="2" t="str">
        <f>IFERROR(__xludf.DUMMYFUNCTION("GOOGLETRANSLATE(A15491, ""de"", ""en"")"),"kitty")</f>
        <v>kitty</v>
      </c>
    </row>
    <row r="15492">
      <c r="A15492" s="1" t="s">
        <v>15491</v>
      </c>
      <c r="B15492" s="2" t="str">
        <f>IFERROR(__xludf.DUMMYFUNCTION("GOOGLETRANSLATE(A15492, ""de"", ""en"")"),"micah")</f>
        <v>micah</v>
      </c>
    </row>
    <row r="15493">
      <c r="A15493" s="1" t="s">
        <v>15492</v>
      </c>
      <c r="B15493" s="2" t="str">
        <f>IFERROR(__xludf.DUMMYFUNCTION("GOOGLETRANSLATE(A15493, ""de"", ""en"")"),"broke")</f>
        <v>broke</v>
      </c>
    </row>
    <row r="15494">
      <c r="A15494" s="1" t="s">
        <v>15493</v>
      </c>
      <c r="B15494" s="2" t="str">
        <f>IFERROR(__xludf.DUMMYFUNCTION("GOOGLETRANSLATE(A15494, ""de"", ""en"")"),"forgive")</f>
        <v>forgive</v>
      </c>
    </row>
    <row r="15495">
      <c r="A15495" s="1" t="s">
        <v>15494</v>
      </c>
      <c r="B15495" s="2" t="str">
        <f>IFERROR(__xludf.DUMMYFUNCTION("GOOGLETRANSLATE(A15495, ""de"", ""en"")"),"weaker")</f>
        <v>weaker</v>
      </c>
    </row>
    <row r="15496">
      <c r="A15496" s="1" t="s">
        <v>15495</v>
      </c>
      <c r="B15496" s="2" t="str">
        <f>IFERROR(__xludf.DUMMYFUNCTION("GOOGLETRANSLATE(A15496, ""de"", ""en"")"),"watts")</f>
        <v>watts</v>
      </c>
    </row>
    <row r="15497">
      <c r="A15497" s="1" t="s">
        <v>15496</v>
      </c>
      <c r="B15497" s="2" t="str">
        <f>IFERROR(__xludf.DUMMYFUNCTION("GOOGLETRANSLATE(A15497, ""de"", ""en"")"),"sculpture")</f>
        <v>sculpture</v>
      </c>
    </row>
    <row r="15498">
      <c r="A15498" s="1" t="s">
        <v>15497</v>
      </c>
      <c r="B15498" s="2" t="str">
        <f>IFERROR(__xludf.DUMMYFUNCTION("GOOGLETRANSLATE(A15498, ""de"", ""en"")"),"everyone's")</f>
        <v>everyone's</v>
      </c>
    </row>
    <row r="15499">
      <c r="A15499" s="1" t="s">
        <v>15498</v>
      </c>
      <c r="B15499" s="2" t="str">
        <f>IFERROR(__xludf.DUMMYFUNCTION("GOOGLETRANSLATE(A15499, ""de"", ""en"")"),"complete")</f>
        <v>complete</v>
      </c>
    </row>
    <row r="15500">
      <c r="A15500" s="1" t="s">
        <v>15499</v>
      </c>
      <c r="B15500" s="2" t="str">
        <f>IFERROR(__xludf.DUMMYFUNCTION("GOOGLETRANSLATE(A15500, ""de"", ""en"")"),"oppression")</f>
        <v>oppression</v>
      </c>
    </row>
    <row r="15501">
      <c r="A15501" s="1" t="s">
        <v>15500</v>
      </c>
      <c r="B15501" s="2" t="str">
        <f>IFERROR(__xludf.DUMMYFUNCTION("GOOGLETRANSLATE(A15501, ""de"", ""en"")"),"bushes")</f>
        <v>bushes</v>
      </c>
    </row>
    <row r="15502">
      <c r="A15502" s="1" t="s">
        <v>15501</v>
      </c>
      <c r="B15502" s="2" t="str">
        <f>IFERROR(__xludf.DUMMYFUNCTION("GOOGLETRANSLATE(A15502, ""de"", ""en"")"),"fucking")</f>
        <v>fucking</v>
      </c>
    </row>
    <row r="15503">
      <c r="A15503" s="1" t="s">
        <v>15502</v>
      </c>
      <c r="B15503" s="2" t="str">
        <f>IFERROR(__xludf.DUMMYFUNCTION("GOOGLETRANSLATE(A15503, ""de"", ""en"")"),"maid")</f>
        <v>maid</v>
      </c>
    </row>
    <row r="15504">
      <c r="A15504" s="1" t="s">
        <v>15503</v>
      </c>
      <c r="B15504" s="2" t="str">
        <f>IFERROR(__xludf.DUMMYFUNCTION("GOOGLETRANSLATE(A15504, ""de"", ""en"")"),"school day")</f>
        <v>school day</v>
      </c>
    </row>
    <row r="15505">
      <c r="A15505" s="1" t="s">
        <v>15504</v>
      </c>
      <c r="B15505" s="2" t="str">
        <f>IFERROR(__xludf.DUMMYFUNCTION("GOOGLETRANSLATE(A15505, ""de"", ""en"")"),"dion")</f>
        <v>dion</v>
      </c>
    </row>
    <row r="15506">
      <c r="A15506" s="1" t="s">
        <v>15505</v>
      </c>
      <c r="B15506" s="2" t="str">
        <f>IFERROR(__xludf.DUMMYFUNCTION("GOOGLETRANSLATE(A15506, ""de"", ""en"")"),"bbc")</f>
        <v>bbc</v>
      </c>
    </row>
    <row r="15507">
      <c r="A15507" s="1" t="s">
        <v>15506</v>
      </c>
      <c r="B15507" s="2" t="str">
        <f>IFERROR(__xludf.DUMMYFUNCTION("GOOGLETRANSLATE(A15507, ""de"", ""en"")"),"rehab")</f>
        <v>rehab</v>
      </c>
    </row>
    <row r="15508">
      <c r="A15508" s="1" t="s">
        <v>15507</v>
      </c>
      <c r="B15508" s="2" t="str">
        <f>IFERROR(__xludf.DUMMYFUNCTION("GOOGLETRANSLATE(A15508, ""de"", ""en"")"),"diver")</f>
        <v>diver</v>
      </c>
    </row>
    <row r="15509">
      <c r="A15509" s="1" t="s">
        <v>15508</v>
      </c>
      <c r="B15509" s="2" t="str">
        <f>IFERROR(__xludf.DUMMYFUNCTION("GOOGLETRANSLATE(A15509, ""de"", ""en"")"),"biological")</f>
        <v>biological</v>
      </c>
    </row>
    <row r="15510">
      <c r="A15510" s="1" t="s">
        <v>15509</v>
      </c>
      <c r="B15510" s="2" t="str">
        <f>IFERROR(__xludf.DUMMYFUNCTION("GOOGLETRANSLATE(A15510, ""de"", ""en"")"),"stupidly")</f>
        <v>stupidly</v>
      </c>
    </row>
    <row r="15511">
      <c r="A15511" s="1" t="s">
        <v>15510</v>
      </c>
      <c r="B15511" s="2" t="str">
        <f>IFERROR(__xludf.DUMMYFUNCTION("GOOGLETRANSLATE(A15511, ""de"", ""en"")"),"mikes")</f>
        <v>mikes</v>
      </c>
    </row>
    <row r="15512">
      <c r="A15512" s="1" t="s">
        <v>15511</v>
      </c>
      <c r="B15512" s="2" t="str">
        <f>IFERROR(__xludf.DUMMYFUNCTION("GOOGLETRANSLATE(A15512, ""de"", ""en"")"),"guido")</f>
        <v>guido</v>
      </c>
    </row>
    <row r="15513">
      <c r="A15513" s="1" t="s">
        <v>15512</v>
      </c>
      <c r="B15513" s="2" t="str">
        <f>IFERROR(__xludf.DUMMYFUNCTION("GOOGLETRANSLATE(A15513, ""de"", ""en"")"),"Lexie")</f>
        <v>Lexie</v>
      </c>
    </row>
    <row r="15514">
      <c r="A15514" s="1" t="s">
        <v>15513</v>
      </c>
      <c r="B15514" s="2" t="str">
        <f>IFERROR(__xludf.DUMMYFUNCTION("GOOGLETRANSLATE(A15514, ""de"", ""en"")"),"raven")</f>
        <v>raven</v>
      </c>
    </row>
    <row r="15515">
      <c r="A15515" s="1" t="s">
        <v>15514</v>
      </c>
      <c r="B15515" s="2" t="str">
        <f>IFERROR(__xludf.DUMMYFUNCTION("GOOGLETRANSLATE(A15515, ""de"", ""en"")"),"designs")</f>
        <v>designs</v>
      </c>
    </row>
    <row r="15516">
      <c r="A15516" s="1" t="s">
        <v>15515</v>
      </c>
      <c r="B15516" s="2" t="str">
        <f>IFERROR(__xludf.DUMMYFUNCTION("GOOGLETRANSLATE(A15516, ""de"", ""en"")"),"agriculture")</f>
        <v>agriculture</v>
      </c>
    </row>
    <row r="15517">
      <c r="A15517" s="1" t="s">
        <v>15516</v>
      </c>
      <c r="B15517" s="2" t="str">
        <f>IFERROR(__xludf.DUMMYFUNCTION("GOOGLETRANSLATE(A15517, ""de"", ""en"")"),"uncomfortable")</f>
        <v>uncomfortable</v>
      </c>
    </row>
    <row r="15518">
      <c r="A15518" s="1" t="s">
        <v>15517</v>
      </c>
      <c r="B15518" s="2" t="str">
        <f>IFERROR(__xludf.DUMMYFUNCTION("GOOGLETRANSLATE(A15518, ""de"", ""en"")"),"flips")</f>
        <v>flips</v>
      </c>
    </row>
    <row r="15519">
      <c r="A15519" s="1" t="s">
        <v>15518</v>
      </c>
      <c r="B15519" s="2" t="str">
        <f>IFERROR(__xludf.DUMMYFUNCTION("GOOGLETRANSLATE(A15519, ""de"", ""en"")"),"painting")</f>
        <v>painting</v>
      </c>
    </row>
    <row r="15520">
      <c r="A15520" s="1" t="s">
        <v>15519</v>
      </c>
      <c r="B15520" s="2" t="str">
        <f>IFERROR(__xludf.DUMMYFUNCTION("GOOGLETRANSLATE(A15520, ""de"", ""en"")"),"waters")</f>
        <v>waters</v>
      </c>
    </row>
    <row r="15521">
      <c r="A15521" s="1" t="s">
        <v>15520</v>
      </c>
      <c r="B15521" s="2" t="str">
        <f>IFERROR(__xludf.DUMMYFUNCTION("GOOGLETRANSLATE(A15521, ""de"", ""en"")"),"bubba")</f>
        <v>bubba</v>
      </c>
    </row>
    <row r="15522">
      <c r="A15522" s="1" t="s">
        <v>15521</v>
      </c>
      <c r="B15522" s="2" t="str">
        <f>IFERROR(__xludf.DUMMYFUNCTION("GOOGLETRANSLATE(A15522, ""de"", ""en"")"),"crooked")</f>
        <v>crooked</v>
      </c>
    </row>
    <row r="15523">
      <c r="A15523" s="1" t="s">
        <v>15522</v>
      </c>
      <c r="B15523" s="2" t="str">
        <f>IFERROR(__xludf.DUMMYFUNCTION("GOOGLETRANSLATE(A15523, ""de"", ""en"")"),"overloaded")</f>
        <v>overloaded</v>
      </c>
    </row>
    <row r="15524">
      <c r="A15524" s="1" t="s">
        <v>15523</v>
      </c>
      <c r="B15524" s="2" t="str">
        <f>IFERROR(__xludf.DUMMYFUNCTION("GOOGLETRANSLATE(A15524, ""de"", ""en"")"),"shitheads")</f>
        <v>shitheads</v>
      </c>
    </row>
    <row r="15525">
      <c r="A15525" s="1" t="s">
        <v>15524</v>
      </c>
      <c r="B15525" s="2" t="str">
        <f>IFERROR(__xludf.DUMMYFUNCTION("GOOGLETRANSLATE(A15525, ""de"", ""en"")"),"haute")</f>
        <v>haute</v>
      </c>
    </row>
    <row r="15526">
      <c r="A15526" s="1" t="s">
        <v>15525</v>
      </c>
      <c r="B15526" s="2" t="str">
        <f>IFERROR(__xludf.DUMMYFUNCTION("GOOGLETRANSLATE(A15526, ""de"", ""en"")"),"self-destruction")</f>
        <v>self-destruction</v>
      </c>
    </row>
    <row r="15527">
      <c r="A15527" s="1" t="s">
        <v>15526</v>
      </c>
      <c r="B15527" s="2" t="str">
        <f>IFERROR(__xludf.DUMMYFUNCTION("GOOGLETRANSLATE(A15527, ""de"", ""en"")"),"iron")</f>
        <v>iron</v>
      </c>
    </row>
    <row r="15528">
      <c r="A15528" s="1" t="s">
        <v>15527</v>
      </c>
      <c r="B15528" s="2" t="str">
        <f>IFERROR(__xludf.DUMMYFUNCTION("GOOGLETRANSLATE(A15528, ""de"", ""en"")"),"smiley")</f>
        <v>smiley</v>
      </c>
    </row>
    <row r="15529">
      <c r="A15529" s="1" t="s">
        <v>15528</v>
      </c>
      <c r="B15529" s="2" t="str">
        <f>IFERROR(__xludf.DUMMYFUNCTION("GOOGLETRANSLATE(A15529, ""de"", ""en"")"),"amuse yourself")</f>
        <v>amuse yourself</v>
      </c>
    </row>
    <row r="15530">
      <c r="A15530" s="1" t="s">
        <v>15529</v>
      </c>
      <c r="B15530" s="2" t="str">
        <f>IFERROR(__xludf.DUMMYFUNCTION("GOOGLETRANSLATE(A15530, ""de"", ""en"")"),"casper")</f>
        <v>casper</v>
      </c>
    </row>
    <row r="15531">
      <c r="A15531" s="1" t="s">
        <v>15530</v>
      </c>
      <c r="B15531" s="2" t="str">
        <f>IFERROR(__xludf.DUMMYFUNCTION("GOOGLETRANSLATE(A15531, ""de"", ""en"")"),"places")</f>
        <v>places</v>
      </c>
    </row>
    <row r="15532">
      <c r="A15532" s="1" t="s">
        <v>15531</v>
      </c>
      <c r="B15532" s="2" t="str">
        <f>IFERROR(__xludf.DUMMYFUNCTION("GOOGLETRANSLATE(A15532, ""de"", ""en"")"),"drips")</f>
        <v>drips</v>
      </c>
    </row>
    <row r="15533">
      <c r="A15533" s="1" t="s">
        <v>15532</v>
      </c>
      <c r="B15533" s="2" t="str">
        <f>IFERROR(__xludf.DUMMYFUNCTION("GOOGLETRANSLATE(A15533, ""de"", ""en"")"),"mc")</f>
        <v>mc</v>
      </c>
    </row>
    <row r="15534">
      <c r="A15534" s="1" t="s">
        <v>15533</v>
      </c>
      <c r="B15534" s="2" t="str">
        <f>IFERROR(__xludf.DUMMYFUNCTION("GOOGLETRANSLATE(A15534, ""de"", ""en"")"),"catholic")</f>
        <v>catholic</v>
      </c>
    </row>
    <row r="15535">
      <c r="A15535" s="1" t="s">
        <v>15534</v>
      </c>
      <c r="B15535" s="2" t="str">
        <f>IFERROR(__xludf.DUMMYFUNCTION("GOOGLETRANSLATE(A15535, ""de"", ""en"")"),"and I")</f>
        <v>and I</v>
      </c>
    </row>
    <row r="15536">
      <c r="A15536" s="1" t="s">
        <v>15535</v>
      </c>
      <c r="B15536" s="2" t="str">
        <f>IFERROR(__xludf.DUMMYFUNCTION("GOOGLETRANSLATE(A15536, ""de"", ""en"")"),"manually")</f>
        <v>manually</v>
      </c>
    </row>
    <row r="15537">
      <c r="A15537" s="1" t="s">
        <v>15536</v>
      </c>
      <c r="B15537" s="2" t="str">
        <f>IFERROR(__xludf.DUMMYFUNCTION("GOOGLETRANSLATE(A15537, ""de"", ""en"")"),"foreman")</f>
        <v>foreman</v>
      </c>
    </row>
    <row r="15538">
      <c r="A15538" s="1" t="s">
        <v>15537</v>
      </c>
      <c r="B15538" s="2" t="str">
        <f>IFERROR(__xludf.DUMMYFUNCTION("GOOGLETRANSLATE(A15538, ""de"", ""en"")"),"nudge")</f>
        <v>nudge</v>
      </c>
    </row>
    <row r="15539">
      <c r="A15539" s="1" t="s">
        <v>15538</v>
      </c>
      <c r="B15539" s="2" t="str">
        <f>IFERROR(__xludf.DUMMYFUNCTION("GOOGLETRANSLATE(A15539, ""de"", ""en"")"),"benton")</f>
        <v>benton</v>
      </c>
    </row>
    <row r="15540">
      <c r="A15540" s="1" t="s">
        <v>15539</v>
      </c>
      <c r="B15540" s="2" t="str">
        <f>IFERROR(__xludf.DUMMYFUNCTION("GOOGLETRANSLATE(A15540, ""de"", ""en"")"),"help")</f>
        <v>help</v>
      </c>
    </row>
    <row r="15541">
      <c r="A15541" s="1" t="s">
        <v>15540</v>
      </c>
      <c r="B15541" s="2" t="str">
        <f>IFERROR(__xludf.DUMMYFUNCTION("GOOGLETRANSLATE(A15541, ""de"", ""en"")"),"employ")</f>
        <v>employ</v>
      </c>
    </row>
    <row r="15542">
      <c r="A15542" s="1" t="s">
        <v>15541</v>
      </c>
      <c r="B15542" s="2" t="str">
        <f>IFERROR(__xludf.DUMMYFUNCTION("GOOGLETRANSLATE(A15542, ""de"", ""en"")"),"tents")</f>
        <v>tents</v>
      </c>
    </row>
    <row r="15543">
      <c r="A15543" s="1" t="s">
        <v>15542</v>
      </c>
      <c r="B15543" s="2" t="str">
        <f>IFERROR(__xludf.DUMMYFUNCTION("GOOGLETRANSLATE(A15543, ""de"", ""en"")"),"inclination")</f>
        <v>inclination</v>
      </c>
    </row>
    <row r="15544">
      <c r="A15544" s="1" t="s">
        <v>15543</v>
      </c>
      <c r="B15544" s="2" t="str">
        <f>IFERROR(__xludf.DUMMYFUNCTION("GOOGLETRANSLATE(A15544, ""de"", ""en"")"),"Julia")</f>
        <v>Julia</v>
      </c>
    </row>
    <row r="15545">
      <c r="A15545" s="1" t="s">
        <v>15544</v>
      </c>
      <c r="B15545" s="2" t="str">
        <f>IFERROR(__xludf.DUMMYFUNCTION("GOOGLETRANSLATE(A15545, ""de"", ""en"")"),"raoul")</f>
        <v>raoul</v>
      </c>
    </row>
    <row r="15546">
      <c r="A15546" s="1" t="s">
        <v>15545</v>
      </c>
      <c r="B15546" s="2" t="str">
        <f>IFERROR(__xludf.DUMMYFUNCTION("GOOGLETRANSLATE(A15546, ""de"", ""en"")"),"duty of confidentiality")</f>
        <v>duty of confidentiality</v>
      </c>
    </row>
    <row r="15547">
      <c r="A15547" s="1" t="s">
        <v>15546</v>
      </c>
      <c r="B15547" s="2" t="str">
        <f>IFERROR(__xludf.DUMMYFUNCTION("GOOGLETRANSLATE(A15547, ""de"", ""en"")"),"play poker")</f>
        <v>play poker</v>
      </c>
    </row>
    <row r="15548">
      <c r="A15548" s="1" t="s">
        <v>15547</v>
      </c>
      <c r="B15548" s="2" t="str">
        <f>IFERROR(__xludf.DUMMYFUNCTION("GOOGLETRANSLATE(A15548, ""de"", ""en"")"),"meow")</f>
        <v>meow</v>
      </c>
    </row>
    <row r="15549">
      <c r="A15549" s="1" t="s">
        <v>15548</v>
      </c>
      <c r="B15549" s="2" t="str">
        <f>IFERROR(__xludf.DUMMYFUNCTION("GOOGLETRANSLATE(A15549, ""de"", ""en"")"),"espionage")</f>
        <v>espionage</v>
      </c>
    </row>
    <row r="15550">
      <c r="A15550" s="1" t="s">
        <v>15549</v>
      </c>
      <c r="B15550" s="2" t="str">
        <f>IFERROR(__xludf.DUMMYFUNCTION("GOOGLETRANSLATE(A15550, ""de"", ""en"")"),"inspire")</f>
        <v>inspire</v>
      </c>
    </row>
    <row r="15551">
      <c r="A15551" s="1" t="s">
        <v>15550</v>
      </c>
      <c r="B15551" s="2" t="str">
        <f>IFERROR(__xludf.DUMMYFUNCTION("GOOGLETRANSLATE(A15551, ""de"", ""en"")"),"finished")</f>
        <v>finished</v>
      </c>
    </row>
    <row r="15552">
      <c r="A15552" s="1" t="s">
        <v>15551</v>
      </c>
      <c r="B15552" s="2" t="str">
        <f>IFERROR(__xludf.DUMMYFUNCTION("GOOGLETRANSLATE(A15552, ""de"", ""en"")"),"mark")</f>
        <v>mark</v>
      </c>
    </row>
    <row r="15553">
      <c r="A15553" s="1" t="s">
        <v>15552</v>
      </c>
      <c r="B15553" s="2" t="str">
        <f>IFERROR(__xludf.DUMMYFUNCTION("GOOGLETRANSLATE(A15553, ""de"", ""en"")"),"ying")</f>
        <v>ying</v>
      </c>
    </row>
    <row r="15554">
      <c r="A15554" s="1" t="s">
        <v>15553</v>
      </c>
      <c r="B15554" s="2" t="str">
        <f>IFERROR(__xludf.DUMMYFUNCTION("GOOGLETRANSLATE(A15554, ""de"", ""en"")"),"crow")</f>
        <v>crow</v>
      </c>
    </row>
    <row r="15555">
      <c r="A15555" s="1" t="s">
        <v>15554</v>
      </c>
      <c r="B15555" s="2" t="str">
        <f>IFERROR(__xludf.DUMMYFUNCTION("GOOGLETRANSLATE(A15555, ""de"", ""en"")"),"Carmine")</f>
        <v>Carmine</v>
      </c>
    </row>
    <row r="15556">
      <c r="A15556" s="1" t="s">
        <v>15555</v>
      </c>
      <c r="B15556" s="2" t="str">
        <f>IFERROR(__xludf.DUMMYFUNCTION("GOOGLETRANSLATE(A15556, ""de"", ""en"")"),"marquez")</f>
        <v>marquez</v>
      </c>
    </row>
    <row r="15557">
      <c r="A15557" s="1" t="s">
        <v>15556</v>
      </c>
      <c r="B15557" s="2" t="str">
        <f>IFERROR(__xludf.DUMMYFUNCTION("GOOGLETRANSLATE(A15557, ""de"", ""en"")"),"stick")</f>
        <v>stick</v>
      </c>
    </row>
    <row r="15558">
      <c r="A15558" s="1" t="s">
        <v>15557</v>
      </c>
      <c r="B15558" s="2" t="str">
        <f>IFERROR(__xludf.DUMMYFUNCTION("GOOGLETRANSLATE(A15558, ""de"", ""en"")"),"register")</f>
        <v>register</v>
      </c>
    </row>
    <row r="15559">
      <c r="A15559" s="1" t="s">
        <v>15558</v>
      </c>
      <c r="B15559" s="2" t="str">
        <f>IFERROR(__xludf.DUMMYFUNCTION("GOOGLETRANSLATE(A15559, ""de"", ""en"")"),"alfie")</f>
        <v>alfie</v>
      </c>
    </row>
    <row r="15560">
      <c r="A15560" s="1" t="s">
        <v>15559</v>
      </c>
      <c r="B15560" s="2" t="str">
        <f>IFERROR(__xludf.DUMMYFUNCTION("GOOGLETRANSLATE(A15560, ""de"", ""en"")"),"splashes")</f>
        <v>splashes</v>
      </c>
    </row>
    <row r="15561">
      <c r="A15561" s="1" t="s">
        <v>15560</v>
      </c>
      <c r="B15561" s="2" t="str">
        <f>IFERROR(__xludf.DUMMYFUNCTION("GOOGLETRANSLATE(A15561, ""de"", ""en"")"),"coffee")</f>
        <v>coffee</v>
      </c>
    </row>
    <row r="15562">
      <c r="A15562" s="1" t="s">
        <v>15561</v>
      </c>
      <c r="B15562" s="2" t="str">
        <f>IFERROR(__xludf.DUMMYFUNCTION("GOOGLETRANSLATE(A15562, ""de"", ""en"")"),"let out")</f>
        <v>let out</v>
      </c>
    </row>
    <row r="15563">
      <c r="A15563" s="1" t="s">
        <v>15562</v>
      </c>
      <c r="B15563" s="2" t="str">
        <f>IFERROR(__xludf.DUMMYFUNCTION("GOOGLETRANSLATE(A15563, ""de"", ""en"")"),"straw")</f>
        <v>straw</v>
      </c>
    </row>
    <row r="15564">
      <c r="A15564" s="1" t="s">
        <v>15563</v>
      </c>
      <c r="B15564" s="2" t="str">
        <f>IFERROR(__xludf.DUMMYFUNCTION("GOOGLETRANSLATE(A15564, ""de"", ""en"")"),"research")</f>
        <v>research</v>
      </c>
    </row>
    <row r="15565">
      <c r="A15565" s="1" t="s">
        <v>15564</v>
      </c>
      <c r="B15565" s="2" t="str">
        <f>IFERROR(__xludf.DUMMYFUNCTION("GOOGLETRANSLATE(A15565, ""de"", ""en"")"),"evenly")</f>
        <v>evenly</v>
      </c>
    </row>
    <row r="15566">
      <c r="A15566" s="1" t="s">
        <v>15565</v>
      </c>
      <c r="B15566" s="2" t="str">
        <f>IFERROR(__xludf.DUMMYFUNCTION("GOOGLETRANSLATE(A15566, ""de"", ""en"")"),"j.t.")</f>
        <v>j.t.</v>
      </c>
    </row>
    <row r="15567">
      <c r="A15567" s="1" t="s">
        <v>15566</v>
      </c>
      <c r="B15567" s="2" t="str">
        <f>IFERROR(__xludf.DUMMYFUNCTION("GOOGLETRANSLATE(A15567, ""de"", ""en"")"),"aura")</f>
        <v>aura</v>
      </c>
    </row>
    <row r="15568">
      <c r="A15568" s="1" t="s">
        <v>15567</v>
      </c>
      <c r="B15568" s="2" t="str">
        <f>IFERROR(__xludf.DUMMYFUNCTION("GOOGLETRANSLATE(A15568, ""de"", ""en"")"),"automatic")</f>
        <v>automatic</v>
      </c>
    </row>
    <row r="15569">
      <c r="A15569" s="1" t="s">
        <v>15568</v>
      </c>
      <c r="B15569" s="2" t="str">
        <f>IFERROR(__xludf.DUMMYFUNCTION("GOOGLETRANSLATE(A15569, ""de"", ""en"")"),"fucks")</f>
        <v>fucks</v>
      </c>
    </row>
    <row r="15570">
      <c r="A15570" s="1" t="s">
        <v>15569</v>
      </c>
      <c r="B15570" s="2" t="str">
        <f>IFERROR(__xludf.DUMMYFUNCTION("GOOGLETRANSLATE(A15570, ""de"", ""en"")"),"gig")</f>
        <v>gig</v>
      </c>
    </row>
    <row r="15571">
      <c r="A15571" s="1" t="s">
        <v>15570</v>
      </c>
      <c r="B15571" s="2" t="str">
        <f>IFERROR(__xludf.DUMMYFUNCTION("GOOGLETRANSLATE(A15571, ""de"", ""en"")"),"artery")</f>
        <v>artery</v>
      </c>
    </row>
    <row r="15572">
      <c r="A15572" s="1" t="s">
        <v>15571</v>
      </c>
      <c r="B15572" s="2" t="str">
        <f>IFERROR(__xludf.DUMMYFUNCTION("GOOGLETRANSLATE(A15572, ""de"", ""en"")"),"lecter")</f>
        <v>lecter</v>
      </c>
    </row>
    <row r="15573">
      <c r="A15573" s="1" t="s">
        <v>15572</v>
      </c>
      <c r="B15573" s="2" t="str">
        <f>IFERROR(__xludf.DUMMYFUNCTION("GOOGLETRANSLATE(A15573, ""de"", ""en"")"),"blonde")</f>
        <v>blonde</v>
      </c>
    </row>
    <row r="15574">
      <c r="A15574" s="1" t="s">
        <v>15573</v>
      </c>
      <c r="B15574" s="2" t="str">
        <f>IFERROR(__xludf.DUMMYFUNCTION("GOOGLETRANSLATE(A15574, ""de"", ""en"")"),"pursued")</f>
        <v>pursued</v>
      </c>
    </row>
    <row r="15575">
      <c r="A15575" s="1" t="s">
        <v>15574</v>
      </c>
      <c r="B15575" s="2" t="str">
        <f>IFERROR(__xludf.DUMMYFUNCTION("GOOGLETRANSLATE(A15575, ""de"", ""en"")"),"go through")</f>
        <v>go through</v>
      </c>
    </row>
    <row r="15576">
      <c r="A15576" s="1" t="s">
        <v>15575</v>
      </c>
      <c r="B15576" s="2" t="str">
        <f>IFERROR(__xludf.DUMMYFUNCTION("GOOGLETRANSLATE(A15576, ""de"", ""en"")"),"rough")</f>
        <v>rough</v>
      </c>
    </row>
    <row r="15577">
      <c r="A15577" s="1" t="s">
        <v>15576</v>
      </c>
      <c r="B15577" s="2" t="str">
        <f>IFERROR(__xludf.DUMMYFUNCTION("GOOGLETRANSLATE(A15577, ""de"", ""en"")"),"magical")</f>
        <v>magical</v>
      </c>
    </row>
    <row r="15578">
      <c r="A15578" s="1" t="s">
        <v>15577</v>
      </c>
      <c r="B15578" s="2" t="str">
        <f>IFERROR(__xludf.DUMMYFUNCTION("GOOGLETRANSLATE(A15578, ""de"", ""en"")"),"smiled")</f>
        <v>smiled</v>
      </c>
    </row>
    <row r="15579">
      <c r="A15579" s="1" t="s">
        <v>15578</v>
      </c>
      <c r="B15579" s="2" t="str">
        <f>IFERROR(__xludf.DUMMYFUNCTION("GOOGLETRANSLATE(A15579, ""de"", ""en"")"),"cockpit")</f>
        <v>cockpit</v>
      </c>
    </row>
    <row r="15580">
      <c r="A15580" s="1" t="s">
        <v>15579</v>
      </c>
      <c r="B15580" s="2" t="str">
        <f>IFERROR(__xludf.DUMMYFUNCTION("GOOGLETRANSLATE(A15580, ""de"", ""en"")"),"power of attorney")</f>
        <v>power of attorney</v>
      </c>
    </row>
    <row r="15581">
      <c r="A15581" s="1" t="s">
        <v>15580</v>
      </c>
      <c r="B15581" s="2" t="str">
        <f>IFERROR(__xludf.DUMMYFUNCTION("GOOGLETRANSLATE(A15581, ""de"", ""en"")"),"dixie")</f>
        <v>dixie</v>
      </c>
    </row>
    <row r="15582">
      <c r="A15582" s="1" t="s">
        <v>15581</v>
      </c>
      <c r="B15582" s="2" t="str">
        <f>IFERROR(__xludf.DUMMYFUNCTION("GOOGLETRANSLATE(A15582, ""de"", ""en"")"),"scratched")</f>
        <v>scratched</v>
      </c>
    </row>
    <row r="15583">
      <c r="A15583" s="1" t="s">
        <v>15582</v>
      </c>
      <c r="B15583" s="2" t="str">
        <f>IFERROR(__xludf.DUMMYFUNCTION("GOOGLETRANSLATE(A15583, ""de"", ""en"")"),"beta")</f>
        <v>beta</v>
      </c>
    </row>
    <row r="15584">
      <c r="A15584" s="1" t="s">
        <v>15583</v>
      </c>
      <c r="B15584" s="2" t="str">
        <f>IFERROR(__xludf.DUMMYFUNCTION("GOOGLETRANSLATE(A15584, ""de"", ""en"")"),"respectful")</f>
        <v>respectful</v>
      </c>
    </row>
    <row r="15585">
      <c r="A15585" s="1" t="s">
        <v>15584</v>
      </c>
      <c r="B15585" s="2" t="str">
        <f>IFERROR(__xludf.DUMMYFUNCTION("GOOGLETRANSLATE(A15585, ""de"", ""en"")"),"hard")</f>
        <v>hard</v>
      </c>
    </row>
    <row r="15586">
      <c r="A15586" s="1" t="s">
        <v>15585</v>
      </c>
      <c r="B15586" s="2" t="str">
        <f>IFERROR(__xludf.DUMMYFUNCTION("GOOGLETRANSLATE(A15586, ""de"", ""en"")"),"more professional")</f>
        <v>more professional</v>
      </c>
    </row>
    <row r="15587">
      <c r="A15587" s="1" t="s">
        <v>15586</v>
      </c>
      <c r="B15587" s="2" t="str">
        <f>IFERROR(__xludf.DUMMYFUNCTION("GOOGLETRANSLATE(A15587, ""de"", ""en"")"),"prostitutes")</f>
        <v>prostitutes</v>
      </c>
    </row>
    <row r="15588">
      <c r="A15588" s="1" t="s">
        <v>15587</v>
      </c>
      <c r="B15588" s="2" t="str">
        <f>IFERROR(__xludf.DUMMYFUNCTION("GOOGLETRANSLATE(A15588, ""de"", ""en"")"),"companions")</f>
        <v>companions</v>
      </c>
    </row>
    <row r="15589">
      <c r="A15589" s="1" t="s">
        <v>15588</v>
      </c>
      <c r="B15589" s="2" t="str">
        <f>IFERROR(__xludf.DUMMYFUNCTION("GOOGLETRANSLATE(A15589, ""de"", ""en"")"),"missing")</f>
        <v>missing</v>
      </c>
    </row>
    <row r="15590">
      <c r="A15590" s="1" t="s">
        <v>15589</v>
      </c>
      <c r="B15590" s="2" t="str">
        <f>IFERROR(__xludf.DUMMYFUNCTION("GOOGLETRANSLATE(A15590, ""de"", ""en"")"),"virginity")</f>
        <v>virginity</v>
      </c>
    </row>
    <row r="15591">
      <c r="A15591" s="1" t="s">
        <v>15590</v>
      </c>
      <c r="B15591" s="2" t="str">
        <f>IFERROR(__xludf.DUMMYFUNCTION("GOOGLETRANSLATE(A15591, ""de"", ""en"")"),"daily")</f>
        <v>daily</v>
      </c>
    </row>
    <row r="15592">
      <c r="A15592" s="1" t="s">
        <v>15591</v>
      </c>
      <c r="B15592" s="2" t="str">
        <f>IFERROR(__xludf.DUMMYFUNCTION("GOOGLETRANSLATE(A15592, ""de"", ""en"")"),"entertain")</f>
        <v>entertain</v>
      </c>
    </row>
    <row r="15593">
      <c r="A15593" s="1" t="s">
        <v>15592</v>
      </c>
      <c r="B15593" s="2" t="str">
        <f>IFERROR(__xludf.DUMMYFUNCTION("GOOGLETRANSLATE(A15593, ""de"", ""en"")"),"corsac")</f>
        <v>corsac</v>
      </c>
    </row>
    <row r="15594">
      <c r="A15594" s="1" t="s">
        <v>15593</v>
      </c>
      <c r="B15594" s="2" t="str">
        <f>IFERROR(__xludf.DUMMYFUNCTION("GOOGLETRANSLATE(A15594, ""de"", ""en"")"),"rock star")</f>
        <v>rock star</v>
      </c>
    </row>
    <row r="15595">
      <c r="A15595" s="1" t="s">
        <v>15594</v>
      </c>
      <c r="B15595" s="2" t="str">
        <f>IFERROR(__xludf.DUMMYFUNCTION("GOOGLETRANSLATE(A15595, ""de"", ""en"")"),"repressed")</f>
        <v>repressed</v>
      </c>
    </row>
    <row r="15596">
      <c r="A15596" s="1" t="s">
        <v>15595</v>
      </c>
      <c r="B15596" s="2" t="str">
        <f>IFERROR(__xludf.DUMMYFUNCTION("GOOGLETRANSLATE(A15596, ""de"", ""en"")"),"cement")</f>
        <v>cement</v>
      </c>
    </row>
    <row r="15597">
      <c r="A15597" s="1" t="s">
        <v>15596</v>
      </c>
      <c r="B15597" s="2" t="str">
        <f>IFERROR(__xludf.DUMMYFUNCTION("GOOGLETRANSLATE(A15597, ""de"", ""en"")"),"spare")</f>
        <v>spare</v>
      </c>
    </row>
    <row r="15598">
      <c r="A15598" s="1" t="s">
        <v>15597</v>
      </c>
      <c r="B15598" s="2" t="str">
        <f>IFERROR(__xludf.DUMMYFUNCTION("GOOGLETRANSLATE(A15598, ""de"", ""en"")"),"eternal")</f>
        <v>eternal</v>
      </c>
    </row>
    <row r="15599">
      <c r="A15599" s="1" t="s">
        <v>15598</v>
      </c>
      <c r="B15599" s="2" t="str">
        <f>IFERROR(__xludf.DUMMYFUNCTION("GOOGLETRANSLATE(A15599, ""de"", ""en"")"),"prohibited")</f>
        <v>prohibited</v>
      </c>
    </row>
    <row r="15600">
      <c r="A15600" s="1" t="s">
        <v>15599</v>
      </c>
      <c r="B15600" s="2" t="str">
        <f>IFERROR(__xludf.DUMMYFUNCTION("GOOGLETRANSLATE(A15600, ""de"", ""en"")"),"state")</f>
        <v>state</v>
      </c>
    </row>
    <row r="15601">
      <c r="A15601" s="1" t="s">
        <v>15600</v>
      </c>
      <c r="B15601" s="2" t="str">
        <f>IFERROR(__xludf.DUMMYFUNCTION("GOOGLETRANSLATE(A15601, ""de"", ""en"")"),"tubbs")</f>
        <v>tubbs</v>
      </c>
    </row>
    <row r="15602">
      <c r="A15602" s="1" t="s">
        <v>15601</v>
      </c>
      <c r="B15602" s="2" t="str">
        <f>IFERROR(__xludf.DUMMYFUNCTION("GOOGLETRANSLATE(A15602, ""de"", ""en"")"),"visage")</f>
        <v>visage</v>
      </c>
    </row>
    <row r="15603">
      <c r="A15603" s="1" t="s">
        <v>15602</v>
      </c>
      <c r="B15603" s="2" t="str">
        <f>IFERROR(__xludf.DUMMYFUNCTION("GOOGLETRANSLATE(A15603, ""de"", ""en"")"),"slip")</f>
        <v>slip</v>
      </c>
    </row>
    <row r="15604">
      <c r="A15604" s="1" t="s">
        <v>15603</v>
      </c>
      <c r="B15604" s="2" t="str">
        <f>IFERROR(__xludf.DUMMYFUNCTION("GOOGLETRANSLATE(A15604, ""de"", ""en"")"),"hunt")</f>
        <v>hunt</v>
      </c>
    </row>
    <row r="15605">
      <c r="A15605" s="1" t="s">
        <v>15604</v>
      </c>
      <c r="B15605" s="2" t="str">
        <f>IFERROR(__xludf.DUMMYFUNCTION("GOOGLETRANSLATE(A15605, ""de"", ""en"")"),"surrounds")</f>
        <v>surrounds</v>
      </c>
    </row>
    <row r="15606">
      <c r="A15606" s="1" t="s">
        <v>15605</v>
      </c>
      <c r="B15606" s="2" t="str">
        <f>IFERROR(__xludf.DUMMYFUNCTION("GOOGLETRANSLATE(A15606, ""de"", ""en"")"),"Konrad")</f>
        <v>Konrad</v>
      </c>
    </row>
    <row r="15607">
      <c r="A15607" s="1" t="s">
        <v>15606</v>
      </c>
      <c r="B15607" s="2" t="str">
        <f>IFERROR(__xludf.DUMMYFUNCTION("GOOGLETRANSLATE(A15607, ""de"", ""en"")"),"occupation")</f>
        <v>occupation</v>
      </c>
    </row>
    <row r="15608">
      <c r="A15608" s="1" t="s">
        <v>15607</v>
      </c>
      <c r="B15608" s="2" t="str">
        <f>IFERROR(__xludf.DUMMYFUNCTION("GOOGLETRANSLATE(A15608, ""de"", ""en"")"),"natives")</f>
        <v>natives</v>
      </c>
    </row>
    <row r="15609">
      <c r="A15609" s="1" t="s">
        <v>15608</v>
      </c>
      <c r="B15609" s="2" t="str">
        <f>IFERROR(__xludf.DUMMYFUNCTION("GOOGLETRANSLATE(A15609, ""de"", ""en"")"),"delicate")</f>
        <v>delicate</v>
      </c>
    </row>
    <row r="15610">
      <c r="A15610" s="1" t="s">
        <v>15609</v>
      </c>
      <c r="B15610" s="2" t="str">
        <f>IFERROR(__xludf.DUMMYFUNCTION("GOOGLETRANSLATE(A15610, ""de"", ""en"")"),"withstand")</f>
        <v>withstand</v>
      </c>
    </row>
    <row r="15611">
      <c r="A15611" s="1" t="s">
        <v>15610</v>
      </c>
      <c r="B15611" s="2" t="str">
        <f>IFERROR(__xludf.DUMMYFUNCTION("GOOGLETRANSLATE(A15611, ""de"", ""en"")"),"Reilly")</f>
        <v>Reilly</v>
      </c>
    </row>
    <row r="15612">
      <c r="A15612" s="1" t="s">
        <v>15611</v>
      </c>
      <c r="B15612" s="2" t="str">
        <f>IFERROR(__xludf.DUMMYFUNCTION("GOOGLETRANSLATE(A15612, ""de"", ""en"")"),"scream")</f>
        <v>scream</v>
      </c>
    </row>
    <row r="15613">
      <c r="A15613" s="1" t="s">
        <v>15612</v>
      </c>
      <c r="B15613" s="2" t="str">
        <f>IFERROR(__xludf.DUMMYFUNCTION("GOOGLETRANSLATE(A15613, ""de"", ""en"")"),"able")</f>
        <v>able</v>
      </c>
    </row>
    <row r="15614">
      <c r="A15614" s="1" t="s">
        <v>15613</v>
      </c>
      <c r="B15614" s="2" t="str">
        <f>IFERROR(__xludf.DUMMYFUNCTION("GOOGLETRANSLATE(A15614, ""de"", ""en"")"),"shoelaces")</f>
        <v>shoelaces</v>
      </c>
    </row>
    <row r="15615">
      <c r="A15615" s="1" t="s">
        <v>15614</v>
      </c>
      <c r="B15615" s="2" t="str">
        <f>IFERROR(__xludf.DUMMYFUNCTION("GOOGLETRANSLATE(A15615, ""de"", ""en"")"),"ambulance")</f>
        <v>ambulance</v>
      </c>
    </row>
    <row r="15616">
      <c r="A15616" s="1" t="s">
        <v>15615</v>
      </c>
      <c r="B15616" s="2" t="str">
        <f>IFERROR(__xludf.DUMMYFUNCTION("GOOGLETRANSLATE(A15616, ""de"", ""en"")"),"gala")</f>
        <v>gala</v>
      </c>
    </row>
    <row r="15617">
      <c r="A15617" s="1" t="s">
        <v>15616</v>
      </c>
      <c r="B15617" s="2" t="str">
        <f>IFERROR(__xludf.DUMMYFUNCTION("GOOGLETRANSLATE(A15617, ""de"", ""en"")"),"fagots")</f>
        <v>fagots</v>
      </c>
    </row>
    <row r="15618">
      <c r="A15618" s="1" t="s">
        <v>15617</v>
      </c>
      <c r="B15618" s="2" t="str">
        <f>IFERROR(__xludf.DUMMYFUNCTION("GOOGLETRANSLATE(A15618, ""de"", ""en"")"),"memorial")</f>
        <v>memorial</v>
      </c>
    </row>
    <row r="15619">
      <c r="A15619" s="1" t="s">
        <v>15618</v>
      </c>
      <c r="B15619" s="2" t="str">
        <f>IFERROR(__xludf.DUMMYFUNCTION("GOOGLETRANSLATE(A15619, ""de"", ""en"")"),"stands out")</f>
        <v>stands out</v>
      </c>
    </row>
    <row r="15620">
      <c r="A15620" s="1" t="s">
        <v>15619</v>
      </c>
      <c r="B15620" s="2" t="str">
        <f>IFERROR(__xludf.DUMMYFUNCTION("GOOGLETRANSLATE(A15620, ""de"", ""en"")"),"get used to")</f>
        <v>get used to</v>
      </c>
    </row>
    <row r="15621">
      <c r="A15621" s="1" t="s">
        <v>15620</v>
      </c>
      <c r="B15621" s="2" t="str">
        <f>IFERROR(__xludf.DUMMYFUNCTION("GOOGLETRANSLATE(A15621, ""de"", ""en"")"),"exceeds")</f>
        <v>exceeds</v>
      </c>
    </row>
    <row r="15622">
      <c r="A15622" s="1" t="s">
        <v>15621</v>
      </c>
      <c r="B15622" s="2" t="str">
        <f>IFERROR(__xludf.DUMMYFUNCTION("GOOGLETRANSLATE(A15622, ""de"", ""en"")"),"courageous")</f>
        <v>courageous</v>
      </c>
    </row>
    <row r="15623">
      <c r="A15623" s="1" t="s">
        <v>15622</v>
      </c>
      <c r="B15623" s="2" t="str">
        <f>IFERROR(__xludf.DUMMYFUNCTION("GOOGLETRANSLATE(A15623, ""de"", ""en"")"),"pyre")</f>
        <v>pyre</v>
      </c>
    </row>
    <row r="15624">
      <c r="A15624" s="1" t="s">
        <v>15623</v>
      </c>
      <c r="B15624" s="2" t="str">
        <f>IFERROR(__xludf.DUMMYFUNCTION("GOOGLETRANSLATE(A15624, ""de"", ""en"")"),"permanent")</f>
        <v>permanent</v>
      </c>
    </row>
    <row r="15625">
      <c r="A15625" s="1" t="s">
        <v>15624</v>
      </c>
      <c r="B15625" s="2" t="str">
        <f>IFERROR(__xludf.DUMMYFUNCTION("GOOGLETRANSLATE(A15625, ""de"", ""en"")"),"did")</f>
        <v>did</v>
      </c>
    </row>
    <row r="15626">
      <c r="A15626" s="1" t="s">
        <v>15625</v>
      </c>
      <c r="B15626" s="2" t="str">
        <f>IFERROR(__xludf.DUMMYFUNCTION("GOOGLETRANSLATE(A15626, ""de"", ""en"")"),"kã")</f>
        <v>kã</v>
      </c>
    </row>
    <row r="15627">
      <c r="A15627" s="1" t="s">
        <v>15626</v>
      </c>
      <c r="B15627" s="2" t="str">
        <f>IFERROR(__xludf.DUMMYFUNCTION("GOOGLETRANSLATE(A15627, ""de"", ""en"")"),"backdrops")</f>
        <v>backdrops</v>
      </c>
    </row>
    <row r="15628">
      <c r="A15628" s="1" t="s">
        <v>15627</v>
      </c>
      <c r="B15628" s="2" t="str">
        <f>IFERROR(__xludf.DUMMYFUNCTION("GOOGLETRANSLATE(A15628, ""de"", ""en"")"),"psychiatric")</f>
        <v>psychiatric</v>
      </c>
    </row>
    <row r="15629">
      <c r="A15629" s="1" t="s">
        <v>15628</v>
      </c>
      <c r="B15629" s="2" t="str">
        <f>IFERROR(__xludf.DUMMYFUNCTION("GOOGLETRANSLATE(A15629, ""de"", ""en"")"),"armand")</f>
        <v>armand</v>
      </c>
    </row>
    <row r="15630">
      <c r="A15630" s="1" t="s">
        <v>15629</v>
      </c>
      <c r="B15630" s="2" t="str">
        <f>IFERROR(__xludf.DUMMYFUNCTION("GOOGLETRANSLATE(A15630, ""de"", ""en"")"),"put together")</f>
        <v>put together</v>
      </c>
    </row>
    <row r="15631">
      <c r="A15631" s="1" t="s">
        <v>15630</v>
      </c>
      <c r="B15631" s="2" t="str">
        <f>IFERROR(__xludf.DUMMYFUNCTION("GOOGLETRANSLATE(A15631, ""de"", ""en"")"),"more official")</f>
        <v>more official</v>
      </c>
    </row>
    <row r="15632">
      <c r="A15632" s="1" t="s">
        <v>15631</v>
      </c>
      <c r="B15632" s="2" t="str">
        <f>IFERROR(__xludf.DUMMYFUNCTION("GOOGLETRANSLATE(A15632, ""de"", ""en"")"),"complied with")</f>
        <v>complied with</v>
      </c>
    </row>
    <row r="15633">
      <c r="A15633" s="1" t="s">
        <v>15632</v>
      </c>
      <c r="B15633" s="2" t="str">
        <f>IFERROR(__xludf.DUMMYFUNCTION("GOOGLETRANSLATE(A15633, ""de"", ""en"")"),"oakland")</f>
        <v>oakland</v>
      </c>
    </row>
    <row r="15634">
      <c r="A15634" s="1" t="s">
        <v>15633</v>
      </c>
      <c r="B15634" s="2" t="str">
        <f>IFERROR(__xludf.DUMMYFUNCTION("GOOGLETRANSLATE(A15634, ""de"", ""en"")"),"lucky")</f>
        <v>lucky</v>
      </c>
    </row>
    <row r="15635">
      <c r="A15635" s="1" t="s">
        <v>15634</v>
      </c>
      <c r="B15635" s="2" t="str">
        <f>IFERROR(__xludf.DUMMYFUNCTION("GOOGLETRANSLATE(A15635, ""de"", ""en"")"),"crichton")</f>
        <v>crichton</v>
      </c>
    </row>
    <row r="15636">
      <c r="A15636" s="1" t="s">
        <v>15635</v>
      </c>
      <c r="B15636" s="2" t="str">
        <f>IFERROR(__xludf.DUMMYFUNCTION("GOOGLETRANSLATE(A15636, ""de"", ""en"")"),"wink")</f>
        <v>wink</v>
      </c>
    </row>
    <row r="15637">
      <c r="A15637" s="1" t="s">
        <v>15636</v>
      </c>
      <c r="B15637" s="2" t="str">
        <f>IFERROR(__xludf.DUMMYFUNCTION("GOOGLETRANSLATE(A15637, ""de"", ""en"")"),"Jacky")</f>
        <v>Jacky</v>
      </c>
    </row>
    <row r="15638">
      <c r="A15638" s="1" t="s">
        <v>15637</v>
      </c>
      <c r="B15638" s="2" t="str">
        <f>IFERROR(__xludf.DUMMYFUNCTION("GOOGLETRANSLATE(A15638, ""de"", ""en"")"),"survived")</f>
        <v>survived</v>
      </c>
    </row>
    <row r="15639">
      <c r="A15639" s="1" t="s">
        <v>15638</v>
      </c>
      <c r="B15639" s="2" t="str">
        <f>IFERROR(__xludf.DUMMYFUNCTION("GOOGLETRANSLATE(A15639, ""de"", ""en"")"),"radius")</f>
        <v>radius</v>
      </c>
    </row>
    <row r="15640">
      <c r="A15640" s="1" t="s">
        <v>15639</v>
      </c>
      <c r="B15640" s="2" t="str">
        <f>IFERROR(__xludf.DUMMYFUNCTION("GOOGLETRANSLATE(A15640, ""de"", ""en"")"),"offspring")</f>
        <v>offspring</v>
      </c>
    </row>
    <row r="15641">
      <c r="A15641" s="1" t="s">
        <v>15640</v>
      </c>
      <c r="B15641" s="2" t="str">
        <f>IFERROR(__xludf.DUMMYFUNCTION("GOOGLETRANSLATE(A15641, ""de"", ""en"")"),"whines")</f>
        <v>whines</v>
      </c>
    </row>
    <row r="15642">
      <c r="A15642" s="1" t="s">
        <v>15641</v>
      </c>
      <c r="B15642" s="2" t="str">
        <f>IFERROR(__xludf.DUMMYFUNCTION("GOOGLETRANSLATE(A15642, ""de"", ""en"")"),"more natural")</f>
        <v>more natural</v>
      </c>
    </row>
    <row r="15643">
      <c r="A15643" s="1" t="s">
        <v>15642</v>
      </c>
      <c r="B15643" s="2" t="str">
        <f>IFERROR(__xludf.DUMMYFUNCTION("GOOGLETRANSLATE(A15643, ""de"", ""en"")"),"Kristen")</f>
        <v>Kristen</v>
      </c>
    </row>
    <row r="15644">
      <c r="A15644" s="1" t="s">
        <v>15643</v>
      </c>
      <c r="B15644" s="2" t="str">
        <f>IFERROR(__xludf.DUMMYFUNCTION("GOOGLETRANSLATE(A15644, ""de"", ""en"")"),"cracks")</f>
        <v>cracks</v>
      </c>
    </row>
    <row r="15645">
      <c r="A15645" s="1" t="s">
        <v>15644</v>
      </c>
      <c r="B15645" s="2" t="str">
        <f>IFERROR(__xludf.DUMMYFUNCTION("GOOGLETRANSLATE(A15645, ""de"", ""en"")"),"stewardess")</f>
        <v>stewardess</v>
      </c>
    </row>
    <row r="15646">
      <c r="A15646" s="1" t="s">
        <v>15645</v>
      </c>
      <c r="B15646" s="2" t="str">
        <f>IFERROR(__xludf.DUMMYFUNCTION("GOOGLETRANSLATE(A15646, ""de"", ""en"")"),"babies")</f>
        <v>babies</v>
      </c>
    </row>
    <row r="15647">
      <c r="A15647" s="1" t="s">
        <v>15646</v>
      </c>
      <c r="B15647" s="2" t="str">
        <f>IFERROR(__xludf.DUMMYFUNCTION("GOOGLETRANSLATE(A15647, ""de"", ""en"")"),"gifts")</f>
        <v>gifts</v>
      </c>
    </row>
    <row r="15648">
      <c r="A15648" s="1" t="s">
        <v>15647</v>
      </c>
      <c r="B15648" s="2" t="str">
        <f>IFERROR(__xludf.DUMMYFUNCTION("GOOGLETRANSLATE(A15648, ""de"", ""en"")"),"labs")</f>
        <v>labs</v>
      </c>
    </row>
    <row r="15649">
      <c r="A15649" s="1" t="s">
        <v>15648</v>
      </c>
      <c r="B15649" s="2" t="str">
        <f>IFERROR(__xludf.DUMMYFUNCTION("GOOGLETRANSLATE(A15649, ""de"", ""en"")"),"private")</f>
        <v>private</v>
      </c>
    </row>
    <row r="15650">
      <c r="A15650" s="1" t="s">
        <v>15649</v>
      </c>
      <c r="B15650" s="2" t="str">
        <f>IFERROR(__xludf.DUMMYFUNCTION("GOOGLETRANSLATE(A15650, ""de"", ""en"")"),"dirty")</f>
        <v>dirty</v>
      </c>
    </row>
    <row r="15651">
      <c r="A15651" s="1" t="s">
        <v>15650</v>
      </c>
      <c r="B15651" s="2" t="str">
        <f>IFERROR(__xludf.DUMMYFUNCTION("GOOGLETRANSLATE(A15651, ""de"", ""en"")"),"full")</f>
        <v>full</v>
      </c>
    </row>
    <row r="15652">
      <c r="A15652" s="1" t="s">
        <v>15651</v>
      </c>
      <c r="B15652" s="2" t="str">
        <f>IFERROR(__xludf.DUMMYFUNCTION("GOOGLETRANSLATE(A15652, ""de"", ""en"")"),"Garfield")</f>
        <v>Garfield</v>
      </c>
    </row>
    <row r="15653">
      <c r="A15653" s="1" t="s">
        <v>15652</v>
      </c>
      <c r="B15653" s="2" t="str">
        <f>IFERROR(__xludf.DUMMYFUNCTION("GOOGLETRANSLATE(A15653, ""de"", ""en"")"),"endless")</f>
        <v>endless</v>
      </c>
    </row>
    <row r="15654">
      <c r="A15654" s="1" t="s">
        <v>15653</v>
      </c>
      <c r="B15654" s="2" t="str">
        <f>IFERROR(__xludf.DUMMYFUNCTION("GOOGLETRANSLATE(A15654, ""de"", ""en"")"),"unsuccessful")</f>
        <v>unsuccessful</v>
      </c>
    </row>
    <row r="15655">
      <c r="A15655" s="1" t="s">
        <v>15654</v>
      </c>
      <c r="B15655" s="2" t="str">
        <f>IFERROR(__xludf.DUMMYFUNCTION("GOOGLETRANSLATE(A15655, ""de"", ""en"")"),"destiny")</f>
        <v>destiny</v>
      </c>
    </row>
    <row r="15656">
      <c r="A15656" s="1" t="s">
        <v>15655</v>
      </c>
      <c r="B15656" s="2" t="str">
        <f>IFERROR(__xludf.DUMMYFUNCTION("GOOGLETRANSLATE(A15656, ""de"", ""en"")"),"pharaoh")</f>
        <v>pharaoh</v>
      </c>
    </row>
    <row r="15657">
      <c r="A15657" s="1" t="s">
        <v>15656</v>
      </c>
      <c r="B15657" s="2" t="str">
        <f>IFERROR(__xludf.DUMMYFUNCTION("GOOGLETRANSLATE(A15657, ""de"", ""en"")"),"smooch")</f>
        <v>smooch</v>
      </c>
    </row>
    <row r="15658">
      <c r="A15658" s="1" t="s">
        <v>15657</v>
      </c>
      <c r="B15658" s="2" t="str">
        <f>IFERROR(__xludf.DUMMYFUNCTION("GOOGLETRANSLATE(A15658, ""de"", ""en"")"),"legitimate")</f>
        <v>legitimate</v>
      </c>
    </row>
    <row r="15659">
      <c r="A15659" s="1" t="s">
        <v>15658</v>
      </c>
      <c r="B15659" s="2" t="str">
        <f>IFERROR(__xludf.DUMMYFUNCTION("GOOGLETRANSLATE(A15659, ""de"", ""en"")"),"sutter")</f>
        <v>sutter</v>
      </c>
    </row>
    <row r="15660">
      <c r="A15660" s="1" t="s">
        <v>15659</v>
      </c>
      <c r="B15660" s="2" t="str">
        <f>IFERROR(__xludf.DUMMYFUNCTION("GOOGLETRANSLATE(A15660, ""de"", ""en"")"),"love story")</f>
        <v>love story</v>
      </c>
    </row>
    <row r="15661">
      <c r="A15661" s="1" t="s">
        <v>15660</v>
      </c>
      <c r="B15661" s="2" t="str">
        <f>IFERROR(__xludf.DUMMYFUNCTION("GOOGLETRANSLATE(A15661, ""de"", ""en"")"),"emergencies")</f>
        <v>emergencies</v>
      </c>
    </row>
    <row r="15662">
      <c r="A15662" s="1" t="s">
        <v>15661</v>
      </c>
      <c r="B15662" s="2" t="str">
        <f>IFERROR(__xludf.DUMMYFUNCTION("GOOGLETRANSLATE(A15662, ""de"", ""en"")"),"donate")</f>
        <v>donate</v>
      </c>
    </row>
    <row r="15663">
      <c r="A15663" s="1" t="s">
        <v>15662</v>
      </c>
      <c r="B15663" s="2" t="str">
        <f>IFERROR(__xludf.DUMMYFUNCTION("GOOGLETRANSLATE(A15663, ""de"", ""en"")"),"bookstore")</f>
        <v>bookstore</v>
      </c>
    </row>
    <row r="15664">
      <c r="A15664" s="1" t="s">
        <v>15663</v>
      </c>
      <c r="B15664" s="2" t="str">
        <f>IFERROR(__xludf.DUMMYFUNCTION("GOOGLETRANSLATE(A15664, ""de"", ""en"")"),"abbie")</f>
        <v>abbie</v>
      </c>
    </row>
    <row r="15665">
      <c r="A15665" s="1" t="s">
        <v>15664</v>
      </c>
      <c r="B15665" s="2" t="str">
        <f>IFERROR(__xludf.DUMMYFUNCTION("GOOGLETRANSLATE(A15665, ""de"", ""en"")"),"superpowers")</f>
        <v>superpowers</v>
      </c>
    </row>
    <row r="15666">
      <c r="A15666" s="1" t="s">
        <v>15665</v>
      </c>
      <c r="B15666" s="2" t="str">
        <f>IFERROR(__xludf.DUMMYFUNCTION("GOOGLETRANSLATE(A15666, ""de"", ""en"")"),"collected")</f>
        <v>collected</v>
      </c>
    </row>
    <row r="15667">
      <c r="A15667" s="1" t="s">
        <v>15666</v>
      </c>
      <c r="B15667" s="2" t="str">
        <f>IFERROR(__xludf.DUMMYFUNCTION("GOOGLETRANSLATE(A15667, ""de"", ""en"")"),"fake")</f>
        <v>fake</v>
      </c>
    </row>
    <row r="15668">
      <c r="A15668" s="1" t="s">
        <v>15667</v>
      </c>
      <c r="B15668" s="2" t="str">
        <f>IFERROR(__xludf.DUMMYFUNCTION("GOOGLETRANSLATE(A15668, ""de"", ""en"")"),"more armed")</f>
        <v>more armed</v>
      </c>
    </row>
    <row r="15669">
      <c r="A15669" s="1" t="s">
        <v>15668</v>
      </c>
      <c r="B15669" s="2" t="str">
        <f>IFERROR(__xludf.DUMMYFUNCTION("GOOGLETRANSLATE(A15669, ""de"", ""en"")"),"architects")</f>
        <v>architects</v>
      </c>
    </row>
    <row r="15670">
      <c r="A15670" s="1" t="s">
        <v>15669</v>
      </c>
      <c r="B15670" s="2" t="str">
        <f>IFERROR(__xludf.DUMMYFUNCTION("GOOGLETRANSLATE(A15670, ""de"", ""en"")"),"shaped")</f>
        <v>shaped</v>
      </c>
    </row>
    <row r="15671">
      <c r="A15671" s="1" t="s">
        <v>15670</v>
      </c>
      <c r="B15671" s="2" t="str">
        <f>IFERROR(__xludf.DUMMYFUNCTION("GOOGLETRANSLATE(A15671, ""de"", ""en"")"),"tourist")</f>
        <v>tourist</v>
      </c>
    </row>
    <row r="15672">
      <c r="A15672" s="1" t="s">
        <v>15671</v>
      </c>
      <c r="B15672" s="2" t="str">
        <f>IFERROR(__xludf.DUMMYFUNCTION("GOOGLETRANSLATE(A15672, ""de"", ""en"")"),"Delia")</f>
        <v>Delia</v>
      </c>
    </row>
    <row r="15673">
      <c r="A15673" s="1" t="s">
        <v>15672</v>
      </c>
      <c r="B15673" s="2" t="str">
        <f>IFERROR(__xludf.DUMMYFUNCTION("GOOGLETRANSLATE(A15673, ""de"", ""en"")"),"preaching")</f>
        <v>preaching</v>
      </c>
    </row>
    <row r="15674">
      <c r="A15674" s="1" t="s">
        <v>15673</v>
      </c>
      <c r="B15674" s="2" t="str">
        <f>IFERROR(__xludf.DUMMYFUNCTION("GOOGLETRANSLATE(A15674, ""de"", ""en"")"),"tonic")</f>
        <v>tonic</v>
      </c>
    </row>
    <row r="15675">
      <c r="A15675" s="1" t="s">
        <v>15674</v>
      </c>
      <c r="B15675" s="2" t="str">
        <f>IFERROR(__xludf.DUMMYFUNCTION("GOOGLETRANSLATE(A15675, ""de"", ""en"")"),"threaded")</f>
        <v>threaded</v>
      </c>
    </row>
    <row r="15676">
      <c r="A15676" s="1" t="s">
        <v>15675</v>
      </c>
      <c r="B15676" s="2" t="str">
        <f>IFERROR(__xludf.DUMMYFUNCTION("GOOGLETRANSLATE(A15676, ""de"", ""en"")"),"geronimo")</f>
        <v>geronimo</v>
      </c>
    </row>
    <row r="15677">
      <c r="A15677" s="1" t="s">
        <v>15676</v>
      </c>
      <c r="B15677" s="2" t="str">
        <f>IFERROR(__xludf.DUMMYFUNCTION("GOOGLETRANSLATE(A15677, ""de"", ""en"")"),"titanium")</f>
        <v>titanium</v>
      </c>
    </row>
    <row r="15678">
      <c r="A15678" s="1" t="s">
        <v>15677</v>
      </c>
      <c r="B15678" s="2" t="str">
        <f>IFERROR(__xludf.DUMMYFUNCTION("GOOGLETRANSLATE(A15678, ""de"", ""en"")"),"factor")</f>
        <v>factor</v>
      </c>
    </row>
    <row r="15679">
      <c r="A15679" s="1" t="s">
        <v>15678</v>
      </c>
      <c r="B15679" s="2" t="str">
        <f>IFERROR(__xludf.DUMMYFUNCTION("GOOGLETRANSLATE(A15679, ""de"", ""en"")"),"examined")</f>
        <v>examined</v>
      </c>
    </row>
    <row r="15680">
      <c r="A15680" s="1" t="s">
        <v>15679</v>
      </c>
      <c r="B15680" s="2" t="str">
        <f>IFERROR(__xludf.DUMMYFUNCTION("GOOGLETRANSLATE(A15680, ""de"", ""en"")"),"would be called")</f>
        <v>would be called</v>
      </c>
    </row>
    <row r="15681">
      <c r="A15681" s="1" t="s">
        <v>15680</v>
      </c>
      <c r="B15681" s="2" t="str">
        <f>IFERROR(__xludf.DUMMYFUNCTION("GOOGLETRANSLATE(A15681, ""de"", ""en"")"),"ig")</f>
        <v>ig</v>
      </c>
    </row>
    <row r="15682">
      <c r="A15682" s="1" t="s">
        <v>15681</v>
      </c>
      <c r="B15682" s="2" t="str">
        <f>IFERROR(__xludf.DUMMYFUNCTION("GOOGLETRANSLATE(A15682, ""de"", ""en"")"),"stalk")</f>
        <v>stalk</v>
      </c>
    </row>
    <row r="15683">
      <c r="A15683" s="1" t="s">
        <v>15682</v>
      </c>
      <c r="B15683" s="2" t="str">
        <f>IFERROR(__xludf.DUMMYFUNCTION("GOOGLETRANSLATE(A15683, ""de"", ""en"")"),"galaxy")</f>
        <v>galaxy</v>
      </c>
    </row>
    <row r="15684">
      <c r="A15684" s="1" t="s">
        <v>15683</v>
      </c>
      <c r="B15684" s="2" t="str">
        <f>IFERROR(__xludf.DUMMYFUNCTION("GOOGLETRANSLATE(A15684, ""de"", ""en"")"),"force")</f>
        <v>force</v>
      </c>
    </row>
    <row r="15685">
      <c r="A15685" s="1" t="s">
        <v>15684</v>
      </c>
      <c r="B15685" s="2" t="str">
        <f>IFERROR(__xludf.DUMMYFUNCTION("GOOGLETRANSLATE(A15685, ""de"", ""en"")"),"channel")</f>
        <v>channel</v>
      </c>
    </row>
    <row r="15686">
      <c r="A15686" s="1" t="s">
        <v>15685</v>
      </c>
      <c r="B15686" s="2" t="str">
        <f>IFERROR(__xludf.DUMMYFUNCTION("GOOGLETRANSLATE(A15686, ""de"", ""en"")"),"corporate")</f>
        <v>corporate</v>
      </c>
    </row>
    <row r="15687">
      <c r="A15687" s="1" t="s">
        <v>15686</v>
      </c>
      <c r="B15687" s="2" t="str">
        <f>IFERROR(__xludf.DUMMYFUNCTION("GOOGLETRANSLATE(A15687, ""de"", ""en"")"),"puerto")</f>
        <v>puerto</v>
      </c>
    </row>
    <row r="15688">
      <c r="A15688" s="1" t="s">
        <v>15687</v>
      </c>
      <c r="B15688" s="2" t="str">
        <f>IFERROR(__xludf.DUMMYFUNCTION("GOOGLETRANSLATE(A15688, ""de"", ""en"")"),"get out")</f>
        <v>get out</v>
      </c>
    </row>
    <row r="15689">
      <c r="A15689" s="1" t="s">
        <v>15688</v>
      </c>
      <c r="B15689" s="2" t="str">
        <f>IFERROR(__xludf.DUMMYFUNCTION("GOOGLETRANSLATE(A15689, ""de"", ""en"")"),"murder weapon")</f>
        <v>murder weapon</v>
      </c>
    </row>
    <row r="15690">
      <c r="A15690" s="1" t="s">
        <v>15689</v>
      </c>
      <c r="B15690" s="2" t="str">
        <f>IFERROR(__xludf.DUMMYFUNCTION("GOOGLETRANSLATE(A15690, ""de"", ""en"")"),"mall")</f>
        <v>mall</v>
      </c>
    </row>
    <row r="15691">
      <c r="A15691" s="1" t="s">
        <v>15690</v>
      </c>
      <c r="B15691" s="2" t="str">
        <f>IFERROR(__xludf.DUMMYFUNCTION("GOOGLETRANSLATE(A15691, ""de"", ""en"")"),"offensive")</f>
        <v>offensive</v>
      </c>
    </row>
    <row r="15692">
      <c r="A15692" s="1" t="s">
        <v>15691</v>
      </c>
      <c r="B15692" s="2" t="str">
        <f>IFERROR(__xludf.DUMMYFUNCTION("GOOGLETRANSLATE(A15692, ""de"", ""en"")"),"claim")</f>
        <v>claim</v>
      </c>
    </row>
    <row r="15693">
      <c r="A15693" s="1" t="s">
        <v>15692</v>
      </c>
      <c r="B15693" s="2" t="str">
        <f>IFERROR(__xludf.DUMMYFUNCTION("GOOGLETRANSLATE(A15693, ""de"", ""en"")"),"longs")</f>
        <v>longs</v>
      </c>
    </row>
    <row r="15694">
      <c r="A15694" s="1" t="s">
        <v>15693</v>
      </c>
      <c r="B15694" s="2" t="str">
        <f>IFERROR(__xludf.DUMMYFUNCTION("GOOGLETRANSLATE(A15694, ""de"", ""en"")"),"mã")</f>
        <v>mã</v>
      </c>
    </row>
    <row r="15695">
      <c r="A15695" s="1" t="s">
        <v>15694</v>
      </c>
      <c r="B15695" s="2" t="str">
        <f>IFERROR(__xludf.DUMMYFUNCTION("GOOGLETRANSLATE(A15695, ""de"", ""en"")"),"type")</f>
        <v>type</v>
      </c>
    </row>
    <row r="15696">
      <c r="A15696" s="1" t="s">
        <v>15695</v>
      </c>
      <c r="B15696" s="2" t="str">
        <f>IFERROR(__xludf.DUMMYFUNCTION("GOOGLETRANSLATE(A15696, ""de"", ""en"")"),"as long as")</f>
        <v>as long as</v>
      </c>
    </row>
    <row r="15697">
      <c r="A15697" s="1" t="s">
        <v>15696</v>
      </c>
      <c r="B15697" s="2" t="str">
        <f>IFERROR(__xludf.DUMMYFUNCTION("GOOGLETRANSLATE(A15697, ""de"", ""en"")"),"flatter")</f>
        <v>flatter</v>
      </c>
    </row>
    <row r="15698">
      <c r="A15698" s="1" t="s">
        <v>15697</v>
      </c>
      <c r="B15698" s="2" t="str">
        <f>IFERROR(__xludf.DUMMYFUNCTION("GOOGLETRANSLATE(A15698, ""de"", ""en"")"),"assume")</f>
        <v>assume</v>
      </c>
    </row>
    <row r="15699">
      <c r="A15699" s="1" t="s">
        <v>15698</v>
      </c>
      <c r="B15699" s="2" t="str">
        <f>IFERROR(__xludf.DUMMYFUNCTION("GOOGLETRANSLATE(A15699, ""de"", ""en"")"),"convinced")</f>
        <v>convinced</v>
      </c>
    </row>
    <row r="15700">
      <c r="A15700" s="1" t="s">
        <v>15699</v>
      </c>
      <c r="B15700" s="2" t="str">
        <f>IFERROR(__xludf.DUMMYFUNCTION("GOOGLETRANSLATE(A15700, ""de"", ""en"")"),"employee")</f>
        <v>employee</v>
      </c>
    </row>
    <row r="15701">
      <c r="A15701" s="1" t="s">
        <v>15700</v>
      </c>
      <c r="B15701" s="2" t="str">
        <f>IFERROR(__xludf.DUMMYFUNCTION("GOOGLETRANSLATE(A15701, ""de"", ""en"")"),"pull away")</f>
        <v>pull away</v>
      </c>
    </row>
    <row r="15702">
      <c r="A15702" s="1" t="s">
        <v>15701</v>
      </c>
      <c r="B15702" s="2" t="str">
        <f>IFERROR(__xludf.DUMMYFUNCTION("GOOGLETRANSLATE(A15702, ""de"", ""en"")"),"tenderness")</f>
        <v>tenderness</v>
      </c>
    </row>
    <row r="15703">
      <c r="A15703" s="1" t="s">
        <v>15702</v>
      </c>
      <c r="B15703" s="2" t="str">
        <f>IFERROR(__xludf.DUMMYFUNCTION("GOOGLETRANSLATE(A15703, ""de"", ""en"")"),"hoe")</f>
        <v>hoe</v>
      </c>
    </row>
    <row r="15704">
      <c r="A15704" s="1" t="s">
        <v>15703</v>
      </c>
      <c r="B15704" s="2" t="str">
        <f>IFERROR(__xludf.DUMMYFUNCTION("GOOGLETRANSLATE(A15704, ""de"", ""en"")"),"stupid")</f>
        <v>stupid</v>
      </c>
    </row>
    <row r="15705">
      <c r="A15705" s="1" t="s">
        <v>15704</v>
      </c>
      <c r="B15705" s="2" t="str">
        <f>IFERROR(__xludf.DUMMYFUNCTION("GOOGLETRANSLATE(A15705, ""de"", ""en"")"),"mentally ill")</f>
        <v>mentally ill</v>
      </c>
    </row>
    <row r="15706">
      <c r="A15706" s="1" t="s">
        <v>15705</v>
      </c>
      <c r="B15706" s="2" t="str">
        <f>IFERROR(__xludf.DUMMYFUNCTION("GOOGLETRANSLATE(A15706, ""de"", ""en"")"),"perceive")</f>
        <v>perceive</v>
      </c>
    </row>
    <row r="15707">
      <c r="A15707" s="1" t="s">
        <v>15706</v>
      </c>
      <c r="B15707" s="2" t="str">
        <f>IFERROR(__xludf.DUMMYFUNCTION("GOOGLETRANSLATE(A15707, ""de"", ""en"")"),"absorbs")</f>
        <v>absorbs</v>
      </c>
    </row>
    <row r="15708">
      <c r="A15708" s="1" t="s">
        <v>15707</v>
      </c>
      <c r="B15708" s="2" t="str">
        <f>IFERROR(__xludf.DUMMYFUNCTION("GOOGLETRANSLATE(A15708, ""de"", ""en"")"),"nothing")</f>
        <v>nothing</v>
      </c>
    </row>
    <row r="15709">
      <c r="A15709" s="1" t="s">
        <v>15708</v>
      </c>
      <c r="B15709" s="2" t="str">
        <f>IFERROR(__xludf.DUMMYFUNCTION("GOOGLETRANSLATE(A15709, ""de"", ""en"")"),"presidium")</f>
        <v>presidium</v>
      </c>
    </row>
    <row r="15710">
      <c r="A15710" s="1" t="s">
        <v>15709</v>
      </c>
      <c r="B15710" s="2" t="str">
        <f>IFERROR(__xludf.DUMMYFUNCTION("GOOGLETRANSLATE(A15710, ""de"", ""en"")"),"applicant")</f>
        <v>applicant</v>
      </c>
    </row>
    <row r="15711">
      <c r="A15711" s="1" t="s">
        <v>15710</v>
      </c>
      <c r="B15711" s="2" t="str">
        <f>IFERROR(__xludf.DUMMYFUNCTION("GOOGLETRANSLATE(A15711, ""de"", ""en"")"),"spiritual")</f>
        <v>spiritual</v>
      </c>
    </row>
    <row r="15712">
      <c r="A15712" s="1" t="s">
        <v>15711</v>
      </c>
      <c r="B15712" s="2" t="str">
        <f>IFERROR(__xludf.DUMMYFUNCTION("GOOGLETRANSLATE(A15712, ""de"", ""en"")"),"cheerful")</f>
        <v>cheerful</v>
      </c>
    </row>
    <row r="15713">
      <c r="A15713" s="1" t="s">
        <v>15712</v>
      </c>
      <c r="B15713" s="2" t="str">
        <f>IFERROR(__xludf.DUMMYFUNCTION("GOOGLETRANSLATE(A15713, ""de"", ""en"")"),"tension")</f>
        <v>tension</v>
      </c>
    </row>
    <row r="15714">
      <c r="A15714" s="1" t="s">
        <v>15713</v>
      </c>
      <c r="B15714" s="2" t="str">
        <f>IFERROR(__xludf.DUMMYFUNCTION("GOOGLETRANSLATE(A15714, ""de"", ""en"")"),"claim")</f>
        <v>claim</v>
      </c>
    </row>
    <row r="15715">
      <c r="A15715" s="1" t="s">
        <v>15714</v>
      </c>
      <c r="B15715" s="2" t="str">
        <f>IFERROR(__xludf.DUMMYFUNCTION("GOOGLETRANSLATE(A15715, ""de"", ""en"")"),"climbs")</f>
        <v>climbs</v>
      </c>
    </row>
    <row r="15716">
      <c r="A15716" s="1" t="s">
        <v>15715</v>
      </c>
      <c r="B15716" s="2" t="str">
        <f>IFERROR(__xludf.DUMMYFUNCTION("GOOGLETRANSLATE(A15716, ""de"", ""en"")"),"signatures")</f>
        <v>signatures</v>
      </c>
    </row>
    <row r="15717">
      <c r="A15717" s="1" t="s">
        <v>15716</v>
      </c>
      <c r="B15717" s="2" t="str">
        <f>IFERROR(__xludf.DUMMYFUNCTION("GOOGLETRANSLATE(A15717, ""de"", ""en"")"),"further")</f>
        <v>further</v>
      </c>
    </row>
    <row r="15718">
      <c r="A15718" s="1" t="s">
        <v>15717</v>
      </c>
      <c r="B15718" s="2" t="str">
        <f>IFERROR(__xludf.DUMMYFUNCTION("GOOGLETRANSLATE(A15718, ""de"", ""en"")"),"soviets")</f>
        <v>soviets</v>
      </c>
    </row>
    <row r="15719">
      <c r="A15719" s="1" t="s">
        <v>15718</v>
      </c>
      <c r="B15719" s="2" t="str">
        <f>IFERROR(__xludf.DUMMYFUNCTION("GOOGLETRANSLATE(A15719, ""de"", ""en"")"),"doctor")</f>
        <v>doctor</v>
      </c>
    </row>
    <row r="15720">
      <c r="A15720" s="1" t="s">
        <v>15719</v>
      </c>
      <c r="B15720" s="2" t="str">
        <f>IFERROR(__xludf.DUMMYFUNCTION("GOOGLETRANSLATE(A15720, ""de"", ""en"")"),"Edward")</f>
        <v>Edward</v>
      </c>
    </row>
    <row r="15721">
      <c r="A15721" s="1" t="s">
        <v>15720</v>
      </c>
      <c r="B15721" s="2" t="str">
        <f>IFERROR(__xludf.DUMMYFUNCTION("GOOGLETRANSLATE(A15721, ""de"", ""en"")"),"are going through")</f>
        <v>are going through</v>
      </c>
    </row>
    <row r="15722">
      <c r="A15722" s="1" t="s">
        <v>15721</v>
      </c>
      <c r="B15722" s="2" t="str">
        <f>IFERROR(__xludf.DUMMYFUNCTION("GOOGLETRANSLATE(A15722, ""de"", ""en"")"),"yi")</f>
        <v>yi</v>
      </c>
    </row>
    <row r="15723">
      <c r="A15723" s="1" t="s">
        <v>15722</v>
      </c>
      <c r="B15723" s="2" t="str">
        <f>IFERROR(__xludf.DUMMYFUNCTION("GOOGLETRANSLATE(A15723, ""de"", ""en"")"),"blank")</f>
        <v>blank</v>
      </c>
    </row>
    <row r="15724">
      <c r="A15724" s="1" t="s">
        <v>15723</v>
      </c>
      <c r="B15724" s="2" t="str">
        <f>IFERROR(__xludf.DUMMYFUNCTION("GOOGLETRANSLATE(A15724, ""de"", ""en"")"),"aunts")</f>
        <v>aunts</v>
      </c>
    </row>
    <row r="15725">
      <c r="A15725" s="1" t="s">
        <v>15724</v>
      </c>
      <c r="B15725" s="2" t="str">
        <f>IFERROR(__xludf.DUMMYFUNCTION("GOOGLETRANSLATE(A15725, ""de"", ""en"")"),"worthwhile")</f>
        <v>worthwhile</v>
      </c>
    </row>
    <row r="15726">
      <c r="A15726" s="1" t="s">
        <v>15725</v>
      </c>
      <c r="B15726" s="2" t="str">
        <f>IFERROR(__xludf.DUMMYFUNCTION("GOOGLETRANSLATE(A15726, ""de"", ""en"")"),"spank")</f>
        <v>spank</v>
      </c>
    </row>
    <row r="15727">
      <c r="A15727" s="1" t="s">
        <v>15726</v>
      </c>
      <c r="B15727" s="2" t="str">
        <f>IFERROR(__xludf.DUMMYFUNCTION("GOOGLETRANSLATE(A15727, ""de"", ""en"")"),"macy")</f>
        <v>macy</v>
      </c>
    </row>
    <row r="15728">
      <c r="A15728" s="1" t="s">
        <v>15727</v>
      </c>
      <c r="B15728" s="2" t="str">
        <f>IFERROR(__xludf.DUMMYFUNCTION("GOOGLETRANSLATE(A15728, ""de"", ""en"")"),"enterprises")</f>
        <v>enterprises</v>
      </c>
    </row>
    <row r="15729">
      <c r="A15729" s="1" t="s">
        <v>15728</v>
      </c>
      <c r="B15729" s="2" t="str">
        <f>IFERROR(__xludf.DUMMYFUNCTION("GOOGLETRANSLATE(A15729, ""de"", ""en"")"),"hires")</f>
        <v>hires</v>
      </c>
    </row>
    <row r="15730">
      <c r="A15730" s="1" t="s">
        <v>15729</v>
      </c>
      <c r="B15730" s="2" t="str">
        <f>IFERROR(__xludf.DUMMYFUNCTION("GOOGLETRANSLATE(A15730, ""de"", ""en"")"),"woke up")</f>
        <v>woke up</v>
      </c>
    </row>
    <row r="15731">
      <c r="A15731" s="1" t="s">
        <v>15730</v>
      </c>
      <c r="B15731" s="2" t="str">
        <f>IFERROR(__xludf.DUMMYFUNCTION("GOOGLETRANSLATE(A15731, ""de"", ""en"")"),"inquire")</f>
        <v>inquire</v>
      </c>
    </row>
    <row r="15732">
      <c r="A15732" s="1" t="s">
        <v>15731</v>
      </c>
      <c r="B15732" s="2" t="str">
        <f>IFERROR(__xludf.DUMMYFUNCTION("GOOGLETRANSLATE(A15732, ""de"", ""en"")"),"program")</f>
        <v>program</v>
      </c>
    </row>
    <row r="15733">
      <c r="A15733" s="1" t="s">
        <v>15732</v>
      </c>
      <c r="B15733" s="2" t="str">
        <f>IFERROR(__xludf.DUMMYFUNCTION("GOOGLETRANSLATE(A15733, ""de"", ""en"")"),"fanatic")</f>
        <v>fanatic</v>
      </c>
    </row>
    <row r="15734">
      <c r="A15734" s="1" t="s">
        <v>15733</v>
      </c>
      <c r="B15734" s="2" t="str">
        <f>IFERROR(__xludf.DUMMYFUNCTION("GOOGLETRANSLATE(A15734, ""de"", ""en"")"),"gillian")</f>
        <v>gillian</v>
      </c>
    </row>
    <row r="15735">
      <c r="A15735" s="1" t="s">
        <v>15734</v>
      </c>
      <c r="B15735" s="2" t="str">
        <f>IFERROR(__xludf.DUMMYFUNCTION("GOOGLETRANSLATE(A15735, ""de"", ""en"")"),"drill")</f>
        <v>drill</v>
      </c>
    </row>
    <row r="15736">
      <c r="A15736" s="1" t="s">
        <v>15735</v>
      </c>
      <c r="B15736" s="2" t="str">
        <f>IFERROR(__xludf.DUMMYFUNCTION("GOOGLETRANSLATE(A15736, ""de"", ""en"")"),"solid")</f>
        <v>solid</v>
      </c>
    </row>
    <row r="15737">
      <c r="A15737" s="1" t="s">
        <v>15736</v>
      </c>
      <c r="B15737" s="2" t="str">
        <f>IFERROR(__xludf.DUMMYFUNCTION("GOOGLETRANSLATE(A15737, ""de"", ""en"")"),"chocolates")</f>
        <v>chocolates</v>
      </c>
    </row>
    <row r="15738">
      <c r="A15738" s="1" t="s">
        <v>15737</v>
      </c>
      <c r="B15738" s="2" t="str">
        <f>IFERROR(__xludf.DUMMYFUNCTION("GOOGLETRANSLATE(A15738, ""de"", ""en"")"),"hastily")</f>
        <v>hastily</v>
      </c>
    </row>
    <row r="15739">
      <c r="A15739" s="1" t="s">
        <v>15738</v>
      </c>
      <c r="B15739" s="2" t="str">
        <f>IFERROR(__xludf.DUMMYFUNCTION("GOOGLETRANSLATE(A15739, ""de"", ""en"")"),"Sully")</f>
        <v>Sully</v>
      </c>
    </row>
    <row r="15740">
      <c r="A15740" s="1" t="s">
        <v>15739</v>
      </c>
      <c r="B15740" s="2" t="str">
        <f>IFERROR(__xludf.DUMMYFUNCTION("GOOGLETRANSLATE(A15740, ""de"", ""en"")"),"assistance")</f>
        <v>assistance</v>
      </c>
    </row>
    <row r="15741">
      <c r="A15741" s="1" t="s">
        <v>15740</v>
      </c>
      <c r="B15741" s="2" t="str">
        <f>IFERROR(__xludf.DUMMYFUNCTION("GOOGLETRANSLATE(A15741, ""de"", ""en"")"),"Suzy")</f>
        <v>Suzy</v>
      </c>
    </row>
    <row r="15742">
      <c r="A15742" s="1" t="s">
        <v>15741</v>
      </c>
      <c r="B15742" s="2" t="str">
        <f>IFERROR(__xludf.DUMMYFUNCTION("GOOGLETRANSLATE(A15742, ""de"", ""en"")"),"minced meat")</f>
        <v>minced meat</v>
      </c>
    </row>
    <row r="15743">
      <c r="A15743" s="1" t="s">
        <v>15742</v>
      </c>
      <c r="B15743" s="2" t="str">
        <f>IFERROR(__xludf.DUMMYFUNCTION("GOOGLETRANSLATE(A15743, ""de"", ""en"")"),"ole")</f>
        <v>ole</v>
      </c>
    </row>
    <row r="15744">
      <c r="A15744" s="1" t="s">
        <v>15743</v>
      </c>
      <c r="B15744" s="2" t="str">
        <f>IFERROR(__xludf.DUMMYFUNCTION("GOOGLETRANSLATE(A15744, ""de"", ""en"")"),"engagement ring")</f>
        <v>engagement ring</v>
      </c>
    </row>
    <row r="15745">
      <c r="A15745" s="1" t="s">
        <v>15744</v>
      </c>
      <c r="B15745" s="2" t="str">
        <f>IFERROR(__xludf.DUMMYFUNCTION("GOOGLETRANSLATE(A15745, ""de"", ""en"")"),"rules of the game")</f>
        <v>rules of the game</v>
      </c>
    </row>
    <row r="15746">
      <c r="A15746" s="1" t="s">
        <v>15745</v>
      </c>
      <c r="B15746" s="2" t="str">
        <f>IFERROR(__xludf.DUMMYFUNCTION("GOOGLETRANSLATE(A15746, ""de"", ""en"")"),"compton")</f>
        <v>compton</v>
      </c>
    </row>
    <row r="15747">
      <c r="A15747" s="1" t="s">
        <v>15746</v>
      </c>
      <c r="B15747" s="2" t="str">
        <f>IFERROR(__xludf.DUMMYFUNCTION("GOOGLETRANSLATE(A15747, ""de"", ""en"")"),"disgusting")</f>
        <v>disgusting</v>
      </c>
    </row>
    <row r="15748">
      <c r="A15748" s="1" t="s">
        <v>15747</v>
      </c>
      <c r="B15748" s="2" t="str">
        <f>IFERROR(__xludf.DUMMYFUNCTION("GOOGLETRANSLATE(A15748, ""de"", ""en"")"),"laundry")</f>
        <v>laundry</v>
      </c>
    </row>
    <row r="15749">
      <c r="A15749" s="1" t="s">
        <v>15748</v>
      </c>
      <c r="B15749" s="2" t="str">
        <f>IFERROR(__xludf.DUMMYFUNCTION("GOOGLETRANSLATE(A15749, ""de"", ""en"")"),"psychologist")</f>
        <v>psychologist</v>
      </c>
    </row>
    <row r="15750">
      <c r="A15750" s="1" t="s">
        <v>15749</v>
      </c>
      <c r="B15750" s="2" t="str">
        <f>IFERROR(__xludf.DUMMYFUNCTION("GOOGLETRANSLATE(A15750, ""de"", ""en"")"),"Saturdays")</f>
        <v>Saturdays</v>
      </c>
    </row>
    <row r="15751">
      <c r="A15751" s="1" t="s">
        <v>15750</v>
      </c>
      <c r="B15751" s="2" t="str">
        <f>IFERROR(__xludf.DUMMYFUNCTION("GOOGLETRANSLATE(A15751, ""de"", ""en"")"),"stops")</f>
        <v>stops</v>
      </c>
    </row>
    <row r="15752">
      <c r="A15752" s="1" t="s">
        <v>15751</v>
      </c>
      <c r="B15752" s="2" t="str">
        <f>IFERROR(__xludf.DUMMYFUNCTION("GOOGLETRANSLATE(A15752, ""de"", ""en"")"),"try on")</f>
        <v>try on</v>
      </c>
    </row>
    <row r="15753">
      <c r="A15753" s="1" t="s">
        <v>15752</v>
      </c>
      <c r="B15753" s="2" t="str">
        <f>IFERROR(__xludf.DUMMYFUNCTION("GOOGLETRANSLATE(A15753, ""de"", ""en"")"),"mascot")</f>
        <v>mascot</v>
      </c>
    </row>
    <row r="15754">
      <c r="A15754" s="1" t="s">
        <v>15753</v>
      </c>
      <c r="B15754" s="2" t="str">
        <f>IFERROR(__xludf.DUMMYFUNCTION("GOOGLETRANSLATE(A15754, ""de"", ""en"")"),"Auschwitz")</f>
        <v>Auschwitz</v>
      </c>
    </row>
    <row r="15755">
      <c r="A15755" s="1" t="s">
        <v>15754</v>
      </c>
      <c r="B15755" s="2" t="str">
        <f>IFERROR(__xludf.DUMMYFUNCTION("GOOGLETRANSLATE(A15755, ""de"", ""en"")"),"alert")</f>
        <v>alert</v>
      </c>
    </row>
    <row r="15756">
      <c r="A15756" s="1" t="s">
        <v>15755</v>
      </c>
      <c r="B15756" s="2" t="str">
        <f>IFERROR(__xludf.DUMMYFUNCTION("GOOGLETRANSLATE(A15756, ""de"", ""en"")"),"insect")</f>
        <v>insect</v>
      </c>
    </row>
    <row r="15757">
      <c r="A15757" s="1" t="s">
        <v>15756</v>
      </c>
      <c r="B15757" s="2" t="str">
        <f>IFERROR(__xludf.DUMMYFUNCTION("GOOGLETRANSLATE(A15757, ""de"", ""en"")"),"traitor")</f>
        <v>traitor</v>
      </c>
    </row>
    <row r="15758">
      <c r="A15758" s="1" t="s">
        <v>15757</v>
      </c>
      <c r="B15758" s="2" t="str">
        <f>IFERROR(__xludf.DUMMYFUNCTION("GOOGLETRANSLATE(A15758, ""de"", ""en"")"),"farce")</f>
        <v>farce</v>
      </c>
    </row>
    <row r="15759">
      <c r="A15759" s="1" t="s">
        <v>15758</v>
      </c>
      <c r="B15759" s="2" t="str">
        <f>IFERROR(__xludf.DUMMYFUNCTION("GOOGLETRANSLATE(A15759, ""de"", ""en"")"),"Martin")</f>
        <v>Martin</v>
      </c>
    </row>
    <row r="15760">
      <c r="A15760" s="1" t="s">
        <v>15759</v>
      </c>
      <c r="B15760" s="2" t="str">
        <f>IFERROR(__xludf.DUMMYFUNCTION("GOOGLETRANSLATE(A15760, ""de"", ""en"")"),"Mickey")</f>
        <v>Mickey</v>
      </c>
    </row>
    <row r="15761">
      <c r="A15761" s="1" t="s">
        <v>15760</v>
      </c>
      <c r="B15761" s="2" t="str">
        <f>IFERROR(__xludf.DUMMYFUNCTION("GOOGLETRANSLATE(A15761, ""de"", ""en"")"),"mixer")</f>
        <v>mixer</v>
      </c>
    </row>
    <row r="15762">
      <c r="A15762" s="1" t="s">
        <v>15761</v>
      </c>
      <c r="B15762" s="2" t="str">
        <f>IFERROR(__xludf.DUMMYFUNCTION("GOOGLETRANSLATE(A15762, ""de"", ""en"")"),"taken into account")</f>
        <v>taken into account</v>
      </c>
    </row>
    <row r="15763">
      <c r="A15763" s="1" t="s">
        <v>15762</v>
      </c>
      <c r="B15763" s="2" t="str">
        <f>IFERROR(__xludf.DUMMYFUNCTION("GOOGLETRANSLATE(A15763, ""de"", ""en"")"),"mer")</f>
        <v>mer</v>
      </c>
    </row>
    <row r="15764">
      <c r="A15764" s="1" t="s">
        <v>15763</v>
      </c>
      <c r="B15764" s="2" t="str">
        <f>IFERROR(__xludf.DUMMYFUNCTION("GOOGLETRANSLATE(A15764, ""de"", ""en"")"),"bibi")</f>
        <v>bibi</v>
      </c>
    </row>
    <row r="15765">
      <c r="A15765" s="1" t="s">
        <v>15764</v>
      </c>
      <c r="B15765" s="2" t="str">
        <f>IFERROR(__xludf.DUMMYFUNCTION("GOOGLETRANSLATE(A15765, ""de"", ""en"")"),"hospital")</f>
        <v>hospital</v>
      </c>
    </row>
    <row r="15766">
      <c r="A15766" s="1" t="s">
        <v>15765</v>
      </c>
      <c r="B15766" s="2" t="str">
        <f>IFERROR(__xludf.DUMMYFUNCTION("GOOGLETRANSLATE(A15766, ""de"", ""en"")"),"sons")</f>
        <v>sons</v>
      </c>
    </row>
    <row r="15767">
      <c r="A15767" s="1" t="s">
        <v>15766</v>
      </c>
      <c r="B15767" s="2" t="str">
        <f>IFERROR(__xludf.DUMMYFUNCTION("GOOGLETRANSLATE(A15767, ""de"", ""en"")"),"noses")</f>
        <v>noses</v>
      </c>
    </row>
    <row r="15768">
      <c r="A15768" s="1" t="s">
        <v>15767</v>
      </c>
      <c r="B15768" s="2" t="str">
        <f>IFERROR(__xludf.DUMMYFUNCTION("GOOGLETRANSLATE(A15768, ""de"", ""en"")"),"parasite")</f>
        <v>parasite</v>
      </c>
    </row>
    <row r="15769">
      <c r="A15769" s="1" t="s">
        <v>15768</v>
      </c>
      <c r="B15769" s="2" t="str">
        <f>IFERROR(__xludf.DUMMYFUNCTION("GOOGLETRANSLATE(A15769, ""de"", ""en"")"),"absolute")</f>
        <v>absolute</v>
      </c>
    </row>
    <row r="15770">
      <c r="A15770" s="1" t="s">
        <v>15769</v>
      </c>
      <c r="B15770" s="2" t="str">
        <f>IFERROR(__xludf.DUMMYFUNCTION("GOOGLETRANSLATE(A15770, ""de"", ""en"")"),"Niklaus")</f>
        <v>Niklaus</v>
      </c>
    </row>
    <row r="15771">
      <c r="A15771" s="1" t="s">
        <v>15770</v>
      </c>
      <c r="B15771" s="2" t="str">
        <f>IFERROR(__xludf.DUMMYFUNCTION("GOOGLETRANSLATE(A15771, ""de"", ""en"")"),"research")</f>
        <v>research</v>
      </c>
    </row>
    <row r="15772">
      <c r="A15772" s="1" t="s">
        <v>15771</v>
      </c>
      <c r="B15772" s="2" t="str">
        <f>IFERROR(__xludf.DUMMYFUNCTION("GOOGLETRANSLATE(A15772, ""de"", ""en"")"),"Catholics")</f>
        <v>Catholics</v>
      </c>
    </row>
    <row r="15773">
      <c r="A15773" s="1" t="s">
        <v>15772</v>
      </c>
      <c r="B15773" s="2" t="str">
        <f>IFERROR(__xludf.DUMMYFUNCTION("GOOGLETRANSLATE(A15773, ""de"", ""en"")"),"accept")</f>
        <v>accept</v>
      </c>
    </row>
    <row r="15774">
      <c r="A15774" s="1" t="s">
        <v>15773</v>
      </c>
      <c r="B15774" s="2" t="str">
        <f>IFERROR(__xludf.DUMMYFUNCTION("GOOGLETRANSLATE(A15774, ""de"", ""en"")"),"admit")</f>
        <v>admit</v>
      </c>
    </row>
    <row r="15775">
      <c r="A15775" s="1" t="s">
        <v>15774</v>
      </c>
      <c r="B15775" s="2" t="str">
        <f>IFERROR(__xludf.DUMMYFUNCTION("GOOGLETRANSLATE(A15775, ""de"", ""en"")"),"to be there")</f>
        <v>to be there</v>
      </c>
    </row>
    <row r="15776">
      <c r="A15776" s="1" t="s">
        <v>15775</v>
      </c>
      <c r="B15776" s="2" t="str">
        <f>IFERROR(__xludf.DUMMYFUNCTION("GOOGLETRANSLATE(A15776, ""de"", ""en"")"),"get under control")</f>
        <v>get under control</v>
      </c>
    </row>
    <row r="15777">
      <c r="A15777" s="1" t="s">
        <v>15776</v>
      </c>
      <c r="B15777" s="2" t="str">
        <f>IFERROR(__xludf.DUMMYFUNCTION("GOOGLETRANSLATE(A15777, ""de"", ""en"")"),"remove")</f>
        <v>remove</v>
      </c>
    </row>
    <row r="15778">
      <c r="A15778" s="1" t="s">
        <v>15777</v>
      </c>
      <c r="B15778" s="2" t="str">
        <f>IFERROR(__xludf.DUMMYFUNCTION("GOOGLETRANSLATE(A15778, ""de"", ""en"")"),"lorelei")</f>
        <v>lorelei</v>
      </c>
    </row>
    <row r="15779">
      <c r="A15779" s="1" t="s">
        <v>15778</v>
      </c>
      <c r="B15779" s="2" t="str">
        <f>IFERROR(__xludf.DUMMYFUNCTION("GOOGLETRANSLATE(A15779, ""de"", ""en"")"),"Misty")</f>
        <v>Misty</v>
      </c>
    </row>
    <row r="15780">
      <c r="A15780" s="1" t="s">
        <v>15779</v>
      </c>
      <c r="B15780" s="2" t="str">
        <f>IFERROR(__xludf.DUMMYFUNCTION("GOOGLETRANSLATE(A15780, ""de"", ""en"")"),"leela")</f>
        <v>leela</v>
      </c>
    </row>
    <row r="15781">
      <c r="A15781" s="1" t="s">
        <v>15780</v>
      </c>
      <c r="B15781" s="2" t="str">
        <f>IFERROR(__xludf.DUMMYFUNCTION("GOOGLETRANSLATE(A15781, ""de"", ""en"")"),"flashes")</f>
        <v>flashes</v>
      </c>
    </row>
    <row r="15782">
      <c r="A15782" s="1" t="s">
        <v>15781</v>
      </c>
      <c r="B15782" s="2" t="str">
        <f>IFERROR(__xludf.DUMMYFUNCTION("GOOGLETRANSLATE(A15782, ""de"", ""en"")"),"necessary")</f>
        <v>necessary</v>
      </c>
    </row>
    <row r="15783">
      <c r="A15783" s="1" t="s">
        <v>15782</v>
      </c>
      <c r="B15783" s="2" t="str">
        <f>IFERROR(__xludf.DUMMYFUNCTION("GOOGLETRANSLATE(A15783, ""de"", ""en"")"),"west coast")</f>
        <v>west coast</v>
      </c>
    </row>
    <row r="15784">
      <c r="A15784" s="1" t="s">
        <v>15783</v>
      </c>
      <c r="B15784" s="2" t="str">
        <f>IFERROR(__xludf.DUMMYFUNCTION("GOOGLETRANSLATE(A15784, ""de"", ""en"")"),"great")</f>
        <v>great</v>
      </c>
    </row>
    <row r="15785">
      <c r="A15785" s="1" t="s">
        <v>15784</v>
      </c>
      <c r="B15785" s="2" t="str">
        <f>IFERROR(__xludf.DUMMYFUNCTION("GOOGLETRANSLATE(A15785, ""de"", ""en"")"),"loge")</f>
        <v>loge</v>
      </c>
    </row>
    <row r="15786">
      <c r="A15786" s="1" t="s">
        <v>15785</v>
      </c>
      <c r="B15786" s="2" t="str">
        <f>IFERROR(__xludf.DUMMYFUNCTION("GOOGLETRANSLATE(A15786, ""de"", ""en"")"),"confusion")</f>
        <v>confusion</v>
      </c>
    </row>
    <row r="15787">
      <c r="A15787" s="1" t="s">
        <v>15786</v>
      </c>
      <c r="B15787" s="2" t="str">
        <f>IFERROR(__xludf.DUMMYFUNCTION("GOOGLETRANSLATE(A15787, ""de"", ""en"")"),"bashir")</f>
        <v>bashir</v>
      </c>
    </row>
    <row r="15788">
      <c r="A15788" s="1" t="s">
        <v>15787</v>
      </c>
      <c r="B15788" s="2" t="str">
        <f>IFERROR(__xludf.DUMMYFUNCTION("GOOGLETRANSLATE(A15788, ""de"", ""en"")"),"occurred")</f>
        <v>occurred</v>
      </c>
    </row>
    <row r="15789">
      <c r="A15789" s="1" t="s">
        <v>15788</v>
      </c>
      <c r="B15789" s="2" t="str">
        <f>IFERROR(__xludf.DUMMYFUNCTION("GOOGLETRANSLATE(A15789, ""de"", ""en"")"),"tragic")</f>
        <v>tragic</v>
      </c>
    </row>
    <row r="15790">
      <c r="A15790" s="1" t="s">
        <v>15789</v>
      </c>
      <c r="B15790" s="2" t="str">
        <f>IFERROR(__xludf.DUMMYFUNCTION("GOOGLETRANSLATE(A15790, ""de"", ""en"")"),"sweet")</f>
        <v>sweet</v>
      </c>
    </row>
    <row r="15791">
      <c r="A15791" s="1" t="s">
        <v>15790</v>
      </c>
      <c r="B15791" s="2" t="str">
        <f>IFERROR(__xludf.DUMMYFUNCTION("GOOGLETRANSLATE(A15791, ""de"", ""en"")"),"ghetto")</f>
        <v>ghetto</v>
      </c>
    </row>
    <row r="15792">
      <c r="A15792" s="1" t="s">
        <v>15791</v>
      </c>
      <c r="B15792" s="2" t="str">
        <f>IFERROR(__xludf.DUMMYFUNCTION("GOOGLETRANSLATE(A15792, ""de"", ""en"")"),"Arlene")</f>
        <v>Arlene</v>
      </c>
    </row>
    <row r="15793">
      <c r="A15793" s="1" t="s">
        <v>15792</v>
      </c>
      <c r="B15793" s="2" t="str">
        <f>IFERROR(__xludf.DUMMYFUNCTION("GOOGLETRANSLATE(A15793, ""de"", ""en"")"),"piano")</f>
        <v>piano</v>
      </c>
    </row>
    <row r="15794">
      <c r="A15794" s="1" t="s">
        <v>15793</v>
      </c>
      <c r="B15794" s="2" t="str">
        <f>IFERROR(__xludf.DUMMYFUNCTION("GOOGLETRANSLATE(A15794, ""de"", ""en"")"),"took place")</f>
        <v>took place</v>
      </c>
    </row>
    <row r="15795">
      <c r="A15795" s="1" t="s">
        <v>15794</v>
      </c>
      <c r="B15795" s="2" t="str">
        <f>IFERROR(__xludf.DUMMYFUNCTION("GOOGLETRANSLATE(A15795, ""de"", ""en"")"),"lively")</f>
        <v>lively</v>
      </c>
    </row>
    <row r="15796">
      <c r="A15796" s="1" t="s">
        <v>15795</v>
      </c>
      <c r="B15796" s="2" t="str">
        <f>IFERROR(__xludf.DUMMYFUNCTION("GOOGLETRANSLATE(A15796, ""de"", ""en"")"),"lonnie")</f>
        <v>lonnie</v>
      </c>
    </row>
    <row r="15797">
      <c r="A15797" s="1" t="s">
        <v>15796</v>
      </c>
      <c r="B15797" s="2" t="str">
        <f>IFERROR(__xludf.DUMMYFUNCTION("GOOGLETRANSLATE(A15797, ""de"", ""en"")"),"gentler")</f>
        <v>gentler</v>
      </c>
    </row>
    <row r="15798">
      <c r="A15798" s="1" t="s">
        <v>15797</v>
      </c>
      <c r="B15798" s="2" t="str">
        <f>IFERROR(__xludf.DUMMYFUNCTION("GOOGLETRANSLATE(A15798, ""de"", ""en"")"),"rustle")</f>
        <v>rustle</v>
      </c>
    </row>
    <row r="15799">
      <c r="A15799" s="1" t="s">
        <v>15798</v>
      </c>
      <c r="B15799" s="2" t="str">
        <f>IFERROR(__xludf.DUMMYFUNCTION("GOOGLETRANSLATE(A15799, ""de"", ""en"")"),"accessible")</f>
        <v>accessible</v>
      </c>
    </row>
    <row r="15800">
      <c r="A15800" s="1" t="s">
        <v>15799</v>
      </c>
      <c r="B15800" s="2" t="str">
        <f>IFERROR(__xludf.DUMMYFUNCTION("GOOGLETRANSLATE(A15800, ""de"", ""en"")"),"bloody")</f>
        <v>bloody</v>
      </c>
    </row>
    <row r="15801">
      <c r="A15801" s="1" t="s">
        <v>15800</v>
      </c>
      <c r="B15801" s="2" t="str">
        <f>IFERROR(__xludf.DUMMYFUNCTION("GOOGLETRANSLATE(A15801, ""de"", ""en"")"),"banker")</f>
        <v>banker</v>
      </c>
    </row>
    <row r="15802">
      <c r="A15802" s="1" t="s">
        <v>15801</v>
      </c>
      <c r="B15802" s="2" t="str">
        <f>IFERROR(__xludf.DUMMYFUNCTION("GOOGLETRANSLATE(A15802, ""de"", ""en"")"),"tyranny")</f>
        <v>tyranny</v>
      </c>
    </row>
    <row r="15803">
      <c r="A15803" s="1" t="s">
        <v>15802</v>
      </c>
      <c r="B15803" s="2" t="str">
        <f>IFERROR(__xludf.DUMMYFUNCTION("GOOGLETRANSLATE(A15803, ""de"", ""en"")"),"udo")</f>
        <v>udo</v>
      </c>
    </row>
    <row r="15804">
      <c r="A15804" s="1" t="s">
        <v>15803</v>
      </c>
      <c r="B15804" s="2" t="str">
        <f>IFERROR(__xludf.DUMMYFUNCTION("GOOGLETRANSLATE(A15804, ""de"", ""en"")"),"stinker")</f>
        <v>stinker</v>
      </c>
    </row>
    <row r="15805">
      <c r="A15805" s="1" t="s">
        <v>15804</v>
      </c>
      <c r="B15805" s="2" t="str">
        <f>IFERROR(__xludf.DUMMYFUNCTION("GOOGLETRANSLATE(A15805, ""de"", ""en"")"),"smiled")</f>
        <v>smiled</v>
      </c>
    </row>
    <row r="15806">
      <c r="A15806" s="1" t="s">
        <v>15805</v>
      </c>
      <c r="B15806" s="2" t="str">
        <f>IFERROR(__xludf.DUMMYFUNCTION("GOOGLETRANSLATE(A15806, ""de"", ""en"")"),"miss")</f>
        <v>miss</v>
      </c>
    </row>
    <row r="15807">
      <c r="A15807" s="1" t="s">
        <v>15806</v>
      </c>
      <c r="B15807" s="2" t="str">
        <f>IFERROR(__xludf.DUMMYFUNCTION("GOOGLETRANSLATE(A15807, ""de"", ""en"")"),"more romantic")</f>
        <v>more romantic</v>
      </c>
    </row>
    <row r="15808">
      <c r="A15808" s="1" t="s">
        <v>15807</v>
      </c>
      <c r="B15808" s="2" t="str">
        <f>IFERROR(__xludf.DUMMYFUNCTION("GOOGLETRANSLATE(A15808, ""de"", ""en"")"),"warps")</f>
        <v>warps</v>
      </c>
    </row>
    <row r="15809">
      <c r="A15809" s="1" t="s">
        <v>15808</v>
      </c>
      <c r="B15809" s="2" t="str">
        <f>IFERROR(__xludf.DUMMYFUNCTION("GOOGLETRANSLATE(A15809, ""de"", ""en"")"),"viv")</f>
        <v>viv</v>
      </c>
    </row>
    <row r="15810">
      <c r="A15810" s="1" t="s">
        <v>15809</v>
      </c>
      <c r="B15810" s="2" t="str">
        <f>IFERROR(__xludf.DUMMYFUNCTION("GOOGLETRANSLATE(A15810, ""de"", ""en"")"),"slap")</f>
        <v>slap</v>
      </c>
    </row>
    <row r="15811">
      <c r="A15811" s="1" t="s">
        <v>15810</v>
      </c>
      <c r="B15811" s="2" t="str">
        <f>IFERROR(__xludf.DUMMYFUNCTION("GOOGLETRANSLATE(A15811, ""de"", ""en"")"),"violent")</f>
        <v>violent</v>
      </c>
    </row>
    <row r="15812">
      <c r="A15812" s="1" t="s">
        <v>15811</v>
      </c>
      <c r="B15812" s="2" t="str">
        <f>IFERROR(__xludf.DUMMYFUNCTION("GOOGLETRANSLATE(A15812, ""de"", ""en"")"),"chats")</f>
        <v>chats</v>
      </c>
    </row>
    <row r="15813">
      <c r="A15813" s="1" t="s">
        <v>15812</v>
      </c>
      <c r="B15813" s="2" t="str">
        <f>IFERROR(__xludf.DUMMYFUNCTION("GOOGLETRANSLATE(A15813, ""de"", ""en"")"),"Gretel")</f>
        <v>Gretel</v>
      </c>
    </row>
    <row r="15814">
      <c r="A15814" s="1" t="s">
        <v>15813</v>
      </c>
      <c r="B15814" s="2" t="str">
        <f>IFERROR(__xludf.DUMMYFUNCTION("GOOGLETRANSLATE(A15814, ""de"", ""en"")"),"leprechaun")</f>
        <v>leprechaun</v>
      </c>
    </row>
    <row r="15815">
      <c r="A15815" s="1" t="s">
        <v>15814</v>
      </c>
      <c r="B15815" s="2" t="str">
        <f>IFERROR(__xludf.DUMMYFUNCTION("GOOGLETRANSLATE(A15815, ""de"", ""en"")"),"commander")</f>
        <v>commander</v>
      </c>
    </row>
    <row r="15816">
      <c r="A15816" s="1" t="s">
        <v>15815</v>
      </c>
      <c r="B15816" s="2" t="str">
        <f>IFERROR(__xludf.DUMMYFUNCTION("GOOGLETRANSLATE(A15816, ""de"", ""en"")"),"wilkes")</f>
        <v>wilkes</v>
      </c>
    </row>
    <row r="15817">
      <c r="A15817" s="1" t="s">
        <v>15816</v>
      </c>
      <c r="B15817" s="2" t="str">
        <f>IFERROR(__xludf.DUMMYFUNCTION("GOOGLETRANSLATE(A15817, ""de"", ""en"")"),"iron")</f>
        <v>iron</v>
      </c>
    </row>
    <row r="15818">
      <c r="A15818" s="1" t="s">
        <v>15817</v>
      </c>
      <c r="B15818" s="2" t="str">
        <f>IFERROR(__xludf.DUMMYFUNCTION("GOOGLETRANSLATE(A15818, ""de"", ""en"")"),"thought")</f>
        <v>thought</v>
      </c>
    </row>
    <row r="15819">
      <c r="A15819" s="1" t="s">
        <v>15818</v>
      </c>
      <c r="B15819" s="2" t="str">
        <f>IFERROR(__xludf.DUMMYFUNCTION("GOOGLETRANSLATE(A15819, ""de"", ""en"")"),"guy")</f>
        <v>guy</v>
      </c>
    </row>
    <row r="15820">
      <c r="A15820" s="1" t="s">
        <v>15819</v>
      </c>
      <c r="B15820" s="2" t="str">
        <f>IFERROR(__xludf.DUMMYFUNCTION("GOOGLETRANSLATE(A15820, ""de"", ""en"")"),"together")</f>
        <v>together</v>
      </c>
    </row>
    <row r="15821">
      <c r="A15821" s="1" t="s">
        <v>15820</v>
      </c>
      <c r="B15821" s="2" t="str">
        <f>IFERROR(__xludf.DUMMYFUNCTION("GOOGLETRANSLATE(A15821, ""de"", ""en"")"),"strangle")</f>
        <v>strangle</v>
      </c>
    </row>
    <row r="15822">
      <c r="A15822" s="1" t="s">
        <v>15821</v>
      </c>
      <c r="B15822" s="2" t="str">
        <f>IFERROR(__xludf.DUMMYFUNCTION("GOOGLETRANSLATE(A15822, ""de"", ""en"")"),"sergeant")</f>
        <v>sergeant</v>
      </c>
    </row>
    <row r="15823">
      <c r="A15823" s="1" t="s">
        <v>15822</v>
      </c>
      <c r="B15823" s="2" t="str">
        <f>IFERROR(__xludf.DUMMYFUNCTION("GOOGLETRANSLATE(A15823, ""de"", ""en"")"),"react")</f>
        <v>react</v>
      </c>
    </row>
    <row r="15824">
      <c r="A15824" s="1" t="s">
        <v>15823</v>
      </c>
      <c r="B15824" s="2" t="str">
        <f>IFERROR(__xludf.DUMMYFUNCTION("GOOGLETRANSLATE(A15824, ""de"", ""en"")"),"blow")</f>
        <v>blow</v>
      </c>
    </row>
    <row r="15825">
      <c r="A15825" s="1" t="s">
        <v>15824</v>
      </c>
      <c r="B15825" s="2" t="str">
        <f>IFERROR(__xludf.DUMMYFUNCTION("GOOGLETRANSLATE(A15825, ""de"", ""en"")"),"follow")</f>
        <v>follow</v>
      </c>
    </row>
    <row r="15826">
      <c r="A15826" s="1" t="s">
        <v>15825</v>
      </c>
      <c r="B15826" s="2" t="str">
        <f>IFERROR(__xludf.DUMMYFUNCTION("GOOGLETRANSLATE(A15826, ""de"", ""en"")"),"thesis")</f>
        <v>thesis</v>
      </c>
    </row>
    <row r="15827">
      <c r="A15827" s="1" t="s">
        <v>15826</v>
      </c>
      <c r="B15827" s="2" t="str">
        <f>IFERROR(__xludf.DUMMYFUNCTION("GOOGLETRANSLATE(A15827, ""de"", ""en"")"),"overestimated")</f>
        <v>overestimated</v>
      </c>
    </row>
    <row r="15828">
      <c r="A15828" s="1" t="s">
        <v>15827</v>
      </c>
      <c r="B15828" s="2" t="str">
        <f>IFERROR(__xludf.DUMMYFUNCTION("GOOGLETRANSLATE(A15828, ""de"", ""en"")"),"transfer")</f>
        <v>transfer</v>
      </c>
    </row>
    <row r="15829">
      <c r="A15829" s="1" t="s">
        <v>15828</v>
      </c>
      <c r="B15829" s="2" t="str">
        <f>IFERROR(__xludf.DUMMYFUNCTION("GOOGLETRANSLATE(A15829, ""de"", ""en"")"),"go in")</f>
        <v>go in</v>
      </c>
    </row>
    <row r="15830">
      <c r="A15830" s="1" t="s">
        <v>15829</v>
      </c>
      <c r="B15830" s="2" t="str">
        <f>IFERROR(__xludf.DUMMYFUNCTION("GOOGLETRANSLATE(A15830, ""de"", ""en"")"),"lead there")</f>
        <v>lead there</v>
      </c>
    </row>
    <row r="15831">
      <c r="A15831" s="1" t="s">
        <v>15830</v>
      </c>
      <c r="B15831" s="2" t="str">
        <f>IFERROR(__xludf.DUMMYFUNCTION("GOOGLETRANSLATE(A15831, ""de"", ""en"")"),"bats")</f>
        <v>bats</v>
      </c>
    </row>
    <row r="15832">
      <c r="A15832" s="1" t="s">
        <v>15831</v>
      </c>
      <c r="B15832" s="2" t="str">
        <f>IFERROR(__xludf.DUMMYFUNCTION("GOOGLETRANSLATE(A15832, ""de"", ""en"")"),"irritating")</f>
        <v>irritating</v>
      </c>
    </row>
    <row r="15833">
      <c r="A15833" s="1" t="s">
        <v>15832</v>
      </c>
      <c r="B15833" s="2" t="str">
        <f>IFERROR(__xludf.DUMMYFUNCTION("GOOGLETRANSLATE(A15833, ""de"", ""en"")"),"bank robber")</f>
        <v>bank robber</v>
      </c>
    </row>
    <row r="15834">
      <c r="A15834" s="1" t="s">
        <v>15833</v>
      </c>
      <c r="B15834" s="2" t="str">
        <f>IFERROR(__xludf.DUMMYFUNCTION("GOOGLETRANSLATE(A15834, ""de"", ""en"")"),"body")</f>
        <v>body</v>
      </c>
    </row>
    <row r="15835">
      <c r="A15835" s="1" t="s">
        <v>15834</v>
      </c>
      <c r="B15835" s="2" t="str">
        <f>IFERROR(__xludf.DUMMYFUNCTION("GOOGLETRANSLATE(A15835, ""de"", ""en"")"),"insults")</f>
        <v>insults</v>
      </c>
    </row>
    <row r="15836">
      <c r="A15836" s="1" t="s">
        <v>15835</v>
      </c>
      <c r="B15836" s="2" t="str">
        <f>IFERROR(__xludf.DUMMYFUNCTION("GOOGLETRANSLATE(A15836, ""de"", ""en"")"),"appetizer")</f>
        <v>appetizer</v>
      </c>
    </row>
    <row r="15837">
      <c r="A15837" s="1" t="s">
        <v>15836</v>
      </c>
      <c r="B15837" s="2" t="str">
        <f>IFERROR(__xludf.DUMMYFUNCTION("GOOGLETRANSLATE(A15837, ""de"", ""en"")"),"toronto")</f>
        <v>toronto</v>
      </c>
    </row>
    <row r="15838">
      <c r="A15838" s="1" t="s">
        <v>15837</v>
      </c>
      <c r="B15838" s="2" t="str">
        <f>IFERROR(__xludf.DUMMYFUNCTION("GOOGLETRANSLATE(A15838, ""de"", ""en"")"),"kill")</f>
        <v>kill</v>
      </c>
    </row>
    <row r="15839">
      <c r="A15839" s="1" t="s">
        <v>15838</v>
      </c>
      <c r="B15839" s="2" t="str">
        <f>IFERROR(__xludf.DUMMYFUNCTION("GOOGLETRANSLATE(A15839, ""de"", ""en"")"),"more immediate")</f>
        <v>more immediate</v>
      </c>
    </row>
    <row r="15840">
      <c r="A15840" s="1" t="s">
        <v>15839</v>
      </c>
      <c r="B15840" s="2" t="str">
        <f>IFERROR(__xludf.DUMMYFUNCTION("GOOGLETRANSLATE(A15840, ""de"", ""en"")"),"dumpster")</f>
        <v>dumpster</v>
      </c>
    </row>
    <row r="15841">
      <c r="A15841" s="1" t="s">
        <v>15840</v>
      </c>
      <c r="B15841" s="2" t="str">
        <f>IFERROR(__xludf.DUMMYFUNCTION("GOOGLETRANSLATE(A15841, ""de"", ""en"")"),"tomato")</f>
        <v>tomato</v>
      </c>
    </row>
    <row r="15842">
      <c r="A15842" s="1" t="s">
        <v>15841</v>
      </c>
      <c r="B15842" s="2" t="str">
        <f>IFERROR(__xludf.DUMMYFUNCTION("GOOGLETRANSLATE(A15842, ""de"", ""en"")"),"execution")</f>
        <v>execution</v>
      </c>
    </row>
    <row r="15843">
      <c r="A15843" s="1" t="s">
        <v>15842</v>
      </c>
      <c r="B15843" s="2" t="str">
        <f>IFERROR(__xludf.DUMMYFUNCTION("GOOGLETRANSLATE(A15843, ""de"", ""en"")"),"syrup")</f>
        <v>syrup</v>
      </c>
    </row>
    <row r="15844">
      <c r="A15844" s="1" t="s">
        <v>15843</v>
      </c>
      <c r="B15844" s="2" t="str">
        <f>IFERROR(__xludf.DUMMYFUNCTION("GOOGLETRANSLATE(A15844, ""de"", ""en"")"),"independent")</f>
        <v>independent</v>
      </c>
    </row>
    <row r="15845">
      <c r="A15845" s="1" t="s">
        <v>15844</v>
      </c>
      <c r="B15845" s="2" t="str">
        <f>IFERROR(__xludf.DUMMYFUNCTION("GOOGLETRANSLATE(A15845, ""de"", ""en"")"),"hallelujah")</f>
        <v>hallelujah</v>
      </c>
    </row>
    <row r="15846">
      <c r="A15846" s="1" t="s">
        <v>15845</v>
      </c>
      <c r="B15846" s="2" t="str">
        <f>IFERROR(__xludf.DUMMYFUNCTION("GOOGLETRANSLATE(A15846, ""de"", ""en"")"),"shines")</f>
        <v>shines</v>
      </c>
    </row>
    <row r="15847">
      <c r="A15847" s="1" t="s">
        <v>15846</v>
      </c>
      <c r="B15847" s="2" t="str">
        <f>IFERROR(__xludf.DUMMYFUNCTION("GOOGLETRANSLATE(A15847, ""de"", ""en"")"),"say")</f>
        <v>say</v>
      </c>
    </row>
    <row r="15848">
      <c r="A15848" s="1" t="s">
        <v>15847</v>
      </c>
      <c r="B15848" s="2" t="str">
        <f>IFERROR(__xludf.DUMMYFUNCTION("GOOGLETRANSLATE(A15848, ""de"", ""en"")"),"confrontation")</f>
        <v>confrontation</v>
      </c>
    </row>
    <row r="15849">
      <c r="A15849" s="1" t="s">
        <v>15848</v>
      </c>
      <c r="B15849" s="2" t="str">
        <f>IFERROR(__xludf.DUMMYFUNCTION("GOOGLETRANSLATE(A15849, ""de"", ""en"")"),"extinction")</f>
        <v>extinction</v>
      </c>
    </row>
    <row r="15850">
      <c r="A15850" s="1" t="s">
        <v>15849</v>
      </c>
      <c r="B15850" s="2" t="str">
        <f>IFERROR(__xludf.DUMMYFUNCTION("GOOGLETRANSLATE(A15850, ""de"", ""en"")"),"equipment")</f>
        <v>equipment</v>
      </c>
    </row>
    <row r="15851">
      <c r="A15851" s="1" t="s">
        <v>15850</v>
      </c>
      <c r="B15851" s="2" t="str">
        <f>IFERROR(__xludf.DUMMYFUNCTION("GOOGLETRANSLATE(A15851, ""de"", ""en"")"),"photography")</f>
        <v>photography</v>
      </c>
    </row>
    <row r="15852">
      <c r="A15852" s="1" t="s">
        <v>15851</v>
      </c>
      <c r="B15852" s="2" t="str">
        <f>IFERROR(__xludf.DUMMYFUNCTION("GOOGLETRANSLATE(A15852, ""de"", ""en"")"),"national guard")</f>
        <v>national guard</v>
      </c>
    </row>
    <row r="15853">
      <c r="A15853" s="1" t="s">
        <v>15852</v>
      </c>
      <c r="B15853" s="2" t="str">
        <f>IFERROR(__xludf.DUMMYFUNCTION("GOOGLETRANSLATE(A15853, ""de"", ""en"")"),"stop")</f>
        <v>stop</v>
      </c>
    </row>
    <row r="15854">
      <c r="A15854" s="1" t="s">
        <v>15853</v>
      </c>
      <c r="B15854" s="2" t="str">
        <f>IFERROR(__xludf.DUMMYFUNCTION("GOOGLETRANSLATE(A15854, ""de"", ""en"")"),"homicide department")</f>
        <v>homicide department</v>
      </c>
    </row>
    <row r="15855">
      <c r="A15855" s="1" t="s">
        <v>15854</v>
      </c>
      <c r="B15855" s="2" t="str">
        <f>IFERROR(__xludf.DUMMYFUNCTION("GOOGLETRANSLATE(A15855, ""de"", ""en"")"),"pork")</f>
        <v>pork</v>
      </c>
    </row>
    <row r="15856">
      <c r="A15856" s="1" t="s">
        <v>15855</v>
      </c>
      <c r="B15856" s="2" t="str">
        <f>IFERROR(__xludf.DUMMYFUNCTION("GOOGLETRANSLATE(A15856, ""de"", ""en"")"),"six")</f>
        <v>six</v>
      </c>
    </row>
    <row r="15857">
      <c r="A15857" s="1" t="s">
        <v>15856</v>
      </c>
      <c r="B15857" s="2" t="str">
        <f>IFERROR(__xludf.DUMMYFUNCTION("GOOGLETRANSLATE(A15857, ""de"", ""en"")"),"yoko")</f>
        <v>yoko</v>
      </c>
    </row>
    <row r="15858">
      <c r="A15858" s="1" t="s">
        <v>15857</v>
      </c>
      <c r="B15858" s="2" t="str">
        <f>IFERROR(__xludf.DUMMYFUNCTION("GOOGLETRANSLATE(A15858, ""de"", ""en"")"),"irritate")</f>
        <v>irritate</v>
      </c>
    </row>
    <row r="15859">
      <c r="A15859" s="1" t="s">
        <v>15858</v>
      </c>
      <c r="B15859" s="2" t="str">
        <f>IFERROR(__xludf.DUMMYFUNCTION("GOOGLETRANSLATE(A15859, ""de"", ""en"")"),"more brutal")</f>
        <v>more brutal</v>
      </c>
    </row>
    <row r="15860">
      <c r="A15860" s="1" t="s">
        <v>15859</v>
      </c>
      <c r="B15860" s="2" t="str">
        <f>IFERROR(__xludf.DUMMYFUNCTION("GOOGLETRANSLATE(A15860, ""de"", ""en"")"),"judge")</f>
        <v>judge</v>
      </c>
    </row>
    <row r="15861">
      <c r="A15861" s="1" t="s">
        <v>15860</v>
      </c>
      <c r="B15861" s="2" t="str">
        <f>IFERROR(__xludf.DUMMYFUNCTION("GOOGLETRANSLATE(A15861, ""de"", ""en"")"),"recommendations")</f>
        <v>recommendations</v>
      </c>
    </row>
    <row r="15862">
      <c r="A15862" s="1" t="s">
        <v>15861</v>
      </c>
      <c r="B15862" s="2" t="str">
        <f>IFERROR(__xludf.DUMMYFUNCTION("GOOGLETRANSLATE(A15862, ""de"", ""en"")"),"cheyenne")</f>
        <v>cheyenne</v>
      </c>
    </row>
    <row r="15863">
      <c r="A15863" s="1" t="s">
        <v>15862</v>
      </c>
      <c r="B15863" s="2" t="str">
        <f>IFERROR(__xludf.DUMMYFUNCTION("GOOGLETRANSLATE(A15863, ""de"", ""en"")"),"Pippi")</f>
        <v>Pippi</v>
      </c>
    </row>
    <row r="15864">
      <c r="A15864" s="1" t="s">
        <v>15863</v>
      </c>
      <c r="B15864" s="2" t="str">
        <f>IFERROR(__xludf.DUMMYFUNCTION("GOOGLETRANSLATE(A15864, ""de"", ""en"")"),"Irish")</f>
        <v>Irish</v>
      </c>
    </row>
    <row r="15865">
      <c r="A15865" s="1" t="s">
        <v>15864</v>
      </c>
      <c r="B15865" s="2" t="str">
        <f>IFERROR(__xludf.DUMMYFUNCTION("GOOGLETRANSLATE(A15865, ""de"", ""en"")"),"bah")</f>
        <v>bah</v>
      </c>
    </row>
    <row r="15866">
      <c r="A15866" s="1" t="s">
        <v>15865</v>
      </c>
      <c r="B15866" s="2" t="str">
        <f>IFERROR(__xludf.DUMMYFUNCTION("GOOGLETRANSLATE(A15866, ""de"", ""en"")"),"governors")</f>
        <v>governors</v>
      </c>
    </row>
    <row r="15867">
      <c r="A15867" s="1" t="s">
        <v>15866</v>
      </c>
      <c r="B15867" s="2" t="str">
        <f>IFERROR(__xludf.DUMMYFUNCTION("GOOGLETRANSLATE(A15867, ""de"", ""en"")"),"zeal")</f>
        <v>zeal</v>
      </c>
    </row>
    <row r="15868">
      <c r="A15868" s="1" t="s">
        <v>15867</v>
      </c>
      <c r="B15868" s="2" t="str">
        <f>IFERROR(__xludf.DUMMYFUNCTION("GOOGLETRANSLATE(A15868, ""de"", ""en"")"),"mutation")</f>
        <v>mutation</v>
      </c>
    </row>
    <row r="15869">
      <c r="A15869" s="1" t="s">
        <v>15868</v>
      </c>
      <c r="B15869" s="2" t="str">
        <f>IFERROR(__xludf.DUMMYFUNCTION("GOOGLETRANSLATE(A15869, ""de"", ""en"")"),"medium")</f>
        <v>medium</v>
      </c>
    </row>
    <row r="15870">
      <c r="A15870" s="1" t="s">
        <v>15869</v>
      </c>
      <c r="B15870" s="2" t="str">
        <f>IFERROR(__xludf.DUMMYFUNCTION("GOOGLETRANSLATE(A15870, ""de"", ""en"")"),"elegant")</f>
        <v>elegant</v>
      </c>
    </row>
    <row r="15871">
      <c r="A15871" s="1" t="s">
        <v>15870</v>
      </c>
      <c r="B15871" s="2" t="str">
        <f>IFERROR(__xludf.DUMMYFUNCTION("GOOGLETRANSLATE(A15871, ""de"", ""en"")"),"speculation")</f>
        <v>speculation</v>
      </c>
    </row>
    <row r="15872">
      <c r="A15872" s="1" t="s">
        <v>15871</v>
      </c>
      <c r="B15872" s="2" t="str">
        <f>IFERROR(__xludf.DUMMYFUNCTION("GOOGLETRANSLATE(A15872, ""de"", ""en"")"),"more feminine")</f>
        <v>more feminine</v>
      </c>
    </row>
    <row r="15873">
      <c r="A15873" s="1" t="s">
        <v>15872</v>
      </c>
      <c r="B15873" s="2" t="str">
        <f>IFERROR(__xludf.DUMMYFUNCTION("GOOGLETRANSLATE(A15873, ""de"", ""en"")"),"defiant")</f>
        <v>defiant</v>
      </c>
    </row>
    <row r="15874">
      <c r="A15874" s="1" t="s">
        <v>15873</v>
      </c>
      <c r="B15874" s="2" t="str">
        <f>IFERROR(__xludf.DUMMYFUNCTION("GOOGLETRANSLATE(A15874, ""de"", ""en"")"),"ch")</f>
        <v>ch</v>
      </c>
    </row>
    <row r="15875">
      <c r="A15875" s="1" t="s">
        <v>15874</v>
      </c>
      <c r="B15875" s="2" t="str">
        <f>IFERROR(__xludf.DUMMYFUNCTION("GOOGLETRANSLATE(A15875, ""de"", ""en"")"),"face")</f>
        <v>face</v>
      </c>
    </row>
    <row r="15876">
      <c r="A15876" s="1" t="s">
        <v>15875</v>
      </c>
      <c r="B15876" s="2" t="str">
        <f>IFERROR(__xludf.DUMMYFUNCTION("GOOGLETRANSLATE(A15876, ""de"", ""en"")"),"gunn")</f>
        <v>gunn</v>
      </c>
    </row>
    <row r="15877">
      <c r="A15877" s="1" t="s">
        <v>15876</v>
      </c>
      <c r="B15877" s="2" t="str">
        <f>IFERROR(__xludf.DUMMYFUNCTION("GOOGLETRANSLATE(A15877, ""de"", ""en"")"),"obvious")</f>
        <v>obvious</v>
      </c>
    </row>
    <row r="15878">
      <c r="A15878" s="1" t="s">
        <v>15877</v>
      </c>
      <c r="B15878" s="2" t="str">
        <f>IFERROR(__xludf.DUMMYFUNCTION("GOOGLETRANSLATE(A15878, ""de"", ""en"")"),"got")</f>
        <v>got</v>
      </c>
    </row>
    <row r="15879">
      <c r="A15879" s="1" t="s">
        <v>15878</v>
      </c>
      <c r="B15879" s="2" t="str">
        <f>IFERROR(__xludf.DUMMYFUNCTION("GOOGLETRANSLATE(A15879, ""de"", ""en"")"),"wilbur")</f>
        <v>wilbur</v>
      </c>
    </row>
    <row r="15880">
      <c r="A15880" s="1" t="s">
        <v>15879</v>
      </c>
      <c r="B15880" s="2" t="str">
        <f>IFERROR(__xludf.DUMMYFUNCTION("GOOGLETRANSLATE(A15880, ""de"", ""en"")"),"extraordinary")</f>
        <v>extraordinary</v>
      </c>
    </row>
    <row r="15881">
      <c r="A15881" s="1" t="s">
        <v>15880</v>
      </c>
      <c r="B15881" s="2" t="str">
        <f>IFERROR(__xludf.DUMMYFUNCTION("GOOGLETRANSLATE(A15881, ""de"", ""en"")"),"wallander")</f>
        <v>wallander</v>
      </c>
    </row>
    <row r="15882">
      <c r="A15882" s="1" t="s">
        <v>15881</v>
      </c>
      <c r="B15882" s="2" t="str">
        <f>IFERROR(__xludf.DUMMYFUNCTION("GOOGLETRANSLATE(A15882, ""de"", ""en"")"),"cds")</f>
        <v>cds</v>
      </c>
    </row>
    <row r="15883">
      <c r="A15883" s="1" t="s">
        <v>15882</v>
      </c>
      <c r="B15883" s="2" t="str">
        <f>IFERROR(__xludf.DUMMYFUNCTION("GOOGLETRANSLATE(A15883, ""de"", ""en"")"),"consider")</f>
        <v>consider</v>
      </c>
    </row>
    <row r="15884">
      <c r="A15884" s="1" t="s">
        <v>15883</v>
      </c>
      <c r="B15884" s="2" t="str">
        <f>IFERROR(__xludf.DUMMYFUNCTION("GOOGLETRANSLATE(A15884, ""de"", ""en"")"),"crush")</f>
        <v>crush</v>
      </c>
    </row>
    <row r="15885">
      <c r="A15885" s="1" t="s">
        <v>15884</v>
      </c>
      <c r="B15885" s="2" t="str">
        <f>IFERROR(__xludf.DUMMYFUNCTION("GOOGLETRANSLATE(A15885, ""de"", ""en"")"),"did")</f>
        <v>did</v>
      </c>
    </row>
    <row r="15886">
      <c r="A15886" s="1" t="s">
        <v>15885</v>
      </c>
      <c r="B15886" s="2" t="str">
        <f>IFERROR(__xludf.DUMMYFUNCTION("GOOGLETRANSLATE(A15886, ""de"", ""en"")"),"u.")</f>
        <v>u.</v>
      </c>
    </row>
    <row r="15887">
      <c r="A15887" s="1" t="s">
        <v>15886</v>
      </c>
      <c r="B15887" s="2" t="str">
        <f>IFERROR(__xludf.DUMMYFUNCTION("GOOGLETRANSLATE(A15887, ""de"", ""en"")"),"to find")</f>
        <v>to find</v>
      </c>
    </row>
    <row r="15888">
      <c r="A15888" s="1" t="s">
        <v>15887</v>
      </c>
      <c r="B15888" s="2" t="str">
        <f>IFERROR(__xludf.DUMMYFUNCTION("GOOGLETRANSLATE(A15888, ""de"", ""en"")"),"direct")</f>
        <v>direct</v>
      </c>
    </row>
    <row r="15889">
      <c r="A15889" s="1" t="s">
        <v>15888</v>
      </c>
      <c r="B15889" s="2" t="str">
        <f>IFERROR(__xludf.DUMMYFUNCTION("GOOGLETRANSLATE(A15889, ""de"", ""en"")"),"brisk")</f>
        <v>brisk</v>
      </c>
    </row>
    <row r="15890">
      <c r="A15890" s="1" t="s">
        <v>15889</v>
      </c>
      <c r="B15890" s="2" t="str">
        <f>IFERROR(__xludf.DUMMYFUNCTION("GOOGLETRANSLATE(A15890, ""de"", ""en"")"),"step forward")</f>
        <v>step forward</v>
      </c>
    </row>
    <row r="15891">
      <c r="A15891" s="1" t="s">
        <v>15890</v>
      </c>
      <c r="B15891" s="2" t="str">
        <f>IFERROR(__xludf.DUMMYFUNCTION("GOOGLETRANSLATE(A15891, ""de"", ""en"")"),"bright")</f>
        <v>bright</v>
      </c>
    </row>
    <row r="15892">
      <c r="A15892" s="1" t="s">
        <v>15891</v>
      </c>
      <c r="B15892" s="2" t="str">
        <f>IFERROR(__xludf.DUMMYFUNCTION("GOOGLETRANSLATE(A15892, ""de"", ""en"")"),"sake")</f>
        <v>sake</v>
      </c>
    </row>
    <row r="15893">
      <c r="A15893" s="1" t="s">
        <v>15892</v>
      </c>
      <c r="B15893" s="2" t="str">
        <f>IFERROR(__xludf.DUMMYFUNCTION("GOOGLETRANSLATE(A15893, ""de"", ""en"")"),"wedding")</f>
        <v>wedding</v>
      </c>
    </row>
    <row r="15894">
      <c r="A15894" s="1" t="s">
        <v>15893</v>
      </c>
      <c r="B15894" s="2" t="str">
        <f>IFERROR(__xludf.DUMMYFUNCTION("GOOGLETRANSLATE(A15894, ""de"", ""en"")"),"leading")</f>
        <v>leading</v>
      </c>
    </row>
    <row r="15895">
      <c r="A15895" s="1" t="s">
        <v>15894</v>
      </c>
      <c r="B15895" s="2" t="str">
        <f>IFERROR(__xludf.DUMMYFUNCTION("GOOGLETRANSLATE(A15895, ""de"", ""en"")"),"bite")</f>
        <v>bite</v>
      </c>
    </row>
    <row r="15896">
      <c r="A15896" s="1" t="s">
        <v>15895</v>
      </c>
      <c r="B15896" s="2" t="str">
        <f>IFERROR(__xludf.DUMMYFUNCTION("GOOGLETRANSLATE(A15896, ""de"", ""en"")"),"spare")</f>
        <v>spare</v>
      </c>
    </row>
    <row r="15897">
      <c r="A15897" s="1" t="s">
        <v>15896</v>
      </c>
      <c r="B15897" s="2" t="str">
        <f>IFERROR(__xludf.DUMMYFUNCTION("GOOGLETRANSLATE(A15897, ""de"", ""en"")"),"unknown")</f>
        <v>unknown</v>
      </c>
    </row>
    <row r="15898">
      <c r="A15898" s="1" t="s">
        <v>15897</v>
      </c>
      <c r="B15898" s="2" t="str">
        <f>IFERROR(__xludf.DUMMYFUNCTION("GOOGLETRANSLATE(A15898, ""de"", ""en"")"),"technologies")</f>
        <v>technologies</v>
      </c>
    </row>
    <row r="15899">
      <c r="A15899" s="1" t="s">
        <v>15898</v>
      </c>
      <c r="B15899" s="2" t="str">
        <f>IFERROR(__xludf.DUMMYFUNCTION("GOOGLETRANSLATE(A15899, ""de"", ""en"")"),"columbus")</f>
        <v>columbus</v>
      </c>
    </row>
    <row r="15900">
      <c r="A15900" s="1" t="s">
        <v>15899</v>
      </c>
      <c r="B15900" s="2" t="str">
        <f>IFERROR(__xludf.DUMMYFUNCTION("GOOGLETRANSLATE(A15900, ""de"", ""en"")"),"countrymen")</f>
        <v>countrymen</v>
      </c>
    </row>
    <row r="15901">
      <c r="A15901" s="1" t="s">
        <v>15900</v>
      </c>
      <c r="B15901" s="2" t="str">
        <f>IFERROR(__xludf.DUMMYFUNCTION("GOOGLETRANSLATE(A15901, ""de"", ""en"")"),"English")</f>
        <v>English</v>
      </c>
    </row>
    <row r="15902">
      <c r="A15902" s="1" t="s">
        <v>15901</v>
      </c>
      <c r="B15902" s="2" t="str">
        <f>IFERROR(__xludf.DUMMYFUNCTION("GOOGLETRANSLATE(A15902, ""de"", ""en"")"),"borrowed")</f>
        <v>borrowed</v>
      </c>
    </row>
    <row r="15903">
      <c r="A15903" s="1" t="s">
        <v>15902</v>
      </c>
      <c r="B15903" s="2" t="str">
        <f>IFERROR(__xludf.DUMMYFUNCTION("GOOGLETRANSLATE(A15903, ""de"", ""en"")"),"stunner")</f>
        <v>stunner</v>
      </c>
    </row>
    <row r="15904">
      <c r="A15904" s="1" t="s">
        <v>15903</v>
      </c>
      <c r="B15904" s="2" t="str">
        <f>IFERROR(__xludf.DUMMYFUNCTION("GOOGLETRANSLATE(A15904, ""de"", ""en"")"),"blow off")</f>
        <v>blow off</v>
      </c>
    </row>
    <row r="15905">
      <c r="A15905" s="1" t="s">
        <v>15904</v>
      </c>
      <c r="B15905" s="2" t="str">
        <f>IFERROR(__xludf.DUMMYFUNCTION("GOOGLETRANSLATE(A15905, ""de"", ""en"")"),"abi")</f>
        <v>abi</v>
      </c>
    </row>
    <row r="15906">
      <c r="A15906" s="1" t="s">
        <v>15905</v>
      </c>
      <c r="B15906" s="2" t="str">
        <f>IFERROR(__xludf.DUMMYFUNCTION("GOOGLETRANSLATE(A15906, ""de"", ""en"")"),"corinne")</f>
        <v>corinne</v>
      </c>
    </row>
    <row r="15907">
      <c r="A15907" s="1" t="s">
        <v>15906</v>
      </c>
      <c r="B15907" s="2" t="str">
        <f>IFERROR(__xludf.DUMMYFUNCTION("GOOGLETRANSLATE(A15907, ""de"", ""en"")"),"tobi")</f>
        <v>tobi</v>
      </c>
    </row>
    <row r="15908">
      <c r="A15908" s="1" t="s">
        <v>15907</v>
      </c>
      <c r="B15908" s="2" t="str">
        <f>IFERROR(__xludf.DUMMYFUNCTION("GOOGLETRANSLATE(A15908, ""de"", ""en"")"),"shed")</f>
        <v>shed</v>
      </c>
    </row>
    <row r="15909">
      <c r="A15909" s="1" t="s">
        <v>15908</v>
      </c>
      <c r="B15909" s="2" t="str">
        <f>IFERROR(__xludf.DUMMYFUNCTION("GOOGLETRANSLATE(A15909, ""de"", ""en"")"),"ale")</f>
        <v>ale</v>
      </c>
    </row>
    <row r="15910">
      <c r="A15910" s="1" t="s">
        <v>15909</v>
      </c>
      <c r="B15910" s="2" t="str">
        <f>IFERROR(__xludf.DUMMYFUNCTION("GOOGLETRANSLATE(A15910, ""de"", ""en"")"),"activate")</f>
        <v>activate</v>
      </c>
    </row>
    <row r="15911">
      <c r="A15911" s="1" t="s">
        <v>15910</v>
      </c>
      <c r="B15911" s="2" t="str">
        <f>IFERROR(__xludf.DUMMYFUNCTION("GOOGLETRANSLATE(A15911, ""de"", ""en"")"),"living")</f>
        <v>living</v>
      </c>
    </row>
    <row r="15912">
      <c r="A15912" s="1" t="s">
        <v>15911</v>
      </c>
      <c r="B15912" s="2" t="str">
        <f>IFERROR(__xludf.DUMMYFUNCTION("GOOGLETRANSLATE(A15912, ""de"", ""en"")"),"tin")</f>
        <v>tin</v>
      </c>
    </row>
    <row r="15913">
      <c r="A15913" s="1" t="s">
        <v>15912</v>
      </c>
      <c r="B15913" s="2" t="str">
        <f>IFERROR(__xludf.DUMMYFUNCTION("GOOGLETRANSLATE(A15913, ""de"", ""en"")"),"sorry")</f>
        <v>sorry</v>
      </c>
    </row>
    <row r="15914">
      <c r="A15914" s="1" t="s">
        <v>15913</v>
      </c>
      <c r="B15914" s="2" t="str">
        <f>IFERROR(__xludf.DUMMYFUNCTION("GOOGLETRANSLATE(A15914, ""de"", ""en"")"),"allows")</f>
        <v>allows</v>
      </c>
    </row>
    <row r="15915">
      <c r="A15915" s="1" t="s">
        <v>15914</v>
      </c>
      <c r="B15915" s="2" t="str">
        <f>IFERROR(__xludf.DUMMYFUNCTION("GOOGLETRANSLATE(A15915, ""de"", ""en"")"),"modest")</f>
        <v>modest</v>
      </c>
    </row>
    <row r="15916">
      <c r="A15916" s="1" t="s">
        <v>15915</v>
      </c>
      <c r="B15916" s="2" t="str">
        <f>IFERROR(__xludf.DUMMYFUNCTION("GOOGLETRANSLATE(A15916, ""de"", ""en"")"),"strive")</f>
        <v>strive</v>
      </c>
    </row>
    <row r="15917">
      <c r="A15917" s="1" t="s">
        <v>15916</v>
      </c>
      <c r="B15917" s="2" t="str">
        <f>IFERROR(__xludf.DUMMYFUNCTION("GOOGLETRANSLATE(A15917, ""de"", ""en"")"),"saleswoman")</f>
        <v>saleswoman</v>
      </c>
    </row>
    <row r="15918">
      <c r="A15918" s="1" t="s">
        <v>15917</v>
      </c>
      <c r="B15918" s="2" t="str">
        <f>IFERROR(__xludf.DUMMYFUNCTION("GOOGLETRANSLATE(A15918, ""de"", ""en"")"),"seen again")</f>
        <v>seen again</v>
      </c>
    </row>
    <row r="15919">
      <c r="A15919" s="1" t="s">
        <v>15918</v>
      </c>
      <c r="B15919" s="2" t="str">
        <f>IFERROR(__xludf.DUMMYFUNCTION("GOOGLETRANSLATE(A15919, ""de"", ""en"")"),"iced tea")</f>
        <v>iced tea</v>
      </c>
    </row>
    <row r="15920">
      <c r="A15920" s="1" t="s">
        <v>15919</v>
      </c>
      <c r="B15920" s="2" t="str">
        <f>IFERROR(__xludf.DUMMYFUNCTION("GOOGLETRANSLATE(A15920, ""de"", ""en"")"),"kidnapped")</f>
        <v>kidnapped</v>
      </c>
    </row>
    <row r="15921">
      <c r="A15921" s="1" t="s">
        <v>15920</v>
      </c>
      <c r="B15921" s="2" t="str">
        <f>IFERROR(__xludf.DUMMYFUNCTION("GOOGLETRANSLATE(A15921, ""de"", ""en"")"),"cliffs")</f>
        <v>cliffs</v>
      </c>
    </row>
    <row r="15922">
      <c r="A15922" s="1" t="s">
        <v>15921</v>
      </c>
      <c r="B15922" s="2" t="str">
        <f>IFERROR(__xludf.DUMMYFUNCTION("GOOGLETRANSLATE(A15922, ""de"", ""en"")"),"belt")</f>
        <v>belt</v>
      </c>
    </row>
    <row r="15923">
      <c r="A15923" s="1" t="s">
        <v>15922</v>
      </c>
      <c r="B15923" s="2" t="str">
        <f>IFERROR(__xludf.DUMMYFUNCTION("GOOGLETRANSLATE(A15923, ""de"", ""en"")"),"unhealthy")</f>
        <v>unhealthy</v>
      </c>
    </row>
    <row r="15924">
      <c r="A15924" s="1" t="s">
        <v>15923</v>
      </c>
      <c r="B15924" s="2" t="str">
        <f>IFERROR(__xludf.DUMMYFUNCTION("GOOGLETRANSLATE(A15924, ""de"", ""en"")"),"challenged")</f>
        <v>challenged</v>
      </c>
    </row>
    <row r="15925">
      <c r="A15925" s="1" t="s">
        <v>15924</v>
      </c>
      <c r="B15925" s="2" t="str">
        <f>IFERROR(__xludf.DUMMYFUNCTION("GOOGLETRANSLATE(A15925, ""de"", ""en"")"),"peace.peace")</f>
        <v>peace.peace</v>
      </c>
    </row>
    <row r="15926">
      <c r="A15926" s="1" t="s">
        <v>15925</v>
      </c>
      <c r="B15926" s="2" t="str">
        <f>IFERROR(__xludf.DUMMYFUNCTION("GOOGLETRANSLATE(A15926, ""de"", ""en"")"),"picked up")</f>
        <v>picked up</v>
      </c>
    </row>
    <row r="15927">
      <c r="A15927" s="1" t="s">
        <v>15926</v>
      </c>
      <c r="B15927" s="2" t="str">
        <f>IFERROR(__xludf.DUMMYFUNCTION("GOOGLETRANSLATE(A15927, ""de"", ""en"")"),"complained")</f>
        <v>complained</v>
      </c>
    </row>
    <row r="15928">
      <c r="A15928" s="1" t="s">
        <v>15927</v>
      </c>
      <c r="B15928" s="2" t="str">
        <f>IFERROR(__xludf.DUMMYFUNCTION("GOOGLETRANSLATE(A15928, ""de"", ""en"")"),"offer")</f>
        <v>offer</v>
      </c>
    </row>
    <row r="15929">
      <c r="A15929" s="1" t="s">
        <v>15928</v>
      </c>
      <c r="B15929" s="2" t="str">
        <f>IFERROR(__xludf.DUMMYFUNCTION("GOOGLETRANSLATE(A15929, ""de"", ""en"")"),"explain")</f>
        <v>explain</v>
      </c>
    </row>
    <row r="15930">
      <c r="A15930" s="1" t="s">
        <v>15929</v>
      </c>
      <c r="B15930" s="2" t="str">
        <f>IFERROR(__xludf.DUMMYFUNCTION("GOOGLETRANSLATE(A15930, ""de"", ""en"")"),"funerals")</f>
        <v>funerals</v>
      </c>
    </row>
    <row r="15931">
      <c r="A15931" s="1" t="s">
        <v>15930</v>
      </c>
      <c r="B15931" s="2" t="str">
        <f>IFERROR(__xludf.DUMMYFUNCTION("GOOGLETRANSLATE(A15931, ""de"", ""en"")"),"hung")</f>
        <v>hung</v>
      </c>
    </row>
    <row r="15932">
      <c r="A15932" s="1" t="s">
        <v>15931</v>
      </c>
      <c r="B15932" s="2" t="str">
        <f>IFERROR(__xludf.DUMMYFUNCTION("GOOGLETRANSLATE(A15932, ""de"", ""en"")"),"jaime")</f>
        <v>jaime</v>
      </c>
    </row>
    <row r="15933">
      <c r="A15933" s="1" t="s">
        <v>15932</v>
      </c>
      <c r="B15933" s="2" t="str">
        <f>IFERROR(__xludf.DUMMYFUNCTION("GOOGLETRANSLATE(A15933, ""de"", ""en"")"),"cotton")</f>
        <v>cotton</v>
      </c>
    </row>
    <row r="15934">
      <c r="A15934" s="1" t="s">
        <v>15933</v>
      </c>
      <c r="B15934" s="2" t="str">
        <f>IFERROR(__xludf.DUMMYFUNCTION("GOOGLETRANSLATE(A15934, ""de"", ""en"")"),"went away")</f>
        <v>went away</v>
      </c>
    </row>
    <row r="15935">
      <c r="A15935" s="1" t="s">
        <v>15934</v>
      </c>
      <c r="B15935" s="2" t="str">
        <f>IFERROR(__xludf.DUMMYFUNCTION("GOOGLETRANSLATE(A15935, ""de"", ""en"")"),"heavenly")</f>
        <v>heavenly</v>
      </c>
    </row>
    <row r="15936">
      <c r="A15936" s="1" t="s">
        <v>15935</v>
      </c>
      <c r="B15936" s="2" t="str">
        <f>IFERROR(__xludf.DUMMYFUNCTION("GOOGLETRANSLATE(A15936, ""de"", ""en"")"),"stability")</f>
        <v>stability</v>
      </c>
    </row>
    <row r="15937">
      <c r="A15937" s="1" t="s">
        <v>15936</v>
      </c>
      <c r="B15937" s="2" t="str">
        <f>IFERROR(__xludf.DUMMYFUNCTION("GOOGLETRANSLATE(A15937, ""de"", ""en"")"),"disobedience")</f>
        <v>disobedience</v>
      </c>
    </row>
    <row r="15938">
      <c r="A15938" s="1" t="s">
        <v>15937</v>
      </c>
      <c r="B15938" s="2" t="str">
        <f>IFERROR(__xludf.DUMMYFUNCTION("GOOGLETRANSLATE(A15938, ""de"", ""en"")"),"grew")</f>
        <v>grew</v>
      </c>
    </row>
    <row r="15939">
      <c r="A15939" s="1" t="s">
        <v>15938</v>
      </c>
      <c r="B15939" s="2" t="str">
        <f>IFERROR(__xludf.DUMMYFUNCTION("GOOGLETRANSLATE(A15939, ""de"", ""en"")"),"came")</f>
        <v>came</v>
      </c>
    </row>
    <row r="15940">
      <c r="A15940" s="1" t="s">
        <v>15939</v>
      </c>
      <c r="B15940" s="2" t="str">
        <f>IFERROR(__xludf.DUMMYFUNCTION("GOOGLETRANSLATE(A15940, ""de"", ""en"")"),"stupid")</f>
        <v>stupid</v>
      </c>
    </row>
    <row r="15941">
      <c r="A15941" s="1" t="s">
        <v>15940</v>
      </c>
      <c r="B15941" s="2" t="str">
        <f>IFERROR(__xludf.DUMMYFUNCTION("GOOGLETRANSLATE(A15941, ""de"", ""en"")"),"Samaritan")</f>
        <v>Samaritan</v>
      </c>
    </row>
    <row r="15942">
      <c r="A15942" s="1" t="s">
        <v>15941</v>
      </c>
      <c r="B15942" s="2" t="str">
        <f>IFERROR(__xludf.DUMMYFUNCTION("GOOGLETRANSLATE(A15942, ""de"", ""en"")"),"village")</f>
        <v>village</v>
      </c>
    </row>
    <row r="15943">
      <c r="A15943" s="1" t="s">
        <v>15942</v>
      </c>
      <c r="B15943" s="2" t="str">
        <f>IFERROR(__xludf.DUMMYFUNCTION("GOOGLETRANSLATE(A15943, ""de"", ""en"")"),"Yep")</f>
        <v>Yep</v>
      </c>
    </row>
    <row r="15944">
      <c r="A15944" s="1" t="s">
        <v>15943</v>
      </c>
      <c r="B15944" s="2" t="str">
        <f>IFERROR(__xludf.DUMMYFUNCTION("GOOGLETRANSLATE(A15944, ""de"", ""en"")"),"immoral")</f>
        <v>immoral</v>
      </c>
    </row>
    <row r="15945">
      <c r="A15945" s="1" t="s">
        <v>15944</v>
      </c>
      <c r="B15945" s="2" t="str">
        <f>IFERROR(__xludf.DUMMYFUNCTION("GOOGLETRANSLATE(A15945, ""de"", ""en"")"),"bedtime")</f>
        <v>bedtime</v>
      </c>
    </row>
    <row r="15946">
      <c r="A15946" s="1" t="s">
        <v>15945</v>
      </c>
      <c r="B15946" s="2" t="str">
        <f>IFERROR(__xludf.DUMMYFUNCTION("GOOGLETRANSLATE(A15946, ""de"", ""en"")"),"pulled through")</f>
        <v>pulled through</v>
      </c>
    </row>
    <row r="15947">
      <c r="A15947" s="1" t="s">
        <v>15946</v>
      </c>
      <c r="B15947" s="2" t="str">
        <f>IFERROR(__xludf.DUMMYFUNCTION("GOOGLETRANSLATE(A15947, ""de"", ""en"")"),"clever")</f>
        <v>clever</v>
      </c>
    </row>
    <row r="15948">
      <c r="A15948" s="1" t="s">
        <v>15947</v>
      </c>
      <c r="B15948" s="2" t="str">
        <f>IFERROR(__xludf.DUMMYFUNCTION("GOOGLETRANSLATE(A15948, ""de"", ""en"")"),"classic")</f>
        <v>classic</v>
      </c>
    </row>
    <row r="15949">
      <c r="A15949" s="1" t="s">
        <v>15948</v>
      </c>
      <c r="B15949" s="2" t="str">
        <f>IFERROR(__xludf.DUMMYFUNCTION("GOOGLETRANSLATE(A15949, ""de"", ""en"")"),"dash")</f>
        <v>dash</v>
      </c>
    </row>
    <row r="15950">
      <c r="A15950" s="1" t="s">
        <v>15949</v>
      </c>
      <c r="B15950" s="2" t="str">
        <f>IFERROR(__xludf.DUMMYFUNCTION("GOOGLETRANSLATE(A15950, ""de"", ""en"")"),"know")</f>
        <v>know</v>
      </c>
    </row>
    <row r="15951">
      <c r="A15951" s="1" t="s">
        <v>15950</v>
      </c>
      <c r="B15951" s="2" t="str">
        <f>IFERROR(__xludf.DUMMYFUNCTION("GOOGLETRANSLATE(A15951, ""de"", ""en"")"),"margarita")</f>
        <v>margarita</v>
      </c>
    </row>
    <row r="15952">
      <c r="A15952" s="1" t="s">
        <v>15951</v>
      </c>
      <c r="B15952" s="2" t="str">
        <f>IFERROR(__xludf.DUMMYFUNCTION("GOOGLETRANSLATE(A15952, ""de"", ""en"")"),"find out")</f>
        <v>find out</v>
      </c>
    </row>
    <row r="15953">
      <c r="A15953" s="1" t="s">
        <v>15952</v>
      </c>
      <c r="B15953" s="2" t="str">
        <f>IFERROR(__xludf.DUMMYFUNCTION("GOOGLETRANSLATE(A15953, ""de"", ""en"")"),"change your mind")</f>
        <v>change your mind</v>
      </c>
    </row>
    <row r="15954">
      <c r="A15954" s="1" t="s">
        <v>15953</v>
      </c>
      <c r="B15954" s="2" t="str">
        <f>IFERROR(__xludf.DUMMYFUNCTION("GOOGLETRANSLATE(A15954, ""de"", ""en"")"),"closed")</f>
        <v>closed</v>
      </c>
    </row>
    <row r="15955">
      <c r="A15955" s="1" t="s">
        <v>15954</v>
      </c>
      <c r="B15955" s="2" t="str">
        <f>IFERROR(__xludf.DUMMYFUNCTION("GOOGLETRANSLATE(A15955, ""de"", ""en"")"),"get rid of")</f>
        <v>get rid of</v>
      </c>
    </row>
    <row r="15956">
      <c r="A15956" s="1" t="s">
        <v>15955</v>
      </c>
      <c r="B15956" s="2" t="str">
        <f>IFERROR(__xludf.DUMMYFUNCTION("GOOGLETRANSLATE(A15956, ""de"", ""en"")"),"compartment")</f>
        <v>compartment</v>
      </c>
    </row>
    <row r="15957">
      <c r="A15957" s="1" t="s">
        <v>15956</v>
      </c>
      <c r="B15957" s="2" t="str">
        <f>IFERROR(__xludf.DUMMYFUNCTION("GOOGLETRANSLATE(A15957, ""de"", ""en"")"),"unforgivable")</f>
        <v>unforgivable</v>
      </c>
    </row>
    <row r="15958">
      <c r="A15958" s="1" t="s">
        <v>15957</v>
      </c>
      <c r="B15958" s="2" t="str">
        <f>IFERROR(__xludf.DUMMYFUNCTION("GOOGLETRANSLATE(A15958, ""de"", ""en"")"),"instantly")</f>
        <v>instantly</v>
      </c>
    </row>
    <row r="15959">
      <c r="A15959" s="1" t="s">
        <v>15958</v>
      </c>
      <c r="B15959" s="2" t="str">
        <f>IFERROR(__xludf.DUMMYFUNCTION("GOOGLETRANSLATE(A15959, ""de"", ""en"")"),"captivates")</f>
        <v>captivates</v>
      </c>
    </row>
    <row r="15960">
      <c r="A15960" s="1" t="s">
        <v>15959</v>
      </c>
      <c r="B15960" s="2" t="str">
        <f>IFERROR(__xludf.DUMMYFUNCTION("GOOGLETRANSLATE(A15960, ""de"", ""en"")"),"sforza")</f>
        <v>sforza</v>
      </c>
    </row>
    <row r="15961">
      <c r="A15961" s="1" t="s">
        <v>15960</v>
      </c>
      <c r="B15961" s="2" t="str">
        <f>IFERROR(__xludf.DUMMYFUNCTION("GOOGLETRANSLATE(A15961, ""de"", ""en"")"),"rubble")</f>
        <v>rubble</v>
      </c>
    </row>
    <row r="15962">
      <c r="A15962" s="1" t="s">
        <v>15961</v>
      </c>
      <c r="B15962" s="2" t="str">
        <f>IFERROR(__xludf.DUMMYFUNCTION("GOOGLETRANSLATE(A15962, ""de"", ""en"")"),"sidewalk")</f>
        <v>sidewalk</v>
      </c>
    </row>
    <row r="15963">
      <c r="A15963" s="1" t="s">
        <v>15962</v>
      </c>
      <c r="B15963" s="2" t="str">
        <f>IFERROR(__xludf.DUMMYFUNCTION("GOOGLETRANSLATE(A15963, ""de"", ""en"")"),"thin")</f>
        <v>thin</v>
      </c>
    </row>
    <row r="15964">
      <c r="A15964" s="1" t="s">
        <v>15963</v>
      </c>
      <c r="B15964" s="2" t="str">
        <f>IFERROR(__xludf.DUMMYFUNCTION("GOOGLETRANSLATE(A15964, ""de"", ""en"")"),"infantry")</f>
        <v>infantry</v>
      </c>
    </row>
    <row r="15965">
      <c r="A15965" s="1" t="s">
        <v>15964</v>
      </c>
      <c r="B15965" s="2" t="str">
        <f>IFERROR(__xludf.DUMMYFUNCTION("GOOGLETRANSLATE(A15965, ""de"", ""en"")"),"sweetest")</f>
        <v>sweetest</v>
      </c>
    </row>
    <row r="15966">
      <c r="A15966" s="1" t="s">
        <v>15965</v>
      </c>
      <c r="B15966" s="2" t="str">
        <f>IFERROR(__xludf.DUMMYFUNCTION("GOOGLETRANSLATE(A15966, ""de"", ""en"")"),"cockroach")</f>
        <v>cockroach</v>
      </c>
    </row>
    <row r="15967">
      <c r="A15967" s="1" t="s">
        <v>15966</v>
      </c>
      <c r="B15967" s="2" t="str">
        <f>IFERROR(__xludf.DUMMYFUNCTION("GOOGLETRANSLATE(A15967, ""de"", ""en"")"),"impressive")</f>
        <v>impressive</v>
      </c>
    </row>
    <row r="15968">
      <c r="A15968" s="1" t="s">
        <v>15967</v>
      </c>
      <c r="B15968" s="2" t="str">
        <f>IFERROR(__xludf.DUMMYFUNCTION("GOOGLETRANSLATE(A15968, ""de"", ""en"")"),"smashed")</f>
        <v>smashed</v>
      </c>
    </row>
    <row r="15969">
      <c r="A15969" s="1" t="s">
        <v>15968</v>
      </c>
      <c r="B15969" s="2" t="str">
        <f>IFERROR(__xludf.DUMMYFUNCTION("GOOGLETRANSLATE(A15969, ""de"", ""en"")"),"lovesickness")</f>
        <v>lovesickness</v>
      </c>
    </row>
    <row r="15970">
      <c r="A15970" s="1" t="s">
        <v>15969</v>
      </c>
      <c r="B15970" s="2" t="str">
        <f>IFERROR(__xludf.DUMMYFUNCTION("GOOGLETRANSLATE(A15970, ""de"", ""en"")"),"final")</f>
        <v>final</v>
      </c>
    </row>
    <row r="15971">
      <c r="A15971" s="1" t="s">
        <v>15970</v>
      </c>
      <c r="B15971" s="2" t="str">
        <f>IFERROR(__xludf.DUMMYFUNCTION("GOOGLETRANSLATE(A15971, ""de"", ""en"")"),"surpass")</f>
        <v>surpass</v>
      </c>
    </row>
    <row r="15972">
      <c r="A15972" s="1" t="s">
        <v>15971</v>
      </c>
      <c r="B15972" s="2" t="str">
        <f>IFERROR(__xludf.DUMMYFUNCTION("GOOGLETRANSLATE(A15972, ""de"", ""en"")"),"valium")</f>
        <v>valium</v>
      </c>
    </row>
    <row r="15973">
      <c r="A15973" s="1" t="s">
        <v>15972</v>
      </c>
      <c r="B15973" s="2" t="str">
        <f>IFERROR(__xludf.DUMMYFUNCTION("GOOGLETRANSLATE(A15973, ""de"", ""en"")"),"as quickly as possible")</f>
        <v>as quickly as possible</v>
      </c>
    </row>
    <row r="15974">
      <c r="A15974" s="1" t="s">
        <v>15973</v>
      </c>
      <c r="B15974" s="2" t="str">
        <f>IFERROR(__xludf.DUMMYFUNCTION("GOOGLETRANSLATE(A15974, ""de"", ""en"")"),"cover")</f>
        <v>cover</v>
      </c>
    </row>
    <row r="15975">
      <c r="A15975" s="1" t="s">
        <v>15974</v>
      </c>
      <c r="B15975" s="2" t="str">
        <f>IFERROR(__xludf.DUMMYFUNCTION("GOOGLETRANSLATE(A15975, ""de"", ""en"")"),"merciless")</f>
        <v>merciless</v>
      </c>
    </row>
    <row r="15976">
      <c r="A15976" s="1" t="s">
        <v>15975</v>
      </c>
      <c r="B15976" s="2" t="str">
        <f>IFERROR(__xludf.DUMMYFUNCTION("GOOGLETRANSLATE(A15976, ""de"", ""en"")"),"theme music")</f>
        <v>theme music</v>
      </c>
    </row>
    <row r="15977">
      <c r="A15977" s="1" t="s">
        <v>15976</v>
      </c>
      <c r="B15977" s="2" t="str">
        <f>IFERROR(__xludf.DUMMYFUNCTION("GOOGLETRANSLATE(A15977, ""de"", ""en"")"),"desire")</f>
        <v>desire</v>
      </c>
    </row>
    <row r="15978">
      <c r="A15978" s="1" t="s">
        <v>15977</v>
      </c>
      <c r="B15978" s="2" t="str">
        <f>IFERROR(__xludf.DUMMYFUNCTION("GOOGLETRANSLATE(A15978, ""de"", ""en"")"),"Syria")</f>
        <v>Syria</v>
      </c>
    </row>
    <row r="15979">
      <c r="A15979" s="1" t="s">
        <v>15978</v>
      </c>
      <c r="B15979" s="2" t="str">
        <f>IFERROR(__xludf.DUMMYFUNCTION("GOOGLETRANSLATE(A15979, ""de"", ""en"")"),"hmmm")</f>
        <v>hmmm</v>
      </c>
    </row>
    <row r="15980">
      <c r="A15980" s="1" t="s">
        <v>15979</v>
      </c>
      <c r="B15980" s="2" t="str">
        <f>IFERROR(__xludf.DUMMYFUNCTION("GOOGLETRANSLATE(A15980, ""de"", ""en"")"),"strike back")</f>
        <v>strike back</v>
      </c>
    </row>
    <row r="15981">
      <c r="A15981" s="1" t="s">
        <v>15980</v>
      </c>
      <c r="B15981" s="2" t="str">
        <f>IFERROR(__xludf.DUMMYFUNCTION("GOOGLETRANSLATE(A15981, ""de"", ""en"")"),"negative")</f>
        <v>negative</v>
      </c>
    </row>
    <row r="15982">
      <c r="A15982" s="1" t="s">
        <v>15981</v>
      </c>
      <c r="B15982" s="2" t="str">
        <f>IFERROR(__xludf.DUMMYFUNCTION("GOOGLETRANSLATE(A15982, ""de"", ""en"")"),"believe")</f>
        <v>believe</v>
      </c>
    </row>
    <row r="15983">
      <c r="A15983" s="1" t="s">
        <v>15982</v>
      </c>
      <c r="B15983" s="2" t="str">
        <f>IFERROR(__xludf.DUMMYFUNCTION("GOOGLETRANSLATE(A15983, ""de"", ""en"")"),"circle")</f>
        <v>circle</v>
      </c>
    </row>
    <row r="15984">
      <c r="A15984" s="1" t="s">
        <v>15983</v>
      </c>
      <c r="B15984" s="2" t="str">
        <f>IFERROR(__xludf.DUMMYFUNCTION("GOOGLETRANSLATE(A15984, ""de"", ""en"")"),"advertise")</f>
        <v>advertise</v>
      </c>
    </row>
    <row r="15985">
      <c r="A15985" s="1" t="s">
        <v>15984</v>
      </c>
      <c r="B15985" s="2" t="str">
        <f>IFERROR(__xludf.DUMMYFUNCTION("GOOGLETRANSLATE(A15985, ""de"", ""en"")"),"mind")</f>
        <v>mind</v>
      </c>
    </row>
    <row r="15986">
      <c r="A15986" s="1" t="s">
        <v>15985</v>
      </c>
      <c r="B15986" s="2" t="str">
        <f>IFERROR(__xludf.DUMMYFUNCTION("GOOGLETRANSLATE(A15986, ""de"", ""en"")"),"taxis")</f>
        <v>taxis</v>
      </c>
    </row>
    <row r="15987">
      <c r="A15987" s="1" t="s">
        <v>15986</v>
      </c>
      <c r="B15987" s="2" t="str">
        <f>IFERROR(__xludf.DUMMYFUNCTION("GOOGLETRANSLATE(A15987, ""de"", ""en"")"),"sunshine")</f>
        <v>sunshine</v>
      </c>
    </row>
    <row r="15988">
      <c r="A15988" s="1" t="s">
        <v>15987</v>
      </c>
      <c r="B15988" s="2" t="str">
        <f>IFERROR(__xludf.DUMMYFUNCTION("GOOGLETRANSLATE(A15988, ""de"", ""en"")"),"craft")</f>
        <v>craft</v>
      </c>
    </row>
    <row r="15989">
      <c r="A15989" s="1" t="s">
        <v>15988</v>
      </c>
      <c r="B15989" s="2" t="str">
        <f>IFERROR(__xludf.DUMMYFUNCTION("GOOGLETRANSLATE(A15989, ""de"", ""en"")"),"broken leg")</f>
        <v>broken leg</v>
      </c>
    </row>
    <row r="15990">
      <c r="A15990" s="1" t="s">
        <v>15989</v>
      </c>
      <c r="B15990" s="2" t="str">
        <f>IFERROR(__xludf.DUMMYFUNCTION("GOOGLETRANSLATE(A15990, ""de"", ""en"")"),"setback")</f>
        <v>setback</v>
      </c>
    </row>
    <row r="15991">
      <c r="A15991" s="1" t="s">
        <v>15990</v>
      </c>
      <c r="B15991" s="2" t="str">
        <f>IFERROR(__xludf.DUMMYFUNCTION("GOOGLETRANSLATE(A15991, ""de"", ""en"")"),"cowardice")</f>
        <v>cowardice</v>
      </c>
    </row>
    <row r="15992">
      <c r="A15992" s="1" t="s">
        <v>15991</v>
      </c>
      <c r="B15992" s="2" t="str">
        <f>IFERROR(__xludf.DUMMYFUNCTION("GOOGLETRANSLATE(A15992, ""de"", ""en"")"),"late")</f>
        <v>late</v>
      </c>
    </row>
    <row r="15993">
      <c r="A15993" s="1" t="s">
        <v>15992</v>
      </c>
      <c r="B15993" s="2" t="str">
        <f>IFERROR(__xludf.DUMMYFUNCTION("GOOGLETRANSLATE(A15993, ""de"", ""en"")"),"aires")</f>
        <v>aires</v>
      </c>
    </row>
    <row r="15994">
      <c r="A15994" s="1" t="s">
        <v>15993</v>
      </c>
      <c r="B15994" s="2" t="str">
        <f>IFERROR(__xludf.DUMMYFUNCTION("GOOGLETRANSLATE(A15994, ""de"", ""en"")"),"genetic")</f>
        <v>genetic</v>
      </c>
    </row>
    <row r="15995">
      <c r="A15995" s="1" t="s">
        <v>15994</v>
      </c>
      <c r="B15995" s="2" t="str">
        <f>IFERROR(__xludf.DUMMYFUNCTION("GOOGLETRANSLATE(A15995, ""de"", ""en"")"),"linen")</f>
        <v>linen</v>
      </c>
    </row>
    <row r="15996">
      <c r="A15996" s="1" t="s">
        <v>15995</v>
      </c>
      <c r="B15996" s="2" t="str">
        <f>IFERROR(__xludf.DUMMYFUNCTION("GOOGLETRANSLATE(A15996, ""de"", ""en"")"),"play")</f>
        <v>play</v>
      </c>
    </row>
    <row r="15997">
      <c r="A15997" s="1" t="s">
        <v>15996</v>
      </c>
      <c r="B15997" s="2" t="str">
        <f>IFERROR(__xludf.DUMMYFUNCTION("GOOGLETRANSLATE(A15997, ""de"", ""en"")"),"hit-and-run")</f>
        <v>hit-and-run</v>
      </c>
    </row>
    <row r="15998">
      <c r="A15998" s="1" t="s">
        <v>15997</v>
      </c>
      <c r="B15998" s="2" t="str">
        <f>IFERROR(__xludf.DUMMYFUNCTION("GOOGLETRANSLATE(A15998, ""de"", ""en"")"),"contained")</f>
        <v>contained</v>
      </c>
    </row>
    <row r="15999">
      <c r="A15999" s="1" t="s">
        <v>15998</v>
      </c>
      <c r="B15999" s="2" t="str">
        <f>IFERROR(__xludf.DUMMYFUNCTION("GOOGLETRANSLATE(A15999, ""de"", ""en"")"),"dorm")</f>
        <v>dorm</v>
      </c>
    </row>
    <row r="16000">
      <c r="A16000" s="1" t="s">
        <v>15999</v>
      </c>
      <c r="B16000" s="2" t="str">
        <f>IFERROR(__xludf.DUMMYFUNCTION("GOOGLETRANSLATE(A16000, ""de"", ""en"")"),"sylvie")</f>
        <v>sylvie</v>
      </c>
    </row>
    <row r="16001">
      <c r="A16001" s="1" t="s">
        <v>16000</v>
      </c>
      <c r="B16001" s="2" t="str">
        <f>IFERROR(__xludf.DUMMYFUNCTION("GOOGLETRANSLATE(A16001, ""de"", ""en"")"),"papers")</f>
        <v>papers</v>
      </c>
    </row>
    <row r="16002">
      <c r="A16002" s="1" t="s">
        <v>16001</v>
      </c>
      <c r="B16002" s="2" t="str">
        <f>IFERROR(__xludf.DUMMYFUNCTION("GOOGLETRANSLATE(A16002, ""de"", ""en"")"),"survived")</f>
        <v>survived</v>
      </c>
    </row>
    <row r="16003">
      <c r="A16003" s="1" t="s">
        <v>16002</v>
      </c>
      <c r="B16003" s="2" t="str">
        <f>IFERROR(__xludf.DUMMYFUNCTION("GOOGLETRANSLATE(A16003, ""de"", ""en"")"),"steroids")</f>
        <v>steroids</v>
      </c>
    </row>
    <row r="16004">
      <c r="A16004" s="1" t="s">
        <v>16003</v>
      </c>
      <c r="B16004" s="2" t="str">
        <f>IFERROR(__xludf.DUMMYFUNCTION("GOOGLETRANSLATE(A16004, ""de"", ""en"")"),"formulate")</f>
        <v>formulate</v>
      </c>
    </row>
    <row r="16005">
      <c r="A16005" s="1" t="s">
        <v>16004</v>
      </c>
      <c r="B16005" s="2" t="str">
        <f>IFERROR(__xludf.DUMMYFUNCTION("GOOGLETRANSLATE(A16005, ""de"", ""en"")"),"unstable")</f>
        <v>unstable</v>
      </c>
    </row>
    <row r="16006">
      <c r="A16006" s="1" t="s">
        <v>16005</v>
      </c>
      <c r="B16006" s="2" t="str">
        <f>IFERROR(__xludf.DUMMYFUNCTION("GOOGLETRANSLATE(A16006, ""de"", ""en"")"),"secrecy")</f>
        <v>secrecy</v>
      </c>
    </row>
    <row r="16007">
      <c r="A16007" s="1" t="s">
        <v>16006</v>
      </c>
      <c r="B16007" s="2" t="str">
        <f>IFERROR(__xludf.DUMMYFUNCTION("GOOGLETRANSLATE(A16007, ""de"", ""en"")"),"to work together")</f>
        <v>to work together</v>
      </c>
    </row>
    <row r="16008">
      <c r="A16008" s="1" t="s">
        <v>16007</v>
      </c>
      <c r="B16008" s="2" t="str">
        <f>IFERROR(__xludf.DUMMYFUNCTION("GOOGLETRANSLATE(A16008, ""de"", ""en"")"),"chemical")</f>
        <v>chemical</v>
      </c>
    </row>
    <row r="16009">
      <c r="A16009" s="1" t="s">
        <v>16008</v>
      </c>
      <c r="B16009" s="2" t="str">
        <f>IFERROR(__xludf.DUMMYFUNCTION("GOOGLETRANSLATE(A16009, ""de"", ""en"")"),"chose")</f>
        <v>chose</v>
      </c>
    </row>
    <row r="16010">
      <c r="A16010" s="1" t="s">
        <v>16009</v>
      </c>
      <c r="B16010" s="2" t="str">
        <f>IFERROR(__xludf.DUMMYFUNCTION("GOOGLETRANSLATE(A16010, ""de"", ""en"")"),"find out")</f>
        <v>find out</v>
      </c>
    </row>
    <row r="16011">
      <c r="A16011" s="1" t="s">
        <v>16010</v>
      </c>
      <c r="B16011" s="2" t="str">
        <f>IFERROR(__xludf.DUMMYFUNCTION("GOOGLETRANSLATE(A16011, ""de"", ""en"")"),"front")</f>
        <v>front</v>
      </c>
    </row>
    <row r="16012">
      <c r="A16012" s="1" t="s">
        <v>16011</v>
      </c>
      <c r="B16012" s="2" t="str">
        <f>IFERROR(__xludf.DUMMYFUNCTION("GOOGLETRANSLATE(A16012, ""de"", ""en"")"),"at best")</f>
        <v>at best</v>
      </c>
    </row>
    <row r="16013">
      <c r="A16013" s="1" t="s">
        <v>16012</v>
      </c>
      <c r="B16013" s="2" t="str">
        <f>IFERROR(__xludf.DUMMYFUNCTION("GOOGLETRANSLATE(A16013, ""de"", ""en"")"),"bluff")</f>
        <v>bluff</v>
      </c>
    </row>
    <row r="16014">
      <c r="A16014" s="1" t="s">
        <v>16013</v>
      </c>
      <c r="B16014" s="2" t="str">
        <f>IFERROR(__xludf.DUMMYFUNCTION("GOOGLETRANSLATE(A16014, ""de"", ""en"")"),"fingerprints")</f>
        <v>fingerprints</v>
      </c>
    </row>
    <row r="16015">
      <c r="A16015" s="1" t="s">
        <v>16014</v>
      </c>
      <c r="B16015" s="2" t="str">
        <f>IFERROR(__xludf.DUMMYFUNCTION("GOOGLETRANSLATE(A16015, ""de"", ""en"")"),"remember")</f>
        <v>remember</v>
      </c>
    </row>
    <row r="16016">
      <c r="A16016" s="1" t="s">
        <v>16015</v>
      </c>
      <c r="B16016" s="2" t="str">
        <f>IFERROR(__xludf.DUMMYFUNCTION("GOOGLETRANSLATE(A16016, ""de"", ""en"")"),"screwdriver")</f>
        <v>screwdriver</v>
      </c>
    </row>
    <row r="16017">
      <c r="A16017" s="1" t="s">
        <v>16016</v>
      </c>
      <c r="B16017" s="2" t="str">
        <f>IFERROR(__xludf.DUMMYFUNCTION("GOOGLETRANSLATE(A16017, ""de"", ""en"")"),"dissuade")</f>
        <v>dissuade</v>
      </c>
    </row>
    <row r="16018">
      <c r="A16018" s="1" t="s">
        <v>16017</v>
      </c>
      <c r="B16018" s="2" t="str">
        <f>IFERROR(__xludf.DUMMYFUNCTION("GOOGLETRANSLATE(A16018, ""de"", ""en"")"),"support")</f>
        <v>support</v>
      </c>
    </row>
    <row r="16019">
      <c r="A16019" s="1" t="s">
        <v>16018</v>
      </c>
      <c r="B16019" s="2" t="str">
        <f>IFERROR(__xludf.DUMMYFUNCTION("GOOGLETRANSLATE(A16019, ""de"", ""en"")"),"anja")</f>
        <v>anja</v>
      </c>
    </row>
    <row r="16020">
      <c r="A16020" s="1" t="s">
        <v>16019</v>
      </c>
      <c r="B16020" s="2" t="str">
        <f>IFERROR(__xludf.DUMMYFUNCTION("GOOGLETRANSLATE(A16020, ""de"", ""en"")"),"scoundrel")</f>
        <v>scoundrel</v>
      </c>
    </row>
    <row r="16021">
      <c r="A16021" s="1" t="s">
        <v>16020</v>
      </c>
      <c r="B16021" s="2" t="str">
        <f>IFERROR(__xludf.DUMMYFUNCTION("GOOGLETRANSLATE(A16021, ""de"", ""en"")"),"gunther")</f>
        <v>gunther</v>
      </c>
    </row>
    <row r="16022">
      <c r="A16022" s="1" t="s">
        <v>16021</v>
      </c>
      <c r="B16022" s="2" t="str">
        <f>IFERROR(__xludf.DUMMYFUNCTION("GOOGLETRANSLATE(A16022, ""de"", ""en"")"),"bruises")</f>
        <v>bruises</v>
      </c>
    </row>
    <row r="16023">
      <c r="A16023" s="1" t="s">
        <v>16022</v>
      </c>
      <c r="B16023" s="2" t="str">
        <f>IFERROR(__xludf.DUMMYFUNCTION("GOOGLETRANSLATE(A16023, ""de"", ""en"")"),"climb")</f>
        <v>climb</v>
      </c>
    </row>
    <row r="16024">
      <c r="A16024" s="1" t="s">
        <v>16023</v>
      </c>
      <c r="B16024" s="2" t="str">
        <f>IFERROR(__xludf.DUMMYFUNCTION("GOOGLETRANSLATE(A16024, ""de"", ""en"")"),"painless")</f>
        <v>painless</v>
      </c>
    </row>
    <row r="16025">
      <c r="A16025" s="1" t="s">
        <v>16024</v>
      </c>
      <c r="B16025" s="2" t="str">
        <f>IFERROR(__xludf.DUMMYFUNCTION("GOOGLETRANSLATE(A16025, ""de"", ""en"")"),"high school")</f>
        <v>high school</v>
      </c>
    </row>
    <row r="16026">
      <c r="A16026" s="1" t="s">
        <v>16025</v>
      </c>
      <c r="B16026" s="2" t="str">
        <f>IFERROR(__xludf.DUMMYFUNCTION("GOOGLETRANSLATE(A16026, ""de"", ""en"")"),"transform")</f>
        <v>transform</v>
      </c>
    </row>
    <row r="16027">
      <c r="A16027" s="1" t="s">
        <v>16026</v>
      </c>
      <c r="B16027" s="2" t="str">
        <f>IFERROR(__xludf.DUMMYFUNCTION("GOOGLETRANSLATE(A16027, ""de"", ""en"")"),"understanding")</f>
        <v>understanding</v>
      </c>
    </row>
    <row r="16028">
      <c r="A16028" s="1" t="s">
        <v>16027</v>
      </c>
      <c r="B16028" s="2" t="str">
        <f>IFERROR(__xludf.DUMMYFUNCTION("GOOGLETRANSLATE(A16028, ""de"", ""en"")"),"rossi")</f>
        <v>rossi</v>
      </c>
    </row>
    <row r="16029">
      <c r="A16029" s="1" t="s">
        <v>16028</v>
      </c>
      <c r="B16029" s="2" t="str">
        <f>IFERROR(__xludf.DUMMYFUNCTION("GOOGLETRANSLATE(A16029, ""de"", ""en"")"),"annette")</f>
        <v>annette</v>
      </c>
    </row>
    <row r="16030">
      <c r="A16030" s="1" t="s">
        <v>16029</v>
      </c>
      <c r="B16030" s="2" t="str">
        <f>IFERROR(__xludf.DUMMYFUNCTION("GOOGLETRANSLATE(A16030, ""de"", ""en"")"),"toothpaste")</f>
        <v>toothpaste</v>
      </c>
    </row>
    <row r="16031">
      <c r="A16031" s="1" t="s">
        <v>16030</v>
      </c>
      <c r="B16031" s="2" t="str">
        <f>IFERROR(__xludf.DUMMYFUNCTION("GOOGLETRANSLATE(A16031, ""de"", ""en"")"),"stung")</f>
        <v>stung</v>
      </c>
    </row>
    <row r="16032">
      <c r="A16032" s="1" t="s">
        <v>16031</v>
      </c>
      <c r="B16032" s="2" t="str">
        <f>IFERROR(__xludf.DUMMYFUNCTION("GOOGLETRANSLATE(A16032, ""de"", ""en"")"),"80s")</f>
        <v>80s</v>
      </c>
    </row>
    <row r="16033">
      <c r="A16033" s="1" t="s">
        <v>16032</v>
      </c>
      <c r="B16033" s="2" t="str">
        <f>IFERROR(__xludf.DUMMYFUNCTION("GOOGLETRANSLATE(A16033, ""de"", ""en"")"),"most dangerous")</f>
        <v>most dangerous</v>
      </c>
    </row>
    <row r="16034">
      <c r="A16034" s="1" t="s">
        <v>16033</v>
      </c>
      <c r="B16034" s="2" t="str">
        <f>IFERROR(__xludf.DUMMYFUNCTION("GOOGLETRANSLATE(A16034, ""de"", ""en"")"),"agenda")</f>
        <v>agenda</v>
      </c>
    </row>
    <row r="16035">
      <c r="A16035" s="1" t="s">
        <v>16034</v>
      </c>
      <c r="B16035" s="2" t="str">
        <f>IFERROR(__xludf.DUMMYFUNCTION("GOOGLETRANSLATE(A16035, ""de"", ""en"")"),"calories")</f>
        <v>calories</v>
      </c>
    </row>
    <row r="16036">
      <c r="A16036" s="1" t="s">
        <v>16035</v>
      </c>
      <c r="B16036" s="2" t="str">
        <f>IFERROR(__xludf.DUMMYFUNCTION("GOOGLETRANSLATE(A16036, ""de"", ""en"")"),"turned up")</f>
        <v>turned up</v>
      </c>
    </row>
    <row r="16037">
      <c r="A16037" s="1" t="s">
        <v>16036</v>
      </c>
      <c r="B16037" s="2" t="str">
        <f>IFERROR(__xludf.DUMMYFUNCTION("GOOGLETRANSLATE(A16037, ""de"", ""en"")"),"Irishman")</f>
        <v>Irishman</v>
      </c>
    </row>
    <row r="16038">
      <c r="A16038" s="1" t="s">
        <v>16037</v>
      </c>
      <c r="B16038" s="2" t="str">
        <f>IFERROR(__xludf.DUMMYFUNCTION("GOOGLETRANSLATE(A16038, ""de"", ""en"")"),"jammed")</f>
        <v>jammed</v>
      </c>
    </row>
    <row r="16039">
      <c r="A16039" s="1" t="s">
        <v>16038</v>
      </c>
      <c r="B16039" s="2" t="str">
        <f>IFERROR(__xludf.DUMMYFUNCTION("GOOGLETRANSLATE(A16039, ""de"", ""en"")"),"prescott")</f>
        <v>prescott</v>
      </c>
    </row>
    <row r="16040">
      <c r="A16040" s="1" t="s">
        <v>16039</v>
      </c>
      <c r="B16040" s="2" t="str">
        <f>IFERROR(__xludf.DUMMYFUNCTION("GOOGLETRANSLATE(A16040, ""de"", ""en"")"),"hill")</f>
        <v>hill</v>
      </c>
    </row>
    <row r="16041">
      <c r="A16041" s="1" t="s">
        <v>16040</v>
      </c>
      <c r="B16041" s="2" t="str">
        <f>IFERROR(__xludf.DUMMYFUNCTION("GOOGLETRANSLATE(A16041, ""de"", ""en"")"),"broken through")</f>
        <v>broken through</v>
      </c>
    </row>
    <row r="16042">
      <c r="A16042" s="1" t="s">
        <v>16041</v>
      </c>
      <c r="B16042" s="2" t="str">
        <f>IFERROR(__xludf.DUMMYFUNCTION("GOOGLETRANSLATE(A16042, ""de"", ""en"")"),"computer")</f>
        <v>computer</v>
      </c>
    </row>
    <row r="16043">
      <c r="A16043" s="1" t="s">
        <v>16042</v>
      </c>
      <c r="B16043" s="2" t="str">
        <f>IFERROR(__xludf.DUMMYFUNCTION("GOOGLETRANSLATE(A16043, ""de"", ""en"")"),"mold")</f>
        <v>mold</v>
      </c>
    </row>
    <row r="16044">
      <c r="A16044" s="1" t="s">
        <v>16043</v>
      </c>
      <c r="B16044" s="2" t="str">
        <f>IFERROR(__xludf.DUMMYFUNCTION("GOOGLETRANSLATE(A16044, ""de"", ""en"")"),"seaquest")</f>
        <v>seaquest</v>
      </c>
    </row>
    <row r="16045">
      <c r="A16045" s="1" t="s">
        <v>16044</v>
      </c>
      <c r="B16045" s="2" t="str">
        <f>IFERROR(__xludf.DUMMYFUNCTION("GOOGLETRANSLATE(A16045, ""de"", ""en"")"),"hot dogs")</f>
        <v>hot dogs</v>
      </c>
    </row>
    <row r="16046">
      <c r="A16046" s="1" t="s">
        <v>16045</v>
      </c>
      <c r="B16046" s="2" t="str">
        <f>IFERROR(__xludf.DUMMYFUNCTION("GOOGLETRANSLATE(A16046, ""de"", ""en"")"),"plot")</f>
        <v>plot</v>
      </c>
    </row>
    <row r="16047">
      <c r="A16047" s="1" t="s">
        <v>16046</v>
      </c>
      <c r="B16047" s="2" t="str">
        <f>IFERROR(__xludf.DUMMYFUNCTION("GOOGLETRANSLATE(A16047, ""de"", ""en"")"),"Jana")</f>
        <v>Jana</v>
      </c>
    </row>
    <row r="16048">
      <c r="A16048" s="1" t="s">
        <v>16047</v>
      </c>
      <c r="B16048" s="2" t="str">
        <f>IFERROR(__xludf.DUMMYFUNCTION("GOOGLETRANSLATE(A16048, ""de"", ""en"")"),"fuck you")</f>
        <v>fuck you</v>
      </c>
    </row>
    <row r="16049">
      <c r="A16049" s="1" t="s">
        <v>16048</v>
      </c>
      <c r="B16049" s="2" t="str">
        <f>IFERROR(__xludf.DUMMYFUNCTION("GOOGLETRANSLATE(A16049, ""de"", ""en"")"),"destroy")</f>
        <v>destroy</v>
      </c>
    </row>
    <row r="16050">
      <c r="A16050" s="1" t="s">
        <v>16049</v>
      </c>
      <c r="B16050" s="2" t="str">
        <f>IFERROR(__xludf.DUMMYFUNCTION("GOOGLETRANSLATE(A16050, ""de"", ""en"")"),"waist")</f>
        <v>waist</v>
      </c>
    </row>
    <row r="16051">
      <c r="A16051" s="1" t="s">
        <v>16050</v>
      </c>
      <c r="B16051" s="2" t="str">
        <f>IFERROR(__xludf.DUMMYFUNCTION("GOOGLETRANSLATE(A16051, ""de"", ""en"")"),"buy off")</f>
        <v>buy off</v>
      </c>
    </row>
    <row r="16052">
      <c r="A16052" s="1" t="s">
        <v>16051</v>
      </c>
      <c r="B16052" s="2" t="str">
        <f>IFERROR(__xludf.DUMMYFUNCTION("GOOGLETRANSLATE(A16052, ""de"", ""en"")"),"deceive")</f>
        <v>deceive</v>
      </c>
    </row>
    <row r="16053">
      <c r="A16053" s="1" t="s">
        <v>16052</v>
      </c>
      <c r="B16053" s="2" t="str">
        <f>IFERROR(__xludf.DUMMYFUNCTION("GOOGLETRANSLATE(A16053, ""de"", ""en"")"),"totals")</f>
        <v>totals</v>
      </c>
    </row>
    <row r="16054">
      <c r="A16054" s="1" t="s">
        <v>16053</v>
      </c>
      <c r="B16054" s="2" t="str">
        <f>IFERROR(__xludf.DUMMYFUNCTION("GOOGLETRANSLATE(A16054, ""de"", ""en"")"),"birthdays")</f>
        <v>birthdays</v>
      </c>
    </row>
    <row r="16055">
      <c r="A16055" s="1" t="s">
        <v>16054</v>
      </c>
      <c r="B16055" s="2" t="str">
        <f>IFERROR(__xludf.DUMMYFUNCTION("GOOGLETRANSLATE(A16055, ""de"", ""en"")"),"tape")</f>
        <v>tape</v>
      </c>
    </row>
    <row r="16056">
      <c r="A16056" s="1" t="s">
        <v>16055</v>
      </c>
      <c r="B16056" s="2" t="str">
        <f>IFERROR(__xludf.DUMMYFUNCTION("GOOGLETRANSLATE(A16056, ""de"", ""en"")"),"basics")</f>
        <v>basics</v>
      </c>
    </row>
    <row r="16057">
      <c r="A16057" s="1" t="s">
        <v>16056</v>
      </c>
      <c r="B16057" s="2" t="str">
        <f>IFERROR(__xludf.DUMMYFUNCTION("GOOGLETRANSLATE(A16057, ""de"", ""en"")"),"monsters")</f>
        <v>monsters</v>
      </c>
    </row>
    <row r="16058">
      <c r="A16058" s="1" t="s">
        <v>16057</v>
      </c>
      <c r="B16058" s="2" t="str">
        <f>IFERROR(__xludf.DUMMYFUNCTION("GOOGLETRANSLATE(A16058, ""de"", ""en"")"),"justified")</f>
        <v>justified</v>
      </c>
    </row>
    <row r="16059">
      <c r="A16059" s="1" t="s">
        <v>16058</v>
      </c>
      <c r="B16059" s="2" t="str">
        <f>IFERROR(__xludf.DUMMYFUNCTION("GOOGLETRANSLATE(A16059, ""de"", ""en"")"),"phone calls")</f>
        <v>phone calls</v>
      </c>
    </row>
    <row r="16060">
      <c r="A16060" s="1" t="s">
        <v>16059</v>
      </c>
      <c r="B16060" s="2" t="str">
        <f>IFERROR(__xludf.DUMMYFUNCTION("GOOGLETRANSLATE(A16060, ""de"", ""en"")"),"keep looking")</f>
        <v>keep looking</v>
      </c>
    </row>
    <row r="16061">
      <c r="A16061" s="1" t="s">
        <v>16060</v>
      </c>
      <c r="B16061" s="2" t="str">
        <f>IFERROR(__xludf.DUMMYFUNCTION("GOOGLETRANSLATE(A16061, ""de"", ""en"")"),"added")</f>
        <v>added</v>
      </c>
    </row>
    <row r="16062">
      <c r="A16062" s="1" t="s">
        <v>16061</v>
      </c>
      <c r="B16062" s="2" t="str">
        <f>IFERROR(__xludf.DUMMYFUNCTION("GOOGLETRANSLATE(A16062, ""de"", ""en"")"),"replied")</f>
        <v>replied</v>
      </c>
    </row>
    <row r="16063">
      <c r="A16063" s="1" t="s">
        <v>16062</v>
      </c>
      <c r="B16063" s="2" t="str">
        <f>IFERROR(__xludf.DUMMYFUNCTION("GOOGLETRANSLATE(A16063, ""de"", ""en"")"),"column")</f>
        <v>column</v>
      </c>
    </row>
    <row r="16064">
      <c r="A16064" s="1" t="s">
        <v>16063</v>
      </c>
      <c r="B16064" s="2" t="str">
        <f>IFERROR(__xludf.DUMMYFUNCTION("GOOGLETRANSLATE(A16064, ""de"", ""en"")"),"foul")</f>
        <v>foul</v>
      </c>
    </row>
    <row r="16065">
      <c r="A16065" s="1" t="s">
        <v>16064</v>
      </c>
      <c r="B16065" s="2" t="str">
        <f>IFERROR(__xludf.DUMMYFUNCTION("GOOGLETRANSLATE(A16065, ""de"", ""en"")"),"Danes")</f>
        <v>Danes</v>
      </c>
    </row>
    <row r="16066">
      <c r="A16066" s="1" t="s">
        <v>16065</v>
      </c>
      <c r="B16066" s="2" t="str">
        <f>IFERROR(__xludf.DUMMYFUNCTION("GOOGLETRANSLATE(A16066, ""de"", ""en"")"),"back entrance")</f>
        <v>back entrance</v>
      </c>
    </row>
    <row r="16067">
      <c r="A16067" s="1" t="s">
        <v>16066</v>
      </c>
      <c r="B16067" s="2" t="str">
        <f>IFERROR(__xludf.DUMMYFUNCTION("GOOGLETRANSLATE(A16067, ""de"", ""en"")"),"marcia")</f>
        <v>marcia</v>
      </c>
    </row>
    <row r="16068">
      <c r="A16068" s="1" t="s">
        <v>16067</v>
      </c>
      <c r="B16068" s="2" t="str">
        <f>IFERROR(__xludf.DUMMYFUNCTION("GOOGLETRANSLATE(A16068, ""de"", ""en"")"),"jeanette")</f>
        <v>jeanette</v>
      </c>
    </row>
    <row r="16069">
      <c r="A16069" s="1" t="s">
        <v>16068</v>
      </c>
      <c r="B16069" s="2" t="str">
        <f>IFERROR(__xludf.DUMMYFUNCTION("GOOGLETRANSLATE(A16069, ""de"", ""en"")"),"hurricane")</f>
        <v>hurricane</v>
      </c>
    </row>
    <row r="16070">
      <c r="A16070" s="1" t="s">
        <v>16069</v>
      </c>
      <c r="B16070" s="2" t="str">
        <f>IFERROR(__xludf.DUMMYFUNCTION("GOOGLETRANSLATE(A16070, ""de"", ""en"")"),"trump")</f>
        <v>trump</v>
      </c>
    </row>
    <row r="16071">
      <c r="A16071" s="1" t="s">
        <v>16070</v>
      </c>
      <c r="B16071" s="2" t="str">
        <f>IFERROR(__xludf.DUMMYFUNCTION("GOOGLETRANSLATE(A16071, ""de"", ""en"")"),"antique")</f>
        <v>antique</v>
      </c>
    </row>
    <row r="16072">
      <c r="A16072" s="1" t="s">
        <v>16071</v>
      </c>
      <c r="B16072" s="2" t="str">
        <f>IFERROR(__xludf.DUMMYFUNCTION("GOOGLETRANSLATE(A16072, ""de"", ""en"")"),"corporation")</f>
        <v>corporation</v>
      </c>
    </row>
    <row r="16073">
      <c r="A16073" s="1" t="s">
        <v>16072</v>
      </c>
      <c r="B16073" s="2" t="str">
        <f>IFERROR(__xludf.DUMMYFUNCTION("GOOGLETRANSLATE(A16073, ""de"", ""en"")"),"magic wand")</f>
        <v>magic wand</v>
      </c>
    </row>
    <row r="16074">
      <c r="A16074" s="1" t="s">
        <v>16073</v>
      </c>
      <c r="B16074" s="2" t="str">
        <f>IFERROR(__xludf.DUMMYFUNCTION("GOOGLETRANSLATE(A16074, ""de"", ""en"")"),"worsened")</f>
        <v>worsened</v>
      </c>
    </row>
    <row r="16075">
      <c r="A16075" s="1" t="s">
        <v>16074</v>
      </c>
      <c r="B16075" s="2" t="str">
        <f>IFERROR(__xludf.DUMMYFUNCTION("GOOGLETRANSLATE(A16075, ""de"", ""en"")"),"telescope")</f>
        <v>telescope</v>
      </c>
    </row>
    <row r="16076">
      <c r="A16076" s="1" t="s">
        <v>16075</v>
      </c>
      <c r="B16076" s="2" t="str">
        <f>IFERROR(__xludf.DUMMYFUNCTION("GOOGLETRANSLATE(A16076, ""de"", ""en"")"),"torrent")</f>
        <v>torrent</v>
      </c>
    </row>
    <row r="16077">
      <c r="A16077" s="1" t="s">
        <v>16076</v>
      </c>
      <c r="B16077" s="2" t="str">
        <f>IFERROR(__xludf.DUMMYFUNCTION("GOOGLETRANSLATE(A16077, ""de"", ""en"")"),"slow")</f>
        <v>slow</v>
      </c>
    </row>
    <row r="16078">
      <c r="A16078" s="1" t="s">
        <v>16077</v>
      </c>
      <c r="B16078" s="2" t="str">
        <f>IFERROR(__xludf.DUMMYFUNCTION("GOOGLETRANSLATE(A16078, ""de"", ""en"")"),"shiny")</f>
        <v>shiny</v>
      </c>
    </row>
    <row r="16079">
      <c r="A16079" s="1" t="s">
        <v>16078</v>
      </c>
      <c r="B16079" s="2" t="str">
        <f>IFERROR(__xludf.DUMMYFUNCTION("GOOGLETRANSLATE(A16079, ""de"", ""en"")"),"detest")</f>
        <v>detest</v>
      </c>
    </row>
    <row r="16080">
      <c r="A16080" s="1" t="s">
        <v>16079</v>
      </c>
      <c r="B16080" s="2" t="str">
        <f>IFERROR(__xludf.DUMMYFUNCTION("GOOGLETRANSLATE(A16080, ""de"", ""en"")"),"move")</f>
        <v>move</v>
      </c>
    </row>
    <row r="16081">
      <c r="A16081" s="1" t="s">
        <v>16080</v>
      </c>
      <c r="B16081" s="2" t="str">
        <f>IFERROR(__xludf.DUMMYFUNCTION("GOOGLETRANSLATE(A16081, ""de"", ""en"")"),"confidence")</f>
        <v>confidence</v>
      </c>
    </row>
    <row r="16082">
      <c r="A16082" s="1" t="s">
        <v>16081</v>
      </c>
      <c r="B16082" s="2" t="str">
        <f>IFERROR(__xludf.DUMMYFUNCTION("GOOGLETRANSLATE(A16082, ""de"", ""en"")"),"escape route")</f>
        <v>escape route</v>
      </c>
    </row>
    <row r="16083">
      <c r="A16083" s="1" t="s">
        <v>16082</v>
      </c>
      <c r="B16083" s="2" t="str">
        <f>IFERROR(__xludf.DUMMYFUNCTION("GOOGLETRANSLATE(A16083, ""de"", ""en"")"),"yield")</f>
        <v>yield</v>
      </c>
    </row>
    <row r="16084">
      <c r="A16084" s="1" t="s">
        <v>16083</v>
      </c>
      <c r="B16084" s="2" t="str">
        <f>IFERROR(__xludf.DUMMYFUNCTION("GOOGLETRANSLATE(A16084, ""de"", ""en"")"),"wow")</f>
        <v>wow</v>
      </c>
    </row>
    <row r="16085">
      <c r="A16085" s="1" t="s">
        <v>16084</v>
      </c>
      <c r="B16085" s="2" t="str">
        <f>IFERROR(__xludf.DUMMYFUNCTION("GOOGLETRANSLATE(A16085, ""de"", ""en"")"),"tavern")</f>
        <v>tavern</v>
      </c>
    </row>
    <row r="16086">
      <c r="A16086" s="1" t="s">
        <v>16085</v>
      </c>
      <c r="B16086" s="2" t="str">
        <f>IFERROR(__xludf.DUMMYFUNCTION("GOOGLETRANSLATE(A16086, ""de"", ""en"")"),"airlock")</f>
        <v>airlock</v>
      </c>
    </row>
    <row r="16087">
      <c r="A16087" s="1" t="s">
        <v>16086</v>
      </c>
      <c r="B16087" s="2" t="str">
        <f>IFERROR(__xludf.DUMMYFUNCTION("GOOGLETRANSLATE(A16087, ""de"", ""en"")"),"emotional")</f>
        <v>emotional</v>
      </c>
    </row>
    <row r="16088">
      <c r="A16088" s="1" t="s">
        <v>16087</v>
      </c>
      <c r="B16088" s="2" t="str">
        <f>IFERROR(__xludf.DUMMYFUNCTION("GOOGLETRANSLATE(A16088, ""de"", ""en"")"),"left")</f>
        <v>left</v>
      </c>
    </row>
    <row r="16089">
      <c r="A16089" s="1" t="s">
        <v>16088</v>
      </c>
      <c r="B16089" s="2" t="str">
        <f>IFERROR(__xludf.DUMMYFUNCTION("GOOGLETRANSLATE(A16089, ""de"", ""en"")"),"skywalker")</f>
        <v>skywalker</v>
      </c>
    </row>
    <row r="16090">
      <c r="A16090" s="1" t="s">
        <v>16089</v>
      </c>
      <c r="B16090" s="2" t="str">
        <f>IFERROR(__xludf.DUMMYFUNCTION("GOOGLETRANSLATE(A16090, ""de"", ""en"")"),"moor")</f>
        <v>moor</v>
      </c>
    </row>
    <row r="16091">
      <c r="A16091" s="1" t="s">
        <v>16090</v>
      </c>
      <c r="B16091" s="2" t="str">
        <f>IFERROR(__xludf.DUMMYFUNCTION("GOOGLETRANSLATE(A16091, ""de"", ""en"")"),"electrician")</f>
        <v>electrician</v>
      </c>
    </row>
    <row r="16092">
      <c r="A16092" s="1" t="s">
        <v>16091</v>
      </c>
      <c r="B16092" s="2" t="str">
        <f>IFERROR(__xludf.DUMMYFUNCTION("GOOGLETRANSLATE(A16092, ""de"", ""en"")"),"genitals")</f>
        <v>genitals</v>
      </c>
    </row>
    <row r="16093">
      <c r="A16093" s="1" t="s">
        <v>16092</v>
      </c>
      <c r="B16093" s="2" t="str">
        <f>IFERROR(__xludf.DUMMYFUNCTION("GOOGLETRANSLATE(A16093, ""de"", ""en"")"),"spread")</f>
        <v>spread</v>
      </c>
    </row>
    <row r="16094">
      <c r="A16094" s="1" t="s">
        <v>16093</v>
      </c>
      <c r="B16094" s="2" t="str">
        <f>IFERROR(__xludf.DUMMYFUNCTION("GOOGLETRANSLATE(A16094, ""de"", ""en"")"),"stones")</f>
        <v>stones</v>
      </c>
    </row>
    <row r="16095">
      <c r="A16095" s="1" t="s">
        <v>16094</v>
      </c>
      <c r="B16095" s="2" t="str">
        <f>IFERROR(__xludf.DUMMYFUNCTION("GOOGLETRANSLATE(A16095, ""de"", ""en"")"),"within")</f>
        <v>within</v>
      </c>
    </row>
    <row r="16096">
      <c r="A16096" s="1" t="s">
        <v>16095</v>
      </c>
      <c r="B16096" s="2" t="str">
        <f>IFERROR(__xludf.DUMMYFUNCTION("GOOGLETRANSLATE(A16096, ""de"", ""en"")"),"justified")</f>
        <v>justified</v>
      </c>
    </row>
    <row r="16097">
      <c r="A16097" s="1" t="s">
        <v>16096</v>
      </c>
      <c r="B16097" s="2" t="str">
        <f>IFERROR(__xludf.DUMMYFUNCTION("GOOGLETRANSLATE(A16097, ""de"", ""en"")"),"elanna")</f>
        <v>elanna</v>
      </c>
    </row>
    <row r="16098">
      <c r="A16098" s="1" t="s">
        <v>16097</v>
      </c>
      <c r="B16098" s="2" t="str">
        <f>IFERROR(__xludf.DUMMYFUNCTION("GOOGLETRANSLATE(A16098, ""de"", ""en"")"),"lift")</f>
        <v>lift</v>
      </c>
    </row>
    <row r="16099">
      <c r="A16099" s="1" t="s">
        <v>16098</v>
      </c>
      <c r="B16099" s="2" t="str">
        <f>IFERROR(__xludf.DUMMYFUNCTION("GOOGLETRANSLATE(A16099, ""de"", ""en"")"),"bring down")</f>
        <v>bring down</v>
      </c>
    </row>
    <row r="16100">
      <c r="A16100" s="1" t="s">
        <v>16099</v>
      </c>
      <c r="B16100" s="2" t="str">
        <f>IFERROR(__xludf.DUMMYFUNCTION("GOOGLETRANSLATE(A16100, ""de"", ""en"")"),"keep quiet")</f>
        <v>keep quiet</v>
      </c>
    </row>
    <row r="16101">
      <c r="A16101" s="1" t="s">
        <v>16100</v>
      </c>
      <c r="B16101" s="2" t="str">
        <f>IFERROR(__xludf.DUMMYFUNCTION("GOOGLETRANSLATE(A16101, ""de"", ""en"")"),"reveal")</f>
        <v>reveal</v>
      </c>
    </row>
    <row r="16102">
      <c r="A16102" s="1" t="s">
        <v>16101</v>
      </c>
      <c r="B16102" s="2" t="str">
        <f>IFERROR(__xludf.DUMMYFUNCTION("GOOGLETRANSLATE(A16102, ""de"", ""en"")"),"Bernardo")</f>
        <v>Bernardo</v>
      </c>
    </row>
    <row r="16103">
      <c r="A16103" s="1" t="s">
        <v>16102</v>
      </c>
      <c r="B16103" s="2" t="str">
        <f>IFERROR(__xludf.DUMMYFUNCTION("GOOGLETRANSLATE(A16103, ""de"", ""en"")"),"dottie")</f>
        <v>dottie</v>
      </c>
    </row>
    <row r="16104">
      <c r="A16104" s="1" t="s">
        <v>16103</v>
      </c>
      <c r="B16104" s="2" t="str">
        <f>IFERROR(__xludf.DUMMYFUNCTION("GOOGLETRANSLATE(A16104, ""de"", ""en"")"),"guess")</f>
        <v>guess</v>
      </c>
    </row>
    <row r="16105">
      <c r="A16105" s="1" t="s">
        <v>16104</v>
      </c>
      <c r="B16105" s="2" t="str">
        <f>IFERROR(__xludf.DUMMYFUNCTION("GOOGLETRANSLATE(A16105, ""de"", ""en"")"),"falcon")</f>
        <v>falcon</v>
      </c>
    </row>
    <row r="16106">
      <c r="A16106" s="1" t="s">
        <v>16105</v>
      </c>
      <c r="B16106" s="2" t="str">
        <f>IFERROR(__xludf.DUMMYFUNCTION("GOOGLETRANSLATE(A16106, ""de"", ""en"")"),"burnet")</f>
        <v>burnet</v>
      </c>
    </row>
    <row r="16107">
      <c r="A16107" s="1" t="s">
        <v>16106</v>
      </c>
      <c r="B16107" s="2" t="str">
        <f>IFERROR(__xludf.DUMMYFUNCTION("GOOGLETRANSLATE(A16107, ""de"", ""en"")"),"everybody")</f>
        <v>everybody</v>
      </c>
    </row>
    <row r="16108">
      <c r="A16108" s="1" t="s">
        <v>16107</v>
      </c>
      <c r="B16108" s="2" t="str">
        <f>IFERROR(__xludf.DUMMYFUNCTION("GOOGLETRANSLATE(A16108, ""de"", ""en"")"),"bizarre")</f>
        <v>bizarre</v>
      </c>
    </row>
    <row r="16109">
      <c r="A16109" s="1" t="s">
        <v>16108</v>
      </c>
      <c r="B16109" s="2" t="str">
        <f>IFERROR(__xludf.DUMMYFUNCTION("GOOGLETRANSLATE(A16109, ""de"", ""en"")"),"fraser")</f>
        <v>fraser</v>
      </c>
    </row>
    <row r="16110">
      <c r="A16110" s="1" t="s">
        <v>16109</v>
      </c>
      <c r="B16110" s="2" t="str">
        <f>IFERROR(__xludf.DUMMYFUNCTION("GOOGLETRANSLATE(A16110, ""de"", ""en"")"),"aspects")</f>
        <v>aspects</v>
      </c>
    </row>
    <row r="16111">
      <c r="A16111" s="1" t="s">
        <v>16110</v>
      </c>
      <c r="B16111" s="2" t="str">
        <f>IFERROR(__xludf.DUMMYFUNCTION("GOOGLETRANSLATE(A16111, ""de"", ""en"")"),"ramón")</f>
        <v>ramón</v>
      </c>
    </row>
    <row r="16112">
      <c r="A16112" s="1" t="s">
        <v>16111</v>
      </c>
      <c r="B16112" s="2" t="str">
        <f>IFERROR(__xludf.DUMMYFUNCTION("GOOGLETRANSLATE(A16112, ""de"", ""en"")"),"cheat")</f>
        <v>cheat</v>
      </c>
    </row>
    <row r="16113">
      <c r="A16113" s="1" t="s">
        <v>16112</v>
      </c>
      <c r="B16113" s="2" t="str">
        <f>IFERROR(__xludf.DUMMYFUNCTION("GOOGLETRANSLATE(A16113, ""de"", ""en"")"),"goals")</f>
        <v>goals</v>
      </c>
    </row>
    <row r="16114">
      <c r="A16114" s="1" t="s">
        <v>16113</v>
      </c>
      <c r="B16114" s="2" t="str">
        <f>IFERROR(__xludf.DUMMYFUNCTION("GOOGLETRANSLATE(A16114, ""de"", ""en"")"),"ours")</f>
        <v>ours</v>
      </c>
    </row>
    <row r="16115">
      <c r="A16115" s="1" t="s">
        <v>16114</v>
      </c>
      <c r="B16115" s="2" t="str">
        <f>IFERROR(__xludf.DUMMYFUNCTION("GOOGLETRANSLATE(A16115, ""de"", ""en"")"),"mean")</f>
        <v>mean</v>
      </c>
    </row>
    <row r="16116">
      <c r="A16116" s="1" t="s">
        <v>16115</v>
      </c>
      <c r="B16116" s="2" t="str">
        <f>IFERROR(__xludf.DUMMYFUNCTION("GOOGLETRANSLATE(A16116, ""de"", ""en"")"),"heard")</f>
        <v>heard</v>
      </c>
    </row>
    <row r="16117">
      <c r="A16117" s="1" t="s">
        <v>16116</v>
      </c>
      <c r="B16117" s="2" t="str">
        <f>IFERROR(__xludf.DUMMYFUNCTION("GOOGLETRANSLATE(A16117, ""de"", ""en"")"),"satan")</f>
        <v>satan</v>
      </c>
    </row>
    <row r="16118">
      <c r="A16118" s="1" t="s">
        <v>16117</v>
      </c>
      <c r="B16118" s="2" t="str">
        <f>IFERROR(__xludf.DUMMYFUNCTION("GOOGLETRANSLATE(A16118, ""de"", ""en"")"),"poodle")</f>
        <v>poodle</v>
      </c>
    </row>
    <row r="16119">
      <c r="A16119" s="1" t="s">
        <v>16118</v>
      </c>
      <c r="B16119" s="2" t="str">
        <f>IFERROR(__xludf.DUMMYFUNCTION("GOOGLETRANSLATE(A16119, ""de"", ""en"")"),"change")</f>
        <v>change</v>
      </c>
    </row>
    <row r="16120">
      <c r="A16120" s="1" t="s">
        <v>16119</v>
      </c>
      <c r="B16120" s="2" t="str">
        <f>IFERROR(__xludf.DUMMYFUNCTION("GOOGLETRANSLATE(A16120, ""de"", ""en"")"),"fetus")</f>
        <v>fetus</v>
      </c>
    </row>
    <row r="16121">
      <c r="A16121" s="1" t="s">
        <v>16120</v>
      </c>
      <c r="B16121" s="2" t="str">
        <f>IFERROR(__xludf.DUMMYFUNCTION("GOOGLETRANSLATE(A16121, ""de"", ""en"")"),"kill")</f>
        <v>kill</v>
      </c>
    </row>
    <row r="16122">
      <c r="A16122" s="1" t="s">
        <v>16121</v>
      </c>
      <c r="B16122" s="2" t="str">
        <f>IFERROR(__xludf.DUMMYFUNCTION("GOOGLETRANSLATE(A16122, ""de"", ""en"")"),"Seoul")</f>
        <v>Seoul</v>
      </c>
    </row>
    <row r="16123">
      <c r="A16123" s="1" t="s">
        <v>16122</v>
      </c>
      <c r="B16123" s="2" t="str">
        <f>IFERROR(__xludf.DUMMYFUNCTION("GOOGLETRANSLATE(A16123, ""de"", ""en"")"),"hallucination")</f>
        <v>hallucination</v>
      </c>
    </row>
    <row r="16124">
      <c r="A16124" s="1" t="s">
        <v>16123</v>
      </c>
      <c r="B16124" s="2" t="str">
        <f>IFERROR(__xludf.DUMMYFUNCTION("GOOGLETRANSLATE(A16124, ""de"", ""en"")"),"recruit")</f>
        <v>recruit</v>
      </c>
    </row>
    <row r="16125">
      <c r="A16125" s="1" t="s">
        <v>16124</v>
      </c>
      <c r="B16125" s="2" t="str">
        <f>IFERROR(__xludf.DUMMYFUNCTION("GOOGLETRANSLATE(A16125, ""de"", ""en"")"),"come from")</f>
        <v>come from</v>
      </c>
    </row>
    <row r="16126">
      <c r="A16126" s="1" t="s">
        <v>16125</v>
      </c>
      <c r="B16126" s="2" t="str">
        <f>IFERROR(__xludf.DUMMYFUNCTION("GOOGLETRANSLATE(A16126, ""de"", ""en"")"),"focus")</f>
        <v>focus</v>
      </c>
    </row>
    <row r="16127">
      <c r="A16127" s="1" t="s">
        <v>16126</v>
      </c>
      <c r="B16127" s="2" t="str">
        <f>IFERROR(__xludf.DUMMYFUNCTION("GOOGLETRANSLATE(A16127, ""de"", ""en"")"),"creative")</f>
        <v>creative</v>
      </c>
    </row>
    <row r="16128">
      <c r="A16128" s="1" t="s">
        <v>16127</v>
      </c>
      <c r="B16128" s="2" t="str">
        <f>IFERROR(__xludf.DUMMYFUNCTION("GOOGLETRANSLATE(A16128, ""de"", ""en"")"),"New Year")</f>
        <v>New Year</v>
      </c>
    </row>
    <row r="16129">
      <c r="A16129" s="1" t="s">
        <v>16128</v>
      </c>
      <c r="B16129" s="2" t="str">
        <f>IFERROR(__xludf.DUMMYFUNCTION("GOOGLETRANSLATE(A16129, ""de"", ""en"")"),"thin")</f>
        <v>thin</v>
      </c>
    </row>
    <row r="16130">
      <c r="A16130" s="1" t="s">
        <v>16129</v>
      </c>
      <c r="B16130" s="2" t="str">
        <f>IFERROR(__xludf.DUMMYFUNCTION("GOOGLETRANSLATE(A16130, ""de"", ""en"")"),"patriots")</f>
        <v>patriots</v>
      </c>
    </row>
    <row r="16131">
      <c r="A16131" s="1" t="s">
        <v>16130</v>
      </c>
      <c r="B16131" s="2" t="str">
        <f>IFERROR(__xludf.DUMMYFUNCTION("GOOGLETRANSLATE(A16131, ""de"", ""en"")"),"bowling")</f>
        <v>bowling</v>
      </c>
    </row>
    <row r="16132">
      <c r="A16132" s="1" t="s">
        <v>16131</v>
      </c>
      <c r="B16132" s="2" t="str">
        <f>IFERROR(__xludf.DUMMYFUNCTION("GOOGLETRANSLATE(A16132, ""de"", ""en"")"),"replicators")</f>
        <v>replicators</v>
      </c>
    </row>
    <row r="16133">
      <c r="A16133" s="1" t="s">
        <v>16132</v>
      </c>
      <c r="B16133" s="2" t="str">
        <f>IFERROR(__xludf.DUMMYFUNCTION("GOOGLETRANSLATE(A16133, ""de"", ""en"")"),"Roberta")</f>
        <v>Roberta</v>
      </c>
    </row>
    <row r="16134">
      <c r="A16134" s="1" t="s">
        <v>16133</v>
      </c>
      <c r="B16134" s="2" t="str">
        <f>IFERROR(__xludf.DUMMYFUNCTION("GOOGLETRANSLATE(A16134, ""de"", ""en"")"),"die")</f>
        <v>die</v>
      </c>
    </row>
    <row r="16135">
      <c r="A16135" s="1" t="s">
        <v>16134</v>
      </c>
      <c r="B16135" s="2" t="str">
        <f>IFERROR(__xludf.DUMMYFUNCTION("GOOGLETRANSLATE(A16135, ""de"", ""en"")"),"sniffles")</f>
        <v>sniffles</v>
      </c>
    </row>
    <row r="16136">
      <c r="A16136" s="1" t="s">
        <v>16135</v>
      </c>
      <c r="B16136" s="2" t="str">
        <f>IFERROR(__xludf.DUMMYFUNCTION("GOOGLETRANSLATE(A16136, ""de"", ""en"")"),"toms")</f>
        <v>toms</v>
      </c>
    </row>
    <row r="16137">
      <c r="A16137" s="1" t="s">
        <v>16136</v>
      </c>
      <c r="B16137" s="2" t="str">
        <f>IFERROR(__xludf.DUMMYFUNCTION("GOOGLETRANSLATE(A16137, ""de"", ""en"")"),"digest")</f>
        <v>digest</v>
      </c>
    </row>
    <row r="16138">
      <c r="A16138" s="1" t="s">
        <v>16137</v>
      </c>
      <c r="B16138" s="2" t="str">
        <f>IFERROR(__xludf.DUMMYFUNCTION("GOOGLETRANSLATE(A16138, ""de"", ""en"")"),"pussies")</f>
        <v>pussies</v>
      </c>
    </row>
    <row r="16139">
      <c r="A16139" s="1" t="s">
        <v>16138</v>
      </c>
      <c r="B16139" s="2" t="str">
        <f>IFERROR(__xludf.DUMMYFUNCTION("GOOGLETRANSLATE(A16139, ""de"", ""en"")"),"magical")</f>
        <v>magical</v>
      </c>
    </row>
    <row r="16140">
      <c r="A16140" s="1" t="s">
        <v>16139</v>
      </c>
      <c r="B16140" s="2" t="str">
        <f>IFERROR(__xludf.DUMMYFUNCTION("GOOGLETRANSLATE(A16140, ""de"", ""en"")"),"cash")</f>
        <v>cash</v>
      </c>
    </row>
    <row r="16141">
      <c r="A16141" s="1" t="s">
        <v>16140</v>
      </c>
      <c r="B16141" s="2" t="str">
        <f>IFERROR(__xludf.DUMMYFUNCTION("GOOGLETRANSLATE(A16141, ""de"", ""en"")"),"time travel")</f>
        <v>time travel</v>
      </c>
    </row>
    <row r="16142">
      <c r="A16142" s="1" t="s">
        <v>16141</v>
      </c>
      <c r="B16142" s="2" t="str">
        <f>IFERROR(__xludf.DUMMYFUNCTION("GOOGLETRANSLATE(A16142, ""de"", ""en"")"),"stand")</f>
        <v>stand</v>
      </c>
    </row>
    <row r="16143">
      <c r="A16143" s="1" t="s">
        <v>16142</v>
      </c>
      <c r="B16143" s="2" t="str">
        <f>IFERROR(__xludf.DUMMYFUNCTION("GOOGLETRANSLATE(A16143, ""de"", ""en"")"),"sleeping pills")</f>
        <v>sleeping pills</v>
      </c>
    </row>
    <row r="16144">
      <c r="A16144" s="1" t="s">
        <v>16143</v>
      </c>
      <c r="B16144" s="2" t="str">
        <f>IFERROR(__xludf.DUMMYFUNCTION("GOOGLETRANSLATE(A16144, ""de"", ""en"")"),"dolt")</f>
        <v>dolt</v>
      </c>
    </row>
    <row r="16145">
      <c r="A16145" s="1" t="s">
        <v>16144</v>
      </c>
      <c r="B16145" s="2" t="str">
        <f>IFERROR(__xludf.DUMMYFUNCTION("GOOGLETRANSLATE(A16145, ""de"", ""en"")"),"fourth")</f>
        <v>fourth</v>
      </c>
    </row>
    <row r="16146">
      <c r="A16146" s="1" t="s">
        <v>16145</v>
      </c>
      <c r="B16146" s="2" t="str">
        <f>IFERROR(__xludf.DUMMYFUNCTION("GOOGLETRANSLATE(A16146, ""de"", ""en"")"),"timeline")</f>
        <v>timeline</v>
      </c>
    </row>
    <row r="16147">
      <c r="A16147" s="1" t="s">
        <v>16146</v>
      </c>
      <c r="B16147" s="2" t="str">
        <f>IFERROR(__xludf.DUMMYFUNCTION("GOOGLETRANSLATE(A16147, ""de"", ""en"")"),"had")</f>
        <v>had</v>
      </c>
    </row>
    <row r="16148">
      <c r="A16148" s="1" t="s">
        <v>16147</v>
      </c>
      <c r="B16148" s="2" t="str">
        <f>IFERROR(__xludf.DUMMYFUNCTION("GOOGLETRANSLATE(A16148, ""de"", ""en"")"),"stumble")</f>
        <v>stumble</v>
      </c>
    </row>
    <row r="16149">
      <c r="A16149" s="1" t="s">
        <v>16148</v>
      </c>
      <c r="B16149" s="2" t="str">
        <f>IFERROR(__xludf.DUMMYFUNCTION("GOOGLETRANSLATE(A16149, ""de"", ""en"")"),"grandchildren")</f>
        <v>grandchildren</v>
      </c>
    </row>
    <row r="16150">
      <c r="A16150" s="1" t="s">
        <v>16149</v>
      </c>
      <c r="B16150" s="2" t="str">
        <f>IFERROR(__xludf.DUMMYFUNCTION("GOOGLETRANSLATE(A16150, ""de"", ""en"")"),"covered")</f>
        <v>covered</v>
      </c>
    </row>
    <row r="16151">
      <c r="A16151" s="1" t="s">
        <v>16150</v>
      </c>
      <c r="B16151" s="2" t="str">
        <f>IFERROR(__xludf.DUMMYFUNCTION("GOOGLETRANSLATE(A16151, ""de"", ""en"")"),"directed")</f>
        <v>directed</v>
      </c>
    </row>
    <row r="16152">
      <c r="A16152" s="1" t="s">
        <v>16151</v>
      </c>
      <c r="B16152" s="2" t="str">
        <f>IFERROR(__xludf.DUMMYFUNCTION("GOOGLETRANSLATE(A16152, ""de"", ""en"")"),"urn")</f>
        <v>urn</v>
      </c>
    </row>
    <row r="16153">
      <c r="A16153" s="1" t="s">
        <v>16152</v>
      </c>
      <c r="B16153" s="2" t="str">
        <f>IFERROR(__xludf.DUMMYFUNCTION("GOOGLETRANSLATE(A16153, ""de"", ""en"")"),"Hollis")</f>
        <v>Hollis</v>
      </c>
    </row>
    <row r="16154">
      <c r="A16154" s="1" t="s">
        <v>16153</v>
      </c>
      <c r="B16154" s="2" t="str">
        <f>IFERROR(__xludf.DUMMYFUNCTION("GOOGLETRANSLATE(A16154, ""de"", ""en"")"),"you keep secret")</f>
        <v>you keep secret</v>
      </c>
    </row>
    <row r="16155">
      <c r="A16155" s="1" t="s">
        <v>16154</v>
      </c>
      <c r="B16155" s="2" t="str">
        <f>IFERROR(__xludf.DUMMYFUNCTION("GOOGLETRANSLATE(A16155, ""de"", ""en"")"),"nerd")</f>
        <v>nerd</v>
      </c>
    </row>
    <row r="16156">
      <c r="A16156" s="1" t="s">
        <v>16155</v>
      </c>
      <c r="B16156" s="2" t="str">
        <f>IFERROR(__xludf.DUMMYFUNCTION("GOOGLETRANSLATE(A16156, ""de"", ""en"")"),"generals")</f>
        <v>generals</v>
      </c>
    </row>
    <row r="16157">
      <c r="A16157" s="1" t="s">
        <v>16156</v>
      </c>
      <c r="B16157" s="2" t="str">
        <f>IFERROR(__xludf.DUMMYFUNCTION("GOOGLETRANSLATE(A16157, ""de"", ""en"")"),"ekg")</f>
        <v>ekg</v>
      </c>
    </row>
    <row r="16158">
      <c r="A16158" s="1" t="s">
        <v>16157</v>
      </c>
      <c r="B16158" s="2" t="str">
        <f>IFERROR(__xludf.DUMMYFUNCTION("GOOGLETRANSLATE(A16158, ""de"", ""en"")"),"to pull through")</f>
        <v>to pull through</v>
      </c>
    </row>
    <row r="16159">
      <c r="A16159" s="1" t="s">
        <v>16158</v>
      </c>
      <c r="B16159" s="2" t="str">
        <f>IFERROR(__xludf.DUMMYFUNCTION("GOOGLETRANSLATE(A16159, ""de"", ""en"")"),"rained")</f>
        <v>rained</v>
      </c>
    </row>
    <row r="16160">
      <c r="A16160" s="1" t="s">
        <v>16159</v>
      </c>
      <c r="B16160" s="2" t="str">
        <f>IFERROR(__xludf.DUMMYFUNCTION("GOOGLETRANSLATE(A16160, ""de"", ""en"")"),"sleep in")</f>
        <v>sleep in</v>
      </c>
    </row>
    <row r="16161">
      <c r="A16161" s="1" t="s">
        <v>16160</v>
      </c>
      <c r="B16161" s="2" t="str">
        <f>IFERROR(__xludf.DUMMYFUNCTION("GOOGLETRANSLATE(A16161, ""de"", ""en"")"),"Alps")</f>
        <v>Alps</v>
      </c>
    </row>
    <row r="16162">
      <c r="A16162" s="1" t="s">
        <v>16161</v>
      </c>
      <c r="B16162" s="2" t="str">
        <f>IFERROR(__xludf.DUMMYFUNCTION("GOOGLETRANSLATE(A16162, ""de"", ""en"")"),"pence")</f>
        <v>pence</v>
      </c>
    </row>
    <row r="16163">
      <c r="A16163" s="1" t="s">
        <v>16162</v>
      </c>
      <c r="B16163" s="2" t="str">
        <f>IFERROR(__xludf.DUMMYFUNCTION("GOOGLETRANSLATE(A16163, ""de"", ""en"")"),"stroller")</f>
        <v>stroller</v>
      </c>
    </row>
    <row r="16164">
      <c r="A16164" s="1" t="s">
        <v>16163</v>
      </c>
      <c r="B16164" s="2" t="str">
        <f>IFERROR(__xludf.DUMMYFUNCTION("GOOGLETRANSLATE(A16164, ""de"", ""en"")"),"loads")</f>
        <v>loads</v>
      </c>
    </row>
    <row r="16165">
      <c r="A16165" s="1" t="s">
        <v>16164</v>
      </c>
      <c r="B16165" s="2" t="str">
        <f>IFERROR(__xludf.DUMMYFUNCTION("GOOGLETRANSLATE(A16165, ""de"", ""en"")"),"naughty")</f>
        <v>naughty</v>
      </c>
    </row>
    <row r="16166">
      <c r="A16166" s="1" t="s">
        <v>16165</v>
      </c>
      <c r="B16166" s="2" t="str">
        <f>IFERROR(__xludf.DUMMYFUNCTION("GOOGLETRANSLATE(A16166, ""de"", ""en"")"),"revenge")</f>
        <v>revenge</v>
      </c>
    </row>
    <row r="16167">
      <c r="A16167" s="1" t="s">
        <v>16166</v>
      </c>
      <c r="B16167" s="2" t="str">
        <f>IFERROR(__xludf.DUMMYFUNCTION("GOOGLETRANSLATE(A16167, ""de"", ""en"")"),"mika")</f>
        <v>mika</v>
      </c>
    </row>
    <row r="16168">
      <c r="A16168" s="1" t="s">
        <v>16167</v>
      </c>
      <c r="B16168" s="2" t="str">
        <f>IFERROR(__xludf.DUMMYFUNCTION("GOOGLETRANSLATE(A16168, ""de"", ""en"")"),"tiny")</f>
        <v>tiny</v>
      </c>
    </row>
    <row r="16169">
      <c r="A16169" s="1" t="s">
        <v>16168</v>
      </c>
      <c r="B16169" s="2" t="str">
        <f>IFERROR(__xludf.DUMMYFUNCTION("GOOGLETRANSLATE(A16169, ""de"", ""en"")"),"make believe")</f>
        <v>make believe</v>
      </c>
    </row>
    <row r="16170">
      <c r="A16170" s="1" t="s">
        <v>16169</v>
      </c>
      <c r="B16170" s="2" t="str">
        <f>IFERROR(__xludf.DUMMYFUNCTION("GOOGLETRANSLATE(A16170, ""de"", ""en"")"),"future")</f>
        <v>future</v>
      </c>
    </row>
    <row r="16171">
      <c r="A16171" s="1" t="s">
        <v>16170</v>
      </c>
      <c r="B16171" s="2" t="str">
        <f>IFERROR(__xludf.DUMMYFUNCTION("GOOGLETRANSLATE(A16171, ""de"", ""en"")"),"mommy")</f>
        <v>mommy</v>
      </c>
    </row>
    <row r="16172">
      <c r="A16172" s="1" t="s">
        <v>16171</v>
      </c>
      <c r="B16172" s="2" t="str">
        <f>IFERROR(__xludf.DUMMYFUNCTION("GOOGLETRANSLATE(A16172, ""de"", ""en"")"),"cause")</f>
        <v>cause</v>
      </c>
    </row>
    <row r="16173">
      <c r="A16173" s="1" t="s">
        <v>16172</v>
      </c>
      <c r="B16173" s="2" t="str">
        <f>IFERROR(__xludf.DUMMYFUNCTION("GOOGLETRANSLATE(A16173, ""de"", ""en"")"),"relationships")</f>
        <v>relationships</v>
      </c>
    </row>
    <row r="16174">
      <c r="A16174" s="1" t="s">
        <v>16173</v>
      </c>
      <c r="B16174" s="2" t="str">
        <f>IFERROR(__xludf.DUMMYFUNCTION("GOOGLETRANSLATE(A16174, ""de"", ""en"")"),"ruble")</f>
        <v>ruble</v>
      </c>
    </row>
    <row r="16175">
      <c r="A16175" s="1" t="s">
        <v>16174</v>
      </c>
      <c r="B16175" s="2" t="str">
        <f>IFERROR(__xludf.DUMMYFUNCTION("GOOGLETRANSLATE(A16175, ""de"", ""en"")"),"cotton")</f>
        <v>cotton</v>
      </c>
    </row>
    <row r="16176">
      <c r="A16176" s="1" t="s">
        <v>16175</v>
      </c>
      <c r="B16176" s="2" t="str">
        <f>IFERROR(__xludf.DUMMYFUNCTION("GOOGLETRANSLATE(A16176, ""de"", ""en"")"),"humiliated")</f>
        <v>humiliated</v>
      </c>
    </row>
    <row r="16177">
      <c r="A16177" s="1" t="s">
        <v>16176</v>
      </c>
      <c r="B16177" s="2" t="str">
        <f>IFERROR(__xludf.DUMMYFUNCTION("GOOGLETRANSLATE(A16177, ""de"", ""en"")"),"warp drive")</f>
        <v>warp drive</v>
      </c>
    </row>
    <row r="16178">
      <c r="A16178" s="1" t="s">
        <v>16177</v>
      </c>
      <c r="B16178" s="2" t="str">
        <f>IFERROR(__xludf.DUMMYFUNCTION("GOOGLETRANSLATE(A16178, ""de"", ""en"")"),"more modern")</f>
        <v>more modern</v>
      </c>
    </row>
    <row r="16179">
      <c r="A16179" s="1" t="s">
        <v>16178</v>
      </c>
      <c r="B16179" s="2" t="str">
        <f>IFERROR(__xludf.DUMMYFUNCTION("GOOGLETRANSLATE(A16179, ""de"", ""en"")"),"ramona")</f>
        <v>ramona</v>
      </c>
    </row>
    <row r="16180">
      <c r="A16180" s="1" t="s">
        <v>16179</v>
      </c>
      <c r="B16180" s="2" t="str">
        <f>IFERROR(__xludf.DUMMYFUNCTION("GOOGLETRANSLATE(A16180, ""de"", ""en"")"),"manu")</f>
        <v>manu</v>
      </c>
    </row>
    <row r="16181">
      <c r="A16181" s="1" t="s">
        <v>16180</v>
      </c>
      <c r="B16181" s="2" t="str">
        <f>IFERROR(__xludf.DUMMYFUNCTION("GOOGLETRANSLATE(A16181, ""de"", ""en"")"),"count")</f>
        <v>count</v>
      </c>
    </row>
    <row r="16182">
      <c r="A16182" s="1" t="s">
        <v>16181</v>
      </c>
      <c r="B16182" s="2" t="str">
        <f>IFERROR(__xludf.DUMMYFUNCTION("GOOGLETRANSLATE(A16182, ""de"", ""en"")"),"birdsong")</f>
        <v>birdsong</v>
      </c>
    </row>
    <row r="16183">
      <c r="A16183" s="1" t="s">
        <v>16182</v>
      </c>
      <c r="B16183" s="2" t="str">
        <f>IFERROR(__xludf.DUMMYFUNCTION("GOOGLETRANSLATE(A16183, ""de"", ""en"")"),"study")</f>
        <v>study</v>
      </c>
    </row>
    <row r="16184">
      <c r="A16184" s="1" t="s">
        <v>16183</v>
      </c>
      <c r="B16184" s="2" t="str">
        <f>IFERROR(__xludf.DUMMYFUNCTION("GOOGLETRANSLATE(A16184, ""de"", ""en"")"),"split")</f>
        <v>split</v>
      </c>
    </row>
    <row r="16185">
      <c r="A16185" s="1" t="s">
        <v>16184</v>
      </c>
      <c r="B16185" s="2" t="str">
        <f>IFERROR(__xludf.DUMMYFUNCTION("GOOGLETRANSLATE(A16185, ""de"", ""en"")"),"McGill")</f>
        <v>McGill</v>
      </c>
    </row>
    <row r="16186">
      <c r="A16186" s="1" t="s">
        <v>16185</v>
      </c>
      <c r="B16186" s="2" t="str">
        <f>IFERROR(__xludf.DUMMYFUNCTION("GOOGLETRANSLATE(A16186, ""de"", ""en"")"),"asgard")</f>
        <v>asgard</v>
      </c>
    </row>
    <row r="16187">
      <c r="A16187" s="1" t="s">
        <v>16186</v>
      </c>
      <c r="B16187" s="2" t="str">
        <f>IFERROR(__xludf.DUMMYFUNCTION("GOOGLETRANSLATE(A16187, ""de"", ""en"")"),"foreign minister")</f>
        <v>foreign minister</v>
      </c>
    </row>
    <row r="16188">
      <c r="A16188" s="1" t="s">
        <v>16187</v>
      </c>
      <c r="B16188" s="2" t="str">
        <f>IFERROR(__xludf.DUMMYFUNCTION("GOOGLETRANSLATE(A16188, ""de"", ""en"")"),"indicated")</f>
        <v>indicated</v>
      </c>
    </row>
    <row r="16189">
      <c r="A16189" s="1" t="s">
        <v>16188</v>
      </c>
      <c r="B16189" s="2" t="str">
        <f>IFERROR(__xludf.DUMMYFUNCTION("GOOGLETRANSLATE(A16189, ""de"", ""en"")"),"cucumber")</f>
        <v>cucumber</v>
      </c>
    </row>
    <row r="16190">
      <c r="A16190" s="1" t="s">
        <v>16189</v>
      </c>
      <c r="B16190" s="2" t="str">
        <f>IFERROR(__xludf.DUMMYFUNCTION("GOOGLETRANSLATE(A16190, ""de"", ""en"")"),"Zelda")</f>
        <v>Zelda</v>
      </c>
    </row>
    <row r="16191">
      <c r="A16191" s="1" t="s">
        <v>16190</v>
      </c>
      <c r="B16191" s="2" t="str">
        <f>IFERROR(__xludf.DUMMYFUNCTION("GOOGLETRANSLATE(A16191, ""de"", ""en"")"),"Dominique")</f>
        <v>Dominique</v>
      </c>
    </row>
    <row r="16192">
      <c r="A16192" s="1" t="s">
        <v>16191</v>
      </c>
      <c r="B16192" s="2" t="str">
        <f>IFERROR(__xludf.DUMMYFUNCTION("GOOGLETRANSLATE(A16192, ""de"", ""en"")"),"lucius")</f>
        <v>lucius</v>
      </c>
    </row>
    <row r="16193">
      <c r="A16193" s="1" t="s">
        <v>16192</v>
      </c>
      <c r="B16193" s="2" t="str">
        <f>IFERROR(__xludf.DUMMYFUNCTION("GOOGLETRANSLATE(A16193, ""de"", ""en"")"),"were")</f>
        <v>were</v>
      </c>
    </row>
    <row r="16194">
      <c r="A16194" s="1" t="s">
        <v>16193</v>
      </c>
      <c r="B16194" s="2" t="str">
        <f>IFERROR(__xludf.DUMMYFUNCTION("GOOGLETRANSLATE(A16194, ""de"", ""en"")"),"snitch")</f>
        <v>snitch</v>
      </c>
    </row>
    <row r="16195">
      <c r="A16195" s="1" t="s">
        <v>16194</v>
      </c>
      <c r="B16195" s="2" t="str">
        <f>IFERROR(__xludf.DUMMYFUNCTION("GOOGLETRANSLATE(A16195, ""de"", ""en"")"),"laugh at")</f>
        <v>laugh at</v>
      </c>
    </row>
    <row r="16196">
      <c r="A16196" s="1" t="s">
        <v>16195</v>
      </c>
      <c r="B16196" s="2" t="str">
        <f>IFERROR(__xludf.DUMMYFUNCTION("GOOGLETRANSLATE(A16196, ""de"", ""en"")"),"life's work")</f>
        <v>life's work</v>
      </c>
    </row>
    <row r="16197">
      <c r="A16197" s="1" t="s">
        <v>16196</v>
      </c>
      <c r="B16197" s="2" t="str">
        <f>IFERROR(__xludf.DUMMYFUNCTION("GOOGLETRANSLATE(A16197, ""de"", ""en"")"),"Democrats")</f>
        <v>Democrats</v>
      </c>
    </row>
    <row r="16198">
      <c r="A16198" s="1" t="s">
        <v>16197</v>
      </c>
      <c r="B16198" s="2" t="str">
        <f>IFERROR(__xludf.DUMMYFUNCTION("GOOGLETRANSLATE(A16198, ""de"", ""en"")"),"imperial")</f>
        <v>imperial</v>
      </c>
    </row>
    <row r="16199">
      <c r="A16199" s="1" t="s">
        <v>16198</v>
      </c>
      <c r="B16199" s="2" t="str">
        <f>IFERROR(__xludf.DUMMYFUNCTION("GOOGLETRANSLATE(A16199, ""de"", ""en"")"),"ncis")</f>
        <v>ncis</v>
      </c>
    </row>
    <row r="16200">
      <c r="A16200" s="1" t="s">
        <v>16199</v>
      </c>
      <c r="B16200" s="2" t="str">
        <f>IFERROR(__xludf.DUMMYFUNCTION("GOOGLETRANSLATE(A16200, ""de"", ""en"")"),"odds")</f>
        <v>odds</v>
      </c>
    </row>
    <row r="16201">
      <c r="A16201" s="1" t="s">
        <v>16200</v>
      </c>
      <c r="B16201" s="2" t="str">
        <f>IFERROR(__xludf.DUMMYFUNCTION("GOOGLETRANSLATE(A16201, ""de"", ""en"")"),"secrets")</f>
        <v>secrets</v>
      </c>
    </row>
    <row r="16202">
      <c r="A16202" s="1" t="s">
        <v>16201</v>
      </c>
      <c r="B16202" s="2" t="str">
        <f>IFERROR(__xludf.DUMMYFUNCTION("GOOGLETRANSLATE(A16202, ""de"", ""en"")"),"Fridays")</f>
        <v>Fridays</v>
      </c>
    </row>
    <row r="16203">
      <c r="A16203" s="1" t="s">
        <v>16202</v>
      </c>
      <c r="B16203" s="2" t="str">
        <f>IFERROR(__xludf.DUMMYFUNCTION("GOOGLETRANSLATE(A16203, ""de"", ""en"")"),"crooks")</f>
        <v>crooks</v>
      </c>
    </row>
    <row r="16204">
      <c r="A16204" s="1" t="s">
        <v>16203</v>
      </c>
      <c r="B16204" s="2" t="str">
        <f>IFERROR(__xludf.DUMMYFUNCTION("GOOGLETRANSLATE(A16204, ""de"", ""en"")"),"danced")</f>
        <v>danced</v>
      </c>
    </row>
    <row r="16205">
      <c r="A16205" s="1" t="s">
        <v>16204</v>
      </c>
      <c r="B16205" s="2" t="str">
        <f>IFERROR(__xludf.DUMMYFUNCTION("GOOGLETRANSLATE(A16205, ""de"", ""en"")"),"lets in")</f>
        <v>lets in</v>
      </c>
    </row>
    <row r="16206">
      <c r="A16206" s="1" t="s">
        <v>16205</v>
      </c>
      <c r="B16206" s="2" t="str">
        <f>IFERROR(__xludf.DUMMYFUNCTION("GOOGLETRANSLATE(A16206, ""de"", ""en"")"),"tactical")</f>
        <v>tactical</v>
      </c>
    </row>
    <row r="16207">
      <c r="A16207" s="1" t="s">
        <v>16206</v>
      </c>
      <c r="B16207" s="2" t="str">
        <f>IFERROR(__xludf.DUMMYFUNCTION("GOOGLETRANSLATE(A16207, ""de"", ""en"")"),"show up")</f>
        <v>show up</v>
      </c>
    </row>
    <row r="16208">
      <c r="A16208" s="1" t="s">
        <v>16207</v>
      </c>
      <c r="B16208" s="2" t="str">
        <f>IFERROR(__xludf.DUMMYFUNCTION("GOOGLETRANSLATE(A16208, ""de"", ""en"")"),"existed")</f>
        <v>existed</v>
      </c>
    </row>
    <row r="16209">
      <c r="A16209" s="1" t="s">
        <v>16208</v>
      </c>
      <c r="B16209" s="2" t="str">
        <f>IFERROR(__xludf.DUMMYFUNCTION("GOOGLETRANSLATE(A16209, ""de"", ""en"")"),"cardassia")</f>
        <v>cardassia</v>
      </c>
    </row>
    <row r="16210">
      <c r="A16210" s="1" t="s">
        <v>16209</v>
      </c>
      <c r="B16210" s="2" t="str">
        <f>IFERROR(__xludf.DUMMYFUNCTION("GOOGLETRANSLATE(A16210, ""de"", ""en"")"),"tremble")</f>
        <v>tremble</v>
      </c>
    </row>
    <row r="16211">
      <c r="A16211" s="1" t="s">
        <v>16210</v>
      </c>
      <c r="B16211" s="2" t="str">
        <f>IFERROR(__xludf.DUMMYFUNCTION("GOOGLETRANSLATE(A16211, ""de"", ""en"")"),"Havana")</f>
        <v>Havana</v>
      </c>
    </row>
    <row r="16212">
      <c r="A16212" s="1" t="s">
        <v>16211</v>
      </c>
      <c r="B16212" s="2" t="str">
        <f>IFERROR(__xludf.DUMMYFUNCTION("GOOGLETRANSLATE(A16212, ""de"", ""en"")"),"distributes")</f>
        <v>distributes</v>
      </c>
    </row>
    <row r="16213">
      <c r="A16213" s="1" t="s">
        <v>16212</v>
      </c>
      <c r="B16213" s="2" t="str">
        <f>IFERROR(__xludf.DUMMYFUNCTION("GOOGLETRANSLATE(A16213, ""de"", ""en"")"),"demanding")</f>
        <v>demanding</v>
      </c>
    </row>
    <row r="16214">
      <c r="A16214" s="1" t="s">
        <v>16213</v>
      </c>
      <c r="B16214" s="2" t="str">
        <f>IFERROR(__xludf.DUMMYFUNCTION("GOOGLETRANSLATE(A16214, ""de"", ""en"")"),"finished")</f>
        <v>finished</v>
      </c>
    </row>
    <row r="16215">
      <c r="A16215" s="1" t="s">
        <v>16214</v>
      </c>
      <c r="B16215" s="2" t="str">
        <f>IFERROR(__xludf.DUMMYFUNCTION("GOOGLETRANSLATE(A16215, ""de"", ""en"")"),"rock")</f>
        <v>rock</v>
      </c>
    </row>
    <row r="16216">
      <c r="A16216" s="1" t="s">
        <v>16215</v>
      </c>
      <c r="B16216" s="2" t="str">
        <f>IFERROR(__xludf.DUMMYFUNCTION("GOOGLETRANSLATE(A16216, ""de"", ""en"")"),"ruby")</f>
        <v>ruby</v>
      </c>
    </row>
    <row r="16217">
      <c r="A16217" s="1" t="s">
        <v>16216</v>
      </c>
      <c r="B16217" s="2" t="str">
        <f>IFERROR(__xludf.DUMMYFUNCTION("GOOGLETRANSLATE(A16217, ""de"", ""en"")"),"darla")</f>
        <v>darla</v>
      </c>
    </row>
    <row r="16218">
      <c r="A16218" s="1" t="s">
        <v>16217</v>
      </c>
      <c r="B16218" s="2" t="str">
        <f>IFERROR(__xludf.DUMMYFUNCTION("GOOGLETRANSLATE(A16218, ""de"", ""en"")"),"get over it")</f>
        <v>get over it</v>
      </c>
    </row>
    <row r="16219">
      <c r="A16219" s="1" t="s">
        <v>16218</v>
      </c>
      <c r="B16219" s="2" t="str">
        <f>IFERROR(__xludf.DUMMYFUNCTION("GOOGLETRANSLATE(A16219, ""de"", ""en"")"),"at least")</f>
        <v>at least</v>
      </c>
    </row>
    <row r="16220">
      <c r="A16220" s="1" t="s">
        <v>16219</v>
      </c>
      <c r="B16220" s="2" t="str">
        <f>IFERROR(__xludf.DUMMYFUNCTION("GOOGLETRANSLATE(A16220, ""de"", ""en"")"),"heiress")</f>
        <v>heiress</v>
      </c>
    </row>
    <row r="16221">
      <c r="A16221" s="1" t="s">
        <v>16220</v>
      </c>
      <c r="B16221" s="2" t="str">
        <f>IFERROR(__xludf.DUMMYFUNCTION("GOOGLETRANSLATE(A16221, ""de"", ""en"")"),"waves")</f>
        <v>waves</v>
      </c>
    </row>
    <row r="16222">
      <c r="A16222" s="1" t="s">
        <v>16221</v>
      </c>
      <c r="B16222" s="2" t="str">
        <f>IFERROR(__xludf.DUMMYFUNCTION("GOOGLETRANSLATE(A16222, ""de"", ""en"")"),"more international")</f>
        <v>more international</v>
      </c>
    </row>
    <row r="16223">
      <c r="A16223" s="1" t="s">
        <v>16222</v>
      </c>
      <c r="B16223" s="2" t="str">
        <f>IFERROR(__xludf.DUMMYFUNCTION("GOOGLETRANSLATE(A16223, ""de"", ""en"")"),"to move")</f>
        <v>to move</v>
      </c>
    </row>
    <row r="16224">
      <c r="A16224" s="1" t="s">
        <v>16223</v>
      </c>
      <c r="B16224" s="2" t="str">
        <f>IFERROR(__xludf.DUMMYFUNCTION("GOOGLETRANSLATE(A16224, ""de"", ""en"")"),"brands")</f>
        <v>brands</v>
      </c>
    </row>
    <row r="16225">
      <c r="A16225" s="1" t="s">
        <v>16224</v>
      </c>
      <c r="B16225" s="2" t="str">
        <f>IFERROR(__xludf.DUMMYFUNCTION("GOOGLETRANSLATE(A16225, ""de"", ""en"")"),"nail")</f>
        <v>nail</v>
      </c>
    </row>
    <row r="16226">
      <c r="A16226" s="1" t="s">
        <v>16225</v>
      </c>
      <c r="B16226" s="2" t="str">
        <f>IFERROR(__xludf.DUMMYFUNCTION("GOOGLETRANSLATE(A16226, ""de"", ""en"")"),"conceivable")</f>
        <v>conceivable</v>
      </c>
    </row>
    <row r="16227">
      <c r="A16227" s="1" t="s">
        <v>16226</v>
      </c>
      <c r="B16227" s="2" t="str">
        <f>IFERROR(__xludf.DUMMYFUNCTION("GOOGLETRANSLATE(A16227, ""de"", ""en"")"),"lilith")</f>
        <v>lilith</v>
      </c>
    </row>
    <row r="16228">
      <c r="A16228" s="1" t="s">
        <v>16227</v>
      </c>
      <c r="B16228" s="2" t="str">
        <f>IFERROR(__xludf.DUMMYFUNCTION("GOOGLETRANSLATE(A16228, ""de"", ""en"")"),"identify")</f>
        <v>identify</v>
      </c>
    </row>
    <row r="16229">
      <c r="A16229" s="1" t="s">
        <v>16228</v>
      </c>
      <c r="B16229" s="2" t="str">
        <f>IFERROR(__xludf.DUMMYFUNCTION("GOOGLETRANSLATE(A16229, ""de"", ""en"")"),"mayo")</f>
        <v>mayo</v>
      </c>
    </row>
    <row r="16230">
      <c r="A16230" s="1" t="s">
        <v>16229</v>
      </c>
      <c r="B16230" s="2" t="str">
        <f>IFERROR(__xludf.DUMMYFUNCTION("GOOGLETRANSLATE(A16230, ""de"", ""en"")"),"Turkish")</f>
        <v>Turkish</v>
      </c>
    </row>
    <row r="16231">
      <c r="A16231" s="1" t="s">
        <v>16230</v>
      </c>
      <c r="B16231" s="2" t="str">
        <f>IFERROR(__xludf.DUMMYFUNCTION("GOOGLETRANSLATE(A16231, ""de"", ""en"")"),"have mercy")</f>
        <v>have mercy</v>
      </c>
    </row>
    <row r="16232">
      <c r="A16232" s="1" t="s">
        <v>16231</v>
      </c>
      <c r="B16232" s="2" t="str">
        <f>IFERROR(__xludf.DUMMYFUNCTION("GOOGLETRANSLATE(A16232, ""de"", ""en"")"),"hillbilly")</f>
        <v>hillbilly</v>
      </c>
    </row>
    <row r="16233">
      <c r="A16233" s="1" t="s">
        <v>16232</v>
      </c>
      <c r="B16233" s="2" t="str">
        <f>IFERROR(__xludf.DUMMYFUNCTION("GOOGLETRANSLATE(A16233, ""de"", ""en"")"),"divine")</f>
        <v>divine</v>
      </c>
    </row>
    <row r="16234">
      <c r="A16234" s="1" t="s">
        <v>16233</v>
      </c>
      <c r="B16234" s="2" t="str">
        <f>IFERROR(__xludf.DUMMYFUNCTION("GOOGLETRANSLATE(A16234, ""de"", ""en"")"),"chatter")</f>
        <v>chatter</v>
      </c>
    </row>
    <row r="16235">
      <c r="A16235" s="1" t="s">
        <v>16234</v>
      </c>
      <c r="B16235" s="2" t="str">
        <f>IFERROR(__xludf.DUMMYFUNCTION("GOOGLETRANSLATE(A16235, ""de"", ""en"")"),"lowell")</f>
        <v>lowell</v>
      </c>
    </row>
    <row r="16236">
      <c r="A16236" s="1" t="s">
        <v>16235</v>
      </c>
      <c r="B16236" s="2" t="str">
        <f>IFERROR(__xludf.DUMMYFUNCTION("GOOGLETRANSLATE(A16236, ""de"", ""en"")"),"fund")</f>
        <v>fund</v>
      </c>
    </row>
    <row r="16237">
      <c r="A16237" s="1" t="s">
        <v>16236</v>
      </c>
      <c r="B16237" s="2" t="str">
        <f>IFERROR(__xludf.DUMMYFUNCTION("GOOGLETRANSLATE(A16237, ""de"", ""en"")"),"open-minded")</f>
        <v>open-minded</v>
      </c>
    </row>
    <row r="16238">
      <c r="A16238" s="1" t="s">
        <v>16237</v>
      </c>
      <c r="B16238" s="2" t="str">
        <f>IFERROR(__xludf.DUMMYFUNCTION("GOOGLETRANSLATE(A16238, ""de"", ""en"")"),"foley")</f>
        <v>foley</v>
      </c>
    </row>
    <row r="16239">
      <c r="A16239" s="1" t="s">
        <v>16238</v>
      </c>
      <c r="B16239" s="2" t="str">
        <f>IFERROR(__xludf.DUMMYFUNCTION("GOOGLETRANSLATE(A16239, ""de"", ""en"")"),"puppy")</f>
        <v>puppy</v>
      </c>
    </row>
    <row r="16240">
      <c r="A16240" s="1" t="s">
        <v>16239</v>
      </c>
      <c r="B16240" s="2" t="str">
        <f>IFERROR(__xludf.DUMMYFUNCTION("GOOGLETRANSLATE(A16240, ""de"", ""en"")"),"daughters")</f>
        <v>daughters</v>
      </c>
    </row>
    <row r="16241">
      <c r="A16241" s="1" t="s">
        <v>16240</v>
      </c>
      <c r="B16241" s="2" t="str">
        <f>IFERROR(__xludf.DUMMYFUNCTION("GOOGLETRANSLATE(A16241, ""de"", ""en"")"),"reject")</f>
        <v>reject</v>
      </c>
    </row>
    <row r="16242">
      <c r="A16242" s="1" t="s">
        <v>16241</v>
      </c>
      <c r="B16242" s="2" t="str">
        <f>IFERROR(__xludf.DUMMYFUNCTION("GOOGLETRANSLATE(A16242, ""de"", ""en"")"),"hastily")</f>
        <v>hastily</v>
      </c>
    </row>
    <row r="16243">
      <c r="A16243" s="1" t="s">
        <v>16242</v>
      </c>
      <c r="B16243" s="2" t="str">
        <f>IFERROR(__xludf.DUMMYFUNCTION("GOOGLETRANSLATE(A16243, ""de"", ""en"")"),"pi")</f>
        <v>pi</v>
      </c>
    </row>
    <row r="16244">
      <c r="A16244" s="1" t="s">
        <v>16243</v>
      </c>
      <c r="B16244" s="2" t="str">
        <f>IFERROR(__xludf.DUMMYFUNCTION("GOOGLETRANSLATE(A16244, ""de"", ""en"")"),"citizens")</f>
        <v>citizens</v>
      </c>
    </row>
    <row r="16245">
      <c r="A16245" s="1" t="s">
        <v>16244</v>
      </c>
      <c r="B16245" s="2" t="str">
        <f>IFERROR(__xludf.DUMMYFUNCTION("GOOGLETRANSLATE(A16245, ""de"", ""en"")"),"police siren")</f>
        <v>police siren</v>
      </c>
    </row>
    <row r="16246">
      <c r="A16246" s="1" t="s">
        <v>16245</v>
      </c>
      <c r="B16246" s="2" t="str">
        <f>IFERROR(__xludf.DUMMYFUNCTION("GOOGLETRANSLATE(A16246, ""de"", ""en"")"),"leader")</f>
        <v>leader</v>
      </c>
    </row>
    <row r="16247">
      <c r="A16247" s="1" t="s">
        <v>16246</v>
      </c>
      <c r="B16247" s="2" t="str">
        <f>IFERROR(__xludf.DUMMYFUNCTION("GOOGLETRANSLATE(A16247, ""de"", ""en"")"),"counted")</f>
        <v>counted</v>
      </c>
    </row>
    <row r="16248">
      <c r="A16248" s="1" t="s">
        <v>16247</v>
      </c>
      <c r="B16248" s="2" t="str">
        <f>IFERROR(__xludf.DUMMYFUNCTION("GOOGLETRANSLATE(A16248, ""de"", ""en"")"),"soiled")</f>
        <v>soiled</v>
      </c>
    </row>
    <row r="16249">
      <c r="A16249" s="1" t="s">
        <v>16248</v>
      </c>
      <c r="B16249" s="2" t="str">
        <f>IFERROR(__xludf.DUMMYFUNCTION("GOOGLETRANSLATE(A16249, ""de"", ""en"")"),"prepare")</f>
        <v>prepare</v>
      </c>
    </row>
    <row r="16250">
      <c r="A16250" s="1" t="s">
        <v>16249</v>
      </c>
      <c r="B16250" s="2" t="str">
        <f>IFERROR(__xludf.DUMMYFUNCTION("GOOGLETRANSLATE(A16250, ""de"", ""en"")"),"appear")</f>
        <v>appear</v>
      </c>
    </row>
    <row r="16251">
      <c r="A16251" s="1" t="s">
        <v>16250</v>
      </c>
      <c r="B16251" s="2" t="str">
        <f>IFERROR(__xludf.DUMMYFUNCTION("GOOGLETRANSLATE(A16251, ""de"", ""en"")"),"pacific")</f>
        <v>pacific</v>
      </c>
    </row>
    <row r="16252">
      <c r="A16252" s="1" t="s">
        <v>16251</v>
      </c>
      <c r="B16252" s="2" t="str">
        <f>IFERROR(__xludf.DUMMYFUNCTION("GOOGLETRANSLATE(A16252, ""de"", ""en"")"),"tyrants")</f>
        <v>tyrants</v>
      </c>
    </row>
    <row r="16253">
      <c r="A16253" s="1" t="s">
        <v>16252</v>
      </c>
      <c r="B16253" s="2" t="str">
        <f>IFERROR(__xludf.DUMMYFUNCTION("GOOGLETRANSLATE(A16253, ""de"", ""en"")"),"dryer")</f>
        <v>dryer</v>
      </c>
    </row>
    <row r="16254">
      <c r="A16254" s="1" t="s">
        <v>16253</v>
      </c>
      <c r="B16254" s="2" t="str">
        <f>IFERROR(__xludf.DUMMYFUNCTION("GOOGLETRANSLATE(A16254, ""de"", ""en"")"),"command center")</f>
        <v>command center</v>
      </c>
    </row>
    <row r="16255">
      <c r="A16255" s="1" t="s">
        <v>16254</v>
      </c>
      <c r="B16255" s="2" t="str">
        <f>IFERROR(__xludf.DUMMYFUNCTION("GOOGLETRANSLATE(A16255, ""de"", ""en"")"),"delay")</f>
        <v>delay</v>
      </c>
    </row>
    <row r="16256">
      <c r="A16256" s="1" t="s">
        <v>16255</v>
      </c>
      <c r="B16256" s="2" t="str">
        <f>IFERROR(__xludf.DUMMYFUNCTION("GOOGLETRANSLATE(A16256, ""de"", ""en"")"),"candace")</f>
        <v>candace</v>
      </c>
    </row>
    <row r="16257">
      <c r="A16257" s="1" t="s">
        <v>16256</v>
      </c>
      <c r="B16257" s="2" t="str">
        <f>IFERROR(__xludf.DUMMYFUNCTION("GOOGLETRANSLATE(A16257, ""de"", ""en"")"),"rabies")</f>
        <v>rabies</v>
      </c>
    </row>
    <row r="16258">
      <c r="A16258" s="1" t="s">
        <v>16257</v>
      </c>
      <c r="B16258" s="2" t="str">
        <f>IFERROR(__xludf.DUMMYFUNCTION("GOOGLETRANSLATE(A16258, ""de"", ""en"")"),"Hilton")</f>
        <v>Hilton</v>
      </c>
    </row>
    <row r="16259">
      <c r="A16259" s="1" t="s">
        <v>16258</v>
      </c>
      <c r="B16259" s="2" t="str">
        <f>IFERROR(__xludf.DUMMYFUNCTION("GOOGLETRANSLATE(A16259, ""de"", ""en"")"),"kes")</f>
        <v>kes</v>
      </c>
    </row>
    <row r="16260">
      <c r="A16260" s="1" t="s">
        <v>16259</v>
      </c>
      <c r="B16260" s="2" t="str">
        <f>IFERROR(__xludf.DUMMYFUNCTION("GOOGLETRANSLATE(A16260, ""de"", ""en"")"),"released")</f>
        <v>released</v>
      </c>
    </row>
    <row r="16261">
      <c r="A16261" s="1" t="s">
        <v>16260</v>
      </c>
      <c r="B16261" s="2" t="str">
        <f>IFERROR(__xludf.DUMMYFUNCTION("GOOGLETRANSLATE(A16261, ""de"", ""en"")"),"lean")</f>
        <v>lean</v>
      </c>
    </row>
    <row r="16262">
      <c r="A16262" s="1" t="s">
        <v>16261</v>
      </c>
      <c r="B16262" s="2" t="str">
        <f>IFERROR(__xludf.DUMMYFUNCTION("GOOGLETRANSLATE(A16262, ""de"", ""en"")"),"achieved")</f>
        <v>achieved</v>
      </c>
    </row>
    <row r="16263">
      <c r="A16263" s="1" t="s">
        <v>16262</v>
      </c>
      <c r="B16263" s="2" t="str">
        <f>IFERROR(__xludf.DUMMYFUNCTION("GOOGLETRANSLATE(A16263, ""de"", ""en"")"),"obelix")</f>
        <v>obelix</v>
      </c>
    </row>
    <row r="16264">
      <c r="A16264" s="1" t="s">
        <v>16263</v>
      </c>
      <c r="B16264" s="2" t="str">
        <f>IFERROR(__xludf.DUMMYFUNCTION("GOOGLETRANSLATE(A16264, ""de"", ""en"")"),"satisfaction")</f>
        <v>satisfaction</v>
      </c>
    </row>
    <row r="16265">
      <c r="A16265" s="1" t="s">
        <v>16264</v>
      </c>
      <c r="B16265" s="2" t="str">
        <f>IFERROR(__xludf.DUMMYFUNCTION("GOOGLETRANSLATE(A16265, ""de"", ""en"")"),"grandmas")</f>
        <v>grandmas</v>
      </c>
    </row>
    <row r="16266">
      <c r="A16266" s="1" t="s">
        <v>16265</v>
      </c>
      <c r="B16266" s="2" t="str">
        <f>IFERROR(__xludf.DUMMYFUNCTION("GOOGLETRANSLATE(A16266, ""de"", ""en"")"),"Edwin")</f>
        <v>Edwin</v>
      </c>
    </row>
    <row r="16267">
      <c r="A16267" s="1" t="s">
        <v>16266</v>
      </c>
      <c r="B16267" s="2" t="str">
        <f>IFERROR(__xludf.DUMMYFUNCTION("GOOGLETRANSLATE(A16267, ""de"", ""en"")"),"Janey")</f>
        <v>Janey</v>
      </c>
    </row>
    <row r="16268">
      <c r="A16268" s="1" t="s">
        <v>16267</v>
      </c>
      <c r="B16268" s="2" t="str">
        <f>IFERROR(__xludf.DUMMYFUNCTION("GOOGLETRANSLATE(A16268, ""de"", ""en"")"),"ufos")</f>
        <v>ufos</v>
      </c>
    </row>
    <row r="16269">
      <c r="A16269" s="1" t="s">
        <v>16268</v>
      </c>
      <c r="B16269" s="2" t="str">
        <f>IFERROR(__xludf.DUMMYFUNCTION("GOOGLETRANSLATE(A16269, ""de"", ""en"")"),"fear of heights")</f>
        <v>fear of heights</v>
      </c>
    </row>
    <row r="16270">
      <c r="A16270" s="1" t="s">
        <v>16269</v>
      </c>
      <c r="B16270" s="2" t="str">
        <f>IFERROR(__xludf.DUMMYFUNCTION("GOOGLETRANSLATE(A16270, ""de"", ""en"")"),"grins")</f>
        <v>grins</v>
      </c>
    </row>
    <row r="16271">
      <c r="A16271" s="1" t="s">
        <v>16270</v>
      </c>
      <c r="B16271" s="2" t="str">
        <f>IFERROR(__xludf.DUMMYFUNCTION("GOOGLETRANSLATE(A16271, ""de"", ""en"")"),"Nikolai")</f>
        <v>Nikolai</v>
      </c>
    </row>
    <row r="16272">
      <c r="A16272" s="1" t="s">
        <v>16271</v>
      </c>
      <c r="B16272" s="2" t="str">
        <f>IFERROR(__xludf.DUMMYFUNCTION("GOOGLETRANSLATE(A16272, ""de"", ""en"")"),"Alexander")</f>
        <v>Alexander</v>
      </c>
    </row>
    <row r="16273">
      <c r="A16273" s="1" t="s">
        <v>16272</v>
      </c>
      <c r="B16273" s="2" t="str">
        <f>IFERROR(__xludf.DUMMYFUNCTION("GOOGLETRANSLATE(A16273, ""de"", ""en"")"),"more likely")</f>
        <v>more likely</v>
      </c>
    </row>
    <row r="16274">
      <c r="A16274" s="1" t="s">
        <v>16273</v>
      </c>
      <c r="B16274" s="2" t="str">
        <f>IFERROR(__xludf.DUMMYFUNCTION("GOOGLETRANSLATE(A16274, ""de"", ""en"")"),"partners")</f>
        <v>partners</v>
      </c>
    </row>
    <row r="16275">
      <c r="A16275" s="1" t="s">
        <v>16274</v>
      </c>
      <c r="B16275" s="2" t="str">
        <f>IFERROR(__xludf.DUMMYFUNCTION("GOOGLETRANSLATE(A16275, ""de"", ""en"")"),"joanne")</f>
        <v>joanne</v>
      </c>
    </row>
    <row r="16276">
      <c r="A16276" s="1" t="s">
        <v>16275</v>
      </c>
      <c r="B16276" s="2" t="str">
        <f>IFERROR(__xludf.DUMMYFUNCTION("GOOGLETRANSLATE(A16276, ""de"", ""en"")"),"safety precautions")</f>
        <v>safety precautions</v>
      </c>
    </row>
    <row r="16277">
      <c r="A16277" s="1" t="s">
        <v>16276</v>
      </c>
      <c r="B16277" s="2" t="str">
        <f>IFERROR(__xludf.DUMMYFUNCTION("GOOGLETRANSLATE(A16277, ""de"", ""en"")"),"collected")</f>
        <v>collected</v>
      </c>
    </row>
    <row r="16278">
      <c r="A16278" s="1" t="s">
        <v>16277</v>
      </c>
      <c r="B16278" s="2" t="str">
        <f>IFERROR(__xludf.DUMMYFUNCTION("GOOGLETRANSLATE(A16278, ""de"", ""en"")"),"Gaulish")</f>
        <v>Gaulish</v>
      </c>
    </row>
    <row r="16279">
      <c r="A16279" s="1" t="s">
        <v>16278</v>
      </c>
      <c r="B16279" s="2" t="str">
        <f>IFERROR(__xludf.DUMMYFUNCTION("GOOGLETRANSLATE(A16279, ""de"", ""en"")"),"richest")</f>
        <v>richest</v>
      </c>
    </row>
    <row r="16280">
      <c r="A16280" s="1" t="s">
        <v>16279</v>
      </c>
      <c r="B16280" s="2" t="str">
        <f>IFERROR(__xludf.DUMMYFUNCTION("GOOGLETRANSLATE(A16280, ""de"", ""en"")"),"uncomfortable")</f>
        <v>uncomfortable</v>
      </c>
    </row>
    <row r="16281">
      <c r="A16281" s="1" t="s">
        <v>16280</v>
      </c>
      <c r="B16281" s="2" t="str">
        <f>IFERROR(__xludf.DUMMYFUNCTION("GOOGLETRANSLATE(A16281, ""de"", ""en"")"),"penguins")</f>
        <v>penguins</v>
      </c>
    </row>
    <row r="16282">
      <c r="A16282" s="1" t="s">
        <v>16281</v>
      </c>
      <c r="B16282" s="2" t="str">
        <f>IFERROR(__xludf.DUMMYFUNCTION("GOOGLETRANSLATE(A16282, ""de"", ""en"")"),"single")</f>
        <v>single</v>
      </c>
    </row>
    <row r="16283">
      <c r="A16283" s="1" t="s">
        <v>16282</v>
      </c>
      <c r="B16283" s="2" t="str">
        <f>IFERROR(__xludf.DUMMYFUNCTION("GOOGLETRANSLATE(A16283, ""de"", ""en"")"),"instigated")</f>
        <v>instigated</v>
      </c>
    </row>
    <row r="16284">
      <c r="A16284" s="1" t="s">
        <v>16283</v>
      </c>
      <c r="B16284" s="2" t="str">
        <f>IFERROR(__xludf.DUMMYFUNCTION("GOOGLETRANSLATE(A16284, ""de"", ""en"")"),"demonstrators")</f>
        <v>demonstrators</v>
      </c>
    </row>
    <row r="16285">
      <c r="A16285" s="1" t="s">
        <v>16284</v>
      </c>
      <c r="B16285" s="2" t="str">
        <f>IFERROR(__xludf.DUMMYFUNCTION("GOOGLETRANSLATE(A16285, ""de"", ""en"")"),"varieties")</f>
        <v>varieties</v>
      </c>
    </row>
    <row r="16286">
      <c r="A16286" s="1" t="s">
        <v>16285</v>
      </c>
      <c r="B16286" s="2" t="str">
        <f>IFERROR(__xludf.DUMMYFUNCTION("GOOGLETRANSLATE(A16286, ""de"", ""en"")"),"ever")</f>
        <v>ever</v>
      </c>
    </row>
    <row r="16287">
      <c r="A16287" s="1" t="s">
        <v>16286</v>
      </c>
      <c r="B16287" s="2" t="str">
        <f>IFERROR(__xludf.DUMMYFUNCTION("GOOGLETRANSLATE(A16287, ""de"", ""en"")"),"weasel")</f>
        <v>weasel</v>
      </c>
    </row>
    <row r="16288">
      <c r="A16288" s="1" t="s">
        <v>16287</v>
      </c>
      <c r="B16288" s="2" t="str">
        <f>IFERROR(__xludf.DUMMYFUNCTION("GOOGLETRANSLATE(A16288, ""de"", ""en"")"),"ambitions")</f>
        <v>ambitions</v>
      </c>
    </row>
    <row r="16289">
      <c r="A16289" s="1" t="s">
        <v>16288</v>
      </c>
      <c r="B16289" s="2" t="str">
        <f>IFERROR(__xludf.DUMMYFUNCTION("GOOGLETRANSLATE(A16289, ""de"", ""en"")"),"arrests")</f>
        <v>arrests</v>
      </c>
    </row>
    <row r="16290">
      <c r="A16290" s="1" t="s">
        <v>16289</v>
      </c>
      <c r="B16290" s="2" t="str">
        <f>IFERROR(__xludf.DUMMYFUNCTION("GOOGLETRANSLATE(A16290, ""de"", ""en"")"),"on top of that")</f>
        <v>on top of that</v>
      </c>
    </row>
    <row r="16291">
      <c r="A16291" s="1" t="s">
        <v>16290</v>
      </c>
      <c r="B16291" s="2" t="str">
        <f>IFERROR(__xludf.DUMMYFUNCTION("GOOGLETRANSLATE(A16291, ""de"", ""en"")"),"more violent")</f>
        <v>more violent</v>
      </c>
    </row>
    <row r="16292">
      <c r="A16292" s="1" t="s">
        <v>16291</v>
      </c>
      <c r="B16292" s="2" t="str">
        <f>IFERROR(__xludf.DUMMYFUNCTION("GOOGLETRANSLATE(A16292, ""de"", ""en"")"),"clear your throat")</f>
        <v>clear your throat</v>
      </c>
    </row>
    <row r="16293">
      <c r="A16293" s="1" t="s">
        <v>16292</v>
      </c>
      <c r="B16293" s="2" t="str">
        <f>IFERROR(__xludf.DUMMYFUNCTION("GOOGLETRANSLATE(A16293, ""de"", ""en"")"),"burned")</f>
        <v>burned</v>
      </c>
    </row>
    <row r="16294">
      <c r="A16294" s="1" t="s">
        <v>16293</v>
      </c>
      <c r="B16294" s="2" t="str">
        <f>IFERROR(__xludf.DUMMYFUNCTION("GOOGLETRANSLATE(A16294, ""de"", ""en"")"),"irritated")</f>
        <v>irritated</v>
      </c>
    </row>
    <row r="16295">
      <c r="A16295" s="1" t="s">
        <v>16294</v>
      </c>
      <c r="B16295" s="2" t="str">
        <f>IFERROR(__xludf.DUMMYFUNCTION("GOOGLETRANSLATE(A16295, ""de"", ""en"")"),"hot dog")</f>
        <v>hot dog</v>
      </c>
    </row>
    <row r="16296">
      <c r="A16296" s="1" t="s">
        <v>16295</v>
      </c>
      <c r="B16296" s="2" t="str">
        <f>IFERROR(__xludf.DUMMYFUNCTION("GOOGLETRANSLATE(A16296, ""de"", ""en"")"),"brands")</f>
        <v>brands</v>
      </c>
    </row>
    <row r="16297">
      <c r="A16297" s="1" t="s">
        <v>16296</v>
      </c>
      <c r="B16297" s="2" t="str">
        <f>IFERROR(__xludf.DUMMYFUNCTION("GOOGLETRANSLATE(A16297, ""de"", ""en"")"),"Gerard")</f>
        <v>Gerard</v>
      </c>
    </row>
    <row r="16298">
      <c r="A16298" s="1" t="s">
        <v>16297</v>
      </c>
      <c r="B16298" s="2" t="str">
        <f>IFERROR(__xludf.DUMMYFUNCTION("GOOGLETRANSLATE(A16298, ""de"", ""en"")"),"mare")</f>
        <v>mare</v>
      </c>
    </row>
    <row r="16299">
      <c r="A16299" s="1" t="s">
        <v>16298</v>
      </c>
      <c r="B16299" s="2" t="str">
        <f>IFERROR(__xludf.DUMMYFUNCTION("GOOGLETRANSLATE(A16299, ""de"", ""en"")"),"neutral")</f>
        <v>neutral</v>
      </c>
    </row>
    <row r="16300">
      <c r="A16300" s="1" t="s">
        <v>16299</v>
      </c>
      <c r="B16300" s="2" t="str">
        <f>IFERROR(__xludf.DUMMYFUNCTION("GOOGLETRANSLATE(A16300, ""de"", ""en"")"),"pardon")</f>
        <v>pardon</v>
      </c>
    </row>
    <row r="16301">
      <c r="A16301" s="1" t="s">
        <v>16300</v>
      </c>
      <c r="B16301" s="2" t="str">
        <f>IFERROR(__xludf.DUMMYFUNCTION("GOOGLETRANSLATE(A16301, ""de"", ""en"")"),"Taiwan")</f>
        <v>Taiwan</v>
      </c>
    </row>
    <row r="16302">
      <c r="A16302" s="1" t="s">
        <v>16301</v>
      </c>
      <c r="B16302" s="2" t="str">
        <f>IFERROR(__xludf.DUMMYFUNCTION("GOOGLETRANSLATE(A16302, ""de"", ""en"")"),"no")</f>
        <v>no</v>
      </c>
    </row>
    <row r="16303">
      <c r="A16303" s="1" t="s">
        <v>16302</v>
      </c>
      <c r="B16303" s="2" t="str">
        <f>IFERROR(__xludf.DUMMYFUNCTION("GOOGLETRANSLATE(A16303, ""de"", ""en"")"),"cheerful")</f>
        <v>cheerful</v>
      </c>
    </row>
    <row r="16304">
      <c r="A16304" s="1" t="s">
        <v>16303</v>
      </c>
      <c r="B16304" s="2" t="str">
        <f>IFERROR(__xludf.DUMMYFUNCTION("GOOGLETRANSLATE(A16304, ""de"", ""en"")"),"health insurance")</f>
        <v>health insurance</v>
      </c>
    </row>
    <row r="16305">
      <c r="A16305" s="1" t="s">
        <v>16304</v>
      </c>
      <c r="B16305" s="2" t="str">
        <f>IFERROR(__xludf.DUMMYFUNCTION("GOOGLETRANSLATE(A16305, ""de"", ""en"")"),"shot")</f>
        <v>shot</v>
      </c>
    </row>
    <row r="16306">
      <c r="A16306" s="1" t="s">
        <v>16305</v>
      </c>
      <c r="B16306" s="2" t="str">
        <f>IFERROR(__xludf.DUMMYFUNCTION("GOOGLETRANSLATE(A16306, ""de"", ""en"")"),"sales volume")</f>
        <v>sales volume</v>
      </c>
    </row>
    <row r="16307">
      <c r="A16307" s="1" t="s">
        <v>16306</v>
      </c>
      <c r="B16307" s="2" t="str">
        <f>IFERROR(__xludf.DUMMYFUNCTION("GOOGLETRANSLATE(A16307, ""de"", ""en"")"),"spleen")</f>
        <v>spleen</v>
      </c>
    </row>
    <row r="16308">
      <c r="A16308" s="1" t="s">
        <v>16307</v>
      </c>
      <c r="B16308" s="2" t="str">
        <f>IFERROR(__xludf.DUMMYFUNCTION("GOOGLETRANSLATE(A16308, ""de"", ""en"")"),"pandora")</f>
        <v>pandora</v>
      </c>
    </row>
    <row r="16309">
      <c r="A16309" s="1" t="s">
        <v>16308</v>
      </c>
      <c r="B16309" s="2" t="str">
        <f>IFERROR(__xludf.DUMMYFUNCTION("GOOGLETRANSLATE(A16309, ""de"", ""en"")"),"given away")</f>
        <v>given away</v>
      </c>
    </row>
    <row r="16310">
      <c r="A16310" s="1" t="s">
        <v>16309</v>
      </c>
      <c r="B16310" s="2" t="str">
        <f>IFERROR(__xludf.DUMMYFUNCTION("GOOGLETRANSLATE(A16310, ""de"", ""en"")"),"more complete")</f>
        <v>more complete</v>
      </c>
    </row>
    <row r="16311">
      <c r="A16311" s="1" t="s">
        <v>16310</v>
      </c>
      <c r="B16311" s="2" t="str">
        <f>IFERROR(__xludf.DUMMYFUNCTION("GOOGLETRANSLATE(A16311, ""de"", ""en"")"),"transfer")</f>
        <v>transfer</v>
      </c>
    </row>
    <row r="16312">
      <c r="A16312" s="1" t="s">
        <v>16311</v>
      </c>
      <c r="B16312" s="2" t="str">
        <f>IFERROR(__xludf.DUMMYFUNCTION("GOOGLETRANSLATE(A16312, ""de"", ""en"")"),"nursing home")</f>
        <v>nursing home</v>
      </c>
    </row>
    <row r="16313">
      <c r="A16313" s="1" t="s">
        <v>16312</v>
      </c>
      <c r="B16313" s="2" t="str">
        <f>IFERROR(__xludf.DUMMYFUNCTION("GOOGLETRANSLATE(A16313, ""de"", ""en"")"),"inner")</f>
        <v>inner</v>
      </c>
    </row>
    <row r="16314">
      <c r="A16314" s="1" t="s">
        <v>16313</v>
      </c>
      <c r="B16314" s="2" t="str">
        <f>IFERROR(__xludf.DUMMYFUNCTION("GOOGLETRANSLATE(A16314, ""de"", ""en"")"),"test")</f>
        <v>test</v>
      </c>
    </row>
    <row r="16315">
      <c r="A16315" s="1" t="s">
        <v>16314</v>
      </c>
      <c r="B16315" s="2" t="str">
        <f>IFERROR(__xludf.DUMMYFUNCTION("GOOGLETRANSLATE(A16315, ""de"", ""en"")"),"evil")</f>
        <v>evil</v>
      </c>
    </row>
    <row r="16316">
      <c r="A16316" s="1" t="s">
        <v>16315</v>
      </c>
      <c r="B16316" s="2" t="str">
        <f>IFERROR(__xludf.DUMMYFUNCTION("GOOGLETRANSLATE(A16316, ""de"", ""en"")"),"dark")</f>
        <v>dark</v>
      </c>
    </row>
    <row r="16317">
      <c r="A16317" s="1" t="s">
        <v>16316</v>
      </c>
      <c r="B16317" s="2" t="str">
        <f>IFERROR(__xludf.DUMMYFUNCTION("GOOGLETRANSLATE(A16317, ""de"", ""en"")"),"loretta")</f>
        <v>loretta</v>
      </c>
    </row>
    <row r="16318">
      <c r="A16318" s="1" t="s">
        <v>16317</v>
      </c>
      <c r="B16318" s="2" t="str">
        <f>IFERROR(__xludf.DUMMYFUNCTION("GOOGLETRANSLATE(A16318, ""de"", ""en"")"),"unprofessional")</f>
        <v>unprofessional</v>
      </c>
    </row>
    <row r="16319">
      <c r="A16319" s="1" t="s">
        <v>16318</v>
      </c>
      <c r="B16319" s="2" t="str">
        <f>IFERROR(__xludf.DUMMYFUNCTION("GOOGLETRANSLATE(A16319, ""de"", ""en"")"),"Jamaica")</f>
        <v>Jamaica</v>
      </c>
    </row>
    <row r="16320">
      <c r="A16320" s="1" t="s">
        <v>16319</v>
      </c>
      <c r="B16320" s="2" t="str">
        <f>IFERROR(__xludf.DUMMYFUNCTION("GOOGLETRANSLATE(A16320, ""de"", ""en"")"),"pilar")</f>
        <v>pilar</v>
      </c>
    </row>
    <row r="16321">
      <c r="A16321" s="1" t="s">
        <v>16320</v>
      </c>
      <c r="B16321" s="2" t="str">
        <f>IFERROR(__xludf.DUMMYFUNCTION("GOOGLETRANSLATE(A16321, ""de"", ""en"")"),"syphilis")</f>
        <v>syphilis</v>
      </c>
    </row>
    <row r="16322">
      <c r="A16322" s="1" t="s">
        <v>16321</v>
      </c>
      <c r="B16322" s="2" t="str">
        <f>IFERROR(__xludf.DUMMYFUNCTION("GOOGLETRANSLATE(A16322, ""de"", ""en"")"),"Georgia")</f>
        <v>Georgia</v>
      </c>
    </row>
    <row r="16323">
      <c r="A16323" s="1" t="s">
        <v>16322</v>
      </c>
      <c r="B16323" s="2" t="str">
        <f>IFERROR(__xludf.DUMMYFUNCTION("GOOGLETRANSLATE(A16323, ""de"", ""en"")"),"last")</f>
        <v>last</v>
      </c>
    </row>
    <row r="16324">
      <c r="A16324" s="1" t="s">
        <v>16323</v>
      </c>
      <c r="B16324" s="2" t="str">
        <f>IFERROR(__xludf.DUMMYFUNCTION("GOOGLETRANSLATE(A16324, ""de"", ""en"")"),"Simms")</f>
        <v>Simms</v>
      </c>
    </row>
    <row r="16325">
      <c r="A16325" s="1" t="s">
        <v>16324</v>
      </c>
      <c r="B16325" s="2" t="str">
        <f>IFERROR(__xludf.DUMMYFUNCTION("GOOGLETRANSLATE(A16325, ""de"", ""en"")"),"more outstanding")</f>
        <v>more outstanding</v>
      </c>
    </row>
    <row r="16326">
      <c r="A16326" s="1" t="s">
        <v>16325</v>
      </c>
      <c r="B16326" s="2" t="str">
        <f>IFERROR(__xludf.DUMMYFUNCTION("GOOGLETRANSLATE(A16326, ""de"", ""en"")"),"small")</f>
        <v>small</v>
      </c>
    </row>
    <row r="16327">
      <c r="A16327" s="1" t="s">
        <v>16326</v>
      </c>
      <c r="B16327" s="2" t="str">
        <f>IFERROR(__xludf.DUMMYFUNCTION("GOOGLETRANSLATE(A16327, ""de"", ""en"")"),"despair")</f>
        <v>despair</v>
      </c>
    </row>
    <row r="16328">
      <c r="A16328" s="1" t="s">
        <v>16327</v>
      </c>
      <c r="B16328" s="2" t="str">
        <f>IFERROR(__xludf.DUMMYFUNCTION("GOOGLETRANSLATE(A16328, ""de"", ""en"")"),"solar system")</f>
        <v>solar system</v>
      </c>
    </row>
    <row r="16329">
      <c r="A16329" s="1" t="s">
        <v>16328</v>
      </c>
      <c r="B16329" s="2" t="str">
        <f>IFERROR(__xludf.DUMMYFUNCTION("GOOGLETRANSLATE(A16329, ""de"", ""en"")"),"revoked")</f>
        <v>revoked</v>
      </c>
    </row>
    <row r="16330">
      <c r="A16330" s="1" t="s">
        <v>16329</v>
      </c>
      <c r="B16330" s="2" t="str">
        <f>IFERROR(__xludf.DUMMYFUNCTION("GOOGLETRANSLATE(A16330, ""de"", ""en"")"),"goes through")</f>
        <v>goes through</v>
      </c>
    </row>
    <row r="16331">
      <c r="A16331" s="1" t="s">
        <v>16330</v>
      </c>
      <c r="B16331" s="2" t="str">
        <f>IFERROR(__xludf.DUMMYFUNCTION("GOOGLETRANSLATE(A16331, ""de"", ""en"")"),"Warsaw")</f>
        <v>Warsaw</v>
      </c>
    </row>
    <row r="16332">
      <c r="A16332" s="1" t="s">
        <v>16331</v>
      </c>
      <c r="B16332" s="2" t="str">
        <f>IFERROR(__xludf.DUMMYFUNCTION("GOOGLETRANSLATE(A16332, ""de"", ""en"")"),"jean luc")</f>
        <v>jean luc</v>
      </c>
    </row>
    <row r="16333">
      <c r="A16333" s="1" t="s">
        <v>16332</v>
      </c>
      <c r="B16333" s="2" t="str">
        <f>IFERROR(__xludf.DUMMYFUNCTION("GOOGLETRANSLATE(A16333, ""de"", ""en"")"),"ping")</f>
        <v>ping</v>
      </c>
    </row>
    <row r="16334">
      <c r="A16334" s="1" t="s">
        <v>16333</v>
      </c>
      <c r="B16334" s="2" t="str">
        <f>IFERROR(__xludf.DUMMYFUNCTION("GOOGLETRANSLATE(A16334, ""de"", ""en"")"),"released")</f>
        <v>released</v>
      </c>
    </row>
    <row r="16335">
      <c r="A16335" s="1" t="s">
        <v>16334</v>
      </c>
      <c r="B16335" s="2" t="str">
        <f>IFERROR(__xludf.DUMMYFUNCTION("GOOGLETRANSLATE(A16335, ""de"", ""en"")"),"extended")</f>
        <v>extended</v>
      </c>
    </row>
    <row r="16336">
      <c r="A16336" s="1" t="s">
        <v>16335</v>
      </c>
      <c r="B16336" s="2" t="str">
        <f>IFERROR(__xludf.DUMMYFUNCTION("GOOGLETRANSLATE(A16336, ""de"", ""en"")"),"bee")</f>
        <v>bee</v>
      </c>
    </row>
    <row r="16337">
      <c r="A16337" s="1" t="s">
        <v>16336</v>
      </c>
      <c r="B16337" s="2" t="str">
        <f>IFERROR(__xludf.DUMMYFUNCTION("GOOGLETRANSLATE(A16337, ""de"", ""en"")"),"finest")</f>
        <v>finest</v>
      </c>
    </row>
    <row r="16338">
      <c r="A16338" s="1" t="s">
        <v>16337</v>
      </c>
      <c r="B16338" s="2" t="str">
        <f>IFERROR(__xludf.DUMMYFUNCTION("GOOGLETRANSLATE(A16338, ""de"", ""en"")"),"fields")</f>
        <v>fields</v>
      </c>
    </row>
    <row r="16339">
      <c r="A16339" s="1" t="s">
        <v>16338</v>
      </c>
      <c r="B16339" s="2" t="str">
        <f>IFERROR(__xludf.DUMMYFUNCTION("GOOGLETRANSLATE(A16339, ""de"", ""en"")"),"make sure")</f>
        <v>make sure</v>
      </c>
    </row>
    <row r="16340">
      <c r="A16340" s="1" t="s">
        <v>16339</v>
      </c>
      <c r="B16340" s="2" t="str">
        <f>IFERROR(__xludf.DUMMYFUNCTION("GOOGLETRANSLATE(A16340, ""de"", ""en"")"),"moderator")</f>
        <v>moderator</v>
      </c>
    </row>
    <row r="16341">
      <c r="A16341" s="1" t="s">
        <v>16340</v>
      </c>
      <c r="B16341" s="2" t="str">
        <f>IFERROR(__xludf.DUMMYFUNCTION("GOOGLETRANSLATE(A16341, ""de"", ""en"")"),"romero")</f>
        <v>romero</v>
      </c>
    </row>
    <row r="16342">
      <c r="A16342" s="1" t="s">
        <v>16341</v>
      </c>
      <c r="B16342" s="2" t="str">
        <f>IFERROR(__xludf.DUMMYFUNCTION("GOOGLETRANSLATE(A16342, ""de"", ""en"")"),"relieved")</f>
        <v>relieved</v>
      </c>
    </row>
    <row r="16343">
      <c r="A16343" s="1" t="s">
        <v>16342</v>
      </c>
      <c r="B16343" s="2" t="str">
        <f>IFERROR(__xludf.DUMMYFUNCTION("GOOGLETRANSLATE(A16343, ""de"", ""en"")"),"quote")</f>
        <v>quote</v>
      </c>
    </row>
    <row r="16344">
      <c r="A16344" s="1" t="s">
        <v>16343</v>
      </c>
      <c r="B16344" s="2" t="str">
        <f>IFERROR(__xludf.DUMMYFUNCTION("GOOGLETRANSLATE(A16344, ""de"", ""en"")"),"fearless")</f>
        <v>fearless</v>
      </c>
    </row>
    <row r="16345">
      <c r="A16345" s="1" t="s">
        <v>16344</v>
      </c>
      <c r="B16345" s="2" t="str">
        <f>IFERROR(__xludf.DUMMYFUNCTION("GOOGLETRANSLATE(A16345, ""de"", ""en"")"),"dahlia")</f>
        <v>dahlia</v>
      </c>
    </row>
    <row r="16346">
      <c r="A16346" s="1" t="s">
        <v>16345</v>
      </c>
      <c r="B16346" s="2" t="str">
        <f>IFERROR(__xludf.DUMMYFUNCTION("GOOGLETRANSLATE(A16346, ""de"", ""en"")"),"pupils")</f>
        <v>pupils</v>
      </c>
    </row>
    <row r="16347">
      <c r="A16347" s="1" t="s">
        <v>16346</v>
      </c>
      <c r="B16347" s="2" t="str">
        <f>IFERROR(__xludf.DUMMYFUNCTION("GOOGLETRANSLATE(A16347, ""de"", ""en"")"),"communism")</f>
        <v>communism</v>
      </c>
    </row>
    <row r="16348">
      <c r="A16348" s="1" t="s">
        <v>16347</v>
      </c>
      <c r="B16348" s="2" t="str">
        <f>IFERROR(__xludf.DUMMYFUNCTION("GOOGLETRANSLATE(A16348, ""de"", ""en"")"),"scientist")</f>
        <v>scientist</v>
      </c>
    </row>
    <row r="16349">
      <c r="A16349" s="1" t="s">
        <v>16348</v>
      </c>
      <c r="B16349" s="2" t="str">
        <f>IFERROR(__xludf.DUMMYFUNCTION("GOOGLETRANSLATE(A16349, ""de"", ""en"")"),"crystals")</f>
        <v>crystals</v>
      </c>
    </row>
    <row r="16350">
      <c r="A16350" s="1" t="s">
        <v>16349</v>
      </c>
      <c r="B16350" s="2" t="str">
        <f>IFERROR(__xludf.DUMMYFUNCTION("GOOGLETRANSLATE(A16350, ""de"", ""en"")"),"sender")</f>
        <v>sender</v>
      </c>
    </row>
    <row r="16351">
      <c r="A16351" s="1" t="s">
        <v>16350</v>
      </c>
      <c r="B16351" s="2" t="str">
        <f>IFERROR(__xludf.DUMMYFUNCTION("GOOGLETRANSLATE(A16351, ""de"", ""en"")"),"come off")</f>
        <v>come off</v>
      </c>
    </row>
    <row r="16352">
      <c r="A16352" s="1" t="s">
        <v>16351</v>
      </c>
      <c r="B16352" s="2" t="str">
        <f>IFERROR(__xludf.DUMMYFUNCTION("GOOGLETRANSLATE(A16352, ""de"", ""en"")"),"read")</f>
        <v>read</v>
      </c>
    </row>
    <row r="16353">
      <c r="A16353" s="1" t="s">
        <v>16352</v>
      </c>
      <c r="B16353" s="2" t="str">
        <f>IFERROR(__xludf.DUMMYFUNCTION("GOOGLETRANSLATE(A16353, ""de"", ""en"")"),"carry out")</f>
        <v>carry out</v>
      </c>
    </row>
    <row r="16354">
      <c r="A16354" s="1" t="s">
        <v>16353</v>
      </c>
      <c r="B16354" s="2" t="str">
        <f>IFERROR(__xludf.DUMMYFUNCTION("GOOGLETRANSLATE(A16354, ""de"", ""en"")"),"police station")</f>
        <v>police station</v>
      </c>
    </row>
    <row r="16355">
      <c r="A16355" s="1" t="s">
        <v>16354</v>
      </c>
      <c r="B16355" s="2" t="str">
        <f>IFERROR(__xludf.DUMMYFUNCTION("GOOGLETRANSLATE(A16355, ""de"", ""en"")"),"Nice")</f>
        <v>Nice</v>
      </c>
    </row>
    <row r="16356">
      <c r="A16356" s="1" t="s">
        <v>16355</v>
      </c>
      <c r="B16356" s="2" t="str">
        <f>IFERROR(__xludf.DUMMYFUNCTION("GOOGLETRANSLATE(A16356, ""de"", ""en"")"),"Cedric")</f>
        <v>Cedric</v>
      </c>
    </row>
    <row r="16357">
      <c r="A16357" s="1" t="s">
        <v>16356</v>
      </c>
      <c r="B16357" s="2" t="str">
        <f>IFERROR(__xludf.DUMMYFUNCTION("GOOGLETRANSLATE(A16357, ""de"", ""en"")"),"rental agreement")</f>
        <v>rental agreement</v>
      </c>
    </row>
    <row r="16358">
      <c r="A16358" s="1" t="s">
        <v>16357</v>
      </c>
      <c r="B16358" s="2" t="str">
        <f>IFERROR(__xludf.DUMMYFUNCTION("GOOGLETRANSLATE(A16358, ""de"", ""en"")"),"sleepy")</f>
        <v>sleepy</v>
      </c>
    </row>
    <row r="16359">
      <c r="A16359" s="1" t="s">
        <v>16358</v>
      </c>
      <c r="B16359" s="2" t="str">
        <f>IFERROR(__xludf.DUMMYFUNCTION("GOOGLETRANSLATE(A16359, ""de"", ""en"")"),"gonzo")</f>
        <v>gonzo</v>
      </c>
    </row>
    <row r="16360">
      <c r="A16360" s="1" t="s">
        <v>16359</v>
      </c>
      <c r="B16360" s="2" t="str">
        <f>IFERROR(__xludf.DUMMYFUNCTION("GOOGLETRANSLATE(A16360, ""de"", ""en"")"),"infect")</f>
        <v>infect</v>
      </c>
    </row>
    <row r="16361">
      <c r="A16361" s="1" t="s">
        <v>16360</v>
      </c>
      <c r="B16361" s="2" t="str">
        <f>IFERROR(__xludf.DUMMYFUNCTION("GOOGLETRANSLATE(A16361, ""de"", ""en"")"),"cramp")</f>
        <v>cramp</v>
      </c>
    </row>
    <row r="16362">
      <c r="A16362" s="1" t="s">
        <v>16361</v>
      </c>
      <c r="B16362" s="2" t="str">
        <f>IFERROR(__xludf.DUMMYFUNCTION("GOOGLETRANSLATE(A16362, ""de"", ""en"")"),"arms dealer")</f>
        <v>arms dealer</v>
      </c>
    </row>
    <row r="16363">
      <c r="A16363" s="1" t="s">
        <v>16362</v>
      </c>
      <c r="B16363" s="2" t="str">
        <f>IFERROR(__xludf.DUMMYFUNCTION("GOOGLETRANSLATE(A16363, ""de"", ""en"")"),"American")</f>
        <v>American</v>
      </c>
    </row>
    <row r="16364">
      <c r="A16364" s="1" t="s">
        <v>16363</v>
      </c>
      <c r="B16364" s="2" t="str">
        <f>IFERROR(__xludf.DUMMYFUNCTION("GOOGLETRANSLATE(A16364, ""de"", ""en"")"),"bus stop")</f>
        <v>bus stop</v>
      </c>
    </row>
    <row r="16365">
      <c r="A16365" s="1" t="s">
        <v>16364</v>
      </c>
      <c r="B16365" s="2" t="str">
        <f>IFERROR(__xludf.DUMMYFUNCTION("GOOGLETRANSLATE(A16365, ""de"", ""en"")"),"first class")</f>
        <v>first class</v>
      </c>
    </row>
    <row r="16366">
      <c r="A16366" s="1" t="s">
        <v>16365</v>
      </c>
      <c r="B16366" s="2" t="str">
        <f>IFERROR(__xludf.DUMMYFUNCTION("GOOGLETRANSLATE(A16366, ""de"", ""en"")"),"gym")</f>
        <v>gym</v>
      </c>
    </row>
    <row r="16367">
      <c r="A16367" s="1" t="s">
        <v>16366</v>
      </c>
      <c r="B16367" s="2" t="str">
        <f>IFERROR(__xludf.DUMMYFUNCTION("GOOGLETRANSLATE(A16367, ""de"", ""en"")"),"humiliating")</f>
        <v>humiliating</v>
      </c>
    </row>
    <row r="16368">
      <c r="A16368" s="1" t="s">
        <v>16367</v>
      </c>
      <c r="B16368" s="2" t="str">
        <f>IFERROR(__xludf.DUMMYFUNCTION("GOOGLETRANSLATE(A16368, ""de"", ""en"")"),"undermine")</f>
        <v>undermine</v>
      </c>
    </row>
    <row r="16369">
      <c r="A16369" s="1" t="s">
        <v>16368</v>
      </c>
      <c r="B16369" s="2" t="str">
        <f>IFERROR(__xludf.DUMMYFUNCTION("GOOGLETRANSLATE(A16369, ""de"", ""en"")"),"funeral service")</f>
        <v>funeral service</v>
      </c>
    </row>
    <row r="16370">
      <c r="A16370" s="1" t="s">
        <v>16369</v>
      </c>
      <c r="B16370" s="2" t="str">
        <f>IFERROR(__xludf.DUMMYFUNCTION("GOOGLETRANSLATE(A16370, ""de"", ""en"")"),"more incredible")</f>
        <v>more incredible</v>
      </c>
    </row>
    <row r="16371">
      <c r="A16371" s="1" t="s">
        <v>16370</v>
      </c>
      <c r="B16371" s="2" t="str">
        <f>IFERROR(__xludf.DUMMYFUNCTION("GOOGLETRANSLATE(A16371, ""de"", ""en"")"),"firing line")</f>
        <v>firing line</v>
      </c>
    </row>
    <row r="16372">
      <c r="A16372" s="1" t="s">
        <v>16371</v>
      </c>
      <c r="B16372" s="2" t="str">
        <f>IFERROR(__xludf.DUMMYFUNCTION("GOOGLETRANSLATE(A16372, ""de"", ""en"")"),"buckingham")</f>
        <v>buckingham</v>
      </c>
    </row>
    <row r="16373">
      <c r="A16373" s="1" t="s">
        <v>16372</v>
      </c>
      <c r="B16373" s="2" t="str">
        <f>IFERROR(__xludf.DUMMYFUNCTION("GOOGLETRANSLATE(A16373, ""de"", ""en"")"),"moonlight")</f>
        <v>moonlight</v>
      </c>
    </row>
    <row r="16374">
      <c r="A16374" s="1" t="s">
        <v>16373</v>
      </c>
      <c r="B16374" s="2" t="str">
        <f>IFERROR(__xludf.DUMMYFUNCTION("GOOGLETRANSLATE(A16374, ""de"", ""en"")"),"forest")</f>
        <v>forest</v>
      </c>
    </row>
    <row r="16375">
      <c r="A16375" s="1" t="s">
        <v>16374</v>
      </c>
      <c r="B16375" s="2" t="str">
        <f>IFERROR(__xludf.DUMMYFUNCTION("GOOGLETRANSLATE(A16375, ""de"", ""en"")"),"tense")</f>
        <v>tense</v>
      </c>
    </row>
    <row r="16376">
      <c r="A16376" s="1" t="s">
        <v>16375</v>
      </c>
      <c r="B16376" s="2" t="str">
        <f>IFERROR(__xludf.DUMMYFUNCTION("GOOGLETRANSLATE(A16376, ""de"", ""en"")"),"injected")</f>
        <v>injected</v>
      </c>
    </row>
    <row r="16377">
      <c r="A16377" s="1" t="s">
        <v>16376</v>
      </c>
      <c r="B16377" s="2" t="str">
        <f>IFERROR(__xludf.DUMMYFUNCTION("GOOGLETRANSLATE(A16377, ""de"", ""en"")"),"count")</f>
        <v>count</v>
      </c>
    </row>
    <row r="16378">
      <c r="A16378" s="1" t="s">
        <v>16377</v>
      </c>
      <c r="B16378" s="2" t="str">
        <f>IFERROR(__xludf.DUMMYFUNCTION("GOOGLETRANSLATE(A16378, ""de"", ""en"")"),"to address")</f>
        <v>to address</v>
      </c>
    </row>
    <row r="16379">
      <c r="A16379" s="1" t="s">
        <v>16378</v>
      </c>
      <c r="B16379" s="2" t="str">
        <f>IFERROR(__xludf.DUMMYFUNCTION("GOOGLETRANSLATE(A16379, ""de"", ""en"")"),"open")</f>
        <v>open</v>
      </c>
    </row>
    <row r="16380">
      <c r="A16380" s="1" t="s">
        <v>16379</v>
      </c>
      <c r="B16380" s="2" t="str">
        <f>IFERROR(__xludf.DUMMYFUNCTION("GOOGLETRANSLATE(A16380, ""de"", ""en"")"),"accept")</f>
        <v>accept</v>
      </c>
    </row>
    <row r="16381">
      <c r="A16381" s="1" t="s">
        <v>16380</v>
      </c>
      <c r="B16381" s="2" t="str">
        <f>IFERROR(__xludf.DUMMYFUNCTION("GOOGLETRANSLATE(A16381, ""de"", ""en"")"),"confessed")</f>
        <v>confessed</v>
      </c>
    </row>
    <row r="16382">
      <c r="A16382" s="1" t="s">
        <v>16381</v>
      </c>
      <c r="B16382" s="2" t="str">
        <f>IFERROR(__xludf.DUMMYFUNCTION("GOOGLETRANSLATE(A16382, ""de"", ""en"")"),"play")</f>
        <v>play</v>
      </c>
    </row>
    <row r="16383">
      <c r="A16383" s="1" t="s">
        <v>16382</v>
      </c>
      <c r="B16383" s="2" t="str">
        <f>IFERROR(__xludf.DUMMYFUNCTION("GOOGLETRANSLATE(A16383, ""de"", ""en"")"),"Budapest")</f>
        <v>Budapest</v>
      </c>
    </row>
    <row r="16384">
      <c r="A16384" s="1" t="s">
        <v>16383</v>
      </c>
      <c r="B16384" s="2" t="str">
        <f>IFERROR(__xludf.DUMMYFUNCTION("GOOGLETRANSLATE(A16384, ""de"", ""en"")"),"to bring with you")</f>
        <v>to bring with you</v>
      </c>
    </row>
    <row r="16385">
      <c r="A16385" s="1" t="s">
        <v>16384</v>
      </c>
      <c r="B16385" s="2" t="str">
        <f>IFERROR(__xludf.DUMMYFUNCTION("GOOGLETRANSLATE(A16385, ""de"", ""en"")"),"siege")</f>
        <v>siege</v>
      </c>
    </row>
    <row r="16386">
      <c r="A16386" s="1" t="s">
        <v>16385</v>
      </c>
      <c r="B16386" s="2" t="str">
        <f>IFERROR(__xludf.DUMMYFUNCTION("GOOGLETRANSLATE(A16386, ""de"", ""en"")"),"statistics")</f>
        <v>statistics</v>
      </c>
    </row>
    <row r="16387">
      <c r="A16387" s="1" t="s">
        <v>16386</v>
      </c>
      <c r="B16387" s="2" t="str">
        <f>IFERROR(__xludf.DUMMYFUNCTION("GOOGLETRANSLATE(A16387, ""de"", ""en"")"),"two")</f>
        <v>two</v>
      </c>
    </row>
    <row r="16388">
      <c r="A16388" s="1" t="s">
        <v>16387</v>
      </c>
      <c r="B16388" s="2" t="str">
        <f>IFERROR(__xludf.DUMMYFUNCTION("GOOGLETRANSLATE(A16388, ""de"", ""en"")"),"efforts")</f>
        <v>efforts</v>
      </c>
    </row>
    <row r="16389">
      <c r="A16389" s="1" t="s">
        <v>16388</v>
      </c>
      <c r="B16389" s="2" t="str">
        <f>IFERROR(__xludf.DUMMYFUNCTION("GOOGLETRANSLATE(A16389, ""de"", ""en"")"),"imposter")</f>
        <v>imposter</v>
      </c>
    </row>
    <row r="16390">
      <c r="A16390" s="1" t="s">
        <v>16389</v>
      </c>
      <c r="B16390" s="2" t="str">
        <f>IFERROR(__xludf.DUMMYFUNCTION("GOOGLETRANSLATE(A16390, ""de"", ""en"")"),"practice")</f>
        <v>practice</v>
      </c>
    </row>
    <row r="16391">
      <c r="A16391" s="1" t="s">
        <v>16390</v>
      </c>
      <c r="B16391" s="2" t="str">
        <f>IFERROR(__xludf.DUMMYFUNCTION("GOOGLETRANSLATE(A16391, ""de"", ""en"")"),"graduation ceremony")</f>
        <v>graduation ceremony</v>
      </c>
    </row>
    <row r="16392">
      <c r="A16392" s="1" t="s">
        <v>16391</v>
      </c>
      <c r="B16392" s="2" t="str">
        <f>IFERROR(__xludf.DUMMYFUNCTION("GOOGLETRANSLATE(A16392, ""de"", ""en"")"),"isolation")</f>
        <v>isolation</v>
      </c>
    </row>
    <row r="16393">
      <c r="A16393" s="1" t="s">
        <v>16392</v>
      </c>
      <c r="B16393" s="2" t="str">
        <f>IFERROR(__xludf.DUMMYFUNCTION("GOOGLETRANSLATE(A16393, ""de"", ""en"")"),"smear")</f>
        <v>smear</v>
      </c>
    </row>
    <row r="16394">
      <c r="A16394" s="1" t="s">
        <v>16393</v>
      </c>
      <c r="B16394" s="2" t="str">
        <f>IFERROR(__xludf.DUMMYFUNCTION("GOOGLETRANSLATE(A16394, ""de"", ""en"")"),"competitors")</f>
        <v>competitors</v>
      </c>
    </row>
    <row r="16395">
      <c r="A16395" s="1" t="s">
        <v>16394</v>
      </c>
      <c r="B16395" s="2" t="str">
        <f>IFERROR(__xludf.DUMMYFUNCTION("GOOGLETRANSLATE(A16395, ""de"", ""en"")"),"nellie")</f>
        <v>nellie</v>
      </c>
    </row>
    <row r="16396">
      <c r="A16396" s="1" t="s">
        <v>16395</v>
      </c>
      <c r="B16396" s="2" t="str">
        <f>IFERROR(__xludf.DUMMYFUNCTION("GOOGLETRANSLATE(A16396, ""de"", ""en"")"),"responsible")</f>
        <v>responsible</v>
      </c>
    </row>
    <row r="16397">
      <c r="A16397" s="1" t="s">
        <v>16396</v>
      </c>
      <c r="B16397" s="2" t="str">
        <f>IFERROR(__xludf.DUMMYFUNCTION("GOOGLETRANSLATE(A16397, ""de"", ""en"")"),"sunbathing")</f>
        <v>sunbathing</v>
      </c>
    </row>
    <row r="16398">
      <c r="A16398" s="1" t="s">
        <v>16397</v>
      </c>
      <c r="B16398" s="2" t="str">
        <f>IFERROR(__xludf.DUMMYFUNCTION("GOOGLETRANSLATE(A16398, ""de"", ""en"")"),"cut through")</f>
        <v>cut through</v>
      </c>
    </row>
    <row r="16399">
      <c r="A16399" s="1" t="s">
        <v>16398</v>
      </c>
      <c r="B16399" s="2" t="str">
        <f>IFERROR(__xludf.DUMMYFUNCTION("GOOGLETRANSLATE(A16399, ""de"", ""en"")"),"sank")</f>
        <v>sank</v>
      </c>
    </row>
    <row r="16400">
      <c r="A16400" s="1" t="s">
        <v>16399</v>
      </c>
      <c r="B16400" s="2" t="str">
        <f>IFERROR(__xludf.DUMMYFUNCTION("GOOGLETRANSLATE(A16400, ""de"", ""en"")"),"useless")</f>
        <v>useless</v>
      </c>
    </row>
    <row r="16401">
      <c r="A16401" s="1" t="s">
        <v>16400</v>
      </c>
      <c r="B16401" s="2" t="str">
        <f>IFERROR(__xludf.DUMMYFUNCTION("GOOGLETRANSLATE(A16401, ""de"", ""en"")"),"comes over")</f>
        <v>comes over</v>
      </c>
    </row>
    <row r="16402">
      <c r="A16402" s="1" t="s">
        <v>16401</v>
      </c>
      <c r="B16402" s="2" t="str">
        <f>IFERROR(__xludf.DUMMYFUNCTION("GOOGLETRANSLATE(A16402, ""de"", ""en"")"),"cooperated")</f>
        <v>cooperated</v>
      </c>
    </row>
    <row r="16403">
      <c r="A16403" s="1" t="s">
        <v>16402</v>
      </c>
      <c r="B16403" s="2" t="str">
        <f>IFERROR(__xludf.DUMMYFUNCTION("GOOGLETRANSLATE(A16403, ""de"", ""en"")"),"lousy")</f>
        <v>lousy</v>
      </c>
    </row>
    <row r="16404">
      <c r="A16404" s="1" t="s">
        <v>16403</v>
      </c>
      <c r="B16404" s="2" t="str">
        <f>IFERROR(__xludf.DUMMYFUNCTION("GOOGLETRANSLATE(A16404, ""de"", ""en"")"),"disney")</f>
        <v>disney</v>
      </c>
    </row>
    <row r="16405">
      <c r="A16405" s="1" t="s">
        <v>16404</v>
      </c>
      <c r="B16405" s="2" t="str">
        <f>IFERROR(__xludf.DUMMYFUNCTION("GOOGLETRANSLATE(A16405, ""de"", ""en"")"),"nightingale")</f>
        <v>nightingale</v>
      </c>
    </row>
    <row r="16406">
      <c r="A16406" s="1" t="s">
        <v>16405</v>
      </c>
      <c r="B16406" s="2" t="str">
        <f>IFERROR(__xludf.DUMMYFUNCTION("GOOGLETRANSLATE(A16406, ""de"", ""en"")"),"stare")</f>
        <v>stare</v>
      </c>
    </row>
    <row r="16407">
      <c r="A16407" s="1" t="s">
        <v>16406</v>
      </c>
      <c r="B16407" s="2" t="str">
        <f>IFERROR(__xludf.DUMMYFUNCTION("GOOGLETRANSLATE(A16407, ""de"", ""en"")"),"undertakes")</f>
        <v>undertakes</v>
      </c>
    </row>
    <row r="16408">
      <c r="A16408" s="1" t="s">
        <v>16407</v>
      </c>
      <c r="B16408" s="2" t="str">
        <f>IFERROR(__xludf.DUMMYFUNCTION("GOOGLETRANSLATE(A16408, ""de"", ""en"")"),"owner")</f>
        <v>owner</v>
      </c>
    </row>
    <row r="16409">
      <c r="A16409" s="1" t="s">
        <v>16408</v>
      </c>
      <c r="B16409" s="2" t="str">
        <f>IFERROR(__xludf.DUMMYFUNCTION("GOOGLETRANSLATE(A16409, ""de"", ""en"")"),"left")</f>
        <v>left</v>
      </c>
    </row>
    <row r="16410">
      <c r="A16410" s="1" t="s">
        <v>16409</v>
      </c>
      <c r="B16410" s="2" t="str">
        <f>IFERROR(__xludf.DUMMYFUNCTION("GOOGLETRANSLATE(A16410, ""de"", ""en"")"),"sort")</f>
        <v>sort</v>
      </c>
    </row>
    <row r="16411">
      <c r="A16411" s="1" t="s">
        <v>16410</v>
      </c>
      <c r="B16411" s="2" t="str">
        <f>IFERROR(__xludf.DUMMYFUNCTION("GOOGLETRANSLATE(A16411, ""de"", ""en"")"),"kel")</f>
        <v>kel</v>
      </c>
    </row>
    <row r="16412">
      <c r="A16412" s="1" t="s">
        <v>16411</v>
      </c>
      <c r="B16412" s="2" t="str">
        <f>IFERROR(__xludf.DUMMYFUNCTION("GOOGLETRANSLATE(A16412, ""de"", ""en"")"),"wires")</f>
        <v>wires</v>
      </c>
    </row>
    <row r="16413">
      <c r="A16413" s="1" t="s">
        <v>16412</v>
      </c>
      <c r="B16413" s="2" t="str">
        <f>IFERROR(__xludf.DUMMYFUNCTION("GOOGLETRANSLATE(A16413, ""de"", ""en"")"),"monkey")</f>
        <v>monkey</v>
      </c>
    </row>
    <row r="16414">
      <c r="A16414" s="1" t="s">
        <v>16413</v>
      </c>
      <c r="B16414" s="2" t="str">
        <f>IFERROR(__xludf.DUMMYFUNCTION("GOOGLETRANSLATE(A16414, ""de"", ""en"")"),"fare")</f>
        <v>fare</v>
      </c>
    </row>
    <row r="16415">
      <c r="A16415" s="1" t="s">
        <v>16414</v>
      </c>
      <c r="B16415" s="2" t="str">
        <f>IFERROR(__xludf.DUMMYFUNCTION("GOOGLETRANSLATE(A16415, ""de"", ""en"")"),"triangle")</f>
        <v>triangle</v>
      </c>
    </row>
    <row r="16416">
      <c r="A16416" s="1" t="s">
        <v>16415</v>
      </c>
      <c r="B16416" s="2" t="str">
        <f>IFERROR(__xludf.DUMMYFUNCTION("GOOGLETRANSLATE(A16416, ""de"", ""en"")"),"fertilizer")</f>
        <v>fertilizer</v>
      </c>
    </row>
    <row r="16417">
      <c r="A16417" s="1" t="s">
        <v>16416</v>
      </c>
      <c r="B16417" s="2" t="str">
        <f>IFERROR(__xludf.DUMMYFUNCTION("GOOGLETRANSLATE(A16417, ""de"", ""en"")"),"task")</f>
        <v>task</v>
      </c>
    </row>
    <row r="16418">
      <c r="A16418" s="1" t="s">
        <v>16417</v>
      </c>
      <c r="B16418" s="2" t="str">
        <f>IFERROR(__xludf.DUMMYFUNCTION("GOOGLETRANSLATE(A16418, ""de"", ""en"")"),"to take part")</f>
        <v>to take part</v>
      </c>
    </row>
    <row r="16419">
      <c r="A16419" s="1" t="s">
        <v>16418</v>
      </c>
      <c r="B16419" s="2" t="str">
        <f>IFERROR(__xludf.DUMMYFUNCTION("GOOGLETRANSLATE(A16419, ""de"", ""en"")"),"vinegar")</f>
        <v>vinegar</v>
      </c>
    </row>
    <row r="16420">
      <c r="A16420" s="1" t="s">
        <v>16419</v>
      </c>
      <c r="B16420" s="2" t="str">
        <f>IFERROR(__xludf.DUMMYFUNCTION("GOOGLETRANSLATE(A16420, ""de"", ""en"")"),"lung")</f>
        <v>lung</v>
      </c>
    </row>
    <row r="16421">
      <c r="A16421" s="1" t="s">
        <v>16420</v>
      </c>
      <c r="B16421" s="2" t="str">
        <f>IFERROR(__xludf.DUMMYFUNCTION("GOOGLETRANSLATE(A16421, ""de"", ""en"")"),"better")</f>
        <v>better</v>
      </c>
    </row>
    <row r="16422">
      <c r="A16422" s="1" t="s">
        <v>16421</v>
      </c>
      <c r="B16422" s="2" t="str">
        <f>IFERROR(__xludf.DUMMYFUNCTION("GOOGLETRANSLATE(A16422, ""de"", ""en"")"),"attached")</f>
        <v>attached</v>
      </c>
    </row>
    <row r="16423">
      <c r="A16423" s="1" t="s">
        <v>16422</v>
      </c>
      <c r="B16423" s="2" t="str">
        <f>IFERROR(__xludf.DUMMYFUNCTION("GOOGLETRANSLATE(A16423, ""de"", ""en"")"),"cut")</f>
        <v>cut</v>
      </c>
    </row>
    <row r="16424">
      <c r="A16424" s="1" t="s">
        <v>16423</v>
      </c>
      <c r="B16424" s="2" t="str">
        <f>IFERROR(__xludf.DUMMYFUNCTION("GOOGLETRANSLATE(A16424, ""de"", ""en"")"),"assumed")</f>
        <v>assumed</v>
      </c>
    </row>
    <row r="16425">
      <c r="A16425" s="1" t="s">
        <v>16424</v>
      </c>
      <c r="B16425" s="2" t="str">
        <f>IFERROR(__xludf.DUMMYFUNCTION("GOOGLETRANSLATE(A16425, ""de"", ""en"")"),"stressful")</f>
        <v>stressful</v>
      </c>
    </row>
    <row r="16426">
      <c r="A16426" s="1" t="s">
        <v>16425</v>
      </c>
      <c r="B16426" s="2" t="str">
        <f>IFERROR(__xludf.DUMMYFUNCTION("GOOGLETRANSLATE(A16426, ""de"", ""en"")"),"white wine")</f>
        <v>white wine</v>
      </c>
    </row>
    <row r="16427">
      <c r="A16427" s="1" t="s">
        <v>16426</v>
      </c>
      <c r="B16427" s="2" t="str">
        <f>IFERROR(__xludf.DUMMYFUNCTION("GOOGLETRANSLATE(A16427, ""de"", ""en"")"),"ewing")</f>
        <v>ewing</v>
      </c>
    </row>
    <row r="16428">
      <c r="A16428" s="1" t="s">
        <v>16427</v>
      </c>
      <c r="B16428" s="2" t="str">
        <f>IFERROR(__xludf.DUMMYFUNCTION("GOOGLETRANSLATE(A16428, ""de"", ""en"")"),"mandrel")</f>
        <v>mandrel</v>
      </c>
    </row>
    <row r="16429">
      <c r="A16429" s="1" t="s">
        <v>16428</v>
      </c>
      <c r="B16429" s="2" t="str">
        <f>IFERROR(__xludf.DUMMYFUNCTION("GOOGLETRANSLATE(A16429, ""de"", ""en"")"),"addendum")</f>
        <v>addendum</v>
      </c>
    </row>
    <row r="16430">
      <c r="A16430" s="1" t="s">
        <v>16429</v>
      </c>
      <c r="B16430" s="2" t="str">
        <f>IFERROR(__xludf.DUMMYFUNCTION("GOOGLETRANSLATE(A16430, ""de"", ""en"")"),"box")</f>
        <v>box</v>
      </c>
    </row>
    <row r="16431">
      <c r="A16431" s="1" t="s">
        <v>16430</v>
      </c>
      <c r="B16431" s="2" t="str">
        <f>IFERROR(__xludf.DUMMYFUNCTION("GOOGLETRANSLATE(A16431, ""de"", ""en"")"),"maximum")</f>
        <v>maximum</v>
      </c>
    </row>
    <row r="16432">
      <c r="A16432" s="1" t="s">
        <v>16431</v>
      </c>
      <c r="B16432" s="2" t="str">
        <f>IFERROR(__xludf.DUMMYFUNCTION("GOOGLETRANSLATE(A16432, ""de"", ""en"")"),"permanent")</f>
        <v>permanent</v>
      </c>
    </row>
    <row r="16433">
      <c r="A16433" s="1" t="s">
        <v>16432</v>
      </c>
      <c r="B16433" s="2" t="str">
        <f>IFERROR(__xludf.DUMMYFUNCTION("GOOGLETRANSLATE(A16433, ""de"", ""en"")"),"dictionary")</f>
        <v>dictionary</v>
      </c>
    </row>
    <row r="16434">
      <c r="A16434" s="1" t="s">
        <v>16433</v>
      </c>
      <c r="B16434" s="2" t="str">
        <f>IFERROR(__xludf.DUMMYFUNCTION("GOOGLETRANSLATE(A16434, ""de"", ""en"")"),"Deborah")</f>
        <v>Deborah</v>
      </c>
    </row>
    <row r="16435">
      <c r="A16435" s="1" t="s">
        <v>16434</v>
      </c>
      <c r="B16435" s="2" t="str">
        <f>IFERROR(__xludf.DUMMYFUNCTION("GOOGLETRANSLATE(A16435, ""de"", ""en"")"),"wolfe")</f>
        <v>wolfe</v>
      </c>
    </row>
    <row r="16436">
      <c r="A16436" s="1" t="s">
        <v>16435</v>
      </c>
      <c r="B16436" s="2" t="str">
        <f>IFERROR(__xludf.DUMMYFUNCTION("GOOGLETRANSLATE(A16436, ""de"", ""en"")"),"Soviet")</f>
        <v>Soviet</v>
      </c>
    </row>
    <row r="16437">
      <c r="A16437" s="1" t="s">
        <v>16436</v>
      </c>
      <c r="B16437" s="2" t="str">
        <f>IFERROR(__xludf.DUMMYFUNCTION("GOOGLETRANSLATE(A16437, ""de"", ""en"")"),"red herring")</f>
        <v>red herring</v>
      </c>
    </row>
    <row r="16438">
      <c r="A16438" s="1" t="s">
        <v>16437</v>
      </c>
      <c r="B16438" s="2" t="str">
        <f>IFERROR(__xludf.DUMMYFUNCTION("GOOGLETRANSLATE(A16438, ""de"", ""en"")"),"closest")</f>
        <v>closest</v>
      </c>
    </row>
    <row r="16439">
      <c r="A16439" s="1" t="s">
        <v>16438</v>
      </c>
      <c r="B16439" s="2" t="str">
        <f>IFERROR(__xludf.DUMMYFUNCTION("GOOGLETRANSLATE(A16439, ""de"", ""en"")"),"joined")</f>
        <v>joined</v>
      </c>
    </row>
    <row r="16440">
      <c r="A16440" s="1" t="s">
        <v>16439</v>
      </c>
      <c r="B16440" s="2" t="str">
        <f>IFERROR(__xludf.DUMMYFUNCTION("GOOGLETRANSLATE(A16440, ""de"", ""en"")"),"second")</f>
        <v>second</v>
      </c>
    </row>
    <row r="16441">
      <c r="A16441" s="1" t="s">
        <v>16440</v>
      </c>
      <c r="B16441" s="2" t="str">
        <f>IFERROR(__xludf.DUMMYFUNCTION("GOOGLETRANSLATE(A16441, ""de"", ""en"")"),"buttons")</f>
        <v>buttons</v>
      </c>
    </row>
    <row r="16442">
      <c r="A16442" s="1" t="s">
        <v>16441</v>
      </c>
      <c r="B16442" s="2" t="str">
        <f>IFERROR(__xludf.DUMMYFUNCTION("GOOGLETRANSLATE(A16442, ""de"", ""en"")"),"posted")</f>
        <v>posted</v>
      </c>
    </row>
    <row r="16443">
      <c r="A16443" s="1" t="s">
        <v>16442</v>
      </c>
      <c r="B16443" s="2" t="str">
        <f>IFERROR(__xludf.DUMMYFUNCTION("GOOGLETRANSLATE(A16443, ""de"", ""en"")"),"ro")</f>
        <v>ro</v>
      </c>
    </row>
    <row r="16444">
      <c r="A16444" s="1" t="s">
        <v>16443</v>
      </c>
      <c r="B16444" s="2" t="str">
        <f>IFERROR(__xludf.DUMMYFUNCTION("GOOGLETRANSLATE(A16444, ""de"", ""en"")"),"did")</f>
        <v>did</v>
      </c>
    </row>
    <row r="16445">
      <c r="A16445" s="1" t="s">
        <v>16444</v>
      </c>
      <c r="B16445" s="2" t="str">
        <f>IFERROR(__xludf.DUMMYFUNCTION("GOOGLETRANSLATE(A16445, ""de"", ""en"")"),"visited")</f>
        <v>visited</v>
      </c>
    </row>
    <row r="16446">
      <c r="A16446" s="1" t="s">
        <v>16445</v>
      </c>
      <c r="B16446" s="2" t="str">
        <f>IFERROR(__xludf.DUMMYFUNCTION("GOOGLETRANSLATE(A16446, ""de"", ""en"")"),"burning")</f>
        <v>burning</v>
      </c>
    </row>
    <row r="16447">
      <c r="A16447" s="1" t="s">
        <v>16446</v>
      </c>
      <c r="B16447" s="2" t="str">
        <f>IFERROR(__xludf.DUMMYFUNCTION("GOOGLETRANSLATE(A16447, ""de"", ""en"")"),"ugh")</f>
        <v>ugh</v>
      </c>
    </row>
    <row r="16448">
      <c r="A16448" s="1" t="s">
        <v>16447</v>
      </c>
      <c r="B16448" s="2" t="str">
        <f>IFERROR(__xludf.DUMMYFUNCTION("GOOGLETRANSLATE(A16448, ""de"", ""en"")"),"chemist")</f>
        <v>chemist</v>
      </c>
    </row>
    <row r="16449">
      <c r="A16449" s="1" t="s">
        <v>16448</v>
      </c>
      <c r="B16449" s="2" t="str">
        <f>IFERROR(__xludf.DUMMYFUNCTION("GOOGLETRANSLATE(A16449, ""de"", ""en"")"),"yesterday")</f>
        <v>yesterday</v>
      </c>
    </row>
    <row r="16450">
      <c r="A16450" s="1" t="s">
        <v>16449</v>
      </c>
      <c r="B16450" s="2" t="str">
        <f>IFERROR(__xludf.DUMMYFUNCTION("GOOGLETRANSLATE(A16450, ""de"", ""en"")"),"shepard")</f>
        <v>shepard</v>
      </c>
    </row>
    <row r="16451">
      <c r="A16451" s="1" t="s">
        <v>16450</v>
      </c>
      <c r="B16451" s="2" t="str">
        <f>IFERROR(__xludf.DUMMYFUNCTION("GOOGLETRANSLATE(A16451, ""de"", ""en"")"),"Joanie")</f>
        <v>Joanie</v>
      </c>
    </row>
    <row r="16452">
      <c r="A16452" s="1" t="s">
        <v>16451</v>
      </c>
      <c r="B16452" s="2" t="str">
        <f>IFERROR(__xludf.DUMMYFUNCTION("GOOGLETRANSLATE(A16452, ""de"", ""en"")"),"swing")</f>
        <v>swing</v>
      </c>
    </row>
    <row r="16453">
      <c r="A16453" s="1" t="s">
        <v>16452</v>
      </c>
      <c r="B16453" s="2" t="str">
        <f>IFERROR(__xludf.DUMMYFUNCTION("GOOGLETRANSLATE(A16453, ""de"", ""en"")"),"twist")</f>
        <v>twist</v>
      </c>
    </row>
    <row r="16454">
      <c r="A16454" s="1" t="s">
        <v>16453</v>
      </c>
      <c r="B16454" s="2" t="str">
        <f>IFERROR(__xludf.DUMMYFUNCTION("GOOGLETRANSLATE(A16454, ""de"", ""en"")"),"brock")</f>
        <v>brock</v>
      </c>
    </row>
    <row r="16455">
      <c r="A16455" s="1" t="s">
        <v>16454</v>
      </c>
      <c r="B16455" s="2" t="str">
        <f>IFERROR(__xludf.DUMMYFUNCTION("GOOGLETRANSLATE(A16455, ""de"", ""en"")"),"minor")</f>
        <v>minor</v>
      </c>
    </row>
    <row r="16456">
      <c r="A16456" s="1" t="s">
        <v>16455</v>
      </c>
      <c r="B16456" s="2" t="str">
        <f>IFERROR(__xludf.DUMMYFUNCTION("GOOGLETRANSLATE(A16456, ""de"", ""en"")"),"approach")</f>
        <v>approach</v>
      </c>
    </row>
    <row r="16457">
      <c r="A16457" s="1" t="s">
        <v>16456</v>
      </c>
      <c r="B16457" s="2" t="str">
        <f>IFERROR(__xludf.DUMMYFUNCTION("GOOGLETRANSLATE(A16457, ""de"", ""en"")"),"Melbourne")</f>
        <v>Melbourne</v>
      </c>
    </row>
    <row r="16458">
      <c r="A16458" s="1" t="s">
        <v>16457</v>
      </c>
      <c r="B16458" s="2" t="str">
        <f>IFERROR(__xludf.DUMMYFUNCTION("GOOGLETRANSLATE(A16458, ""de"", ""en"")"),"abnormal")</f>
        <v>abnormal</v>
      </c>
    </row>
    <row r="16459">
      <c r="A16459" s="1" t="s">
        <v>16458</v>
      </c>
      <c r="B16459" s="2" t="str">
        <f>IFERROR(__xludf.DUMMYFUNCTION("GOOGLETRANSLATE(A16459, ""de"", ""en"")"),"considerate")</f>
        <v>considerate</v>
      </c>
    </row>
    <row r="16460">
      <c r="A16460" s="1" t="s">
        <v>16459</v>
      </c>
      <c r="B16460" s="2" t="str">
        <f>IFERROR(__xludf.DUMMYFUNCTION("GOOGLETRANSLATE(A16460, ""de"", ""en"")"),"bitch")</f>
        <v>bitch</v>
      </c>
    </row>
    <row r="16461">
      <c r="A16461" s="1" t="s">
        <v>16460</v>
      </c>
      <c r="B16461" s="2" t="str">
        <f>IFERROR(__xludf.DUMMYFUNCTION("GOOGLETRANSLATE(A16461, ""de"", ""en"")"),"inferior")</f>
        <v>inferior</v>
      </c>
    </row>
    <row r="16462">
      <c r="A16462" s="1" t="s">
        <v>16461</v>
      </c>
      <c r="B16462" s="2" t="str">
        <f>IFERROR(__xludf.DUMMYFUNCTION("GOOGLETRANSLATE(A16462, ""de"", ""en"")"),"double")</f>
        <v>double</v>
      </c>
    </row>
    <row r="16463">
      <c r="A16463" s="1" t="s">
        <v>16462</v>
      </c>
      <c r="B16463" s="2" t="str">
        <f>IFERROR(__xludf.DUMMYFUNCTION("GOOGLETRANSLATE(A16463, ""de"", ""en"")"),"fabulous")</f>
        <v>fabulous</v>
      </c>
    </row>
    <row r="16464">
      <c r="A16464" s="1" t="s">
        <v>16463</v>
      </c>
      <c r="B16464" s="2" t="str">
        <f>IFERROR(__xludf.DUMMYFUNCTION("GOOGLETRANSLATE(A16464, ""de"", ""en"")"),"to break in")</f>
        <v>to break in</v>
      </c>
    </row>
    <row r="16465">
      <c r="A16465" s="1" t="s">
        <v>16464</v>
      </c>
      <c r="B16465" s="2" t="str">
        <f>IFERROR(__xludf.DUMMYFUNCTION("GOOGLETRANSLATE(A16465, ""de"", ""en"")"),"violent")</f>
        <v>violent</v>
      </c>
    </row>
    <row r="16466">
      <c r="A16466" s="1" t="s">
        <v>16465</v>
      </c>
      <c r="B16466" s="2" t="str">
        <f>IFERROR(__xludf.DUMMYFUNCTION("GOOGLETRANSLATE(A16466, ""de"", ""en"")"),"boring")</f>
        <v>boring</v>
      </c>
    </row>
    <row r="16467">
      <c r="A16467" s="1" t="s">
        <v>16466</v>
      </c>
      <c r="B16467" s="2" t="str">
        <f>IFERROR(__xludf.DUMMYFUNCTION("GOOGLETRANSLATE(A16467, ""de"", ""en"")"),"brat")</f>
        <v>brat</v>
      </c>
    </row>
    <row r="16468">
      <c r="A16468" s="1" t="s">
        <v>16467</v>
      </c>
      <c r="B16468" s="2" t="str">
        <f>IFERROR(__xludf.DUMMYFUNCTION("GOOGLETRANSLATE(A16468, ""de"", ""en"")"),"guidelines")</f>
        <v>guidelines</v>
      </c>
    </row>
    <row r="16469">
      <c r="A16469" s="1" t="s">
        <v>16468</v>
      </c>
      <c r="B16469" s="2" t="str">
        <f>IFERROR(__xludf.DUMMYFUNCTION("GOOGLETRANSLATE(A16469, ""de"", ""en"")"),"ruin")</f>
        <v>ruin</v>
      </c>
    </row>
    <row r="16470">
      <c r="A16470" s="1" t="s">
        <v>16469</v>
      </c>
      <c r="B16470" s="2" t="str">
        <f>IFERROR(__xludf.DUMMYFUNCTION("GOOGLETRANSLATE(A16470, ""de"", ""en"")"),"perspective")</f>
        <v>perspective</v>
      </c>
    </row>
    <row r="16471">
      <c r="A16471" s="1" t="s">
        <v>16470</v>
      </c>
      <c r="B16471" s="2" t="str">
        <f>IFERROR(__xludf.DUMMYFUNCTION("GOOGLETRANSLATE(A16471, ""de"", ""en"")"),"happiest")</f>
        <v>happiest</v>
      </c>
    </row>
    <row r="16472">
      <c r="A16472" s="1" t="s">
        <v>16471</v>
      </c>
      <c r="B16472" s="2" t="str">
        <f>IFERROR(__xludf.DUMMYFUNCTION("GOOGLETRANSLATE(A16472, ""de"", ""en"")"),"unpacked")</f>
        <v>unpacked</v>
      </c>
    </row>
    <row r="16473">
      <c r="A16473" s="1" t="s">
        <v>16472</v>
      </c>
      <c r="B16473" s="2" t="str">
        <f>IFERROR(__xludf.DUMMYFUNCTION("GOOGLETRANSLATE(A16473, ""de"", ""en"")"),"aliases")</f>
        <v>aliases</v>
      </c>
    </row>
    <row r="16474">
      <c r="A16474" s="1" t="s">
        <v>16473</v>
      </c>
      <c r="B16474" s="2" t="str">
        <f>IFERROR(__xludf.DUMMYFUNCTION("GOOGLETRANSLATE(A16474, ""de"", ""en"")"),"maxim")</f>
        <v>maxim</v>
      </c>
    </row>
    <row r="16475">
      <c r="A16475" s="1" t="s">
        <v>16474</v>
      </c>
      <c r="B16475" s="2" t="str">
        <f>IFERROR(__xludf.DUMMYFUNCTION("GOOGLETRANSLATE(A16475, ""de"", ""en"")"),"stupid")</f>
        <v>stupid</v>
      </c>
    </row>
    <row r="16476">
      <c r="A16476" s="1" t="s">
        <v>16475</v>
      </c>
      <c r="B16476" s="2" t="str">
        <f>IFERROR(__xludf.DUMMYFUNCTION("GOOGLETRANSLATE(A16476, ""de"", ""en"")"),"materials")</f>
        <v>materials</v>
      </c>
    </row>
    <row r="16477">
      <c r="A16477" s="1" t="s">
        <v>16476</v>
      </c>
      <c r="B16477" s="2" t="str">
        <f>IFERROR(__xludf.DUMMYFUNCTION("GOOGLETRANSLATE(A16477, ""de"", ""en"")"),"francs")</f>
        <v>francs</v>
      </c>
    </row>
    <row r="16478">
      <c r="A16478" s="1" t="s">
        <v>16477</v>
      </c>
      <c r="B16478" s="2" t="str">
        <f>IFERROR(__xludf.DUMMYFUNCTION("GOOGLETRANSLATE(A16478, ""de"", ""en"")"),"leopards")</f>
        <v>leopards</v>
      </c>
    </row>
    <row r="16479">
      <c r="A16479" s="1" t="s">
        <v>16478</v>
      </c>
      <c r="B16479" s="2" t="str">
        <f>IFERROR(__xludf.DUMMYFUNCTION("GOOGLETRANSLATE(A16479, ""de"", ""en"")"),"disappoint")</f>
        <v>disappoint</v>
      </c>
    </row>
    <row r="16480">
      <c r="A16480" s="1" t="s">
        <v>16479</v>
      </c>
      <c r="B16480" s="2" t="str">
        <f>IFERROR(__xludf.DUMMYFUNCTION("GOOGLETRANSLATE(A16480, ""de"", ""en"")"),"carry on")</f>
        <v>carry on</v>
      </c>
    </row>
    <row r="16481">
      <c r="A16481" s="1" t="s">
        <v>16480</v>
      </c>
      <c r="B16481" s="2" t="str">
        <f>IFERROR(__xludf.DUMMYFUNCTION("GOOGLETRANSLATE(A16481, ""de"", ""en"")"),"assessed")</f>
        <v>assessed</v>
      </c>
    </row>
    <row r="16482">
      <c r="A16482" s="1" t="s">
        <v>16481</v>
      </c>
      <c r="B16482" s="2" t="str">
        <f>IFERROR(__xludf.DUMMYFUNCTION("GOOGLETRANSLATE(A16482, ""de"", ""en"")"),"usually")</f>
        <v>usually</v>
      </c>
    </row>
    <row r="16483">
      <c r="A16483" s="1" t="s">
        <v>16482</v>
      </c>
      <c r="B16483" s="2" t="str">
        <f>IFERROR(__xludf.DUMMYFUNCTION("GOOGLETRANSLATE(A16483, ""de"", ""en"")"),"claim")</f>
        <v>claim</v>
      </c>
    </row>
    <row r="16484">
      <c r="A16484" s="1" t="s">
        <v>16483</v>
      </c>
      <c r="B16484" s="2" t="str">
        <f>IFERROR(__xludf.DUMMYFUNCTION("GOOGLETRANSLATE(A16484, ""de"", ""en"")"),"hmm-hmm")</f>
        <v>hmm-hmm</v>
      </c>
    </row>
    <row r="16485">
      <c r="A16485" s="1" t="s">
        <v>16484</v>
      </c>
      <c r="B16485" s="2" t="str">
        <f>IFERROR(__xludf.DUMMYFUNCTION("GOOGLETRANSLATE(A16485, ""de"", ""en"")"),"wallet")</f>
        <v>wallet</v>
      </c>
    </row>
    <row r="16486">
      <c r="A16486" s="1" t="s">
        <v>16485</v>
      </c>
      <c r="B16486" s="2" t="str">
        <f>IFERROR(__xludf.DUMMYFUNCTION("GOOGLETRANSLATE(A16486, ""de"", ""en"")"),"jor-el")</f>
        <v>jor-el</v>
      </c>
    </row>
    <row r="16487">
      <c r="A16487" s="1" t="s">
        <v>16486</v>
      </c>
      <c r="B16487" s="2" t="str">
        <f>IFERROR(__xludf.DUMMYFUNCTION("GOOGLETRANSLATE(A16487, ""de"", ""en"")"),"maddox")</f>
        <v>maddox</v>
      </c>
    </row>
    <row r="16488">
      <c r="A16488" s="1" t="s">
        <v>16487</v>
      </c>
      <c r="B16488" s="2" t="str">
        <f>IFERROR(__xludf.DUMMYFUNCTION("GOOGLETRANSLATE(A16488, ""de"", ""en"")"),"infidelity")</f>
        <v>infidelity</v>
      </c>
    </row>
    <row r="16489">
      <c r="A16489" s="1" t="s">
        <v>16488</v>
      </c>
      <c r="B16489" s="2" t="str">
        <f>IFERROR(__xludf.DUMMYFUNCTION("GOOGLETRANSLATE(A16489, ""de"", ""en"")"),"cutter")</f>
        <v>cutter</v>
      </c>
    </row>
    <row r="16490">
      <c r="A16490" s="1" t="s">
        <v>16489</v>
      </c>
      <c r="B16490" s="2" t="str">
        <f>IFERROR(__xludf.DUMMYFUNCTION("GOOGLETRANSLATE(A16490, ""de"", ""en"")"),"last")</f>
        <v>last</v>
      </c>
    </row>
    <row r="16491">
      <c r="A16491" s="1" t="s">
        <v>16490</v>
      </c>
      <c r="B16491" s="2" t="str">
        <f>IFERROR(__xludf.DUMMYFUNCTION("GOOGLETRANSLATE(A16491, ""de"", ""en"")"),"clans")</f>
        <v>clans</v>
      </c>
    </row>
    <row r="16492">
      <c r="A16492" s="1" t="s">
        <v>16491</v>
      </c>
      <c r="B16492" s="2" t="str">
        <f>IFERROR(__xludf.DUMMYFUNCTION("GOOGLETRANSLATE(A16492, ""de"", ""en"")"),"mom")</f>
        <v>mom</v>
      </c>
    </row>
    <row r="16493">
      <c r="A16493" s="1" t="s">
        <v>16492</v>
      </c>
      <c r="B16493" s="2" t="str">
        <f>IFERROR(__xludf.DUMMYFUNCTION("GOOGLETRANSLATE(A16493, ""de"", ""en"")"),"wash up")</f>
        <v>wash up</v>
      </c>
    </row>
    <row r="16494">
      <c r="A16494" s="1" t="s">
        <v>16493</v>
      </c>
      <c r="B16494" s="2" t="str">
        <f>IFERROR(__xludf.DUMMYFUNCTION("GOOGLETRANSLATE(A16494, ""de"", ""en"")"),"stole")</f>
        <v>stole</v>
      </c>
    </row>
    <row r="16495">
      <c r="A16495" s="1" t="s">
        <v>16494</v>
      </c>
      <c r="B16495" s="2" t="str">
        <f>IFERROR(__xludf.DUMMYFUNCTION("GOOGLETRANSLATE(A16495, ""de"", ""en"")"),"billionaire")</f>
        <v>billionaire</v>
      </c>
    </row>
    <row r="16496">
      <c r="A16496" s="1" t="s">
        <v>16495</v>
      </c>
      <c r="B16496" s="2" t="str">
        <f>IFERROR(__xludf.DUMMYFUNCTION("GOOGLETRANSLATE(A16496, ""de"", ""en"")"),"button")</f>
        <v>button</v>
      </c>
    </row>
    <row r="16497">
      <c r="A16497" s="1" t="s">
        <v>16496</v>
      </c>
      <c r="B16497" s="2" t="str">
        <f>IFERROR(__xludf.DUMMYFUNCTION("GOOGLETRANSLATE(A16497, ""de"", ""en"")"),"event")</f>
        <v>event</v>
      </c>
    </row>
    <row r="16498">
      <c r="A16498" s="1" t="s">
        <v>16497</v>
      </c>
      <c r="B16498" s="2" t="str">
        <f>IFERROR(__xludf.DUMMYFUNCTION("GOOGLETRANSLATE(A16498, ""de"", ""en"")"),"coped")</f>
        <v>coped</v>
      </c>
    </row>
    <row r="16499">
      <c r="A16499" s="1" t="s">
        <v>16498</v>
      </c>
      <c r="B16499" s="2" t="str">
        <f>IFERROR(__xludf.DUMMYFUNCTION("GOOGLETRANSLATE(A16499, ""de"", ""en"")"),"wameru")</f>
        <v>wameru</v>
      </c>
    </row>
    <row r="16500">
      <c r="A16500" s="1" t="s">
        <v>16499</v>
      </c>
      <c r="B16500" s="2" t="str">
        <f>IFERROR(__xludf.DUMMYFUNCTION("GOOGLETRANSLATE(A16500, ""de"", ""en"")"),"emily")</f>
        <v>emily</v>
      </c>
    </row>
    <row r="16501">
      <c r="A16501" s="1" t="s">
        <v>16500</v>
      </c>
      <c r="B16501" s="2" t="str">
        <f>IFERROR(__xludf.DUMMYFUNCTION("GOOGLETRANSLATE(A16501, ""de"", ""en"")"),"ram")</f>
        <v>ram</v>
      </c>
    </row>
    <row r="16502">
      <c r="A16502" s="1" t="s">
        <v>16501</v>
      </c>
      <c r="B16502" s="2" t="str">
        <f>IFERROR(__xludf.DUMMYFUNCTION("GOOGLETRANSLATE(A16502, ""de"", ""en"")"),"view")</f>
        <v>view</v>
      </c>
    </row>
    <row r="16503">
      <c r="A16503" s="1" t="s">
        <v>16502</v>
      </c>
      <c r="B16503" s="2" t="str">
        <f>IFERROR(__xludf.DUMMYFUNCTION("GOOGLETRANSLATE(A16503, ""de"", ""en"")"),"can")</f>
        <v>can</v>
      </c>
    </row>
    <row r="16504">
      <c r="A16504" s="1" t="s">
        <v>16503</v>
      </c>
      <c r="B16504" s="2" t="str">
        <f>IFERROR(__xludf.DUMMYFUNCTION("GOOGLETRANSLATE(A16504, ""de"", ""en"")"),"70s")</f>
        <v>70s</v>
      </c>
    </row>
    <row r="16505">
      <c r="A16505" s="1" t="s">
        <v>16504</v>
      </c>
      <c r="B16505" s="2" t="str">
        <f>IFERROR(__xludf.DUMMYFUNCTION("GOOGLETRANSLATE(A16505, ""de"", ""en"")"),"Denis")</f>
        <v>Denis</v>
      </c>
    </row>
    <row r="16506">
      <c r="A16506" s="1" t="s">
        <v>16505</v>
      </c>
      <c r="B16506" s="2" t="str">
        <f>IFERROR(__xludf.DUMMYFUNCTION("GOOGLETRANSLATE(A16506, ""de"", ""en"")"),"marissa")</f>
        <v>marissa</v>
      </c>
    </row>
    <row r="16507">
      <c r="A16507" s="1" t="s">
        <v>16506</v>
      </c>
      <c r="B16507" s="2" t="str">
        <f>IFERROR(__xludf.DUMMYFUNCTION("GOOGLETRANSLATE(A16507, ""de"", ""en"")"),"muscle")</f>
        <v>muscle</v>
      </c>
    </row>
    <row r="16508">
      <c r="A16508" s="1" t="s">
        <v>16507</v>
      </c>
      <c r="B16508" s="2" t="str">
        <f>IFERROR(__xludf.DUMMYFUNCTION("GOOGLETRANSLATE(A16508, ""de"", ""en"")"),"regrets")</f>
        <v>regrets</v>
      </c>
    </row>
    <row r="16509">
      <c r="A16509" s="1" t="s">
        <v>16508</v>
      </c>
      <c r="B16509" s="2" t="str">
        <f>IFERROR(__xludf.DUMMYFUNCTION("GOOGLETRANSLATE(A16509, ""de"", ""en"")"),"says")</f>
        <v>says</v>
      </c>
    </row>
    <row r="16510">
      <c r="A16510" s="1" t="s">
        <v>16509</v>
      </c>
      <c r="B16510" s="2" t="str">
        <f>IFERROR(__xludf.DUMMYFUNCTION("GOOGLETRANSLATE(A16510, ""de"", ""en"")"),"noticed")</f>
        <v>noticed</v>
      </c>
    </row>
    <row r="16511">
      <c r="A16511" s="1" t="s">
        <v>16510</v>
      </c>
      <c r="B16511" s="2" t="str">
        <f>IFERROR(__xludf.DUMMYFUNCTION("GOOGLETRANSLATE(A16511, ""de"", ""en"")"),"Baldwin")</f>
        <v>Baldwin</v>
      </c>
    </row>
    <row r="16512">
      <c r="A16512" s="1" t="s">
        <v>16511</v>
      </c>
      <c r="B16512" s="2" t="str">
        <f>IFERROR(__xludf.DUMMYFUNCTION("GOOGLETRANSLATE(A16512, ""de"", ""en"")"),"workers")</f>
        <v>workers</v>
      </c>
    </row>
    <row r="16513">
      <c r="A16513" s="1" t="s">
        <v>16512</v>
      </c>
      <c r="B16513" s="2" t="str">
        <f>IFERROR(__xludf.DUMMYFUNCTION("GOOGLETRANSLATE(A16513, ""de"", ""en"")"),"Hebrew")</f>
        <v>Hebrew</v>
      </c>
    </row>
    <row r="16514">
      <c r="A16514" s="1" t="s">
        <v>16513</v>
      </c>
      <c r="B16514" s="2" t="str">
        <f>IFERROR(__xludf.DUMMYFUNCTION("GOOGLETRANSLATE(A16514, ""de"", ""en"")"),"Dietrich")</f>
        <v>Dietrich</v>
      </c>
    </row>
    <row r="16515">
      <c r="A16515" s="1" t="s">
        <v>16514</v>
      </c>
      <c r="B16515" s="2" t="str">
        <f>IFERROR(__xludf.DUMMYFUNCTION("GOOGLETRANSLATE(A16515, ""de"", ""en"")"),"Wessex")</f>
        <v>Wessex</v>
      </c>
    </row>
    <row r="16516">
      <c r="A16516" s="1" t="s">
        <v>16515</v>
      </c>
      <c r="B16516" s="2" t="str">
        <f>IFERROR(__xludf.DUMMYFUNCTION("GOOGLETRANSLATE(A16516, ""de"", ""en"")"),"resolution")</f>
        <v>resolution</v>
      </c>
    </row>
    <row r="16517">
      <c r="A16517" s="1" t="s">
        <v>16516</v>
      </c>
      <c r="B16517" s="2" t="str">
        <f>IFERROR(__xludf.DUMMYFUNCTION("GOOGLETRANSLATE(A16517, ""de"", ""en"")"),"angelica")</f>
        <v>angelica</v>
      </c>
    </row>
    <row r="16518">
      <c r="A16518" s="1" t="s">
        <v>16517</v>
      </c>
      <c r="B16518" s="2" t="str">
        <f>IFERROR(__xludf.DUMMYFUNCTION("GOOGLETRANSLATE(A16518, ""de"", ""en"")"),"ambulance")</f>
        <v>ambulance</v>
      </c>
    </row>
    <row r="16519">
      <c r="A16519" s="1" t="s">
        <v>16518</v>
      </c>
      <c r="B16519" s="2" t="str">
        <f>IFERROR(__xludf.DUMMYFUNCTION("GOOGLETRANSLATE(A16519, ""de"", ""en"")"),"occurred")</f>
        <v>occurred</v>
      </c>
    </row>
    <row r="16520">
      <c r="A16520" s="1" t="s">
        <v>16519</v>
      </c>
      <c r="B16520" s="2" t="str">
        <f>IFERROR(__xludf.DUMMYFUNCTION("GOOGLETRANSLATE(A16520, ""de"", ""en"")"),"ten")</f>
        <v>ten</v>
      </c>
    </row>
    <row r="16521">
      <c r="A16521" s="1" t="s">
        <v>16520</v>
      </c>
      <c r="B16521" s="2" t="str">
        <f>IFERROR(__xludf.DUMMYFUNCTION("GOOGLETRANSLATE(A16521, ""de"", ""en"")"),"niklas")</f>
        <v>niklas</v>
      </c>
    </row>
    <row r="16522">
      <c r="A16522" s="1" t="s">
        <v>16521</v>
      </c>
      <c r="B16522" s="2" t="str">
        <f>IFERROR(__xludf.DUMMYFUNCTION("GOOGLETRANSLATE(A16522, ""de"", ""en"")"),"remained behind")</f>
        <v>remained behind</v>
      </c>
    </row>
    <row r="16523">
      <c r="A16523" s="1" t="s">
        <v>16522</v>
      </c>
      <c r="B16523" s="2" t="str">
        <f>IFERROR(__xludf.DUMMYFUNCTION("GOOGLETRANSLATE(A16523, ""de"", ""en"")"),"see you again")</f>
        <v>see you again</v>
      </c>
    </row>
    <row r="16524">
      <c r="A16524" s="1" t="s">
        <v>16523</v>
      </c>
      <c r="B16524" s="2" t="str">
        <f>IFERROR(__xludf.DUMMYFUNCTION("GOOGLETRANSLATE(A16524, ""de"", ""en"")"),"reach")</f>
        <v>reach</v>
      </c>
    </row>
    <row r="16525">
      <c r="A16525" s="1" t="s">
        <v>16524</v>
      </c>
      <c r="B16525" s="2" t="str">
        <f>IFERROR(__xludf.DUMMYFUNCTION("GOOGLETRANSLATE(A16525, ""de"", ""en"")"),"he wears")</f>
        <v>he wears</v>
      </c>
    </row>
    <row r="16526">
      <c r="A16526" s="1" t="s">
        <v>16525</v>
      </c>
      <c r="B16526" s="2" t="str">
        <f>IFERROR(__xludf.DUMMYFUNCTION("GOOGLETRANSLATE(A16526, ""de"", ""en"")"),"dev")</f>
        <v>dev</v>
      </c>
    </row>
    <row r="16527">
      <c r="A16527" s="1" t="s">
        <v>16526</v>
      </c>
      <c r="B16527" s="2" t="str">
        <f>IFERROR(__xludf.DUMMYFUNCTION("GOOGLETRANSLATE(A16527, ""de"", ""en"")"),"sports car")</f>
        <v>sports car</v>
      </c>
    </row>
    <row r="16528">
      <c r="A16528" s="1" t="s">
        <v>16527</v>
      </c>
      <c r="B16528" s="2" t="str">
        <f>IFERROR(__xludf.DUMMYFUNCTION("GOOGLETRANSLATE(A16528, ""de"", ""en"")"),"flawless")</f>
        <v>flawless</v>
      </c>
    </row>
    <row r="16529">
      <c r="A16529" s="1" t="s">
        <v>16528</v>
      </c>
      <c r="B16529" s="2" t="str">
        <f>IFERROR(__xludf.DUMMYFUNCTION("GOOGLETRANSLATE(A16529, ""de"", ""en"")"),"angels")</f>
        <v>angels</v>
      </c>
    </row>
    <row r="16530">
      <c r="A16530" s="1" t="s">
        <v>16529</v>
      </c>
      <c r="B16530" s="2" t="str">
        <f>IFERROR(__xludf.DUMMYFUNCTION("GOOGLETRANSLATE(A16530, ""de"", ""en"")"),"gabby")</f>
        <v>gabby</v>
      </c>
    </row>
    <row r="16531">
      <c r="A16531" s="1" t="s">
        <v>16530</v>
      </c>
      <c r="B16531" s="2" t="str">
        <f>IFERROR(__xludf.DUMMYFUNCTION("GOOGLETRANSLATE(A16531, ""de"", ""en"")"),"beef")</f>
        <v>beef</v>
      </c>
    </row>
    <row r="16532">
      <c r="A16532" s="1" t="s">
        <v>16531</v>
      </c>
      <c r="B16532" s="2" t="str">
        <f>IFERROR(__xludf.DUMMYFUNCTION("GOOGLETRANSLATE(A16532, ""de"", ""en"")"),"Koran")</f>
        <v>Koran</v>
      </c>
    </row>
    <row r="16533">
      <c r="A16533" s="1" t="s">
        <v>16532</v>
      </c>
      <c r="B16533" s="2" t="str">
        <f>IFERROR(__xludf.DUMMYFUNCTION("GOOGLETRANSLATE(A16533, ""de"", ""en"")"),"buildings")</f>
        <v>buildings</v>
      </c>
    </row>
    <row r="16534">
      <c r="A16534" s="1" t="s">
        <v>16533</v>
      </c>
      <c r="B16534" s="2" t="str">
        <f>IFERROR(__xludf.DUMMYFUNCTION("GOOGLETRANSLATE(A16534, ""de"", ""en"")"),"rages")</f>
        <v>rages</v>
      </c>
    </row>
    <row r="16535">
      <c r="A16535" s="1" t="s">
        <v>16534</v>
      </c>
      <c r="B16535" s="2" t="str">
        <f>IFERROR(__xludf.DUMMYFUNCTION("GOOGLETRANSLATE(A16535, ""de"", ""en"")"),"charlies")</f>
        <v>charlies</v>
      </c>
    </row>
    <row r="16536">
      <c r="A16536" s="1" t="s">
        <v>16535</v>
      </c>
      <c r="B16536" s="2" t="str">
        <f>IFERROR(__xludf.DUMMYFUNCTION("GOOGLETRANSLATE(A16536, ""de"", ""en"")"),"as follows")</f>
        <v>as follows</v>
      </c>
    </row>
    <row r="16537">
      <c r="A16537" s="1" t="s">
        <v>16536</v>
      </c>
      <c r="B16537" s="2" t="str">
        <f>IFERROR(__xludf.DUMMYFUNCTION("GOOGLETRANSLATE(A16537, ""de"", ""en"")"),"leukemia")</f>
        <v>leukemia</v>
      </c>
    </row>
    <row r="16538">
      <c r="A16538" s="1" t="s">
        <v>16537</v>
      </c>
      <c r="B16538" s="2" t="str">
        <f>IFERROR(__xludf.DUMMYFUNCTION("GOOGLETRANSLATE(A16538, ""de"", ""en"")"),"cleo")</f>
        <v>cleo</v>
      </c>
    </row>
    <row r="16539">
      <c r="A16539" s="1" t="s">
        <v>16538</v>
      </c>
      <c r="B16539" s="2" t="str">
        <f>IFERROR(__xludf.DUMMYFUNCTION("GOOGLETRANSLATE(A16539, ""de"", ""en"")"),"bodies")</f>
        <v>bodies</v>
      </c>
    </row>
    <row r="16540">
      <c r="A16540" s="1" t="s">
        <v>16539</v>
      </c>
      <c r="B16540" s="2" t="str">
        <f>IFERROR(__xludf.DUMMYFUNCTION("GOOGLETRANSLATE(A16540, ""de"", ""en"")"),"archibald")</f>
        <v>archibald</v>
      </c>
    </row>
    <row r="16541">
      <c r="A16541" s="1" t="s">
        <v>16540</v>
      </c>
      <c r="B16541" s="2" t="str">
        <f>IFERROR(__xludf.DUMMYFUNCTION("GOOGLETRANSLATE(A16541, ""de"", ""en"")"),"horny")</f>
        <v>horny</v>
      </c>
    </row>
    <row r="16542">
      <c r="A16542" s="1" t="s">
        <v>16541</v>
      </c>
      <c r="B16542" s="2" t="str">
        <f>IFERROR(__xludf.DUMMYFUNCTION("GOOGLETRANSLATE(A16542, ""de"", ""en"")"),"lukewarm")</f>
        <v>lukewarm</v>
      </c>
    </row>
    <row r="16543">
      <c r="A16543" s="1" t="s">
        <v>16542</v>
      </c>
      <c r="B16543" s="2" t="str">
        <f>IFERROR(__xludf.DUMMYFUNCTION("GOOGLETRANSLATE(A16543, ""de"", ""en"")"),"frieda")</f>
        <v>frieda</v>
      </c>
    </row>
    <row r="16544">
      <c r="A16544" s="1" t="s">
        <v>16543</v>
      </c>
      <c r="B16544" s="2" t="str">
        <f>IFERROR(__xludf.DUMMYFUNCTION("GOOGLETRANSLATE(A16544, ""de"", ""en"")"),"crawled")</f>
        <v>crawled</v>
      </c>
    </row>
    <row r="16545">
      <c r="A16545" s="1" t="s">
        <v>16544</v>
      </c>
      <c r="B16545" s="2" t="str">
        <f>IFERROR(__xludf.DUMMYFUNCTION("GOOGLETRANSLATE(A16545, ""de"", ""en"")"),"Oslo")</f>
        <v>Oslo</v>
      </c>
    </row>
    <row r="16546">
      <c r="A16546" s="1" t="s">
        <v>16545</v>
      </c>
      <c r="B16546" s="2" t="str">
        <f>IFERROR(__xludf.DUMMYFUNCTION("GOOGLETRANSLATE(A16546, ""de"", ""en"")"),"jericho")</f>
        <v>jericho</v>
      </c>
    </row>
    <row r="16547">
      <c r="A16547" s="1" t="s">
        <v>16546</v>
      </c>
      <c r="B16547" s="2" t="str">
        <f>IFERROR(__xludf.DUMMYFUNCTION("GOOGLETRANSLATE(A16547, ""de"", ""en"")"),"Dane")</f>
        <v>Dane</v>
      </c>
    </row>
    <row r="16548">
      <c r="A16548" s="1" t="s">
        <v>16547</v>
      </c>
      <c r="B16548" s="2" t="str">
        <f>IFERROR(__xludf.DUMMYFUNCTION("GOOGLETRANSLATE(A16548, ""de"", ""en"")"),"bright light")</f>
        <v>bright light</v>
      </c>
    </row>
    <row r="16549">
      <c r="A16549" s="1" t="s">
        <v>16548</v>
      </c>
      <c r="B16549" s="2" t="str">
        <f>IFERROR(__xludf.DUMMYFUNCTION("GOOGLETRANSLATE(A16549, ""de"", ""en"")"),"high treason")</f>
        <v>high treason</v>
      </c>
    </row>
    <row r="16550">
      <c r="A16550" s="1" t="s">
        <v>16549</v>
      </c>
      <c r="B16550" s="2" t="str">
        <f>IFERROR(__xludf.DUMMYFUNCTION("GOOGLETRANSLATE(A16550, ""de"", ""en"")"),"cherish")</f>
        <v>cherish</v>
      </c>
    </row>
    <row r="16551">
      <c r="A16551" s="1" t="s">
        <v>16550</v>
      </c>
      <c r="B16551" s="2" t="str">
        <f>IFERROR(__xludf.DUMMYFUNCTION("GOOGLETRANSLATE(A16551, ""de"", ""en"")"),"jostle")</f>
        <v>jostle</v>
      </c>
    </row>
    <row r="16552">
      <c r="A16552" s="1" t="s">
        <v>16551</v>
      </c>
      <c r="B16552" s="2" t="str">
        <f>IFERROR(__xludf.DUMMYFUNCTION("GOOGLETRANSLATE(A16552, ""de"", ""en"")"),"olympia")</f>
        <v>olympia</v>
      </c>
    </row>
    <row r="16553">
      <c r="A16553" s="1" t="s">
        <v>16552</v>
      </c>
      <c r="B16553" s="2" t="str">
        <f>IFERROR(__xludf.DUMMYFUNCTION("GOOGLETRANSLATE(A16553, ""de"", ""en"")"),"sore")</f>
        <v>sore</v>
      </c>
    </row>
    <row r="16554">
      <c r="A16554" s="1" t="s">
        <v>16553</v>
      </c>
      <c r="B16554" s="2" t="str">
        <f>IFERROR(__xludf.DUMMYFUNCTION("GOOGLETRANSLATE(A16554, ""de"", ""en"")"),"fits")</f>
        <v>fits</v>
      </c>
    </row>
    <row r="16555">
      <c r="A16555" s="1" t="s">
        <v>16554</v>
      </c>
      <c r="B16555" s="2" t="str">
        <f>IFERROR(__xludf.DUMMYFUNCTION("GOOGLETRANSLATE(A16555, ""de"", ""en"")"),"kidnapped")</f>
        <v>kidnapped</v>
      </c>
    </row>
    <row r="16556">
      <c r="A16556" s="1" t="s">
        <v>16555</v>
      </c>
      <c r="B16556" s="2" t="str">
        <f>IFERROR(__xludf.DUMMYFUNCTION("GOOGLETRANSLATE(A16556, ""de"", ""en"")"),"pot")</f>
        <v>pot</v>
      </c>
    </row>
    <row r="16557">
      <c r="A16557" s="1" t="s">
        <v>16556</v>
      </c>
      <c r="B16557" s="2" t="str">
        <f>IFERROR(__xludf.DUMMYFUNCTION("GOOGLETRANSLATE(A16557, ""de"", ""en"")"),"öi")</f>
        <v>öi</v>
      </c>
    </row>
    <row r="16558">
      <c r="A16558" s="1" t="s">
        <v>16557</v>
      </c>
      <c r="B16558" s="2" t="str">
        <f>IFERROR(__xludf.DUMMYFUNCTION("GOOGLETRANSLATE(A16558, ""de"", ""en"")"),"rejection")</f>
        <v>rejection</v>
      </c>
    </row>
    <row r="16559">
      <c r="A16559" s="1" t="s">
        <v>16558</v>
      </c>
      <c r="B16559" s="2" t="str">
        <f>IFERROR(__xludf.DUMMYFUNCTION("GOOGLETRANSLATE(A16559, ""de"", ""en"")"),"killed")</f>
        <v>killed</v>
      </c>
    </row>
    <row r="16560">
      <c r="A16560" s="1" t="s">
        <v>16559</v>
      </c>
      <c r="B16560" s="2" t="str">
        <f>IFERROR(__xludf.DUMMYFUNCTION("GOOGLETRANSLATE(A16560, ""de"", ""en"")"),"ties")</f>
        <v>ties</v>
      </c>
    </row>
    <row r="16561">
      <c r="A16561" s="1" t="s">
        <v>16560</v>
      </c>
      <c r="B16561" s="2" t="str">
        <f>IFERROR(__xludf.DUMMYFUNCTION("GOOGLETRANSLATE(A16561, ""de"", ""en"")"),"listen")</f>
        <v>listen</v>
      </c>
    </row>
    <row r="16562">
      <c r="A16562" s="1" t="s">
        <v>16561</v>
      </c>
      <c r="B16562" s="2" t="str">
        <f>IFERROR(__xludf.DUMMYFUNCTION("GOOGLETRANSLATE(A16562, ""de"", ""en"")"),"cosima")</f>
        <v>cosima</v>
      </c>
    </row>
    <row r="16563">
      <c r="A16563" s="1" t="s">
        <v>16562</v>
      </c>
      <c r="B16563" s="2" t="str">
        <f>IFERROR(__xludf.DUMMYFUNCTION("GOOGLETRANSLATE(A16563, ""de"", ""en"")"),"wipe off")</f>
        <v>wipe off</v>
      </c>
    </row>
    <row r="16564">
      <c r="A16564" s="1" t="s">
        <v>16563</v>
      </c>
      <c r="B16564" s="2" t="str">
        <f>IFERROR(__xludf.DUMMYFUNCTION("GOOGLETRANSLATE(A16564, ""de"", ""en"")"),"mentioned")</f>
        <v>mentioned</v>
      </c>
    </row>
    <row r="16565">
      <c r="A16565" s="1" t="s">
        <v>16564</v>
      </c>
      <c r="B16565" s="2" t="str">
        <f>IFERROR(__xludf.DUMMYFUNCTION("GOOGLETRANSLATE(A16565, ""de"", ""en"")"),"dobbs")</f>
        <v>dobbs</v>
      </c>
    </row>
    <row r="16566">
      <c r="A16566" s="1" t="s">
        <v>16565</v>
      </c>
      <c r="B16566" s="2" t="str">
        <f>IFERROR(__xludf.DUMMYFUNCTION("GOOGLETRANSLATE(A16566, ""de"", ""en"")"),"towers")</f>
        <v>towers</v>
      </c>
    </row>
    <row r="16567">
      <c r="A16567" s="1" t="s">
        <v>16566</v>
      </c>
      <c r="B16567" s="2" t="str">
        <f>IFERROR(__xludf.DUMMYFUNCTION("GOOGLETRANSLATE(A16567, ""de"", ""en"")"),"has")</f>
        <v>has</v>
      </c>
    </row>
    <row r="16568">
      <c r="A16568" s="1" t="s">
        <v>16567</v>
      </c>
      <c r="B16568" s="2" t="str">
        <f>IFERROR(__xludf.DUMMYFUNCTION("GOOGLETRANSLATE(A16568, ""de"", ""en"")"),"wrestles")</f>
        <v>wrestles</v>
      </c>
    </row>
    <row r="16569">
      <c r="A16569" s="1" t="s">
        <v>16568</v>
      </c>
      <c r="B16569" s="2" t="str">
        <f>IFERROR(__xludf.DUMMYFUNCTION("GOOGLETRANSLATE(A16569, ""de"", ""en"")"),"curry")</f>
        <v>curry</v>
      </c>
    </row>
    <row r="16570">
      <c r="A16570" s="1" t="s">
        <v>16569</v>
      </c>
      <c r="B16570" s="2" t="str">
        <f>IFERROR(__xludf.DUMMYFUNCTION("GOOGLETRANSLATE(A16570, ""de"", ""en"")"),"deadlier")</f>
        <v>deadlier</v>
      </c>
    </row>
    <row r="16571">
      <c r="A16571" s="1" t="s">
        <v>16570</v>
      </c>
      <c r="B16571" s="2" t="str">
        <f>IFERROR(__xludf.DUMMYFUNCTION("GOOGLETRANSLATE(A16571, ""de"", ""en"")"),"Portugal")</f>
        <v>Portugal</v>
      </c>
    </row>
    <row r="16572">
      <c r="A16572" s="1" t="s">
        <v>16571</v>
      </c>
      <c r="B16572" s="2" t="str">
        <f>IFERROR(__xludf.DUMMYFUNCTION("GOOGLETRANSLATE(A16572, ""de"", ""en"")"),"lost")</f>
        <v>lost</v>
      </c>
    </row>
    <row r="16573">
      <c r="A16573" s="1" t="s">
        <v>16572</v>
      </c>
      <c r="B16573" s="2" t="str">
        <f>IFERROR(__xludf.DUMMYFUNCTION("GOOGLETRANSLATE(A16573, ""de"", ""en"")"),"Sicily")</f>
        <v>Sicily</v>
      </c>
    </row>
    <row r="16574">
      <c r="A16574" s="1" t="s">
        <v>16573</v>
      </c>
      <c r="B16574" s="2" t="str">
        <f>IFERROR(__xludf.DUMMYFUNCTION("GOOGLETRANSLATE(A16574, ""de"", ""en"")"),"tiny")</f>
        <v>tiny</v>
      </c>
    </row>
    <row r="16575">
      <c r="A16575" s="1" t="s">
        <v>16574</v>
      </c>
      <c r="B16575" s="2" t="str">
        <f>IFERROR(__xludf.DUMMYFUNCTION("GOOGLETRANSLATE(A16575, ""de"", ""en"")"),"allied")</f>
        <v>allied</v>
      </c>
    </row>
    <row r="16576">
      <c r="A16576" s="1" t="s">
        <v>16575</v>
      </c>
      <c r="B16576" s="2" t="str">
        <f>IFERROR(__xludf.DUMMYFUNCTION("GOOGLETRANSLATE(A16576, ""de"", ""en"")"),"restrict")</f>
        <v>restrict</v>
      </c>
    </row>
    <row r="16577">
      <c r="A16577" s="1" t="s">
        <v>16576</v>
      </c>
      <c r="B16577" s="2" t="str">
        <f>IFERROR(__xludf.DUMMYFUNCTION("GOOGLETRANSLATE(A16577, ""de"", ""en"")"),"vash")</f>
        <v>vash</v>
      </c>
    </row>
    <row r="16578">
      <c r="A16578" s="1" t="s">
        <v>16577</v>
      </c>
      <c r="B16578" s="2" t="str">
        <f>IFERROR(__xludf.DUMMYFUNCTION("GOOGLETRANSLATE(A16578, ""de"", ""en"")"),"Edison")</f>
        <v>Edison</v>
      </c>
    </row>
    <row r="16579">
      <c r="A16579" s="1" t="s">
        <v>16578</v>
      </c>
      <c r="B16579" s="2" t="str">
        <f>IFERROR(__xludf.DUMMYFUNCTION("GOOGLETRANSLATE(A16579, ""de"", ""en"")"),"went out")</f>
        <v>went out</v>
      </c>
    </row>
    <row r="16580">
      <c r="A16580" s="1" t="s">
        <v>16579</v>
      </c>
      <c r="B16580" s="2" t="str">
        <f>IFERROR(__xludf.DUMMYFUNCTION("GOOGLETRANSLATE(A16580, ""de"", ""en"")"),"once")</f>
        <v>once</v>
      </c>
    </row>
    <row r="16581">
      <c r="A16581" s="1" t="s">
        <v>16580</v>
      </c>
      <c r="B16581" s="2" t="str">
        <f>IFERROR(__xludf.DUMMYFUNCTION("GOOGLETRANSLATE(A16581, ""de"", ""en"")"),"believe")</f>
        <v>believe</v>
      </c>
    </row>
    <row r="16582">
      <c r="A16582" s="1" t="s">
        <v>16581</v>
      </c>
      <c r="B16582" s="2" t="str">
        <f>IFERROR(__xludf.DUMMYFUNCTION("GOOGLETRANSLATE(A16582, ""de"", ""en"")"),"remarkable")</f>
        <v>remarkable</v>
      </c>
    </row>
    <row r="16583">
      <c r="A16583" s="1" t="s">
        <v>16582</v>
      </c>
      <c r="B16583" s="2" t="str">
        <f>IFERROR(__xludf.DUMMYFUNCTION("GOOGLETRANSLATE(A16583, ""de"", ""en"")"),"cheerful")</f>
        <v>cheerful</v>
      </c>
    </row>
    <row r="16584">
      <c r="A16584" s="1" t="s">
        <v>16583</v>
      </c>
      <c r="B16584" s="2" t="str">
        <f>IFERROR(__xludf.DUMMYFUNCTION("GOOGLETRANSLATE(A16584, ""de"", ""en"")"),"statement")</f>
        <v>statement</v>
      </c>
    </row>
    <row r="16585">
      <c r="A16585" s="1" t="s">
        <v>16584</v>
      </c>
      <c r="B16585" s="2" t="str">
        <f>IFERROR(__xludf.DUMMYFUNCTION("GOOGLETRANSLATE(A16585, ""de"", ""en"")"),"decorate")</f>
        <v>decorate</v>
      </c>
    </row>
    <row r="16586">
      <c r="A16586" s="1" t="s">
        <v>16585</v>
      </c>
      <c r="B16586" s="2" t="str">
        <f>IFERROR(__xludf.DUMMYFUNCTION("GOOGLETRANSLATE(A16586, ""de"", ""en"")"),"share")</f>
        <v>share</v>
      </c>
    </row>
    <row r="16587">
      <c r="A16587" s="1" t="s">
        <v>16586</v>
      </c>
      <c r="B16587" s="2" t="str">
        <f>IFERROR(__xludf.DUMMYFUNCTION("GOOGLETRANSLATE(A16587, ""de"", ""en"")"),"consideration")</f>
        <v>consideration</v>
      </c>
    </row>
    <row r="16588">
      <c r="A16588" s="1" t="s">
        <v>16587</v>
      </c>
      <c r="B16588" s="2" t="str">
        <f>IFERROR(__xludf.DUMMYFUNCTION("GOOGLETRANSLATE(A16588, ""de"", ""en"")"),"pushed")</f>
        <v>pushed</v>
      </c>
    </row>
    <row r="16589">
      <c r="A16589" s="1" t="s">
        <v>16588</v>
      </c>
      <c r="B16589" s="2" t="str">
        <f>IFERROR(__xludf.DUMMYFUNCTION("GOOGLETRANSLATE(A16589, ""de"", ""en"")"),"Weber")</f>
        <v>Weber</v>
      </c>
    </row>
    <row r="16590">
      <c r="A16590" s="1" t="s">
        <v>16589</v>
      </c>
      <c r="B16590" s="2" t="str">
        <f>IFERROR(__xludf.DUMMYFUNCTION("GOOGLETRANSLATE(A16590, ""de"", ""en"")"),"feast")</f>
        <v>feast</v>
      </c>
    </row>
    <row r="16591">
      <c r="A16591" s="1" t="s">
        <v>16590</v>
      </c>
      <c r="B16591" s="2" t="str">
        <f>IFERROR(__xludf.DUMMYFUNCTION("GOOGLETRANSLATE(A16591, ""de"", ""en"")"),"locked away")</f>
        <v>locked away</v>
      </c>
    </row>
    <row r="16592">
      <c r="A16592" s="1" t="s">
        <v>16591</v>
      </c>
      <c r="B16592" s="2" t="str">
        <f>IFERROR(__xludf.DUMMYFUNCTION("GOOGLETRANSLATE(A16592, ""de"", ""en"")"),"you steal")</f>
        <v>you steal</v>
      </c>
    </row>
    <row r="16593">
      <c r="A16593" s="1" t="s">
        <v>16592</v>
      </c>
      <c r="B16593" s="2" t="str">
        <f>IFERROR(__xludf.DUMMYFUNCTION("GOOGLETRANSLATE(A16593, ""de"", ""en"")"),"summer")</f>
        <v>summer</v>
      </c>
    </row>
    <row r="16594">
      <c r="A16594" s="1" t="s">
        <v>16593</v>
      </c>
      <c r="B16594" s="2" t="str">
        <f>IFERROR(__xludf.DUMMYFUNCTION("GOOGLETRANSLATE(A16594, ""de"", ""en"")"),"checkmate")</f>
        <v>checkmate</v>
      </c>
    </row>
    <row r="16595">
      <c r="A16595" s="1" t="s">
        <v>16594</v>
      </c>
      <c r="B16595" s="2" t="str">
        <f>IFERROR(__xludf.DUMMYFUNCTION("GOOGLETRANSLATE(A16595, ""de"", ""en"")"),"appointment calendar")</f>
        <v>appointment calendar</v>
      </c>
    </row>
    <row r="16596">
      <c r="A16596" s="1" t="s">
        <v>16595</v>
      </c>
      <c r="B16596" s="2" t="str">
        <f>IFERROR(__xludf.DUMMYFUNCTION("GOOGLETRANSLATE(A16596, ""de"", ""en"")"),"dared")</f>
        <v>dared</v>
      </c>
    </row>
    <row r="16597">
      <c r="A16597" s="1" t="s">
        <v>16596</v>
      </c>
      <c r="B16597" s="2" t="str">
        <f>IFERROR(__xludf.DUMMYFUNCTION("GOOGLETRANSLATE(A16597, ""de"", ""en"")"),"kiss")</f>
        <v>kiss</v>
      </c>
    </row>
    <row r="16598">
      <c r="A16598" s="1" t="s">
        <v>16597</v>
      </c>
      <c r="B16598" s="2" t="str">
        <f>IFERROR(__xludf.DUMMYFUNCTION("GOOGLETRANSLATE(A16598, ""de"", ""en"")"),"witcher")</f>
        <v>witcher</v>
      </c>
    </row>
    <row r="16599">
      <c r="A16599" s="1" t="s">
        <v>16598</v>
      </c>
      <c r="B16599" s="2" t="str">
        <f>IFERROR(__xludf.DUMMYFUNCTION("GOOGLETRANSLATE(A16599, ""de"", ""en"")"),"crackle")</f>
        <v>crackle</v>
      </c>
    </row>
    <row r="16600">
      <c r="A16600" s="1" t="s">
        <v>16599</v>
      </c>
      <c r="B16600" s="2" t="str">
        <f>IFERROR(__xludf.DUMMYFUNCTION("GOOGLETRANSLATE(A16600, ""de"", ""en"")"),"cahill")</f>
        <v>cahill</v>
      </c>
    </row>
    <row r="16601">
      <c r="A16601" s="1" t="s">
        <v>16600</v>
      </c>
      <c r="B16601" s="2" t="str">
        <f>IFERROR(__xludf.DUMMYFUNCTION("GOOGLETRANSLATE(A16601, ""de"", ""en"")"),"mayer")</f>
        <v>mayer</v>
      </c>
    </row>
    <row r="16602">
      <c r="A16602" s="1" t="s">
        <v>16601</v>
      </c>
      <c r="B16602" s="2" t="str">
        <f>IFERROR(__xludf.DUMMYFUNCTION("GOOGLETRANSLATE(A16602, ""de"", ""en"")"),"equipped")</f>
        <v>equipped</v>
      </c>
    </row>
    <row r="16603">
      <c r="A16603" s="1" t="s">
        <v>16602</v>
      </c>
      <c r="B16603" s="2" t="str">
        <f>IFERROR(__xludf.DUMMYFUNCTION("GOOGLETRANSLATE(A16603, ""de"", ""en"")"),"reserved")</f>
        <v>reserved</v>
      </c>
    </row>
    <row r="16604">
      <c r="A16604" s="1" t="s">
        <v>16603</v>
      </c>
      <c r="B16604" s="2" t="str">
        <f>IFERROR(__xludf.DUMMYFUNCTION("GOOGLETRANSLATE(A16604, ""de"", ""en"")"),"bowman")</f>
        <v>bowman</v>
      </c>
    </row>
    <row r="16605">
      <c r="A16605" s="1" t="s">
        <v>16604</v>
      </c>
      <c r="B16605" s="2" t="str">
        <f>IFERROR(__xludf.DUMMYFUNCTION("GOOGLETRANSLATE(A16605, ""de"", ""en"")"),"geese")</f>
        <v>geese</v>
      </c>
    </row>
    <row r="16606">
      <c r="A16606" s="1" t="s">
        <v>16605</v>
      </c>
      <c r="B16606" s="2" t="str">
        <f>IFERROR(__xludf.DUMMYFUNCTION("GOOGLETRANSLATE(A16606, ""de"", ""en"")"),"rubble")</f>
        <v>rubble</v>
      </c>
    </row>
    <row r="16607">
      <c r="A16607" s="1" t="s">
        <v>16606</v>
      </c>
      <c r="B16607" s="2" t="str">
        <f>IFERROR(__xludf.DUMMYFUNCTION("GOOGLETRANSLATE(A16607, ""de"", ""en"")"),"pinky")</f>
        <v>pinky</v>
      </c>
    </row>
    <row r="16608">
      <c r="A16608" s="1" t="s">
        <v>16607</v>
      </c>
      <c r="B16608" s="2" t="str">
        <f>IFERROR(__xludf.DUMMYFUNCTION("GOOGLETRANSLATE(A16608, ""de"", ""en"")"),"punishable")</f>
        <v>punishable</v>
      </c>
    </row>
    <row r="16609">
      <c r="A16609" s="1" t="s">
        <v>16608</v>
      </c>
      <c r="B16609" s="2" t="str">
        <f>IFERROR(__xludf.DUMMYFUNCTION("GOOGLETRANSLATE(A16609, ""de"", ""en"")"),"hawks")</f>
        <v>hawks</v>
      </c>
    </row>
    <row r="16610">
      <c r="A16610" s="1" t="s">
        <v>16609</v>
      </c>
      <c r="B16610" s="2" t="str">
        <f>IFERROR(__xludf.DUMMYFUNCTION("GOOGLETRANSLATE(A16610, ""de"", ""en"")"),"happier")</f>
        <v>happier</v>
      </c>
    </row>
    <row r="16611">
      <c r="A16611" s="1" t="s">
        <v>16610</v>
      </c>
      <c r="B16611" s="2" t="str">
        <f>IFERROR(__xludf.DUMMYFUNCTION("GOOGLETRANSLATE(A16611, ""de"", ""en"")"),"marathon")</f>
        <v>marathon</v>
      </c>
    </row>
    <row r="16612">
      <c r="A16612" s="1" t="s">
        <v>16611</v>
      </c>
      <c r="B16612" s="2" t="str">
        <f>IFERROR(__xludf.DUMMYFUNCTION("GOOGLETRANSLATE(A16612, ""de"", ""en"")"),"clones")</f>
        <v>clones</v>
      </c>
    </row>
    <row r="16613">
      <c r="A16613" s="1" t="s">
        <v>16612</v>
      </c>
      <c r="B16613" s="2" t="str">
        <f>IFERROR(__xludf.DUMMYFUNCTION("GOOGLETRANSLATE(A16613, ""de"", ""en"")"),"spark")</f>
        <v>spark</v>
      </c>
    </row>
    <row r="16614">
      <c r="A16614" s="1" t="s">
        <v>16613</v>
      </c>
      <c r="B16614" s="2" t="str">
        <f>IFERROR(__xludf.DUMMYFUNCTION("GOOGLETRANSLATE(A16614, ""de"", ""en"")"),"quite a bit")</f>
        <v>quite a bit</v>
      </c>
    </row>
    <row r="16615">
      <c r="A16615" s="1" t="s">
        <v>16614</v>
      </c>
      <c r="B16615" s="2" t="str">
        <f>IFERROR(__xludf.DUMMYFUNCTION("GOOGLETRANSLATE(A16615, ""de"", ""en"")"),"80s")</f>
        <v>80s</v>
      </c>
    </row>
    <row r="16616">
      <c r="A16616" s="1" t="s">
        <v>16615</v>
      </c>
      <c r="B16616" s="2" t="str">
        <f>IFERROR(__xludf.DUMMYFUNCTION("GOOGLETRANSLATE(A16616, ""de"", ""en"")"),"sanctified")</f>
        <v>sanctified</v>
      </c>
    </row>
    <row r="16617">
      <c r="A16617" s="1" t="s">
        <v>16616</v>
      </c>
      <c r="B16617" s="2" t="str">
        <f>IFERROR(__xludf.DUMMYFUNCTION("GOOGLETRANSLATE(A16617, ""de"", ""en"")"),"kryptonite")</f>
        <v>kryptonite</v>
      </c>
    </row>
    <row r="16618">
      <c r="A16618" s="1" t="s">
        <v>16617</v>
      </c>
      <c r="B16618" s="2" t="str">
        <f>IFERROR(__xludf.DUMMYFUNCTION("GOOGLETRANSLATE(A16618, ""de"", ""en"")"),"hypothesis")</f>
        <v>hypothesis</v>
      </c>
    </row>
    <row r="16619">
      <c r="A16619" s="1" t="s">
        <v>16618</v>
      </c>
      <c r="B16619" s="2" t="str">
        <f>IFERROR(__xludf.DUMMYFUNCTION("GOOGLETRANSLATE(A16619, ""de"", ""en"")"),"police report")</f>
        <v>police report</v>
      </c>
    </row>
    <row r="16620">
      <c r="A16620" s="1" t="s">
        <v>16619</v>
      </c>
      <c r="B16620" s="2" t="str">
        <f>IFERROR(__xludf.DUMMYFUNCTION("GOOGLETRANSLATE(A16620, ""de"", ""en"")"),"marcos")</f>
        <v>marcos</v>
      </c>
    </row>
    <row r="16621">
      <c r="A16621" s="1" t="s">
        <v>16620</v>
      </c>
      <c r="B16621" s="2" t="str">
        <f>IFERROR(__xludf.DUMMYFUNCTION("GOOGLETRANSLATE(A16621, ""de"", ""en"")"),"for life")</f>
        <v>for life</v>
      </c>
    </row>
    <row r="16622">
      <c r="A16622" s="1" t="s">
        <v>16621</v>
      </c>
      <c r="B16622" s="2" t="str">
        <f>IFERROR(__xludf.DUMMYFUNCTION("GOOGLETRANSLATE(A16622, ""de"", ""en"")"),"is yes")</f>
        <v>is yes</v>
      </c>
    </row>
    <row r="16623">
      <c r="A16623" s="1" t="s">
        <v>16622</v>
      </c>
      <c r="B16623" s="2" t="str">
        <f>IFERROR(__xludf.DUMMYFUNCTION("GOOGLETRANSLATE(A16623, ""de"", ""en"")"),"spoke")</f>
        <v>spoke</v>
      </c>
    </row>
    <row r="16624">
      <c r="A16624" s="1" t="s">
        <v>16623</v>
      </c>
      <c r="B16624" s="2" t="str">
        <f>IFERROR(__xludf.DUMMYFUNCTION("GOOGLETRANSLATE(A16624, ""de"", ""en"")"),"china")</f>
        <v>china</v>
      </c>
    </row>
    <row r="16625">
      <c r="A16625" s="1" t="s">
        <v>16624</v>
      </c>
      <c r="B16625" s="2" t="str">
        <f>IFERROR(__xludf.DUMMYFUNCTION("GOOGLETRANSLATE(A16625, ""de"", ""en"")"),"seed")</f>
        <v>seed</v>
      </c>
    </row>
    <row r="16626">
      <c r="A16626" s="1" t="s">
        <v>16625</v>
      </c>
      <c r="B16626" s="2" t="str">
        <f>IFERROR(__xludf.DUMMYFUNCTION("GOOGLETRANSLATE(A16626, ""de"", ""en"")"),"signorina")</f>
        <v>signorina</v>
      </c>
    </row>
    <row r="16627">
      <c r="A16627" s="1" t="s">
        <v>16626</v>
      </c>
      <c r="B16627" s="2" t="str">
        <f>IFERROR(__xludf.DUMMYFUNCTION("GOOGLETRANSLATE(A16627, ""de"", ""en"")"),"terrific")</f>
        <v>terrific</v>
      </c>
    </row>
    <row r="16628">
      <c r="A16628" s="1" t="s">
        <v>16627</v>
      </c>
      <c r="B16628" s="2" t="str">
        <f>IFERROR(__xludf.DUMMYFUNCTION("GOOGLETRANSLATE(A16628, ""de"", ""en"")"),"discharged")</f>
        <v>discharged</v>
      </c>
    </row>
    <row r="16629">
      <c r="A16629" s="1" t="s">
        <v>16628</v>
      </c>
      <c r="B16629" s="2" t="str">
        <f>IFERROR(__xludf.DUMMYFUNCTION("GOOGLETRANSLATE(A16629, ""de"", ""en"")"),"fall in love")</f>
        <v>fall in love</v>
      </c>
    </row>
    <row r="16630">
      <c r="A16630" s="1" t="s">
        <v>16629</v>
      </c>
      <c r="B16630" s="2" t="str">
        <f>IFERROR(__xludf.DUMMYFUNCTION("GOOGLETRANSLATE(A16630, ""de"", ""en"")"),"female")</f>
        <v>female</v>
      </c>
    </row>
    <row r="16631">
      <c r="A16631" s="1" t="s">
        <v>16630</v>
      </c>
      <c r="B16631" s="2" t="str">
        <f>IFERROR(__xludf.DUMMYFUNCTION("GOOGLETRANSLATE(A16631, ""de"", ""en"")"),"contract killer")</f>
        <v>contract killer</v>
      </c>
    </row>
    <row r="16632">
      <c r="A16632" s="1" t="s">
        <v>16631</v>
      </c>
      <c r="B16632" s="2" t="str">
        <f>IFERROR(__xludf.DUMMYFUNCTION("GOOGLETRANSLATE(A16632, ""de"", ""en"")"),"think about it")</f>
        <v>think about it</v>
      </c>
    </row>
    <row r="16633">
      <c r="A16633" s="1" t="s">
        <v>16632</v>
      </c>
      <c r="B16633" s="2" t="str">
        <f>IFERROR(__xludf.DUMMYFUNCTION("GOOGLETRANSLATE(A16633, ""de"", ""en"")"),"request")</f>
        <v>request</v>
      </c>
    </row>
    <row r="16634">
      <c r="A16634" s="1" t="s">
        <v>16633</v>
      </c>
      <c r="B16634" s="2" t="str">
        <f>IFERROR(__xludf.DUMMYFUNCTION("GOOGLETRANSLATE(A16634, ""de"", ""en"")"),"hot")</f>
        <v>hot</v>
      </c>
    </row>
    <row r="16635">
      <c r="A16635" s="1" t="s">
        <v>16634</v>
      </c>
      <c r="B16635" s="2" t="str">
        <f>IFERROR(__xludf.DUMMYFUNCTION("GOOGLETRANSLATE(A16635, ""de"", ""en"")"),"handle")</f>
        <v>handle</v>
      </c>
    </row>
    <row r="16636">
      <c r="A16636" s="1" t="s">
        <v>16635</v>
      </c>
      <c r="B16636" s="2" t="str">
        <f>IFERROR(__xludf.DUMMYFUNCTION("GOOGLETRANSLATE(A16636, ""de"", ""en"")"),"slater")</f>
        <v>slater</v>
      </c>
    </row>
    <row r="16637">
      <c r="A16637" s="1" t="s">
        <v>16636</v>
      </c>
      <c r="B16637" s="2" t="str">
        <f>IFERROR(__xludf.DUMMYFUNCTION("GOOGLETRANSLATE(A16637, ""de"", ""en"")"),"ooh")</f>
        <v>ooh</v>
      </c>
    </row>
    <row r="16638">
      <c r="A16638" s="1" t="s">
        <v>16637</v>
      </c>
      <c r="B16638" s="2" t="str">
        <f>IFERROR(__xludf.DUMMYFUNCTION("GOOGLETRANSLATE(A16638, ""de"", ""en"")"),"curly")</f>
        <v>curly</v>
      </c>
    </row>
    <row r="16639">
      <c r="A16639" s="1" t="s">
        <v>16638</v>
      </c>
      <c r="B16639" s="2" t="str">
        <f>IFERROR(__xludf.DUMMYFUNCTION("GOOGLETRANSLATE(A16639, ""de"", ""en"")"),"appeal")</f>
        <v>appeal</v>
      </c>
    </row>
    <row r="16640">
      <c r="A16640" s="1" t="s">
        <v>16639</v>
      </c>
      <c r="B16640" s="2" t="str">
        <f>IFERROR(__xludf.DUMMYFUNCTION("GOOGLETRANSLATE(A16640, ""de"", ""en"")"),"mysterious")</f>
        <v>mysterious</v>
      </c>
    </row>
    <row r="16641">
      <c r="A16641" s="1" t="s">
        <v>16640</v>
      </c>
      <c r="B16641" s="2" t="str">
        <f>IFERROR(__xludf.DUMMYFUNCTION("GOOGLETRANSLATE(A16641, ""de"", ""en"")"),"expected")</f>
        <v>expected</v>
      </c>
    </row>
    <row r="16642">
      <c r="A16642" s="1" t="s">
        <v>16641</v>
      </c>
      <c r="B16642" s="2" t="str">
        <f>IFERROR(__xludf.DUMMYFUNCTION("GOOGLETRANSLATE(A16642, ""de"", ""en"")"),"fe")</f>
        <v>fe</v>
      </c>
    </row>
    <row r="16643">
      <c r="A16643" s="1" t="s">
        <v>16642</v>
      </c>
      <c r="B16643" s="2" t="str">
        <f>IFERROR(__xludf.DUMMYFUNCTION("GOOGLETRANSLATE(A16643, ""de"", ""en"")"),"superstition")</f>
        <v>superstition</v>
      </c>
    </row>
    <row r="16644">
      <c r="A16644" s="1" t="s">
        <v>16643</v>
      </c>
      <c r="B16644" s="2" t="str">
        <f>IFERROR(__xludf.DUMMYFUNCTION("GOOGLETRANSLATE(A16644, ""de"", ""en"")"),"changed")</f>
        <v>changed</v>
      </c>
    </row>
    <row r="16645">
      <c r="A16645" s="1" t="s">
        <v>16644</v>
      </c>
      <c r="B16645" s="2" t="str">
        <f>IFERROR(__xludf.DUMMYFUNCTION("GOOGLETRANSLATE(A16645, ""de"", ""en"")"),"mdr")</f>
        <v>mdr</v>
      </c>
    </row>
    <row r="16646">
      <c r="A16646" s="1" t="s">
        <v>16645</v>
      </c>
      <c r="B16646" s="2" t="str">
        <f>IFERROR(__xludf.DUMMYFUNCTION("GOOGLETRANSLATE(A16646, ""de"", ""en"")"),"mao")</f>
        <v>mao</v>
      </c>
    </row>
    <row r="16647">
      <c r="A16647" s="1" t="s">
        <v>16646</v>
      </c>
      <c r="B16647" s="2" t="str">
        <f>IFERROR(__xludf.DUMMYFUNCTION("GOOGLETRANSLATE(A16647, ""de"", ""en"")"),"pleasing")</f>
        <v>pleasing</v>
      </c>
    </row>
    <row r="16648">
      <c r="A16648" s="1" t="s">
        <v>16647</v>
      </c>
      <c r="B16648" s="2" t="str">
        <f>IFERROR(__xludf.DUMMYFUNCTION("GOOGLETRANSLATE(A16648, ""de"", ""en"")"),"essex")</f>
        <v>essex</v>
      </c>
    </row>
    <row r="16649">
      <c r="A16649" s="1" t="s">
        <v>16648</v>
      </c>
      <c r="B16649" s="2" t="str">
        <f>IFERROR(__xludf.DUMMYFUNCTION("GOOGLETRANSLATE(A16649, ""de"", ""en"")"),"ingredient")</f>
        <v>ingredient</v>
      </c>
    </row>
    <row r="16650">
      <c r="A16650" s="1" t="s">
        <v>16649</v>
      </c>
      <c r="B16650" s="2" t="str">
        <f>IFERROR(__xludf.DUMMYFUNCTION("GOOGLETRANSLATE(A16650, ""de"", ""en"")"),"vi")</f>
        <v>vi</v>
      </c>
    </row>
    <row r="16651">
      <c r="A16651" s="1" t="s">
        <v>16650</v>
      </c>
      <c r="B16651" s="2" t="str">
        <f>IFERROR(__xludf.DUMMYFUNCTION("GOOGLETRANSLATE(A16651, ""de"", ""en"")"),"humiliating")</f>
        <v>humiliating</v>
      </c>
    </row>
    <row r="16652">
      <c r="A16652" s="1" t="s">
        <v>16651</v>
      </c>
      <c r="B16652" s="2" t="str">
        <f>IFERROR(__xludf.DUMMYFUNCTION("GOOGLETRANSLATE(A16652, ""de"", ""en"")"),"isis")</f>
        <v>isis</v>
      </c>
    </row>
    <row r="16653">
      <c r="A16653" s="1" t="s">
        <v>16652</v>
      </c>
      <c r="B16653" s="2" t="str">
        <f>IFERROR(__xludf.DUMMYFUNCTION("GOOGLETRANSLATE(A16653, ""de"", ""en"")"),"overtake")</f>
        <v>overtake</v>
      </c>
    </row>
    <row r="16654">
      <c r="A16654" s="1" t="s">
        <v>16653</v>
      </c>
      <c r="B16654" s="2" t="str">
        <f>IFERROR(__xludf.DUMMYFUNCTION("GOOGLETRANSLATE(A16654, ""de"", ""en"")"),"MP")</f>
        <v>MP</v>
      </c>
    </row>
    <row r="16655">
      <c r="A16655" s="1" t="s">
        <v>16654</v>
      </c>
      <c r="B16655" s="2" t="str">
        <f>IFERROR(__xludf.DUMMYFUNCTION("GOOGLETRANSLATE(A16655, ""de"", ""en"")"),"in love")</f>
        <v>in love</v>
      </c>
    </row>
    <row r="16656">
      <c r="A16656" s="1" t="s">
        <v>16655</v>
      </c>
      <c r="B16656" s="2" t="str">
        <f>IFERROR(__xludf.DUMMYFUNCTION("GOOGLETRANSLATE(A16656, ""de"", ""en"")"),"thing")</f>
        <v>thing</v>
      </c>
    </row>
    <row r="16657">
      <c r="A16657" s="1" t="s">
        <v>16656</v>
      </c>
      <c r="B16657" s="2" t="str">
        <f>IFERROR(__xludf.DUMMYFUNCTION("GOOGLETRANSLATE(A16657, ""de"", ""en"")"),"summon")</f>
        <v>summon</v>
      </c>
    </row>
    <row r="16658">
      <c r="A16658" s="1" t="s">
        <v>16657</v>
      </c>
      <c r="B16658" s="2" t="str">
        <f>IFERROR(__xludf.DUMMYFUNCTION("GOOGLETRANSLATE(A16658, ""de"", ""en"")"),"diverse")</f>
        <v>diverse</v>
      </c>
    </row>
    <row r="16659">
      <c r="A16659" s="1" t="s">
        <v>16658</v>
      </c>
      <c r="B16659" s="2" t="str">
        <f>IFERROR(__xludf.DUMMYFUNCTION("GOOGLETRANSLATE(A16659, ""de"", ""en"")"),"allocated")</f>
        <v>allocated</v>
      </c>
    </row>
    <row r="16660">
      <c r="A16660" s="1" t="s">
        <v>16659</v>
      </c>
      <c r="B16660" s="2" t="str">
        <f>IFERROR(__xludf.DUMMYFUNCTION("GOOGLETRANSLATE(A16660, ""de"", ""en"")"),"prescribe")</f>
        <v>prescribe</v>
      </c>
    </row>
    <row r="16661">
      <c r="A16661" s="1" t="s">
        <v>16660</v>
      </c>
      <c r="B16661" s="2" t="str">
        <f>IFERROR(__xludf.DUMMYFUNCTION("GOOGLETRANSLATE(A16661, ""de"", ""en"")"),"artificial")</f>
        <v>artificial</v>
      </c>
    </row>
    <row r="16662">
      <c r="A16662" s="1" t="s">
        <v>16661</v>
      </c>
      <c r="B16662" s="2" t="str">
        <f>IFERROR(__xludf.DUMMYFUNCTION("GOOGLETRANSLATE(A16662, ""de"", ""en"")"),"graysons")</f>
        <v>graysons</v>
      </c>
    </row>
    <row r="16663">
      <c r="A16663" s="1" t="s">
        <v>16662</v>
      </c>
      <c r="B16663" s="2" t="str">
        <f>IFERROR(__xludf.DUMMYFUNCTION("GOOGLETRANSLATE(A16663, ""de"", ""en"")"),"huts")</f>
        <v>huts</v>
      </c>
    </row>
    <row r="16664">
      <c r="A16664" s="1" t="s">
        <v>16663</v>
      </c>
      <c r="B16664" s="2" t="str">
        <f>IFERROR(__xludf.DUMMYFUNCTION("GOOGLETRANSLATE(A16664, ""de"", ""en"")"),"edge")</f>
        <v>edge</v>
      </c>
    </row>
    <row r="16665">
      <c r="A16665" s="1" t="s">
        <v>16664</v>
      </c>
      <c r="B16665" s="2" t="str">
        <f>IFERROR(__xludf.DUMMYFUNCTION("GOOGLETRANSLATE(A16665, ""de"", ""en"")"),"law enforcement")</f>
        <v>law enforcement</v>
      </c>
    </row>
    <row r="16666">
      <c r="A16666" s="1" t="s">
        <v>16665</v>
      </c>
      <c r="B16666" s="2" t="str">
        <f>IFERROR(__xludf.DUMMYFUNCTION("GOOGLETRANSLATE(A16666, ""de"", ""en"")"),"Kenji")</f>
        <v>Kenji</v>
      </c>
    </row>
    <row r="16667">
      <c r="A16667" s="1" t="s">
        <v>16666</v>
      </c>
      <c r="B16667" s="2" t="str">
        <f>IFERROR(__xludf.DUMMYFUNCTION("GOOGLETRANSLATE(A16667, ""de"", ""en"")"),"precaution")</f>
        <v>precaution</v>
      </c>
    </row>
    <row r="16668">
      <c r="A16668" s="1" t="s">
        <v>16667</v>
      </c>
      <c r="B16668" s="2" t="str">
        <f>IFERROR(__xludf.DUMMYFUNCTION("GOOGLETRANSLATE(A16668, ""de"", ""en"")"),"envy")</f>
        <v>envy</v>
      </c>
    </row>
    <row r="16669">
      <c r="A16669" s="1" t="s">
        <v>16668</v>
      </c>
      <c r="B16669" s="2" t="str">
        <f>IFERROR(__xludf.DUMMYFUNCTION("GOOGLETRANSLATE(A16669, ""de"", ""en"")"),"pitt")</f>
        <v>pitt</v>
      </c>
    </row>
    <row r="16670">
      <c r="A16670" s="1" t="s">
        <v>16669</v>
      </c>
      <c r="B16670" s="2" t="str">
        <f>IFERROR(__xludf.DUMMYFUNCTION("GOOGLETRANSLATE(A16670, ""de"", ""en"")"),"drums")</f>
        <v>drums</v>
      </c>
    </row>
    <row r="16671">
      <c r="A16671" s="1" t="s">
        <v>16670</v>
      </c>
      <c r="B16671" s="2" t="str">
        <f>IFERROR(__xludf.DUMMYFUNCTION("GOOGLETRANSLATE(A16671, ""de"", ""en"")"),"forced")</f>
        <v>forced</v>
      </c>
    </row>
    <row r="16672">
      <c r="A16672" s="1" t="s">
        <v>16671</v>
      </c>
      <c r="B16672" s="2" t="str">
        <f>IFERROR(__xludf.DUMMYFUNCTION("GOOGLETRANSLATE(A16672, ""de"", ""en"")"),"career")</f>
        <v>career</v>
      </c>
    </row>
    <row r="16673">
      <c r="A16673" s="1" t="s">
        <v>16672</v>
      </c>
      <c r="B16673" s="2" t="str">
        <f>IFERROR(__xludf.DUMMYFUNCTION("GOOGLETRANSLATE(A16673, ""de"", ""en"")"),"ribs")</f>
        <v>ribs</v>
      </c>
    </row>
    <row r="16674">
      <c r="A16674" s="1" t="s">
        <v>16673</v>
      </c>
      <c r="B16674" s="2" t="str">
        <f>IFERROR(__xludf.DUMMYFUNCTION("GOOGLETRANSLATE(A16674, ""de"", ""en"")"),"physical")</f>
        <v>physical</v>
      </c>
    </row>
    <row r="16675">
      <c r="A16675" s="1" t="s">
        <v>16674</v>
      </c>
      <c r="B16675" s="2" t="str">
        <f>IFERROR(__xludf.DUMMYFUNCTION("GOOGLETRANSLATE(A16675, ""de"", ""en"")"),"wardrobe")</f>
        <v>wardrobe</v>
      </c>
    </row>
    <row r="16676">
      <c r="A16676" s="1" t="s">
        <v>16675</v>
      </c>
      <c r="B16676" s="2" t="str">
        <f>IFERROR(__xludf.DUMMYFUNCTION("GOOGLETRANSLATE(A16676, ""de"", ""en"")"),"settled")</f>
        <v>settled</v>
      </c>
    </row>
    <row r="16677">
      <c r="A16677" s="1" t="s">
        <v>16676</v>
      </c>
      <c r="B16677" s="2" t="str">
        <f>IFERROR(__xludf.DUMMYFUNCTION("GOOGLETRANSLATE(A16677, ""de"", ""en"")"),"promise")</f>
        <v>promise</v>
      </c>
    </row>
    <row r="16678">
      <c r="A16678" s="1" t="s">
        <v>16677</v>
      </c>
      <c r="B16678" s="2" t="str">
        <f>IFERROR(__xludf.DUMMYFUNCTION("GOOGLETRANSLATE(A16678, ""de"", ""en"")"),"saigon")</f>
        <v>saigon</v>
      </c>
    </row>
    <row r="16679">
      <c r="A16679" s="1" t="s">
        <v>16678</v>
      </c>
      <c r="B16679" s="2" t="str">
        <f>IFERROR(__xludf.DUMMYFUNCTION("GOOGLETRANSLATE(A16679, ""de"", ""en"")"),"roar")</f>
        <v>roar</v>
      </c>
    </row>
    <row r="16680">
      <c r="A16680" s="1" t="s">
        <v>16679</v>
      </c>
      <c r="B16680" s="2" t="str">
        <f>IFERROR(__xludf.DUMMYFUNCTION("GOOGLETRANSLATE(A16680, ""de"", ""en"")"),"statues")</f>
        <v>statues</v>
      </c>
    </row>
    <row r="16681">
      <c r="A16681" s="1" t="s">
        <v>16680</v>
      </c>
      <c r="B16681" s="2" t="str">
        <f>IFERROR(__xludf.DUMMYFUNCTION("GOOGLETRANSLATE(A16681, ""de"", ""en"")"),"good")</f>
        <v>good</v>
      </c>
    </row>
    <row r="16682">
      <c r="A16682" s="1" t="s">
        <v>16681</v>
      </c>
      <c r="B16682" s="2" t="str">
        <f>IFERROR(__xludf.DUMMYFUNCTION("GOOGLETRANSLATE(A16682, ""de"", ""en"")"),"uwe")</f>
        <v>uwe</v>
      </c>
    </row>
    <row r="16683">
      <c r="A16683" s="1" t="s">
        <v>16682</v>
      </c>
      <c r="B16683" s="2" t="str">
        <f>IFERROR(__xludf.DUMMYFUNCTION("GOOGLETRANSLATE(A16683, ""de"", ""en"")"),"leads there")</f>
        <v>leads there</v>
      </c>
    </row>
    <row r="16684">
      <c r="A16684" s="1" t="s">
        <v>16683</v>
      </c>
      <c r="B16684" s="2" t="str">
        <f>IFERROR(__xludf.DUMMYFUNCTION("GOOGLETRANSLATE(A16684, ""de"", ""en"")"),"carlotta")</f>
        <v>carlotta</v>
      </c>
    </row>
    <row r="16685">
      <c r="A16685" s="1" t="s">
        <v>16684</v>
      </c>
      <c r="B16685" s="2" t="str">
        <f>IFERROR(__xludf.DUMMYFUNCTION("GOOGLETRANSLATE(A16685, ""de"", ""en"")"),"bye")</f>
        <v>bye</v>
      </c>
    </row>
    <row r="16686">
      <c r="A16686" s="1" t="s">
        <v>16685</v>
      </c>
      <c r="B16686" s="2" t="str">
        <f>IFERROR(__xludf.DUMMYFUNCTION("GOOGLETRANSLATE(A16686, ""de"", ""en"")"),"magdalena")</f>
        <v>magdalena</v>
      </c>
    </row>
    <row r="16687">
      <c r="A16687" s="1" t="s">
        <v>16686</v>
      </c>
      <c r="B16687" s="2" t="str">
        <f>IFERROR(__xludf.DUMMYFUNCTION("GOOGLETRANSLATE(A16687, ""de"", ""en"")"),"over")</f>
        <v>over</v>
      </c>
    </row>
    <row r="16688">
      <c r="A16688" s="1" t="s">
        <v>16687</v>
      </c>
      <c r="B16688" s="2" t="str">
        <f>IFERROR(__xludf.DUMMYFUNCTION("GOOGLETRANSLATE(A16688, ""de"", ""en"")"),"in this regard")</f>
        <v>in this regard</v>
      </c>
    </row>
    <row r="16689">
      <c r="A16689" s="1" t="s">
        <v>16688</v>
      </c>
      <c r="B16689" s="2" t="str">
        <f>IFERROR(__xludf.DUMMYFUNCTION("GOOGLETRANSLATE(A16689, ""de"", ""en"")"),"isobel")</f>
        <v>isobel</v>
      </c>
    </row>
    <row r="16690">
      <c r="A16690" s="1" t="s">
        <v>16689</v>
      </c>
      <c r="B16690" s="2" t="str">
        <f>IFERROR(__xludf.DUMMYFUNCTION("GOOGLETRANSLATE(A16690, ""de"", ""en"")"),"Jamal")</f>
        <v>Jamal</v>
      </c>
    </row>
    <row r="16691">
      <c r="A16691" s="1" t="s">
        <v>16690</v>
      </c>
      <c r="B16691" s="2" t="str">
        <f>IFERROR(__xludf.DUMMYFUNCTION("GOOGLETRANSLATE(A16691, ""de"", ""en"")"),"inventions")</f>
        <v>inventions</v>
      </c>
    </row>
    <row r="16692">
      <c r="A16692" s="1" t="s">
        <v>16691</v>
      </c>
      <c r="B16692" s="2" t="str">
        <f>IFERROR(__xludf.DUMMYFUNCTION("GOOGLETRANSLATE(A16692, ""de"", ""en"")"),"Alaric")</f>
        <v>Alaric</v>
      </c>
    </row>
    <row r="16693">
      <c r="A16693" s="1" t="s">
        <v>16692</v>
      </c>
      <c r="B16693" s="2" t="str">
        <f>IFERROR(__xludf.DUMMYFUNCTION("GOOGLETRANSLATE(A16693, ""de"", ""en"")"),"statistics")</f>
        <v>statistics</v>
      </c>
    </row>
    <row r="16694">
      <c r="A16694" s="1" t="s">
        <v>16693</v>
      </c>
      <c r="B16694" s="2" t="str">
        <f>IFERROR(__xludf.DUMMYFUNCTION("GOOGLETRANSLATE(A16694, ""de"", ""en"")"),"always")</f>
        <v>always</v>
      </c>
    </row>
    <row r="16695">
      <c r="A16695" s="1" t="s">
        <v>16694</v>
      </c>
      <c r="B16695" s="2" t="str">
        <f>IFERROR(__xludf.DUMMYFUNCTION("GOOGLETRANSLATE(A16695, ""de"", ""en"")"),"part")</f>
        <v>part</v>
      </c>
    </row>
    <row r="16696">
      <c r="A16696" s="1" t="s">
        <v>16695</v>
      </c>
      <c r="B16696" s="2" t="str">
        <f>IFERROR(__xludf.DUMMYFUNCTION("GOOGLETRANSLATE(A16696, ""de"", ""en"")"),"lorna")</f>
        <v>lorna</v>
      </c>
    </row>
    <row r="16697">
      <c r="A16697" s="1" t="s">
        <v>16696</v>
      </c>
      <c r="B16697" s="2" t="str">
        <f>IFERROR(__xludf.DUMMYFUNCTION("GOOGLETRANSLATE(A16697, ""de"", ""en"")"),"didi")</f>
        <v>didi</v>
      </c>
    </row>
    <row r="16698">
      <c r="A16698" s="1" t="s">
        <v>16697</v>
      </c>
      <c r="B16698" s="2" t="str">
        <f>IFERROR(__xludf.DUMMYFUNCTION("GOOGLETRANSLATE(A16698, ""de"", ""en"")"),"rushes")</f>
        <v>rushes</v>
      </c>
    </row>
    <row r="16699">
      <c r="A16699" s="1" t="s">
        <v>16698</v>
      </c>
      <c r="B16699" s="2" t="str">
        <f>IFERROR(__xludf.DUMMYFUNCTION("GOOGLETRANSLATE(A16699, ""de"", ""en"")"),"susi")</f>
        <v>susi</v>
      </c>
    </row>
    <row r="16700">
      <c r="A16700" s="1" t="s">
        <v>16699</v>
      </c>
      <c r="B16700" s="2" t="str">
        <f>IFERROR(__xludf.DUMMYFUNCTION("GOOGLETRANSLATE(A16700, ""de"", ""en"")"),"human resources department")</f>
        <v>human resources department</v>
      </c>
    </row>
    <row r="16701">
      <c r="A16701" s="1" t="s">
        <v>16700</v>
      </c>
      <c r="B16701" s="2" t="str">
        <f>IFERROR(__xludf.DUMMYFUNCTION("GOOGLETRANSLATE(A16701, ""de"", ""en"")"),"come with me")</f>
        <v>come with me</v>
      </c>
    </row>
    <row r="16702">
      <c r="A16702" s="1" t="s">
        <v>16701</v>
      </c>
      <c r="B16702" s="2" t="str">
        <f>IFERROR(__xludf.DUMMYFUNCTION("GOOGLETRANSLATE(A16702, ""de"", ""en"")"),"Taliban")</f>
        <v>Taliban</v>
      </c>
    </row>
    <row r="16703">
      <c r="A16703" s="1" t="s">
        <v>16702</v>
      </c>
      <c r="B16703" s="2" t="str">
        <f>IFERROR(__xludf.DUMMYFUNCTION("GOOGLETRANSLATE(A16703, ""de"", ""en"")"),"occurred")</f>
        <v>occurred</v>
      </c>
    </row>
    <row r="16704">
      <c r="A16704" s="1" t="s">
        <v>16703</v>
      </c>
      <c r="B16704" s="2" t="str">
        <f>IFERROR(__xludf.DUMMYFUNCTION("GOOGLETRANSLATE(A16704, ""de"", ""en"")"),"crosses")</f>
        <v>crosses</v>
      </c>
    </row>
    <row r="16705">
      <c r="A16705" s="1" t="s">
        <v>16704</v>
      </c>
      <c r="B16705" s="2" t="str">
        <f>IFERROR(__xludf.DUMMYFUNCTION("GOOGLETRANSLATE(A16705, ""de"", ""en"")"),"mourns")</f>
        <v>mourns</v>
      </c>
    </row>
    <row r="16706">
      <c r="A16706" s="1" t="s">
        <v>16705</v>
      </c>
      <c r="B16706" s="2" t="str">
        <f>IFERROR(__xludf.DUMMYFUNCTION("GOOGLETRANSLATE(A16706, ""de"", ""en"")"),"decides")</f>
        <v>decides</v>
      </c>
    </row>
    <row r="16707">
      <c r="A16707" s="1" t="s">
        <v>16706</v>
      </c>
      <c r="B16707" s="2" t="str">
        <f>IFERROR(__xludf.DUMMYFUNCTION("GOOGLETRANSLATE(A16707, ""de"", ""en"")"),"accused")</f>
        <v>accused</v>
      </c>
    </row>
    <row r="16708">
      <c r="A16708" s="1" t="s">
        <v>16707</v>
      </c>
      <c r="B16708" s="2" t="str">
        <f>IFERROR(__xludf.DUMMYFUNCTION("GOOGLETRANSLATE(A16708, ""de"", ""en"")"),"to withdraw")</f>
        <v>to withdraw</v>
      </c>
    </row>
    <row r="16709">
      <c r="A16709" s="1" t="s">
        <v>16708</v>
      </c>
      <c r="B16709" s="2" t="str">
        <f>IFERROR(__xludf.DUMMYFUNCTION("GOOGLETRANSLATE(A16709, ""de"", ""en"")"),"investigated")</f>
        <v>investigated</v>
      </c>
    </row>
    <row r="16710">
      <c r="A16710" s="1" t="s">
        <v>16709</v>
      </c>
      <c r="B16710" s="2" t="str">
        <f>IFERROR(__xludf.DUMMYFUNCTION("GOOGLETRANSLATE(A16710, ""de"", ""en"")"),"break")</f>
        <v>break</v>
      </c>
    </row>
    <row r="16711">
      <c r="A16711" s="1" t="s">
        <v>16710</v>
      </c>
      <c r="B16711" s="2" t="str">
        <f>IFERROR(__xludf.DUMMYFUNCTION("GOOGLETRANSLATE(A16711, ""de"", ""en"")"),"criminal police")</f>
        <v>criminal police</v>
      </c>
    </row>
    <row r="16712">
      <c r="A16712" s="1" t="s">
        <v>16711</v>
      </c>
      <c r="B16712" s="2" t="str">
        <f>IFERROR(__xludf.DUMMYFUNCTION("GOOGLETRANSLATE(A16712, ""de"", ""en"")"),"British")</f>
        <v>British</v>
      </c>
    </row>
    <row r="16713">
      <c r="A16713" s="1" t="s">
        <v>16712</v>
      </c>
      <c r="B16713" s="2" t="str">
        <f>IFERROR(__xludf.DUMMYFUNCTION("GOOGLETRANSLATE(A16713, ""de"", ""en"")"),"lees")</f>
        <v>lees</v>
      </c>
    </row>
    <row r="16714">
      <c r="A16714" s="1" t="s">
        <v>16713</v>
      </c>
      <c r="B16714" s="2" t="str">
        <f>IFERROR(__xludf.DUMMYFUNCTION("GOOGLETRANSLATE(A16714, ""de"", ""en"")"),"Ernest")</f>
        <v>Ernest</v>
      </c>
    </row>
    <row r="16715">
      <c r="A16715" s="1" t="s">
        <v>16714</v>
      </c>
      <c r="B16715" s="2" t="str">
        <f>IFERROR(__xludf.DUMMYFUNCTION("GOOGLETRANSLATE(A16715, ""de"", ""en"")"),"marv")</f>
        <v>marv</v>
      </c>
    </row>
    <row r="16716">
      <c r="A16716" s="1" t="s">
        <v>16715</v>
      </c>
      <c r="B16716" s="2" t="str">
        <f>IFERROR(__xludf.DUMMYFUNCTION("GOOGLETRANSLATE(A16716, ""de"", ""en"")"),"toilet paper")</f>
        <v>toilet paper</v>
      </c>
    </row>
    <row r="16717">
      <c r="A16717" s="1" t="s">
        <v>16716</v>
      </c>
      <c r="B16717" s="2" t="str">
        <f>IFERROR(__xludf.DUMMYFUNCTION("GOOGLETRANSLATE(A16717, ""de"", ""en"")"),"dived")</f>
        <v>dived</v>
      </c>
    </row>
    <row r="16718">
      <c r="A16718" s="1" t="s">
        <v>16717</v>
      </c>
      <c r="B16718" s="2" t="str">
        <f>IFERROR(__xludf.DUMMYFUNCTION("GOOGLETRANSLATE(A16718, ""de"", ""en"")"),"valid")</f>
        <v>valid</v>
      </c>
    </row>
    <row r="16719">
      <c r="A16719" s="1" t="s">
        <v>16718</v>
      </c>
      <c r="B16719" s="2" t="str">
        <f>IFERROR(__xludf.DUMMYFUNCTION("GOOGLETRANSLATE(A16719, ""de"", ""en"")"),"Edward")</f>
        <v>Edward</v>
      </c>
    </row>
    <row r="16720">
      <c r="A16720" s="1" t="s">
        <v>16719</v>
      </c>
      <c r="B16720" s="2" t="str">
        <f>IFERROR(__xludf.DUMMYFUNCTION("GOOGLETRANSLATE(A16720, ""de"", ""en"")"),"atone")</f>
        <v>atone</v>
      </c>
    </row>
    <row r="16721">
      <c r="A16721" s="1" t="s">
        <v>16720</v>
      </c>
      <c r="B16721" s="2" t="str">
        <f>IFERROR(__xludf.DUMMYFUNCTION("GOOGLETRANSLATE(A16721, ""de"", ""en"")"),"raids")</f>
        <v>raids</v>
      </c>
    </row>
    <row r="16722">
      <c r="A16722" s="1" t="s">
        <v>16721</v>
      </c>
      <c r="B16722" s="2" t="str">
        <f>IFERROR(__xludf.DUMMYFUNCTION("GOOGLETRANSLATE(A16722, ""de"", ""en"")"),"to make amends")</f>
        <v>to make amends</v>
      </c>
    </row>
    <row r="16723">
      <c r="A16723" s="1" t="s">
        <v>16722</v>
      </c>
      <c r="B16723" s="2" t="str">
        <f>IFERROR(__xludf.DUMMYFUNCTION("GOOGLETRANSLATE(A16723, ""de"", ""en"")"),"disregard")</f>
        <v>disregard</v>
      </c>
    </row>
    <row r="16724">
      <c r="A16724" s="1" t="s">
        <v>16723</v>
      </c>
      <c r="B16724" s="2" t="str">
        <f>IFERROR(__xludf.DUMMYFUNCTION("GOOGLETRANSLATE(A16724, ""de"", ""en"")"),"charming")</f>
        <v>charming</v>
      </c>
    </row>
    <row r="16725">
      <c r="A16725" s="1" t="s">
        <v>16724</v>
      </c>
      <c r="B16725" s="2" t="str">
        <f>IFERROR(__xludf.DUMMYFUNCTION("GOOGLETRANSLATE(A16725, ""de"", ""en"")"),"assigned")</f>
        <v>assigned</v>
      </c>
    </row>
    <row r="16726">
      <c r="A16726" s="1" t="s">
        <v>16725</v>
      </c>
      <c r="B16726" s="2" t="str">
        <f>IFERROR(__xludf.DUMMYFUNCTION("GOOGLETRANSLATE(A16726, ""de"", ""en"")"),"were located")</f>
        <v>were located</v>
      </c>
    </row>
    <row r="16727">
      <c r="A16727" s="1" t="s">
        <v>16726</v>
      </c>
      <c r="B16727" s="2" t="str">
        <f>IFERROR(__xludf.DUMMYFUNCTION("GOOGLETRANSLATE(A16727, ""de"", ""en"")"),"gisburne")</f>
        <v>gisburne</v>
      </c>
    </row>
    <row r="16728">
      <c r="A16728" s="1" t="s">
        <v>16727</v>
      </c>
      <c r="B16728" s="2" t="str">
        <f>IFERROR(__xludf.DUMMYFUNCTION("GOOGLETRANSLATE(A16728, ""de"", ""en"")"),"huang")</f>
        <v>huang</v>
      </c>
    </row>
    <row r="16729">
      <c r="A16729" s="1" t="s">
        <v>16728</v>
      </c>
      <c r="B16729" s="2" t="str">
        <f>IFERROR(__xludf.DUMMYFUNCTION("GOOGLETRANSLATE(A16729, ""de"", ""en"")"),"happen")</f>
        <v>happen</v>
      </c>
    </row>
    <row r="16730">
      <c r="A16730" s="1" t="s">
        <v>16729</v>
      </c>
      <c r="B16730" s="2" t="str">
        <f>IFERROR(__xludf.DUMMYFUNCTION("GOOGLETRANSLATE(A16730, ""de"", ""en"")"),"kicked")</f>
        <v>kicked</v>
      </c>
    </row>
    <row r="16731">
      <c r="A16731" s="1" t="s">
        <v>16730</v>
      </c>
      <c r="B16731" s="2" t="str">
        <f>IFERROR(__xludf.DUMMYFUNCTION("GOOGLETRANSLATE(A16731, ""de"", ""en"")"),"doreen")</f>
        <v>doreen</v>
      </c>
    </row>
    <row r="16732">
      <c r="A16732" s="1" t="s">
        <v>16731</v>
      </c>
      <c r="B16732" s="2" t="str">
        <f>IFERROR(__xludf.DUMMYFUNCTION("GOOGLETRANSLATE(A16732, ""de"", ""en"")"),"checks")</f>
        <v>checks</v>
      </c>
    </row>
    <row r="16733">
      <c r="A16733" s="1" t="s">
        <v>16732</v>
      </c>
      <c r="B16733" s="2" t="str">
        <f>IFERROR(__xludf.DUMMYFUNCTION("GOOGLETRANSLATE(A16733, ""de"", ""en"")"),"bridle")</f>
        <v>bridle</v>
      </c>
    </row>
    <row r="16734">
      <c r="A16734" s="1" t="s">
        <v>16733</v>
      </c>
      <c r="B16734" s="2" t="str">
        <f>IFERROR(__xludf.DUMMYFUNCTION("GOOGLETRANSLATE(A16734, ""de"", ""en"")"),"immune system")</f>
        <v>immune system</v>
      </c>
    </row>
    <row r="16735">
      <c r="A16735" s="1" t="s">
        <v>16734</v>
      </c>
      <c r="B16735" s="2" t="str">
        <f>IFERROR(__xludf.DUMMYFUNCTION("GOOGLETRANSLATE(A16735, ""de"", ""en"")"),"nail")</f>
        <v>nail</v>
      </c>
    </row>
    <row r="16736">
      <c r="A16736" s="1" t="s">
        <v>16735</v>
      </c>
      <c r="B16736" s="2" t="str">
        <f>IFERROR(__xludf.DUMMYFUNCTION("GOOGLETRANSLATE(A16736, ""de"", ""en"")"),"veterans")</f>
        <v>veterans</v>
      </c>
    </row>
    <row r="16737">
      <c r="A16737" s="1" t="s">
        <v>16736</v>
      </c>
      <c r="B16737" s="2" t="str">
        <f>IFERROR(__xludf.DUMMYFUNCTION("GOOGLETRANSLATE(A16737, ""de"", ""en"")"),"telephone numbers")</f>
        <v>telephone numbers</v>
      </c>
    </row>
    <row r="16738">
      <c r="A16738" s="1" t="s">
        <v>16737</v>
      </c>
      <c r="B16738" s="2" t="str">
        <f>IFERROR(__xludf.DUMMYFUNCTION("GOOGLETRANSLATE(A16738, ""de"", ""en"")"),"Elton")</f>
        <v>Elton</v>
      </c>
    </row>
    <row r="16739">
      <c r="A16739" s="1" t="s">
        <v>16738</v>
      </c>
      <c r="B16739" s="2" t="str">
        <f>IFERROR(__xludf.DUMMYFUNCTION("GOOGLETRANSLATE(A16739, ""de"", ""en"")"),"authentic")</f>
        <v>authentic</v>
      </c>
    </row>
    <row r="16740">
      <c r="A16740" s="1" t="s">
        <v>16739</v>
      </c>
      <c r="B16740" s="2" t="str">
        <f>IFERROR(__xludf.DUMMYFUNCTION("GOOGLETRANSLATE(A16740, ""de"", ""en"")"),"ventilate")</f>
        <v>ventilate</v>
      </c>
    </row>
    <row r="16741">
      <c r="A16741" s="1" t="s">
        <v>16740</v>
      </c>
      <c r="B16741" s="2" t="str">
        <f>IFERROR(__xludf.DUMMYFUNCTION("GOOGLETRANSLATE(A16741, ""de"", ""en"")"),"cheated")</f>
        <v>cheated</v>
      </c>
    </row>
    <row r="16742">
      <c r="A16742" s="1" t="s">
        <v>16741</v>
      </c>
      <c r="B16742" s="2" t="str">
        <f>IFERROR(__xludf.DUMMYFUNCTION("GOOGLETRANSLATE(A16742, ""de"", ""en"")"),"carry on")</f>
        <v>carry on</v>
      </c>
    </row>
    <row r="16743">
      <c r="A16743" s="1" t="s">
        <v>16742</v>
      </c>
      <c r="B16743" s="2" t="str">
        <f>IFERROR(__xludf.DUMMYFUNCTION("GOOGLETRANSLATE(A16743, ""de"", ""en"")"),"advance")</f>
        <v>advance</v>
      </c>
    </row>
    <row r="16744">
      <c r="A16744" s="1" t="s">
        <v>16743</v>
      </c>
      <c r="B16744" s="2" t="str">
        <f>IFERROR(__xludf.DUMMYFUNCTION("GOOGLETRANSLATE(A16744, ""de"", ""en"")"),"moody")</f>
        <v>moody</v>
      </c>
    </row>
    <row r="16745">
      <c r="A16745" s="1" t="s">
        <v>16744</v>
      </c>
      <c r="B16745" s="2" t="str">
        <f>IFERROR(__xludf.DUMMYFUNCTION("GOOGLETRANSLATE(A16745, ""de"", ""en"")"),"keep talking")</f>
        <v>keep talking</v>
      </c>
    </row>
    <row r="16746">
      <c r="A16746" s="1" t="s">
        <v>16745</v>
      </c>
      <c r="B16746" s="2" t="str">
        <f>IFERROR(__xludf.DUMMYFUNCTION("GOOGLETRANSLATE(A16746, ""de"", ""en"")"),"sarcastic")</f>
        <v>sarcastic</v>
      </c>
    </row>
    <row r="16747">
      <c r="A16747" s="1" t="s">
        <v>16746</v>
      </c>
      <c r="B16747" s="2" t="str">
        <f>IFERROR(__xludf.DUMMYFUNCTION("GOOGLETRANSLATE(A16747, ""de"", ""en"")"),"hangar")</f>
        <v>hangar</v>
      </c>
    </row>
    <row r="16748">
      <c r="A16748" s="1" t="s">
        <v>16747</v>
      </c>
      <c r="B16748" s="2" t="str">
        <f>IFERROR(__xludf.DUMMYFUNCTION("GOOGLETRANSLATE(A16748, ""de"", ""en"")"),"raced")</f>
        <v>raced</v>
      </c>
    </row>
    <row r="16749">
      <c r="A16749" s="1" t="s">
        <v>16748</v>
      </c>
      <c r="B16749" s="2" t="str">
        <f>IFERROR(__xludf.DUMMYFUNCTION("GOOGLETRANSLATE(A16749, ""de"", ""en"")"),"interference")</f>
        <v>interference</v>
      </c>
    </row>
    <row r="16750">
      <c r="A16750" s="1" t="s">
        <v>16749</v>
      </c>
      <c r="B16750" s="2" t="str">
        <f>IFERROR(__xludf.DUMMYFUNCTION("GOOGLETRANSLATE(A16750, ""de"", ""en"")"),"school year")</f>
        <v>school year</v>
      </c>
    </row>
    <row r="16751">
      <c r="A16751" s="1" t="s">
        <v>16750</v>
      </c>
      <c r="B16751" s="2" t="str">
        <f>IFERROR(__xludf.DUMMYFUNCTION("GOOGLETRANSLATE(A16751, ""de"", ""en"")"),"holes")</f>
        <v>holes</v>
      </c>
    </row>
    <row r="16752">
      <c r="A16752" s="1" t="s">
        <v>16751</v>
      </c>
      <c r="B16752" s="2" t="str">
        <f>IFERROR(__xludf.DUMMYFUNCTION("GOOGLETRANSLATE(A16752, ""de"", ""en"")"),"herb")</f>
        <v>herb</v>
      </c>
    </row>
    <row r="16753">
      <c r="A16753" s="1" t="s">
        <v>16752</v>
      </c>
      <c r="B16753" s="2" t="str">
        <f>IFERROR(__xludf.DUMMYFUNCTION("GOOGLETRANSLATE(A16753, ""de"", ""en"")"),"lively")</f>
        <v>lively</v>
      </c>
    </row>
    <row r="16754">
      <c r="A16754" s="1" t="s">
        <v>16753</v>
      </c>
      <c r="B16754" s="2" t="str">
        <f>IFERROR(__xludf.DUMMYFUNCTION("GOOGLETRANSLATE(A16754, ""de"", ""en"")"),"allow me")</f>
        <v>allow me</v>
      </c>
    </row>
    <row r="16755">
      <c r="A16755" s="1" t="s">
        <v>16754</v>
      </c>
      <c r="B16755" s="2" t="str">
        <f>IFERROR(__xludf.DUMMYFUNCTION("GOOGLETRANSLATE(A16755, ""de"", ""en"")"),"expectation")</f>
        <v>expectation</v>
      </c>
    </row>
    <row r="16756">
      <c r="A16756" s="1" t="s">
        <v>16755</v>
      </c>
      <c r="B16756" s="2" t="str">
        <f>IFERROR(__xludf.DUMMYFUNCTION("GOOGLETRANSLATE(A16756, ""de"", ""en"")"),"diesel")</f>
        <v>diesel</v>
      </c>
    </row>
    <row r="16757">
      <c r="A16757" s="1" t="s">
        <v>16756</v>
      </c>
      <c r="B16757" s="2" t="str">
        <f>IFERROR(__xludf.DUMMYFUNCTION("GOOGLETRANSLATE(A16757, ""de"", ""en"")"),"Françoise")</f>
        <v>Françoise</v>
      </c>
    </row>
    <row r="16758">
      <c r="A16758" s="1" t="s">
        <v>16757</v>
      </c>
      <c r="B16758" s="2" t="str">
        <f>IFERROR(__xludf.DUMMYFUNCTION("GOOGLETRANSLATE(A16758, ""de"", ""en"")"),"estate")</f>
        <v>estate</v>
      </c>
    </row>
    <row r="16759">
      <c r="A16759" s="1" t="s">
        <v>16758</v>
      </c>
      <c r="B16759" s="2" t="str">
        <f>IFERROR(__xludf.DUMMYFUNCTION("GOOGLETRANSLATE(A16759, ""de"", ""en"")"),"Garrison")</f>
        <v>Garrison</v>
      </c>
    </row>
    <row r="16760">
      <c r="A16760" s="1" t="s">
        <v>16759</v>
      </c>
      <c r="B16760" s="2" t="str">
        <f>IFERROR(__xludf.DUMMYFUNCTION("GOOGLETRANSLATE(A16760, ""de"", ""en"")"),"sanatorium")</f>
        <v>sanatorium</v>
      </c>
    </row>
    <row r="16761">
      <c r="A16761" s="1" t="s">
        <v>16760</v>
      </c>
      <c r="B16761" s="2" t="str">
        <f>IFERROR(__xludf.DUMMYFUNCTION("GOOGLETRANSLATE(A16761, ""de"", ""en"")"),"uncool")</f>
        <v>uncool</v>
      </c>
    </row>
    <row r="16762">
      <c r="A16762" s="1" t="s">
        <v>16761</v>
      </c>
      <c r="B16762" s="2" t="str">
        <f>IFERROR(__xludf.DUMMYFUNCTION("GOOGLETRANSLATE(A16762, ""de"", ""en"")"),"romantic")</f>
        <v>romantic</v>
      </c>
    </row>
    <row r="16763">
      <c r="A16763" s="1" t="s">
        <v>16762</v>
      </c>
      <c r="B16763" s="2" t="str">
        <f>IFERROR(__xludf.DUMMYFUNCTION("GOOGLETRANSLATE(A16763, ""de"", ""en"")"),"initiate")</f>
        <v>initiate</v>
      </c>
    </row>
    <row r="16764">
      <c r="A16764" s="1" t="s">
        <v>16763</v>
      </c>
      <c r="B16764" s="2" t="str">
        <f>IFERROR(__xludf.DUMMYFUNCTION("GOOGLETRANSLATE(A16764, ""de"", ""en"")"),"celebrate")</f>
        <v>celebrate</v>
      </c>
    </row>
    <row r="16765">
      <c r="A16765" s="1" t="s">
        <v>16764</v>
      </c>
      <c r="B16765" s="2" t="str">
        <f>IFERROR(__xludf.DUMMYFUNCTION("GOOGLETRANSLATE(A16765, ""de"", ""en"")"),"very first")</f>
        <v>very first</v>
      </c>
    </row>
    <row r="16766">
      <c r="A16766" s="1" t="s">
        <v>16765</v>
      </c>
      <c r="B16766" s="2" t="str">
        <f>IFERROR(__xludf.DUMMYFUNCTION("GOOGLETRANSLATE(A16766, ""de"", ""en"")"),"fayed")</f>
        <v>fayed</v>
      </c>
    </row>
    <row r="16767">
      <c r="A16767" s="1" t="s">
        <v>16766</v>
      </c>
      <c r="B16767" s="2" t="str">
        <f>IFERROR(__xludf.DUMMYFUNCTION("GOOGLETRANSLATE(A16767, ""de"", ""en"")"),"emails")</f>
        <v>emails</v>
      </c>
    </row>
    <row r="16768">
      <c r="A16768" s="1" t="s">
        <v>16767</v>
      </c>
      <c r="B16768" s="2" t="str">
        <f>IFERROR(__xludf.DUMMYFUNCTION("GOOGLETRANSLATE(A16768, ""de"", ""en"")"),"marry")</f>
        <v>marry</v>
      </c>
    </row>
    <row r="16769">
      <c r="A16769" s="1" t="s">
        <v>16768</v>
      </c>
      <c r="B16769" s="2" t="str">
        <f>IFERROR(__xludf.DUMMYFUNCTION("GOOGLETRANSLATE(A16769, ""de"", ""en"")"),"abbot")</f>
        <v>abbot</v>
      </c>
    </row>
    <row r="16770">
      <c r="A16770" s="1" t="s">
        <v>16769</v>
      </c>
      <c r="B16770" s="2" t="str">
        <f>IFERROR(__xludf.DUMMYFUNCTION("GOOGLETRANSLATE(A16770, ""de"", ""en"")"),"shorty")</f>
        <v>shorty</v>
      </c>
    </row>
    <row r="16771">
      <c r="A16771" s="1" t="s">
        <v>16770</v>
      </c>
      <c r="B16771" s="2" t="str">
        <f>IFERROR(__xludf.DUMMYFUNCTION("GOOGLETRANSLATE(A16771, ""de"", ""en"")"),"thought about it")</f>
        <v>thought about it</v>
      </c>
    </row>
    <row r="16772">
      <c r="A16772" s="1" t="s">
        <v>16771</v>
      </c>
      <c r="B16772" s="2" t="str">
        <f>IFERROR(__xludf.DUMMYFUNCTION("GOOGLETRANSLATE(A16772, ""de"", ""en"")"),"hesitated")</f>
        <v>hesitated</v>
      </c>
    </row>
    <row r="16773">
      <c r="A16773" s="1" t="s">
        <v>16772</v>
      </c>
      <c r="B16773" s="2" t="str">
        <f>IFERROR(__xludf.DUMMYFUNCTION("GOOGLETRANSLATE(A16773, ""de"", ""en"")"),"confront")</f>
        <v>confront</v>
      </c>
    </row>
    <row r="16774">
      <c r="A16774" s="1" t="s">
        <v>16773</v>
      </c>
      <c r="B16774" s="2" t="str">
        <f>IFERROR(__xludf.DUMMYFUNCTION("GOOGLETRANSLATE(A16774, ""de"", ""en"")"),"more looking")</f>
        <v>more looking</v>
      </c>
    </row>
    <row r="16775">
      <c r="A16775" s="1" t="s">
        <v>16774</v>
      </c>
      <c r="B16775" s="2" t="str">
        <f>IFERROR(__xludf.DUMMYFUNCTION("GOOGLETRANSLATE(A16775, ""de"", ""en"")"),"Donnelly")</f>
        <v>Donnelly</v>
      </c>
    </row>
    <row r="16776">
      <c r="A16776" s="1" t="s">
        <v>16775</v>
      </c>
      <c r="B16776" s="2" t="str">
        <f>IFERROR(__xludf.DUMMYFUNCTION("GOOGLETRANSLATE(A16776, ""de"", ""en"")"),"started")</f>
        <v>started</v>
      </c>
    </row>
    <row r="16777">
      <c r="A16777" s="1" t="s">
        <v>16776</v>
      </c>
      <c r="B16777" s="2" t="str">
        <f>IFERROR(__xludf.DUMMYFUNCTION("GOOGLETRANSLATE(A16777, ""de"", ""en"")"),"roscoe")</f>
        <v>roscoe</v>
      </c>
    </row>
    <row r="16778">
      <c r="A16778" s="1" t="s">
        <v>16777</v>
      </c>
      <c r="B16778" s="2" t="str">
        <f>IFERROR(__xludf.DUMMYFUNCTION("GOOGLETRANSLATE(A16778, ""de"", ""en"")"),"transferred")</f>
        <v>transferred</v>
      </c>
    </row>
    <row r="16779">
      <c r="A16779" s="1" t="s">
        <v>16778</v>
      </c>
      <c r="B16779" s="2" t="str">
        <f>IFERROR(__xludf.DUMMYFUNCTION("GOOGLETRANSLATE(A16779, ""de"", ""en"")"),"banquet")</f>
        <v>banquet</v>
      </c>
    </row>
    <row r="16780">
      <c r="A16780" s="1" t="s">
        <v>16779</v>
      </c>
      <c r="B16780" s="2" t="str">
        <f>IFERROR(__xludf.DUMMYFUNCTION("GOOGLETRANSLATE(A16780, ""de"", ""en"")"),"note")</f>
        <v>note</v>
      </c>
    </row>
    <row r="16781">
      <c r="A16781" s="1" t="s">
        <v>16780</v>
      </c>
      <c r="B16781" s="2" t="str">
        <f>IFERROR(__xludf.DUMMYFUNCTION("GOOGLETRANSLATE(A16781, ""de"", ""en"")"),"clean up")</f>
        <v>clean up</v>
      </c>
    </row>
    <row r="16782">
      <c r="A16782" s="1" t="s">
        <v>16781</v>
      </c>
      <c r="B16782" s="2" t="str">
        <f>IFERROR(__xludf.DUMMYFUNCTION("GOOGLETRANSLATE(A16782, ""de"", ""en"")"),"critical")</f>
        <v>critical</v>
      </c>
    </row>
    <row r="16783">
      <c r="A16783" s="1" t="s">
        <v>16782</v>
      </c>
      <c r="B16783" s="2" t="str">
        <f>IFERROR(__xludf.DUMMYFUNCTION("GOOGLETRANSLATE(A16783, ""de"", ""en"")"),"cloud")</f>
        <v>cloud</v>
      </c>
    </row>
    <row r="16784">
      <c r="A16784" s="1" t="s">
        <v>16783</v>
      </c>
      <c r="B16784" s="2" t="str">
        <f>IFERROR(__xludf.DUMMYFUNCTION("GOOGLETRANSLATE(A16784, ""de"", ""en"")"),"active")</f>
        <v>active</v>
      </c>
    </row>
    <row r="16785">
      <c r="A16785" s="1" t="s">
        <v>16784</v>
      </c>
      <c r="B16785" s="2" t="str">
        <f>IFERROR(__xludf.DUMMYFUNCTION("GOOGLETRANSLATE(A16785, ""de"", ""en"")"),"yoyo")</f>
        <v>yoyo</v>
      </c>
    </row>
    <row r="16786">
      <c r="A16786" s="1" t="s">
        <v>16785</v>
      </c>
      <c r="B16786" s="2" t="str">
        <f>IFERROR(__xludf.DUMMYFUNCTION("GOOGLETRANSLATE(A16786, ""de"", ""en"")"),"peaceful")</f>
        <v>peaceful</v>
      </c>
    </row>
    <row r="16787">
      <c r="A16787" s="1" t="s">
        <v>16786</v>
      </c>
      <c r="B16787" s="2" t="str">
        <f>IFERROR(__xludf.DUMMYFUNCTION("GOOGLETRANSLATE(A16787, ""de"", ""en"")"),"grantham")</f>
        <v>grantham</v>
      </c>
    </row>
    <row r="16788">
      <c r="A16788" s="1" t="s">
        <v>16787</v>
      </c>
      <c r="B16788" s="2" t="str">
        <f>IFERROR(__xludf.DUMMYFUNCTION("GOOGLETRANSLATE(A16788, ""de"", ""en"")"),"carpenter")</f>
        <v>carpenter</v>
      </c>
    </row>
    <row r="16789">
      <c r="A16789" s="1" t="s">
        <v>16788</v>
      </c>
      <c r="B16789" s="2" t="str">
        <f>IFERROR(__xludf.DUMMYFUNCTION("GOOGLETRANSLATE(A16789, ""de"", ""en"")"),"heavenly")</f>
        <v>heavenly</v>
      </c>
    </row>
    <row r="16790">
      <c r="A16790" s="1" t="s">
        <v>16789</v>
      </c>
      <c r="B16790" s="2" t="str">
        <f>IFERROR(__xludf.DUMMYFUNCTION("GOOGLETRANSLATE(A16790, ""de"", ""en"")"),"stay away")</f>
        <v>stay away</v>
      </c>
    </row>
    <row r="16791">
      <c r="A16791" s="1" t="s">
        <v>16790</v>
      </c>
      <c r="B16791" s="2" t="str">
        <f>IFERROR(__xludf.DUMMYFUNCTION("GOOGLETRANSLATE(A16791, ""de"", ""en"")"),"lump")</f>
        <v>lump</v>
      </c>
    </row>
    <row r="16792">
      <c r="A16792" s="1" t="s">
        <v>16791</v>
      </c>
      <c r="B16792" s="2" t="str">
        <f>IFERROR(__xludf.DUMMYFUNCTION("GOOGLETRANSLATE(A16792, ""de"", ""en"")"),"public")</f>
        <v>public</v>
      </c>
    </row>
    <row r="16793">
      <c r="A16793" s="1" t="s">
        <v>16792</v>
      </c>
      <c r="B16793" s="2" t="str">
        <f>IFERROR(__xludf.DUMMYFUNCTION("GOOGLETRANSLATE(A16793, ""de"", ""en"")"),"birthday child")</f>
        <v>birthday child</v>
      </c>
    </row>
    <row r="16794">
      <c r="A16794" s="1" t="s">
        <v>16793</v>
      </c>
      <c r="B16794" s="2" t="str">
        <f>IFERROR(__xludf.DUMMYFUNCTION("GOOGLETRANSLATE(A16794, ""de"", ""en"")"),"forbidden ones")</f>
        <v>forbidden ones</v>
      </c>
    </row>
    <row r="16795">
      <c r="A16795" s="1" t="s">
        <v>16794</v>
      </c>
      <c r="B16795" s="2" t="str">
        <f>IFERROR(__xludf.DUMMYFUNCTION("GOOGLETRANSLATE(A16795, ""de"", ""en"")"),"more real")</f>
        <v>more real</v>
      </c>
    </row>
    <row r="16796">
      <c r="A16796" s="1" t="s">
        <v>16795</v>
      </c>
      <c r="B16796" s="2" t="str">
        <f>IFERROR(__xludf.DUMMYFUNCTION("GOOGLETRANSLATE(A16796, ""de"", ""en"")"),"rider")</f>
        <v>rider</v>
      </c>
    </row>
    <row r="16797">
      <c r="A16797" s="1" t="s">
        <v>16796</v>
      </c>
      <c r="B16797" s="2" t="str">
        <f>IFERROR(__xludf.DUMMYFUNCTION("GOOGLETRANSLATE(A16797, ""de"", ""en"")"),"rotation")</f>
        <v>rotation</v>
      </c>
    </row>
    <row r="16798">
      <c r="A16798" s="1" t="s">
        <v>16797</v>
      </c>
      <c r="B16798" s="2" t="str">
        <f>IFERROR(__xludf.DUMMYFUNCTION("GOOGLETRANSLATE(A16798, ""de"", ""en"")"),"individual")</f>
        <v>individual</v>
      </c>
    </row>
    <row r="16799">
      <c r="A16799" s="1" t="s">
        <v>16798</v>
      </c>
      <c r="B16799" s="2" t="str">
        <f>IFERROR(__xludf.DUMMYFUNCTION("GOOGLETRANSLATE(A16799, ""de"", ""en"")"),"Olivier")</f>
        <v>Olivier</v>
      </c>
    </row>
    <row r="16800">
      <c r="A16800" s="1" t="s">
        <v>16799</v>
      </c>
      <c r="B16800" s="2" t="str">
        <f>IFERROR(__xludf.DUMMYFUNCTION("GOOGLETRANSLATE(A16800, ""de"", ""en"")"),"lafayette")</f>
        <v>lafayette</v>
      </c>
    </row>
    <row r="16801">
      <c r="A16801" s="1" t="s">
        <v>16800</v>
      </c>
      <c r="B16801" s="2" t="str">
        <f>IFERROR(__xludf.DUMMYFUNCTION("GOOGLETRANSLATE(A16801, ""de"", ""en"")"),"serial killer")</f>
        <v>serial killer</v>
      </c>
    </row>
    <row r="16802">
      <c r="A16802" s="1" t="s">
        <v>16801</v>
      </c>
      <c r="B16802" s="2" t="str">
        <f>IFERROR(__xludf.DUMMYFUNCTION("GOOGLETRANSLATE(A16802, ""de"", ""en"")"),"to restore")</f>
        <v>to restore</v>
      </c>
    </row>
    <row r="16803">
      <c r="A16803" s="1" t="s">
        <v>16802</v>
      </c>
      <c r="B16803" s="2" t="str">
        <f>IFERROR(__xludf.DUMMYFUNCTION("GOOGLETRANSLATE(A16803, ""de"", ""en"")"),"heaviest")</f>
        <v>heaviest</v>
      </c>
    </row>
    <row r="16804">
      <c r="A16804" s="1" t="s">
        <v>16803</v>
      </c>
      <c r="B16804" s="2" t="str">
        <f>IFERROR(__xludf.DUMMYFUNCTION("GOOGLETRANSLATE(A16804, ""de"", ""en"")"),"most dangerous")</f>
        <v>most dangerous</v>
      </c>
    </row>
    <row r="16805">
      <c r="A16805" s="1" t="s">
        <v>16804</v>
      </c>
      <c r="B16805" s="2" t="str">
        <f>IFERROR(__xludf.DUMMYFUNCTION("GOOGLETRANSLATE(A16805, ""de"", ""en"")"),"spectacle")</f>
        <v>spectacle</v>
      </c>
    </row>
    <row r="16806">
      <c r="A16806" s="1" t="s">
        <v>16805</v>
      </c>
      <c r="B16806" s="2" t="str">
        <f>IFERROR(__xludf.DUMMYFUNCTION("GOOGLETRANSLATE(A16806, ""de"", ""en"")"),"master")</f>
        <v>master</v>
      </c>
    </row>
    <row r="16807">
      <c r="A16807" s="1" t="s">
        <v>16806</v>
      </c>
      <c r="B16807" s="2" t="str">
        <f>IFERROR(__xludf.DUMMYFUNCTION("GOOGLETRANSLATE(A16807, ""de"", ""en"")"),"umbrella")</f>
        <v>umbrella</v>
      </c>
    </row>
    <row r="16808">
      <c r="A16808" s="1" t="s">
        <v>16807</v>
      </c>
      <c r="B16808" s="2" t="str">
        <f>IFERROR(__xludf.DUMMYFUNCTION("GOOGLETRANSLATE(A16808, ""de"", ""en"")"),"flowed")</f>
        <v>flowed</v>
      </c>
    </row>
    <row r="16809">
      <c r="A16809" s="1" t="s">
        <v>16808</v>
      </c>
      <c r="B16809" s="2" t="str">
        <f>IFERROR(__xludf.DUMMYFUNCTION("GOOGLETRANSLATE(A16809, ""de"", ""en"")"),"intend")</f>
        <v>intend</v>
      </c>
    </row>
    <row r="16810">
      <c r="A16810" s="1" t="s">
        <v>16809</v>
      </c>
      <c r="B16810" s="2" t="str">
        <f>IFERROR(__xludf.DUMMYFUNCTION("GOOGLETRANSLATE(A16810, ""de"", ""en"")"),"see through")</f>
        <v>see through</v>
      </c>
    </row>
    <row r="16811">
      <c r="A16811" s="1" t="s">
        <v>16810</v>
      </c>
      <c r="B16811" s="2" t="str">
        <f>IFERROR(__xludf.DUMMYFUNCTION("GOOGLETRANSLATE(A16811, ""de"", ""en"")"),"justification")</f>
        <v>justification</v>
      </c>
    </row>
    <row r="16812">
      <c r="A16812" s="1" t="s">
        <v>16811</v>
      </c>
      <c r="B16812" s="2" t="str">
        <f>IFERROR(__xludf.DUMMYFUNCTION("GOOGLETRANSLATE(A16812, ""de"", ""en"")"),"dieter")</f>
        <v>dieter</v>
      </c>
    </row>
    <row r="16813">
      <c r="A16813" s="1" t="s">
        <v>16812</v>
      </c>
      <c r="B16813" s="2" t="str">
        <f>IFERROR(__xludf.DUMMYFUNCTION("GOOGLETRANSLATE(A16813, ""de"", ""en"")"),"borders")</f>
        <v>borders</v>
      </c>
    </row>
    <row r="16814">
      <c r="A16814" s="1" t="s">
        <v>16813</v>
      </c>
      <c r="B16814" s="2" t="str">
        <f>IFERROR(__xludf.DUMMYFUNCTION("GOOGLETRANSLATE(A16814, ""de"", ""en"")"),"by telephone")</f>
        <v>by telephone</v>
      </c>
    </row>
    <row r="16815">
      <c r="A16815" s="1" t="s">
        <v>16814</v>
      </c>
      <c r="B16815" s="2" t="str">
        <f>IFERROR(__xludf.DUMMYFUNCTION("GOOGLETRANSLATE(A16815, ""de"", ""en"")"),"racoon")</f>
        <v>racoon</v>
      </c>
    </row>
    <row r="16816">
      <c r="A16816" s="1" t="s">
        <v>16815</v>
      </c>
      <c r="B16816" s="2" t="str">
        <f>IFERROR(__xludf.DUMMYFUNCTION("GOOGLETRANSLATE(A16816, ""de"", ""en"")"),"Christian")</f>
        <v>Christian</v>
      </c>
    </row>
    <row r="16817">
      <c r="A16817" s="1" t="s">
        <v>16816</v>
      </c>
      <c r="B16817" s="2" t="str">
        <f>IFERROR(__xludf.DUMMYFUNCTION("GOOGLETRANSLATE(A16817, ""de"", ""en"")"),"cleaned")</f>
        <v>cleaned</v>
      </c>
    </row>
    <row r="16818">
      <c r="A16818" s="1" t="s">
        <v>16817</v>
      </c>
      <c r="B16818" s="2" t="str">
        <f>IFERROR(__xludf.DUMMYFUNCTION("GOOGLETRANSLATE(A16818, ""de"", ""en"")"),"Algeria")</f>
        <v>Algeria</v>
      </c>
    </row>
    <row r="16819">
      <c r="A16819" s="1" t="s">
        <v>16818</v>
      </c>
      <c r="B16819" s="2" t="str">
        <f>IFERROR(__xludf.DUMMYFUNCTION("GOOGLETRANSLATE(A16819, ""de"", ""en"")"),"interpreter")</f>
        <v>interpreter</v>
      </c>
    </row>
    <row r="16820">
      <c r="A16820" s="1" t="s">
        <v>16819</v>
      </c>
      <c r="B16820" s="2" t="str">
        <f>IFERROR(__xludf.DUMMYFUNCTION("GOOGLETRANSLATE(A16820, ""de"", ""en"")"),"point of view")</f>
        <v>point of view</v>
      </c>
    </row>
    <row r="16821">
      <c r="A16821" s="1" t="s">
        <v>16820</v>
      </c>
      <c r="B16821" s="2" t="str">
        <f>IFERROR(__xludf.DUMMYFUNCTION("GOOGLETRANSLATE(A16821, ""de"", ""en"")"),"short circuit")</f>
        <v>short circuit</v>
      </c>
    </row>
    <row r="16822">
      <c r="A16822" s="1" t="s">
        <v>16821</v>
      </c>
      <c r="B16822" s="2" t="str">
        <f>IFERROR(__xludf.DUMMYFUNCTION("GOOGLETRANSLATE(A16822, ""de"", ""en"")"),"significant")</f>
        <v>significant</v>
      </c>
    </row>
    <row r="16823">
      <c r="A16823" s="1" t="s">
        <v>16822</v>
      </c>
      <c r="B16823" s="2" t="str">
        <f>IFERROR(__xludf.DUMMYFUNCTION("GOOGLETRANSLATE(A16823, ""de"", ""en"")"),"amuse")</f>
        <v>amuse</v>
      </c>
    </row>
    <row r="16824">
      <c r="A16824" s="1" t="s">
        <v>16823</v>
      </c>
      <c r="B16824" s="2" t="str">
        <f>IFERROR(__xludf.DUMMYFUNCTION("GOOGLETRANSLATE(A16824, ""de"", ""en"")"),"European")</f>
        <v>European</v>
      </c>
    </row>
    <row r="16825">
      <c r="A16825" s="1" t="s">
        <v>16824</v>
      </c>
      <c r="B16825" s="2" t="str">
        <f>IFERROR(__xludf.DUMMYFUNCTION("GOOGLETRANSLATE(A16825, ""de"", ""en"")"),"mocked")</f>
        <v>mocked</v>
      </c>
    </row>
    <row r="16826">
      <c r="A16826" s="1" t="s">
        <v>16825</v>
      </c>
      <c r="B16826" s="2" t="str">
        <f>IFERROR(__xludf.DUMMYFUNCTION("GOOGLETRANSLATE(A16826, ""de"", ""en"")"),"slide")</f>
        <v>slide</v>
      </c>
    </row>
    <row r="16827">
      <c r="A16827" s="1" t="s">
        <v>16826</v>
      </c>
      <c r="B16827" s="2" t="str">
        <f>IFERROR(__xludf.DUMMYFUNCTION("GOOGLETRANSLATE(A16827, ""de"", ""en"")"),"assist")</f>
        <v>assist</v>
      </c>
    </row>
    <row r="16828">
      <c r="A16828" s="1" t="s">
        <v>16827</v>
      </c>
      <c r="B16828" s="2" t="str">
        <f>IFERROR(__xludf.DUMMYFUNCTION("GOOGLETRANSLATE(A16828, ""de"", ""en"")"),"adultery")</f>
        <v>adultery</v>
      </c>
    </row>
    <row r="16829">
      <c r="A16829" s="1" t="s">
        <v>16828</v>
      </c>
      <c r="B16829" s="2" t="str">
        <f>IFERROR(__xludf.DUMMYFUNCTION("GOOGLETRANSLATE(A16829, ""de"", ""en"")"),"berkeley")</f>
        <v>berkeley</v>
      </c>
    </row>
    <row r="16830">
      <c r="A16830" s="1" t="s">
        <v>16829</v>
      </c>
      <c r="B16830" s="2" t="str">
        <f>IFERROR(__xludf.DUMMYFUNCTION("GOOGLETRANSLATE(A16830, ""de"", ""en"")"),"lazier")</f>
        <v>lazier</v>
      </c>
    </row>
    <row r="16831">
      <c r="A16831" s="1" t="s">
        <v>16830</v>
      </c>
      <c r="B16831" s="2" t="str">
        <f>IFERROR(__xludf.DUMMYFUNCTION("GOOGLETRANSLATE(A16831, ""de"", ""en"")"),"goods")</f>
        <v>goods</v>
      </c>
    </row>
    <row r="16832">
      <c r="A16832" s="1" t="s">
        <v>16831</v>
      </c>
      <c r="B16832" s="2" t="str">
        <f>IFERROR(__xludf.DUMMYFUNCTION("GOOGLETRANSLATE(A16832, ""de"", ""en"")"),"Haiti")</f>
        <v>Haiti</v>
      </c>
    </row>
    <row r="16833">
      <c r="A16833" s="1" t="s">
        <v>16832</v>
      </c>
      <c r="B16833" s="2" t="str">
        <f>IFERROR(__xludf.DUMMYFUNCTION("GOOGLETRANSLATE(A16833, ""de"", ""en"")"),"hit up")</f>
        <v>hit up</v>
      </c>
    </row>
    <row r="16834">
      <c r="A16834" s="1" t="s">
        <v>16833</v>
      </c>
      <c r="B16834" s="2" t="str">
        <f>IFERROR(__xludf.DUMMYFUNCTION("GOOGLETRANSLATE(A16834, ""de"", ""en"")"),"inevitably")</f>
        <v>inevitably</v>
      </c>
    </row>
    <row r="16835">
      <c r="A16835" s="1" t="s">
        <v>16834</v>
      </c>
      <c r="B16835" s="2" t="str">
        <f>IFERROR(__xludf.DUMMYFUNCTION("GOOGLETRANSLATE(A16835, ""de"", ""en"")"),"participation")</f>
        <v>participation</v>
      </c>
    </row>
    <row r="16836">
      <c r="A16836" s="1" t="s">
        <v>16835</v>
      </c>
      <c r="B16836" s="2" t="str">
        <f>IFERROR(__xludf.DUMMYFUNCTION("GOOGLETRANSLATE(A16836, ""de"", ""en"")"),"something")</f>
        <v>something</v>
      </c>
    </row>
    <row r="16837">
      <c r="A16837" s="1" t="s">
        <v>16836</v>
      </c>
      <c r="B16837" s="2" t="str">
        <f>IFERROR(__xludf.DUMMYFUNCTION("GOOGLETRANSLATE(A16837, ""de"", ""en"")"),"believer")</f>
        <v>believer</v>
      </c>
    </row>
    <row r="16838">
      <c r="A16838" s="1" t="s">
        <v>16837</v>
      </c>
      <c r="B16838" s="2" t="str">
        <f>IFERROR(__xludf.DUMMYFUNCTION("GOOGLETRANSLATE(A16838, ""de"", ""en"")"),"outraged")</f>
        <v>outraged</v>
      </c>
    </row>
    <row r="16839">
      <c r="A16839" s="1" t="s">
        <v>16838</v>
      </c>
      <c r="B16839" s="2" t="str">
        <f>IFERROR(__xludf.DUMMYFUNCTION("GOOGLETRANSLATE(A16839, ""de"", ""en"")"),"untouched")</f>
        <v>untouched</v>
      </c>
    </row>
    <row r="16840">
      <c r="A16840" s="1" t="s">
        <v>16839</v>
      </c>
      <c r="B16840" s="2" t="str">
        <f>IFERROR(__xludf.DUMMYFUNCTION("GOOGLETRANSLATE(A16840, ""de"", ""en"")"),"predict")</f>
        <v>predict</v>
      </c>
    </row>
    <row r="16841">
      <c r="A16841" s="1" t="s">
        <v>16840</v>
      </c>
      <c r="B16841" s="2" t="str">
        <f>IFERROR(__xludf.DUMMYFUNCTION("GOOGLETRANSLATE(A16841, ""de"", ""en"")"),"lutz")</f>
        <v>lutz</v>
      </c>
    </row>
    <row r="16842">
      <c r="A16842" s="1" t="s">
        <v>16841</v>
      </c>
      <c r="B16842" s="2" t="str">
        <f>IFERROR(__xludf.DUMMYFUNCTION("GOOGLETRANSLATE(A16842, ""de"", ""en"")"),"local")</f>
        <v>local</v>
      </c>
    </row>
    <row r="16843">
      <c r="A16843" s="1" t="s">
        <v>16842</v>
      </c>
      <c r="B16843" s="2" t="str">
        <f>IFERROR(__xludf.DUMMYFUNCTION("GOOGLETRANSLATE(A16843, ""de"", ""en"")"),"hailey")</f>
        <v>hailey</v>
      </c>
    </row>
    <row r="16844">
      <c r="A16844" s="1" t="s">
        <v>16843</v>
      </c>
      <c r="B16844" s="2" t="str">
        <f>IFERROR(__xludf.DUMMYFUNCTION("GOOGLETRANSLATE(A16844, ""de"", ""en"")"),"singh")</f>
        <v>singh</v>
      </c>
    </row>
    <row r="16845">
      <c r="A16845" s="1" t="s">
        <v>16844</v>
      </c>
      <c r="B16845" s="2" t="str">
        <f>IFERROR(__xludf.DUMMYFUNCTION("GOOGLETRANSLATE(A16845, ""de"", ""en"")"),"amazed")</f>
        <v>amazed</v>
      </c>
    </row>
    <row r="16846">
      <c r="A16846" s="1" t="s">
        <v>16845</v>
      </c>
      <c r="B16846" s="2" t="str">
        <f>IFERROR(__xludf.DUMMYFUNCTION("GOOGLETRANSLATE(A16846, ""de"", ""en"")"),"airplanes")</f>
        <v>airplanes</v>
      </c>
    </row>
    <row r="16847">
      <c r="A16847" s="1" t="s">
        <v>16846</v>
      </c>
      <c r="B16847" s="2" t="str">
        <f>IFERROR(__xludf.DUMMYFUNCTION("GOOGLETRANSLATE(A16847, ""de"", ""en"")"),"golf course")</f>
        <v>golf course</v>
      </c>
    </row>
    <row r="16848">
      <c r="A16848" s="1" t="s">
        <v>16847</v>
      </c>
      <c r="B16848" s="2" t="str">
        <f>IFERROR(__xludf.DUMMYFUNCTION("GOOGLETRANSLATE(A16848, ""de"", ""en"")"),"contains")</f>
        <v>contains</v>
      </c>
    </row>
    <row r="16849">
      <c r="A16849" s="1" t="s">
        <v>16848</v>
      </c>
      <c r="B16849" s="2" t="str">
        <f>IFERROR(__xludf.DUMMYFUNCTION("GOOGLETRANSLATE(A16849, ""de"", ""en"")"),"leading")</f>
        <v>leading</v>
      </c>
    </row>
    <row r="16850">
      <c r="A16850" s="1" t="s">
        <v>16849</v>
      </c>
      <c r="B16850" s="2" t="str">
        <f>IFERROR(__xludf.DUMMYFUNCTION("GOOGLETRANSLATE(A16850, ""de"", ""en"")"),"hardest")</f>
        <v>hardest</v>
      </c>
    </row>
    <row r="16851">
      <c r="A16851" s="1" t="s">
        <v>16850</v>
      </c>
      <c r="B16851" s="2" t="str">
        <f>IFERROR(__xludf.DUMMYFUNCTION("GOOGLETRANSLATE(A16851, ""de"", ""en"")"),"building")</f>
        <v>building</v>
      </c>
    </row>
    <row r="16852">
      <c r="A16852" s="1" t="s">
        <v>16851</v>
      </c>
      <c r="B16852" s="2" t="str">
        <f>IFERROR(__xludf.DUMMYFUNCTION("GOOGLETRANSLATE(A16852, ""de"", ""en"")"),"vain")</f>
        <v>vain</v>
      </c>
    </row>
    <row r="16853">
      <c r="A16853" s="1" t="s">
        <v>16852</v>
      </c>
      <c r="B16853" s="2" t="str">
        <f>IFERROR(__xludf.DUMMYFUNCTION("GOOGLETRANSLATE(A16853, ""de"", ""en"")"),"mosquito")</f>
        <v>mosquito</v>
      </c>
    </row>
    <row r="16854">
      <c r="A16854" s="1" t="s">
        <v>16853</v>
      </c>
      <c r="B16854" s="2" t="str">
        <f>IFERROR(__xludf.DUMMYFUNCTION("GOOGLETRANSLATE(A16854, ""de"", ""en"")"),"stronger")</f>
        <v>stronger</v>
      </c>
    </row>
    <row r="16855">
      <c r="A16855" s="1" t="s">
        <v>16854</v>
      </c>
      <c r="B16855" s="2" t="str">
        <f>IFERROR(__xludf.DUMMYFUNCTION("GOOGLETRANSLATE(A16855, ""de"", ""en"")"),"unbelievers")</f>
        <v>unbelievers</v>
      </c>
    </row>
    <row r="16856">
      <c r="A16856" s="1" t="s">
        <v>16855</v>
      </c>
      <c r="B16856" s="2" t="str">
        <f>IFERROR(__xludf.DUMMYFUNCTION("GOOGLETRANSLATE(A16856, ""de"", ""en"")"),"climbed")</f>
        <v>climbed</v>
      </c>
    </row>
    <row r="16857">
      <c r="A16857" s="1" t="s">
        <v>16856</v>
      </c>
      <c r="B16857" s="2" t="str">
        <f>IFERROR(__xludf.DUMMYFUNCTION("GOOGLETRANSLATE(A16857, ""de"", ""en"")"),"injection")</f>
        <v>injection</v>
      </c>
    </row>
    <row r="16858">
      <c r="A16858" s="1" t="s">
        <v>16857</v>
      </c>
      <c r="B16858" s="2" t="str">
        <f>IFERROR(__xludf.DUMMYFUNCTION("GOOGLETRANSLATE(A16858, ""de"", ""en"")"),"particles")</f>
        <v>particles</v>
      </c>
    </row>
    <row r="16859">
      <c r="A16859" s="1" t="s">
        <v>16858</v>
      </c>
      <c r="B16859" s="2" t="str">
        <f>IFERROR(__xludf.DUMMYFUNCTION("GOOGLETRANSLATE(A16859, ""de"", ""en"")"),"Jun")</f>
        <v>Jun</v>
      </c>
    </row>
    <row r="16860">
      <c r="A16860" s="1" t="s">
        <v>16859</v>
      </c>
      <c r="B16860" s="2" t="str">
        <f>IFERROR(__xludf.DUMMYFUNCTION("GOOGLETRANSLATE(A16860, ""de"", ""en"")"),"moreno")</f>
        <v>moreno</v>
      </c>
    </row>
    <row r="16861">
      <c r="A16861" s="1" t="s">
        <v>16860</v>
      </c>
      <c r="B16861" s="2" t="str">
        <f>IFERROR(__xludf.DUMMYFUNCTION("GOOGLETRANSLATE(A16861, ""de"", ""en"")"),"quantico")</f>
        <v>quantico</v>
      </c>
    </row>
    <row r="16862">
      <c r="A16862" s="1" t="s">
        <v>16861</v>
      </c>
      <c r="B16862" s="2" t="str">
        <f>IFERROR(__xludf.DUMMYFUNCTION("GOOGLETRANSLATE(A16862, ""de"", ""en"")"),"pyramids")</f>
        <v>pyramids</v>
      </c>
    </row>
    <row r="16863">
      <c r="A16863" s="1" t="s">
        <v>16862</v>
      </c>
      <c r="B16863" s="2" t="str">
        <f>IFERROR(__xludf.DUMMYFUNCTION("GOOGLETRANSLATE(A16863, ""de"", ""en"")"),"meatloaf")</f>
        <v>meatloaf</v>
      </c>
    </row>
    <row r="16864">
      <c r="A16864" s="1" t="s">
        <v>16863</v>
      </c>
      <c r="B16864" s="2" t="str">
        <f>IFERROR(__xludf.DUMMYFUNCTION("GOOGLETRANSLATE(A16864, ""de"", ""en"")"),"pillow")</f>
        <v>pillow</v>
      </c>
    </row>
    <row r="16865">
      <c r="A16865" s="1" t="s">
        <v>16864</v>
      </c>
      <c r="B16865" s="2" t="str">
        <f>IFERROR(__xludf.DUMMYFUNCTION("GOOGLETRANSLATE(A16865, ""de"", ""en"")"),"quadrants")</f>
        <v>quadrants</v>
      </c>
    </row>
    <row r="16866">
      <c r="A16866" s="1" t="s">
        <v>16865</v>
      </c>
      <c r="B16866" s="2" t="str">
        <f>IFERROR(__xludf.DUMMYFUNCTION("GOOGLETRANSLATE(A16866, ""de"", ""en"")"),"send")</f>
        <v>send</v>
      </c>
    </row>
    <row r="16867">
      <c r="A16867" s="1" t="s">
        <v>16866</v>
      </c>
      <c r="B16867" s="2" t="str">
        <f>IFERROR(__xludf.DUMMYFUNCTION("GOOGLETRANSLATE(A16867, ""de"", ""en"")"),"scold")</f>
        <v>scold</v>
      </c>
    </row>
    <row r="16868">
      <c r="A16868" s="1" t="s">
        <v>16867</v>
      </c>
      <c r="B16868" s="2" t="str">
        <f>IFERROR(__xludf.DUMMYFUNCTION("GOOGLETRANSLATE(A16868, ""de"", ""en"")"),"water")</f>
        <v>water</v>
      </c>
    </row>
    <row r="16869">
      <c r="A16869" s="1" t="s">
        <v>16868</v>
      </c>
      <c r="B16869" s="2" t="str">
        <f>IFERROR(__xludf.DUMMYFUNCTION("GOOGLETRANSLATE(A16869, ""de"", ""en"")"),"good morning")</f>
        <v>good morning</v>
      </c>
    </row>
    <row r="16870">
      <c r="A16870" s="1" t="s">
        <v>16869</v>
      </c>
      <c r="B16870" s="2" t="str">
        <f>IFERROR(__xludf.DUMMYFUNCTION("GOOGLETRANSLATE(A16870, ""de"", ""en"")"),"strike")</f>
        <v>strike</v>
      </c>
    </row>
    <row r="16871">
      <c r="A16871" s="1" t="s">
        <v>16870</v>
      </c>
      <c r="B16871" s="2" t="str">
        <f>IFERROR(__xludf.DUMMYFUNCTION("GOOGLETRANSLATE(A16871, ""de"", ""en"")"),"citizen")</f>
        <v>citizen</v>
      </c>
    </row>
    <row r="16872">
      <c r="A16872" s="1" t="s">
        <v>16871</v>
      </c>
      <c r="B16872" s="2" t="str">
        <f>IFERROR(__xludf.DUMMYFUNCTION("GOOGLETRANSLATE(A16872, ""de"", ""en"")"),"eastern")</f>
        <v>eastern</v>
      </c>
    </row>
    <row r="16873">
      <c r="A16873" s="1" t="s">
        <v>16872</v>
      </c>
      <c r="B16873" s="2" t="str">
        <f>IFERROR(__xludf.DUMMYFUNCTION("GOOGLETRANSLATE(A16873, ""de"", ""en"")"),"maximum")</f>
        <v>maximum</v>
      </c>
    </row>
    <row r="16874">
      <c r="A16874" s="1" t="s">
        <v>16873</v>
      </c>
      <c r="B16874" s="2" t="str">
        <f>IFERROR(__xludf.DUMMYFUNCTION("GOOGLETRANSLATE(A16874, ""de"", ""en"")"),"currency")</f>
        <v>currency</v>
      </c>
    </row>
    <row r="16875">
      <c r="A16875" s="1" t="s">
        <v>16874</v>
      </c>
      <c r="B16875" s="2" t="str">
        <f>IFERROR(__xludf.DUMMYFUNCTION("GOOGLETRANSLATE(A16875, ""de"", ""en"")"),"Samir")</f>
        <v>Samir</v>
      </c>
    </row>
    <row r="16876">
      <c r="A16876" s="1" t="s">
        <v>16875</v>
      </c>
      <c r="B16876" s="2" t="str">
        <f>IFERROR(__xludf.DUMMYFUNCTION("GOOGLETRANSLATE(A16876, ""de"", ""en"")"),"dirty pig")</f>
        <v>dirty pig</v>
      </c>
    </row>
    <row r="16877">
      <c r="A16877" s="1" t="s">
        <v>16876</v>
      </c>
      <c r="B16877" s="2" t="str">
        <f>IFERROR(__xludf.DUMMYFUNCTION("GOOGLETRANSLATE(A16877, ""de"", ""en"")"),"towing")</f>
        <v>towing</v>
      </c>
    </row>
    <row r="16878">
      <c r="A16878" s="1" t="s">
        <v>16877</v>
      </c>
      <c r="B16878" s="2" t="str">
        <f>IFERROR(__xludf.DUMMYFUNCTION("GOOGLETRANSLATE(A16878, ""de"", ""en"")"),"Lorne")</f>
        <v>Lorne</v>
      </c>
    </row>
    <row r="16879">
      <c r="A16879" s="1" t="s">
        <v>16878</v>
      </c>
      <c r="B16879" s="2" t="str">
        <f>IFERROR(__xludf.DUMMYFUNCTION("GOOGLETRANSLATE(A16879, ""de"", ""en"")"),"exchanges")</f>
        <v>exchanges</v>
      </c>
    </row>
    <row r="16880">
      <c r="A16880" s="1" t="s">
        <v>16879</v>
      </c>
      <c r="B16880" s="2" t="str">
        <f>IFERROR(__xludf.DUMMYFUNCTION("GOOGLETRANSLATE(A16880, ""de"", ""en"")"),"anniversary")</f>
        <v>anniversary</v>
      </c>
    </row>
    <row r="16881">
      <c r="A16881" s="1" t="s">
        <v>16880</v>
      </c>
      <c r="B16881" s="2" t="str">
        <f>IFERROR(__xludf.DUMMYFUNCTION("GOOGLETRANSLATE(A16881, ""de"", ""en"")"),"tanaka")</f>
        <v>tanaka</v>
      </c>
    </row>
    <row r="16882">
      <c r="A16882" s="1" t="s">
        <v>16881</v>
      </c>
      <c r="B16882" s="2" t="str">
        <f>IFERROR(__xludf.DUMMYFUNCTION("GOOGLETRANSLATE(A16882, ""de"", ""en"")"),"concealed")</f>
        <v>concealed</v>
      </c>
    </row>
    <row r="16883">
      <c r="A16883" s="1" t="s">
        <v>16882</v>
      </c>
      <c r="B16883" s="2" t="str">
        <f>IFERROR(__xludf.DUMMYFUNCTION("GOOGLETRANSLATE(A16883, ""de"", ""en"")"),"hope")</f>
        <v>hope</v>
      </c>
    </row>
    <row r="16884">
      <c r="A16884" s="1" t="s">
        <v>16883</v>
      </c>
      <c r="B16884" s="2" t="str">
        <f>IFERROR(__xludf.DUMMYFUNCTION("GOOGLETRANSLATE(A16884, ""de"", ""en"")"),"q.")</f>
        <v>q.</v>
      </c>
    </row>
    <row r="16885">
      <c r="A16885" s="1" t="s">
        <v>16884</v>
      </c>
      <c r="B16885" s="2" t="str">
        <f>IFERROR(__xludf.DUMMYFUNCTION("GOOGLETRANSLATE(A16885, ""de"", ""en"")"),"philosopher")</f>
        <v>philosopher</v>
      </c>
    </row>
    <row r="16886">
      <c r="A16886" s="1" t="s">
        <v>16885</v>
      </c>
      <c r="B16886" s="2" t="str">
        <f>IFERROR(__xludf.DUMMYFUNCTION("GOOGLETRANSLATE(A16886, ""de"", ""en"")"),"traverse")</f>
        <v>traverse</v>
      </c>
    </row>
    <row r="16887">
      <c r="A16887" s="1" t="s">
        <v>16886</v>
      </c>
      <c r="B16887" s="2" t="str">
        <f>IFERROR(__xludf.DUMMYFUNCTION("GOOGLETRANSLATE(A16887, ""de"", ""en"")"),"insider")</f>
        <v>insider</v>
      </c>
    </row>
    <row r="16888">
      <c r="A16888" s="1" t="s">
        <v>16887</v>
      </c>
      <c r="B16888" s="2" t="str">
        <f>IFERROR(__xludf.DUMMYFUNCTION("GOOGLETRANSLATE(A16888, ""de"", ""en"")"),"to release")</f>
        <v>to release</v>
      </c>
    </row>
    <row r="16889">
      <c r="A16889" s="1" t="s">
        <v>16888</v>
      </c>
      <c r="B16889" s="2" t="str">
        <f>IFERROR(__xludf.DUMMYFUNCTION("GOOGLETRANSLATE(A16889, ""de"", ""en"")"),"Marlowe")</f>
        <v>Marlowe</v>
      </c>
    </row>
    <row r="16890">
      <c r="A16890" s="1" t="s">
        <v>16889</v>
      </c>
      <c r="B16890" s="2" t="str">
        <f>IFERROR(__xludf.DUMMYFUNCTION("GOOGLETRANSLATE(A16890, ""de"", ""en"")"),"brilliant")</f>
        <v>brilliant</v>
      </c>
    </row>
    <row r="16891">
      <c r="A16891" s="1" t="s">
        <v>16890</v>
      </c>
      <c r="B16891" s="2" t="str">
        <f>IFERROR(__xludf.DUMMYFUNCTION("GOOGLETRANSLATE(A16891, ""de"", ""en"")"),"yates")</f>
        <v>yates</v>
      </c>
    </row>
    <row r="16892">
      <c r="A16892" s="1" t="s">
        <v>16891</v>
      </c>
      <c r="B16892" s="2" t="str">
        <f>IFERROR(__xludf.DUMMYFUNCTION("GOOGLETRANSLATE(A16892, ""de"", ""en"")"),"conquest")</f>
        <v>conquest</v>
      </c>
    </row>
    <row r="16893">
      <c r="A16893" s="1" t="s">
        <v>16892</v>
      </c>
      <c r="B16893" s="2" t="str">
        <f>IFERROR(__xludf.DUMMYFUNCTION("GOOGLETRANSLATE(A16893, ""de"", ""en"")"),"persuaded")</f>
        <v>persuaded</v>
      </c>
    </row>
    <row r="16894">
      <c r="A16894" s="1" t="s">
        <v>16893</v>
      </c>
      <c r="B16894" s="2" t="str">
        <f>IFERROR(__xludf.DUMMYFUNCTION("GOOGLETRANSLATE(A16894, ""de"", ""en"")"),"contaminated")</f>
        <v>contaminated</v>
      </c>
    </row>
    <row r="16895">
      <c r="A16895" s="1" t="s">
        <v>16894</v>
      </c>
      <c r="B16895" s="2" t="str">
        <f>IFERROR(__xludf.DUMMYFUNCTION("GOOGLETRANSLATE(A16895, ""de"", ""en"")"),"illogical")</f>
        <v>illogical</v>
      </c>
    </row>
    <row r="16896">
      <c r="A16896" s="1" t="s">
        <v>16895</v>
      </c>
      <c r="B16896" s="2" t="str">
        <f>IFERROR(__xludf.DUMMYFUNCTION("GOOGLETRANSLATE(A16896, ""de"", ""en"")"),"previous")</f>
        <v>previous</v>
      </c>
    </row>
    <row r="16897">
      <c r="A16897" s="1" t="s">
        <v>16896</v>
      </c>
      <c r="B16897" s="2" t="str">
        <f>IFERROR(__xludf.DUMMYFUNCTION("GOOGLETRANSLATE(A16897, ""de"", ""en"")"),"ancient")</f>
        <v>ancient</v>
      </c>
    </row>
    <row r="16898">
      <c r="A16898" s="1" t="s">
        <v>16897</v>
      </c>
      <c r="B16898" s="2" t="str">
        <f>IFERROR(__xludf.DUMMYFUNCTION("GOOGLETRANSLATE(A16898, ""de"", ""en"")"),"self-consciousness")</f>
        <v>self-consciousness</v>
      </c>
    </row>
    <row r="16899">
      <c r="A16899" s="1" t="s">
        <v>16898</v>
      </c>
      <c r="B16899" s="2" t="str">
        <f>IFERROR(__xludf.DUMMYFUNCTION("GOOGLETRANSLATE(A16899, ""de"", ""en"")"),"muesli")</f>
        <v>muesli</v>
      </c>
    </row>
    <row r="16900">
      <c r="A16900" s="1" t="s">
        <v>16899</v>
      </c>
      <c r="B16900" s="2" t="str">
        <f>IFERROR(__xludf.DUMMYFUNCTION("GOOGLETRANSLATE(A16900, ""de"", ""en"")"),"had to")</f>
        <v>had to</v>
      </c>
    </row>
    <row r="16901">
      <c r="A16901" s="1" t="s">
        <v>16900</v>
      </c>
      <c r="B16901" s="2" t="str">
        <f>IFERROR(__xludf.DUMMYFUNCTION("GOOGLETRANSLATE(A16901, ""de"", ""en"")"),"humpback")</f>
        <v>humpback</v>
      </c>
    </row>
    <row r="16902">
      <c r="A16902" s="1" t="s">
        <v>16901</v>
      </c>
      <c r="B16902" s="2" t="str">
        <f>IFERROR(__xludf.DUMMYFUNCTION("GOOGLETRANSLATE(A16902, ""de"", ""en"")"),"scarecrow")</f>
        <v>scarecrow</v>
      </c>
    </row>
    <row r="16903">
      <c r="A16903" s="1" t="s">
        <v>16902</v>
      </c>
      <c r="B16903" s="2" t="str">
        <f>IFERROR(__xludf.DUMMYFUNCTION("GOOGLETRANSLATE(A16903, ""de"", ""en"")"),"Normandy")</f>
        <v>Normandy</v>
      </c>
    </row>
    <row r="16904">
      <c r="A16904" s="1" t="s">
        <v>16903</v>
      </c>
      <c r="B16904" s="2" t="str">
        <f>IFERROR(__xludf.DUMMYFUNCTION("GOOGLETRANSLATE(A16904, ""de"", ""en"")"),"moisture")</f>
        <v>moisture</v>
      </c>
    </row>
    <row r="16905">
      <c r="A16905" s="1" t="s">
        <v>16904</v>
      </c>
      <c r="B16905" s="2" t="str">
        <f>IFERROR(__xludf.DUMMYFUNCTION("GOOGLETRANSLATE(A16905, ""de"", ""en"")"),"federal agents")</f>
        <v>federal agents</v>
      </c>
    </row>
    <row r="16906">
      <c r="A16906" s="1" t="s">
        <v>16905</v>
      </c>
      <c r="B16906" s="2" t="str">
        <f>IFERROR(__xludf.DUMMYFUNCTION("GOOGLETRANSLATE(A16906, ""de"", ""en"")"),"accompany you")</f>
        <v>accompany you</v>
      </c>
    </row>
    <row r="16907">
      <c r="A16907" s="1" t="s">
        <v>16906</v>
      </c>
      <c r="B16907" s="2" t="str">
        <f>IFERROR(__xludf.DUMMYFUNCTION("GOOGLETRANSLATE(A16907, ""de"", ""en"")"),"revenges")</f>
        <v>revenges</v>
      </c>
    </row>
    <row r="16908">
      <c r="A16908" s="1" t="s">
        <v>16907</v>
      </c>
      <c r="B16908" s="2" t="str">
        <f>IFERROR(__xludf.DUMMYFUNCTION("GOOGLETRANSLATE(A16908, ""de"", ""en"")"),"walk")</f>
        <v>walk</v>
      </c>
    </row>
    <row r="16909">
      <c r="A16909" s="1" t="s">
        <v>16908</v>
      </c>
      <c r="B16909" s="2" t="str">
        <f>IFERROR(__xludf.DUMMYFUNCTION("GOOGLETRANSLATE(A16909, ""de"", ""en"")"),"tito")</f>
        <v>tito</v>
      </c>
    </row>
    <row r="16910">
      <c r="A16910" s="1" t="s">
        <v>16909</v>
      </c>
      <c r="B16910" s="2" t="str">
        <f>IFERROR(__xludf.DUMMYFUNCTION("GOOGLETRANSLATE(A16910, ""de"", ""en"")"),"florrick")</f>
        <v>florrick</v>
      </c>
    </row>
    <row r="16911">
      <c r="A16911" s="1" t="s">
        <v>16910</v>
      </c>
      <c r="B16911" s="2" t="str">
        <f>IFERROR(__xludf.DUMMYFUNCTION("GOOGLETRANSLATE(A16911, ""de"", ""en"")"),"foal")</f>
        <v>foal</v>
      </c>
    </row>
    <row r="16912">
      <c r="A16912" s="1" t="s">
        <v>16911</v>
      </c>
      <c r="B16912" s="2" t="str">
        <f>IFERROR(__xludf.DUMMYFUNCTION("GOOGLETRANSLATE(A16912, ""de"", ""en"")"),"erm")</f>
        <v>erm</v>
      </c>
    </row>
    <row r="16913">
      <c r="A16913" s="1" t="s">
        <v>16912</v>
      </c>
      <c r="B16913" s="2" t="str">
        <f>IFERROR(__xludf.DUMMYFUNCTION("GOOGLETRANSLATE(A16913, ""de"", ""en"")"),"Hitler's")</f>
        <v>Hitler's</v>
      </c>
    </row>
    <row r="16914">
      <c r="A16914" s="1" t="s">
        <v>16913</v>
      </c>
      <c r="B16914" s="2" t="str">
        <f>IFERROR(__xludf.DUMMYFUNCTION("GOOGLETRANSLATE(A16914, ""de"", ""en"")"),"decoration")</f>
        <v>decoration</v>
      </c>
    </row>
    <row r="16915">
      <c r="A16915" s="1" t="s">
        <v>16914</v>
      </c>
      <c r="B16915" s="2" t="str">
        <f>IFERROR(__xludf.DUMMYFUNCTION("GOOGLETRANSLATE(A16915, ""de"", ""en"")"),"French")</f>
        <v>French</v>
      </c>
    </row>
    <row r="16916">
      <c r="A16916" s="1" t="s">
        <v>16915</v>
      </c>
      <c r="B16916" s="2" t="str">
        <f>IFERROR(__xludf.DUMMYFUNCTION("GOOGLETRANSLATE(A16916, ""de"", ""en"")"),"whitey")</f>
        <v>whitey</v>
      </c>
    </row>
    <row r="16917">
      <c r="A16917" s="1" t="s">
        <v>16916</v>
      </c>
      <c r="B16917" s="2" t="str">
        <f>IFERROR(__xludf.DUMMYFUNCTION("GOOGLETRANSLATE(A16917, ""de"", ""en"")"),"secret weapon")</f>
        <v>secret weapon</v>
      </c>
    </row>
    <row r="16918">
      <c r="A16918" s="1" t="s">
        <v>16917</v>
      </c>
      <c r="B16918" s="2" t="str">
        <f>IFERROR(__xludf.DUMMYFUNCTION("GOOGLETRANSLATE(A16918, ""de"", ""en"")"),"Patsy")</f>
        <v>Patsy</v>
      </c>
    </row>
    <row r="16919">
      <c r="A16919" s="1" t="s">
        <v>16918</v>
      </c>
      <c r="B16919" s="2" t="str">
        <f>IFERROR(__xludf.DUMMYFUNCTION("GOOGLETRANSLATE(A16919, ""de"", ""en"")"),"bullied")</f>
        <v>bullied</v>
      </c>
    </row>
    <row r="16920">
      <c r="A16920" s="1" t="s">
        <v>16919</v>
      </c>
      <c r="B16920" s="2" t="str">
        <f>IFERROR(__xludf.DUMMYFUNCTION("GOOGLETRANSLATE(A16920, ""de"", ""en"")"),"peabody")</f>
        <v>peabody</v>
      </c>
    </row>
    <row r="16921">
      <c r="A16921" s="1" t="s">
        <v>16920</v>
      </c>
      <c r="B16921" s="2" t="str">
        <f>IFERROR(__xludf.DUMMYFUNCTION("GOOGLETRANSLATE(A16921, ""de"", ""en"")"),"sneezes")</f>
        <v>sneezes</v>
      </c>
    </row>
    <row r="16922">
      <c r="A16922" s="1" t="s">
        <v>16921</v>
      </c>
      <c r="B16922" s="2" t="str">
        <f>IFERROR(__xludf.DUMMYFUNCTION("GOOGLETRANSLATE(A16922, ""de"", ""en"")"),"pleaded")</f>
        <v>pleaded</v>
      </c>
    </row>
    <row r="16923">
      <c r="A16923" s="1" t="s">
        <v>16922</v>
      </c>
      <c r="B16923" s="2" t="str">
        <f>IFERROR(__xludf.DUMMYFUNCTION("GOOGLETRANSLATE(A16923, ""de"", ""en"")"),"some")</f>
        <v>some</v>
      </c>
    </row>
    <row r="16924">
      <c r="A16924" s="1" t="s">
        <v>16923</v>
      </c>
      <c r="B16924" s="2" t="str">
        <f>IFERROR(__xludf.DUMMYFUNCTION("GOOGLETRANSLATE(A16924, ""de"", ""en"")"),"delusion")</f>
        <v>delusion</v>
      </c>
    </row>
    <row r="16925">
      <c r="A16925" s="1" t="s">
        <v>16924</v>
      </c>
      <c r="B16925" s="2" t="str">
        <f>IFERROR(__xludf.DUMMYFUNCTION("GOOGLETRANSLATE(A16925, ""de"", ""en"")"),"iron")</f>
        <v>iron</v>
      </c>
    </row>
    <row r="16926">
      <c r="A16926" s="1" t="s">
        <v>16925</v>
      </c>
      <c r="B16926" s="2" t="str">
        <f>IFERROR(__xludf.DUMMYFUNCTION("GOOGLETRANSLATE(A16926, ""de"", ""en"")"),"unlocked")</f>
        <v>unlocked</v>
      </c>
    </row>
    <row r="16927">
      <c r="A16927" s="1" t="s">
        <v>16926</v>
      </c>
      <c r="B16927" s="2" t="str">
        <f>IFERROR(__xludf.DUMMYFUNCTION("GOOGLETRANSLATE(A16927, ""de"", ""en"")"),"anyone")</f>
        <v>anyone</v>
      </c>
    </row>
    <row r="16928">
      <c r="A16928" s="1" t="s">
        <v>16927</v>
      </c>
      <c r="B16928" s="2" t="str">
        <f>IFERROR(__xludf.DUMMYFUNCTION("GOOGLETRANSLATE(A16928, ""de"", ""en"")"),"not.")</f>
        <v>not.</v>
      </c>
    </row>
    <row r="16929">
      <c r="A16929" s="1" t="s">
        <v>16928</v>
      </c>
      <c r="B16929" s="2" t="str">
        <f>IFERROR(__xludf.DUMMYFUNCTION("GOOGLETRANSLATE(A16929, ""de"", ""en"")"),"checked")</f>
        <v>checked</v>
      </c>
    </row>
    <row r="16930">
      <c r="A16930" s="1" t="s">
        <v>16929</v>
      </c>
      <c r="B16930" s="2" t="str">
        <f>IFERROR(__xludf.DUMMYFUNCTION("GOOGLETRANSLATE(A16930, ""de"", ""en"")"),"cassettes")</f>
        <v>cassettes</v>
      </c>
    </row>
    <row r="16931">
      <c r="A16931" s="1" t="s">
        <v>16930</v>
      </c>
      <c r="B16931" s="2" t="str">
        <f>IFERROR(__xludf.DUMMYFUNCTION("GOOGLETRANSLATE(A16931, ""de"", ""en"")"),"gone")</f>
        <v>gone</v>
      </c>
    </row>
    <row r="16932">
      <c r="A16932" s="1" t="s">
        <v>16931</v>
      </c>
      <c r="B16932" s="2" t="str">
        <f>IFERROR(__xludf.DUMMYFUNCTION("GOOGLETRANSLATE(A16932, ""de"", ""en"")"),"similar")</f>
        <v>similar</v>
      </c>
    </row>
    <row r="16933">
      <c r="A16933" s="1" t="s">
        <v>16932</v>
      </c>
      <c r="B16933" s="2" t="str">
        <f>IFERROR(__xludf.DUMMYFUNCTION("GOOGLETRANSLATE(A16933, ""de"", ""en"")"),"roxy")</f>
        <v>roxy</v>
      </c>
    </row>
    <row r="16934">
      <c r="A16934" s="1" t="s">
        <v>16933</v>
      </c>
      <c r="B16934" s="2" t="str">
        <f>IFERROR(__xludf.DUMMYFUNCTION("GOOGLETRANSLATE(A16934, ""de"", ""en"")"),"careless")</f>
        <v>careless</v>
      </c>
    </row>
    <row r="16935">
      <c r="A16935" s="1" t="s">
        <v>16934</v>
      </c>
      <c r="B16935" s="2" t="str">
        <f>IFERROR(__xludf.DUMMYFUNCTION("GOOGLETRANSLATE(A16935, ""de"", ""en"")"),"them")</f>
        <v>them</v>
      </c>
    </row>
    <row r="16936">
      <c r="A16936" s="1" t="s">
        <v>16935</v>
      </c>
      <c r="B16936" s="2" t="str">
        <f>IFERROR(__xludf.DUMMYFUNCTION("GOOGLETRANSLATE(A16936, ""de"", ""en"")"),"blows up")</f>
        <v>blows up</v>
      </c>
    </row>
    <row r="16937">
      <c r="A16937" s="1" t="s">
        <v>16936</v>
      </c>
      <c r="B16937" s="2" t="str">
        <f>IFERROR(__xludf.DUMMYFUNCTION("GOOGLETRANSLATE(A16937, ""de"", ""en"")"),"hour")</f>
        <v>hour</v>
      </c>
    </row>
    <row r="16938">
      <c r="A16938" s="1" t="s">
        <v>16937</v>
      </c>
      <c r="B16938" s="2" t="str">
        <f>IFERROR(__xludf.DUMMYFUNCTION("GOOGLETRANSLATE(A16938, ""de"", ""en"")"),"done")</f>
        <v>done</v>
      </c>
    </row>
    <row r="16939">
      <c r="A16939" s="1" t="s">
        <v>16938</v>
      </c>
      <c r="B16939" s="2" t="str">
        <f>IFERROR(__xludf.DUMMYFUNCTION("GOOGLETRANSLATE(A16939, ""de"", ""en"")"),"clever")</f>
        <v>clever</v>
      </c>
    </row>
    <row r="16940">
      <c r="A16940" s="1" t="s">
        <v>16939</v>
      </c>
      <c r="B16940" s="2" t="str">
        <f>IFERROR(__xludf.DUMMYFUNCTION("GOOGLETRANSLATE(A16940, ""de"", ""en"")"),"aggression")</f>
        <v>aggression</v>
      </c>
    </row>
    <row r="16941">
      <c r="A16941" s="1" t="s">
        <v>16940</v>
      </c>
      <c r="B16941" s="2" t="str">
        <f>IFERROR(__xludf.DUMMYFUNCTION("GOOGLETRANSLATE(A16941, ""de"", ""en"")"),"earlier")</f>
        <v>earlier</v>
      </c>
    </row>
    <row r="16942">
      <c r="A16942" s="1" t="s">
        <v>16941</v>
      </c>
      <c r="B16942" s="2" t="str">
        <f>IFERROR(__xludf.DUMMYFUNCTION("GOOGLETRANSLATE(A16942, ""de"", ""en"")"),"Pietro")</f>
        <v>Pietro</v>
      </c>
    </row>
    <row r="16943">
      <c r="A16943" s="1" t="s">
        <v>16942</v>
      </c>
      <c r="B16943" s="2" t="str">
        <f>IFERROR(__xludf.DUMMYFUNCTION("GOOGLETRANSLATE(A16943, ""de"", ""en"")"),"Marius")</f>
        <v>Marius</v>
      </c>
    </row>
    <row r="16944">
      <c r="A16944" s="1" t="s">
        <v>16943</v>
      </c>
      <c r="B16944" s="2" t="str">
        <f>IFERROR(__xludf.DUMMYFUNCTION("GOOGLETRANSLATE(A16944, ""de"", ""en"")"),"viva")</f>
        <v>viva</v>
      </c>
    </row>
    <row r="16945">
      <c r="A16945" s="1" t="s">
        <v>16944</v>
      </c>
      <c r="B16945" s="2" t="str">
        <f>IFERROR(__xludf.DUMMYFUNCTION("GOOGLETRANSLATE(A16945, ""de"", ""en"")"),"knows")</f>
        <v>knows</v>
      </c>
    </row>
    <row r="16946">
      <c r="A16946" s="1" t="s">
        <v>16945</v>
      </c>
      <c r="B16946" s="2" t="str">
        <f>IFERROR(__xludf.DUMMYFUNCTION("GOOGLETRANSLATE(A16946, ""de"", ""en"")"),"women")</f>
        <v>women</v>
      </c>
    </row>
    <row r="16947">
      <c r="A16947" s="1" t="s">
        <v>16946</v>
      </c>
      <c r="B16947" s="2" t="str">
        <f>IFERROR(__xludf.DUMMYFUNCTION("GOOGLETRANSLATE(A16947, ""de"", ""en"")"),"cherish")</f>
        <v>cherish</v>
      </c>
    </row>
    <row r="16948">
      <c r="A16948" s="1" t="s">
        <v>16947</v>
      </c>
      <c r="B16948" s="2" t="str">
        <f>IFERROR(__xludf.DUMMYFUNCTION("GOOGLETRANSLATE(A16948, ""de"", ""en"")"),"designer")</f>
        <v>designer</v>
      </c>
    </row>
    <row r="16949">
      <c r="A16949" s="1" t="s">
        <v>16948</v>
      </c>
      <c r="B16949" s="2" t="str">
        <f>IFERROR(__xludf.DUMMYFUNCTION("GOOGLETRANSLATE(A16949, ""de"", ""en"")"),"Goliath")</f>
        <v>Goliath</v>
      </c>
    </row>
    <row r="16950">
      <c r="A16950" s="1" t="s">
        <v>16949</v>
      </c>
      <c r="B16950" s="2" t="str">
        <f>IFERROR(__xludf.DUMMYFUNCTION("GOOGLETRANSLATE(A16950, ""de"", ""en"")"),"fluid")</f>
        <v>fluid</v>
      </c>
    </row>
    <row r="16951">
      <c r="A16951" s="1" t="s">
        <v>16950</v>
      </c>
      <c r="B16951" s="2" t="str">
        <f>IFERROR(__xludf.DUMMYFUNCTION("GOOGLETRANSLATE(A16951, ""de"", ""en"")"),"called")</f>
        <v>called</v>
      </c>
    </row>
    <row r="16952">
      <c r="A16952" s="1" t="s">
        <v>16951</v>
      </c>
      <c r="B16952" s="2" t="str">
        <f>IFERROR(__xludf.DUMMYFUNCTION("GOOGLETRANSLATE(A16952, ""de"", ""en"")"),"turns out")</f>
        <v>turns out</v>
      </c>
    </row>
    <row r="16953">
      <c r="A16953" s="1" t="s">
        <v>16952</v>
      </c>
      <c r="B16953" s="2" t="str">
        <f>IFERROR(__xludf.DUMMYFUNCTION("GOOGLETRANSLATE(A16953, ""de"", ""en"")"),"no.")</f>
        <v>no.</v>
      </c>
    </row>
    <row r="16954">
      <c r="A16954" s="1" t="s">
        <v>16953</v>
      </c>
      <c r="B16954" s="2" t="str">
        <f>IFERROR(__xludf.DUMMYFUNCTION("GOOGLETRANSLATE(A16954, ""de"", ""en"")"),"delicious")</f>
        <v>delicious</v>
      </c>
    </row>
    <row r="16955">
      <c r="A16955" s="1" t="s">
        <v>16954</v>
      </c>
      <c r="B16955" s="2" t="str">
        <f>IFERROR(__xludf.DUMMYFUNCTION("GOOGLETRANSLATE(A16955, ""de"", ""en"")"),"formality")</f>
        <v>formality</v>
      </c>
    </row>
    <row r="16956">
      <c r="A16956" s="1" t="s">
        <v>16955</v>
      </c>
      <c r="B16956" s="2" t="str">
        <f>IFERROR(__xludf.DUMMYFUNCTION("GOOGLETRANSLATE(A16956, ""de"", ""en"")"),"widths")</f>
        <v>widths</v>
      </c>
    </row>
    <row r="16957">
      <c r="A16957" s="1" t="s">
        <v>16956</v>
      </c>
      <c r="B16957" s="2" t="str">
        <f>IFERROR(__xludf.DUMMYFUNCTION("GOOGLETRANSLATE(A16957, ""de"", ""en"")"),"throw off")</f>
        <v>throw off</v>
      </c>
    </row>
    <row r="16958">
      <c r="A16958" s="1" t="s">
        <v>16957</v>
      </c>
      <c r="B16958" s="2" t="str">
        <f>IFERROR(__xludf.DUMMYFUNCTION("GOOGLETRANSLATE(A16958, ""de"", ""en"")"),"nervous system")</f>
        <v>nervous system</v>
      </c>
    </row>
    <row r="16959">
      <c r="A16959" s="1" t="s">
        <v>16958</v>
      </c>
      <c r="B16959" s="2" t="str">
        <f>IFERROR(__xludf.DUMMYFUNCTION("GOOGLETRANSLATE(A16959, ""de"", ""en"")"),"reconciliation")</f>
        <v>reconciliation</v>
      </c>
    </row>
    <row r="16960">
      <c r="A16960" s="1" t="s">
        <v>16959</v>
      </c>
      <c r="B16960" s="2" t="str">
        <f>IFERROR(__xludf.DUMMYFUNCTION("GOOGLETRANSLATE(A16960, ""de"", ""en"")"),"instructions")</f>
        <v>instructions</v>
      </c>
    </row>
    <row r="16961">
      <c r="A16961" s="1" t="s">
        <v>16960</v>
      </c>
      <c r="B16961" s="2" t="str">
        <f>IFERROR(__xludf.DUMMYFUNCTION("GOOGLETRANSLATE(A16961, ""de"", ""en"")"),"Kale")</f>
        <v>Kale</v>
      </c>
    </row>
    <row r="16962">
      <c r="A16962" s="1" t="s">
        <v>16961</v>
      </c>
      <c r="B16962" s="2" t="str">
        <f>IFERROR(__xludf.DUMMYFUNCTION("GOOGLETRANSLATE(A16962, ""de"", ""en"")"),"ya")</f>
        <v>ya</v>
      </c>
    </row>
    <row r="16963">
      <c r="A16963" s="1" t="s">
        <v>16962</v>
      </c>
      <c r="B16963" s="2" t="str">
        <f>IFERROR(__xludf.DUMMYFUNCTION("GOOGLETRANSLATE(A16963, ""de"", ""en"")"),"big city")</f>
        <v>big city</v>
      </c>
    </row>
    <row r="16964">
      <c r="A16964" s="1" t="s">
        <v>16963</v>
      </c>
      <c r="B16964" s="2" t="str">
        <f>IFERROR(__xludf.DUMMYFUNCTION("GOOGLETRANSLATE(A16964, ""de"", ""en"")"),"add")</f>
        <v>add</v>
      </c>
    </row>
    <row r="16965">
      <c r="A16965" s="1" t="s">
        <v>16964</v>
      </c>
      <c r="B16965" s="2" t="str">
        <f>IFERROR(__xludf.DUMMYFUNCTION("GOOGLETRANSLATE(A16965, ""de"", ""en"")"),"drags")</f>
        <v>drags</v>
      </c>
    </row>
    <row r="16966">
      <c r="A16966" s="1" t="s">
        <v>16965</v>
      </c>
      <c r="B16966" s="2" t="str">
        <f>IFERROR(__xludf.DUMMYFUNCTION("GOOGLETRANSLATE(A16966, ""de"", ""en"")"),"formalities")</f>
        <v>formalities</v>
      </c>
    </row>
    <row r="16967">
      <c r="A16967" s="1" t="s">
        <v>16966</v>
      </c>
      <c r="B16967" s="2" t="str">
        <f>IFERROR(__xludf.DUMMYFUNCTION("GOOGLETRANSLATE(A16967, ""de"", ""en"")"),"droids")</f>
        <v>droids</v>
      </c>
    </row>
    <row r="16968">
      <c r="A16968" s="1" t="s">
        <v>16967</v>
      </c>
      <c r="B16968" s="2" t="str">
        <f>IFERROR(__xludf.DUMMYFUNCTION("GOOGLETRANSLATE(A16968, ""de"", ""en"")"),"more classic")</f>
        <v>more classic</v>
      </c>
    </row>
    <row r="16969">
      <c r="A16969" s="1" t="s">
        <v>16968</v>
      </c>
      <c r="B16969" s="2" t="str">
        <f>IFERROR(__xludf.DUMMYFUNCTION("GOOGLETRANSLATE(A16969, ""de"", ""en"")"),"Louisa")</f>
        <v>Louisa</v>
      </c>
    </row>
    <row r="16970">
      <c r="A16970" s="1" t="s">
        <v>16969</v>
      </c>
      <c r="B16970" s="2" t="str">
        <f>IFERROR(__xludf.DUMMYFUNCTION("GOOGLETRANSLATE(A16970, ""de"", ""en"")"),"cosmo")</f>
        <v>cosmo</v>
      </c>
    </row>
    <row r="16971">
      <c r="A16971" s="1" t="s">
        <v>16970</v>
      </c>
      <c r="B16971" s="2" t="str">
        <f>IFERROR(__xludf.DUMMYFUNCTION("GOOGLETRANSLATE(A16971, ""de"", ""en"")"),"drove there")</f>
        <v>drove there</v>
      </c>
    </row>
    <row r="16972">
      <c r="A16972" s="1" t="s">
        <v>16971</v>
      </c>
      <c r="B16972" s="2" t="str">
        <f>IFERROR(__xludf.DUMMYFUNCTION("GOOGLETRANSLATE(A16972, ""de"", ""en"")"),"slash")</f>
        <v>slash</v>
      </c>
    </row>
    <row r="16973">
      <c r="A16973" s="1" t="s">
        <v>16972</v>
      </c>
      <c r="B16973" s="2" t="str">
        <f>IFERROR(__xludf.DUMMYFUNCTION("GOOGLETRANSLATE(A16973, ""de"", ""en"")"),"suck")</f>
        <v>suck</v>
      </c>
    </row>
    <row r="16974">
      <c r="A16974" s="1" t="s">
        <v>16973</v>
      </c>
      <c r="B16974" s="2" t="str">
        <f>IFERROR(__xludf.DUMMYFUNCTION("GOOGLETRANSLATE(A16974, ""de"", ""en"")"),"ultimatum")</f>
        <v>ultimatum</v>
      </c>
    </row>
    <row r="16975">
      <c r="A16975" s="1" t="s">
        <v>16974</v>
      </c>
      <c r="B16975" s="2" t="str">
        <f>IFERROR(__xludf.DUMMYFUNCTION("GOOGLETRANSLATE(A16975, ""de"", ""en"")"),"home")</f>
        <v>home</v>
      </c>
    </row>
    <row r="16976">
      <c r="A16976" s="1" t="s">
        <v>16975</v>
      </c>
      <c r="B16976" s="2" t="str">
        <f>IFERROR(__xludf.DUMMYFUNCTION("GOOGLETRANSLATE(A16976, ""de"", ""en"")"),"prematurely")</f>
        <v>prematurely</v>
      </c>
    </row>
    <row r="16977">
      <c r="A16977" s="1" t="s">
        <v>16976</v>
      </c>
      <c r="B16977" s="2" t="str">
        <f>IFERROR(__xludf.DUMMYFUNCTION("GOOGLETRANSLATE(A16977, ""de"", ""en"")"),"Natasha")</f>
        <v>Natasha</v>
      </c>
    </row>
    <row r="16978">
      <c r="A16978" s="1" t="s">
        <v>16977</v>
      </c>
      <c r="B16978" s="2" t="str">
        <f>IFERROR(__xludf.DUMMYFUNCTION("GOOGLETRANSLATE(A16978, ""de"", ""en"")"),"physicist")</f>
        <v>physicist</v>
      </c>
    </row>
    <row r="16979">
      <c r="A16979" s="1" t="s">
        <v>16978</v>
      </c>
      <c r="B16979" s="2" t="str">
        <f>IFERROR(__xludf.DUMMYFUNCTION("GOOGLETRANSLATE(A16979, ""de"", ""en"")"),"ox")</f>
        <v>ox</v>
      </c>
    </row>
    <row r="16980">
      <c r="A16980" s="1" t="s">
        <v>16979</v>
      </c>
      <c r="B16980" s="2" t="str">
        <f>IFERROR(__xludf.DUMMYFUNCTION("GOOGLETRANSLATE(A16980, ""de"", ""en"")"),"mentioned")</f>
        <v>mentioned</v>
      </c>
    </row>
    <row r="16981">
      <c r="A16981" s="1" t="s">
        <v>16980</v>
      </c>
      <c r="B16981" s="2" t="str">
        <f>IFERROR(__xludf.DUMMYFUNCTION("GOOGLETRANSLATE(A16981, ""de"", ""en"")"),"francesco")</f>
        <v>francesco</v>
      </c>
    </row>
    <row r="16982">
      <c r="A16982" s="1" t="s">
        <v>16981</v>
      </c>
      <c r="B16982" s="2" t="str">
        <f>IFERROR(__xludf.DUMMYFUNCTION("GOOGLETRANSLATE(A16982, ""de"", ""en"")"),"he finds")</f>
        <v>he finds</v>
      </c>
    </row>
    <row r="16983">
      <c r="A16983" s="1" t="s">
        <v>16982</v>
      </c>
      <c r="B16983" s="2" t="str">
        <f>IFERROR(__xludf.DUMMYFUNCTION("GOOGLETRANSLATE(A16983, ""de"", ""en"")"),"release")</f>
        <v>release</v>
      </c>
    </row>
    <row r="16984">
      <c r="A16984" s="1" t="s">
        <v>16983</v>
      </c>
      <c r="B16984" s="2" t="str">
        <f>IFERROR(__xludf.DUMMYFUNCTION("GOOGLETRANSLATE(A16984, ""de"", ""en"")"),"that's right")</f>
        <v>that's right</v>
      </c>
    </row>
    <row r="16985">
      <c r="A16985" s="1" t="s">
        <v>16984</v>
      </c>
      <c r="B16985" s="2" t="str">
        <f>IFERROR(__xludf.DUMMYFUNCTION("GOOGLETRANSLATE(A16985, ""de"", ""en"")"),"inside")</f>
        <v>inside</v>
      </c>
    </row>
    <row r="16986">
      <c r="A16986" s="1" t="s">
        <v>16985</v>
      </c>
      <c r="B16986" s="2" t="str">
        <f>IFERROR(__xludf.DUMMYFUNCTION("GOOGLETRANSLATE(A16986, ""de"", ""en"")"),"absolute")</f>
        <v>absolute</v>
      </c>
    </row>
    <row r="16987">
      <c r="A16987" s="1" t="s">
        <v>16986</v>
      </c>
      <c r="B16987" s="2" t="str">
        <f>IFERROR(__xludf.DUMMYFUNCTION("GOOGLETRANSLATE(A16987, ""de"", ""en"")"),"exhaustion")</f>
        <v>exhaustion</v>
      </c>
    </row>
    <row r="16988">
      <c r="A16988" s="1" t="s">
        <v>16987</v>
      </c>
      <c r="B16988" s="2" t="str">
        <f>IFERROR(__xludf.DUMMYFUNCTION("GOOGLETRANSLATE(A16988, ""de"", ""en"")"),"shattered")</f>
        <v>shattered</v>
      </c>
    </row>
    <row r="16989">
      <c r="A16989" s="1" t="s">
        <v>16988</v>
      </c>
      <c r="B16989" s="2" t="str">
        <f>IFERROR(__xludf.DUMMYFUNCTION("GOOGLETRANSLATE(A16989, ""de"", ""en"")"),"pigs")</f>
        <v>pigs</v>
      </c>
    </row>
    <row r="16990">
      <c r="A16990" s="1" t="s">
        <v>16989</v>
      </c>
      <c r="B16990" s="2" t="str">
        <f>IFERROR(__xludf.DUMMYFUNCTION("GOOGLETRANSLATE(A16990, ""de"", ""en"")"),"impressive")</f>
        <v>impressive</v>
      </c>
    </row>
    <row r="16991">
      <c r="A16991" s="1" t="s">
        <v>16990</v>
      </c>
      <c r="B16991" s="2" t="str">
        <f>IFERROR(__xludf.DUMMYFUNCTION("GOOGLETRANSLATE(A16991, ""de"", ""en"")"),"protect")</f>
        <v>protect</v>
      </c>
    </row>
    <row r="16992">
      <c r="A16992" s="1" t="s">
        <v>16991</v>
      </c>
      <c r="B16992" s="2" t="str">
        <f>IFERROR(__xludf.DUMMYFUNCTION("GOOGLETRANSLATE(A16992, ""de"", ""en"")"),"suffocate")</f>
        <v>suffocate</v>
      </c>
    </row>
    <row r="16993">
      <c r="A16993" s="1" t="s">
        <v>16992</v>
      </c>
      <c r="B16993" s="2" t="str">
        <f>IFERROR(__xludf.DUMMYFUNCTION("GOOGLETRANSLATE(A16993, ""de"", ""en"")"),"nino")</f>
        <v>nino</v>
      </c>
    </row>
    <row r="16994">
      <c r="A16994" s="1" t="s">
        <v>16993</v>
      </c>
      <c r="B16994" s="2" t="str">
        <f>IFERROR(__xludf.DUMMYFUNCTION("GOOGLETRANSLATE(A16994, ""de"", ""en"")"),"cover")</f>
        <v>cover</v>
      </c>
    </row>
    <row r="16995">
      <c r="A16995" s="1" t="s">
        <v>16994</v>
      </c>
      <c r="B16995" s="2" t="str">
        <f>IFERROR(__xludf.DUMMYFUNCTION("GOOGLETRANSLATE(A16995, ""de"", ""en"")"),"errands")</f>
        <v>errands</v>
      </c>
    </row>
    <row r="16996">
      <c r="A16996" s="1" t="s">
        <v>16995</v>
      </c>
      <c r="B16996" s="2" t="str">
        <f>IFERROR(__xludf.DUMMYFUNCTION("GOOGLETRANSLATE(A16996, ""de"", ""en"")"),"uterus")</f>
        <v>uterus</v>
      </c>
    </row>
    <row r="16997">
      <c r="A16997" s="1" t="s">
        <v>16996</v>
      </c>
      <c r="B16997" s="2" t="str">
        <f>IFERROR(__xludf.DUMMYFUNCTION("GOOGLETRANSLATE(A16997, ""de"", ""en"")"),"footprints")</f>
        <v>footprints</v>
      </c>
    </row>
    <row r="16998">
      <c r="A16998" s="1" t="s">
        <v>16997</v>
      </c>
      <c r="B16998" s="2" t="str">
        <f>IFERROR(__xludf.DUMMYFUNCTION("GOOGLETRANSLATE(A16998, ""de"", ""en"")"),"wet")</f>
        <v>wet</v>
      </c>
    </row>
    <row r="16999">
      <c r="A16999" s="1" t="s">
        <v>16998</v>
      </c>
      <c r="B16999" s="2" t="str">
        <f>IFERROR(__xludf.DUMMYFUNCTION("GOOGLETRANSLATE(A16999, ""de"", ""en"")"),"polished")</f>
        <v>polished</v>
      </c>
    </row>
    <row r="17000">
      <c r="A17000" s="1" t="s">
        <v>16999</v>
      </c>
      <c r="B17000" s="2" t="str">
        <f>IFERROR(__xludf.DUMMYFUNCTION("GOOGLETRANSLATE(A17000, ""de"", ""en"")"),"ch4040ff")</f>
        <v>ch4040ff</v>
      </c>
    </row>
    <row r="17001">
      <c r="A17001" s="1" t="s">
        <v>17000</v>
      </c>
      <c r="B17001" s="2" t="str">
        <f>IFERROR(__xludf.DUMMYFUNCTION("GOOGLETRANSLATE(A17001, ""de"", ""en"")"),"kill")</f>
        <v>kill</v>
      </c>
    </row>
    <row r="17002">
      <c r="A17002" s="1" t="s">
        <v>17001</v>
      </c>
      <c r="B17002" s="2" t="str">
        <f>IFERROR(__xludf.DUMMYFUNCTION("GOOGLETRANSLATE(A17002, ""de"", ""en"")"),"relationship")</f>
        <v>relationship</v>
      </c>
    </row>
    <row r="17003">
      <c r="A17003" s="1" t="s">
        <v>17002</v>
      </c>
      <c r="B17003" s="2" t="str">
        <f>IFERROR(__xludf.DUMMYFUNCTION("GOOGLETRANSLATE(A17003, ""de"", ""en"")"),"to lock up")</f>
        <v>to lock up</v>
      </c>
    </row>
    <row r="17004">
      <c r="A17004" s="1" t="s">
        <v>17003</v>
      </c>
      <c r="B17004" s="2" t="str">
        <f>IFERROR(__xludf.DUMMYFUNCTION("GOOGLETRANSLATE(A17004, ""de"", ""en"")"),"documentation")</f>
        <v>documentation</v>
      </c>
    </row>
    <row r="17005">
      <c r="A17005" s="1" t="s">
        <v>17004</v>
      </c>
      <c r="B17005" s="2" t="str">
        <f>IFERROR(__xludf.DUMMYFUNCTION("GOOGLETRANSLATE(A17005, ""de"", ""en"")"),"distant")</f>
        <v>distant</v>
      </c>
    </row>
    <row r="17006">
      <c r="A17006" s="1" t="s">
        <v>17005</v>
      </c>
      <c r="B17006" s="2" t="str">
        <f>IFERROR(__xludf.DUMMYFUNCTION("GOOGLETRANSLATE(A17006, ""de"", ""en"")"),"intimacy")</f>
        <v>intimacy</v>
      </c>
    </row>
    <row r="17007">
      <c r="A17007" s="1" t="s">
        <v>17006</v>
      </c>
      <c r="B17007" s="2" t="str">
        <f>IFERROR(__xludf.DUMMYFUNCTION("GOOGLETRANSLATE(A17007, ""de"", ""en"")"),"more urgent")</f>
        <v>more urgent</v>
      </c>
    </row>
    <row r="17008">
      <c r="A17008" s="1" t="s">
        <v>17007</v>
      </c>
      <c r="B17008" s="2" t="str">
        <f>IFERROR(__xludf.DUMMYFUNCTION("GOOGLETRANSLATE(A17008, ""de"", ""en"")"),"confident")</f>
        <v>confident</v>
      </c>
    </row>
    <row r="17009">
      <c r="A17009" s="1" t="s">
        <v>17008</v>
      </c>
      <c r="B17009" s="2" t="str">
        <f>IFERROR(__xludf.DUMMYFUNCTION("GOOGLETRANSLATE(A17009, ""de"", ""en"")"),"stubborn")</f>
        <v>stubborn</v>
      </c>
    </row>
    <row r="17010">
      <c r="A17010" s="1" t="s">
        <v>17009</v>
      </c>
      <c r="B17010" s="2" t="str">
        <f>IFERROR(__xludf.DUMMYFUNCTION("GOOGLETRANSLATE(A17010, ""de"", ""en"")"),"ally")</f>
        <v>ally</v>
      </c>
    </row>
    <row r="17011">
      <c r="A17011" s="1" t="s">
        <v>17010</v>
      </c>
      <c r="B17011" s="2" t="str">
        <f>IFERROR(__xludf.DUMMYFUNCTION("GOOGLETRANSLATE(A17011, ""de"", ""en"")"),"Canadian")</f>
        <v>Canadian</v>
      </c>
    </row>
    <row r="17012">
      <c r="A17012" s="1" t="s">
        <v>17011</v>
      </c>
      <c r="B17012" s="2" t="str">
        <f>IFERROR(__xludf.DUMMYFUNCTION("GOOGLETRANSLATE(A17012, ""de"", ""en"")"),"mineral water")</f>
        <v>mineral water</v>
      </c>
    </row>
    <row r="17013">
      <c r="A17013" s="1" t="s">
        <v>17012</v>
      </c>
      <c r="B17013" s="2" t="str">
        <f>IFERROR(__xludf.DUMMYFUNCTION("GOOGLETRANSLATE(A17013, ""de"", ""en"")"),"minors")</f>
        <v>minors</v>
      </c>
    </row>
    <row r="17014">
      <c r="A17014" s="1" t="s">
        <v>17013</v>
      </c>
      <c r="B17014" s="2" t="str">
        <f>IFERROR(__xludf.DUMMYFUNCTION("GOOGLETRANSLATE(A17014, ""de"", ""en"")"),"latest")</f>
        <v>latest</v>
      </c>
    </row>
    <row r="17015">
      <c r="A17015" s="1" t="s">
        <v>17014</v>
      </c>
      <c r="B17015" s="2" t="str">
        <f>IFERROR(__xludf.DUMMYFUNCTION("GOOGLETRANSLATE(A17015, ""de"", ""en"")"),"father")</f>
        <v>father</v>
      </c>
    </row>
    <row r="17016">
      <c r="A17016" s="1" t="s">
        <v>17015</v>
      </c>
      <c r="B17016" s="2" t="str">
        <f>IFERROR(__xludf.DUMMYFUNCTION("GOOGLETRANSLATE(A17016, ""de"", ""en"")"),"distribution")</f>
        <v>distribution</v>
      </c>
    </row>
    <row r="17017">
      <c r="A17017" s="1" t="s">
        <v>17016</v>
      </c>
      <c r="B17017" s="2" t="str">
        <f>IFERROR(__xludf.DUMMYFUNCTION("GOOGLETRANSLATE(A17017, ""de"", ""en"")"),"Christian")</f>
        <v>Christian</v>
      </c>
    </row>
    <row r="17018">
      <c r="A17018" s="1" t="s">
        <v>17017</v>
      </c>
      <c r="B17018" s="2" t="str">
        <f>IFERROR(__xludf.DUMMYFUNCTION("GOOGLETRANSLATE(A17018, ""de"", ""en"")"),"vice presidents")</f>
        <v>vice presidents</v>
      </c>
    </row>
    <row r="17019">
      <c r="A17019" s="1" t="s">
        <v>17018</v>
      </c>
      <c r="B17019" s="2" t="str">
        <f>IFERROR(__xludf.DUMMYFUNCTION("GOOGLETRANSLATE(A17019, ""de"", ""en"")"),"castillo")</f>
        <v>castillo</v>
      </c>
    </row>
    <row r="17020">
      <c r="A17020" s="1" t="s">
        <v>17019</v>
      </c>
      <c r="B17020" s="2" t="str">
        <f>IFERROR(__xludf.DUMMYFUNCTION("GOOGLETRANSLATE(A17020, ""de"", ""en"")"),"Russel")</f>
        <v>Russel</v>
      </c>
    </row>
    <row r="17021">
      <c r="A17021" s="1" t="s">
        <v>17020</v>
      </c>
      <c r="B17021" s="2" t="str">
        <f>IFERROR(__xludf.DUMMYFUNCTION("GOOGLETRANSLATE(A17021, ""de"", ""en"")"),"duller")</f>
        <v>duller</v>
      </c>
    </row>
    <row r="17022">
      <c r="A17022" s="1" t="s">
        <v>17021</v>
      </c>
      <c r="B17022" s="2" t="str">
        <f>IFERROR(__xludf.DUMMYFUNCTION("GOOGLETRANSLATE(A17022, ""de"", ""en"")"),"orders")</f>
        <v>orders</v>
      </c>
    </row>
    <row r="17023">
      <c r="A17023" s="1" t="s">
        <v>17022</v>
      </c>
      <c r="B17023" s="2" t="str">
        <f>IFERROR(__xludf.DUMMYFUNCTION("GOOGLETRANSLATE(A17023, ""de"", ""en"")"),"ahhh")</f>
        <v>ahhh</v>
      </c>
    </row>
    <row r="17024">
      <c r="A17024" s="1" t="s">
        <v>17023</v>
      </c>
      <c r="B17024" s="2" t="str">
        <f>IFERROR(__xludf.DUMMYFUNCTION("GOOGLETRANSLATE(A17024, ""de"", ""en"")"),"confident")</f>
        <v>confident</v>
      </c>
    </row>
    <row r="17025">
      <c r="A17025" s="1" t="s">
        <v>17024</v>
      </c>
      <c r="B17025" s="2" t="str">
        <f>IFERROR(__xludf.DUMMYFUNCTION("GOOGLETRANSLATE(A17025, ""de"", ""en"")"),"car door")</f>
        <v>car door</v>
      </c>
    </row>
    <row r="17026">
      <c r="A17026" s="1" t="s">
        <v>17025</v>
      </c>
      <c r="B17026" s="2" t="str">
        <f>IFERROR(__xludf.DUMMYFUNCTION("GOOGLETRANSLATE(A17026, ""de"", ""en"")"),"diplomacy")</f>
        <v>diplomacy</v>
      </c>
    </row>
    <row r="17027">
      <c r="A17027" s="1" t="s">
        <v>17026</v>
      </c>
      <c r="B17027" s="2" t="str">
        <f>IFERROR(__xludf.DUMMYFUNCTION("GOOGLETRANSLATE(A17027, ""de"", ""en"")"),"bluffing")</f>
        <v>bluffing</v>
      </c>
    </row>
    <row r="17028">
      <c r="A17028" s="1" t="s">
        <v>17027</v>
      </c>
      <c r="B17028" s="2" t="str">
        <f>IFERROR(__xludf.DUMMYFUNCTION("GOOGLETRANSLATE(A17028, ""de"", ""en"")"),"oblique")</f>
        <v>oblique</v>
      </c>
    </row>
    <row r="17029">
      <c r="A17029" s="1" t="s">
        <v>17028</v>
      </c>
      <c r="B17029" s="2" t="str">
        <f>IFERROR(__xludf.DUMMYFUNCTION("GOOGLETRANSLATE(A17029, ""de"", ""en"")"),"responsibility")</f>
        <v>responsibility</v>
      </c>
    </row>
    <row r="17030">
      <c r="A17030" s="1" t="s">
        <v>17029</v>
      </c>
      <c r="B17030" s="2" t="str">
        <f>IFERROR(__xludf.DUMMYFUNCTION("GOOGLETRANSLATE(A17030, ""de"", ""en"")"),"shaken")</f>
        <v>shaken</v>
      </c>
    </row>
    <row r="17031">
      <c r="A17031" s="1" t="s">
        <v>17030</v>
      </c>
      <c r="B17031" s="2" t="str">
        <f>IFERROR(__xludf.DUMMYFUNCTION("GOOGLETRANSLATE(A17031, ""de"", ""en"")"),"hoyt")</f>
        <v>hoyt</v>
      </c>
    </row>
    <row r="17032">
      <c r="A17032" s="1" t="s">
        <v>17031</v>
      </c>
      <c r="B17032" s="2" t="str">
        <f>IFERROR(__xludf.DUMMYFUNCTION("GOOGLETRANSLATE(A17032, ""de"", ""en"")"),"fiction")</f>
        <v>fiction</v>
      </c>
    </row>
    <row r="17033">
      <c r="A17033" s="1" t="s">
        <v>17032</v>
      </c>
      <c r="B17033" s="2" t="str">
        <f>IFERROR(__xludf.DUMMYFUNCTION("GOOGLETRANSLATE(A17033, ""de"", ""en"")"),"explored")</f>
        <v>explored</v>
      </c>
    </row>
    <row r="17034">
      <c r="A17034" s="1" t="s">
        <v>17033</v>
      </c>
      <c r="B17034" s="2" t="str">
        <f>IFERROR(__xludf.DUMMYFUNCTION("GOOGLETRANSLATE(A17034, ""de"", ""en"")"),"stiffen")</f>
        <v>stiffen</v>
      </c>
    </row>
    <row r="17035">
      <c r="A17035" s="1" t="s">
        <v>17034</v>
      </c>
      <c r="B17035" s="2" t="str">
        <f>IFERROR(__xludf.DUMMYFUNCTION("GOOGLETRANSLATE(A17035, ""de"", ""en"")"),"gay")</f>
        <v>gay</v>
      </c>
    </row>
    <row r="17036">
      <c r="A17036" s="1" t="s">
        <v>17035</v>
      </c>
      <c r="B17036" s="2" t="str">
        <f>IFERROR(__xludf.DUMMYFUNCTION("GOOGLETRANSLATE(A17036, ""de"", ""en"")"),"duffy")</f>
        <v>duffy</v>
      </c>
    </row>
    <row r="17037">
      <c r="A17037" s="1" t="s">
        <v>17036</v>
      </c>
      <c r="B17037" s="2" t="str">
        <f>IFERROR(__xludf.DUMMYFUNCTION("GOOGLETRANSLATE(A17037, ""de"", ""en"")"),"britney")</f>
        <v>britney</v>
      </c>
    </row>
    <row r="17038">
      <c r="A17038" s="1" t="s">
        <v>17037</v>
      </c>
      <c r="B17038" s="2" t="str">
        <f>IFERROR(__xludf.DUMMYFUNCTION("GOOGLETRANSLATE(A17038, ""de"", ""en"")"),"simpsons")</f>
        <v>simpsons</v>
      </c>
    </row>
    <row r="17039">
      <c r="A17039" s="1" t="s">
        <v>17038</v>
      </c>
      <c r="B17039" s="2" t="str">
        <f>IFERROR(__xludf.DUMMYFUNCTION("GOOGLETRANSLATE(A17039, ""de"", ""en"")"),"yvette")</f>
        <v>yvette</v>
      </c>
    </row>
    <row r="17040">
      <c r="A17040" s="1" t="s">
        <v>17039</v>
      </c>
      <c r="B17040" s="2" t="str">
        <f>IFERROR(__xludf.DUMMYFUNCTION("GOOGLETRANSLATE(A17040, ""de"", ""en"")"),"cutlery")</f>
        <v>cutlery</v>
      </c>
    </row>
    <row r="17041">
      <c r="A17041" s="1" t="s">
        <v>17040</v>
      </c>
      <c r="B17041" s="2" t="str">
        <f>IFERROR(__xludf.DUMMYFUNCTION("GOOGLETRANSLATE(A17041, ""de"", ""en"")"),"founded")</f>
        <v>founded</v>
      </c>
    </row>
    <row r="17042">
      <c r="A17042" s="1" t="s">
        <v>17041</v>
      </c>
      <c r="B17042" s="2" t="str">
        <f>IFERROR(__xludf.DUMMYFUNCTION("GOOGLETRANSLATE(A17042, ""de"", ""en"")"),"flooded")</f>
        <v>flooded</v>
      </c>
    </row>
    <row r="17043">
      <c r="A17043" s="1" t="s">
        <v>17042</v>
      </c>
      <c r="B17043" s="2" t="str">
        <f>IFERROR(__xludf.DUMMYFUNCTION("GOOGLETRANSLATE(A17043, ""de"", ""en"")"),"phelps")</f>
        <v>phelps</v>
      </c>
    </row>
    <row r="17044">
      <c r="A17044" s="1" t="s">
        <v>17043</v>
      </c>
      <c r="B17044" s="2" t="str">
        <f>IFERROR(__xludf.DUMMYFUNCTION("GOOGLETRANSLATE(A17044, ""de"", ""en"")"),"ready")</f>
        <v>ready</v>
      </c>
    </row>
    <row r="17045">
      <c r="A17045" s="1" t="s">
        <v>17044</v>
      </c>
      <c r="B17045" s="2" t="str">
        <f>IFERROR(__xludf.DUMMYFUNCTION("GOOGLETRANSLATE(A17045, ""de"", ""en"")"),"take place")</f>
        <v>take place</v>
      </c>
    </row>
    <row r="17046">
      <c r="A17046" s="1" t="s">
        <v>17045</v>
      </c>
      <c r="B17046" s="2" t="str">
        <f>IFERROR(__xludf.DUMMYFUNCTION("GOOGLETRANSLATE(A17046, ""de"", ""en"")"),"image")</f>
        <v>image</v>
      </c>
    </row>
    <row r="17047">
      <c r="A17047" s="1" t="s">
        <v>17046</v>
      </c>
      <c r="B17047" s="2" t="str">
        <f>IFERROR(__xludf.DUMMYFUNCTION("GOOGLETRANSLATE(A17047, ""de"", ""en"")"),"reproduce")</f>
        <v>reproduce</v>
      </c>
    </row>
    <row r="17048">
      <c r="A17048" s="1" t="s">
        <v>17047</v>
      </c>
      <c r="B17048" s="2" t="str">
        <f>IFERROR(__xludf.DUMMYFUNCTION("GOOGLETRANSLATE(A17048, ""de"", ""en"")"),"clump")</f>
        <v>clump</v>
      </c>
    </row>
    <row r="17049">
      <c r="A17049" s="1" t="s">
        <v>17048</v>
      </c>
      <c r="B17049" s="2" t="str">
        <f>IFERROR(__xludf.DUMMYFUNCTION("GOOGLETRANSLATE(A17049, ""de"", ""en"")"),"footprints")</f>
        <v>footprints</v>
      </c>
    </row>
    <row r="17050">
      <c r="A17050" s="1" t="s">
        <v>17049</v>
      </c>
      <c r="B17050" s="2" t="str">
        <f>IFERROR(__xludf.DUMMYFUNCTION("GOOGLETRANSLATE(A17050, ""de"", ""en"")"),"traditional")</f>
        <v>traditional</v>
      </c>
    </row>
    <row r="17051">
      <c r="A17051" s="1" t="s">
        <v>17050</v>
      </c>
      <c r="B17051" s="2" t="str">
        <f>IFERROR(__xludf.DUMMYFUNCTION("GOOGLETRANSLATE(A17051, ""de"", ""en"")"),"to stop")</f>
        <v>to stop</v>
      </c>
    </row>
    <row r="17052">
      <c r="A17052" s="1" t="s">
        <v>17051</v>
      </c>
      <c r="B17052" s="2" t="str">
        <f>IFERROR(__xludf.DUMMYFUNCTION("GOOGLETRANSLATE(A17052, ""de"", ""en"")"),"quieter")</f>
        <v>quieter</v>
      </c>
    </row>
    <row r="17053">
      <c r="A17053" s="1" t="s">
        <v>17052</v>
      </c>
      <c r="B17053" s="2" t="str">
        <f>IFERROR(__xludf.DUMMYFUNCTION("GOOGLETRANSLATE(A17053, ""de"", ""en"")"),"bell")</f>
        <v>bell</v>
      </c>
    </row>
    <row r="17054">
      <c r="A17054" s="1" t="s">
        <v>17053</v>
      </c>
      <c r="B17054" s="2" t="str">
        <f>IFERROR(__xludf.DUMMYFUNCTION("GOOGLETRANSLATE(A17054, ""de"", ""en"")"),"Gandhi")</f>
        <v>Gandhi</v>
      </c>
    </row>
    <row r="17055">
      <c r="A17055" s="1" t="s">
        <v>17054</v>
      </c>
      <c r="B17055" s="2" t="str">
        <f>IFERROR(__xludf.DUMMYFUNCTION("GOOGLETRANSLATE(A17055, ""de"", ""en"")"),"Manfred")</f>
        <v>Manfred</v>
      </c>
    </row>
    <row r="17056">
      <c r="A17056" s="1" t="s">
        <v>17055</v>
      </c>
      <c r="B17056" s="2" t="str">
        <f>IFERROR(__xludf.DUMMYFUNCTION("GOOGLETRANSLATE(A17056, ""de"", ""en"")"),"previous")</f>
        <v>previous</v>
      </c>
    </row>
    <row r="17057">
      <c r="A17057" s="1" t="s">
        <v>17056</v>
      </c>
      <c r="B17057" s="2" t="str">
        <f>IFERROR(__xludf.DUMMYFUNCTION("GOOGLETRANSLATE(A17057, ""de"", ""en"")"),"perplexed")</f>
        <v>perplexed</v>
      </c>
    </row>
    <row r="17058">
      <c r="A17058" s="1" t="s">
        <v>17057</v>
      </c>
      <c r="B17058" s="2" t="str">
        <f>IFERROR(__xludf.DUMMYFUNCTION("GOOGLETRANSLATE(A17058, ""de"", ""en"")"),"manicure")</f>
        <v>manicure</v>
      </c>
    </row>
    <row r="17059">
      <c r="A17059" s="1" t="s">
        <v>17058</v>
      </c>
      <c r="B17059" s="2" t="str">
        <f>IFERROR(__xludf.DUMMYFUNCTION("GOOGLETRANSLATE(A17059, ""de"", ""en"")"),"coal")</f>
        <v>coal</v>
      </c>
    </row>
    <row r="17060">
      <c r="A17060" s="1" t="s">
        <v>17059</v>
      </c>
      <c r="B17060" s="2" t="str">
        <f>IFERROR(__xludf.DUMMYFUNCTION("GOOGLETRANSLATE(A17060, ""de"", ""en"")"),"furious")</f>
        <v>furious</v>
      </c>
    </row>
    <row r="17061">
      <c r="A17061" s="1" t="s">
        <v>17060</v>
      </c>
      <c r="B17061" s="2" t="str">
        <f>IFERROR(__xludf.DUMMYFUNCTION("GOOGLETRANSLATE(A17061, ""de"", ""en"")"),"Rhodes")</f>
        <v>Rhodes</v>
      </c>
    </row>
    <row r="17062">
      <c r="A17062" s="1" t="s">
        <v>17061</v>
      </c>
      <c r="B17062" s="2" t="str">
        <f>IFERROR(__xludf.DUMMYFUNCTION("GOOGLETRANSLATE(A17062, ""de"", ""en"")"),"Christmas")</f>
        <v>Christmas</v>
      </c>
    </row>
    <row r="17063">
      <c r="A17063" s="1" t="s">
        <v>17062</v>
      </c>
      <c r="B17063" s="2" t="str">
        <f>IFERROR(__xludf.DUMMYFUNCTION("GOOGLETRANSLATE(A17063, ""de"", ""en"")"),"sweep")</f>
        <v>sweep</v>
      </c>
    </row>
    <row r="17064">
      <c r="A17064" s="1" t="s">
        <v>17063</v>
      </c>
      <c r="B17064" s="2" t="str">
        <f>IFERROR(__xludf.DUMMYFUNCTION("GOOGLETRANSLATE(A17064, ""de"", ""en"")"),"christie")</f>
        <v>christie</v>
      </c>
    </row>
    <row r="17065">
      <c r="A17065" s="1" t="s">
        <v>17064</v>
      </c>
      <c r="B17065" s="2" t="str">
        <f>IFERROR(__xludf.DUMMYFUNCTION("GOOGLETRANSLATE(A17065, ""de"", ""en"")"),"sixteen")</f>
        <v>sixteen</v>
      </c>
    </row>
    <row r="17066">
      <c r="A17066" s="1" t="s">
        <v>17065</v>
      </c>
      <c r="B17066" s="2" t="str">
        <f>IFERROR(__xludf.DUMMYFUNCTION("GOOGLETRANSLATE(A17066, ""de"", ""en"")"),"tug")</f>
        <v>tug</v>
      </c>
    </row>
    <row r="17067">
      <c r="A17067" s="1" t="s">
        <v>17066</v>
      </c>
      <c r="B17067" s="2" t="str">
        <f>IFERROR(__xludf.DUMMYFUNCTION("GOOGLETRANSLATE(A17067, ""de"", ""en"")"),"Webb")</f>
        <v>Webb</v>
      </c>
    </row>
    <row r="17068">
      <c r="A17068" s="1" t="s">
        <v>17067</v>
      </c>
      <c r="B17068" s="2" t="str">
        <f>IFERROR(__xludf.DUMMYFUNCTION("GOOGLETRANSLATE(A17068, ""de"", ""en"")"),"believing")</f>
        <v>believing</v>
      </c>
    </row>
    <row r="17069">
      <c r="A17069" s="1" t="s">
        <v>17068</v>
      </c>
      <c r="B17069" s="2" t="str">
        <f>IFERROR(__xludf.DUMMYFUNCTION("GOOGLETRANSLATE(A17069, ""de"", ""en"")"),"abort")</f>
        <v>abort</v>
      </c>
    </row>
    <row r="17070">
      <c r="A17070" s="1" t="s">
        <v>17069</v>
      </c>
      <c r="B17070" s="2" t="str">
        <f>IFERROR(__xludf.DUMMYFUNCTION("GOOGLETRANSLATE(A17070, ""de"", ""en"")"),"motorcycles")</f>
        <v>motorcycles</v>
      </c>
    </row>
    <row r="17071">
      <c r="A17071" s="1" t="s">
        <v>17070</v>
      </c>
      <c r="B17071" s="2" t="str">
        <f>IFERROR(__xludf.DUMMYFUNCTION("GOOGLETRANSLATE(A17071, ""de"", ""en"")"),"closes")</f>
        <v>closes</v>
      </c>
    </row>
    <row r="17072">
      <c r="A17072" s="1" t="s">
        <v>17071</v>
      </c>
      <c r="B17072" s="2" t="str">
        <f>IFERROR(__xludf.DUMMYFUNCTION("GOOGLETRANSLATE(A17072, ""de"", ""en"")"),"jury")</f>
        <v>jury</v>
      </c>
    </row>
    <row r="17073">
      <c r="A17073" s="1" t="s">
        <v>17072</v>
      </c>
      <c r="B17073" s="2" t="str">
        <f>IFERROR(__xludf.DUMMYFUNCTION("GOOGLETRANSLATE(A17073, ""de"", ""en"")"),"heart rate")</f>
        <v>heart rate</v>
      </c>
    </row>
    <row r="17074">
      <c r="A17074" s="1" t="s">
        <v>17073</v>
      </c>
      <c r="B17074" s="2" t="str">
        <f>IFERROR(__xludf.DUMMYFUNCTION("GOOGLETRANSLATE(A17074, ""de"", ""en"")"),"mads")</f>
        <v>mads</v>
      </c>
    </row>
    <row r="17075">
      <c r="A17075" s="1" t="s">
        <v>17074</v>
      </c>
      <c r="B17075" s="2" t="str">
        <f>IFERROR(__xludf.DUMMYFUNCTION("GOOGLETRANSLATE(A17075, ""de"", ""en"")"),"eternal")</f>
        <v>eternal</v>
      </c>
    </row>
    <row r="17076">
      <c r="A17076" s="1" t="s">
        <v>17075</v>
      </c>
      <c r="B17076" s="2" t="str">
        <f>IFERROR(__xludf.DUMMYFUNCTION("GOOGLETRANSLATE(A17076, ""de"", ""en"")"),"described")</f>
        <v>described</v>
      </c>
    </row>
    <row r="17077">
      <c r="A17077" s="1" t="s">
        <v>17076</v>
      </c>
      <c r="B17077" s="2" t="str">
        <f>IFERROR(__xludf.DUMMYFUNCTION("GOOGLETRANSLATE(A17077, ""de"", ""en"")"),"cain")</f>
        <v>cain</v>
      </c>
    </row>
    <row r="17078">
      <c r="A17078" s="1" t="s">
        <v>17077</v>
      </c>
      <c r="B17078" s="2" t="str">
        <f>IFERROR(__xludf.DUMMYFUNCTION("GOOGLETRANSLATE(A17078, ""de"", ""en"")"),"iii")</f>
        <v>iii</v>
      </c>
    </row>
    <row r="17079">
      <c r="A17079" s="1" t="s">
        <v>17078</v>
      </c>
      <c r="B17079" s="2" t="str">
        <f>IFERROR(__xludf.DUMMYFUNCTION("GOOGLETRANSLATE(A17079, ""de"", ""en"")"),"agatha")</f>
        <v>agatha</v>
      </c>
    </row>
    <row r="17080">
      <c r="A17080" s="1" t="s">
        <v>17079</v>
      </c>
      <c r="B17080" s="2" t="str">
        <f>IFERROR(__xludf.DUMMYFUNCTION("GOOGLETRANSLATE(A17080, ""de"", ""en"")"),"loomis")</f>
        <v>loomis</v>
      </c>
    </row>
    <row r="17081">
      <c r="A17081" s="1" t="s">
        <v>17080</v>
      </c>
      <c r="B17081" s="2" t="str">
        <f>IFERROR(__xludf.DUMMYFUNCTION("GOOGLETRANSLATE(A17081, ""de"", ""en"")"),"beauty")</f>
        <v>beauty</v>
      </c>
    </row>
    <row r="17082">
      <c r="A17082" s="1" t="s">
        <v>17081</v>
      </c>
      <c r="B17082" s="2" t="str">
        <f>IFERROR(__xludf.DUMMYFUNCTION("GOOGLETRANSLATE(A17082, ""de"", ""en"")"),"runway")</f>
        <v>runway</v>
      </c>
    </row>
    <row r="17083">
      <c r="A17083" s="1" t="s">
        <v>17082</v>
      </c>
      <c r="B17083" s="2" t="str">
        <f>IFERROR(__xludf.DUMMYFUNCTION("GOOGLETRANSLATE(A17083, ""de"", ""en"")"),"Kimberly")</f>
        <v>Kimberly</v>
      </c>
    </row>
    <row r="17084">
      <c r="A17084" s="1" t="s">
        <v>17083</v>
      </c>
      <c r="B17084" s="2" t="str">
        <f>IFERROR(__xludf.DUMMYFUNCTION("GOOGLETRANSLATE(A17084, ""de"", ""en"")"),"wonderful")</f>
        <v>wonderful</v>
      </c>
    </row>
    <row r="17085">
      <c r="A17085" s="1" t="s">
        <v>17084</v>
      </c>
      <c r="B17085" s="2" t="str">
        <f>IFERROR(__xludf.DUMMYFUNCTION("GOOGLETRANSLATE(A17085, ""de"", ""en"")"),"machete")</f>
        <v>machete</v>
      </c>
    </row>
    <row r="17086">
      <c r="A17086" s="1" t="s">
        <v>17085</v>
      </c>
      <c r="B17086" s="2" t="str">
        <f>IFERROR(__xludf.DUMMYFUNCTION("GOOGLETRANSLATE(A17086, ""de"", ""en"")"),"longest")</f>
        <v>longest</v>
      </c>
    </row>
    <row r="17087">
      <c r="A17087" s="1" t="s">
        <v>17086</v>
      </c>
      <c r="B17087" s="2" t="str">
        <f>IFERROR(__xludf.DUMMYFUNCTION("GOOGLETRANSLATE(A17087, ""de"", ""en"")"),"alphabet")</f>
        <v>alphabet</v>
      </c>
    </row>
    <row r="17088">
      <c r="A17088" s="1" t="s">
        <v>17087</v>
      </c>
      <c r="B17088" s="2" t="str">
        <f>IFERROR(__xludf.DUMMYFUNCTION("GOOGLETRANSLATE(A17088, ""de"", ""en"")"),"embarrassing")</f>
        <v>embarrassing</v>
      </c>
    </row>
    <row r="17089">
      <c r="A17089" s="1" t="s">
        <v>17088</v>
      </c>
      <c r="B17089" s="2" t="str">
        <f>IFERROR(__xludf.DUMMYFUNCTION("GOOGLETRANSLATE(A17089, ""de"", ""en"")"),"assess")</f>
        <v>assess</v>
      </c>
    </row>
    <row r="17090">
      <c r="A17090" s="1" t="s">
        <v>17089</v>
      </c>
      <c r="B17090" s="2" t="str">
        <f>IFERROR(__xludf.DUMMYFUNCTION("GOOGLETRANSLATE(A17090, ""de"", ""en"")"),"agreed")</f>
        <v>agreed</v>
      </c>
    </row>
    <row r="17091">
      <c r="A17091" s="1" t="s">
        <v>17090</v>
      </c>
      <c r="B17091" s="2" t="str">
        <f>IFERROR(__xludf.DUMMYFUNCTION("GOOGLETRANSLATE(A17091, ""de"", ""en"")"),"railing")</f>
        <v>railing</v>
      </c>
    </row>
    <row r="17092">
      <c r="A17092" s="1" t="s">
        <v>17091</v>
      </c>
      <c r="B17092" s="2" t="str">
        <f>IFERROR(__xludf.DUMMYFUNCTION("GOOGLETRANSLATE(A17092, ""de"", ""en"")"),"courage")</f>
        <v>courage</v>
      </c>
    </row>
    <row r="17093">
      <c r="A17093" s="1" t="s">
        <v>17092</v>
      </c>
      <c r="B17093" s="2" t="str">
        <f>IFERROR(__xludf.DUMMYFUNCTION("GOOGLETRANSLATE(A17093, ""de"", ""en"")"),"fours")</f>
        <v>fours</v>
      </c>
    </row>
    <row r="17094">
      <c r="A17094" s="1" t="s">
        <v>17093</v>
      </c>
      <c r="B17094" s="2" t="str">
        <f>IFERROR(__xludf.DUMMYFUNCTION("GOOGLETRANSLATE(A17094, ""de"", ""en"")"),"platform")</f>
        <v>platform</v>
      </c>
    </row>
    <row r="17095">
      <c r="A17095" s="1" t="s">
        <v>17094</v>
      </c>
      <c r="B17095" s="2" t="str">
        <f>IFERROR(__xludf.DUMMYFUNCTION("GOOGLETRANSLATE(A17095, ""de"", ""en"")"),"whines")</f>
        <v>whines</v>
      </c>
    </row>
    <row r="17096">
      <c r="A17096" s="1" t="s">
        <v>17095</v>
      </c>
      <c r="B17096" s="2" t="str">
        <f>IFERROR(__xludf.DUMMYFUNCTION("GOOGLETRANSLATE(A17096, ""de"", ""en"")"),"case")</f>
        <v>case</v>
      </c>
    </row>
    <row r="17097">
      <c r="A17097" s="1" t="s">
        <v>17096</v>
      </c>
      <c r="B17097" s="2" t="str">
        <f>IFERROR(__xludf.DUMMYFUNCTION("GOOGLETRANSLATE(A17097, ""de"", ""en"")"),"raul")</f>
        <v>raul</v>
      </c>
    </row>
    <row r="17098">
      <c r="A17098" s="1" t="s">
        <v>17097</v>
      </c>
      <c r="B17098" s="2" t="str">
        <f>IFERROR(__xludf.DUMMYFUNCTION("GOOGLETRANSLATE(A17098, ""de"", ""en"")"),"wah")</f>
        <v>wah</v>
      </c>
    </row>
    <row r="17099">
      <c r="A17099" s="1" t="s">
        <v>17098</v>
      </c>
      <c r="B17099" s="2" t="str">
        <f>IFERROR(__xludf.DUMMYFUNCTION("GOOGLETRANSLATE(A17099, ""de"", ""en"")"),"gallo")</f>
        <v>gallo</v>
      </c>
    </row>
    <row r="17100">
      <c r="A17100" s="1" t="s">
        <v>17099</v>
      </c>
      <c r="B17100" s="2" t="str">
        <f>IFERROR(__xludf.DUMMYFUNCTION("GOOGLETRANSLATE(A17100, ""de"", ""en"")"),"must")</f>
        <v>must</v>
      </c>
    </row>
    <row r="17101">
      <c r="A17101" s="1" t="s">
        <v>17100</v>
      </c>
      <c r="B17101" s="2" t="str">
        <f>IFERROR(__xludf.DUMMYFUNCTION("GOOGLETRANSLATE(A17101, ""de"", ""en"")"),"barrier")</f>
        <v>barrier</v>
      </c>
    </row>
    <row r="17102">
      <c r="A17102" s="1" t="s">
        <v>17101</v>
      </c>
      <c r="B17102" s="2" t="str">
        <f>IFERROR(__xludf.DUMMYFUNCTION("GOOGLETRANSLATE(A17102, ""de"", ""en"")"),"dotty")</f>
        <v>dotty</v>
      </c>
    </row>
    <row r="17103">
      <c r="A17103" s="1" t="s">
        <v>17102</v>
      </c>
      <c r="B17103" s="2" t="str">
        <f>IFERROR(__xludf.DUMMYFUNCTION("GOOGLETRANSLATE(A17103, ""de"", ""en"")"),"strengthen")</f>
        <v>strengthen</v>
      </c>
    </row>
    <row r="17104">
      <c r="A17104" s="1" t="s">
        <v>17103</v>
      </c>
      <c r="B17104" s="2" t="str">
        <f>IFERROR(__xludf.DUMMYFUNCTION("GOOGLETRANSLATE(A17104, ""de"", ""en"")"),"to put down")</f>
        <v>to put down</v>
      </c>
    </row>
    <row r="17105">
      <c r="A17105" s="1" t="s">
        <v>17104</v>
      </c>
      <c r="B17105" s="2" t="str">
        <f>IFERROR(__xludf.DUMMYFUNCTION("GOOGLETRANSLATE(A17105, ""de"", ""en"")"),"constructed")</f>
        <v>constructed</v>
      </c>
    </row>
    <row r="17106">
      <c r="A17106" s="1" t="s">
        <v>17105</v>
      </c>
      <c r="B17106" s="2" t="str">
        <f>IFERROR(__xludf.DUMMYFUNCTION("GOOGLETRANSLATE(A17106, ""de"", ""en"")"),"swim")</f>
        <v>swim</v>
      </c>
    </row>
    <row r="17107">
      <c r="A17107" s="1" t="s">
        <v>17106</v>
      </c>
      <c r="B17107" s="2" t="str">
        <f>IFERROR(__xludf.DUMMYFUNCTION("GOOGLETRANSLATE(A17107, ""de"", ""en"")"),"dimensions")</f>
        <v>dimensions</v>
      </c>
    </row>
    <row r="17108">
      <c r="A17108" s="1" t="s">
        <v>17107</v>
      </c>
      <c r="B17108" s="2" t="str">
        <f>IFERROR(__xludf.DUMMYFUNCTION("GOOGLETRANSLATE(A17108, ""de"", ""en"")"),"psychologist")</f>
        <v>psychologist</v>
      </c>
    </row>
    <row r="17109">
      <c r="A17109" s="1" t="s">
        <v>17108</v>
      </c>
      <c r="B17109" s="2" t="str">
        <f>IFERROR(__xludf.DUMMYFUNCTION("GOOGLETRANSLATE(A17109, ""de"", ""en"")"),"controls")</f>
        <v>controls</v>
      </c>
    </row>
    <row r="17110">
      <c r="A17110" s="1" t="s">
        <v>17109</v>
      </c>
      <c r="B17110" s="2" t="str">
        <f>IFERROR(__xludf.DUMMYFUNCTION("GOOGLETRANSLATE(A17110, ""de"", ""en"")"),"lhm")</f>
        <v>lhm</v>
      </c>
    </row>
    <row r="17111">
      <c r="A17111" s="1" t="s">
        <v>17110</v>
      </c>
      <c r="B17111" s="2" t="str">
        <f>IFERROR(__xludf.DUMMYFUNCTION("GOOGLETRANSLATE(A17111, ""de"", ""en"")"),"embossed")</f>
        <v>embossed</v>
      </c>
    </row>
    <row r="17112">
      <c r="A17112" s="1" t="s">
        <v>17111</v>
      </c>
      <c r="B17112" s="2" t="str">
        <f>IFERROR(__xludf.DUMMYFUNCTION("GOOGLETRANSLATE(A17112, ""de"", ""en"")"),"business")</f>
        <v>business</v>
      </c>
    </row>
    <row r="17113">
      <c r="A17113" s="1" t="s">
        <v>17112</v>
      </c>
      <c r="B17113" s="2" t="str">
        <f>IFERROR(__xludf.DUMMYFUNCTION("GOOGLETRANSLATE(A17113, ""de"", ""en"")"),"relapse")</f>
        <v>relapse</v>
      </c>
    </row>
    <row r="17114">
      <c r="A17114" s="1" t="s">
        <v>17113</v>
      </c>
      <c r="B17114" s="2" t="str">
        <f>IFERROR(__xludf.DUMMYFUNCTION("GOOGLETRANSLATE(A17114, ""de"", ""en"")"),"kill")</f>
        <v>kill</v>
      </c>
    </row>
    <row r="17115">
      <c r="A17115" s="1" t="s">
        <v>17114</v>
      </c>
      <c r="B17115" s="2" t="str">
        <f>IFERROR(__xludf.DUMMYFUNCTION("GOOGLETRANSLATE(A17115, ""de"", ""en"")"),"redeem")</f>
        <v>redeem</v>
      </c>
    </row>
    <row r="17116">
      <c r="A17116" s="1" t="s">
        <v>17115</v>
      </c>
      <c r="B17116" s="2" t="str">
        <f>IFERROR(__xludf.DUMMYFUNCTION("GOOGLETRANSLATE(A17116, ""de"", ""en"")"),"asteroids")</f>
        <v>asteroids</v>
      </c>
    </row>
    <row r="17117">
      <c r="A17117" s="1" t="s">
        <v>17116</v>
      </c>
      <c r="B17117" s="2" t="str">
        <f>IFERROR(__xludf.DUMMYFUNCTION("GOOGLETRANSLATE(A17117, ""de"", ""en"")"),"hiccup")</f>
        <v>hiccup</v>
      </c>
    </row>
    <row r="17118">
      <c r="A17118" s="1" t="s">
        <v>17117</v>
      </c>
      <c r="B17118" s="2" t="str">
        <f>IFERROR(__xludf.DUMMYFUNCTION("GOOGLETRANSLATE(A17118, ""de"", ""en"")"),"such")</f>
        <v>such</v>
      </c>
    </row>
    <row r="17119">
      <c r="A17119" s="1" t="s">
        <v>17118</v>
      </c>
      <c r="B17119" s="2" t="str">
        <f>IFERROR(__xludf.DUMMYFUNCTION("GOOGLETRANSLATE(A17119, ""de"", ""en"")"),"Swedish")</f>
        <v>Swedish</v>
      </c>
    </row>
    <row r="17120">
      <c r="A17120" s="1" t="s">
        <v>17119</v>
      </c>
      <c r="B17120" s="2" t="str">
        <f>IFERROR(__xludf.DUMMYFUNCTION("GOOGLETRANSLATE(A17120, ""de"", ""en"")"),"Monsignor")</f>
        <v>Monsignor</v>
      </c>
    </row>
    <row r="17121">
      <c r="A17121" s="1" t="s">
        <v>17120</v>
      </c>
      <c r="B17121" s="2" t="str">
        <f>IFERROR(__xludf.DUMMYFUNCTION("GOOGLETRANSLATE(A17121, ""de"", ""en"")"),"doggett")</f>
        <v>doggett</v>
      </c>
    </row>
    <row r="17122">
      <c r="A17122" s="1" t="s">
        <v>17121</v>
      </c>
      <c r="B17122" s="2" t="str">
        <f>IFERROR(__xludf.DUMMYFUNCTION("GOOGLETRANSLATE(A17122, ""de"", ""en"")"),"stab")</f>
        <v>stab</v>
      </c>
    </row>
    <row r="17123">
      <c r="A17123" s="1" t="s">
        <v>17122</v>
      </c>
      <c r="B17123" s="2" t="str">
        <f>IFERROR(__xludf.DUMMYFUNCTION("GOOGLETRANSLATE(A17123, ""de"", ""en"")"),"torpedo")</f>
        <v>torpedo</v>
      </c>
    </row>
    <row r="17124">
      <c r="A17124" s="1" t="s">
        <v>17123</v>
      </c>
      <c r="B17124" s="2" t="str">
        <f>IFERROR(__xludf.DUMMYFUNCTION("GOOGLETRANSLATE(A17124, ""de"", ""en"")"),"disgusting")</f>
        <v>disgusting</v>
      </c>
    </row>
    <row r="17125">
      <c r="A17125" s="1" t="s">
        <v>17124</v>
      </c>
      <c r="B17125" s="2" t="str">
        <f>IFERROR(__xludf.DUMMYFUNCTION("GOOGLETRANSLATE(A17125, ""de"", ""en"")"),"drain")</f>
        <v>drain</v>
      </c>
    </row>
    <row r="17126">
      <c r="A17126" s="1" t="s">
        <v>17125</v>
      </c>
      <c r="B17126" s="2" t="str">
        <f>IFERROR(__xludf.DUMMYFUNCTION("GOOGLETRANSLATE(A17126, ""de"", ""en"")"),"orphan")</f>
        <v>orphan</v>
      </c>
    </row>
    <row r="17127">
      <c r="A17127" s="1" t="s">
        <v>17126</v>
      </c>
      <c r="B17127" s="2" t="str">
        <f>IFERROR(__xludf.DUMMYFUNCTION("GOOGLETRANSLATE(A17127, ""de"", ""en"")"),"durant")</f>
        <v>durant</v>
      </c>
    </row>
    <row r="17128">
      <c r="A17128" s="1" t="s">
        <v>17127</v>
      </c>
      <c r="B17128" s="2" t="str">
        <f>IFERROR(__xludf.DUMMYFUNCTION("GOOGLETRANSLATE(A17128, ""de"", ""en"")"),"itching")</f>
        <v>itching</v>
      </c>
    </row>
    <row r="17129">
      <c r="A17129" s="1" t="s">
        <v>17128</v>
      </c>
      <c r="B17129" s="2" t="str">
        <f>IFERROR(__xludf.DUMMYFUNCTION("GOOGLETRANSLATE(A17129, ""de"", ""en"")"),"procured")</f>
        <v>procured</v>
      </c>
    </row>
    <row r="17130">
      <c r="A17130" s="1" t="s">
        <v>17129</v>
      </c>
      <c r="B17130" s="2" t="str">
        <f>IFERROR(__xludf.DUMMYFUNCTION("GOOGLETRANSLATE(A17130, ""de"", ""en"")"),"publication")</f>
        <v>publication</v>
      </c>
    </row>
    <row r="17131">
      <c r="A17131" s="1" t="s">
        <v>17130</v>
      </c>
      <c r="B17131" s="2" t="str">
        <f>IFERROR(__xludf.DUMMYFUNCTION("GOOGLETRANSLATE(A17131, ""de"", ""en"")"),"impulses")</f>
        <v>impulses</v>
      </c>
    </row>
    <row r="17132">
      <c r="A17132" s="1" t="s">
        <v>17131</v>
      </c>
      <c r="B17132" s="2" t="str">
        <f>IFERROR(__xludf.DUMMYFUNCTION("GOOGLETRANSLATE(A17132, ""de"", ""en"")"),"ashamed")</f>
        <v>ashamed</v>
      </c>
    </row>
    <row r="17133">
      <c r="A17133" s="1" t="s">
        <v>17132</v>
      </c>
      <c r="B17133" s="2" t="str">
        <f>IFERROR(__xludf.DUMMYFUNCTION("GOOGLETRANSLATE(A17133, ""de"", ""en"")"),"stood still")</f>
        <v>stood still</v>
      </c>
    </row>
    <row r="17134">
      <c r="A17134" s="1" t="s">
        <v>17133</v>
      </c>
      <c r="B17134" s="2" t="str">
        <f>IFERROR(__xludf.DUMMYFUNCTION("GOOGLETRANSLATE(A17134, ""de"", ""en"")"),"rooster")</f>
        <v>rooster</v>
      </c>
    </row>
    <row r="17135">
      <c r="A17135" s="1" t="s">
        <v>17134</v>
      </c>
      <c r="B17135" s="2" t="str">
        <f>IFERROR(__xludf.DUMMYFUNCTION("GOOGLETRANSLATE(A17135, ""de"", ""en"")"),"expose")</f>
        <v>expose</v>
      </c>
    </row>
    <row r="17136">
      <c r="A17136" s="1" t="s">
        <v>17135</v>
      </c>
      <c r="B17136" s="2" t="str">
        <f>IFERROR(__xludf.DUMMYFUNCTION("GOOGLETRANSLATE(A17136, ""de"", ""en"")"),"disappeared")</f>
        <v>disappeared</v>
      </c>
    </row>
    <row r="17137">
      <c r="A17137" s="1" t="s">
        <v>17136</v>
      </c>
      <c r="B17137" s="2" t="str">
        <f>IFERROR(__xludf.DUMMYFUNCTION("GOOGLETRANSLATE(A17137, ""de"", ""en"")"),"instruct")</f>
        <v>instruct</v>
      </c>
    </row>
    <row r="17138">
      <c r="A17138" s="1" t="s">
        <v>17137</v>
      </c>
      <c r="B17138" s="2" t="str">
        <f>IFERROR(__xludf.DUMMYFUNCTION("GOOGLETRANSLATE(A17138, ""de"", ""en"")"),"bands")</f>
        <v>bands</v>
      </c>
    </row>
    <row r="17139">
      <c r="A17139" s="1" t="s">
        <v>17138</v>
      </c>
      <c r="B17139" s="2" t="str">
        <f>IFERROR(__xludf.DUMMYFUNCTION("GOOGLETRANSLATE(A17139, ""de"", ""en"")"),"Tuesdays")</f>
        <v>Tuesdays</v>
      </c>
    </row>
    <row r="17140">
      <c r="A17140" s="1" t="s">
        <v>17139</v>
      </c>
      <c r="B17140" s="2" t="str">
        <f>IFERROR(__xludf.DUMMYFUNCTION("GOOGLETRANSLATE(A17140, ""de"", ""en"")"),"steals")</f>
        <v>steals</v>
      </c>
    </row>
    <row r="17141">
      <c r="A17141" s="1" t="s">
        <v>17140</v>
      </c>
      <c r="B17141" s="2" t="str">
        <f>IFERROR(__xludf.DUMMYFUNCTION("GOOGLETRANSLATE(A17141, ""de"", ""en"")"),"difficult")</f>
        <v>difficult</v>
      </c>
    </row>
    <row r="17142">
      <c r="A17142" s="1" t="s">
        <v>17141</v>
      </c>
      <c r="B17142" s="2" t="str">
        <f>IFERROR(__xludf.DUMMYFUNCTION("GOOGLETRANSLATE(A17142, ""de"", ""en"")"),"spectacular")</f>
        <v>spectacular</v>
      </c>
    </row>
    <row r="17143">
      <c r="A17143" s="1" t="s">
        <v>17142</v>
      </c>
      <c r="B17143" s="2" t="str">
        <f>IFERROR(__xludf.DUMMYFUNCTION("GOOGLETRANSLATE(A17143, ""de"", ""en"")"),"Hilary")</f>
        <v>Hilary</v>
      </c>
    </row>
    <row r="17144">
      <c r="A17144" s="1" t="s">
        <v>17143</v>
      </c>
      <c r="B17144" s="2" t="str">
        <f>IFERROR(__xludf.DUMMYFUNCTION("GOOGLETRANSLATE(A17144, ""de"", ""en"")"),"curves")</f>
        <v>curves</v>
      </c>
    </row>
    <row r="17145">
      <c r="A17145" s="1" t="s">
        <v>17144</v>
      </c>
      <c r="B17145" s="2" t="str">
        <f>IFERROR(__xludf.DUMMYFUNCTION("GOOGLETRANSLATE(A17145, ""de"", ""en"")"),"shop")</f>
        <v>shop</v>
      </c>
    </row>
    <row r="17146">
      <c r="A17146" s="1" t="s">
        <v>17145</v>
      </c>
      <c r="B17146" s="2" t="str">
        <f>IFERROR(__xludf.DUMMYFUNCTION("GOOGLETRANSLATE(A17146, ""de"", ""en"")"),"contributed")</f>
        <v>contributed</v>
      </c>
    </row>
    <row r="17147">
      <c r="A17147" s="1" t="s">
        <v>17146</v>
      </c>
      <c r="B17147" s="2" t="str">
        <f>IFERROR(__xludf.DUMMYFUNCTION("GOOGLETRANSLATE(A17147, ""de"", ""en"")"),"suv")</f>
        <v>suv</v>
      </c>
    </row>
    <row r="17148">
      <c r="A17148" s="1" t="s">
        <v>17147</v>
      </c>
      <c r="B17148" s="2" t="str">
        <f>IFERROR(__xludf.DUMMYFUNCTION("GOOGLETRANSLATE(A17148, ""de"", ""en"")"),"Russo")</f>
        <v>Russo</v>
      </c>
    </row>
    <row r="17149">
      <c r="A17149" s="1" t="s">
        <v>17148</v>
      </c>
      <c r="B17149" s="2" t="str">
        <f>IFERROR(__xludf.DUMMYFUNCTION("GOOGLETRANSLATE(A17149, ""de"", ""en"")"),"tickle")</f>
        <v>tickle</v>
      </c>
    </row>
    <row r="17150">
      <c r="A17150" s="1" t="s">
        <v>17149</v>
      </c>
      <c r="B17150" s="2" t="str">
        <f>IFERROR(__xludf.DUMMYFUNCTION("GOOGLETRANSLATE(A17150, ""de"", ""en"")"),"towed away")</f>
        <v>towed away</v>
      </c>
    </row>
    <row r="17151">
      <c r="A17151" s="1" t="s">
        <v>17150</v>
      </c>
      <c r="B17151" s="2" t="str">
        <f>IFERROR(__xludf.DUMMYFUNCTION("GOOGLETRANSLATE(A17151, ""de"", ""en"")"),"fancier")</f>
        <v>fancier</v>
      </c>
    </row>
    <row r="17152">
      <c r="A17152" s="1" t="s">
        <v>17151</v>
      </c>
      <c r="B17152" s="2" t="str">
        <f>IFERROR(__xludf.DUMMYFUNCTION("GOOGLETRANSLATE(A17152, ""de"", ""en"")"),"techniques")</f>
        <v>techniques</v>
      </c>
    </row>
    <row r="17153">
      <c r="A17153" s="1" t="s">
        <v>17152</v>
      </c>
      <c r="B17153" s="2" t="str">
        <f>IFERROR(__xludf.DUMMYFUNCTION("GOOGLETRANSLATE(A17153, ""de"", ""en"")"),"unload")</f>
        <v>unload</v>
      </c>
    </row>
    <row r="17154">
      <c r="A17154" s="1" t="s">
        <v>17153</v>
      </c>
      <c r="B17154" s="2" t="str">
        <f>IFERROR(__xludf.DUMMYFUNCTION("GOOGLETRANSLATE(A17154, ""de"", ""en"")"),"security guards")</f>
        <v>security guards</v>
      </c>
    </row>
    <row r="17155">
      <c r="A17155" s="1" t="s">
        <v>17154</v>
      </c>
      <c r="B17155" s="2" t="str">
        <f>IFERROR(__xludf.DUMMYFUNCTION("GOOGLETRANSLATE(A17155, ""de"", ""en"")"),"streak of luck")</f>
        <v>streak of luck</v>
      </c>
    </row>
    <row r="17156">
      <c r="A17156" s="1" t="s">
        <v>17155</v>
      </c>
      <c r="B17156" s="2" t="str">
        <f>IFERROR(__xludf.DUMMYFUNCTION("GOOGLETRANSLATE(A17156, ""de"", ""en"")"),"chef")</f>
        <v>chef</v>
      </c>
    </row>
    <row r="17157">
      <c r="A17157" s="1" t="s">
        <v>17156</v>
      </c>
      <c r="B17157" s="2" t="str">
        <f>IFERROR(__xludf.DUMMYFUNCTION("GOOGLETRANSLATE(A17157, ""de"", ""en"")"),"garvey")</f>
        <v>garvey</v>
      </c>
    </row>
    <row r="17158">
      <c r="A17158" s="1" t="s">
        <v>17157</v>
      </c>
      <c r="B17158" s="2" t="str">
        <f>IFERROR(__xludf.DUMMYFUNCTION("GOOGLETRANSLATE(A17158, ""de"", ""en"")"),"slaughter")</f>
        <v>slaughter</v>
      </c>
    </row>
    <row r="17159">
      <c r="A17159" s="1" t="s">
        <v>17158</v>
      </c>
      <c r="B17159" s="2" t="str">
        <f>IFERROR(__xludf.DUMMYFUNCTION("GOOGLETRANSLATE(A17159, ""de"", ""en"")"),"tons")</f>
        <v>tons</v>
      </c>
    </row>
    <row r="17160">
      <c r="A17160" s="1" t="s">
        <v>17159</v>
      </c>
      <c r="B17160" s="2" t="str">
        <f>IFERROR(__xludf.DUMMYFUNCTION("GOOGLETRANSLATE(A17160, ""de"", ""en"")"),"plead")</f>
        <v>plead</v>
      </c>
    </row>
    <row r="17161">
      <c r="A17161" s="1" t="s">
        <v>17160</v>
      </c>
      <c r="B17161" s="2" t="str">
        <f>IFERROR(__xludf.DUMMYFUNCTION("GOOGLETRANSLATE(A17161, ""de"", ""en"")"),"tired of life")</f>
        <v>tired of life</v>
      </c>
    </row>
    <row r="17162">
      <c r="A17162" s="1" t="s">
        <v>17161</v>
      </c>
      <c r="B17162" s="2" t="str">
        <f>IFERROR(__xludf.DUMMYFUNCTION("GOOGLETRANSLATE(A17162, ""de"", ""en"")"),"features")</f>
        <v>features</v>
      </c>
    </row>
    <row r="17163">
      <c r="A17163" s="1" t="s">
        <v>17162</v>
      </c>
      <c r="B17163" s="2" t="str">
        <f>IFERROR(__xludf.DUMMYFUNCTION("GOOGLETRANSLATE(A17163, ""de"", ""en"")"),"digs")</f>
        <v>digs</v>
      </c>
    </row>
    <row r="17164">
      <c r="A17164" s="1" t="s">
        <v>17163</v>
      </c>
      <c r="B17164" s="2" t="str">
        <f>IFERROR(__xludf.DUMMYFUNCTION("GOOGLETRANSLATE(A17164, ""de"", ""en"")"),"unique")</f>
        <v>unique</v>
      </c>
    </row>
    <row r="17165">
      <c r="A17165" s="1" t="s">
        <v>17164</v>
      </c>
      <c r="B17165" s="2" t="str">
        <f>IFERROR(__xludf.DUMMYFUNCTION("GOOGLETRANSLATE(A17165, ""de"", ""en"")"),"seams")</f>
        <v>seams</v>
      </c>
    </row>
    <row r="17166">
      <c r="A17166" s="1" t="s">
        <v>17165</v>
      </c>
      <c r="B17166" s="2" t="str">
        <f>IFERROR(__xludf.DUMMYFUNCTION("GOOGLETRANSLATE(A17166, ""de"", ""en"")"),"erwin")</f>
        <v>erwin</v>
      </c>
    </row>
    <row r="17167">
      <c r="A17167" s="1" t="s">
        <v>17166</v>
      </c>
      <c r="B17167" s="2" t="str">
        <f>IFERROR(__xludf.DUMMYFUNCTION("GOOGLETRANSLATE(A17167, ""de"", ""en"")"),"ocean")</f>
        <v>ocean</v>
      </c>
    </row>
    <row r="17168">
      <c r="A17168" s="1" t="s">
        <v>17167</v>
      </c>
      <c r="B17168" s="2" t="str">
        <f>IFERROR(__xludf.DUMMYFUNCTION("GOOGLETRANSLATE(A17168, ""de"", ""en"")"),"digital")</f>
        <v>digital</v>
      </c>
    </row>
    <row r="17169">
      <c r="A17169" s="1" t="s">
        <v>17168</v>
      </c>
      <c r="B17169" s="2" t="str">
        <f>IFERROR(__xludf.DUMMYFUNCTION("GOOGLETRANSLATE(A17169, ""de"", ""en"")"),"save")</f>
        <v>save</v>
      </c>
    </row>
    <row r="17170">
      <c r="A17170" s="1" t="s">
        <v>17169</v>
      </c>
      <c r="B17170" s="2" t="str">
        <f>IFERROR(__xludf.DUMMYFUNCTION("GOOGLETRANSLATE(A17170, ""de"", ""en"")"),"more hopeless")</f>
        <v>more hopeless</v>
      </c>
    </row>
    <row r="17171">
      <c r="A17171" s="1" t="s">
        <v>17170</v>
      </c>
      <c r="B17171" s="2" t="str">
        <f>IFERROR(__xludf.DUMMYFUNCTION("GOOGLETRANSLATE(A17171, ""de"", ""en"")"),"passed away")</f>
        <v>passed away</v>
      </c>
    </row>
    <row r="17172">
      <c r="A17172" s="1" t="s">
        <v>17171</v>
      </c>
      <c r="B17172" s="2" t="str">
        <f>IFERROR(__xludf.DUMMYFUNCTION("GOOGLETRANSLATE(A17172, ""de"", ""en"")"),"Omaha")</f>
        <v>Omaha</v>
      </c>
    </row>
    <row r="17173">
      <c r="A17173" s="1" t="s">
        <v>17172</v>
      </c>
      <c r="B17173" s="2" t="str">
        <f>IFERROR(__xludf.DUMMYFUNCTION("GOOGLETRANSLATE(A17173, ""de"", ""en"")"),"thrust")</f>
        <v>thrust</v>
      </c>
    </row>
    <row r="17174">
      <c r="A17174" s="1" t="s">
        <v>17173</v>
      </c>
      <c r="B17174" s="2" t="str">
        <f>IFERROR(__xludf.DUMMYFUNCTION("GOOGLETRANSLATE(A17174, ""de"", ""en"")"),"write off")</f>
        <v>write off</v>
      </c>
    </row>
    <row r="17175">
      <c r="A17175" s="1" t="s">
        <v>17174</v>
      </c>
      <c r="B17175" s="2" t="str">
        <f>IFERROR(__xludf.DUMMYFUNCTION("GOOGLETRANSLATE(A17175, ""de"", ""en"")"),"tart")</f>
        <v>tart</v>
      </c>
    </row>
    <row r="17176">
      <c r="A17176" s="1" t="s">
        <v>17175</v>
      </c>
      <c r="B17176" s="2" t="str">
        <f>IFERROR(__xludf.DUMMYFUNCTION("GOOGLETRANSLATE(A17176, ""de"", ""en"")"),"chair")</f>
        <v>chair</v>
      </c>
    </row>
    <row r="17177">
      <c r="A17177" s="1" t="s">
        <v>17176</v>
      </c>
      <c r="B17177" s="2" t="str">
        <f>IFERROR(__xludf.DUMMYFUNCTION("GOOGLETRANSLATE(A17177, ""de"", ""en"")"),"reflexes")</f>
        <v>reflexes</v>
      </c>
    </row>
    <row r="17178">
      <c r="A17178" s="1" t="s">
        <v>17177</v>
      </c>
      <c r="B17178" s="2" t="str">
        <f>IFERROR(__xludf.DUMMYFUNCTION("GOOGLETRANSLATE(A17178, ""de"", ""en"")"),"Of course")</f>
        <v>Of course</v>
      </c>
    </row>
    <row r="17179">
      <c r="A17179" s="1" t="s">
        <v>17178</v>
      </c>
      <c r="B17179" s="2" t="str">
        <f>IFERROR(__xludf.DUMMYFUNCTION("GOOGLETRANSLATE(A17179, ""de"", ""en"")"),"dazzle")</f>
        <v>dazzle</v>
      </c>
    </row>
    <row r="17180">
      <c r="A17180" s="1" t="s">
        <v>17179</v>
      </c>
      <c r="B17180" s="2" t="str">
        <f>IFERROR(__xludf.DUMMYFUNCTION("GOOGLETRANSLATE(A17180, ""de"", ""en"")"),"hostile")</f>
        <v>hostile</v>
      </c>
    </row>
    <row r="17181">
      <c r="A17181" s="1" t="s">
        <v>17180</v>
      </c>
      <c r="B17181" s="2" t="str">
        <f>IFERROR(__xludf.DUMMYFUNCTION("GOOGLETRANSLATE(A17181, ""de"", ""en"")"),"collect")</f>
        <v>collect</v>
      </c>
    </row>
    <row r="17182">
      <c r="A17182" s="1" t="s">
        <v>17181</v>
      </c>
      <c r="B17182" s="2" t="str">
        <f>IFERROR(__xludf.DUMMYFUNCTION("GOOGLETRANSLATE(A17182, ""de"", ""en"")"),"singer")</f>
        <v>singer</v>
      </c>
    </row>
    <row r="17183">
      <c r="A17183" s="1" t="s">
        <v>17182</v>
      </c>
      <c r="B17183" s="2" t="str">
        <f>IFERROR(__xludf.DUMMYFUNCTION("GOOGLETRANSLATE(A17183, ""de"", ""en"")"),"Leni")</f>
        <v>Leni</v>
      </c>
    </row>
    <row r="17184">
      <c r="A17184" s="1" t="s">
        <v>17183</v>
      </c>
      <c r="B17184" s="2" t="str">
        <f>IFERROR(__xludf.DUMMYFUNCTION("GOOGLETRANSLATE(A17184, ""de"", ""en"")"),"exceeds")</f>
        <v>exceeds</v>
      </c>
    </row>
    <row r="17185">
      <c r="A17185" s="1" t="s">
        <v>17184</v>
      </c>
      <c r="B17185" s="2" t="str">
        <f>IFERROR(__xludf.DUMMYFUNCTION("GOOGLETRANSLATE(A17185, ""de"", ""en"")"),"tribulation")</f>
        <v>tribulation</v>
      </c>
    </row>
    <row r="17186">
      <c r="A17186" s="1" t="s">
        <v>17185</v>
      </c>
      <c r="B17186" s="2" t="str">
        <f>IFERROR(__xludf.DUMMYFUNCTION("GOOGLETRANSLATE(A17186, ""de"", ""en"")"),"banish")</f>
        <v>banish</v>
      </c>
    </row>
    <row r="17187">
      <c r="A17187" s="1" t="s">
        <v>17186</v>
      </c>
      <c r="B17187" s="2" t="str">
        <f>IFERROR(__xludf.DUMMYFUNCTION("GOOGLETRANSLATE(A17187, ""de"", ""en"")"),"postman")</f>
        <v>postman</v>
      </c>
    </row>
    <row r="17188">
      <c r="A17188" s="1" t="s">
        <v>17187</v>
      </c>
      <c r="B17188" s="2" t="str">
        <f>IFERROR(__xludf.DUMMYFUNCTION("GOOGLETRANSLATE(A17188, ""de"", ""en"")"),"harmless")</f>
        <v>harmless</v>
      </c>
    </row>
    <row r="17189">
      <c r="A17189" s="1" t="s">
        <v>17188</v>
      </c>
      <c r="B17189" s="2" t="str">
        <f>IFERROR(__xludf.DUMMYFUNCTION("GOOGLETRANSLATE(A17189, ""de"", ""en"")"),"milligram")</f>
        <v>milligram</v>
      </c>
    </row>
    <row r="17190">
      <c r="A17190" s="1" t="s">
        <v>17189</v>
      </c>
      <c r="B17190" s="2" t="str">
        <f>IFERROR(__xludf.DUMMYFUNCTION("GOOGLETRANSLATE(A17190, ""de"", ""en"")"),"crabs")</f>
        <v>crabs</v>
      </c>
    </row>
    <row r="17191">
      <c r="A17191" s="1" t="s">
        <v>17190</v>
      </c>
      <c r="B17191" s="2" t="str">
        <f>IFERROR(__xludf.DUMMYFUNCTION("GOOGLETRANSLATE(A17191, ""de"", ""en"")"),"shameless")</f>
        <v>shameless</v>
      </c>
    </row>
    <row r="17192">
      <c r="A17192" s="1" t="s">
        <v>17191</v>
      </c>
      <c r="B17192" s="2" t="str">
        <f>IFERROR(__xludf.DUMMYFUNCTION("GOOGLETRANSLATE(A17192, ""de"", ""en"")"),"Carlisle")</f>
        <v>Carlisle</v>
      </c>
    </row>
    <row r="17193">
      <c r="A17193" s="1" t="s">
        <v>17192</v>
      </c>
      <c r="B17193" s="2" t="str">
        <f>IFERROR(__xludf.DUMMYFUNCTION("GOOGLETRANSLATE(A17193, ""de"", ""en"")"),"sims")</f>
        <v>sims</v>
      </c>
    </row>
    <row r="17194">
      <c r="A17194" s="1" t="s">
        <v>17193</v>
      </c>
      <c r="B17194" s="2" t="str">
        <f>IFERROR(__xludf.DUMMYFUNCTION("GOOGLETRANSLATE(A17194, ""de"", ""en"")"),"wow")</f>
        <v>wow</v>
      </c>
    </row>
    <row r="17195">
      <c r="A17195" s="1" t="s">
        <v>17194</v>
      </c>
      <c r="B17195" s="2" t="str">
        <f>IFERROR(__xludf.DUMMYFUNCTION("GOOGLETRANSLATE(A17195, ""de"", ""en"")"),"townsend")</f>
        <v>townsend</v>
      </c>
    </row>
    <row r="17196">
      <c r="A17196" s="1" t="s">
        <v>17195</v>
      </c>
      <c r="B17196" s="2" t="str">
        <f>IFERROR(__xludf.DUMMYFUNCTION("GOOGLETRANSLATE(A17196, ""de"", ""en"")"),"got into trouble")</f>
        <v>got into trouble</v>
      </c>
    </row>
    <row r="17197">
      <c r="A17197" s="1" t="s">
        <v>17196</v>
      </c>
      <c r="B17197" s="2" t="str">
        <f>IFERROR(__xludf.DUMMYFUNCTION("GOOGLETRANSLATE(A17197, ""de"", ""en"")"),"advertising")</f>
        <v>advertising</v>
      </c>
    </row>
    <row r="17198">
      <c r="A17198" s="1" t="s">
        <v>17197</v>
      </c>
      <c r="B17198" s="2" t="str">
        <f>IFERROR(__xludf.DUMMYFUNCTION("GOOGLETRANSLATE(A17198, ""de"", ""en"")"),"mutilated")</f>
        <v>mutilated</v>
      </c>
    </row>
    <row r="17199">
      <c r="A17199" s="1" t="s">
        <v>17198</v>
      </c>
      <c r="B17199" s="2" t="str">
        <f>IFERROR(__xludf.DUMMYFUNCTION("GOOGLETRANSLATE(A17199, ""de"", ""en"")"),"hippie")</f>
        <v>hippie</v>
      </c>
    </row>
    <row r="17200">
      <c r="A17200" s="1" t="s">
        <v>17199</v>
      </c>
      <c r="B17200" s="2" t="str">
        <f>IFERROR(__xludf.DUMMYFUNCTION("GOOGLETRANSLATE(A17200, ""de"", ""en"")"),"marshmallows")</f>
        <v>marshmallows</v>
      </c>
    </row>
    <row r="17201">
      <c r="A17201" s="1" t="s">
        <v>17200</v>
      </c>
      <c r="B17201" s="2" t="str">
        <f>IFERROR(__xludf.DUMMYFUNCTION("GOOGLETRANSLATE(A17201, ""de"", ""en"")"),"orry")</f>
        <v>orry</v>
      </c>
    </row>
    <row r="17202">
      <c r="A17202" s="1" t="s">
        <v>17201</v>
      </c>
      <c r="B17202" s="2" t="str">
        <f>IFERROR(__xludf.DUMMYFUNCTION("GOOGLETRANSLATE(A17202, ""de"", ""en"")"),"paprika")</f>
        <v>paprika</v>
      </c>
    </row>
    <row r="17203">
      <c r="A17203" s="1" t="s">
        <v>17202</v>
      </c>
      <c r="B17203" s="2" t="str">
        <f>IFERROR(__xludf.DUMMYFUNCTION("GOOGLETRANSLATE(A17203, ""de"", ""en"")"),"awesome")</f>
        <v>awesome</v>
      </c>
    </row>
    <row r="17204">
      <c r="A17204" s="1" t="s">
        <v>17203</v>
      </c>
      <c r="B17204" s="2" t="str">
        <f>IFERROR(__xludf.DUMMYFUNCTION("GOOGLETRANSLATE(A17204, ""de"", ""en"")"),"crixus")</f>
        <v>crixus</v>
      </c>
    </row>
    <row r="17205">
      <c r="A17205" s="1" t="s">
        <v>17204</v>
      </c>
      <c r="B17205" s="2" t="str">
        <f>IFERROR(__xludf.DUMMYFUNCTION("GOOGLETRANSLATE(A17205, ""de"", ""en"")"),"Gertrude")</f>
        <v>Gertrude</v>
      </c>
    </row>
    <row r="17206">
      <c r="A17206" s="1" t="s">
        <v>17205</v>
      </c>
      <c r="B17206" s="2" t="str">
        <f>IFERROR(__xludf.DUMMYFUNCTION("GOOGLETRANSLATE(A17206, ""de"", ""en"")"),"western")</f>
        <v>western</v>
      </c>
    </row>
    <row r="17207">
      <c r="A17207" s="1" t="s">
        <v>17206</v>
      </c>
      <c r="B17207" s="2" t="str">
        <f>IFERROR(__xludf.DUMMYFUNCTION("GOOGLETRANSLATE(A17207, ""de"", ""en"")"),"stuntman")</f>
        <v>stuntman</v>
      </c>
    </row>
    <row r="17208">
      <c r="A17208" s="1" t="s">
        <v>17207</v>
      </c>
      <c r="B17208" s="2" t="str">
        <f>IFERROR(__xludf.DUMMYFUNCTION("GOOGLETRANSLATE(A17208, ""de"", ""en"")"),"pack")</f>
        <v>pack</v>
      </c>
    </row>
    <row r="17209">
      <c r="A17209" s="1" t="s">
        <v>17208</v>
      </c>
      <c r="B17209" s="2" t="str">
        <f>IFERROR(__xludf.DUMMYFUNCTION("GOOGLETRANSLATE(A17209, ""de"", ""en"")"),"inherited")</f>
        <v>inherited</v>
      </c>
    </row>
    <row r="17210">
      <c r="A17210" s="1" t="s">
        <v>17209</v>
      </c>
      <c r="B17210" s="2" t="str">
        <f>IFERROR(__xludf.DUMMYFUNCTION("GOOGLETRANSLATE(A17210, ""de"", ""en"")"),"70s")</f>
        <v>70s</v>
      </c>
    </row>
    <row r="17211">
      <c r="A17211" s="1" t="s">
        <v>17210</v>
      </c>
      <c r="B17211" s="2" t="str">
        <f>IFERROR(__xludf.DUMMYFUNCTION("GOOGLETRANSLATE(A17211, ""de"", ""en"")"),"cracks")</f>
        <v>cracks</v>
      </c>
    </row>
    <row r="17212">
      <c r="A17212" s="1" t="s">
        <v>17211</v>
      </c>
      <c r="B17212" s="2" t="str">
        <f>IFERROR(__xludf.DUMMYFUNCTION("GOOGLETRANSLATE(A17212, ""de"", ""en"")"),"inspiring")</f>
        <v>inspiring</v>
      </c>
    </row>
    <row r="17213">
      <c r="A17213" s="1" t="s">
        <v>17212</v>
      </c>
      <c r="B17213" s="2" t="str">
        <f>IFERROR(__xludf.DUMMYFUNCTION("GOOGLETRANSLATE(A17213, ""de"", ""en"")"),"describe")</f>
        <v>describe</v>
      </c>
    </row>
    <row r="17214">
      <c r="A17214" s="1" t="s">
        <v>17213</v>
      </c>
      <c r="B17214" s="2" t="str">
        <f>IFERROR(__xludf.DUMMYFUNCTION("GOOGLETRANSLATE(A17214, ""de"", ""en"")"),"Steiner")</f>
        <v>Steiner</v>
      </c>
    </row>
    <row r="17215">
      <c r="A17215" s="1" t="s">
        <v>17214</v>
      </c>
      <c r="B17215" s="2" t="str">
        <f>IFERROR(__xludf.DUMMYFUNCTION("GOOGLETRANSLATE(A17215, ""de"", ""en"")"),"create")</f>
        <v>create</v>
      </c>
    </row>
    <row r="17216">
      <c r="A17216" s="1" t="s">
        <v>17215</v>
      </c>
      <c r="B17216" s="2" t="str">
        <f>IFERROR(__xludf.DUMMYFUNCTION("GOOGLETRANSLATE(A17216, ""de"", ""en"")"),"accurate")</f>
        <v>accurate</v>
      </c>
    </row>
    <row r="17217">
      <c r="A17217" s="1" t="s">
        <v>17216</v>
      </c>
      <c r="B17217" s="2" t="str">
        <f>IFERROR(__xludf.DUMMYFUNCTION("GOOGLETRANSLATE(A17217, ""de"", ""en"")"),"feel good")</f>
        <v>feel good</v>
      </c>
    </row>
    <row r="17218">
      <c r="A17218" s="1" t="s">
        <v>17217</v>
      </c>
      <c r="B17218" s="2" t="str">
        <f>IFERROR(__xludf.DUMMYFUNCTION("GOOGLETRANSLATE(A17218, ""de"", ""en"")"),"ripley")</f>
        <v>ripley</v>
      </c>
    </row>
    <row r="17219">
      <c r="A17219" s="1" t="s">
        <v>17218</v>
      </c>
      <c r="B17219" s="2" t="str">
        <f>IFERROR(__xludf.DUMMYFUNCTION("GOOGLETRANSLATE(A17219, ""de"", ""en"")"),"axis")</f>
        <v>axis</v>
      </c>
    </row>
    <row r="17220">
      <c r="A17220" s="1" t="s">
        <v>17219</v>
      </c>
      <c r="B17220" s="2" t="str">
        <f>IFERROR(__xludf.DUMMYFUNCTION("GOOGLETRANSLATE(A17220, ""de"", ""en"")"),"idol")</f>
        <v>idol</v>
      </c>
    </row>
    <row r="17221">
      <c r="A17221" s="1" t="s">
        <v>17220</v>
      </c>
      <c r="B17221" s="2" t="str">
        <f>IFERROR(__xludf.DUMMYFUNCTION("GOOGLETRANSLATE(A17221, ""de"", ""en"")"),"boots")</f>
        <v>boots</v>
      </c>
    </row>
    <row r="17222">
      <c r="A17222" s="1" t="s">
        <v>17221</v>
      </c>
      <c r="B17222" s="2" t="str">
        <f>IFERROR(__xludf.DUMMYFUNCTION("GOOGLETRANSLATE(A17222, ""de"", ""en"")"),"chosen ones")</f>
        <v>chosen ones</v>
      </c>
    </row>
    <row r="17223">
      <c r="A17223" s="1" t="s">
        <v>17222</v>
      </c>
      <c r="B17223" s="2" t="str">
        <f>IFERROR(__xludf.DUMMYFUNCTION("GOOGLETRANSLATE(A17223, ""de"", ""en"")"),"sergey")</f>
        <v>sergey</v>
      </c>
    </row>
    <row r="17224">
      <c r="A17224" s="1" t="s">
        <v>17223</v>
      </c>
      <c r="B17224" s="2" t="str">
        <f>IFERROR(__xludf.DUMMYFUNCTION("GOOGLETRANSLATE(A17224, ""de"", ""en"")"),"Skyler")</f>
        <v>Skyler</v>
      </c>
    </row>
    <row r="17225">
      <c r="A17225" s="1" t="s">
        <v>17224</v>
      </c>
      <c r="B17225" s="2" t="str">
        <f>IFERROR(__xludf.DUMMYFUNCTION("GOOGLETRANSLATE(A17225, ""de"", ""en"")"),"angel")</f>
        <v>angel</v>
      </c>
    </row>
    <row r="17226">
      <c r="A17226" s="1" t="s">
        <v>17225</v>
      </c>
      <c r="B17226" s="2" t="str">
        <f>IFERROR(__xludf.DUMMYFUNCTION("GOOGLETRANSLATE(A17226, ""de"", ""en"")"),"comet")</f>
        <v>comet</v>
      </c>
    </row>
    <row r="17227">
      <c r="A17227" s="1" t="s">
        <v>17226</v>
      </c>
      <c r="B17227" s="2" t="str">
        <f>IFERROR(__xludf.DUMMYFUNCTION("GOOGLETRANSLATE(A17227, ""de"", ""en"")"),"clever")</f>
        <v>clever</v>
      </c>
    </row>
    <row r="17228">
      <c r="A17228" s="1" t="s">
        <v>17227</v>
      </c>
      <c r="B17228" s="2" t="str">
        <f>IFERROR(__xludf.DUMMYFUNCTION("GOOGLETRANSLATE(A17228, ""de"", ""en"")"),"security measures")</f>
        <v>security measures</v>
      </c>
    </row>
    <row r="17229">
      <c r="A17229" s="1" t="s">
        <v>17228</v>
      </c>
      <c r="B17229" s="2" t="str">
        <f>IFERROR(__xludf.DUMMYFUNCTION("GOOGLETRANSLATE(A17229, ""de"", ""en"")"),"Thai")</f>
        <v>Thai</v>
      </c>
    </row>
    <row r="17230">
      <c r="A17230" s="1" t="s">
        <v>17229</v>
      </c>
      <c r="B17230" s="2" t="str">
        <f>IFERROR(__xludf.DUMMYFUNCTION("GOOGLETRANSLATE(A17230, ""de"", ""en"")"),"outwit")</f>
        <v>outwit</v>
      </c>
    </row>
    <row r="17231">
      <c r="A17231" s="1" t="s">
        <v>17230</v>
      </c>
      <c r="B17231" s="2" t="str">
        <f>IFERROR(__xludf.DUMMYFUNCTION("GOOGLETRANSLATE(A17231, ""de"", ""en"")"),"Helmut")</f>
        <v>Helmut</v>
      </c>
    </row>
    <row r="17232">
      <c r="A17232" s="1" t="s">
        <v>17231</v>
      </c>
      <c r="B17232" s="2" t="str">
        <f>IFERROR(__xludf.DUMMYFUNCTION("GOOGLETRANSLATE(A17232, ""de"", ""en"")"),"push")</f>
        <v>push</v>
      </c>
    </row>
    <row r="17233">
      <c r="A17233" s="1" t="s">
        <v>17232</v>
      </c>
      <c r="B17233" s="2" t="str">
        <f>IFERROR(__xludf.DUMMYFUNCTION("GOOGLETRANSLATE(A17233, ""de"", ""en"")"),"fucker")</f>
        <v>fucker</v>
      </c>
    </row>
    <row r="17234">
      <c r="A17234" s="1" t="s">
        <v>17233</v>
      </c>
      <c r="B17234" s="2" t="str">
        <f>IFERROR(__xludf.DUMMYFUNCTION("GOOGLETRANSLATE(A17234, ""de"", ""en"")"),"postman")</f>
        <v>postman</v>
      </c>
    </row>
    <row r="17235">
      <c r="A17235" s="1" t="s">
        <v>17234</v>
      </c>
      <c r="B17235" s="2" t="str">
        <f>IFERROR(__xludf.DUMMYFUNCTION("GOOGLETRANSLATE(A17235, ""de"", ""en"")"),"Benedict")</f>
        <v>Benedict</v>
      </c>
    </row>
    <row r="17236">
      <c r="A17236" s="1" t="s">
        <v>17235</v>
      </c>
      <c r="B17236" s="2" t="str">
        <f>IFERROR(__xludf.DUMMYFUNCTION("GOOGLETRANSLATE(A17236, ""de"", ""en"")"),"professors")</f>
        <v>professors</v>
      </c>
    </row>
    <row r="17237">
      <c r="A17237" s="1" t="s">
        <v>17236</v>
      </c>
      <c r="B17237" s="2" t="str">
        <f>IFERROR(__xludf.DUMMYFUNCTION("GOOGLETRANSLATE(A17237, ""de"", ""en"")"),"moonlight")</f>
        <v>moonlight</v>
      </c>
    </row>
    <row r="17238">
      <c r="A17238" s="1" t="s">
        <v>17237</v>
      </c>
      <c r="B17238" s="2" t="str">
        <f>IFERROR(__xludf.DUMMYFUNCTION("GOOGLETRANSLATE(A17238, ""de"", ""en"")"),"fled")</f>
        <v>fled</v>
      </c>
    </row>
    <row r="17239">
      <c r="A17239" s="1" t="s">
        <v>17238</v>
      </c>
      <c r="B17239" s="2" t="str">
        <f>IFERROR(__xludf.DUMMYFUNCTION("GOOGLETRANSLATE(A17239, ""de"", ""en"")"),"west")</f>
        <v>west</v>
      </c>
    </row>
    <row r="17240">
      <c r="A17240" s="1" t="s">
        <v>17239</v>
      </c>
      <c r="B17240" s="2" t="str">
        <f>IFERROR(__xludf.DUMMYFUNCTION("GOOGLETRANSLATE(A17240, ""de"", ""en"")"),"loans")</f>
        <v>loans</v>
      </c>
    </row>
    <row r="17241">
      <c r="A17241" s="1" t="s">
        <v>17240</v>
      </c>
      <c r="B17241" s="2" t="str">
        <f>IFERROR(__xludf.DUMMYFUNCTION("GOOGLETRANSLATE(A17241, ""de"", ""en"")"),"prison sentence")</f>
        <v>prison sentence</v>
      </c>
    </row>
    <row r="17242">
      <c r="A17242" s="1" t="s">
        <v>17241</v>
      </c>
      <c r="B17242" s="2" t="str">
        <f>IFERROR(__xludf.DUMMYFUNCTION("GOOGLETRANSLATE(A17242, ""de"", ""en"")"),"ii.")</f>
        <v>ii.</v>
      </c>
    </row>
    <row r="17243">
      <c r="A17243" s="1" t="s">
        <v>17242</v>
      </c>
      <c r="B17243" s="2" t="str">
        <f>IFERROR(__xludf.DUMMYFUNCTION("GOOGLETRANSLATE(A17243, ""de"", ""en"")"),"convertible")</f>
        <v>convertible</v>
      </c>
    </row>
    <row r="17244">
      <c r="A17244" s="1" t="s">
        <v>17243</v>
      </c>
      <c r="B17244" s="2" t="str">
        <f>IFERROR(__xludf.DUMMYFUNCTION("GOOGLETRANSLATE(A17244, ""de"", ""en"")"),"darby")</f>
        <v>darby</v>
      </c>
    </row>
    <row r="17245">
      <c r="A17245" s="1" t="s">
        <v>17244</v>
      </c>
      <c r="B17245" s="2" t="str">
        <f>IFERROR(__xludf.DUMMYFUNCTION("GOOGLETRANSLATE(A17245, ""de"", ""en"")"),"press")</f>
        <v>press</v>
      </c>
    </row>
    <row r="17246">
      <c r="A17246" s="1" t="s">
        <v>17245</v>
      </c>
      <c r="B17246" s="2" t="str">
        <f>IFERROR(__xludf.DUMMYFUNCTION("GOOGLETRANSLATE(A17246, ""de"", ""en"")"),"garibaidi")</f>
        <v>garibaidi</v>
      </c>
    </row>
    <row r="17247">
      <c r="A17247" s="1" t="s">
        <v>17246</v>
      </c>
      <c r="B17247" s="2" t="str">
        <f>IFERROR(__xludf.DUMMYFUNCTION("GOOGLETRANSLATE(A17247, ""de"", ""en"")"),"Selina")</f>
        <v>Selina</v>
      </c>
    </row>
    <row r="17248">
      <c r="A17248" s="1" t="s">
        <v>17247</v>
      </c>
      <c r="B17248" s="2" t="str">
        <f>IFERROR(__xludf.DUMMYFUNCTION("GOOGLETRANSLATE(A17248, ""de"", ""en"")"),"woke up")</f>
        <v>woke up</v>
      </c>
    </row>
    <row r="17249">
      <c r="A17249" s="1" t="s">
        <v>17248</v>
      </c>
      <c r="B17249" s="2" t="str">
        <f>IFERROR(__xludf.DUMMYFUNCTION("GOOGLETRANSLATE(A17249, ""de"", ""en"")"),"talkative")</f>
        <v>talkative</v>
      </c>
    </row>
    <row r="17250">
      <c r="A17250" s="1" t="s">
        <v>17249</v>
      </c>
      <c r="B17250" s="2" t="str">
        <f>IFERROR(__xludf.DUMMYFUNCTION("GOOGLETRANSLATE(A17250, ""de"", ""en"")"),"viruses")</f>
        <v>viruses</v>
      </c>
    </row>
    <row r="17251">
      <c r="A17251" s="1" t="s">
        <v>17250</v>
      </c>
      <c r="B17251" s="2" t="str">
        <f>IFERROR(__xludf.DUMMYFUNCTION("GOOGLETRANSLATE(A17251, ""de"", ""en"")"),"tens")</f>
        <v>tens</v>
      </c>
    </row>
    <row r="17252">
      <c r="A17252" s="1" t="s">
        <v>17251</v>
      </c>
      <c r="B17252" s="2" t="str">
        <f>IFERROR(__xludf.DUMMYFUNCTION("GOOGLETRANSLATE(A17252, ""de"", ""en"")"),"police radio")</f>
        <v>police radio</v>
      </c>
    </row>
    <row r="17253">
      <c r="A17253" s="1" t="s">
        <v>17252</v>
      </c>
      <c r="B17253" s="2" t="str">
        <f>IFERROR(__xludf.DUMMYFUNCTION("GOOGLETRANSLATE(A17253, ""de"", ""en"")"),"spurs")</f>
        <v>spurs</v>
      </c>
    </row>
    <row r="17254">
      <c r="A17254" s="1" t="s">
        <v>17253</v>
      </c>
      <c r="B17254" s="2" t="str">
        <f>IFERROR(__xludf.DUMMYFUNCTION("GOOGLETRANSLATE(A17254, ""de"", ""en"")"),"behind it")</f>
        <v>behind it</v>
      </c>
    </row>
    <row r="17255">
      <c r="A17255" s="1" t="s">
        <v>17254</v>
      </c>
      <c r="B17255" s="2" t="str">
        <f>IFERROR(__xludf.DUMMYFUNCTION("GOOGLETRANSLATE(A17255, ""de"", ""en"")"),"gear")</f>
        <v>gear</v>
      </c>
    </row>
    <row r="17256">
      <c r="A17256" s="1" t="s">
        <v>17255</v>
      </c>
      <c r="B17256" s="2" t="str">
        <f>IFERROR(__xludf.DUMMYFUNCTION("GOOGLETRANSLATE(A17256, ""de"", ""en"")"),"meadows")</f>
        <v>meadows</v>
      </c>
    </row>
    <row r="17257">
      <c r="A17257" s="1" t="s">
        <v>17256</v>
      </c>
      <c r="B17257" s="2" t="str">
        <f>IFERROR(__xludf.DUMMYFUNCTION("GOOGLETRANSLATE(A17257, ""de"", ""en"")"),"breaks")</f>
        <v>breaks</v>
      </c>
    </row>
    <row r="17258">
      <c r="A17258" s="1" t="s">
        <v>17257</v>
      </c>
      <c r="B17258" s="2" t="str">
        <f>IFERROR(__xludf.DUMMYFUNCTION("GOOGLETRANSLATE(A17258, ""de"", ""en"")"),"hero")</f>
        <v>hero</v>
      </c>
    </row>
    <row r="17259">
      <c r="A17259" s="1" t="s">
        <v>17258</v>
      </c>
      <c r="B17259" s="2" t="str">
        <f>IFERROR(__xludf.DUMMYFUNCTION("GOOGLETRANSLATE(A17259, ""de"", ""en"")"),"goddammit")</f>
        <v>goddammit</v>
      </c>
    </row>
    <row r="17260">
      <c r="A17260" s="1" t="s">
        <v>17259</v>
      </c>
      <c r="B17260" s="2" t="str">
        <f>IFERROR(__xludf.DUMMYFUNCTION("GOOGLETRANSLATE(A17260, ""de"", ""en"")"),"must")</f>
        <v>must</v>
      </c>
    </row>
    <row r="17261">
      <c r="A17261" s="1" t="s">
        <v>17260</v>
      </c>
      <c r="B17261" s="2" t="str">
        <f>IFERROR(__xludf.DUMMYFUNCTION("GOOGLETRANSLATE(A17261, ""de"", ""en"")"),"entered")</f>
        <v>entered</v>
      </c>
    </row>
    <row r="17262">
      <c r="A17262" s="1" t="s">
        <v>17261</v>
      </c>
      <c r="B17262" s="2" t="str">
        <f>IFERROR(__xludf.DUMMYFUNCTION("GOOGLETRANSLATE(A17262, ""de"", ""en"")"),"voodoo")</f>
        <v>voodoo</v>
      </c>
    </row>
    <row r="17263">
      <c r="A17263" s="1" t="s">
        <v>17262</v>
      </c>
      <c r="B17263" s="2" t="str">
        <f>IFERROR(__xludf.DUMMYFUNCTION("GOOGLETRANSLATE(A17263, ""de"", ""en"")"),"alleged")</f>
        <v>alleged</v>
      </c>
    </row>
    <row r="17264">
      <c r="A17264" s="1" t="s">
        <v>17263</v>
      </c>
      <c r="B17264" s="2" t="str">
        <f>IFERROR(__xludf.DUMMYFUNCTION("GOOGLETRANSLATE(A17264, ""de"", ""en"")"),"ex-husband")</f>
        <v>ex-husband</v>
      </c>
    </row>
    <row r="17265">
      <c r="A17265" s="1" t="s">
        <v>17264</v>
      </c>
      <c r="B17265" s="2" t="str">
        <f>IFERROR(__xludf.DUMMYFUNCTION("GOOGLETRANSLATE(A17265, ""de"", ""en"")"),"alistair")</f>
        <v>alistair</v>
      </c>
    </row>
    <row r="17266">
      <c r="A17266" s="1" t="s">
        <v>17265</v>
      </c>
      <c r="B17266" s="2" t="str">
        <f>IFERROR(__xludf.DUMMYFUNCTION("GOOGLETRANSLATE(A17266, ""de"", ""en"")"),"train")</f>
        <v>train</v>
      </c>
    </row>
    <row r="17267">
      <c r="A17267" s="1" t="s">
        <v>17266</v>
      </c>
      <c r="B17267" s="2" t="str">
        <f>IFERROR(__xludf.DUMMYFUNCTION("GOOGLETRANSLATE(A17267, ""de"", ""en"")"),"compensation")</f>
        <v>compensation</v>
      </c>
    </row>
    <row r="17268">
      <c r="A17268" s="1" t="s">
        <v>17267</v>
      </c>
      <c r="B17268" s="2" t="str">
        <f>IFERROR(__xludf.DUMMYFUNCTION("GOOGLETRANSLATE(A17268, ""de"", ""en"")"),"nasty")</f>
        <v>nasty</v>
      </c>
    </row>
    <row r="17269">
      <c r="A17269" s="1" t="s">
        <v>17268</v>
      </c>
      <c r="B17269" s="2" t="str">
        <f>IFERROR(__xludf.DUMMYFUNCTION("GOOGLETRANSLATE(A17269, ""de"", ""en"")"),"Ernesto")</f>
        <v>Ernesto</v>
      </c>
    </row>
    <row r="17270">
      <c r="A17270" s="1" t="s">
        <v>17269</v>
      </c>
      <c r="B17270" s="2" t="str">
        <f>IFERROR(__xludf.DUMMYFUNCTION("GOOGLETRANSLATE(A17270, ""de"", ""en"")"),"holiday")</f>
        <v>holiday</v>
      </c>
    </row>
    <row r="17271">
      <c r="A17271" s="1" t="s">
        <v>17270</v>
      </c>
      <c r="B17271" s="2" t="str">
        <f>IFERROR(__xludf.DUMMYFUNCTION("GOOGLETRANSLATE(A17271, ""de"", ""en"")"),"twist")</f>
        <v>twist</v>
      </c>
    </row>
    <row r="17272">
      <c r="A17272" s="1" t="s">
        <v>17271</v>
      </c>
      <c r="B17272" s="2" t="str">
        <f>IFERROR(__xludf.DUMMYFUNCTION("GOOGLETRANSLATE(A17272, ""de"", ""en"")"),"get laid")</f>
        <v>get laid</v>
      </c>
    </row>
    <row r="17273">
      <c r="A17273" s="1" t="s">
        <v>17272</v>
      </c>
      <c r="B17273" s="2" t="str">
        <f>IFERROR(__xludf.DUMMYFUNCTION("GOOGLETRANSLATE(A17273, ""de"", ""en"")"),"badge")</f>
        <v>badge</v>
      </c>
    </row>
    <row r="17274">
      <c r="A17274" s="1" t="s">
        <v>17273</v>
      </c>
      <c r="B17274" s="2" t="str">
        <f>IFERROR(__xludf.DUMMYFUNCTION("GOOGLETRANSLATE(A17274, ""de"", ""en"")"),"rush")</f>
        <v>rush</v>
      </c>
    </row>
    <row r="17275">
      <c r="A17275" s="1" t="s">
        <v>17274</v>
      </c>
      <c r="B17275" s="2" t="str">
        <f>IFERROR(__xludf.DUMMYFUNCTION("GOOGLETRANSLATE(A17275, ""de"", ""en"")"),"marriage contract")</f>
        <v>marriage contract</v>
      </c>
    </row>
    <row r="17276">
      <c r="A17276" s="1" t="s">
        <v>17275</v>
      </c>
      <c r="B17276" s="2" t="str">
        <f>IFERROR(__xludf.DUMMYFUNCTION("GOOGLETRANSLATE(A17276, ""de"", ""en"")"),"maintains")</f>
        <v>maintains</v>
      </c>
    </row>
    <row r="17277">
      <c r="A17277" s="1" t="s">
        <v>17276</v>
      </c>
      <c r="B17277" s="2" t="str">
        <f>IFERROR(__xludf.DUMMYFUNCTION("GOOGLETRANSLATE(A17277, ""de"", ""en"")"),"shakes")</f>
        <v>shakes</v>
      </c>
    </row>
    <row r="17278">
      <c r="A17278" s="1" t="s">
        <v>17277</v>
      </c>
      <c r="B17278" s="2" t="str">
        <f>IFERROR(__xludf.DUMMYFUNCTION("GOOGLETRANSLATE(A17278, ""de"", ""en"")"),"walked in")</f>
        <v>walked in</v>
      </c>
    </row>
    <row r="17279">
      <c r="A17279" s="1" t="s">
        <v>17278</v>
      </c>
      <c r="B17279" s="2" t="str">
        <f>IFERROR(__xludf.DUMMYFUNCTION("GOOGLETRANSLATE(A17279, ""de"", ""en"")"),"yours")</f>
        <v>yours</v>
      </c>
    </row>
    <row r="17280">
      <c r="A17280" s="1" t="s">
        <v>17279</v>
      </c>
      <c r="B17280" s="2" t="str">
        <f>IFERROR(__xludf.DUMMYFUNCTION("GOOGLETRANSLATE(A17280, ""de"", ""en"")"),"Ilona")</f>
        <v>Ilona</v>
      </c>
    </row>
    <row r="17281">
      <c r="A17281" s="1" t="s">
        <v>17280</v>
      </c>
      <c r="B17281" s="2" t="str">
        <f>IFERROR(__xludf.DUMMYFUNCTION("GOOGLETRANSLATE(A17281, ""de"", ""en"")"),"looted")</f>
        <v>looted</v>
      </c>
    </row>
    <row r="17282">
      <c r="A17282" s="1" t="s">
        <v>17281</v>
      </c>
      <c r="B17282" s="2" t="str">
        <f>IFERROR(__xludf.DUMMYFUNCTION("GOOGLETRANSLATE(A17282, ""de"", ""en"")"),"stig")</f>
        <v>stig</v>
      </c>
    </row>
    <row r="17283">
      <c r="A17283" s="1" t="s">
        <v>17282</v>
      </c>
      <c r="B17283" s="2" t="str">
        <f>IFERROR(__xludf.DUMMYFUNCTION("GOOGLETRANSLATE(A17283, ""de"", ""en"")"),"fusco")</f>
        <v>fusco</v>
      </c>
    </row>
    <row r="17284">
      <c r="A17284" s="1" t="s">
        <v>17283</v>
      </c>
      <c r="B17284" s="2" t="str">
        <f>IFERROR(__xludf.DUMMYFUNCTION("GOOGLETRANSLATE(A17284, ""de"", ""en"")"),"nod")</f>
        <v>nod</v>
      </c>
    </row>
    <row r="17285">
      <c r="A17285" s="1" t="s">
        <v>17284</v>
      </c>
      <c r="B17285" s="2" t="str">
        <f>IFERROR(__xludf.DUMMYFUNCTION("GOOGLETRANSLATE(A17285, ""de"", ""en"")"),"Elmer")</f>
        <v>Elmer</v>
      </c>
    </row>
    <row r="17286">
      <c r="A17286" s="1" t="s">
        <v>17285</v>
      </c>
      <c r="B17286" s="2" t="str">
        <f>IFERROR(__xludf.DUMMYFUNCTION("GOOGLETRANSLATE(A17286, ""de"", ""en"")"),"antus")</f>
        <v>antus</v>
      </c>
    </row>
    <row r="17287">
      <c r="A17287" s="1" t="s">
        <v>17286</v>
      </c>
      <c r="B17287" s="2" t="str">
        <f>IFERROR(__xludf.DUMMYFUNCTION("GOOGLETRANSLATE(A17287, ""de"", ""en"")"),"pathetic")</f>
        <v>pathetic</v>
      </c>
    </row>
    <row r="17288">
      <c r="A17288" s="1" t="s">
        <v>17287</v>
      </c>
      <c r="B17288" s="2" t="str">
        <f>IFERROR(__xludf.DUMMYFUNCTION("GOOGLETRANSLATE(A17288, ""de"", ""en"")"),"sec")</f>
        <v>sec</v>
      </c>
    </row>
    <row r="17289">
      <c r="A17289" s="1" t="s">
        <v>17288</v>
      </c>
      <c r="B17289" s="2" t="str">
        <f>IFERROR(__xludf.DUMMYFUNCTION("GOOGLETRANSLATE(A17289, ""de"", ""en"")"),"mouth")</f>
        <v>mouth</v>
      </c>
    </row>
    <row r="17290">
      <c r="A17290" s="1" t="s">
        <v>17289</v>
      </c>
      <c r="B17290" s="2" t="str">
        <f>IFERROR(__xludf.DUMMYFUNCTION("GOOGLETRANSLATE(A17290, ""de"", ""en"")"),"stephan")</f>
        <v>stephan</v>
      </c>
    </row>
    <row r="17291">
      <c r="A17291" s="1" t="s">
        <v>17290</v>
      </c>
      <c r="B17291" s="2" t="str">
        <f>IFERROR(__xludf.DUMMYFUNCTION("GOOGLETRANSLATE(A17291, ""de"", ""en"")"),"delivered")</f>
        <v>delivered</v>
      </c>
    </row>
    <row r="17292">
      <c r="A17292" s="1" t="s">
        <v>17291</v>
      </c>
      <c r="B17292" s="2" t="str">
        <f>IFERROR(__xludf.DUMMYFUNCTION("GOOGLETRANSLATE(A17292, ""de"", ""en"")"),"fire extinguisher")</f>
        <v>fire extinguisher</v>
      </c>
    </row>
    <row r="17293">
      <c r="A17293" s="1" t="s">
        <v>17292</v>
      </c>
      <c r="B17293" s="2" t="str">
        <f>IFERROR(__xludf.DUMMYFUNCTION("GOOGLETRANSLATE(A17293, ""de"", ""en"")"),"crane")</f>
        <v>crane</v>
      </c>
    </row>
    <row r="17294">
      <c r="A17294" s="1" t="s">
        <v>17293</v>
      </c>
      <c r="B17294" s="2" t="str">
        <f>IFERROR(__xludf.DUMMYFUNCTION("GOOGLETRANSLATE(A17294, ""de"", ""en"")"),"referred")</f>
        <v>referred</v>
      </c>
    </row>
    <row r="17295">
      <c r="A17295" s="1" t="s">
        <v>17294</v>
      </c>
      <c r="B17295" s="2" t="str">
        <f>IFERROR(__xludf.DUMMYFUNCTION("GOOGLETRANSLATE(A17295, ""de"", ""en"")"),"sweat")</f>
        <v>sweat</v>
      </c>
    </row>
    <row r="17296">
      <c r="A17296" s="1" t="s">
        <v>17295</v>
      </c>
      <c r="B17296" s="2" t="str">
        <f>IFERROR(__xludf.DUMMYFUNCTION("GOOGLETRANSLATE(A17296, ""de"", ""en"")"),"trailer")</f>
        <v>trailer</v>
      </c>
    </row>
    <row r="17297">
      <c r="A17297" s="1" t="s">
        <v>17296</v>
      </c>
      <c r="B17297" s="2" t="str">
        <f>IFERROR(__xludf.DUMMYFUNCTION("GOOGLETRANSLATE(A17297, ""de"", ""en"")"),"confiscated")</f>
        <v>confiscated</v>
      </c>
    </row>
    <row r="17298">
      <c r="A17298" s="1" t="s">
        <v>17297</v>
      </c>
      <c r="B17298" s="2" t="str">
        <f>IFERROR(__xludf.DUMMYFUNCTION("GOOGLETRANSLATE(A17298, ""de"", ""en"")"),"bristow")</f>
        <v>bristow</v>
      </c>
    </row>
    <row r="17299">
      <c r="A17299" s="1" t="s">
        <v>17298</v>
      </c>
      <c r="B17299" s="2" t="str">
        <f>IFERROR(__xludf.DUMMYFUNCTION("GOOGLETRANSLATE(A17299, ""de"", ""en"")"),"creativity")</f>
        <v>creativity</v>
      </c>
    </row>
    <row r="17300">
      <c r="A17300" s="1" t="s">
        <v>17299</v>
      </c>
      <c r="B17300" s="2" t="str">
        <f>IFERROR(__xludf.DUMMYFUNCTION("GOOGLETRANSLATE(A17300, ""de"", ""en"")"),"combined")</f>
        <v>combined</v>
      </c>
    </row>
    <row r="17301">
      <c r="A17301" s="1" t="s">
        <v>17300</v>
      </c>
      <c r="B17301" s="2" t="str">
        <f>IFERROR(__xludf.DUMMYFUNCTION("GOOGLETRANSLATE(A17301, ""de"", ""en"")"),"cooperative")</f>
        <v>cooperative</v>
      </c>
    </row>
    <row r="17302">
      <c r="A17302" s="1" t="s">
        <v>17301</v>
      </c>
      <c r="B17302" s="2" t="str">
        <f>IFERROR(__xludf.DUMMYFUNCTION("GOOGLETRANSLATE(A17302, ""de"", ""en"")"),"clifford")</f>
        <v>clifford</v>
      </c>
    </row>
    <row r="17303">
      <c r="A17303" s="1" t="s">
        <v>17302</v>
      </c>
      <c r="B17303" s="2" t="str">
        <f>IFERROR(__xludf.DUMMYFUNCTION("GOOGLETRANSLATE(A17303, ""de"", ""en"")"),"pie")</f>
        <v>pie</v>
      </c>
    </row>
    <row r="17304">
      <c r="A17304" s="1" t="s">
        <v>17303</v>
      </c>
      <c r="B17304" s="2" t="str">
        <f>IFERROR(__xludf.DUMMYFUNCTION("GOOGLETRANSLATE(A17304, ""de"", ""en"")"),"burn down")</f>
        <v>burn down</v>
      </c>
    </row>
    <row r="17305">
      <c r="A17305" s="1" t="s">
        <v>17304</v>
      </c>
      <c r="B17305" s="2" t="str">
        <f>IFERROR(__xludf.DUMMYFUNCTION("GOOGLETRANSLATE(A17305, ""de"", ""en"")"),"soprano")</f>
        <v>soprano</v>
      </c>
    </row>
    <row r="17306">
      <c r="A17306" s="1" t="s">
        <v>17305</v>
      </c>
      <c r="B17306" s="2" t="str">
        <f>IFERROR(__xludf.DUMMYFUNCTION("GOOGLETRANSLATE(A17306, ""de"", ""en"")"),"enthusiasm")</f>
        <v>enthusiasm</v>
      </c>
    </row>
    <row r="17307">
      <c r="A17307" s="1" t="s">
        <v>17306</v>
      </c>
      <c r="B17307" s="2" t="str">
        <f>IFERROR(__xludf.DUMMYFUNCTION("GOOGLETRANSLATE(A17307, ""de"", ""en"")"),"rizzoli")</f>
        <v>rizzoli</v>
      </c>
    </row>
    <row r="17308">
      <c r="A17308" s="1" t="s">
        <v>17307</v>
      </c>
      <c r="B17308" s="2" t="str">
        <f>IFERROR(__xludf.DUMMYFUNCTION("GOOGLETRANSLATE(A17308, ""de"", ""en"")"),"pernell")</f>
        <v>pernell</v>
      </c>
    </row>
    <row r="17309">
      <c r="A17309" s="1" t="s">
        <v>17308</v>
      </c>
      <c r="B17309" s="2" t="str">
        <f>IFERROR(__xludf.DUMMYFUNCTION("GOOGLETRANSLATE(A17309, ""de"", ""en"")"),"enjoyed")</f>
        <v>enjoyed</v>
      </c>
    </row>
    <row r="17310">
      <c r="A17310" s="1" t="s">
        <v>17309</v>
      </c>
      <c r="B17310" s="2" t="str">
        <f>IFERROR(__xludf.DUMMYFUNCTION("GOOGLETRANSLATE(A17310, ""de"", ""en"")"),"teenager")</f>
        <v>teenager</v>
      </c>
    </row>
    <row r="17311">
      <c r="A17311" s="1" t="s">
        <v>17310</v>
      </c>
      <c r="B17311" s="2" t="str">
        <f>IFERROR(__xludf.DUMMYFUNCTION("GOOGLETRANSLATE(A17311, ""de"", ""en"")"),"column")</f>
        <v>column</v>
      </c>
    </row>
    <row r="17312">
      <c r="A17312" s="1" t="s">
        <v>17311</v>
      </c>
      <c r="B17312" s="2" t="str">
        <f>IFERROR(__xludf.DUMMYFUNCTION("GOOGLETRANSLATE(A17312, ""de"", ""en"")"),"Leonardo")</f>
        <v>Leonardo</v>
      </c>
    </row>
    <row r="17313">
      <c r="A17313" s="1" t="s">
        <v>17312</v>
      </c>
      <c r="B17313" s="2" t="str">
        <f>IFERROR(__xludf.DUMMYFUNCTION("GOOGLETRANSLATE(A17313, ""de"", ""en"")"),"manufacturing")</f>
        <v>manufacturing</v>
      </c>
    </row>
    <row r="17314">
      <c r="A17314" s="1" t="s">
        <v>17313</v>
      </c>
      <c r="B17314" s="2" t="str">
        <f>IFERROR(__xludf.DUMMYFUNCTION("GOOGLETRANSLATE(A17314, ""de"", ""en"")"),"rifle")</f>
        <v>rifle</v>
      </c>
    </row>
    <row r="17315">
      <c r="A17315" s="1" t="s">
        <v>17314</v>
      </c>
      <c r="B17315" s="2" t="str">
        <f>IFERROR(__xludf.DUMMYFUNCTION("GOOGLETRANSLATE(A17315, ""de"", ""en"")"),"knocked")</f>
        <v>knocked</v>
      </c>
    </row>
    <row r="17316">
      <c r="A17316" s="1" t="s">
        <v>17315</v>
      </c>
      <c r="B17316" s="2" t="str">
        <f>IFERROR(__xludf.DUMMYFUNCTION("GOOGLETRANSLATE(A17316, ""de"", ""en"")"),"lama")</f>
        <v>lama</v>
      </c>
    </row>
    <row r="17317">
      <c r="A17317" s="1" t="s">
        <v>17316</v>
      </c>
      <c r="B17317" s="2" t="str">
        <f>IFERROR(__xludf.DUMMYFUNCTION("GOOGLETRANSLATE(A17317, ""de"", ""en"")"),"earp")</f>
        <v>earp</v>
      </c>
    </row>
    <row r="17318">
      <c r="A17318" s="1" t="s">
        <v>17317</v>
      </c>
      <c r="B17318" s="2" t="str">
        <f>IFERROR(__xludf.DUMMYFUNCTION("GOOGLETRANSLATE(A17318, ""de"", ""en"")"),"family tree")</f>
        <v>family tree</v>
      </c>
    </row>
    <row r="17319">
      <c r="A17319" s="1" t="s">
        <v>17318</v>
      </c>
      <c r="B17319" s="2" t="str">
        <f>IFERROR(__xludf.DUMMYFUNCTION("GOOGLETRANSLATE(A17319, ""de"", ""en"")"),"nest")</f>
        <v>nest</v>
      </c>
    </row>
    <row r="17320">
      <c r="A17320" s="1" t="s">
        <v>17319</v>
      </c>
      <c r="B17320" s="2" t="str">
        <f>IFERROR(__xludf.DUMMYFUNCTION("GOOGLETRANSLATE(A17320, ""de"", ""en"")"),"actual")</f>
        <v>actual</v>
      </c>
    </row>
    <row r="17321">
      <c r="A17321" s="1" t="s">
        <v>17320</v>
      </c>
      <c r="B17321" s="2" t="str">
        <f>IFERROR(__xludf.DUMMYFUNCTION("GOOGLETRANSLATE(A17321, ""de"", ""en"")"),"brutus")</f>
        <v>brutus</v>
      </c>
    </row>
    <row r="17322">
      <c r="A17322" s="1" t="s">
        <v>17321</v>
      </c>
      <c r="B17322" s="2" t="str">
        <f>IFERROR(__xludf.DUMMYFUNCTION("GOOGLETRANSLATE(A17322, ""de"", ""en"")"),"corrupt")</f>
        <v>corrupt</v>
      </c>
    </row>
    <row r="17323">
      <c r="A17323" s="1" t="s">
        <v>17322</v>
      </c>
      <c r="B17323" s="2" t="str">
        <f>IFERROR(__xludf.DUMMYFUNCTION("GOOGLETRANSLATE(A17323, ""de"", ""en"")"),"mast")</f>
        <v>mast</v>
      </c>
    </row>
    <row r="17324">
      <c r="A17324" s="1" t="s">
        <v>17323</v>
      </c>
      <c r="B17324" s="2" t="str">
        <f>IFERROR(__xludf.DUMMYFUNCTION("GOOGLETRANSLATE(A17324, ""de"", ""en"")"),"Lehmann")</f>
        <v>Lehmann</v>
      </c>
    </row>
    <row r="17325">
      <c r="A17325" s="1" t="s">
        <v>17324</v>
      </c>
      <c r="B17325" s="2" t="str">
        <f>IFERROR(__xludf.DUMMYFUNCTION("GOOGLETRANSLATE(A17325, ""de"", ""en"")"),"expenses")</f>
        <v>expenses</v>
      </c>
    </row>
    <row r="17326">
      <c r="A17326" s="1" t="s">
        <v>17325</v>
      </c>
      <c r="B17326" s="2" t="str">
        <f>IFERROR(__xludf.DUMMYFUNCTION("GOOGLETRANSLATE(A17326, ""de"", ""en"")"),"admitted")</f>
        <v>admitted</v>
      </c>
    </row>
    <row r="17327">
      <c r="A17327" s="1" t="s">
        <v>17326</v>
      </c>
      <c r="B17327" s="2" t="str">
        <f>IFERROR(__xludf.DUMMYFUNCTION("GOOGLETRANSLATE(A17327, ""de"", ""en"")"),"cupboards")</f>
        <v>cupboards</v>
      </c>
    </row>
    <row r="17328">
      <c r="A17328" s="1" t="s">
        <v>17327</v>
      </c>
      <c r="B17328" s="2" t="str">
        <f>IFERROR(__xludf.DUMMYFUNCTION("GOOGLETRANSLATE(A17328, ""de"", ""en"")"),"sensational")</f>
        <v>sensational</v>
      </c>
    </row>
    <row r="17329">
      <c r="A17329" s="1" t="s">
        <v>17328</v>
      </c>
      <c r="B17329" s="2" t="str">
        <f>IFERROR(__xludf.DUMMYFUNCTION("GOOGLETRANSLATE(A17329, ""de"", ""en"")"),"paint")</f>
        <v>paint</v>
      </c>
    </row>
    <row r="17330">
      <c r="A17330" s="1" t="s">
        <v>17329</v>
      </c>
      <c r="B17330" s="2" t="str">
        <f>IFERROR(__xludf.DUMMYFUNCTION("GOOGLETRANSLATE(A17330, ""de"", ""en"")"),"designed")</f>
        <v>designed</v>
      </c>
    </row>
    <row r="17331">
      <c r="A17331" s="1" t="s">
        <v>17330</v>
      </c>
      <c r="B17331" s="2" t="str">
        <f>IFERROR(__xludf.DUMMYFUNCTION("GOOGLETRANSLATE(A17331, ""de"", ""en"")"),"schedule")</f>
        <v>schedule</v>
      </c>
    </row>
    <row r="17332">
      <c r="A17332" s="1" t="s">
        <v>17331</v>
      </c>
      <c r="B17332" s="2" t="str">
        <f>IFERROR(__xludf.DUMMYFUNCTION("GOOGLETRANSLATE(A17332, ""de"", ""en"")"),"shrimps")</f>
        <v>shrimps</v>
      </c>
    </row>
    <row r="17333">
      <c r="A17333" s="1" t="s">
        <v>17332</v>
      </c>
      <c r="B17333" s="2" t="str">
        <f>IFERROR(__xludf.DUMMYFUNCTION("GOOGLETRANSLATE(A17333, ""de"", ""en"")"),"instruct")</f>
        <v>instruct</v>
      </c>
    </row>
    <row r="17334">
      <c r="A17334" s="1" t="s">
        <v>17333</v>
      </c>
      <c r="B17334" s="2" t="str">
        <f>IFERROR(__xludf.DUMMYFUNCTION("GOOGLETRANSLATE(A17334, ""de"", ""en"")"),"nobody")</f>
        <v>nobody</v>
      </c>
    </row>
    <row r="17335">
      <c r="A17335" s="1" t="s">
        <v>17334</v>
      </c>
      <c r="B17335" s="2" t="str">
        <f>IFERROR(__xludf.DUMMYFUNCTION("GOOGLETRANSLATE(A17335, ""de"", ""en"")"),"he drinks")</f>
        <v>he drinks</v>
      </c>
    </row>
    <row r="17336">
      <c r="A17336" s="1" t="s">
        <v>17335</v>
      </c>
      <c r="B17336" s="2" t="str">
        <f>IFERROR(__xludf.DUMMYFUNCTION("GOOGLETRANSLATE(A17336, ""de"", ""en"")"),"appoint")</f>
        <v>appoint</v>
      </c>
    </row>
    <row r="17337">
      <c r="A17337" s="1" t="s">
        <v>17336</v>
      </c>
      <c r="B17337" s="2" t="str">
        <f>IFERROR(__xludf.DUMMYFUNCTION("GOOGLETRANSLATE(A17337, ""de"", ""en"")"),"adalind")</f>
        <v>adalind</v>
      </c>
    </row>
    <row r="17338">
      <c r="A17338" s="1" t="s">
        <v>17337</v>
      </c>
      <c r="B17338" s="2" t="str">
        <f>IFERROR(__xludf.DUMMYFUNCTION("GOOGLETRANSLATE(A17338, ""de"", ""en"")"),"implement")</f>
        <v>implement</v>
      </c>
    </row>
    <row r="17339">
      <c r="A17339" s="1" t="s">
        <v>17338</v>
      </c>
      <c r="B17339" s="2" t="str">
        <f>IFERROR(__xludf.DUMMYFUNCTION("GOOGLETRANSLATE(A17339, ""de"", ""en"")"),"chops")</f>
        <v>chops</v>
      </c>
    </row>
    <row r="17340">
      <c r="A17340" s="1" t="s">
        <v>17339</v>
      </c>
      <c r="B17340" s="2" t="str">
        <f>IFERROR(__xludf.DUMMYFUNCTION("GOOGLETRANSLATE(A17340, ""de"", ""en"")"),"goodman")</f>
        <v>goodman</v>
      </c>
    </row>
    <row r="17341">
      <c r="A17341" s="1" t="s">
        <v>17340</v>
      </c>
      <c r="B17341" s="2" t="str">
        <f>IFERROR(__xludf.DUMMYFUNCTION("GOOGLETRANSLATE(A17341, ""de"", ""en"")"),"pay back")</f>
        <v>pay back</v>
      </c>
    </row>
    <row r="17342">
      <c r="A17342" s="1" t="s">
        <v>17341</v>
      </c>
      <c r="B17342" s="2" t="str">
        <f>IFERROR(__xludf.DUMMYFUNCTION("GOOGLETRANSLATE(A17342, ""de"", ""en"")"),"inseparable")</f>
        <v>inseparable</v>
      </c>
    </row>
    <row r="17343">
      <c r="A17343" s="1" t="s">
        <v>17342</v>
      </c>
      <c r="B17343" s="2" t="str">
        <f>IFERROR(__xludf.DUMMYFUNCTION("GOOGLETRANSLATE(A17343, ""de"", ""en"")"),"beasts")</f>
        <v>beasts</v>
      </c>
    </row>
    <row r="17344">
      <c r="A17344" s="1" t="s">
        <v>17343</v>
      </c>
      <c r="B17344" s="2" t="str">
        <f>IFERROR(__xludf.DUMMYFUNCTION("GOOGLETRANSLATE(A17344, ""de"", ""en"")"),"dynamic")</f>
        <v>dynamic</v>
      </c>
    </row>
    <row r="17345">
      <c r="A17345" s="1" t="s">
        <v>17344</v>
      </c>
      <c r="B17345" s="2" t="str">
        <f>IFERROR(__xludf.DUMMYFUNCTION("GOOGLETRANSLATE(A17345, ""de"", ""en"")"),"indecent")</f>
        <v>indecent</v>
      </c>
    </row>
    <row r="17346">
      <c r="A17346" s="1" t="s">
        <v>17345</v>
      </c>
      <c r="B17346" s="2" t="str">
        <f>IFERROR(__xludf.DUMMYFUNCTION("GOOGLETRANSLATE(A17346, ""de"", ""en"")"),"dudley")</f>
        <v>dudley</v>
      </c>
    </row>
    <row r="17347">
      <c r="A17347" s="1" t="s">
        <v>17346</v>
      </c>
      <c r="B17347" s="2" t="str">
        <f>IFERROR(__xludf.DUMMYFUNCTION("GOOGLETRANSLATE(A17347, ""de"", ""en"")"),"generally")</f>
        <v>generally</v>
      </c>
    </row>
    <row r="17348">
      <c r="A17348" s="1" t="s">
        <v>17347</v>
      </c>
      <c r="B17348" s="2" t="str">
        <f>IFERROR(__xludf.DUMMYFUNCTION("GOOGLETRANSLATE(A17348, ""de"", ""en"")"),"tour")</f>
        <v>tour</v>
      </c>
    </row>
    <row r="17349">
      <c r="A17349" s="1" t="s">
        <v>17348</v>
      </c>
      <c r="B17349" s="2" t="str">
        <f>IFERROR(__xludf.DUMMYFUNCTION("GOOGLETRANSLATE(A17349, ""de"", ""en"")"),"baltar")</f>
        <v>baltar</v>
      </c>
    </row>
    <row r="17350">
      <c r="A17350" s="1" t="s">
        <v>17349</v>
      </c>
      <c r="B17350" s="2" t="str">
        <f>IFERROR(__xludf.DUMMYFUNCTION("GOOGLETRANSLATE(A17350, ""de"", ""en"")"),"brought in")</f>
        <v>brought in</v>
      </c>
    </row>
    <row r="17351">
      <c r="A17351" s="1" t="s">
        <v>17350</v>
      </c>
      <c r="B17351" s="2" t="str">
        <f>IFERROR(__xludf.DUMMYFUNCTION("GOOGLETRANSLATE(A17351, ""de"", ""en"")"),"artifacts")</f>
        <v>artifacts</v>
      </c>
    </row>
    <row r="17352">
      <c r="A17352" s="1" t="s">
        <v>17351</v>
      </c>
      <c r="B17352" s="2" t="str">
        <f>IFERROR(__xludf.DUMMYFUNCTION("GOOGLETRANSLATE(A17352, ""de"", ""en"")"),"mean")</f>
        <v>mean</v>
      </c>
    </row>
    <row r="17353">
      <c r="A17353" s="1" t="s">
        <v>17352</v>
      </c>
      <c r="B17353" s="2" t="str">
        <f>IFERROR(__xludf.DUMMYFUNCTION("GOOGLETRANSLATE(A17353, ""de"", ""en"")"),"terrible")</f>
        <v>terrible</v>
      </c>
    </row>
    <row r="17354">
      <c r="A17354" s="1" t="s">
        <v>17353</v>
      </c>
      <c r="B17354" s="2" t="str">
        <f>IFERROR(__xludf.DUMMYFUNCTION("GOOGLETRANSLATE(A17354, ""de"", ""en"")"),"apple pie")</f>
        <v>apple pie</v>
      </c>
    </row>
    <row r="17355">
      <c r="A17355" s="1" t="s">
        <v>17354</v>
      </c>
      <c r="B17355" s="2" t="str">
        <f>IFERROR(__xludf.DUMMYFUNCTION("GOOGLETRANSLATE(A17355, ""de"", ""en"")"),"findings")</f>
        <v>findings</v>
      </c>
    </row>
    <row r="17356">
      <c r="A17356" s="1" t="s">
        <v>17355</v>
      </c>
      <c r="B17356" s="2" t="str">
        <f>IFERROR(__xludf.DUMMYFUNCTION("GOOGLETRANSLATE(A17356, ""de"", ""en"")"),"roadblocks")</f>
        <v>roadblocks</v>
      </c>
    </row>
    <row r="17357">
      <c r="A17357" s="1" t="s">
        <v>17356</v>
      </c>
      <c r="B17357" s="2" t="str">
        <f>IFERROR(__xludf.DUMMYFUNCTION("GOOGLETRANSLATE(A17357, ""de"", ""en"")"),"miscarriage")</f>
        <v>miscarriage</v>
      </c>
    </row>
    <row r="17358">
      <c r="A17358" s="1" t="s">
        <v>17357</v>
      </c>
      <c r="B17358" s="2" t="str">
        <f>IFERROR(__xludf.DUMMYFUNCTION("GOOGLETRANSLATE(A17358, ""de"", ""en"")"),"diagnosed")</f>
        <v>diagnosed</v>
      </c>
    </row>
    <row r="17359">
      <c r="A17359" s="1" t="s">
        <v>17358</v>
      </c>
      <c r="B17359" s="2" t="str">
        <f>IFERROR(__xludf.DUMMYFUNCTION("GOOGLETRANSLATE(A17359, ""de"", ""en"")"),"anarchy")</f>
        <v>anarchy</v>
      </c>
    </row>
    <row r="17360">
      <c r="A17360" s="1" t="s">
        <v>17359</v>
      </c>
      <c r="B17360" s="2" t="str">
        <f>IFERROR(__xludf.DUMMYFUNCTION("GOOGLETRANSLATE(A17360, ""de"", ""en"")"),"know")</f>
        <v>know</v>
      </c>
    </row>
    <row r="17361">
      <c r="A17361" s="1" t="s">
        <v>17360</v>
      </c>
      <c r="B17361" s="2" t="str">
        <f>IFERROR(__xludf.DUMMYFUNCTION("GOOGLETRANSLATE(A17361, ""de"", ""en"")"),"bald")</f>
        <v>bald</v>
      </c>
    </row>
    <row r="17362">
      <c r="A17362" s="1" t="s">
        <v>17361</v>
      </c>
      <c r="B17362" s="2" t="str">
        <f>IFERROR(__xludf.DUMMYFUNCTION("GOOGLETRANSLATE(A17362, ""de"", ""en"")"),"sang")</f>
        <v>sang</v>
      </c>
    </row>
    <row r="17363">
      <c r="A17363" s="1" t="s">
        <v>17362</v>
      </c>
      <c r="B17363" s="2" t="str">
        <f>IFERROR(__xludf.DUMMYFUNCTION("GOOGLETRANSLATE(A17363, ""de"", ""en"")"),"scoop")</f>
        <v>scoop</v>
      </c>
    </row>
    <row r="17364">
      <c r="A17364" s="1" t="s">
        <v>17363</v>
      </c>
      <c r="B17364" s="2" t="str">
        <f>IFERROR(__xludf.DUMMYFUNCTION("GOOGLETRANSLATE(A17364, ""de"", ""en"")"),"journal")</f>
        <v>journal</v>
      </c>
    </row>
    <row r="17365">
      <c r="A17365" s="1" t="s">
        <v>17364</v>
      </c>
      <c r="B17365" s="2" t="str">
        <f>IFERROR(__xludf.DUMMYFUNCTION("GOOGLETRANSLATE(A17365, ""de"", ""en"")"),"Berta")</f>
        <v>Berta</v>
      </c>
    </row>
    <row r="17366">
      <c r="A17366" s="1" t="s">
        <v>17365</v>
      </c>
      <c r="B17366" s="2" t="str">
        <f>IFERROR(__xludf.DUMMYFUNCTION("GOOGLETRANSLATE(A17366, ""de"", ""en"")"),"takes with you")</f>
        <v>takes with you</v>
      </c>
    </row>
    <row r="17367">
      <c r="A17367" s="1" t="s">
        <v>17366</v>
      </c>
      <c r="B17367" s="2" t="str">
        <f>IFERROR(__xludf.DUMMYFUNCTION("GOOGLETRANSLATE(A17367, ""de"", ""en"")"),"sincerity")</f>
        <v>sincerity</v>
      </c>
    </row>
    <row r="17368">
      <c r="A17368" s="1" t="s">
        <v>17367</v>
      </c>
      <c r="B17368" s="2" t="str">
        <f>IFERROR(__xludf.DUMMYFUNCTION("GOOGLETRANSLATE(A17368, ""de"", ""en"")"),"cullen")</f>
        <v>cullen</v>
      </c>
    </row>
    <row r="17369">
      <c r="A17369" s="1" t="s">
        <v>17368</v>
      </c>
      <c r="B17369" s="2" t="str">
        <f>IFERROR(__xludf.DUMMYFUNCTION("GOOGLETRANSLATE(A17369, ""de"", ""en"")"),"martins")</f>
        <v>martins</v>
      </c>
    </row>
    <row r="17370">
      <c r="A17370" s="1" t="s">
        <v>17369</v>
      </c>
      <c r="B17370" s="2" t="str">
        <f>IFERROR(__xludf.DUMMYFUNCTION("GOOGLETRANSLATE(A17370, ""de"", ""en"")"),"slapping")</f>
        <v>slapping</v>
      </c>
    </row>
    <row r="17371">
      <c r="A17371" s="1" t="s">
        <v>17370</v>
      </c>
      <c r="B17371" s="2" t="str">
        <f>IFERROR(__xludf.DUMMYFUNCTION("GOOGLETRANSLATE(A17371, ""de"", ""en"")"),"result")</f>
        <v>result</v>
      </c>
    </row>
    <row r="17372">
      <c r="A17372" s="1" t="s">
        <v>17371</v>
      </c>
      <c r="B17372" s="2" t="str">
        <f>IFERROR(__xludf.DUMMYFUNCTION("GOOGLETRANSLATE(A17372, ""de"", ""en"")"),"to choose")</f>
        <v>to choose</v>
      </c>
    </row>
    <row r="17373">
      <c r="A17373" s="1" t="s">
        <v>17372</v>
      </c>
      <c r="B17373" s="2" t="str">
        <f>IFERROR(__xludf.DUMMYFUNCTION("GOOGLETRANSLATE(A17373, ""de"", ""en"")"),"opens")</f>
        <v>opens</v>
      </c>
    </row>
    <row r="17374">
      <c r="A17374" s="1" t="s">
        <v>17373</v>
      </c>
      <c r="B17374" s="2" t="str">
        <f>IFERROR(__xludf.DUMMYFUNCTION("GOOGLETRANSLATE(A17374, ""de"", ""en"")"),"animal shelter")</f>
        <v>animal shelter</v>
      </c>
    </row>
    <row r="17375">
      <c r="A17375" s="1" t="s">
        <v>17374</v>
      </c>
      <c r="B17375" s="2" t="str">
        <f>IFERROR(__xludf.DUMMYFUNCTION("GOOGLETRANSLATE(A17375, ""de"", ""en"")"),"dalli")</f>
        <v>dalli</v>
      </c>
    </row>
    <row r="17376">
      <c r="A17376" s="1" t="s">
        <v>17375</v>
      </c>
      <c r="B17376" s="2" t="str">
        <f>IFERROR(__xludf.DUMMYFUNCTION("GOOGLETRANSLATE(A17376, ""de"", ""en"")"),"sent")</f>
        <v>sent</v>
      </c>
    </row>
    <row r="17377">
      <c r="A17377" s="1" t="s">
        <v>17376</v>
      </c>
      <c r="B17377" s="2" t="str">
        <f>IFERROR(__xludf.DUMMYFUNCTION("GOOGLETRANSLATE(A17377, ""de"", ""en"")"),"post office")</f>
        <v>post office</v>
      </c>
    </row>
    <row r="17378">
      <c r="A17378" s="1" t="s">
        <v>17377</v>
      </c>
      <c r="B17378" s="2" t="str">
        <f>IFERROR(__xludf.DUMMYFUNCTION("GOOGLETRANSLATE(A17378, ""de"", ""en"")"),"inquire")</f>
        <v>inquire</v>
      </c>
    </row>
    <row r="17379">
      <c r="A17379" s="1" t="s">
        <v>17378</v>
      </c>
      <c r="B17379" s="2" t="str">
        <f>IFERROR(__xludf.DUMMYFUNCTION("GOOGLETRANSLATE(A17379, ""de"", ""en"")"),"night watchman")</f>
        <v>night watchman</v>
      </c>
    </row>
    <row r="17380">
      <c r="A17380" s="1" t="s">
        <v>17379</v>
      </c>
      <c r="B17380" s="2" t="str">
        <f>IFERROR(__xludf.DUMMYFUNCTION("GOOGLETRANSLATE(A17380, ""de"", ""en"")"),"Beirut")</f>
        <v>Beirut</v>
      </c>
    </row>
    <row r="17381">
      <c r="A17381" s="1" t="s">
        <v>17380</v>
      </c>
      <c r="B17381" s="2" t="str">
        <f>IFERROR(__xludf.DUMMYFUNCTION("GOOGLETRANSLATE(A17381, ""de"", ""en"")"),"facilities")</f>
        <v>facilities</v>
      </c>
    </row>
    <row r="17382">
      <c r="A17382" s="1" t="s">
        <v>17381</v>
      </c>
      <c r="B17382" s="2" t="str">
        <f>IFERROR(__xludf.DUMMYFUNCTION("GOOGLETRANSLATE(A17382, ""de"", ""en"")"),"toys")</f>
        <v>toys</v>
      </c>
    </row>
    <row r="17383">
      <c r="A17383" s="1" t="s">
        <v>17382</v>
      </c>
      <c r="B17383" s="2" t="str">
        <f>IFERROR(__xludf.DUMMYFUNCTION("GOOGLETRANSLATE(A17383, ""de"", ""en"")"),"grab")</f>
        <v>grab</v>
      </c>
    </row>
    <row r="17384">
      <c r="A17384" s="1" t="s">
        <v>17383</v>
      </c>
      <c r="B17384" s="2" t="str">
        <f>IFERROR(__xludf.DUMMYFUNCTION("GOOGLETRANSLATE(A17384, ""de"", ""en"")"),"comes along")</f>
        <v>comes along</v>
      </c>
    </row>
    <row r="17385">
      <c r="A17385" s="1" t="s">
        <v>17384</v>
      </c>
      <c r="B17385" s="2" t="str">
        <f>IFERROR(__xludf.DUMMYFUNCTION("GOOGLETRANSLATE(A17385, ""de"", ""en"")"),"McManus")</f>
        <v>McManus</v>
      </c>
    </row>
    <row r="17386">
      <c r="A17386" s="1" t="s">
        <v>17385</v>
      </c>
      <c r="B17386" s="2" t="str">
        <f>IFERROR(__xludf.DUMMYFUNCTION("GOOGLETRANSLATE(A17386, ""de"", ""en"")"),"acting")</f>
        <v>acting</v>
      </c>
    </row>
    <row r="17387">
      <c r="A17387" s="1" t="s">
        <v>17386</v>
      </c>
      <c r="B17387" s="2" t="str">
        <f>IFERROR(__xludf.DUMMYFUNCTION("GOOGLETRANSLATE(A17387, ""de"", ""en"")"),"blame")</f>
        <v>blame</v>
      </c>
    </row>
    <row r="17388">
      <c r="A17388" s="1" t="s">
        <v>17387</v>
      </c>
      <c r="B17388" s="2" t="str">
        <f>IFERROR(__xludf.DUMMYFUNCTION("GOOGLETRANSLATE(A17388, ""de"", ""en"")"),"gone wrong")</f>
        <v>gone wrong</v>
      </c>
    </row>
    <row r="17389">
      <c r="A17389" s="1" t="s">
        <v>17388</v>
      </c>
      <c r="B17389" s="2" t="str">
        <f>IFERROR(__xludf.DUMMYFUNCTION("GOOGLETRANSLATE(A17389, ""de"", ""en"")"),"worst")</f>
        <v>worst</v>
      </c>
    </row>
    <row r="17390">
      <c r="A17390" s="1" t="s">
        <v>17389</v>
      </c>
      <c r="B17390" s="2" t="str">
        <f>IFERROR(__xludf.DUMMYFUNCTION("GOOGLETRANSLATE(A17390, ""de"", ""en"")"),"push")</f>
        <v>push</v>
      </c>
    </row>
    <row r="17391">
      <c r="A17391" s="1" t="s">
        <v>17390</v>
      </c>
      <c r="B17391" s="2" t="str">
        <f>IFERROR(__xludf.DUMMYFUNCTION("GOOGLETRANSLATE(A17391, ""de"", ""en"")"),"mummy")</f>
        <v>mummy</v>
      </c>
    </row>
    <row r="17392">
      <c r="A17392" s="1" t="s">
        <v>17391</v>
      </c>
      <c r="B17392" s="2" t="str">
        <f>IFERROR(__xludf.DUMMYFUNCTION("GOOGLETRANSLATE(A17392, ""de"", ""en"")"),"shithole")</f>
        <v>shithole</v>
      </c>
    </row>
    <row r="17393">
      <c r="A17393" s="1" t="s">
        <v>17392</v>
      </c>
      <c r="B17393" s="2" t="str">
        <f>IFERROR(__xludf.DUMMYFUNCTION("GOOGLETRANSLATE(A17393, ""de"", ""en"")"),"overflow")</f>
        <v>overflow</v>
      </c>
    </row>
    <row r="17394">
      <c r="A17394" s="1" t="s">
        <v>17393</v>
      </c>
      <c r="B17394" s="2" t="str">
        <f>IFERROR(__xludf.DUMMYFUNCTION("GOOGLETRANSLATE(A17394, ""de"", ""en"")"),"stormy")</f>
        <v>stormy</v>
      </c>
    </row>
    <row r="17395">
      <c r="A17395" s="1" t="s">
        <v>17394</v>
      </c>
      <c r="B17395" s="2" t="str">
        <f>IFERROR(__xludf.DUMMYFUNCTION("GOOGLETRANSLATE(A17395, ""de"", ""en"")"),"anesthesia")</f>
        <v>anesthesia</v>
      </c>
    </row>
    <row r="17396">
      <c r="A17396" s="1" t="s">
        <v>17395</v>
      </c>
      <c r="B17396" s="2" t="str">
        <f>IFERROR(__xludf.DUMMYFUNCTION("GOOGLETRANSLATE(A17396, ""de"", ""en"")"),"ritz")</f>
        <v>ritz</v>
      </c>
    </row>
    <row r="17397">
      <c r="A17397" s="1" t="s">
        <v>17396</v>
      </c>
      <c r="B17397" s="2" t="str">
        <f>IFERROR(__xludf.DUMMYFUNCTION("GOOGLETRANSLATE(A17397, ""de"", ""en"")"),"lolita")</f>
        <v>lolita</v>
      </c>
    </row>
    <row r="17398">
      <c r="A17398" s="1" t="s">
        <v>17397</v>
      </c>
      <c r="B17398" s="2" t="str">
        <f>IFERROR(__xludf.DUMMYFUNCTION("GOOGLETRANSLATE(A17398, ""de"", ""en"")"),"sent")</f>
        <v>sent</v>
      </c>
    </row>
    <row r="17399">
      <c r="A17399" s="1" t="s">
        <v>17398</v>
      </c>
      <c r="B17399" s="2" t="str">
        <f>IFERROR(__xludf.DUMMYFUNCTION("GOOGLETRANSLATE(A17399, ""de"", ""en"")"),"infected")</f>
        <v>infected</v>
      </c>
    </row>
    <row r="17400">
      <c r="A17400" s="1" t="s">
        <v>17399</v>
      </c>
      <c r="B17400" s="2" t="str">
        <f>IFERROR(__xludf.DUMMYFUNCTION("GOOGLETRANSLATE(A17400, ""de"", ""en"")"),"downton")</f>
        <v>downton</v>
      </c>
    </row>
    <row r="17401">
      <c r="A17401" s="1" t="s">
        <v>17400</v>
      </c>
      <c r="B17401" s="2" t="str">
        <f>IFERROR(__xludf.DUMMYFUNCTION("GOOGLETRANSLATE(A17401, ""de"", ""en"")"),"especially")</f>
        <v>especially</v>
      </c>
    </row>
    <row r="17402">
      <c r="A17402" s="1" t="s">
        <v>17401</v>
      </c>
      <c r="B17402" s="2" t="str">
        <f>IFERROR(__xludf.DUMMYFUNCTION("GOOGLETRANSLATE(A17402, ""de"", ""en"")"),"expose")</f>
        <v>expose</v>
      </c>
    </row>
    <row r="17403">
      <c r="A17403" s="1" t="s">
        <v>17402</v>
      </c>
      <c r="B17403" s="2" t="str">
        <f>IFERROR(__xludf.DUMMYFUNCTION("GOOGLETRANSLATE(A17403, ""de"", ""en"")"),"belong")</f>
        <v>belong</v>
      </c>
    </row>
    <row r="17404">
      <c r="A17404" s="1" t="s">
        <v>17403</v>
      </c>
      <c r="B17404" s="2" t="str">
        <f>IFERROR(__xludf.DUMMYFUNCTION("GOOGLETRANSLATE(A17404, ""de"", ""en"")"),"mercer")</f>
        <v>mercer</v>
      </c>
    </row>
    <row r="17405">
      <c r="A17405" s="1" t="s">
        <v>17404</v>
      </c>
      <c r="B17405" s="2" t="str">
        <f>IFERROR(__xludf.DUMMYFUNCTION("GOOGLETRANSLATE(A17405, ""de"", ""en"")"),"concerned")</f>
        <v>concerned</v>
      </c>
    </row>
    <row r="17406">
      <c r="A17406" s="1" t="s">
        <v>17405</v>
      </c>
      <c r="B17406" s="2" t="str">
        <f>IFERROR(__xludf.DUMMYFUNCTION("GOOGLETRANSLATE(A17406, ""de"", ""en"")"),"bold")</f>
        <v>bold</v>
      </c>
    </row>
    <row r="17407">
      <c r="A17407" s="1" t="s">
        <v>17406</v>
      </c>
      <c r="B17407" s="2" t="str">
        <f>IFERROR(__xludf.DUMMYFUNCTION("GOOGLETRANSLATE(A17407, ""de"", ""en"")"),"preferred")</f>
        <v>preferred</v>
      </c>
    </row>
    <row r="17408">
      <c r="A17408" s="1" t="s">
        <v>17407</v>
      </c>
      <c r="B17408" s="2" t="str">
        <f>IFERROR(__xludf.DUMMYFUNCTION("GOOGLETRANSLATE(A17408, ""de"", ""en"")"),"sweaty")</f>
        <v>sweaty</v>
      </c>
    </row>
    <row r="17409">
      <c r="A17409" s="1" t="s">
        <v>17408</v>
      </c>
      <c r="B17409" s="2" t="str">
        <f>IFERROR(__xludf.DUMMYFUNCTION("GOOGLETRANSLATE(A17409, ""de"", ""en"")"),"Constantine")</f>
        <v>Constantine</v>
      </c>
    </row>
    <row r="17410">
      <c r="A17410" s="1" t="s">
        <v>17409</v>
      </c>
      <c r="B17410" s="2" t="str">
        <f>IFERROR(__xludf.DUMMYFUNCTION("GOOGLETRANSLATE(A17410, ""de"", ""en"")"),"pager")</f>
        <v>pager</v>
      </c>
    </row>
    <row r="17411">
      <c r="A17411" s="1" t="s">
        <v>17410</v>
      </c>
      <c r="B17411" s="2" t="str">
        <f>IFERROR(__xludf.DUMMYFUNCTION("GOOGLETRANSLATE(A17411, ""de"", ""en"")"),"Petersburg")</f>
        <v>Petersburg</v>
      </c>
    </row>
    <row r="17412">
      <c r="A17412" s="1" t="s">
        <v>17411</v>
      </c>
      <c r="B17412" s="2" t="str">
        <f>IFERROR(__xludf.DUMMYFUNCTION("GOOGLETRANSLATE(A17412, ""de"", ""en"")"),"public")</f>
        <v>public</v>
      </c>
    </row>
    <row r="17413">
      <c r="A17413" s="1" t="s">
        <v>17412</v>
      </c>
      <c r="B17413" s="2" t="str">
        <f>IFERROR(__xludf.DUMMYFUNCTION("GOOGLETRANSLATE(A17413, ""de"", ""en"")"),"morales")</f>
        <v>morales</v>
      </c>
    </row>
    <row r="17414">
      <c r="A17414" s="1" t="s">
        <v>17413</v>
      </c>
      <c r="B17414" s="2" t="str">
        <f>IFERROR(__xludf.DUMMYFUNCTION("GOOGLETRANSLATE(A17414, ""de"", ""en"")"),"deposit")</f>
        <v>deposit</v>
      </c>
    </row>
    <row r="17415">
      <c r="A17415" s="1" t="s">
        <v>17414</v>
      </c>
      <c r="B17415" s="2" t="str">
        <f>IFERROR(__xludf.DUMMYFUNCTION("GOOGLETRANSLATE(A17415, ""de"", ""en"")"),"businessmen")</f>
        <v>businessmen</v>
      </c>
    </row>
    <row r="17416">
      <c r="A17416" s="1" t="s">
        <v>17415</v>
      </c>
      <c r="B17416" s="2" t="str">
        <f>IFERROR(__xludf.DUMMYFUNCTION("GOOGLETRANSLATE(A17416, ""de"", ""en"")"),"jocelyn")</f>
        <v>jocelyn</v>
      </c>
    </row>
    <row r="17417">
      <c r="A17417" s="1" t="s">
        <v>17416</v>
      </c>
      <c r="B17417" s="2" t="str">
        <f>IFERROR(__xludf.DUMMYFUNCTION("GOOGLETRANSLATE(A17417, ""de"", ""en"")"),"tarnish")</f>
        <v>tarnish</v>
      </c>
    </row>
    <row r="17418">
      <c r="A17418" s="1" t="s">
        <v>17417</v>
      </c>
      <c r="B17418" s="2" t="str">
        <f>IFERROR(__xludf.DUMMYFUNCTION("GOOGLETRANSLATE(A17418, ""de"", ""en"")"),"measures")</f>
        <v>measures</v>
      </c>
    </row>
    <row r="17419">
      <c r="A17419" s="1" t="s">
        <v>17418</v>
      </c>
      <c r="B17419" s="2" t="str">
        <f>IFERROR(__xludf.DUMMYFUNCTION("GOOGLETRANSLATE(A17419, ""de"", ""en"")"),"present")</f>
        <v>present</v>
      </c>
    </row>
    <row r="17420">
      <c r="A17420" s="1" t="s">
        <v>17419</v>
      </c>
      <c r="B17420" s="2" t="str">
        <f>IFERROR(__xludf.DUMMYFUNCTION("GOOGLETRANSLATE(A17420, ""de"", ""en"")"),"charisma")</f>
        <v>charisma</v>
      </c>
    </row>
    <row r="17421">
      <c r="A17421" s="1" t="s">
        <v>17420</v>
      </c>
      <c r="B17421" s="2" t="str">
        <f>IFERROR(__xludf.DUMMYFUNCTION("GOOGLETRANSLATE(A17421, ""de"", ""en"")"),"honored")</f>
        <v>honored</v>
      </c>
    </row>
    <row r="17422">
      <c r="A17422" s="1" t="s">
        <v>17421</v>
      </c>
      <c r="B17422" s="2" t="str">
        <f>IFERROR(__xludf.DUMMYFUNCTION("GOOGLETRANSLATE(A17422, ""de"", ""en"")"),"lew")</f>
        <v>lew</v>
      </c>
    </row>
    <row r="17423">
      <c r="A17423" s="1" t="s">
        <v>17422</v>
      </c>
      <c r="B17423" s="2" t="str">
        <f>IFERROR(__xludf.DUMMYFUNCTION("GOOGLETRANSLATE(A17423, ""de"", ""en"")"),"garrison")</f>
        <v>garrison</v>
      </c>
    </row>
    <row r="17424">
      <c r="A17424" s="1" t="s">
        <v>17423</v>
      </c>
      <c r="B17424" s="2" t="str">
        <f>IFERROR(__xludf.DUMMYFUNCTION("GOOGLETRANSLATE(A17424, ""de"", ""en"")"),"balanced")</f>
        <v>balanced</v>
      </c>
    </row>
    <row r="17425">
      <c r="A17425" s="1" t="s">
        <v>17424</v>
      </c>
      <c r="B17425" s="2" t="str">
        <f>IFERROR(__xludf.DUMMYFUNCTION("GOOGLETRANSLATE(A17425, ""de"", ""en"")"),"annabelle")</f>
        <v>annabelle</v>
      </c>
    </row>
    <row r="17426">
      <c r="A17426" s="1" t="s">
        <v>17425</v>
      </c>
      <c r="B17426" s="2" t="str">
        <f>IFERROR(__xludf.DUMMYFUNCTION("GOOGLETRANSLATE(A17426, ""de"", ""en"")"),"Malmo")</f>
        <v>Malmo</v>
      </c>
    </row>
    <row r="17427">
      <c r="A17427" s="1" t="s">
        <v>17426</v>
      </c>
      <c r="B17427" s="2" t="str">
        <f>IFERROR(__xludf.DUMMYFUNCTION("GOOGLETRANSLATE(A17427, ""de"", ""en"")"),"hendrix")</f>
        <v>hendrix</v>
      </c>
    </row>
    <row r="17428">
      <c r="A17428" s="1" t="s">
        <v>17427</v>
      </c>
      <c r="B17428" s="2" t="str">
        <f>IFERROR(__xludf.DUMMYFUNCTION("GOOGLETRANSLATE(A17428, ""de"", ""en"")"),"till")</f>
        <v>till</v>
      </c>
    </row>
    <row r="17429">
      <c r="A17429" s="1" t="s">
        <v>17428</v>
      </c>
      <c r="B17429" s="2" t="str">
        <f>IFERROR(__xludf.DUMMYFUNCTION("GOOGLETRANSLATE(A17429, ""de"", ""en"")"),"theft")</f>
        <v>theft</v>
      </c>
    </row>
    <row r="17430">
      <c r="A17430" s="1" t="s">
        <v>17429</v>
      </c>
      <c r="B17430" s="2" t="str">
        <f>IFERROR(__xludf.DUMMYFUNCTION("GOOGLETRANSLATE(A17430, ""de"", ""en"")"),"inconsolable")</f>
        <v>inconsolable</v>
      </c>
    </row>
    <row r="17431">
      <c r="A17431" s="1" t="s">
        <v>17430</v>
      </c>
      <c r="B17431" s="2" t="str">
        <f>IFERROR(__xludf.DUMMYFUNCTION("GOOGLETRANSLATE(A17431, ""de"", ""en"")"),"check")</f>
        <v>check</v>
      </c>
    </row>
    <row r="17432">
      <c r="A17432" s="1" t="s">
        <v>17431</v>
      </c>
      <c r="B17432" s="2" t="str">
        <f>IFERROR(__xludf.DUMMYFUNCTION("GOOGLETRANSLATE(A17432, ""de"", ""en"")"),"came from")</f>
        <v>came from</v>
      </c>
    </row>
    <row r="17433">
      <c r="A17433" s="1" t="s">
        <v>17432</v>
      </c>
      <c r="B17433" s="2" t="str">
        <f>IFERROR(__xludf.DUMMYFUNCTION("GOOGLETRANSLATE(A17433, ""de"", ""en"")"),"owens")</f>
        <v>owens</v>
      </c>
    </row>
    <row r="17434">
      <c r="A17434" s="1" t="s">
        <v>17433</v>
      </c>
      <c r="B17434" s="2" t="str">
        <f>IFERROR(__xludf.DUMMYFUNCTION("GOOGLETRANSLATE(A17434, ""de"", ""en"")"),"angelus")</f>
        <v>angelus</v>
      </c>
    </row>
    <row r="17435">
      <c r="A17435" s="1" t="s">
        <v>17434</v>
      </c>
      <c r="B17435" s="2" t="str">
        <f>IFERROR(__xludf.DUMMYFUNCTION("GOOGLETRANSLATE(A17435, ""de"", ""en"")"),"touch")</f>
        <v>touch</v>
      </c>
    </row>
    <row r="17436">
      <c r="A17436" s="1" t="s">
        <v>17435</v>
      </c>
      <c r="B17436" s="2" t="str">
        <f>IFERROR(__xludf.DUMMYFUNCTION("GOOGLETRANSLATE(A17436, ""de"", ""en"")"),"stray")</f>
        <v>stray</v>
      </c>
    </row>
    <row r="17437">
      <c r="A17437" s="1" t="s">
        <v>17436</v>
      </c>
      <c r="B17437" s="2" t="str">
        <f>IFERROR(__xludf.DUMMYFUNCTION("GOOGLETRANSLATE(A17437, ""de"", ""en"")"),"toro")</f>
        <v>toro</v>
      </c>
    </row>
    <row r="17438">
      <c r="A17438" s="1" t="s">
        <v>17437</v>
      </c>
      <c r="B17438" s="2" t="str">
        <f>IFERROR(__xludf.DUMMYFUNCTION("GOOGLETRANSLATE(A17438, ""de"", ""en"")"),"beautiful")</f>
        <v>beautiful</v>
      </c>
    </row>
    <row r="17439">
      <c r="A17439" s="1" t="s">
        <v>17438</v>
      </c>
      <c r="B17439" s="2" t="str">
        <f>IFERROR(__xludf.DUMMYFUNCTION("GOOGLETRANSLATE(A17439, ""de"", ""en"")"),"sample")</f>
        <v>sample</v>
      </c>
    </row>
    <row r="17440">
      <c r="A17440" s="1" t="s">
        <v>17439</v>
      </c>
      <c r="B17440" s="2" t="str">
        <f>IFERROR(__xludf.DUMMYFUNCTION("GOOGLETRANSLATE(A17440, ""de"", ""en"")"),"catch up")</f>
        <v>catch up</v>
      </c>
    </row>
    <row r="17441">
      <c r="A17441" s="1" t="s">
        <v>17440</v>
      </c>
      <c r="B17441" s="2" t="str">
        <f>IFERROR(__xludf.DUMMYFUNCTION("GOOGLETRANSLATE(A17441, ""de"", ""en"")"),"several")</f>
        <v>several</v>
      </c>
    </row>
    <row r="17442">
      <c r="A17442" s="1" t="s">
        <v>17441</v>
      </c>
      <c r="B17442" s="2" t="str">
        <f>IFERROR(__xludf.DUMMYFUNCTION("GOOGLETRANSLATE(A17442, ""de"", ""en"")"),"driven")</f>
        <v>driven</v>
      </c>
    </row>
    <row r="17443">
      <c r="A17443" s="1" t="s">
        <v>17442</v>
      </c>
      <c r="B17443" s="2" t="str">
        <f>IFERROR(__xludf.DUMMYFUNCTION("GOOGLETRANSLATE(A17443, ""de"", ""en"")"),"dina")</f>
        <v>dina</v>
      </c>
    </row>
    <row r="17444">
      <c r="A17444" s="1" t="s">
        <v>17443</v>
      </c>
      <c r="B17444" s="2" t="str">
        <f>IFERROR(__xludf.DUMMYFUNCTION("GOOGLETRANSLATE(A17444, ""de"", ""en"")"),"to arrest")</f>
        <v>to arrest</v>
      </c>
    </row>
    <row r="17445">
      <c r="A17445" s="1" t="s">
        <v>17444</v>
      </c>
      <c r="B17445" s="2" t="str">
        <f>IFERROR(__xludf.DUMMYFUNCTION("GOOGLETRANSLATE(A17445, ""de"", ""en"")"),"include")</f>
        <v>include</v>
      </c>
    </row>
    <row r="17446">
      <c r="A17446" s="1" t="s">
        <v>17445</v>
      </c>
      <c r="B17446" s="2" t="str">
        <f>IFERROR(__xludf.DUMMYFUNCTION("GOOGLETRANSLATE(A17446, ""de"", ""en"")"),"leaky")</f>
        <v>leaky</v>
      </c>
    </row>
    <row r="17447">
      <c r="A17447" s="1" t="s">
        <v>17446</v>
      </c>
      <c r="B17447" s="2" t="str">
        <f>IFERROR(__xludf.DUMMYFUNCTION("GOOGLETRANSLATE(A17447, ""de"", ""en"")"),"report")</f>
        <v>report</v>
      </c>
    </row>
    <row r="17448">
      <c r="A17448" s="1" t="s">
        <v>17447</v>
      </c>
      <c r="B17448" s="2" t="str">
        <f>IFERROR(__xludf.DUMMYFUNCTION("GOOGLETRANSLATE(A17448, ""de"", ""en"")"),"lacking")</f>
        <v>lacking</v>
      </c>
    </row>
    <row r="17449">
      <c r="A17449" s="1" t="s">
        <v>17448</v>
      </c>
      <c r="B17449" s="2" t="str">
        <f>IFERROR(__xludf.DUMMYFUNCTION("GOOGLETRANSLATE(A17449, ""de"", ""en"")"),"relax")</f>
        <v>relax</v>
      </c>
    </row>
    <row r="17450">
      <c r="A17450" s="1" t="s">
        <v>17449</v>
      </c>
      <c r="B17450" s="2" t="str">
        <f>IFERROR(__xludf.DUMMYFUNCTION("GOOGLETRANSLATE(A17450, ""de"", ""en"")"),"earthly")</f>
        <v>earthly</v>
      </c>
    </row>
    <row r="17451">
      <c r="A17451" s="1" t="s">
        <v>17450</v>
      </c>
      <c r="B17451" s="2" t="str">
        <f>IFERROR(__xludf.DUMMYFUNCTION("GOOGLETRANSLATE(A17451, ""de"", ""en"")"),"paths")</f>
        <v>paths</v>
      </c>
    </row>
    <row r="17452">
      <c r="A17452" s="1" t="s">
        <v>17451</v>
      </c>
      <c r="B17452" s="2" t="str">
        <f>IFERROR(__xludf.DUMMYFUNCTION("GOOGLETRANSLATE(A17452, ""de"", ""en"")"),"ordinary")</f>
        <v>ordinary</v>
      </c>
    </row>
    <row r="17453">
      <c r="A17453" s="1" t="s">
        <v>17452</v>
      </c>
      <c r="B17453" s="2" t="str">
        <f>IFERROR(__xludf.DUMMYFUNCTION("GOOGLETRANSLATE(A17453, ""de"", ""en"")"),"Simons")</f>
        <v>Simons</v>
      </c>
    </row>
    <row r="17454">
      <c r="A17454" s="1" t="s">
        <v>17453</v>
      </c>
      <c r="B17454" s="2" t="str">
        <f>IFERROR(__xludf.DUMMYFUNCTION("GOOGLETRANSLATE(A17454, ""de"", ""en"")"),"practical")</f>
        <v>practical</v>
      </c>
    </row>
    <row r="17455">
      <c r="A17455" s="1" t="s">
        <v>17454</v>
      </c>
      <c r="B17455" s="2" t="str">
        <f>IFERROR(__xludf.DUMMYFUNCTION("GOOGLETRANSLATE(A17455, ""de"", ""en"")"),"sutton")</f>
        <v>sutton</v>
      </c>
    </row>
    <row r="17456">
      <c r="A17456" s="1" t="s">
        <v>17455</v>
      </c>
      <c r="B17456" s="2" t="str">
        <f>IFERROR(__xludf.DUMMYFUNCTION("GOOGLETRANSLATE(A17456, ""de"", ""en"")"),"maintained")</f>
        <v>maintained</v>
      </c>
    </row>
    <row r="17457">
      <c r="A17457" s="1" t="s">
        <v>17456</v>
      </c>
      <c r="B17457" s="2" t="str">
        <f>IFERROR(__xludf.DUMMYFUNCTION("GOOGLETRANSLATE(A17457, ""de"", ""en"")"),"drowned")</f>
        <v>drowned</v>
      </c>
    </row>
    <row r="17458">
      <c r="A17458" s="1" t="s">
        <v>17457</v>
      </c>
      <c r="B17458" s="2" t="str">
        <f>IFERROR(__xludf.DUMMYFUNCTION("GOOGLETRANSLATE(A17458, ""de"", ""en"")"),"trumpets")</f>
        <v>trumpets</v>
      </c>
    </row>
    <row r="17459">
      <c r="A17459" s="1" t="s">
        <v>17458</v>
      </c>
      <c r="B17459" s="2" t="str">
        <f>IFERROR(__xludf.DUMMYFUNCTION("GOOGLETRANSLATE(A17459, ""de"", ""en"")"),"abandoned ones")</f>
        <v>abandoned ones</v>
      </c>
    </row>
    <row r="17460">
      <c r="A17460" s="1" t="s">
        <v>17459</v>
      </c>
      <c r="B17460" s="2" t="str">
        <f>IFERROR(__xludf.DUMMYFUNCTION("GOOGLETRANSLATE(A17460, ""de"", ""en"")"),"Suzie")</f>
        <v>Suzie</v>
      </c>
    </row>
    <row r="17461">
      <c r="A17461" s="1" t="s">
        <v>17460</v>
      </c>
      <c r="B17461" s="2" t="str">
        <f>IFERROR(__xludf.DUMMYFUNCTION("GOOGLETRANSLATE(A17461, ""de"", ""en"")"),"fleas")</f>
        <v>fleas</v>
      </c>
    </row>
    <row r="17462">
      <c r="A17462" s="1" t="s">
        <v>17461</v>
      </c>
      <c r="B17462" s="2" t="str">
        <f>IFERROR(__xludf.DUMMYFUNCTION("GOOGLETRANSLATE(A17462, ""de"", ""en"")"),"nicks")</f>
        <v>nicks</v>
      </c>
    </row>
    <row r="17463">
      <c r="A17463" s="1" t="s">
        <v>17462</v>
      </c>
      <c r="B17463" s="2" t="str">
        <f>IFERROR(__xludf.DUMMYFUNCTION("GOOGLETRANSLATE(A17463, ""de"", ""en"")"),"unsettled")</f>
        <v>unsettled</v>
      </c>
    </row>
    <row r="17464">
      <c r="A17464" s="1" t="s">
        <v>17463</v>
      </c>
      <c r="B17464" s="2" t="str">
        <f>IFERROR(__xludf.DUMMYFUNCTION("GOOGLETRANSLATE(A17464, ""de"", ""en"")"),"made")</f>
        <v>made</v>
      </c>
    </row>
    <row r="17465">
      <c r="A17465" s="1" t="s">
        <v>17464</v>
      </c>
      <c r="B17465" s="2" t="str">
        <f>IFERROR(__xludf.DUMMYFUNCTION("GOOGLETRANSLATE(A17465, ""de"", ""en"")"),"precious")</f>
        <v>precious</v>
      </c>
    </row>
    <row r="17466">
      <c r="A17466" s="1" t="s">
        <v>17465</v>
      </c>
      <c r="B17466" s="2" t="str">
        <f>IFERROR(__xludf.DUMMYFUNCTION("GOOGLETRANSLATE(A17466, ""de"", ""en"")"),"kneels")</f>
        <v>kneels</v>
      </c>
    </row>
    <row r="17467">
      <c r="A17467" s="1" t="s">
        <v>17466</v>
      </c>
      <c r="B17467" s="2" t="str">
        <f>IFERROR(__xludf.DUMMYFUNCTION("GOOGLETRANSLATE(A17467, ""de"", ""en"")"),"ber")</f>
        <v>ber</v>
      </c>
    </row>
    <row r="17468">
      <c r="A17468" s="1" t="s">
        <v>17467</v>
      </c>
      <c r="B17468" s="2" t="str">
        <f>IFERROR(__xludf.DUMMYFUNCTION("GOOGLETRANSLATE(A17468, ""de"", ""en"")"),"turnip")</f>
        <v>turnip</v>
      </c>
    </row>
    <row r="17469">
      <c r="A17469" s="1" t="s">
        <v>17468</v>
      </c>
      <c r="B17469" s="2" t="str">
        <f>IFERROR(__xludf.DUMMYFUNCTION("GOOGLETRANSLATE(A17469, ""de"", ""en"")"),"senators")</f>
        <v>senators</v>
      </c>
    </row>
    <row r="17470">
      <c r="A17470" s="1" t="s">
        <v>17469</v>
      </c>
      <c r="B17470" s="2" t="str">
        <f>IFERROR(__xludf.DUMMYFUNCTION("GOOGLETRANSLATE(A17470, ""de"", ""en"")"),"vickie")</f>
        <v>vickie</v>
      </c>
    </row>
    <row r="17471">
      <c r="A17471" s="1" t="s">
        <v>17470</v>
      </c>
      <c r="B17471" s="2" t="str">
        <f>IFERROR(__xludf.DUMMYFUNCTION("GOOGLETRANSLATE(A17471, ""de"", ""en"")"),"despise")</f>
        <v>despise</v>
      </c>
    </row>
    <row r="17472">
      <c r="A17472" s="1" t="s">
        <v>17471</v>
      </c>
      <c r="B17472" s="2" t="str">
        <f>IFERROR(__xludf.DUMMYFUNCTION("GOOGLETRANSLATE(A17472, ""de"", ""en"")"),"to deduct")</f>
        <v>to deduct</v>
      </c>
    </row>
    <row r="17473">
      <c r="A17473" s="1" t="s">
        <v>17472</v>
      </c>
      <c r="B17473" s="2" t="str">
        <f>IFERROR(__xludf.DUMMYFUNCTION("GOOGLETRANSLATE(A17473, ""de"", ""en"")"),"deputy sheriff")</f>
        <v>deputy sheriff</v>
      </c>
    </row>
    <row r="17474">
      <c r="A17474" s="1" t="s">
        <v>17473</v>
      </c>
      <c r="B17474" s="2" t="str">
        <f>IFERROR(__xludf.DUMMYFUNCTION("GOOGLETRANSLATE(A17474, ""de"", ""en"")"),"leeway")</f>
        <v>leeway</v>
      </c>
    </row>
    <row r="17475">
      <c r="A17475" s="1" t="s">
        <v>17474</v>
      </c>
      <c r="B17475" s="2" t="str">
        <f>IFERROR(__xludf.DUMMYFUNCTION("GOOGLETRANSLATE(A17475, ""de"", ""en"")"),"ordered here")</f>
        <v>ordered here</v>
      </c>
    </row>
    <row r="17476">
      <c r="A17476" s="1" t="s">
        <v>17475</v>
      </c>
      <c r="B17476" s="2" t="str">
        <f>IFERROR(__xludf.DUMMYFUNCTION("GOOGLETRANSLATE(A17476, ""de"", ""en"")"),"signed")</f>
        <v>signed</v>
      </c>
    </row>
    <row r="17477">
      <c r="A17477" s="1" t="s">
        <v>17476</v>
      </c>
      <c r="B17477" s="2" t="str">
        <f>IFERROR(__xludf.DUMMYFUNCTION("GOOGLETRANSLATE(A17477, ""de"", ""en"")"),"peck")</f>
        <v>peck</v>
      </c>
    </row>
    <row r="17478">
      <c r="A17478" s="1" t="s">
        <v>17477</v>
      </c>
      <c r="B17478" s="2" t="str">
        <f>IFERROR(__xludf.DUMMYFUNCTION("GOOGLETRANSLATE(A17478, ""de"", ""en"")"),"teri")</f>
        <v>teri</v>
      </c>
    </row>
    <row r="17479">
      <c r="A17479" s="1" t="s">
        <v>17478</v>
      </c>
      <c r="B17479" s="2" t="str">
        <f>IFERROR(__xludf.DUMMYFUNCTION("GOOGLETRANSLATE(A17479, ""de"", ""en"")"),"jimbo")</f>
        <v>jimbo</v>
      </c>
    </row>
    <row r="17480">
      <c r="A17480" s="1" t="s">
        <v>17479</v>
      </c>
      <c r="B17480" s="2" t="str">
        <f>IFERROR(__xludf.DUMMYFUNCTION("GOOGLETRANSLATE(A17480, ""de"", ""en"")"),"goes long")</f>
        <v>goes long</v>
      </c>
    </row>
    <row r="17481">
      <c r="A17481" s="1" t="s">
        <v>17480</v>
      </c>
      <c r="B17481" s="2" t="str">
        <f>IFERROR(__xludf.DUMMYFUNCTION("GOOGLETRANSLATE(A17481, ""de"", ""en"")"),"memoirs")</f>
        <v>memoirs</v>
      </c>
    </row>
    <row r="17482">
      <c r="A17482" s="1" t="s">
        <v>17481</v>
      </c>
      <c r="B17482" s="2" t="str">
        <f>IFERROR(__xludf.DUMMYFUNCTION("GOOGLETRANSLATE(A17482, ""de"", ""en"")"),"curse")</f>
        <v>curse</v>
      </c>
    </row>
    <row r="17483">
      <c r="A17483" s="1" t="s">
        <v>17482</v>
      </c>
      <c r="B17483" s="2" t="str">
        <f>IFERROR(__xludf.DUMMYFUNCTION("GOOGLETRANSLATE(A17483, ""de"", ""en"")"),"sporty")</f>
        <v>sporty</v>
      </c>
    </row>
    <row r="17484">
      <c r="A17484" s="1" t="s">
        <v>17483</v>
      </c>
      <c r="B17484" s="2" t="str">
        <f>IFERROR(__xludf.DUMMYFUNCTION("GOOGLETRANSLATE(A17484, ""de"", ""en"")"),"sue")</f>
        <v>sue</v>
      </c>
    </row>
    <row r="17485">
      <c r="A17485" s="1" t="s">
        <v>17484</v>
      </c>
      <c r="B17485" s="2" t="str">
        <f>IFERROR(__xludf.DUMMYFUNCTION("GOOGLETRANSLATE(A17485, ""de"", ""en"")"),"august")</f>
        <v>august</v>
      </c>
    </row>
    <row r="17486">
      <c r="A17486" s="1" t="s">
        <v>17485</v>
      </c>
      <c r="B17486" s="2" t="str">
        <f>IFERROR(__xludf.DUMMYFUNCTION("GOOGLETRANSLATE(A17486, ""de"", ""en"")"),"found again")</f>
        <v>found again</v>
      </c>
    </row>
    <row r="17487">
      <c r="A17487" s="1" t="s">
        <v>17486</v>
      </c>
      <c r="B17487" s="2" t="str">
        <f>IFERROR(__xludf.DUMMYFUNCTION("GOOGLETRANSLATE(A17487, ""de"", ""en"")"),"sat")</f>
        <v>sat</v>
      </c>
    </row>
    <row r="17488">
      <c r="A17488" s="1" t="s">
        <v>17487</v>
      </c>
      <c r="B17488" s="2" t="str">
        <f>IFERROR(__xludf.DUMMYFUNCTION("GOOGLETRANSLATE(A17488, ""de"", ""en"")"),"cuina")</f>
        <v>cuina</v>
      </c>
    </row>
    <row r="17489">
      <c r="A17489" s="1" t="s">
        <v>17488</v>
      </c>
      <c r="B17489" s="2" t="str">
        <f>IFERROR(__xludf.DUMMYFUNCTION("GOOGLETRANSLATE(A17489, ""de"", ""en"")"),"lem")</f>
        <v>lem</v>
      </c>
    </row>
    <row r="17490">
      <c r="A17490" s="1" t="s">
        <v>17489</v>
      </c>
      <c r="B17490" s="2" t="str">
        <f>IFERROR(__xludf.DUMMYFUNCTION("GOOGLETRANSLATE(A17490, ""de"", ""en"")"),"manufacturer")</f>
        <v>manufacturer</v>
      </c>
    </row>
    <row r="17491">
      <c r="A17491" s="1" t="s">
        <v>17490</v>
      </c>
      <c r="B17491" s="2" t="str">
        <f>IFERROR(__xludf.DUMMYFUNCTION("GOOGLETRANSLATE(A17491, ""de"", ""en"")"),"million")</f>
        <v>million</v>
      </c>
    </row>
    <row r="17492">
      <c r="A17492" s="1" t="s">
        <v>17491</v>
      </c>
      <c r="B17492" s="2" t="str">
        <f>IFERROR(__xludf.DUMMYFUNCTION("GOOGLETRANSLATE(A17492, ""de"", ""en"")"),"howl")</f>
        <v>howl</v>
      </c>
    </row>
    <row r="17493">
      <c r="A17493" s="1" t="s">
        <v>17492</v>
      </c>
      <c r="B17493" s="2" t="str">
        <f>IFERROR(__xludf.DUMMYFUNCTION("GOOGLETRANSLATE(A17493, ""de"", ""en"")"),"seal")</f>
        <v>seal</v>
      </c>
    </row>
    <row r="17494">
      <c r="A17494" s="1" t="s">
        <v>17493</v>
      </c>
      <c r="B17494" s="2" t="str">
        <f>IFERROR(__xludf.DUMMYFUNCTION("GOOGLETRANSLATE(A17494, ""de"", ""en"")"),"great")</f>
        <v>great</v>
      </c>
    </row>
    <row r="17495">
      <c r="A17495" s="1" t="s">
        <v>17494</v>
      </c>
      <c r="B17495" s="2" t="str">
        <f>IFERROR(__xludf.DUMMYFUNCTION("GOOGLETRANSLATE(A17495, ""de"", ""en"")"),"ancestry")</f>
        <v>ancestry</v>
      </c>
    </row>
    <row r="17496">
      <c r="A17496" s="1" t="s">
        <v>17495</v>
      </c>
      <c r="B17496" s="2" t="str">
        <f>IFERROR(__xludf.DUMMYFUNCTION("GOOGLETRANSLATE(A17496, ""de"", ""en"")"),"right")</f>
        <v>right</v>
      </c>
    </row>
    <row r="17497">
      <c r="A17497" s="1" t="s">
        <v>17496</v>
      </c>
      <c r="B17497" s="2" t="str">
        <f>IFERROR(__xludf.DUMMYFUNCTION("GOOGLETRANSLATE(A17497, ""de"", ""en"")"),"attacks")</f>
        <v>attacks</v>
      </c>
    </row>
    <row r="17498">
      <c r="A17498" s="1" t="s">
        <v>17497</v>
      </c>
      <c r="B17498" s="2" t="str">
        <f>IFERROR(__xludf.DUMMYFUNCTION("GOOGLETRANSLATE(A17498, ""de"", ""en"")"),"silver")</f>
        <v>silver</v>
      </c>
    </row>
    <row r="17499">
      <c r="A17499" s="1" t="s">
        <v>17498</v>
      </c>
      <c r="B17499" s="2" t="str">
        <f>IFERROR(__xludf.DUMMYFUNCTION("GOOGLETRANSLATE(A17499, ""de"", ""en"")"),"dissipate")</f>
        <v>dissipate</v>
      </c>
    </row>
    <row r="17500">
      <c r="A17500" s="1" t="s">
        <v>17499</v>
      </c>
      <c r="B17500" s="2" t="str">
        <f>IFERROR(__xludf.DUMMYFUNCTION("GOOGLETRANSLATE(A17500, ""de"", ""en"")"),"Korean")</f>
        <v>Korean</v>
      </c>
    </row>
    <row r="17501">
      <c r="A17501" s="1" t="s">
        <v>17500</v>
      </c>
      <c r="B17501" s="2" t="str">
        <f>IFERROR(__xludf.DUMMYFUNCTION("GOOGLETRANSLATE(A17501, ""de"", ""en"")"),"application")</f>
        <v>application</v>
      </c>
    </row>
    <row r="17502">
      <c r="A17502" s="1" t="s">
        <v>17501</v>
      </c>
      <c r="B17502" s="2" t="str">
        <f>IFERROR(__xludf.DUMMYFUNCTION("GOOGLETRANSLATE(A17502, ""de"", ""en"")"),"spare")</f>
        <v>spare</v>
      </c>
    </row>
    <row r="17503">
      <c r="A17503" s="1" t="s">
        <v>17502</v>
      </c>
      <c r="B17503" s="2" t="str">
        <f>IFERROR(__xludf.DUMMYFUNCTION("GOOGLETRANSLATE(A17503, ""de"", ""en"")"),"tree")</f>
        <v>tree</v>
      </c>
    </row>
    <row r="17504">
      <c r="A17504" s="1" t="s">
        <v>17503</v>
      </c>
      <c r="B17504" s="2" t="str">
        <f>IFERROR(__xludf.DUMMYFUNCTION("GOOGLETRANSLATE(A17504, ""de"", ""en"")"),"speculation")</f>
        <v>speculation</v>
      </c>
    </row>
    <row r="17505">
      <c r="A17505" s="1" t="s">
        <v>17504</v>
      </c>
      <c r="B17505" s="2" t="str">
        <f>IFERROR(__xludf.DUMMYFUNCTION("GOOGLETRANSLATE(A17505, ""de"", ""en"")"),"withheld")</f>
        <v>withheld</v>
      </c>
    </row>
    <row r="17506">
      <c r="A17506" s="1" t="s">
        <v>17505</v>
      </c>
      <c r="B17506" s="2" t="str">
        <f>IFERROR(__xludf.DUMMYFUNCTION("GOOGLETRANSLATE(A17506, ""de"", ""en"")"),"drive past")</f>
        <v>drive past</v>
      </c>
    </row>
    <row r="17507">
      <c r="A17507" s="1" t="s">
        <v>17506</v>
      </c>
      <c r="B17507" s="2" t="str">
        <f>IFERROR(__xludf.DUMMYFUNCTION("GOOGLETRANSLATE(A17507, ""de"", ""en"")"),"cara")</f>
        <v>cara</v>
      </c>
    </row>
    <row r="17508">
      <c r="A17508" s="1" t="s">
        <v>17507</v>
      </c>
      <c r="B17508" s="2" t="str">
        <f>IFERROR(__xludf.DUMMYFUNCTION("GOOGLETRANSLATE(A17508, ""de"", ""en"")"),"imaginable")</f>
        <v>imaginable</v>
      </c>
    </row>
    <row r="17509">
      <c r="A17509" s="1" t="s">
        <v>17508</v>
      </c>
      <c r="B17509" s="2" t="str">
        <f>IFERROR(__xludf.DUMMYFUNCTION("GOOGLETRANSLATE(A17509, ""de"", ""en"")"),"presents")</f>
        <v>presents</v>
      </c>
    </row>
    <row r="17510">
      <c r="A17510" s="1" t="s">
        <v>17509</v>
      </c>
      <c r="B17510" s="2" t="str">
        <f>IFERROR(__xludf.DUMMYFUNCTION("GOOGLETRANSLATE(A17510, ""de"", ""en"")"),"grumpy")</f>
        <v>grumpy</v>
      </c>
    </row>
    <row r="17511">
      <c r="A17511" s="1" t="s">
        <v>17510</v>
      </c>
      <c r="B17511" s="2" t="str">
        <f>IFERROR(__xludf.DUMMYFUNCTION("GOOGLETRANSLATE(A17511, ""de"", ""en"")"),"USB stick")</f>
        <v>USB stick</v>
      </c>
    </row>
    <row r="17512">
      <c r="A17512" s="1" t="s">
        <v>17511</v>
      </c>
      <c r="B17512" s="2" t="str">
        <f>IFERROR(__xludf.DUMMYFUNCTION("GOOGLETRANSLATE(A17512, ""de"", ""en"")"),"subside")</f>
        <v>subside</v>
      </c>
    </row>
    <row r="17513">
      <c r="A17513" s="1" t="s">
        <v>17512</v>
      </c>
      <c r="B17513" s="2" t="str">
        <f>IFERROR(__xludf.DUMMYFUNCTION("GOOGLETRANSLATE(A17513, ""de"", ""en"")"),"topper")</f>
        <v>topper</v>
      </c>
    </row>
    <row r="17514">
      <c r="A17514" s="1" t="s">
        <v>17513</v>
      </c>
      <c r="B17514" s="2" t="str">
        <f>IFERROR(__xludf.DUMMYFUNCTION("GOOGLETRANSLATE(A17514, ""de"", ""en"")"),"crossword puzzle")</f>
        <v>crossword puzzle</v>
      </c>
    </row>
    <row r="17515">
      <c r="A17515" s="1" t="s">
        <v>17514</v>
      </c>
      <c r="B17515" s="2" t="str">
        <f>IFERROR(__xludf.DUMMYFUNCTION("GOOGLETRANSLATE(A17515, ""de"", ""en"")"),"fries")</f>
        <v>fries</v>
      </c>
    </row>
    <row r="17516">
      <c r="A17516" s="1" t="s">
        <v>17515</v>
      </c>
      <c r="B17516" s="2" t="str">
        <f>IFERROR(__xludf.DUMMYFUNCTION("GOOGLETRANSLATE(A17516, ""de"", ""en"")"),"cold")</f>
        <v>cold</v>
      </c>
    </row>
    <row r="17517">
      <c r="A17517" s="1" t="s">
        <v>17516</v>
      </c>
      <c r="B17517" s="2" t="str">
        <f>IFERROR(__xludf.DUMMYFUNCTION("GOOGLETRANSLATE(A17517, ""de"", ""en"")"),"barrier")</f>
        <v>barrier</v>
      </c>
    </row>
    <row r="17518">
      <c r="A17518" s="1" t="s">
        <v>17517</v>
      </c>
      <c r="B17518" s="2" t="str">
        <f>IFERROR(__xludf.DUMMYFUNCTION("GOOGLETRANSLATE(A17518, ""de"", ""en"")"),"masters")</f>
        <v>masters</v>
      </c>
    </row>
    <row r="17519">
      <c r="A17519" s="1" t="s">
        <v>17518</v>
      </c>
      <c r="B17519" s="2" t="str">
        <f>IFERROR(__xludf.DUMMYFUNCTION("GOOGLETRANSLATE(A17519, ""de"", ""en"")"),"adrien")</f>
        <v>adrien</v>
      </c>
    </row>
    <row r="17520">
      <c r="A17520" s="1" t="s">
        <v>17519</v>
      </c>
      <c r="B17520" s="2" t="str">
        <f>IFERROR(__xludf.DUMMYFUNCTION("GOOGLETRANSLATE(A17520, ""de"", ""en"")"),"cheat")</f>
        <v>cheat</v>
      </c>
    </row>
    <row r="17521">
      <c r="A17521" s="1" t="s">
        <v>17520</v>
      </c>
      <c r="B17521" s="2" t="str">
        <f>IFERROR(__xludf.DUMMYFUNCTION("GOOGLETRANSLATE(A17521, ""de"", ""en"")"),"manner of speaking")</f>
        <v>manner of speaking</v>
      </c>
    </row>
    <row r="17522">
      <c r="A17522" s="1" t="s">
        <v>17521</v>
      </c>
      <c r="B17522" s="2" t="str">
        <f>IFERROR(__xludf.DUMMYFUNCTION("GOOGLETRANSLATE(A17522, ""de"", ""en"")"),"stops")</f>
        <v>stops</v>
      </c>
    </row>
    <row r="17523">
      <c r="A17523" s="1" t="s">
        <v>17522</v>
      </c>
      <c r="B17523" s="2" t="str">
        <f>IFERROR(__xludf.DUMMYFUNCTION("GOOGLETRANSLATE(A17523, ""de"", ""en"")"),"swelling")</f>
        <v>swelling</v>
      </c>
    </row>
    <row r="17524">
      <c r="A17524" s="1" t="s">
        <v>17523</v>
      </c>
      <c r="B17524" s="2" t="str">
        <f>IFERROR(__xludf.DUMMYFUNCTION("GOOGLETRANSLATE(A17524, ""de"", ""en"")"),"isak")</f>
        <v>isak</v>
      </c>
    </row>
    <row r="17525">
      <c r="A17525" s="1" t="s">
        <v>17524</v>
      </c>
      <c r="B17525" s="2" t="str">
        <f>IFERROR(__xludf.DUMMYFUNCTION("GOOGLETRANSLATE(A17525, ""de"", ""en"")"),"renewed")</f>
        <v>renewed</v>
      </c>
    </row>
    <row r="17526">
      <c r="A17526" s="1" t="s">
        <v>17525</v>
      </c>
      <c r="B17526" s="2" t="str">
        <f>IFERROR(__xludf.DUMMYFUNCTION("GOOGLETRANSLATE(A17526, ""de"", ""en"")"),"ointment")</f>
        <v>ointment</v>
      </c>
    </row>
    <row r="17527">
      <c r="A17527" s="1" t="s">
        <v>17526</v>
      </c>
      <c r="B17527" s="2" t="str">
        <f>IFERROR(__xludf.DUMMYFUNCTION("GOOGLETRANSLATE(A17527, ""de"", ""en"")"),"rates")</f>
        <v>rates</v>
      </c>
    </row>
    <row r="17528">
      <c r="A17528" s="1" t="s">
        <v>17527</v>
      </c>
      <c r="B17528" s="2" t="str">
        <f>IFERROR(__xludf.DUMMYFUNCTION("GOOGLETRANSLATE(A17528, ""de"", ""en"")"),"zero")</f>
        <v>zero</v>
      </c>
    </row>
    <row r="17529">
      <c r="A17529" s="1" t="s">
        <v>17528</v>
      </c>
      <c r="B17529" s="2" t="str">
        <f>IFERROR(__xludf.DUMMYFUNCTION("GOOGLETRANSLATE(A17529, ""de"", ""en"")"),"owed")</f>
        <v>owed</v>
      </c>
    </row>
    <row r="17530">
      <c r="A17530" s="1" t="s">
        <v>17529</v>
      </c>
      <c r="B17530" s="2" t="str">
        <f>IFERROR(__xludf.DUMMYFUNCTION("GOOGLETRANSLATE(A17530, ""de"", ""en"")"),"shaded")</f>
        <v>shaded</v>
      </c>
    </row>
    <row r="17531">
      <c r="A17531" s="1" t="s">
        <v>17530</v>
      </c>
      <c r="B17531" s="2" t="str">
        <f>IFERROR(__xludf.DUMMYFUNCTION("GOOGLETRANSLATE(A17531, ""de"", ""en"")"),"horse racing")</f>
        <v>horse racing</v>
      </c>
    </row>
    <row r="17532">
      <c r="A17532" s="1" t="s">
        <v>17531</v>
      </c>
      <c r="B17532" s="2" t="str">
        <f>IFERROR(__xludf.DUMMYFUNCTION("GOOGLETRANSLATE(A17532, ""de"", ""en"")"),"exaggerate")</f>
        <v>exaggerate</v>
      </c>
    </row>
    <row r="17533">
      <c r="A17533" s="1" t="s">
        <v>17532</v>
      </c>
      <c r="B17533" s="2" t="str">
        <f>IFERROR(__xludf.DUMMYFUNCTION("GOOGLETRANSLATE(A17533, ""de"", ""en"")"),"Indian")</f>
        <v>Indian</v>
      </c>
    </row>
    <row r="17534">
      <c r="A17534" s="1" t="s">
        <v>17533</v>
      </c>
      <c r="B17534" s="2" t="str">
        <f>IFERROR(__xludf.DUMMYFUNCTION("GOOGLETRANSLATE(A17534, ""de"", ""en"")"),"would come")</f>
        <v>would come</v>
      </c>
    </row>
    <row r="17535">
      <c r="A17535" s="1" t="s">
        <v>17534</v>
      </c>
      <c r="B17535" s="2" t="str">
        <f>IFERROR(__xludf.DUMMYFUNCTION("GOOGLETRANSLATE(A17535, ""de"", ""en"")"),"to get out")</f>
        <v>to get out</v>
      </c>
    </row>
    <row r="17536">
      <c r="A17536" s="1" t="s">
        <v>17535</v>
      </c>
      <c r="B17536" s="2" t="str">
        <f>IFERROR(__xludf.DUMMYFUNCTION("GOOGLETRANSLATE(A17536, ""de"", ""en"")"),"fine")</f>
        <v>fine</v>
      </c>
    </row>
    <row r="17537">
      <c r="A17537" s="1" t="s">
        <v>17536</v>
      </c>
      <c r="B17537" s="2" t="str">
        <f>IFERROR(__xludf.DUMMYFUNCTION("GOOGLETRANSLATE(A17537, ""de"", ""en"")"),"looked around")</f>
        <v>looked around</v>
      </c>
    </row>
    <row r="17538">
      <c r="A17538" s="1" t="s">
        <v>17537</v>
      </c>
      <c r="B17538" s="2" t="str">
        <f>IFERROR(__xludf.DUMMYFUNCTION("GOOGLETRANSLATE(A17538, ""de"", ""en"")"),"runs away")</f>
        <v>runs away</v>
      </c>
    </row>
    <row r="17539">
      <c r="A17539" s="1" t="s">
        <v>17538</v>
      </c>
      <c r="B17539" s="2" t="str">
        <f>IFERROR(__xludf.DUMMYFUNCTION("GOOGLETRANSLATE(A17539, ""de"", ""en"")"),"dog")</f>
        <v>dog</v>
      </c>
    </row>
    <row r="17540">
      <c r="A17540" s="1" t="s">
        <v>17539</v>
      </c>
      <c r="B17540" s="2" t="str">
        <f>IFERROR(__xludf.DUMMYFUNCTION("GOOGLETRANSLATE(A17540, ""de"", ""en"")"),"shay zee")</f>
        <v>shay zee</v>
      </c>
    </row>
    <row r="17541">
      <c r="A17541" s="1" t="s">
        <v>17540</v>
      </c>
      <c r="B17541" s="2" t="str">
        <f>IFERROR(__xludf.DUMMYFUNCTION("GOOGLETRANSLATE(A17541, ""de"", ""en"")"),"intermediary")</f>
        <v>intermediary</v>
      </c>
    </row>
    <row r="17542">
      <c r="A17542" s="1" t="s">
        <v>17541</v>
      </c>
      <c r="B17542" s="2" t="str">
        <f>IFERROR(__xludf.DUMMYFUNCTION("GOOGLETRANSLATE(A17542, ""de"", ""en"")"),"skillful")</f>
        <v>skillful</v>
      </c>
    </row>
    <row r="17543">
      <c r="A17543" s="1" t="s">
        <v>17542</v>
      </c>
      <c r="B17543" s="2" t="str">
        <f>IFERROR(__xludf.DUMMYFUNCTION("GOOGLETRANSLATE(A17543, ""de"", ""en"")"),"offline")</f>
        <v>offline</v>
      </c>
    </row>
    <row r="17544">
      <c r="A17544" s="1" t="s">
        <v>17543</v>
      </c>
      <c r="B17544" s="2" t="str">
        <f>IFERROR(__xludf.DUMMYFUNCTION("GOOGLETRANSLATE(A17544, ""de"", ""en"")"),"messed up")</f>
        <v>messed up</v>
      </c>
    </row>
    <row r="17545">
      <c r="A17545" s="1" t="s">
        <v>17544</v>
      </c>
      <c r="B17545" s="2" t="str">
        <f>IFERROR(__xludf.DUMMYFUNCTION("GOOGLETRANSLATE(A17545, ""de"", ""en"")"),"opinion")</f>
        <v>opinion</v>
      </c>
    </row>
    <row r="17546">
      <c r="A17546" s="1" t="s">
        <v>17545</v>
      </c>
      <c r="B17546" s="2" t="str">
        <f>IFERROR(__xludf.DUMMYFUNCTION("GOOGLETRANSLATE(A17546, ""de"", ""en"")"),"trouser pocket")</f>
        <v>trouser pocket</v>
      </c>
    </row>
    <row r="17547">
      <c r="A17547" s="1" t="s">
        <v>17546</v>
      </c>
      <c r="B17547" s="2" t="str">
        <f>IFERROR(__xludf.DUMMYFUNCTION("GOOGLETRANSLATE(A17547, ""de"", ""en"")"),"Lazarus")</f>
        <v>Lazarus</v>
      </c>
    </row>
    <row r="17548">
      <c r="A17548" s="1" t="s">
        <v>17547</v>
      </c>
      <c r="B17548" s="2" t="str">
        <f>IFERROR(__xludf.DUMMYFUNCTION("GOOGLETRANSLATE(A17548, ""de"", ""en"")"),"brigade")</f>
        <v>brigade</v>
      </c>
    </row>
    <row r="17549">
      <c r="A17549" s="1" t="s">
        <v>17548</v>
      </c>
      <c r="B17549" s="2" t="str">
        <f>IFERROR(__xludf.DUMMYFUNCTION("GOOGLETRANSLATE(A17549, ""de"", ""en"")"),"watch")</f>
        <v>watch</v>
      </c>
    </row>
    <row r="17550">
      <c r="A17550" s="1" t="s">
        <v>17549</v>
      </c>
      <c r="B17550" s="2" t="str">
        <f>IFERROR(__xludf.DUMMYFUNCTION("GOOGLETRANSLATE(A17550, ""de"", ""en"")"),"execution")</f>
        <v>execution</v>
      </c>
    </row>
    <row r="17551">
      <c r="A17551" s="1" t="s">
        <v>17550</v>
      </c>
      <c r="B17551" s="2" t="str">
        <f>IFERROR(__xludf.DUMMYFUNCTION("GOOGLETRANSLATE(A17551, ""de"", ""en"")"),"mob")</f>
        <v>mob</v>
      </c>
    </row>
    <row r="17552">
      <c r="A17552" s="1" t="s">
        <v>17551</v>
      </c>
      <c r="B17552" s="2" t="str">
        <f>IFERROR(__xludf.DUMMYFUNCTION("GOOGLETRANSLATE(A17552, ""de"", ""en"")"),"mystical")</f>
        <v>mystical</v>
      </c>
    </row>
    <row r="17553">
      <c r="A17553" s="1" t="s">
        <v>17552</v>
      </c>
      <c r="B17553" s="2" t="str">
        <f>IFERROR(__xludf.DUMMYFUNCTION("GOOGLETRANSLATE(A17553, ""de"", ""en"")"),"more illegal")</f>
        <v>more illegal</v>
      </c>
    </row>
    <row r="17554">
      <c r="A17554" s="1" t="s">
        <v>17553</v>
      </c>
      <c r="B17554" s="2" t="str">
        <f>IFERROR(__xludf.DUMMYFUNCTION("GOOGLETRANSLATE(A17554, ""de"", ""en"")"),"beliefs")</f>
        <v>beliefs</v>
      </c>
    </row>
    <row r="17555">
      <c r="A17555" s="1" t="s">
        <v>17554</v>
      </c>
      <c r="B17555" s="2" t="str">
        <f>IFERROR(__xludf.DUMMYFUNCTION("GOOGLETRANSLATE(A17555, ""de"", ""en"")"),"maggots")</f>
        <v>maggots</v>
      </c>
    </row>
    <row r="17556">
      <c r="A17556" s="1" t="s">
        <v>17555</v>
      </c>
      <c r="B17556" s="2" t="str">
        <f>IFERROR(__xludf.DUMMYFUNCTION("GOOGLETRANSLATE(A17556, ""de"", ""en"")"),"light")</f>
        <v>light</v>
      </c>
    </row>
    <row r="17557">
      <c r="A17557" s="1" t="s">
        <v>17556</v>
      </c>
      <c r="B17557" s="2" t="str">
        <f>IFERROR(__xludf.DUMMYFUNCTION("GOOGLETRANSLATE(A17557, ""de"", ""en"")"),"confiscate")</f>
        <v>confiscate</v>
      </c>
    </row>
    <row r="17558">
      <c r="A17558" s="1" t="s">
        <v>17557</v>
      </c>
      <c r="B17558" s="2" t="str">
        <f>IFERROR(__xludf.DUMMYFUNCTION("GOOGLETRANSLATE(A17558, ""de"", ""en"")"),"approved")</f>
        <v>approved</v>
      </c>
    </row>
    <row r="17559">
      <c r="A17559" s="1" t="s">
        <v>17558</v>
      </c>
      <c r="B17559" s="2" t="str">
        <f>IFERROR(__xludf.DUMMYFUNCTION("GOOGLETRANSLATE(A17559, ""de"", ""en"")"),"uh-huh")</f>
        <v>uh-huh</v>
      </c>
    </row>
    <row r="17560">
      <c r="A17560" s="1" t="s">
        <v>17559</v>
      </c>
      <c r="B17560" s="2" t="str">
        <f>IFERROR(__xludf.DUMMYFUNCTION("GOOGLETRANSLATE(A17560, ""de"", ""en"")"),"Ashton")</f>
        <v>Ashton</v>
      </c>
    </row>
    <row r="17561">
      <c r="A17561" s="1" t="s">
        <v>17560</v>
      </c>
      <c r="B17561" s="2" t="str">
        <f>IFERROR(__xludf.DUMMYFUNCTION("GOOGLETRANSLATE(A17561, ""de"", ""en"")"),"macho")</f>
        <v>macho</v>
      </c>
    </row>
    <row r="17562">
      <c r="A17562" s="1" t="s">
        <v>17561</v>
      </c>
      <c r="B17562" s="2" t="str">
        <f>IFERROR(__xludf.DUMMYFUNCTION("GOOGLETRANSLATE(A17562, ""de"", ""en"")"),"limbs")</f>
        <v>limbs</v>
      </c>
    </row>
    <row r="17563">
      <c r="A17563" s="1" t="s">
        <v>17562</v>
      </c>
      <c r="B17563" s="2" t="str">
        <f>IFERROR(__xludf.DUMMYFUNCTION("GOOGLETRANSLATE(A17563, ""de"", ""en"")"),"mystery")</f>
        <v>mystery</v>
      </c>
    </row>
    <row r="17564">
      <c r="A17564" s="1" t="s">
        <v>17563</v>
      </c>
      <c r="B17564" s="2" t="str">
        <f>IFERROR(__xludf.DUMMYFUNCTION("GOOGLETRANSLATE(A17564, ""de"", ""en"")"),"blood test")</f>
        <v>blood test</v>
      </c>
    </row>
    <row r="17565">
      <c r="A17565" s="1" t="s">
        <v>17564</v>
      </c>
      <c r="B17565" s="2" t="str">
        <f>IFERROR(__xludf.DUMMYFUNCTION("GOOGLETRANSLATE(A17565, ""de"", ""en"")"),"drive home")</f>
        <v>drive home</v>
      </c>
    </row>
    <row r="17566">
      <c r="A17566" s="1" t="s">
        <v>17565</v>
      </c>
      <c r="B17566" s="2" t="str">
        <f>IFERROR(__xludf.DUMMYFUNCTION("GOOGLETRANSLATE(A17566, ""de"", ""en"")"),"infect")</f>
        <v>infect</v>
      </c>
    </row>
    <row r="17567">
      <c r="A17567" s="1" t="s">
        <v>17566</v>
      </c>
      <c r="B17567" s="2" t="str">
        <f>IFERROR(__xludf.DUMMYFUNCTION("GOOGLETRANSLATE(A17567, ""de"", ""en"")"),"teachers")</f>
        <v>teachers</v>
      </c>
    </row>
    <row r="17568">
      <c r="A17568" s="1" t="s">
        <v>17567</v>
      </c>
      <c r="B17568" s="2" t="str">
        <f>IFERROR(__xludf.DUMMYFUNCTION("GOOGLETRANSLATE(A17568, ""de"", ""en"")"),"baseball bat")</f>
        <v>baseball bat</v>
      </c>
    </row>
    <row r="17569">
      <c r="A17569" s="1" t="s">
        <v>17568</v>
      </c>
      <c r="B17569" s="2" t="str">
        <f>IFERROR(__xludf.DUMMYFUNCTION("GOOGLETRANSLATE(A17569, ""de"", ""en"")"),"give up")</f>
        <v>give up</v>
      </c>
    </row>
    <row r="17570">
      <c r="A17570" s="1" t="s">
        <v>17569</v>
      </c>
      <c r="B17570" s="2" t="str">
        <f>IFERROR(__xludf.DUMMYFUNCTION("GOOGLETRANSLATE(A17570, ""de"", ""en"")"),"fill")</f>
        <v>fill</v>
      </c>
    </row>
    <row r="17571">
      <c r="A17571" s="1" t="s">
        <v>17570</v>
      </c>
      <c r="B17571" s="2" t="str">
        <f>IFERROR(__xludf.DUMMYFUNCTION("GOOGLETRANSLATE(A17571, ""de"", ""en"")"),"Bentley")</f>
        <v>Bentley</v>
      </c>
    </row>
    <row r="17572">
      <c r="A17572" s="1" t="s">
        <v>17571</v>
      </c>
      <c r="B17572" s="2" t="str">
        <f>IFERROR(__xludf.DUMMYFUNCTION("GOOGLETRANSLATE(A17572, ""de"", ""en"")"),"Connie")</f>
        <v>Connie</v>
      </c>
    </row>
    <row r="17573">
      <c r="A17573" s="1" t="s">
        <v>17572</v>
      </c>
      <c r="B17573" s="2" t="str">
        <f>IFERROR(__xludf.DUMMYFUNCTION("GOOGLETRANSLATE(A17573, ""de"", ""en"")"),"fluent")</f>
        <v>fluent</v>
      </c>
    </row>
    <row r="17574">
      <c r="A17574" s="1" t="s">
        <v>17573</v>
      </c>
      <c r="B17574" s="2" t="str">
        <f>IFERROR(__xludf.DUMMYFUNCTION("GOOGLETRANSLATE(A17574, ""de"", ""en"")"),"co")</f>
        <v>co</v>
      </c>
    </row>
    <row r="17575">
      <c r="A17575" s="1" t="s">
        <v>17574</v>
      </c>
      <c r="B17575" s="2" t="str">
        <f>IFERROR(__xludf.DUMMYFUNCTION("GOOGLETRANSLATE(A17575, ""de"", ""en"")"),"sleeping beauty")</f>
        <v>sleeping beauty</v>
      </c>
    </row>
    <row r="17576">
      <c r="A17576" s="1" t="s">
        <v>17575</v>
      </c>
      <c r="B17576" s="2" t="str">
        <f>IFERROR(__xludf.DUMMYFUNCTION("GOOGLETRANSLATE(A17576, ""de"", ""en"")"),"scanned")</f>
        <v>scanned</v>
      </c>
    </row>
    <row r="17577">
      <c r="A17577" s="1" t="s">
        <v>17576</v>
      </c>
      <c r="B17577" s="2" t="str">
        <f>IFERROR(__xludf.DUMMYFUNCTION("GOOGLETRANSLATE(A17577, ""de"", ""en"")"),"Sonya")</f>
        <v>Sonya</v>
      </c>
    </row>
    <row r="17578">
      <c r="A17578" s="1" t="s">
        <v>17577</v>
      </c>
      <c r="B17578" s="2" t="str">
        <f>IFERROR(__xludf.DUMMYFUNCTION("GOOGLETRANSLATE(A17578, ""de"", ""en"")"),"expressed")</f>
        <v>expressed</v>
      </c>
    </row>
    <row r="17579">
      <c r="A17579" s="1" t="s">
        <v>17578</v>
      </c>
      <c r="B17579" s="2" t="str">
        <f>IFERROR(__xludf.DUMMYFUNCTION("GOOGLETRANSLATE(A17579, ""de"", ""en"")"),"stupid")</f>
        <v>stupid</v>
      </c>
    </row>
    <row r="17580">
      <c r="A17580" s="1" t="s">
        <v>17579</v>
      </c>
      <c r="B17580" s="2" t="str">
        <f>IFERROR(__xludf.DUMMYFUNCTION("GOOGLETRANSLATE(A17580, ""de"", ""en"")"),"optimism")</f>
        <v>optimism</v>
      </c>
    </row>
    <row r="17581">
      <c r="A17581" s="1" t="s">
        <v>17580</v>
      </c>
      <c r="B17581" s="2" t="str">
        <f>IFERROR(__xludf.DUMMYFUNCTION("GOOGLETRANSLATE(A17581, ""de"", ""en"")"),"regan")</f>
        <v>regan</v>
      </c>
    </row>
    <row r="17582">
      <c r="A17582" s="1" t="s">
        <v>17581</v>
      </c>
      <c r="B17582" s="2" t="str">
        <f>IFERROR(__xludf.DUMMYFUNCTION("GOOGLETRANSLATE(A17582, ""de"", ""en"")"),"oxen")</f>
        <v>oxen</v>
      </c>
    </row>
    <row r="17583">
      <c r="A17583" s="1" t="s">
        <v>17582</v>
      </c>
      <c r="B17583" s="2" t="str">
        <f>IFERROR(__xludf.DUMMYFUNCTION("GOOGLETRANSLATE(A17583, ""de"", ""en"")"),"marlboro")</f>
        <v>marlboro</v>
      </c>
    </row>
    <row r="17584">
      <c r="A17584" s="1" t="s">
        <v>17583</v>
      </c>
      <c r="B17584" s="2" t="str">
        <f>IFERROR(__xludf.DUMMYFUNCTION("GOOGLETRANSLATE(A17584, ""de"", ""en"")"),"you sign")</f>
        <v>you sign</v>
      </c>
    </row>
    <row r="17585">
      <c r="A17585" s="1" t="s">
        <v>17584</v>
      </c>
      <c r="B17585" s="2" t="str">
        <f>IFERROR(__xludf.DUMMYFUNCTION("GOOGLETRANSLATE(A17585, ""de"", ""en"")"),"lands")</f>
        <v>lands</v>
      </c>
    </row>
    <row r="17586">
      <c r="A17586" s="1" t="s">
        <v>17585</v>
      </c>
      <c r="B17586" s="2" t="str">
        <f>IFERROR(__xludf.DUMMYFUNCTION("GOOGLETRANSLATE(A17586, ""de"", ""en"")"),"chest")</f>
        <v>chest</v>
      </c>
    </row>
    <row r="17587">
      <c r="A17587" s="1" t="s">
        <v>17586</v>
      </c>
      <c r="B17587" s="2" t="str">
        <f>IFERROR(__xludf.DUMMYFUNCTION("GOOGLETRANSLATE(A17587, ""de"", ""en"")"),"Bavaria")</f>
        <v>Bavaria</v>
      </c>
    </row>
    <row r="17588">
      <c r="A17588" s="1" t="s">
        <v>17587</v>
      </c>
      <c r="B17588" s="2" t="str">
        <f>IFERROR(__xludf.DUMMYFUNCTION("GOOGLETRANSLATE(A17588, ""de"", ""en"")"),"volt")</f>
        <v>volt</v>
      </c>
    </row>
    <row r="17589">
      <c r="A17589" s="1" t="s">
        <v>17588</v>
      </c>
      <c r="B17589" s="2" t="str">
        <f>IFERROR(__xludf.DUMMYFUNCTION("GOOGLETRANSLATE(A17589, ""de"", ""en"")"),"letter")</f>
        <v>letter</v>
      </c>
    </row>
    <row r="17590">
      <c r="A17590" s="1" t="s">
        <v>17589</v>
      </c>
      <c r="B17590" s="2" t="str">
        <f>IFERROR(__xludf.DUMMYFUNCTION("GOOGLETRANSLATE(A17590, ""de"", ""en"")"),"Nicholas")</f>
        <v>Nicholas</v>
      </c>
    </row>
    <row r="17591">
      <c r="A17591" s="1" t="s">
        <v>17590</v>
      </c>
      <c r="B17591" s="2" t="str">
        <f>IFERROR(__xludf.DUMMYFUNCTION("GOOGLETRANSLATE(A17591, ""de"", ""en"")"),"Michele")</f>
        <v>Michele</v>
      </c>
    </row>
    <row r="17592">
      <c r="A17592" s="1" t="s">
        <v>17591</v>
      </c>
      <c r="B17592" s="2" t="str">
        <f>IFERROR(__xludf.DUMMYFUNCTION("GOOGLETRANSLATE(A17592, ""de"", ""en"")"),"Capone")</f>
        <v>Capone</v>
      </c>
    </row>
    <row r="17593">
      <c r="A17593" s="1" t="s">
        <v>17592</v>
      </c>
      <c r="B17593" s="2" t="str">
        <f>IFERROR(__xludf.DUMMYFUNCTION("GOOGLETRANSLATE(A17593, ""de"", ""en"")"),"cutout")</f>
        <v>cutout</v>
      </c>
    </row>
    <row r="17594">
      <c r="A17594" s="1" t="s">
        <v>17593</v>
      </c>
      <c r="B17594" s="2" t="str">
        <f>IFERROR(__xludf.DUMMYFUNCTION("GOOGLETRANSLATE(A17594, ""de"", ""en"")"),"Ukraine")</f>
        <v>Ukraine</v>
      </c>
    </row>
    <row r="17595">
      <c r="A17595" s="1" t="s">
        <v>17594</v>
      </c>
      <c r="B17595" s="2" t="str">
        <f>IFERROR(__xludf.DUMMYFUNCTION("GOOGLETRANSLATE(A17595, ""de"", ""en"")"),"make")</f>
        <v>make</v>
      </c>
    </row>
    <row r="17596">
      <c r="A17596" s="1" t="s">
        <v>17595</v>
      </c>
      <c r="B17596" s="2" t="str">
        <f>IFERROR(__xludf.DUMMYFUNCTION("GOOGLETRANSLATE(A17596, ""de"", ""en"")"),"shrink")</f>
        <v>shrink</v>
      </c>
    </row>
    <row r="17597">
      <c r="A17597" s="1" t="s">
        <v>17596</v>
      </c>
      <c r="B17597" s="2" t="str">
        <f>IFERROR(__xludf.DUMMYFUNCTION("GOOGLETRANSLATE(A17597, ""de"", ""en"")"),"expressively")</f>
        <v>expressively</v>
      </c>
    </row>
    <row r="17598">
      <c r="A17598" s="1" t="s">
        <v>17597</v>
      </c>
      <c r="B17598" s="2" t="str">
        <f>IFERROR(__xludf.DUMMYFUNCTION("GOOGLETRANSLATE(A17598, ""de"", ""en"")"),"monkey")</f>
        <v>monkey</v>
      </c>
    </row>
    <row r="17599">
      <c r="A17599" s="1" t="s">
        <v>17598</v>
      </c>
      <c r="B17599" s="2" t="str">
        <f>IFERROR(__xludf.DUMMYFUNCTION("GOOGLETRANSLATE(A17599, ""de"", ""en"")"),"medicine")</f>
        <v>medicine</v>
      </c>
    </row>
    <row r="17600">
      <c r="A17600" s="1" t="s">
        <v>17599</v>
      </c>
      <c r="B17600" s="2" t="str">
        <f>IFERROR(__xludf.DUMMYFUNCTION("GOOGLETRANSLATE(A17600, ""de"", ""en"")"),"omelet")</f>
        <v>omelet</v>
      </c>
    </row>
    <row r="17601">
      <c r="A17601" s="1" t="s">
        <v>17600</v>
      </c>
      <c r="B17601" s="2" t="str">
        <f>IFERROR(__xludf.DUMMYFUNCTION("GOOGLETRANSLATE(A17601, ""de"", ""en"")"),"Atlas")</f>
        <v>Atlas</v>
      </c>
    </row>
    <row r="17602">
      <c r="A17602" s="1" t="s">
        <v>17601</v>
      </c>
      <c r="B17602" s="2" t="str">
        <f>IFERROR(__xludf.DUMMYFUNCTION("GOOGLETRANSLATE(A17602, ""de"", ""en"")"),"maxine")</f>
        <v>maxine</v>
      </c>
    </row>
    <row r="17603">
      <c r="A17603" s="1" t="s">
        <v>17602</v>
      </c>
      <c r="B17603" s="2" t="str">
        <f>IFERROR(__xludf.DUMMYFUNCTION("GOOGLETRANSLATE(A17603, ""de"", ""en"")"),"closed ones")</f>
        <v>closed ones</v>
      </c>
    </row>
    <row r="17604">
      <c r="A17604" s="1" t="s">
        <v>17603</v>
      </c>
      <c r="B17604" s="2" t="str">
        <f>IFERROR(__xludf.DUMMYFUNCTION("GOOGLETRANSLATE(A17604, ""de"", ""en"")"),"cool")</f>
        <v>cool</v>
      </c>
    </row>
    <row r="17605">
      <c r="A17605" s="1" t="s">
        <v>17604</v>
      </c>
      <c r="B17605" s="2" t="str">
        <f>IFERROR(__xludf.DUMMYFUNCTION("GOOGLETRANSLATE(A17605, ""de"", ""en"")"),"food")</f>
        <v>food</v>
      </c>
    </row>
    <row r="17606">
      <c r="A17606" s="1" t="s">
        <v>17605</v>
      </c>
      <c r="B17606" s="2" t="str">
        <f>IFERROR(__xludf.DUMMYFUNCTION("GOOGLETRANSLATE(A17606, ""de"", ""en"")"),"Arne")</f>
        <v>Arne</v>
      </c>
    </row>
    <row r="17607">
      <c r="A17607" s="1" t="s">
        <v>17606</v>
      </c>
      <c r="B17607" s="2" t="str">
        <f>IFERROR(__xludf.DUMMYFUNCTION("GOOGLETRANSLATE(A17607, ""de"", ""en"")"),"mayonnaise")</f>
        <v>mayonnaise</v>
      </c>
    </row>
    <row r="17608">
      <c r="A17608" s="1" t="s">
        <v>17607</v>
      </c>
      <c r="B17608" s="2" t="str">
        <f>IFERROR(__xludf.DUMMYFUNCTION("GOOGLETRANSLATE(A17608, ""de"", ""en"")"),"transmits")</f>
        <v>transmits</v>
      </c>
    </row>
    <row r="17609">
      <c r="A17609" s="1" t="s">
        <v>17608</v>
      </c>
      <c r="B17609" s="2" t="str">
        <f>IFERROR(__xludf.DUMMYFUNCTION("GOOGLETRANSLATE(A17609, ""de"", ""en"")"),"witnesses")</f>
        <v>witnesses</v>
      </c>
    </row>
    <row r="17610">
      <c r="A17610" s="1" t="s">
        <v>17609</v>
      </c>
      <c r="B17610" s="2" t="str">
        <f>IFERROR(__xludf.DUMMYFUNCTION("GOOGLETRANSLATE(A17610, ""de"", ""en"")"),"consent")</f>
        <v>consent</v>
      </c>
    </row>
    <row r="17611">
      <c r="A17611" s="1" t="s">
        <v>17610</v>
      </c>
      <c r="B17611" s="2" t="str">
        <f>IFERROR(__xludf.DUMMYFUNCTION("GOOGLETRANSLATE(A17611, ""de"", ""en"")"),"exposed")</f>
        <v>exposed</v>
      </c>
    </row>
    <row r="17612">
      <c r="A17612" s="1" t="s">
        <v>17611</v>
      </c>
      <c r="B17612" s="2" t="str">
        <f>IFERROR(__xludf.DUMMYFUNCTION("GOOGLETRANSLATE(A17612, ""de"", ""en"")"),"fees")</f>
        <v>fees</v>
      </c>
    </row>
    <row r="17613">
      <c r="A17613" s="1" t="s">
        <v>17612</v>
      </c>
      <c r="B17613" s="2" t="str">
        <f>IFERROR(__xludf.DUMMYFUNCTION("GOOGLETRANSLATE(A17613, ""de"", ""en"")"),"dinah")</f>
        <v>dinah</v>
      </c>
    </row>
    <row r="17614">
      <c r="A17614" s="1" t="s">
        <v>17613</v>
      </c>
      <c r="B17614" s="2" t="str">
        <f>IFERROR(__xludf.DUMMYFUNCTION("GOOGLETRANSLATE(A17614, ""de"", ""en"")"),"sigh")</f>
        <v>sigh</v>
      </c>
    </row>
    <row r="17615">
      <c r="A17615" s="1" t="s">
        <v>17614</v>
      </c>
      <c r="B17615" s="2" t="str">
        <f>IFERROR(__xludf.DUMMYFUNCTION("GOOGLETRANSLATE(A17615, ""de"", ""en"")"),"delete")</f>
        <v>delete</v>
      </c>
    </row>
    <row r="17616">
      <c r="A17616" s="1" t="s">
        <v>17615</v>
      </c>
      <c r="B17616" s="2" t="str">
        <f>IFERROR(__xludf.DUMMYFUNCTION("GOOGLETRANSLATE(A17616, ""de"", ""en"")"),"fornication")</f>
        <v>fornication</v>
      </c>
    </row>
    <row r="17617">
      <c r="A17617" s="1" t="s">
        <v>17616</v>
      </c>
      <c r="B17617" s="2" t="str">
        <f>IFERROR(__xludf.DUMMYFUNCTION("GOOGLETRANSLATE(A17617, ""de"", ""en"")"),"estimated")</f>
        <v>estimated</v>
      </c>
    </row>
    <row r="17618">
      <c r="A17618" s="1" t="s">
        <v>17617</v>
      </c>
      <c r="B17618" s="2" t="str">
        <f>IFERROR(__xludf.DUMMYFUNCTION("GOOGLETRANSLATE(A17618, ""de"", ""en"")"),"manolo")</f>
        <v>manolo</v>
      </c>
    </row>
    <row r="17619">
      <c r="A17619" s="1" t="s">
        <v>17618</v>
      </c>
      <c r="B17619" s="2" t="str">
        <f>IFERROR(__xludf.DUMMYFUNCTION("GOOGLETRANSLATE(A17619, ""de"", ""en"")"),"used up")</f>
        <v>used up</v>
      </c>
    </row>
    <row r="17620">
      <c r="A17620" s="1" t="s">
        <v>17619</v>
      </c>
      <c r="B17620" s="2" t="str">
        <f>IFERROR(__xludf.DUMMYFUNCTION("GOOGLETRANSLATE(A17620, ""de"", ""en"")"),"barracks")</f>
        <v>barracks</v>
      </c>
    </row>
    <row r="17621">
      <c r="A17621" s="1" t="s">
        <v>17620</v>
      </c>
      <c r="B17621" s="2" t="str">
        <f>IFERROR(__xludf.DUMMYFUNCTION("GOOGLETRANSLATE(A17621, ""de"", ""en"")"),"celeste")</f>
        <v>celeste</v>
      </c>
    </row>
    <row r="17622">
      <c r="A17622" s="1" t="s">
        <v>17621</v>
      </c>
      <c r="B17622" s="2" t="str">
        <f>IFERROR(__xludf.DUMMYFUNCTION("GOOGLETRANSLATE(A17622, ""de"", ""en"")"),"fell over")</f>
        <v>fell over</v>
      </c>
    </row>
    <row r="17623">
      <c r="A17623" s="1" t="s">
        <v>17622</v>
      </c>
      <c r="B17623" s="2" t="str">
        <f>IFERROR(__xludf.DUMMYFUNCTION("GOOGLETRANSLATE(A17623, ""de"", ""en"")"),"racer")</f>
        <v>racer</v>
      </c>
    </row>
    <row r="17624">
      <c r="A17624" s="1" t="s">
        <v>17623</v>
      </c>
      <c r="B17624" s="2" t="str">
        <f>IFERROR(__xludf.DUMMYFUNCTION("GOOGLETRANSLATE(A17624, ""de"", ""en"")"),"court order")</f>
        <v>court order</v>
      </c>
    </row>
    <row r="17625">
      <c r="A17625" s="1" t="s">
        <v>17624</v>
      </c>
      <c r="B17625" s="2" t="str">
        <f>IFERROR(__xludf.DUMMYFUNCTION("GOOGLETRANSLATE(A17625, ""de"", ""en"")"),"inserted")</f>
        <v>inserted</v>
      </c>
    </row>
    <row r="17626">
      <c r="A17626" s="1" t="s">
        <v>17625</v>
      </c>
      <c r="B17626" s="2" t="str">
        <f>IFERROR(__xludf.DUMMYFUNCTION("GOOGLETRANSLATE(A17626, ""de"", ""en"")"),"adored")</f>
        <v>adored</v>
      </c>
    </row>
    <row r="17627">
      <c r="A17627" s="1" t="s">
        <v>17626</v>
      </c>
      <c r="B17627" s="2" t="str">
        <f>IFERROR(__xludf.DUMMYFUNCTION("GOOGLETRANSLATE(A17627, ""de"", ""en"")"),"immigration authority")</f>
        <v>immigration authority</v>
      </c>
    </row>
    <row r="17628">
      <c r="A17628" s="1" t="s">
        <v>17627</v>
      </c>
      <c r="B17628" s="2" t="str">
        <f>IFERROR(__xludf.DUMMYFUNCTION("GOOGLETRANSLATE(A17628, ""de"", ""en"")"),"Rudolph")</f>
        <v>Rudolph</v>
      </c>
    </row>
    <row r="17629">
      <c r="A17629" s="1" t="s">
        <v>17628</v>
      </c>
      <c r="B17629" s="2" t="str">
        <f>IFERROR(__xludf.DUMMYFUNCTION("GOOGLETRANSLATE(A17629, ""de"", ""en"")"),"binoculars")</f>
        <v>binoculars</v>
      </c>
    </row>
    <row r="17630">
      <c r="A17630" s="1" t="s">
        <v>17629</v>
      </c>
      <c r="B17630" s="2" t="str">
        <f>IFERROR(__xludf.DUMMYFUNCTION("GOOGLETRANSLATE(A17630, ""de"", ""en"")"),"Venezuela")</f>
        <v>Venezuela</v>
      </c>
    </row>
    <row r="17631">
      <c r="A17631" s="1" t="s">
        <v>17630</v>
      </c>
      <c r="B17631" s="2" t="str">
        <f>IFERROR(__xludf.DUMMYFUNCTION("GOOGLETRANSLATE(A17631, ""de"", ""en"")"),"in debt")</f>
        <v>in debt</v>
      </c>
    </row>
    <row r="17632">
      <c r="A17632" s="1" t="s">
        <v>17631</v>
      </c>
      <c r="B17632" s="2" t="str">
        <f>IFERROR(__xludf.DUMMYFUNCTION("GOOGLETRANSLATE(A17632, ""de"", ""en"")"),"claw")</f>
        <v>claw</v>
      </c>
    </row>
    <row r="17633">
      <c r="A17633" s="1" t="s">
        <v>17632</v>
      </c>
      <c r="B17633" s="2" t="str">
        <f>IFERROR(__xludf.DUMMYFUNCTION("GOOGLETRANSLATE(A17633, ""de"", ""en"")"),"Roth")</f>
        <v>Roth</v>
      </c>
    </row>
    <row r="17634">
      <c r="A17634" s="1" t="s">
        <v>17633</v>
      </c>
      <c r="B17634" s="2" t="str">
        <f>IFERROR(__xludf.DUMMYFUNCTION("GOOGLETRANSLATE(A17634, ""de"", ""en"")"),"fabrics")</f>
        <v>fabrics</v>
      </c>
    </row>
    <row r="17635">
      <c r="A17635" s="1" t="s">
        <v>17634</v>
      </c>
      <c r="B17635" s="2" t="str">
        <f>IFERROR(__xludf.DUMMYFUNCTION("GOOGLETRANSLATE(A17635, ""de"", ""en"")"),"smallpox")</f>
        <v>smallpox</v>
      </c>
    </row>
    <row r="17636">
      <c r="A17636" s="1" t="s">
        <v>17635</v>
      </c>
      <c r="B17636" s="2" t="str">
        <f>IFERROR(__xludf.DUMMYFUNCTION("GOOGLETRANSLATE(A17636, ""de"", ""en"")"),"mom")</f>
        <v>mom</v>
      </c>
    </row>
    <row r="17637">
      <c r="A17637" s="1" t="s">
        <v>17636</v>
      </c>
      <c r="B17637" s="2" t="str">
        <f>IFERROR(__xludf.DUMMYFUNCTION("GOOGLETRANSLATE(A17637, ""de"", ""en"")"),"investments")</f>
        <v>investments</v>
      </c>
    </row>
    <row r="17638">
      <c r="A17638" s="1" t="s">
        <v>17637</v>
      </c>
      <c r="B17638" s="2" t="str">
        <f>IFERROR(__xludf.DUMMYFUNCTION("GOOGLETRANSLATE(A17638, ""de"", ""en"")"),"infinite")</f>
        <v>infinite</v>
      </c>
    </row>
    <row r="17639">
      <c r="A17639" s="1" t="s">
        <v>17638</v>
      </c>
      <c r="B17639" s="2" t="str">
        <f>IFERROR(__xludf.DUMMYFUNCTION("GOOGLETRANSLATE(A17639, ""de"", ""en"")"),"shogun")</f>
        <v>shogun</v>
      </c>
    </row>
    <row r="17640">
      <c r="A17640" s="1" t="s">
        <v>17639</v>
      </c>
      <c r="B17640" s="2" t="str">
        <f>IFERROR(__xludf.DUMMYFUNCTION("GOOGLETRANSLATE(A17640, ""de"", ""en"")"),"style")</f>
        <v>style</v>
      </c>
    </row>
    <row r="17641">
      <c r="A17641" s="1" t="s">
        <v>17640</v>
      </c>
      <c r="B17641" s="2" t="str">
        <f>IFERROR(__xludf.DUMMYFUNCTION("GOOGLETRANSLATE(A17641, ""de"", ""en"")"),"Belfast")</f>
        <v>Belfast</v>
      </c>
    </row>
    <row r="17642">
      <c r="A17642" s="1" t="s">
        <v>17641</v>
      </c>
      <c r="B17642" s="2" t="str">
        <f>IFERROR(__xludf.DUMMYFUNCTION("GOOGLETRANSLATE(A17642, ""de"", ""en"")"),"superstitious")</f>
        <v>superstitious</v>
      </c>
    </row>
    <row r="17643">
      <c r="A17643" s="1" t="s">
        <v>17642</v>
      </c>
      <c r="B17643" s="2" t="str">
        <f>IFERROR(__xludf.DUMMYFUNCTION("GOOGLETRANSLATE(A17643, ""de"", ""en"")"),"chickens")</f>
        <v>chickens</v>
      </c>
    </row>
    <row r="17644">
      <c r="A17644" s="1" t="s">
        <v>17643</v>
      </c>
      <c r="B17644" s="2" t="str">
        <f>IFERROR(__xludf.DUMMYFUNCTION("GOOGLETRANSLATE(A17644, ""de"", ""en"")"),"perish")</f>
        <v>perish</v>
      </c>
    </row>
    <row r="17645">
      <c r="A17645" s="1" t="s">
        <v>17644</v>
      </c>
      <c r="B17645" s="2" t="str">
        <f>IFERROR(__xludf.DUMMYFUNCTION("GOOGLETRANSLATE(A17645, ""de"", ""en"")"),"commands")</f>
        <v>commands</v>
      </c>
    </row>
    <row r="17646">
      <c r="A17646" s="1" t="s">
        <v>17645</v>
      </c>
      <c r="B17646" s="2" t="str">
        <f>IFERROR(__xludf.DUMMYFUNCTION("GOOGLETRANSLATE(A17646, ""de"", ""en"")"),"trance")</f>
        <v>trance</v>
      </c>
    </row>
    <row r="17647">
      <c r="A17647" s="1" t="s">
        <v>17646</v>
      </c>
      <c r="B17647" s="2" t="str">
        <f>IFERROR(__xludf.DUMMYFUNCTION("GOOGLETRANSLATE(A17647, ""de"", ""en"")"),"way of life")</f>
        <v>way of life</v>
      </c>
    </row>
    <row r="17648">
      <c r="A17648" s="1" t="s">
        <v>17647</v>
      </c>
      <c r="B17648" s="2" t="str">
        <f>IFERROR(__xludf.DUMMYFUNCTION("GOOGLETRANSLATE(A17648, ""de"", ""en"")"),"force")</f>
        <v>force</v>
      </c>
    </row>
    <row r="17649">
      <c r="A17649" s="1" t="s">
        <v>17648</v>
      </c>
      <c r="B17649" s="2" t="str">
        <f>IFERROR(__xludf.DUMMYFUNCTION("GOOGLETRANSLATE(A17649, ""de"", ""en"")"),"awe")</f>
        <v>awe</v>
      </c>
    </row>
    <row r="17650">
      <c r="A17650" s="1" t="s">
        <v>17649</v>
      </c>
      <c r="B17650" s="2" t="str">
        <f>IFERROR(__xludf.DUMMYFUNCTION("GOOGLETRANSLATE(A17650, ""de"", ""en"")"),"timer")</f>
        <v>timer</v>
      </c>
    </row>
    <row r="17651">
      <c r="A17651" s="1" t="s">
        <v>17650</v>
      </c>
      <c r="B17651" s="2" t="str">
        <f>IFERROR(__xludf.DUMMYFUNCTION("GOOGLETRANSLATE(A17651, ""de"", ""en"")"),"velma")</f>
        <v>velma</v>
      </c>
    </row>
    <row r="17652">
      <c r="A17652" s="1" t="s">
        <v>17651</v>
      </c>
      <c r="B17652" s="2" t="str">
        <f>IFERROR(__xludf.DUMMYFUNCTION("GOOGLETRANSLATE(A17652, ""de"", ""en"")"),"freedoms")</f>
        <v>freedoms</v>
      </c>
    </row>
    <row r="17653">
      <c r="A17653" s="1" t="s">
        <v>17652</v>
      </c>
      <c r="B17653" s="2" t="str">
        <f>IFERROR(__xludf.DUMMYFUNCTION("GOOGLETRANSLATE(A17653, ""de"", ""en"")"),"sneaky")</f>
        <v>sneaky</v>
      </c>
    </row>
    <row r="17654">
      <c r="A17654" s="1" t="s">
        <v>17653</v>
      </c>
      <c r="B17654" s="2" t="str">
        <f>IFERROR(__xludf.DUMMYFUNCTION("GOOGLETRANSLATE(A17654, ""de"", ""en"")"),"concerts")</f>
        <v>concerts</v>
      </c>
    </row>
    <row r="17655">
      <c r="A17655" s="1" t="s">
        <v>17654</v>
      </c>
      <c r="B17655" s="2" t="str">
        <f>IFERROR(__xludf.DUMMYFUNCTION("GOOGLETRANSLATE(A17655, ""de"", ""en"")"),"invalid")</f>
        <v>invalid</v>
      </c>
    </row>
    <row r="17656">
      <c r="A17656" s="1" t="s">
        <v>17655</v>
      </c>
      <c r="B17656" s="2" t="str">
        <f>IFERROR(__xludf.DUMMYFUNCTION("GOOGLETRANSLATE(A17656, ""de"", ""en"")"),"fades away")</f>
        <v>fades away</v>
      </c>
    </row>
    <row r="17657">
      <c r="A17657" s="1" t="s">
        <v>17656</v>
      </c>
      <c r="B17657" s="2" t="str">
        <f>IFERROR(__xludf.DUMMYFUNCTION("GOOGLETRANSLATE(A17657, ""de"", ""en"")"),"stuffed")</f>
        <v>stuffed</v>
      </c>
    </row>
    <row r="17658">
      <c r="A17658" s="1" t="s">
        <v>17657</v>
      </c>
      <c r="B17658" s="2" t="str">
        <f>IFERROR(__xludf.DUMMYFUNCTION("GOOGLETRANSLATE(A17658, ""de"", ""en"")"),"advised")</f>
        <v>advised</v>
      </c>
    </row>
    <row r="17659">
      <c r="A17659" s="1" t="s">
        <v>17658</v>
      </c>
      <c r="B17659" s="2" t="str">
        <f>IFERROR(__xludf.DUMMYFUNCTION("GOOGLETRANSLATE(A17659, ""de"", ""en"")"),"bow")</f>
        <v>bow</v>
      </c>
    </row>
    <row r="17660">
      <c r="A17660" s="1" t="s">
        <v>17659</v>
      </c>
      <c r="B17660" s="2" t="str">
        <f>IFERROR(__xludf.DUMMYFUNCTION("GOOGLETRANSLATE(A17660, ""de"", ""en"")"),"Hilda")</f>
        <v>Hilda</v>
      </c>
    </row>
    <row r="17661">
      <c r="A17661" s="1" t="s">
        <v>17660</v>
      </c>
      <c r="B17661" s="2" t="str">
        <f>IFERROR(__xludf.DUMMYFUNCTION("GOOGLETRANSLATE(A17661, ""de"", ""en"")"),"considerably")</f>
        <v>considerably</v>
      </c>
    </row>
    <row r="17662">
      <c r="A17662" s="1" t="s">
        <v>17661</v>
      </c>
      <c r="B17662" s="2" t="str">
        <f>IFERROR(__xludf.DUMMYFUNCTION("GOOGLETRANSLATE(A17662, ""de"", ""en"")"),"forget")</f>
        <v>forget</v>
      </c>
    </row>
    <row r="17663">
      <c r="A17663" s="1" t="s">
        <v>17662</v>
      </c>
      <c r="B17663" s="2" t="str">
        <f>IFERROR(__xludf.DUMMYFUNCTION("GOOGLETRANSLATE(A17663, ""de"", ""en"")"),"kidding")</f>
        <v>kidding</v>
      </c>
    </row>
    <row r="17664">
      <c r="A17664" s="1" t="s">
        <v>17663</v>
      </c>
      <c r="B17664" s="2" t="str">
        <f>IFERROR(__xludf.DUMMYFUNCTION("GOOGLETRANSLATE(A17664, ""de"", ""en"")"),"inge")</f>
        <v>inge</v>
      </c>
    </row>
    <row r="17665">
      <c r="A17665" s="1" t="s">
        <v>17664</v>
      </c>
      <c r="B17665" s="2" t="str">
        <f>IFERROR(__xludf.DUMMYFUNCTION("GOOGLETRANSLATE(A17665, ""de"", ""en"")"),"raisins")</f>
        <v>raisins</v>
      </c>
    </row>
    <row r="17666">
      <c r="A17666" s="1" t="s">
        <v>17665</v>
      </c>
      <c r="B17666" s="2" t="str">
        <f>IFERROR(__xludf.DUMMYFUNCTION("GOOGLETRANSLATE(A17666, ""de"", ""en"")"),"surgeon")</f>
        <v>surgeon</v>
      </c>
    </row>
    <row r="17667">
      <c r="A17667" s="1" t="s">
        <v>17666</v>
      </c>
      <c r="B17667" s="2" t="str">
        <f>IFERROR(__xludf.DUMMYFUNCTION("GOOGLETRANSLATE(A17667, ""de"", ""en"")"),"better")</f>
        <v>better</v>
      </c>
    </row>
    <row r="17668">
      <c r="A17668" s="1" t="s">
        <v>17667</v>
      </c>
      <c r="B17668" s="2" t="str">
        <f>IFERROR(__xludf.DUMMYFUNCTION("GOOGLETRANSLATE(A17668, ""de"", ""en"")"),"poisonous")</f>
        <v>poisonous</v>
      </c>
    </row>
    <row r="17669">
      <c r="A17669" s="1" t="s">
        <v>17668</v>
      </c>
      <c r="B17669" s="2" t="str">
        <f>IFERROR(__xludf.DUMMYFUNCTION("GOOGLETRANSLATE(A17669, ""de"", ""en"")"),"Blaine")</f>
        <v>Blaine</v>
      </c>
    </row>
    <row r="17670">
      <c r="A17670" s="1" t="s">
        <v>17669</v>
      </c>
      <c r="B17670" s="2" t="str">
        <f>IFERROR(__xludf.DUMMYFUNCTION("GOOGLETRANSLATE(A17670, ""de"", ""en"")"),"ramsey")</f>
        <v>ramsey</v>
      </c>
    </row>
    <row r="17671">
      <c r="A17671" s="1" t="s">
        <v>17670</v>
      </c>
      <c r="B17671" s="2" t="str">
        <f>IFERROR(__xludf.DUMMYFUNCTION("GOOGLETRANSLATE(A17671, ""de"", ""en"")"),"react")</f>
        <v>react</v>
      </c>
    </row>
    <row r="17672">
      <c r="A17672" s="1" t="s">
        <v>17671</v>
      </c>
      <c r="B17672" s="2" t="str">
        <f>IFERROR(__xludf.DUMMYFUNCTION("GOOGLETRANSLATE(A17672, ""de"", ""en"")"),"rasmus")</f>
        <v>rasmus</v>
      </c>
    </row>
    <row r="17673">
      <c r="A17673" s="1" t="s">
        <v>17672</v>
      </c>
      <c r="B17673" s="2" t="str">
        <f>IFERROR(__xludf.DUMMYFUNCTION("GOOGLETRANSLATE(A17673, ""de"", ""en"")"),"solis")</f>
        <v>solis</v>
      </c>
    </row>
    <row r="17674">
      <c r="A17674" s="1" t="s">
        <v>17673</v>
      </c>
      <c r="B17674" s="2" t="str">
        <f>IFERROR(__xludf.DUMMYFUNCTION("GOOGLETRANSLATE(A17674, ""de"", ""en"")"),"racist")</f>
        <v>racist</v>
      </c>
    </row>
    <row r="17675">
      <c r="A17675" s="1" t="s">
        <v>17674</v>
      </c>
      <c r="B17675" s="2" t="str">
        <f>IFERROR(__xludf.DUMMYFUNCTION("GOOGLETRANSLATE(A17675, ""de"", ""en"")"),"invent")</f>
        <v>invent</v>
      </c>
    </row>
    <row r="17676">
      <c r="A17676" s="1" t="s">
        <v>17675</v>
      </c>
      <c r="B17676" s="2" t="str">
        <f>IFERROR(__xludf.DUMMYFUNCTION("GOOGLETRANSLATE(A17676, ""de"", ""en"")"),"to exclude")</f>
        <v>to exclude</v>
      </c>
    </row>
    <row r="17677">
      <c r="A17677" s="1" t="s">
        <v>17676</v>
      </c>
      <c r="B17677" s="2" t="str">
        <f>IFERROR(__xludf.DUMMYFUNCTION("GOOGLETRANSLATE(A17677, ""de"", ""en"")"),"katrin")</f>
        <v>katrin</v>
      </c>
    </row>
    <row r="17678">
      <c r="A17678" s="1" t="s">
        <v>17677</v>
      </c>
      <c r="B17678" s="2" t="str">
        <f>IFERROR(__xludf.DUMMYFUNCTION("GOOGLETRANSLATE(A17678, ""de"", ""en"")"),"slot")</f>
        <v>slot</v>
      </c>
    </row>
    <row r="17679">
      <c r="A17679" s="1" t="s">
        <v>17678</v>
      </c>
      <c r="B17679" s="2" t="str">
        <f>IFERROR(__xludf.DUMMYFUNCTION("GOOGLETRANSLATE(A17679, ""de"", ""en"")"),"chucky")</f>
        <v>chucky</v>
      </c>
    </row>
    <row r="17680">
      <c r="A17680" s="1" t="s">
        <v>17679</v>
      </c>
      <c r="B17680" s="2" t="str">
        <f>IFERROR(__xludf.DUMMYFUNCTION("GOOGLETRANSLATE(A17680, ""de"", ""en"")"),"comeback")</f>
        <v>comeback</v>
      </c>
    </row>
    <row r="17681">
      <c r="A17681" s="1" t="s">
        <v>17680</v>
      </c>
      <c r="B17681" s="2" t="str">
        <f>IFERROR(__xludf.DUMMYFUNCTION("GOOGLETRANSLATE(A17681, ""de"", ""en"")"),"let")</f>
        <v>let</v>
      </c>
    </row>
    <row r="17682">
      <c r="A17682" s="1" t="s">
        <v>17681</v>
      </c>
      <c r="B17682" s="2" t="str">
        <f>IFERROR(__xludf.DUMMYFUNCTION("GOOGLETRANSLATE(A17682, ""de"", ""en"")"),"glorious")</f>
        <v>glorious</v>
      </c>
    </row>
    <row r="17683">
      <c r="A17683" s="1" t="s">
        <v>17682</v>
      </c>
      <c r="B17683" s="2" t="str">
        <f>IFERROR(__xludf.DUMMYFUNCTION("GOOGLETRANSLATE(A17683, ""de"", ""en"")"),"formulated")</f>
        <v>formulated</v>
      </c>
    </row>
    <row r="17684">
      <c r="A17684" s="1" t="s">
        <v>17683</v>
      </c>
      <c r="B17684" s="2" t="str">
        <f>IFERROR(__xludf.DUMMYFUNCTION("GOOGLETRANSLATE(A17684, ""de"", ""en"")"),"danvers")</f>
        <v>danvers</v>
      </c>
    </row>
    <row r="17685">
      <c r="A17685" s="1" t="s">
        <v>17684</v>
      </c>
      <c r="B17685" s="2" t="str">
        <f>IFERROR(__xludf.DUMMYFUNCTION("GOOGLETRANSLATE(A17685, ""de"", ""en"")"),"recover")</f>
        <v>recover</v>
      </c>
    </row>
    <row r="17686">
      <c r="A17686" s="1" t="s">
        <v>17685</v>
      </c>
      <c r="B17686" s="2" t="str">
        <f>IFERROR(__xludf.DUMMYFUNCTION("GOOGLETRANSLATE(A17686, ""de"", ""en"")"),"dunbar")</f>
        <v>dunbar</v>
      </c>
    </row>
    <row r="17687">
      <c r="A17687" s="1" t="s">
        <v>17686</v>
      </c>
      <c r="B17687" s="2" t="str">
        <f>IFERROR(__xludf.DUMMYFUNCTION("GOOGLETRANSLATE(A17687, ""de"", ""en"")"),"current")</f>
        <v>current</v>
      </c>
    </row>
    <row r="17688">
      <c r="A17688" s="1" t="s">
        <v>17687</v>
      </c>
      <c r="B17688" s="2" t="str">
        <f>IFERROR(__xludf.DUMMYFUNCTION("GOOGLETRANSLATE(A17688, ""de"", ""en"")"),"sent off")</f>
        <v>sent off</v>
      </c>
    </row>
    <row r="17689">
      <c r="A17689" s="1" t="s">
        <v>17688</v>
      </c>
      <c r="B17689" s="2" t="str">
        <f>IFERROR(__xludf.DUMMYFUNCTION("GOOGLETRANSLATE(A17689, ""de"", ""en"")"),"common sense")</f>
        <v>common sense</v>
      </c>
    </row>
    <row r="17690">
      <c r="A17690" s="1" t="s">
        <v>17689</v>
      </c>
      <c r="B17690" s="2" t="str">
        <f>IFERROR(__xludf.DUMMYFUNCTION("GOOGLETRANSLATE(A17690, ""de"", ""en"")"),"ugh")</f>
        <v>ugh</v>
      </c>
    </row>
    <row r="17691">
      <c r="A17691" s="1" t="s">
        <v>17690</v>
      </c>
      <c r="B17691" s="2" t="str">
        <f>IFERROR(__xludf.DUMMYFUNCTION("GOOGLETRANSLATE(A17691, ""de"", ""en"")"),"clear")</f>
        <v>clear</v>
      </c>
    </row>
    <row r="17692">
      <c r="A17692" s="1" t="s">
        <v>17691</v>
      </c>
      <c r="B17692" s="2" t="str">
        <f>IFERROR(__xludf.DUMMYFUNCTION("GOOGLETRANSLATE(A17692, ""de"", ""en"")"),"tolerance")</f>
        <v>tolerance</v>
      </c>
    </row>
    <row r="17693">
      <c r="A17693" s="1" t="s">
        <v>17692</v>
      </c>
      <c r="B17693" s="2" t="str">
        <f>IFERROR(__xludf.DUMMYFUNCTION("GOOGLETRANSLATE(A17693, ""de"", ""en"")"),"many things")</f>
        <v>many things</v>
      </c>
    </row>
    <row r="17694">
      <c r="A17694" s="1" t="s">
        <v>17693</v>
      </c>
      <c r="B17694" s="2" t="str">
        <f>IFERROR(__xludf.DUMMYFUNCTION("GOOGLETRANSLATE(A17694, ""de"", ""en"")"),"professional")</f>
        <v>professional</v>
      </c>
    </row>
    <row r="17695">
      <c r="A17695" s="1" t="s">
        <v>17694</v>
      </c>
      <c r="B17695" s="2" t="str">
        <f>IFERROR(__xludf.DUMMYFUNCTION("GOOGLETRANSLATE(A17695, ""de"", ""en"")"),"hap")</f>
        <v>hap</v>
      </c>
    </row>
    <row r="17696">
      <c r="A17696" s="1" t="s">
        <v>17695</v>
      </c>
      <c r="B17696" s="2" t="str">
        <f>IFERROR(__xludf.DUMMYFUNCTION("GOOGLETRANSLATE(A17696, ""de"", ""en"")"),"bed")</f>
        <v>bed</v>
      </c>
    </row>
    <row r="17697">
      <c r="A17697" s="1" t="s">
        <v>17696</v>
      </c>
      <c r="B17697" s="2" t="str">
        <f>IFERROR(__xludf.DUMMYFUNCTION("GOOGLETRANSLATE(A17697, ""de"", ""en"")"),"participated")</f>
        <v>participated</v>
      </c>
    </row>
    <row r="17698">
      <c r="A17698" s="1" t="s">
        <v>17697</v>
      </c>
      <c r="B17698" s="2" t="str">
        <f>IFERROR(__xludf.DUMMYFUNCTION("GOOGLETRANSLATE(A17698, ""de"", ""en"")"),"hardness")</f>
        <v>hardness</v>
      </c>
    </row>
    <row r="17699">
      <c r="A17699" s="1" t="s">
        <v>17698</v>
      </c>
      <c r="B17699" s="2" t="str">
        <f>IFERROR(__xludf.DUMMYFUNCTION("GOOGLETRANSLATE(A17699, ""de"", ""en"")"),"win back")</f>
        <v>win back</v>
      </c>
    </row>
    <row r="17700">
      <c r="A17700" s="1" t="s">
        <v>17699</v>
      </c>
      <c r="B17700" s="2" t="str">
        <f>IFERROR(__xludf.DUMMYFUNCTION("GOOGLETRANSLATE(A17700, ""de"", ""en"")"),"did")</f>
        <v>did</v>
      </c>
    </row>
    <row r="17701">
      <c r="A17701" s="1" t="s">
        <v>17700</v>
      </c>
      <c r="B17701" s="2" t="str">
        <f>IFERROR(__xludf.DUMMYFUNCTION("GOOGLETRANSLATE(A17701, ""de"", ""en"")"),"planted")</f>
        <v>planted</v>
      </c>
    </row>
    <row r="17702">
      <c r="A17702" s="1" t="s">
        <v>17701</v>
      </c>
      <c r="B17702" s="2" t="str">
        <f>IFERROR(__xludf.DUMMYFUNCTION("GOOGLETRANSLATE(A17702, ""de"", ""en"")"),"bacon")</f>
        <v>bacon</v>
      </c>
    </row>
    <row r="17703">
      <c r="A17703" s="1" t="s">
        <v>17702</v>
      </c>
      <c r="B17703" s="2" t="str">
        <f>IFERROR(__xludf.DUMMYFUNCTION("GOOGLETRANSLATE(A17703, ""de"", ""en"")"),"rear")</f>
        <v>rear</v>
      </c>
    </row>
    <row r="17704">
      <c r="A17704" s="1" t="s">
        <v>17703</v>
      </c>
      <c r="B17704" s="2" t="str">
        <f>IFERROR(__xludf.DUMMYFUNCTION("GOOGLETRANSLATE(A17704, ""de"", ""en"")"),"mortal")</f>
        <v>mortal</v>
      </c>
    </row>
    <row r="17705">
      <c r="A17705" s="1" t="s">
        <v>17704</v>
      </c>
      <c r="B17705" s="2" t="str">
        <f>IFERROR(__xludf.DUMMYFUNCTION("GOOGLETRANSLATE(A17705, ""de"", ""en"")"),"tractor beam")</f>
        <v>tractor beam</v>
      </c>
    </row>
    <row r="17706">
      <c r="A17706" s="1" t="s">
        <v>17705</v>
      </c>
      <c r="B17706" s="2" t="str">
        <f>IFERROR(__xludf.DUMMYFUNCTION("GOOGLETRANSLATE(A17706, ""de"", ""en"")"),"shabby")</f>
        <v>shabby</v>
      </c>
    </row>
    <row r="17707">
      <c r="A17707" s="1" t="s">
        <v>17706</v>
      </c>
      <c r="B17707" s="2" t="str">
        <f>IFERROR(__xludf.DUMMYFUNCTION("GOOGLETRANSLATE(A17707, ""de"", ""en"")"),"ciro")</f>
        <v>ciro</v>
      </c>
    </row>
    <row r="17708">
      <c r="A17708" s="1" t="s">
        <v>17707</v>
      </c>
      <c r="B17708" s="2" t="str">
        <f>IFERROR(__xludf.DUMMYFUNCTION("GOOGLETRANSLATE(A17708, ""de"", ""en"")"),"scary")</f>
        <v>scary</v>
      </c>
    </row>
    <row r="17709">
      <c r="A17709" s="1" t="s">
        <v>17708</v>
      </c>
      <c r="B17709" s="2" t="str">
        <f>IFERROR(__xludf.DUMMYFUNCTION("GOOGLETRANSLATE(A17709, ""de"", ""en"")"),"estelle")</f>
        <v>estelle</v>
      </c>
    </row>
    <row r="17710">
      <c r="A17710" s="1" t="s">
        <v>17709</v>
      </c>
      <c r="B17710" s="2" t="str">
        <f>IFERROR(__xludf.DUMMYFUNCTION("GOOGLETRANSLATE(A17710, ""de"", ""en"")"),"tomorrow")</f>
        <v>tomorrow</v>
      </c>
    </row>
    <row r="17711">
      <c r="A17711" s="1" t="s">
        <v>17710</v>
      </c>
      <c r="B17711" s="2" t="str">
        <f>IFERROR(__xludf.DUMMYFUNCTION("GOOGLETRANSLATE(A17711, ""de"", ""en"")"),"turbulence")</f>
        <v>turbulence</v>
      </c>
    </row>
    <row r="17712">
      <c r="A17712" s="1" t="s">
        <v>17711</v>
      </c>
      <c r="B17712" s="2" t="str">
        <f>IFERROR(__xludf.DUMMYFUNCTION("GOOGLETRANSLATE(A17712, ""de"", ""en"")"),"hundreds")</f>
        <v>hundreds</v>
      </c>
    </row>
    <row r="17713">
      <c r="A17713" s="1" t="s">
        <v>17712</v>
      </c>
      <c r="B17713" s="2" t="str">
        <f>IFERROR(__xludf.DUMMYFUNCTION("GOOGLETRANSLATE(A17713, ""de"", ""en"")"),"champions")</f>
        <v>champions</v>
      </c>
    </row>
    <row r="17714">
      <c r="A17714" s="1" t="s">
        <v>17713</v>
      </c>
      <c r="B17714" s="2" t="str">
        <f>IFERROR(__xludf.DUMMYFUNCTION("GOOGLETRANSLATE(A17714, ""de"", ""en"")"),"contact lenses")</f>
        <v>contact lenses</v>
      </c>
    </row>
    <row r="17715">
      <c r="A17715" s="1" t="s">
        <v>17714</v>
      </c>
      <c r="B17715" s="2" t="str">
        <f>IFERROR(__xludf.DUMMYFUNCTION("GOOGLETRANSLATE(A17715, ""de"", ""en"")"),"milady")</f>
        <v>milady</v>
      </c>
    </row>
    <row r="17716">
      <c r="A17716" s="1" t="s">
        <v>17715</v>
      </c>
      <c r="B17716" s="2" t="str">
        <f>IFERROR(__xludf.DUMMYFUNCTION("GOOGLETRANSLATE(A17716, ""de"", ""en"")"),"legions")</f>
        <v>legions</v>
      </c>
    </row>
    <row r="17717">
      <c r="A17717" s="1" t="s">
        <v>17716</v>
      </c>
      <c r="B17717" s="2" t="str">
        <f>IFERROR(__xludf.DUMMYFUNCTION("GOOGLETRANSLATE(A17717, ""de"", ""en"")"),"Waltons")</f>
        <v>Waltons</v>
      </c>
    </row>
    <row r="17718">
      <c r="A17718" s="1" t="s">
        <v>17717</v>
      </c>
      <c r="B17718" s="2" t="str">
        <f>IFERROR(__xludf.DUMMYFUNCTION("GOOGLETRANSLATE(A17718, ""de"", ""en"")"),"necklace")</f>
        <v>necklace</v>
      </c>
    </row>
    <row r="17719">
      <c r="A17719" s="1" t="s">
        <v>17718</v>
      </c>
      <c r="B17719" s="2" t="str">
        <f>IFERROR(__xludf.DUMMYFUNCTION("GOOGLETRANSLATE(A17719, ""de"", ""en"")"),"hopeless")</f>
        <v>hopeless</v>
      </c>
    </row>
    <row r="17720">
      <c r="A17720" s="1" t="s">
        <v>17719</v>
      </c>
      <c r="B17720" s="2" t="str">
        <f>IFERROR(__xludf.DUMMYFUNCTION("GOOGLETRANSLATE(A17720, ""de"", ""en"")"),"register")</f>
        <v>register</v>
      </c>
    </row>
    <row r="17721">
      <c r="A17721" s="1" t="s">
        <v>17720</v>
      </c>
      <c r="B17721" s="2" t="str">
        <f>IFERROR(__xludf.DUMMYFUNCTION("GOOGLETRANSLATE(A17721, ""de"", ""en"")"),"bean")</f>
        <v>bean</v>
      </c>
    </row>
    <row r="17722">
      <c r="A17722" s="1" t="s">
        <v>17721</v>
      </c>
      <c r="B17722" s="2" t="str">
        <f>IFERROR(__xludf.DUMMYFUNCTION("GOOGLETRANSLATE(A17722, ""de"", ""en"")"),"kjeld")</f>
        <v>kjeld</v>
      </c>
    </row>
    <row r="17723">
      <c r="A17723" s="1" t="s">
        <v>17722</v>
      </c>
      <c r="B17723" s="2" t="str">
        <f>IFERROR(__xludf.DUMMYFUNCTION("GOOGLETRANSLATE(A17723, ""de"", ""en"")"),"equal")</f>
        <v>equal</v>
      </c>
    </row>
    <row r="17724">
      <c r="A17724" s="1" t="s">
        <v>17723</v>
      </c>
      <c r="B17724" s="2" t="str">
        <f>IFERROR(__xludf.DUMMYFUNCTION("GOOGLETRANSLATE(A17724, ""de"", ""en"")"),"honored")</f>
        <v>honored</v>
      </c>
    </row>
    <row r="17725">
      <c r="A17725" s="1" t="s">
        <v>17724</v>
      </c>
      <c r="B17725" s="2" t="str">
        <f>IFERROR(__xludf.DUMMYFUNCTION("GOOGLETRANSLATE(A17725, ""de"", ""en"")"),"catering")</f>
        <v>catering</v>
      </c>
    </row>
    <row r="17726">
      <c r="A17726" s="1" t="s">
        <v>17725</v>
      </c>
      <c r="B17726" s="2" t="str">
        <f>IFERROR(__xludf.DUMMYFUNCTION("GOOGLETRANSLATE(A17726, ""de"", ""en"")"),"redhead")</f>
        <v>redhead</v>
      </c>
    </row>
    <row r="17727">
      <c r="A17727" s="1" t="s">
        <v>17726</v>
      </c>
      <c r="B17727" s="2" t="str">
        <f>IFERROR(__xludf.DUMMYFUNCTION("GOOGLETRANSLATE(A17727, ""de"", ""en"")"),"watching")</f>
        <v>watching</v>
      </c>
    </row>
    <row r="17728">
      <c r="A17728" s="1" t="s">
        <v>17727</v>
      </c>
      <c r="B17728" s="2" t="str">
        <f>IFERROR(__xludf.DUMMYFUNCTION("GOOGLETRANSLATE(A17728, ""de"", ""en"")"),"turned out")</f>
        <v>turned out</v>
      </c>
    </row>
    <row r="17729">
      <c r="A17729" s="1" t="s">
        <v>17728</v>
      </c>
      <c r="B17729" s="2" t="str">
        <f>IFERROR(__xludf.DUMMYFUNCTION("GOOGLETRANSLATE(A17729, ""de"", ""en"")"),"to get along")</f>
        <v>to get along</v>
      </c>
    </row>
    <row r="17730">
      <c r="A17730" s="1" t="s">
        <v>17729</v>
      </c>
      <c r="B17730" s="2" t="str">
        <f>IFERROR(__xludf.DUMMYFUNCTION("GOOGLETRANSLATE(A17730, ""de"", ""en"")"),"veins")</f>
        <v>veins</v>
      </c>
    </row>
    <row r="17731">
      <c r="A17731" s="1" t="s">
        <v>17730</v>
      </c>
      <c r="B17731" s="2" t="str">
        <f>IFERROR(__xludf.DUMMYFUNCTION("GOOGLETRANSLATE(A17731, ""de"", ""en"")"),"bitchy")</f>
        <v>bitchy</v>
      </c>
    </row>
    <row r="17732">
      <c r="A17732" s="1" t="s">
        <v>17731</v>
      </c>
      <c r="B17732" s="2" t="str">
        <f>IFERROR(__xludf.DUMMYFUNCTION("GOOGLETRANSLATE(A17732, ""de"", ""en"")"),"Whitman")</f>
        <v>Whitman</v>
      </c>
    </row>
    <row r="17733">
      <c r="A17733" s="1" t="s">
        <v>17732</v>
      </c>
      <c r="B17733" s="2" t="str">
        <f>IFERROR(__xludf.DUMMYFUNCTION("GOOGLETRANSLATE(A17733, ""de"", ""en"")"),"Bertram")</f>
        <v>Bertram</v>
      </c>
    </row>
    <row r="17734">
      <c r="A17734" s="1" t="s">
        <v>17733</v>
      </c>
      <c r="B17734" s="2" t="str">
        <f>IFERROR(__xludf.DUMMYFUNCTION("GOOGLETRANSLATE(A17734, ""de"", ""en"")"),"boot")</f>
        <v>boot</v>
      </c>
    </row>
    <row r="17735">
      <c r="A17735" s="1" t="s">
        <v>17734</v>
      </c>
      <c r="B17735" s="2" t="str">
        <f>IFERROR(__xludf.DUMMYFUNCTION("GOOGLETRANSLATE(A17735, ""de"", ""en"")"),"plane crash")</f>
        <v>plane crash</v>
      </c>
    </row>
    <row r="17736">
      <c r="A17736" s="1" t="s">
        <v>17735</v>
      </c>
      <c r="B17736" s="2" t="str">
        <f>IFERROR(__xludf.DUMMYFUNCTION("GOOGLETRANSLATE(A17736, ""de"", ""en"")"),"split")</f>
        <v>split</v>
      </c>
    </row>
    <row r="17737">
      <c r="A17737" s="1" t="s">
        <v>17736</v>
      </c>
      <c r="B17737" s="2" t="str">
        <f>IFERROR(__xludf.DUMMYFUNCTION("GOOGLETRANSLATE(A17737, ""de"", ""en"")"),"recognized")</f>
        <v>recognized</v>
      </c>
    </row>
    <row r="17738">
      <c r="A17738" s="1" t="s">
        <v>17737</v>
      </c>
      <c r="B17738" s="2" t="str">
        <f>IFERROR(__xludf.DUMMYFUNCTION("GOOGLETRANSLATE(A17738, ""de"", ""en"")"),"transfer")</f>
        <v>transfer</v>
      </c>
    </row>
    <row r="17739">
      <c r="A17739" s="1" t="s">
        <v>17738</v>
      </c>
      <c r="B17739" s="2" t="str">
        <f>IFERROR(__xludf.DUMMYFUNCTION("GOOGLETRANSLATE(A17739, ""de"", ""en"")"),"flexible")</f>
        <v>flexible</v>
      </c>
    </row>
    <row r="17740">
      <c r="A17740" s="1" t="s">
        <v>17739</v>
      </c>
      <c r="B17740" s="2" t="str">
        <f>IFERROR(__xludf.DUMMYFUNCTION("GOOGLETRANSLATE(A17740, ""de"", ""en"")"),"kovac")</f>
        <v>kovac</v>
      </c>
    </row>
    <row r="17741">
      <c r="A17741" s="1" t="s">
        <v>17740</v>
      </c>
      <c r="B17741" s="2" t="str">
        <f>IFERROR(__xludf.DUMMYFUNCTION("GOOGLETRANSLATE(A17741, ""de"", ""en"")"),"widower")</f>
        <v>widower</v>
      </c>
    </row>
    <row r="17742">
      <c r="A17742" s="1" t="s">
        <v>17741</v>
      </c>
      <c r="B17742" s="2" t="str">
        <f>IFERROR(__xludf.DUMMYFUNCTION("GOOGLETRANSLATE(A17742, ""de"", ""en"")"),"stop")</f>
        <v>stop</v>
      </c>
    </row>
    <row r="17743">
      <c r="A17743" s="1" t="s">
        <v>17742</v>
      </c>
      <c r="B17743" s="2" t="str">
        <f>IFERROR(__xludf.DUMMYFUNCTION("GOOGLETRANSLATE(A17743, ""de"", ""en"")"),"building contractor")</f>
        <v>building contractor</v>
      </c>
    </row>
    <row r="17744">
      <c r="A17744" s="1" t="s">
        <v>17743</v>
      </c>
      <c r="B17744" s="2" t="str">
        <f>IFERROR(__xludf.DUMMYFUNCTION("GOOGLETRANSLATE(A17744, ""de"", ""en"")"),"tsar")</f>
        <v>tsar</v>
      </c>
    </row>
    <row r="17745">
      <c r="A17745" s="1" t="s">
        <v>17744</v>
      </c>
      <c r="B17745" s="2" t="str">
        <f>IFERROR(__xludf.DUMMYFUNCTION("GOOGLETRANSLATE(A17745, ""de"", ""en"")"),"dictator")</f>
        <v>dictator</v>
      </c>
    </row>
    <row r="17746">
      <c r="A17746" s="1" t="s">
        <v>17745</v>
      </c>
      <c r="B17746" s="2" t="str">
        <f>IFERROR(__xludf.DUMMYFUNCTION("GOOGLETRANSLATE(A17746, ""de"", ""en"")"),"to make up for")</f>
        <v>to make up for</v>
      </c>
    </row>
    <row r="17747">
      <c r="A17747" s="1" t="s">
        <v>17746</v>
      </c>
      <c r="B17747" s="2" t="str">
        <f>IFERROR(__xludf.DUMMYFUNCTION("GOOGLETRANSLATE(A17747, ""de"", ""en"")"),"started")</f>
        <v>started</v>
      </c>
    </row>
    <row r="17748">
      <c r="A17748" s="1" t="s">
        <v>17747</v>
      </c>
      <c r="B17748" s="2" t="str">
        <f>IFERROR(__xludf.DUMMYFUNCTION("GOOGLETRANSLATE(A17748, ""de"", ""en"")"),"fingernails")</f>
        <v>fingernails</v>
      </c>
    </row>
    <row r="17749">
      <c r="A17749" s="1" t="s">
        <v>17748</v>
      </c>
      <c r="B17749" s="2" t="str">
        <f>IFERROR(__xludf.DUMMYFUNCTION("GOOGLETRANSLATE(A17749, ""de"", ""en"")"),"slipped")</f>
        <v>slipped</v>
      </c>
    </row>
    <row r="17750">
      <c r="A17750" s="1" t="s">
        <v>17749</v>
      </c>
      <c r="B17750" s="2" t="str">
        <f>IFERROR(__xludf.DUMMYFUNCTION("GOOGLETRANSLATE(A17750, ""de"", ""en"")"),"violet")</f>
        <v>violet</v>
      </c>
    </row>
    <row r="17751">
      <c r="A17751" s="1" t="s">
        <v>17750</v>
      </c>
      <c r="B17751" s="2" t="str">
        <f>IFERROR(__xludf.DUMMYFUNCTION("GOOGLETRANSLATE(A17751, ""de"", ""en"")"),"baze")</f>
        <v>baze</v>
      </c>
    </row>
    <row r="17752">
      <c r="A17752" s="1" t="s">
        <v>17751</v>
      </c>
      <c r="B17752" s="2" t="str">
        <f>IFERROR(__xludf.DUMMYFUNCTION("GOOGLETRANSLATE(A17752, ""de"", ""en"")"),"sparks")</f>
        <v>sparks</v>
      </c>
    </row>
    <row r="17753">
      <c r="A17753" s="1" t="s">
        <v>17752</v>
      </c>
      <c r="B17753" s="2" t="str">
        <f>IFERROR(__xludf.DUMMYFUNCTION("GOOGLETRANSLATE(A17753, ""de"", ""en"")"),"braddock")</f>
        <v>braddock</v>
      </c>
    </row>
    <row r="17754">
      <c r="A17754" s="1" t="s">
        <v>17753</v>
      </c>
      <c r="B17754" s="2" t="str">
        <f>IFERROR(__xludf.DUMMYFUNCTION("GOOGLETRANSLATE(A17754, ""de"", ""en"")"),"increases")</f>
        <v>increases</v>
      </c>
    </row>
    <row r="17755">
      <c r="A17755" s="1" t="s">
        <v>17754</v>
      </c>
      <c r="B17755" s="2" t="str">
        <f>IFERROR(__xludf.DUMMYFUNCTION("GOOGLETRANSLATE(A17755, ""de"", ""en"")"),"interrogation")</f>
        <v>interrogation</v>
      </c>
    </row>
    <row r="17756">
      <c r="A17756" s="1" t="s">
        <v>17755</v>
      </c>
      <c r="B17756" s="2" t="str">
        <f>IFERROR(__xludf.DUMMYFUNCTION("GOOGLETRANSLATE(A17756, ""de"", ""en"")"),"porthos")</f>
        <v>porthos</v>
      </c>
    </row>
    <row r="17757">
      <c r="A17757" s="1" t="s">
        <v>17756</v>
      </c>
      <c r="B17757" s="2" t="str">
        <f>IFERROR(__xludf.DUMMYFUNCTION("GOOGLETRANSLATE(A17757, ""de"", ""en"")"),"coats")</f>
        <v>coats</v>
      </c>
    </row>
    <row r="17758">
      <c r="A17758" s="1" t="s">
        <v>17757</v>
      </c>
      <c r="B17758" s="2" t="str">
        <f>IFERROR(__xludf.DUMMYFUNCTION("GOOGLETRANSLATE(A17758, ""de"", ""en"")"),"more cruel")</f>
        <v>more cruel</v>
      </c>
    </row>
    <row r="17759">
      <c r="A17759" s="1" t="s">
        <v>17758</v>
      </c>
      <c r="B17759" s="2" t="str">
        <f>IFERROR(__xludf.DUMMYFUNCTION("GOOGLETRANSLATE(A17759, ""de"", ""en"")"),"upwards")</f>
        <v>upwards</v>
      </c>
    </row>
    <row r="17760">
      <c r="A17760" s="1" t="s">
        <v>17759</v>
      </c>
      <c r="B17760" s="2" t="str">
        <f>IFERROR(__xludf.DUMMYFUNCTION("GOOGLETRANSLATE(A17760, ""de"", ""en"")"),"ignited")</f>
        <v>ignited</v>
      </c>
    </row>
    <row r="17761">
      <c r="A17761" s="1" t="s">
        <v>17760</v>
      </c>
      <c r="B17761" s="2" t="str">
        <f>IFERROR(__xludf.DUMMYFUNCTION("GOOGLETRANSLATE(A17761, ""de"", ""en"")"),"hypnotized")</f>
        <v>hypnotized</v>
      </c>
    </row>
    <row r="17762">
      <c r="A17762" s="1" t="s">
        <v>17761</v>
      </c>
      <c r="B17762" s="2" t="str">
        <f>IFERROR(__xludf.DUMMYFUNCTION("GOOGLETRANSLATE(A17762, ""de"", ""en"")"),"decisive")</f>
        <v>decisive</v>
      </c>
    </row>
    <row r="17763">
      <c r="A17763" s="1" t="s">
        <v>17762</v>
      </c>
      <c r="B17763" s="2" t="str">
        <f>IFERROR(__xludf.DUMMYFUNCTION("GOOGLETRANSLATE(A17763, ""de"", ""en"")"),"steep")</f>
        <v>steep</v>
      </c>
    </row>
    <row r="17764">
      <c r="A17764" s="1" t="s">
        <v>17763</v>
      </c>
      <c r="B17764" s="2" t="str">
        <f>IFERROR(__xludf.DUMMYFUNCTION("GOOGLETRANSLATE(A17764, ""de"", ""en"")"),"breeds")</f>
        <v>breeds</v>
      </c>
    </row>
    <row r="17765">
      <c r="A17765" s="1" t="s">
        <v>17764</v>
      </c>
      <c r="B17765" s="2" t="str">
        <f>IFERROR(__xludf.DUMMYFUNCTION("GOOGLETRANSLATE(A17765, ""de"", ""en"")"),"bowl")</f>
        <v>bowl</v>
      </c>
    </row>
    <row r="17766">
      <c r="A17766" s="1" t="s">
        <v>17765</v>
      </c>
      <c r="B17766" s="2" t="str">
        <f>IFERROR(__xludf.DUMMYFUNCTION("GOOGLETRANSLATE(A17766, ""de"", ""en"")"),"lightning")</f>
        <v>lightning</v>
      </c>
    </row>
    <row r="17767">
      <c r="A17767" s="1" t="s">
        <v>17766</v>
      </c>
      <c r="B17767" s="2" t="str">
        <f>IFERROR(__xludf.DUMMYFUNCTION("GOOGLETRANSLATE(A17767, ""de"", ""en"")"),"nationwide")</f>
        <v>nationwide</v>
      </c>
    </row>
    <row r="17768">
      <c r="A17768" s="1" t="s">
        <v>17767</v>
      </c>
      <c r="B17768" s="2" t="str">
        <f>IFERROR(__xludf.DUMMYFUNCTION("GOOGLETRANSLATE(A17768, ""de"", ""en"")"),"posters")</f>
        <v>posters</v>
      </c>
    </row>
    <row r="17769">
      <c r="A17769" s="1" t="s">
        <v>17768</v>
      </c>
      <c r="B17769" s="2" t="str">
        <f>IFERROR(__xludf.DUMMYFUNCTION("GOOGLETRANSLATE(A17769, ""de"", ""en"")"),"check")</f>
        <v>check</v>
      </c>
    </row>
    <row r="17770">
      <c r="A17770" s="1" t="s">
        <v>17769</v>
      </c>
      <c r="B17770" s="2" t="str">
        <f>IFERROR(__xludf.DUMMYFUNCTION("GOOGLETRANSLATE(A17770, ""de"", ""en"")"),"fool")</f>
        <v>fool</v>
      </c>
    </row>
    <row r="17771">
      <c r="A17771" s="1" t="s">
        <v>17770</v>
      </c>
      <c r="B17771" s="2" t="str">
        <f>IFERROR(__xludf.DUMMYFUNCTION("GOOGLETRANSLATE(A17771, ""de"", ""en"")"),"scope")</f>
        <v>scope</v>
      </c>
    </row>
    <row r="17772">
      <c r="A17772" s="1" t="s">
        <v>17771</v>
      </c>
      <c r="B17772" s="2" t="str">
        <f>IFERROR(__xludf.DUMMYFUNCTION("GOOGLETRANSLATE(A17772, ""de"", ""en"")"),"slogan")</f>
        <v>slogan</v>
      </c>
    </row>
    <row r="17773">
      <c r="A17773" s="1" t="s">
        <v>17772</v>
      </c>
      <c r="B17773" s="2" t="str">
        <f>IFERROR(__xludf.DUMMYFUNCTION("GOOGLETRANSLATE(A17773, ""de"", ""en"")"),"sports friend")</f>
        <v>sports friend</v>
      </c>
    </row>
    <row r="17774">
      <c r="A17774" s="1" t="s">
        <v>17773</v>
      </c>
      <c r="B17774" s="2" t="str">
        <f>IFERROR(__xludf.DUMMYFUNCTION("GOOGLETRANSLATE(A17774, ""de"", ""en"")"),"field marshal")</f>
        <v>field marshal</v>
      </c>
    </row>
    <row r="17775">
      <c r="A17775" s="1" t="s">
        <v>17774</v>
      </c>
      <c r="B17775" s="2" t="str">
        <f>IFERROR(__xludf.DUMMYFUNCTION("GOOGLETRANSLATE(A17775, ""de"", ""en"")"),"mosses")</f>
        <v>mosses</v>
      </c>
    </row>
    <row r="17776">
      <c r="A17776" s="1" t="s">
        <v>17775</v>
      </c>
      <c r="B17776" s="2" t="str">
        <f>IFERROR(__xludf.DUMMYFUNCTION("GOOGLETRANSLATE(A17776, ""de"", ""en"")"),"full throttle")</f>
        <v>full throttle</v>
      </c>
    </row>
    <row r="17777">
      <c r="A17777" s="1" t="s">
        <v>17776</v>
      </c>
      <c r="B17777" s="2" t="str">
        <f>IFERROR(__xludf.DUMMYFUNCTION("GOOGLETRANSLATE(A17777, ""de"", ""en"")"),"confidential")</f>
        <v>confidential</v>
      </c>
    </row>
    <row r="17778">
      <c r="A17778" s="1" t="s">
        <v>17777</v>
      </c>
      <c r="B17778" s="2" t="str">
        <f>IFERROR(__xludf.DUMMYFUNCTION("GOOGLETRANSLATE(A17778, ""de"", ""en"")"),"tooth fairy")</f>
        <v>tooth fairy</v>
      </c>
    </row>
    <row r="17779">
      <c r="A17779" s="1" t="s">
        <v>17778</v>
      </c>
      <c r="B17779" s="2" t="str">
        <f>IFERROR(__xludf.DUMMYFUNCTION("GOOGLETRANSLATE(A17779, ""de"", ""en"")"),"golden")</f>
        <v>golden</v>
      </c>
    </row>
    <row r="17780">
      <c r="A17780" s="1" t="s">
        <v>17779</v>
      </c>
      <c r="B17780" s="2" t="str">
        <f>IFERROR(__xludf.DUMMYFUNCTION("GOOGLETRANSLATE(A17780, ""de"", ""en"")"),"swimming trunks")</f>
        <v>swimming trunks</v>
      </c>
    </row>
    <row r="17781">
      <c r="A17781" s="1" t="s">
        <v>17780</v>
      </c>
      <c r="B17781" s="2" t="str">
        <f>IFERROR(__xludf.DUMMYFUNCTION("GOOGLETRANSLATE(A17781, ""de"", ""en"")"),"gao")</f>
        <v>gao</v>
      </c>
    </row>
    <row r="17782">
      <c r="A17782" s="1" t="s">
        <v>17781</v>
      </c>
      <c r="B17782" s="2" t="str">
        <f>IFERROR(__xludf.DUMMYFUNCTION("GOOGLETRANSLATE(A17782, ""de"", ""en"")"),"jumper")</f>
        <v>jumper</v>
      </c>
    </row>
    <row r="17783">
      <c r="A17783" s="1" t="s">
        <v>17782</v>
      </c>
      <c r="B17783" s="2" t="str">
        <f>IFERROR(__xludf.DUMMYFUNCTION("GOOGLETRANSLATE(A17783, ""de"", ""en"")"),"fails")</f>
        <v>fails</v>
      </c>
    </row>
    <row r="17784">
      <c r="A17784" s="1" t="s">
        <v>17783</v>
      </c>
      <c r="B17784" s="2" t="str">
        <f>IFERROR(__xludf.DUMMYFUNCTION("GOOGLETRANSLATE(A17784, ""de"", ""en"")"),"stories")</f>
        <v>stories</v>
      </c>
    </row>
    <row r="17785">
      <c r="A17785" s="1" t="s">
        <v>17784</v>
      </c>
      <c r="B17785" s="2" t="str">
        <f>IFERROR(__xludf.DUMMYFUNCTION("GOOGLETRANSLATE(A17785, ""de"", ""en"")"),"napkins")</f>
        <v>napkins</v>
      </c>
    </row>
    <row r="17786">
      <c r="A17786" s="1" t="s">
        <v>17785</v>
      </c>
      <c r="B17786" s="2" t="str">
        <f>IFERROR(__xludf.DUMMYFUNCTION("GOOGLETRANSLATE(A17786, ""de"", ""en"")"),"warns")</f>
        <v>warns</v>
      </c>
    </row>
    <row r="17787">
      <c r="A17787" s="1" t="s">
        <v>17786</v>
      </c>
      <c r="B17787" s="2" t="str">
        <f>IFERROR(__xludf.DUMMYFUNCTION("GOOGLETRANSLATE(A17787, ""de"", ""en"")"),"geyser")</f>
        <v>geyser</v>
      </c>
    </row>
    <row r="17788">
      <c r="A17788" s="1" t="s">
        <v>17787</v>
      </c>
      <c r="B17788" s="2" t="str">
        <f>IFERROR(__xludf.DUMMYFUNCTION("GOOGLETRANSLATE(A17788, ""de"", ""en"")"),"to raise")</f>
        <v>to raise</v>
      </c>
    </row>
    <row r="17789">
      <c r="A17789" s="1" t="s">
        <v>17788</v>
      </c>
      <c r="B17789" s="2" t="str">
        <f>IFERROR(__xludf.DUMMYFUNCTION("GOOGLETRANSLATE(A17789, ""de"", ""en"")"),"presented")</f>
        <v>presented</v>
      </c>
    </row>
    <row r="17790">
      <c r="A17790" s="1" t="s">
        <v>17789</v>
      </c>
      <c r="B17790" s="2" t="str">
        <f>IFERROR(__xludf.DUMMYFUNCTION("GOOGLETRANSLATE(A17790, ""de"", ""en"")"),"Darlene")</f>
        <v>Darlene</v>
      </c>
    </row>
    <row r="17791">
      <c r="A17791" s="1" t="s">
        <v>17790</v>
      </c>
      <c r="B17791" s="2" t="str">
        <f>IFERROR(__xludf.DUMMYFUNCTION("GOOGLETRANSLATE(A17791, ""de"", ""en"")"),"plantation")</f>
        <v>plantation</v>
      </c>
    </row>
    <row r="17792">
      <c r="A17792" s="1" t="s">
        <v>17791</v>
      </c>
      <c r="B17792" s="2" t="str">
        <f>IFERROR(__xludf.DUMMYFUNCTION("GOOGLETRANSLATE(A17792, ""de"", ""en"")"),"diplomatic")</f>
        <v>diplomatic</v>
      </c>
    </row>
    <row r="17793">
      <c r="A17793" s="1" t="s">
        <v>17792</v>
      </c>
      <c r="B17793" s="2" t="str">
        <f>IFERROR(__xludf.DUMMYFUNCTION("GOOGLETRANSLATE(A17793, ""de"", ""en"")"),"0k")</f>
        <v>0k</v>
      </c>
    </row>
    <row r="17794">
      <c r="A17794" s="1" t="s">
        <v>17793</v>
      </c>
      <c r="B17794" s="2" t="str">
        <f>IFERROR(__xludf.DUMMYFUNCTION("GOOGLETRANSLATE(A17794, ""de"", ""en"")"),"arms")</f>
        <v>arms</v>
      </c>
    </row>
    <row r="17795">
      <c r="A17795" s="1" t="s">
        <v>17794</v>
      </c>
      <c r="B17795" s="2" t="str">
        <f>IFERROR(__xludf.DUMMYFUNCTION("GOOGLETRANSLATE(A17795, ""de"", ""en"")"),"get drunk")</f>
        <v>get drunk</v>
      </c>
    </row>
    <row r="17796">
      <c r="A17796" s="1" t="s">
        <v>17795</v>
      </c>
      <c r="B17796" s="2" t="str">
        <f>IFERROR(__xludf.DUMMYFUNCTION("GOOGLETRANSLATE(A17796, ""de"", ""en"")"),"sticker")</f>
        <v>sticker</v>
      </c>
    </row>
    <row r="17797">
      <c r="A17797" s="1" t="s">
        <v>17796</v>
      </c>
      <c r="B17797" s="2" t="str">
        <f>IFERROR(__xludf.DUMMYFUNCTION("GOOGLETRANSLATE(A17797, ""de"", ""en"")"),"plague")</f>
        <v>plague</v>
      </c>
    </row>
    <row r="17798">
      <c r="A17798" s="1" t="s">
        <v>17797</v>
      </c>
      <c r="B17798" s="2" t="str">
        <f>IFERROR(__xludf.DUMMYFUNCTION("GOOGLETRANSLATE(A17798, ""de"", ""en"")"),"accident")</f>
        <v>accident</v>
      </c>
    </row>
    <row r="17799">
      <c r="A17799" s="1" t="s">
        <v>17798</v>
      </c>
      <c r="B17799" s="2" t="str">
        <f>IFERROR(__xludf.DUMMYFUNCTION("GOOGLETRANSLATE(A17799, ""de"", ""en"")"),"looked at")</f>
        <v>looked at</v>
      </c>
    </row>
    <row r="17800">
      <c r="A17800" s="1" t="s">
        <v>17799</v>
      </c>
      <c r="B17800" s="2" t="str">
        <f>IFERROR(__xludf.DUMMYFUNCTION("GOOGLETRANSLATE(A17800, ""de"", ""en"")"),"condemned")</f>
        <v>condemned</v>
      </c>
    </row>
    <row r="17801">
      <c r="A17801" s="1" t="s">
        <v>17800</v>
      </c>
      <c r="B17801" s="2" t="str">
        <f>IFERROR(__xludf.DUMMYFUNCTION("GOOGLETRANSLATE(A17801, ""de"", ""en"")"),"to endure")</f>
        <v>to endure</v>
      </c>
    </row>
    <row r="17802">
      <c r="A17802" s="1" t="s">
        <v>17801</v>
      </c>
      <c r="B17802" s="2" t="str">
        <f>IFERROR(__xludf.DUMMYFUNCTION("GOOGLETRANSLATE(A17802, ""de"", ""en"")"),"drink up")</f>
        <v>drink up</v>
      </c>
    </row>
    <row r="17803">
      <c r="A17803" s="1" t="s">
        <v>17802</v>
      </c>
      <c r="B17803" s="2" t="str">
        <f>IFERROR(__xludf.DUMMYFUNCTION("GOOGLETRANSLATE(A17803, ""de"", ""en"")"),"context")</f>
        <v>context</v>
      </c>
    </row>
    <row r="17804">
      <c r="A17804" s="1" t="s">
        <v>17803</v>
      </c>
      <c r="B17804" s="2" t="str">
        <f>IFERROR(__xludf.DUMMYFUNCTION("GOOGLETRANSLATE(A17804, ""de"", ""en"")"),"guinea pigs")</f>
        <v>guinea pigs</v>
      </c>
    </row>
    <row r="17805">
      <c r="A17805" s="1" t="s">
        <v>17804</v>
      </c>
      <c r="B17805" s="2" t="str">
        <f>IFERROR(__xludf.DUMMYFUNCTION("GOOGLETRANSLATE(A17805, ""de"", ""en"")"),"days")</f>
        <v>days</v>
      </c>
    </row>
    <row r="17806">
      <c r="A17806" s="1" t="s">
        <v>17805</v>
      </c>
      <c r="B17806" s="2" t="str">
        <f>IFERROR(__xludf.DUMMYFUNCTION("GOOGLETRANSLATE(A17806, ""de"", ""en"")"),"vinci")</f>
        <v>vinci</v>
      </c>
    </row>
    <row r="17807">
      <c r="A17807" s="1" t="s">
        <v>17806</v>
      </c>
      <c r="B17807" s="2" t="str">
        <f>IFERROR(__xludf.DUMMYFUNCTION("GOOGLETRANSLATE(A17807, ""de"", ""en"")"),"storms")</f>
        <v>storms</v>
      </c>
    </row>
    <row r="17808">
      <c r="A17808" s="1" t="s">
        <v>17807</v>
      </c>
      <c r="B17808" s="2" t="str">
        <f>IFERROR(__xludf.DUMMYFUNCTION("GOOGLETRANSLATE(A17808, ""de"", ""en"")"),"doubts")</f>
        <v>doubts</v>
      </c>
    </row>
    <row r="17809">
      <c r="A17809" s="1" t="s">
        <v>17808</v>
      </c>
      <c r="B17809" s="2" t="str">
        <f>IFERROR(__xludf.DUMMYFUNCTION("GOOGLETRANSLATE(A17809, ""de"", ""en"")"),"plane ticket")</f>
        <v>plane ticket</v>
      </c>
    </row>
    <row r="17810">
      <c r="A17810" s="1" t="s">
        <v>17809</v>
      </c>
      <c r="B17810" s="2" t="str">
        <f>IFERROR(__xludf.DUMMYFUNCTION("GOOGLETRANSLATE(A17810, ""de"", ""en"")"),"editor")</f>
        <v>editor</v>
      </c>
    </row>
    <row r="17811">
      <c r="A17811" s="1" t="s">
        <v>17810</v>
      </c>
      <c r="B17811" s="2" t="str">
        <f>IFERROR(__xludf.DUMMYFUNCTION("GOOGLETRANSLATE(A17811, ""de"", ""en"")"),"lectures")</f>
        <v>lectures</v>
      </c>
    </row>
    <row r="17812">
      <c r="A17812" s="1" t="s">
        <v>17811</v>
      </c>
      <c r="B17812" s="2" t="str">
        <f>IFERROR(__xludf.DUMMYFUNCTION("GOOGLETRANSLATE(A17812, ""de"", ""en"")"),"only child")</f>
        <v>only child</v>
      </c>
    </row>
    <row r="17813">
      <c r="A17813" s="1" t="s">
        <v>17812</v>
      </c>
      <c r="B17813" s="2" t="str">
        <f>IFERROR(__xludf.DUMMYFUNCTION("GOOGLETRANSLATE(A17813, ""de"", ""en"")"),"loving")</f>
        <v>loving</v>
      </c>
    </row>
    <row r="17814">
      <c r="A17814" s="1" t="s">
        <v>17813</v>
      </c>
      <c r="B17814" s="2" t="str">
        <f>IFERROR(__xludf.DUMMYFUNCTION("GOOGLETRANSLATE(A17814, ""de"", ""en"")"),"clear")</f>
        <v>clear</v>
      </c>
    </row>
    <row r="17815">
      <c r="A17815" s="1" t="s">
        <v>17814</v>
      </c>
      <c r="B17815" s="2" t="str">
        <f>IFERROR(__xludf.DUMMYFUNCTION("GOOGLETRANSLATE(A17815, ""de"", ""en"")"),"rushed")</f>
        <v>rushed</v>
      </c>
    </row>
    <row r="17816">
      <c r="A17816" s="1" t="s">
        <v>17815</v>
      </c>
      <c r="B17816" s="2" t="str">
        <f>IFERROR(__xludf.DUMMYFUNCTION("GOOGLETRANSLATE(A17816, ""de"", ""en"")"),"predator")</f>
        <v>predator</v>
      </c>
    </row>
    <row r="17817">
      <c r="A17817" s="1" t="s">
        <v>17816</v>
      </c>
      <c r="B17817" s="2" t="str">
        <f>IFERROR(__xludf.DUMMYFUNCTION("GOOGLETRANSLATE(A17817, ""de"", ""en"")"),"flea market")</f>
        <v>flea market</v>
      </c>
    </row>
    <row r="17818">
      <c r="A17818" s="1" t="s">
        <v>17817</v>
      </c>
      <c r="B17818" s="2" t="str">
        <f>IFERROR(__xludf.DUMMYFUNCTION("GOOGLETRANSLATE(A17818, ""de"", ""en"")"),"nam")</f>
        <v>nam</v>
      </c>
    </row>
    <row r="17819">
      <c r="A17819" s="1" t="s">
        <v>17818</v>
      </c>
      <c r="B17819" s="2" t="str">
        <f>IFERROR(__xludf.DUMMYFUNCTION("GOOGLETRANSLATE(A17819, ""de"", ""en"")"),"gut feeling")</f>
        <v>gut feeling</v>
      </c>
    </row>
    <row r="17820">
      <c r="A17820" s="1" t="s">
        <v>17819</v>
      </c>
      <c r="B17820" s="2" t="str">
        <f>IFERROR(__xludf.DUMMYFUNCTION("GOOGLETRANSLATE(A17820, ""de"", ""en"")"),"compromised")</f>
        <v>compromised</v>
      </c>
    </row>
    <row r="17821">
      <c r="A17821" s="1" t="s">
        <v>17820</v>
      </c>
      <c r="B17821" s="2" t="str">
        <f>IFERROR(__xludf.DUMMYFUNCTION("GOOGLETRANSLATE(A17821, ""de"", ""en"")"),"coconut")</f>
        <v>coconut</v>
      </c>
    </row>
    <row r="17822">
      <c r="A17822" s="1" t="s">
        <v>17821</v>
      </c>
      <c r="B17822" s="2" t="str">
        <f>IFERROR(__xludf.DUMMYFUNCTION("GOOGLETRANSLATE(A17822, ""de"", ""en"")"),"death")</f>
        <v>death</v>
      </c>
    </row>
    <row r="17823">
      <c r="A17823" s="1" t="s">
        <v>17822</v>
      </c>
      <c r="B17823" s="2" t="str">
        <f>IFERROR(__xludf.DUMMYFUNCTION("GOOGLETRANSLATE(A17823, ""de"", ""en"")"),"wilkins")</f>
        <v>wilkins</v>
      </c>
    </row>
    <row r="17824">
      <c r="A17824" s="1" t="s">
        <v>17823</v>
      </c>
      <c r="B17824" s="2" t="str">
        <f>IFERROR(__xludf.DUMMYFUNCTION("GOOGLETRANSLATE(A17824, ""de"", ""en"")"),"paradise")</f>
        <v>paradise</v>
      </c>
    </row>
    <row r="17825">
      <c r="A17825" s="1" t="s">
        <v>17824</v>
      </c>
      <c r="B17825" s="2" t="str">
        <f>IFERROR(__xludf.DUMMYFUNCTION("GOOGLETRANSLATE(A17825, ""de"", ""en"")"),"brush")</f>
        <v>brush</v>
      </c>
    </row>
    <row r="17826">
      <c r="A17826" s="1" t="s">
        <v>17825</v>
      </c>
      <c r="B17826" s="2" t="str">
        <f>IFERROR(__xludf.DUMMYFUNCTION("GOOGLETRANSLATE(A17826, ""de"", ""en"")"),"b.a.")</f>
        <v>b.a.</v>
      </c>
    </row>
    <row r="17827">
      <c r="A17827" s="1" t="s">
        <v>17826</v>
      </c>
      <c r="B17827" s="2" t="str">
        <f>IFERROR(__xludf.DUMMYFUNCTION("GOOGLETRANSLATE(A17827, ""de"", ""en"")"),"disassemble")</f>
        <v>disassemble</v>
      </c>
    </row>
    <row r="17828">
      <c r="A17828" s="1" t="s">
        <v>17827</v>
      </c>
      <c r="B17828" s="2" t="str">
        <f>IFERROR(__xludf.DUMMYFUNCTION("GOOGLETRANSLATE(A17828, ""de"", ""en"")"),"rest")</f>
        <v>rest</v>
      </c>
    </row>
    <row r="17829">
      <c r="A17829" s="1" t="s">
        <v>17828</v>
      </c>
      <c r="B17829" s="2" t="str">
        <f>IFERROR(__xludf.DUMMYFUNCTION("GOOGLETRANSLATE(A17829, ""de"", ""en"")"),"sex life")</f>
        <v>sex life</v>
      </c>
    </row>
    <row r="17830">
      <c r="A17830" s="1" t="s">
        <v>17829</v>
      </c>
      <c r="B17830" s="2" t="str">
        <f>IFERROR(__xludf.DUMMYFUNCTION("GOOGLETRANSLATE(A17830, ""de"", ""en"")"),"taco")</f>
        <v>taco</v>
      </c>
    </row>
    <row r="17831">
      <c r="A17831" s="1" t="s">
        <v>17830</v>
      </c>
      <c r="B17831" s="2" t="str">
        <f>IFERROR(__xludf.DUMMYFUNCTION("GOOGLETRANSLATE(A17831, ""de"", ""en"")"),"thieves")</f>
        <v>thieves</v>
      </c>
    </row>
    <row r="17832">
      <c r="A17832" s="1" t="s">
        <v>17831</v>
      </c>
      <c r="B17832" s="2" t="str">
        <f>IFERROR(__xludf.DUMMYFUNCTION("GOOGLETRANSLATE(A17832, ""de"", ""en"")"),"unnecessary")</f>
        <v>unnecessary</v>
      </c>
    </row>
    <row r="17833">
      <c r="A17833" s="1" t="s">
        <v>17832</v>
      </c>
      <c r="B17833" s="2" t="str">
        <f>IFERROR(__xludf.DUMMYFUNCTION("GOOGLETRANSLATE(A17833, ""de"", ""en"")"),"annoy")</f>
        <v>annoy</v>
      </c>
    </row>
    <row r="17834">
      <c r="A17834" s="1" t="s">
        <v>17833</v>
      </c>
      <c r="B17834" s="2" t="str">
        <f>IFERROR(__xludf.DUMMYFUNCTION("GOOGLETRANSLATE(A17834, ""de"", ""en"")"),"delay")</f>
        <v>delay</v>
      </c>
    </row>
    <row r="17835">
      <c r="A17835" s="1" t="s">
        <v>17834</v>
      </c>
      <c r="B17835" s="2" t="str">
        <f>IFERROR(__xludf.DUMMYFUNCTION("GOOGLETRANSLATE(A17835, ""de"", ""en"")"),"African")</f>
        <v>African</v>
      </c>
    </row>
    <row r="17836">
      <c r="A17836" s="1" t="s">
        <v>17835</v>
      </c>
      <c r="B17836" s="2" t="str">
        <f>IFERROR(__xludf.DUMMYFUNCTION("GOOGLETRANSLATE(A17836, ""de"", ""en"")"),"punch")</f>
        <v>punch</v>
      </c>
    </row>
    <row r="17837">
      <c r="A17837" s="1" t="s">
        <v>17836</v>
      </c>
      <c r="B17837" s="2" t="str">
        <f>IFERROR(__xludf.DUMMYFUNCTION("GOOGLETRANSLATE(A17837, ""de"", ""en"")"),"lifetime")</f>
        <v>lifetime</v>
      </c>
    </row>
    <row r="17838">
      <c r="A17838" s="1" t="s">
        <v>17837</v>
      </c>
      <c r="B17838" s="2" t="str">
        <f>IFERROR(__xludf.DUMMYFUNCTION("GOOGLETRANSLATE(A17838, ""de"", ""en"")"),"bachelors")</f>
        <v>bachelors</v>
      </c>
    </row>
    <row r="17839">
      <c r="A17839" s="1" t="s">
        <v>17838</v>
      </c>
      <c r="B17839" s="2" t="str">
        <f>IFERROR(__xludf.DUMMYFUNCTION("GOOGLETRANSLATE(A17839, ""de"", ""en"")"),"Indian")</f>
        <v>Indian</v>
      </c>
    </row>
    <row r="17840">
      <c r="A17840" s="1" t="s">
        <v>17839</v>
      </c>
      <c r="B17840" s="2" t="str">
        <f>IFERROR(__xludf.DUMMYFUNCTION("GOOGLETRANSLATE(A17840, ""de"", ""en"")"),"boom")</f>
        <v>boom</v>
      </c>
    </row>
    <row r="17841">
      <c r="A17841" s="1" t="s">
        <v>17840</v>
      </c>
      <c r="B17841" s="2" t="str">
        <f>IFERROR(__xludf.DUMMYFUNCTION("GOOGLETRANSLATE(A17841, ""de"", ""en"")"),"Philippines")</f>
        <v>Philippines</v>
      </c>
    </row>
    <row r="17842">
      <c r="A17842" s="1" t="s">
        <v>17841</v>
      </c>
      <c r="B17842" s="2" t="str">
        <f>IFERROR(__xludf.DUMMYFUNCTION("GOOGLETRANSLATE(A17842, ""de"", ""en"")"),"lollipop")</f>
        <v>lollipop</v>
      </c>
    </row>
    <row r="17843">
      <c r="A17843" s="1" t="s">
        <v>17842</v>
      </c>
      <c r="B17843" s="2" t="str">
        <f>IFERROR(__xludf.DUMMYFUNCTION("GOOGLETRANSLATE(A17843, ""de"", ""en"")"),"trajectory")</f>
        <v>trajectory</v>
      </c>
    </row>
    <row r="17844">
      <c r="A17844" s="1" t="s">
        <v>17843</v>
      </c>
      <c r="B17844" s="2" t="str">
        <f>IFERROR(__xludf.DUMMYFUNCTION("GOOGLETRANSLATE(A17844, ""de"", ""en"")"),"Rica")</f>
        <v>Rica</v>
      </c>
    </row>
    <row r="17845">
      <c r="A17845" s="1" t="s">
        <v>17844</v>
      </c>
      <c r="B17845" s="2" t="str">
        <f>IFERROR(__xludf.DUMMYFUNCTION("GOOGLETRANSLATE(A17845, ""de"", ""en"")"),"bring over")</f>
        <v>bring over</v>
      </c>
    </row>
    <row r="17846">
      <c r="A17846" s="1" t="s">
        <v>17845</v>
      </c>
      <c r="B17846" s="2" t="str">
        <f>IFERROR(__xludf.DUMMYFUNCTION("GOOGLETRANSLATE(A17846, ""de"", ""en"")"),"binford")</f>
        <v>binford</v>
      </c>
    </row>
    <row r="17847">
      <c r="A17847" s="1" t="s">
        <v>17846</v>
      </c>
      <c r="B17847" s="2" t="str">
        <f>IFERROR(__xludf.DUMMYFUNCTION("GOOGLETRANSLATE(A17847, ""de"", ""en"")"),"dial tone")</f>
        <v>dial tone</v>
      </c>
    </row>
    <row r="17848">
      <c r="A17848" s="1" t="s">
        <v>17847</v>
      </c>
      <c r="B17848" s="2" t="str">
        <f>IFERROR(__xludf.DUMMYFUNCTION("GOOGLETRANSLATE(A17848, ""de"", ""en"")"),"livia")</f>
        <v>livia</v>
      </c>
    </row>
    <row r="17849">
      <c r="A17849" s="1" t="s">
        <v>17848</v>
      </c>
      <c r="B17849" s="2" t="str">
        <f>IFERROR(__xludf.DUMMYFUNCTION("GOOGLETRANSLATE(A17849, ""de"", ""en"")"),"Waiting room")</f>
        <v>Waiting room</v>
      </c>
    </row>
    <row r="17850">
      <c r="A17850" s="1" t="s">
        <v>17849</v>
      </c>
      <c r="B17850" s="2" t="str">
        <f>IFERROR(__xludf.DUMMYFUNCTION("GOOGLETRANSLATE(A17850, ""de"", ""en"")"),"breads")</f>
        <v>breads</v>
      </c>
    </row>
    <row r="17851">
      <c r="A17851" s="1" t="s">
        <v>17850</v>
      </c>
      <c r="B17851" s="2" t="str">
        <f>IFERROR(__xludf.DUMMYFUNCTION("GOOGLETRANSLATE(A17851, ""de"", ""en"")"),"declined")</f>
        <v>declined</v>
      </c>
    </row>
    <row r="17852">
      <c r="A17852" s="1" t="s">
        <v>17851</v>
      </c>
      <c r="B17852" s="2" t="str">
        <f>IFERROR(__xludf.DUMMYFUNCTION("GOOGLETRANSLATE(A17852, ""de"", ""en"")"),"tolerate")</f>
        <v>tolerate</v>
      </c>
    </row>
    <row r="17853">
      <c r="A17853" s="1" t="s">
        <v>17852</v>
      </c>
      <c r="B17853" s="2" t="str">
        <f>IFERROR(__xludf.DUMMYFUNCTION("GOOGLETRANSLATE(A17853, ""de"", ""en"")"),"professional")</f>
        <v>professional</v>
      </c>
    </row>
    <row r="17854">
      <c r="A17854" s="1" t="s">
        <v>17853</v>
      </c>
      <c r="B17854" s="2" t="str">
        <f>IFERROR(__xludf.DUMMYFUNCTION("GOOGLETRANSLATE(A17854, ""de"", ""en"")"),"momo")</f>
        <v>momo</v>
      </c>
    </row>
    <row r="17855">
      <c r="A17855" s="1" t="s">
        <v>17854</v>
      </c>
      <c r="B17855" s="2" t="str">
        <f>IFERROR(__xludf.DUMMYFUNCTION("GOOGLETRANSLATE(A17855, ""de"", ""en"")"),"fakes")</f>
        <v>fakes</v>
      </c>
    </row>
    <row r="17856">
      <c r="A17856" s="1" t="s">
        <v>17855</v>
      </c>
      <c r="B17856" s="2" t="str">
        <f>IFERROR(__xludf.DUMMYFUNCTION("GOOGLETRANSLATE(A17856, ""de"", ""en"")"),"written")</f>
        <v>written</v>
      </c>
    </row>
    <row r="17857">
      <c r="A17857" s="1" t="s">
        <v>17856</v>
      </c>
      <c r="B17857" s="2" t="str">
        <f>IFERROR(__xludf.DUMMYFUNCTION("GOOGLETRANSLATE(A17857, ""de"", ""en"")"),"rib")</f>
        <v>rib</v>
      </c>
    </row>
    <row r="17858">
      <c r="A17858" s="1" t="s">
        <v>17857</v>
      </c>
      <c r="B17858" s="2" t="str">
        <f>IFERROR(__xludf.DUMMYFUNCTION("GOOGLETRANSLATE(A17858, ""de"", ""en"")"),"send there")</f>
        <v>send there</v>
      </c>
    </row>
    <row r="17859">
      <c r="A17859" s="1" t="s">
        <v>17858</v>
      </c>
      <c r="B17859" s="2" t="str">
        <f>IFERROR(__xludf.DUMMYFUNCTION("GOOGLETRANSLATE(A17859, ""de"", ""en"")"),"swimmer")</f>
        <v>swimmer</v>
      </c>
    </row>
    <row r="17860">
      <c r="A17860" s="1" t="s">
        <v>17859</v>
      </c>
      <c r="B17860" s="2" t="str">
        <f>IFERROR(__xludf.DUMMYFUNCTION("GOOGLETRANSLATE(A17860, ""de"", ""en"")"),"Holger")</f>
        <v>Holger</v>
      </c>
    </row>
    <row r="17861">
      <c r="A17861" s="1" t="s">
        <v>17860</v>
      </c>
      <c r="B17861" s="2" t="str">
        <f>IFERROR(__xludf.DUMMYFUNCTION("GOOGLETRANSLATE(A17861, ""de"", ""en"")"),"things")</f>
        <v>things</v>
      </c>
    </row>
    <row r="17862">
      <c r="A17862" s="1" t="s">
        <v>17861</v>
      </c>
      <c r="B17862" s="2" t="str">
        <f>IFERROR(__xludf.DUMMYFUNCTION("GOOGLETRANSLATE(A17862, ""de"", ""en"")"),"criticized")</f>
        <v>criticized</v>
      </c>
    </row>
    <row r="17863">
      <c r="A17863" s="1" t="s">
        <v>17862</v>
      </c>
      <c r="B17863" s="2" t="str">
        <f>IFERROR(__xludf.DUMMYFUNCTION("GOOGLETRANSLATE(A17863, ""de"", ""en"")"),"stuck")</f>
        <v>stuck</v>
      </c>
    </row>
    <row r="17864">
      <c r="A17864" s="1" t="s">
        <v>17863</v>
      </c>
      <c r="B17864" s="2" t="str">
        <f>IFERROR(__xludf.DUMMYFUNCTION("GOOGLETRANSLATE(A17864, ""de"", ""en"")"),"dynasty")</f>
        <v>dynasty</v>
      </c>
    </row>
    <row r="17865">
      <c r="A17865" s="1" t="s">
        <v>17864</v>
      </c>
      <c r="B17865" s="2" t="str">
        <f>IFERROR(__xludf.DUMMYFUNCTION("GOOGLETRANSLATE(A17865, ""de"", ""en"")"),"beloved")</f>
        <v>beloved</v>
      </c>
    </row>
    <row r="17866">
      <c r="A17866" s="1" t="s">
        <v>17865</v>
      </c>
      <c r="B17866" s="2" t="str">
        <f>IFERROR(__xludf.DUMMYFUNCTION("GOOGLETRANSLATE(A17866, ""de"", ""en"")"),"dear")</f>
        <v>dear</v>
      </c>
    </row>
    <row r="17867">
      <c r="A17867" s="1" t="s">
        <v>17866</v>
      </c>
      <c r="B17867" s="2" t="str">
        <f>IFERROR(__xludf.DUMMYFUNCTION("GOOGLETRANSLATE(A17867, ""de"", ""en"")"),"kylie")</f>
        <v>kylie</v>
      </c>
    </row>
    <row r="17868">
      <c r="A17868" s="1" t="s">
        <v>17867</v>
      </c>
      <c r="B17868" s="2" t="str">
        <f>IFERROR(__xludf.DUMMYFUNCTION("GOOGLETRANSLATE(A17868, ""de"", ""en"")"),"baptize")</f>
        <v>baptize</v>
      </c>
    </row>
    <row r="17869">
      <c r="A17869" s="1" t="s">
        <v>17868</v>
      </c>
      <c r="B17869" s="2" t="str">
        <f>IFERROR(__xludf.DUMMYFUNCTION("GOOGLETRANSLATE(A17869, ""de"", ""en"")"),"increase")</f>
        <v>increase</v>
      </c>
    </row>
    <row r="17870">
      <c r="A17870" s="1" t="s">
        <v>17869</v>
      </c>
      <c r="B17870" s="2" t="str">
        <f>IFERROR(__xludf.DUMMYFUNCTION("GOOGLETRANSLATE(A17870, ""de"", ""en"")"),"thrown off")</f>
        <v>thrown off</v>
      </c>
    </row>
    <row r="17871">
      <c r="A17871" s="1" t="s">
        <v>17870</v>
      </c>
      <c r="B17871" s="2" t="str">
        <f>IFERROR(__xludf.DUMMYFUNCTION("GOOGLETRANSLATE(A17871, ""de"", ""en"")"),"wandered")</f>
        <v>wandered</v>
      </c>
    </row>
    <row r="17872">
      <c r="A17872" s="1" t="s">
        <v>17871</v>
      </c>
      <c r="B17872" s="2" t="str">
        <f>IFERROR(__xludf.DUMMYFUNCTION("GOOGLETRANSLATE(A17872, ""de"", ""en"")"),"prepared")</f>
        <v>prepared</v>
      </c>
    </row>
    <row r="17873">
      <c r="A17873" s="1" t="s">
        <v>17872</v>
      </c>
      <c r="B17873" s="2" t="str">
        <f>IFERROR(__xludf.DUMMYFUNCTION("GOOGLETRANSLATE(A17873, ""de"", ""en"")"),"greyer")</f>
        <v>greyer</v>
      </c>
    </row>
    <row r="17874">
      <c r="A17874" s="1" t="s">
        <v>17873</v>
      </c>
      <c r="B17874" s="2" t="str">
        <f>IFERROR(__xludf.DUMMYFUNCTION("GOOGLETRANSLATE(A17874, ""de"", ""en"")"),"enrique")</f>
        <v>enrique</v>
      </c>
    </row>
    <row r="17875">
      <c r="A17875" s="1" t="s">
        <v>17874</v>
      </c>
      <c r="B17875" s="2" t="str">
        <f>IFERROR(__xludf.DUMMYFUNCTION("GOOGLETRANSLATE(A17875, ""de"", ""en"")"),"New Zealand")</f>
        <v>New Zealand</v>
      </c>
    </row>
    <row r="17876">
      <c r="A17876" s="1" t="s">
        <v>17875</v>
      </c>
      <c r="B17876" s="2" t="str">
        <f>IFERROR(__xludf.DUMMYFUNCTION("GOOGLETRANSLATE(A17876, ""de"", ""en"")"),"burst")</f>
        <v>burst</v>
      </c>
    </row>
    <row r="17877">
      <c r="A17877" s="1" t="s">
        <v>17876</v>
      </c>
      <c r="B17877" s="2" t="str">
        <f>IFERROR(__xludf.DUMMYFUNCTION("GOOGLETRANSLATE(A17877, ""de"", ""en"")"),"cami")</f>
        <v>cami</v>
      </c>
    </row>
    <row r="17878">
      <c r="A17878" s="1" t="s">
        <v>17877</v>
      </c>
      <c r="B17878" s="2" t="str">
        <f>IFERROR(__xludf.DUMMYFUNCTION("GOOGLETRANSLATE(A17878, ""de"", ""en"")"),"anesthesia")</f>
        <v>anesthesia</v>
      </c>
    </row>
    <row r="17879">
      <c r="A17879" s="1" t="s">
        <v>17878</v>
      </c>
      <c r="B17879" s="2" t="str">
        <f>IFERROR(__xludf.DUMMYFUNCTION("GOOGLETRANSLATE(A17879, ""de"", ""en"")"),"target object")</f>
        <v>target object</v>
      </c>
    </row>
    <row r="17880">
      <c r="A17880" s="1" t="s">
        <v>17879</v>
      </c>
      <c r="B17880" s="2" t="str">
        <f>IFERROR(__xludf.DUMMYFUNCTION("GOOGLETRANSLATE(A17880, ""de"", ""en"")"),"drove")</f>
        <v>drove</v>
      </c>
    </row>
    <row r="17881">
      <c r="A17881" s="1" t="s">
        <v>17880</v>
      </c>
      <c r="B17881" s="2" t="str">
        <f>IFERROR(__xludf.DUMMYFUNCTION("GOOGLETRANSLATE(A17881, ""de"", ""en"")"),"restraint")</f>
        <v>restraint</v>
      </c>
    </row>
    <row r="17882">
      <c r="A17882" s="1" t="s">
        <v>17881</v>
      </c>
      <c r="B17882" s="2" t="str">
        <f>IFERROR(__xludf.DUMMYFUNCTION("GOOGLETRANSLATE(A17882, ""de"", ""en"")"),"collapses")</f>
        <v>collapses</v>
      </c>
    </row>
    <row r="17883">
      <c r="A17883" s="1" t="s">
        <v>17882</v>
      </c>
      <c r="B17883" s="2" t="str">
        <f>IFERROR(__xludf.DUMMYFUNCTION("GOOGLETRANSLATE(A17883, ""de"", ""en"")"),"organizations")</f>
        <v>organizations</v>
      </c>
    </row>
    <row r="17884">
      <c r="A17884" s="1" t="s">
        <v>17883</v>
      </c>
      <c r="B17884" s="2" t="str">
        <f>IFERROR(__xludf.DUMMYFUNCTION("GOOGLETRANSLATE(A17884, ""de"", ""en"")"),"leading")</f>
        <v>leading</v>
      </c>
    </row>
    <row r="17885">
      <c r="A17885" s="1" t="s">
        <v>17884</v>
      </c>
      <c r="B17885" s="2" t="str">
        <f>IFERROR(__xludf.DUMMYFUNCTION("GOOGLETRANSLATE(A17885, ""de"", ""en"")"),"idle")</f>
        <v>idle</v>
      </c>
    </row>
    <row r="17886">
      <c r="A17886" s="1" t="s">
        <v>17885</v>
      </c>
      <c r="B17886" s="2" t="str">
        <f>IFERROR(__xludf.DUMMYFUNCTION("GOOGLETRANSLATE(A17886, ""de"", ""en"")"),"hagen")</f>
        <v>hagen</v>
      </c>
    </row>
    <row r="17887">
      <c r="A17887" s="1" t="s">
        <v>17886</v>
      </c>
      <c r="B17887" s="2" t="str">
        <f>IFERROR(__xludf.DUMMYFUNCTION("GOOGLETRANSLATE(A17887, ""de"", ""en"")"),"daily")</f>
        <v>daily</v>
      </c>
    </row>
    <row r="17888">
      <c r="A17888" s="1" t="s">
        <v>17887</v>
      </c>
      <c r="B17888" s="2" t="str">
        <f>IFERROR(__xludf.DUMMYFUNCTION("GOOGLETRANSLATE(A17888, ""de"", ""en"")"),"shan")</f>
        <v>shan</v>
      </c>
    </row>
    <row r="17889">
      <c r="A17889" s="1" t="s">
        <v>17888</v>
      </c>
      <c r="B17889" s="2" t="str">
        <f>IFERROR(__xludf.DUMMYFUNCTION("GOOGLETRANSLATE(A17889, ""de"", ""en"")"),"Ronnie")</f>
        <v>Ronnie</v>
      </c>
    </row>
    <row r="17890">
      <c r="A17890" s="1" t="s">
        <v>17889</v>
      </c>
      <c r="B17890" s="2" t="str">
        <f>IFERROR(__xludf.DUMMYFUNCTION("GOOGLETRANSLATE(A17890, ""de"", ""en"")"),"strapped")</f>
        <v>strapped</v>
      </c>
    </row>
    <row r="17891">
      <c r="A17891" s="1" t="s">
        <v>17890</v>
      </c>
      <c r="B17891" s="2" t="str">
        <f>IFERROR(__xludf.DUMMYFUNCTION("GOOGLETRANSLATE(A17891, ""de"", ""en"")"),"lava")</f>
        <v>lava</v>
      </c>
    </row>
    <row r="17892">
      <c r="A17892" s="1" t="s">
        <v>17891</v>
      </c>
      <c r="B17892" s="2" t="str">
        <f>IFERROR(__xludf.DUMMYFUNCTION("GOOGLETRANSLATE(A17892, ""de"", ""en"")"),"amigos")</f>
        <v>amigos</v>
      </c>
    </row>
    <row r="17893">
      <c r="A17893" s="1" t="s">
        <v>17892</v>
      </c>
      <c r="B17893" s="2" t="str">
        <f>IFERROR(__xludf.DUMMYFUNCTION("GOOGLETRANSLATE(A17893, ""de"", ""en"")"),"suitable")</f>
        <v>suitable</v>
      </c>
    </row>
    <row r="17894">
      <c r="A17894" s="1" t="s">
        <v>17893</v>
      </c>
      <c r="B17894" s="2" t="str">
        <f>IFERROR(__xludf.DUMMYFUNCTION("GOOGLETRANSLATE(A17894, ""de"", ""en"")"),"passed away")</f>
        <v>passed away</v>
      </c>
    </row>
    <row r="17895">
      <c r="A17895" s="1" t="s">
        <v>17894</v>
      </c>
      <c r="B17895" s="2" t="str">
        <f>IFERROR(__xludf.DUMMYFUNCTION("GOOGLETRANSLATE(A17895, ""de"", ""en"")"),"hey")</f>
        <v>hey</v>
      </c>
    </row>
    <row r="17896">
      <c r="A17896" s="1" t="s">
        <v>17895</v>
      </c>
      <c r="B17896" s="2" t="str">
        <f>IFERROR(__xludf.DUMMYFUNCTION("GOOGLETRANSLATE(A17896, ""de"", ""en"")"),"fuss")</f>
        <v>fuss</v>
      </c>
    </row>
    <row r="17897">
      <c r="A17897" s="1" t="s">
        <v>17896</v>
      </c>
      <c r="B17897" s="2" t="str">
        <f>IFERROR(__xludf.DUMMYFUNCTION("GOOGLETRANSLATE(A17897, ""de"", ""en"")"),"more possible")</f>
        <v>more possible</v>
      </c>
    </row>
    <row r="17898">
      <c r="A17898" s="1" t="s">
        <v>17897</v>
      </c>
      <c r="B17898" s="2" t="str">
        <f>IFERROR(__xludf.DUMMYFUNCTION("GOOGLETRANSLATE(A17898, ""de"", ""en"")"),"slide")</f>
        <v>slide</v>
      </c>
    </row>
    <row r="17899">
      <c r="A17899" s="1" t="s">
        <v>17898</v>
      </c>
      <c r="B17899" s="2" t="str">
        <f>IFERROR(__xludf.DUMMYFUNCTION("GOOGLETRANSLATE(A17899, ""de"", ""en"")"),"poacher")</f>
        <v>poacher</v>
      </c>
    </row>
    <row r="17900">
      <c r="A17900" s="1" t="s">
        <v>17899</v>
      </c>
      <c r="B17900" s="2" t="str">
        <f>IFERROR(__xludf.DUMMYFUNCTION("GOOGLETRANSLATE(A17900, ""de"", ""en"")"),"sergio")</f>
        <v>sergio</v>
      </c>
    </row>
    <row r="17901">
      <c r="A17901" s="1" t="s">
        <v>17900</v>
      </c>
      <c r="B17901" s="2" t="str">
        <f>IFERROR(__xludf.DUMMYFUNCTION("GOOGLETRANSLATE(A17901, ""de"", ""en"")"),"folder")</f>
        <v>folder</v>
      </c>
    </row>
    <row r="17902">
      <c r="A17902" s="1" t="s">
        <v>17901</v>
      </c>
      <c r="B17902" s="2" t="str">
        <f>IFERROR(__xludf.DUMMYFUNCTION("GOOGLETRANSLATE(A17902, ""de"", ""en"")"),"would get")</f>
        <v>would get</v>
      </c>
    </row>
    <row r="17903">
      <c r="A17903" s="1" t="s">
        <v>17902</v>
      </c>
      <c r="B17903" s="2" t="str">
        <f>IFERROR(__xludf.DUMMYFUNCTION("GOOGLETRANSLATE(A17903, ""de"", ""en"")"),"speaker")</f>
        <v>speaker</v>
      </c>
    </row>
    <row r="17904">
      <c r="A17904" s="1" t="s">
        <v>17903</v>
      </c>
      <c r="B17904" s="2" t="str">
        <f>IFERROR(__xludf.DUMMYFUNCTION("GOOGLETRANSLATE(A17904, ""de"", ""en"")"),"concerning")</f>
        <v>concerning</v>
      </c>
    </row>
    <row r="17905">
      <c r="A17905" s="1" t="s">
        <v>17904</v>
      </c>
      <c r="B17905" s="2" t="str">
        <f>IFERROR(__xludf.DUMMYFUNCTION("GOOGLETRANSLATE(A17905, ""de"", ""en"")"),"nastier")</f>
        <v>nastier</v>
      </c>
    </row>
    <row r="17906">
      <c r="A17906" s="1" t="s">
        <v>17905</v>
      </c>
      <c r="B17906" s="2" t="str">
        <f>IFERROR(__xludf.DUMMYFUNCTION("GOOGLETRANSLATE(A17906, ""de"", ""en"")"),"scooby")</f>
        <v>scooby</v>
      </c>
    </row>
    <row r="17907">
      <c r="A17907" s="1" t="s">
        <v>17906</v>
      </c>
      <c r="B17907" s="2" t="str">
        <f>IFERROR(__xludf.DUMMYFUNCTION("GOOGLETRANSLATE(A17907, ""de"", ""en"")"),"pisses")</f>
        <v>pisses</v>
      </c>
    </row>
    <row r="17908">
      <c r="A17908" s="1" t="s">
        <v>17907</v>
      </c>
      <c r="B17908" s="2" t="str">
        <f>IFERROR(__xludf.DUMMYFUNCTION("GOOGLETRANSLATE(A17908, ""de"", ""en"")"),"problematic")</f>
        <v>problematic</v>
      </c>
    </row>
    <row r="17909">
      <c r="A17909" s="1" t="s">
        <v>17908</v>
      </c>
      <c r="B17909" s="2" t="str">
        <f>IFERROR(__xludf.DUMMYFUNCTION("GOOGLETRANSLATE(A17909, ""de"", ""en"")"),"stolen")</f>
        <v>stolen</v>
      </c>
    </row>
    <row r="17910">
      <c r="A17910" s="1" t="s">
        <v>17909</v>
      </c>
      <c r="B17910" s="2" t="str">
        <f>IFERROR(__xludf.DUMMYFUNCTION("GOOGLETRANSLATE(A17910, ""de"", ""en"")"),"choice of words")</f>
        <v>choice of words</v>
      </c>
    </row>
    <row r="17911">
      <c r="A17911" s="1" t="s">
        <v>17910</v>
      </c>
      <c r="B17911" s="2" t="str">
        <f>IFERROR(__xludf.DUMMYFUNCTION("GOOGLETRANSLATE(A17911, ""de"", ""en"")"),"athos")</f>
        <v>athos</v>
      </c>
    </row>
    <row r="17912">
      <c r="A17912" s="1" t="s">
        <v>17911</v>
      </c>
      <c r="B17912" s="2" t="str">
        <f>IFERROR(__xludf.DUMMYFUNCTION("GOOGLETRANSLATE(A17912, ""de"", ""en"")"),"sprained")</f>
        <v>sprained</v>
      </c>
    </row>
    <row r="17913">
      <c r="A17913" s="1" t="s">
        <v>17912</v>
      </c>
      <c r="B17913" s="2" t="str">
        <f>IFERROR(__xludf.DUMMYFUNCTION("GOOGLETRANSLATE(A17913, ""de"", ""en"")"),"reginald")</f>
        <v>reginald</v>
      </c>
    </row>
    <row r="17914">
      <c r="A17914" s="1" t="s">
        <v>17913</v>
      </c>
      <c r="B17914" s="2" t="str">
        <f>IFERROR(__xludf.DUMMYFUNCTION("GOOGLETRANSLATE(A17914, ""de"", ""en"")"),"thank you")</f>
        <v>thank you</v>
      </c>
    </row>
    <row r="17915">
      <c r="A17915" s="1" t="s">
        <v>17914</v>
      </c>
      <c r="B17915" s="2" t="str">
        <f>IFERROR(__xludf.DUMMYFUNCTION("GOOGLETRANSLATE(A17915, ""de"", ""en"")"),"hardman")</f>
        <v>hardman</v>
      </c>
    </row>
    <row r="17916">
      <c r="A17916" s="1" t="s">
        <v>17915</v>
      </c>
      <c r="B17916" s="2" t="str">
        <f>IFERROR(__xludf.DUMMYFUNCTION("GOOGLETRANSLATE(A17916, ""de"", ""en"")"),"wasted")</f>
        <v>wasted</v>
      </c>
    </row>
    <row r="17917">
      <c r="A17917" s="1" t="s">
        <v>17916</v>
      </c>
      <c r="B17917" s="2" t="str">
        <f>IFERROR(__xludf.DUMMYFUNCTION("GOOGLETRANSLATE(A17917, ""de"", ""en"")"),"meowed")</f>
        <v>meowed</v>
      </c>
    </row>
    <row r="17918">
      <c r="A17918" s="1" t="s">
        <v>17917</v>
      </c>
      <c r="B17918" s="2" t="str">
        <f>IFERROR(__xludf.DUMMYFUNCTION("GOOGLETRANSLATE(A17918, ""de"", ""en"")"),"video game")</f>
        <v>video game</v>
      </c>
    </row>
    <row r="17919">
      <c r="A17919" s="1" t="s">
        <v>17918</v>
      </c>
      <c r="B17919" s="2" t="str">
        <f>IFERROR(__xludf.DUMMYFUNCTION("GOOGLETRANSLATE(A17919, ""de"", ""en"")"),"acquire")</f>
        <v>acquire</v>
      </c>
    </row>
    <row r="17920">
      <c r="A17920" s="1" t="s">
        <v>17919</v>
      </c>
      <c r="B17920" s="2" t="str">
        <f>IFERROR(__xludf.DUMMYFUNCTION("GOOGLETRANSLATE(A17920, ""de"", ""en"")"),"punchline")</f>
        <v>punchline</v>
      </c>
    </row>
    <row r="17921">
      <c r="A17921" s="1" t="s">
        <v>17920</v>
      </c>
      <c r="B17921" s="2" t="str">
        <f>IFERROR(__xludf.DUMMYFUNCTION("GOOGLETRANSLATE(A17921, ""de"", ""en"")"),"firewall")</f>
        <v>firewall</v>
      </c>
    </row>
    <row r="17922">
      <c r="A17922" s="1" t="s">
        <v>17921</v>
      </c>
      <c r="B17922" s="2" t="str">
        <f>IFERROR(__xludf.DUMMYFUNCTION("GOOGLETRANSLATE(A17922, ""de"", ""en"")"),"swam")</f>
        <v>swam</v>
      </c>
    </row>
    <row r="17923">
      <c r="A17923" s="1" t="s">
        <v>17922</v>
      </c>
      <c r="B17923" s="2" t="str">
        <f>IFERROR(__xludf.DUMMYFUNCTION("GOOGLETRANSLATE(A17923, ""de"", ""en"")"),"water")</f>
        <v>water</v>
      </c>
    </row>
    <row r="17924">
      <c r="A17924" s="1" t="s">
        <v>17923</v>
      </c>
      <c r="B17924" s="2" t="str">
        <f>IFERROR(__xludf.DUMMYFUNCTION("GOOGLETRANSLATE(A17924, ""de"", ""en"")"),"hear")</f>
        <v>hear</v>
      </c>
    </row>
    <row r="17925">
      <c r="A17925" s="1" t="s">
        <v>17924</v>
      </c>
      <c r="B17925" s="2" t="str">
        <f>IFERROR(__xludf.DUMMYFUNCTION("GOOGLETRANSLATE(A17925, ""de"", ""en"")"),"decide")</f>
        <v>decide</v>
      </c>
    </row>
    <row r="17926">
      <c r="A17926" s="1" t="s">
        <v>17925</v>
      </c>
      <c r="B17926" s="2" t="str">
        <f>IFERROR(__xludf.DUMMYFUNCTION("GOOGLETRANSLATE(A17926, ""de"", ""en"")"),"branch")</f>
        <v>branch</v>
      </c>
    </row>
    <row r="17927">
      <c r="A17927" s="1" t="s">
        <v>17926</v>
      </c>
      <c r="B17927" s="2" t="str">
        <f>IFERROR(__xludf.DUMMYFUNCTION("GOOGLETRANSLATE(A17927, ""de"", ""en"")"),"shimmer")</f>
        <v>shimmer</v>
      </c>
    </row>
    <row r="17928">
      <c r="A17928" s="1" t="s">
        <v>17927</v>
      </c>
      <c r="B17928" s="2" t="str">
        <f>IFERROR(__xludf.DUMMYFUNCTION("GOOGLETRANSLATE(A17928, ""de"", ""en"")"),"seal off")</f>
        <v>seal off</v>
      </c>
    </row>
    <row r="17929">
      <c r="A17929" s="1" t="s">
        <v>17928</v>
      </c>
      <c r="B17929" s="2" t="str">
        <f>IFERROR(__xludf.DUMMYFUNCTION("GOOGLETRANSLATE(A17929, ""de"", ""en"")"),"sensible")</f>
        <v>sensible</v>
      </c>
    </row>
    <row r="17930">
      <c r="A17930" s="1" t="s">
        <v>17929</v>
      </c>
      <c r="B17930" s="2" t="str">
        <f>IFERROR(__xludf.DUMMYFUNCTION("GOOGLETRANSLATE(A17930, ""de"", ""en"")"),"kowalski")</f>
        <v>kowalski</v>
      </c>
    </row>
    <row r="17931">
      <c r="A17931" s="1" t="s">
        <v>17930</v>
      </c>
      <c r="B17931" s="2" t="str">
        <f>IFERROR(__xludf.DUMMYFUNCTION("GOOGLETRANSLATE(A17931, ""de"", ""en"")"),"scarce")</f>
        <v>scarce</v>
      </c>
    </row>
    <row r="17932">
      <c r="A17932" s="1" t="s">
        <v>17931</v>
      </c>
      <c r="B17932" s="2" t="str">
        <f>IFERROR(__xludf.DUMMYFUNCTION("GOOGLETRANSLATE(A17932, ""de"", ""en"")"),"outsmart")</f>
        <v>outsmart</v>
      </c>
    </row>
    <row r="17933">
      <c r="A17933" s="1" t="s">
        <v>17932</v>
      </c>
      <c r="B17933" s="2" t="str">
        <f>IFERROR(__xludf.DUMMYFUNCTION("GOOGLETRANSLATE(A17933, ""de"", ""en"")"),"trusted")</f>
        <v>trusted</v>
      </c>
    </row>
    <row r="17934">
      <c r="A17934" s="1" t="s">
        <v>17933</v>
      </c>
      <c r="B17934" s="2" t="str">
        <f>IFERROR(__xludf.DUMMYFUNCTION("GOOGLETRANSLATE(A17934, ""de"", ""en"")"),"Arthur")</f>
        <v>Arthur</v>
      </c>
    </row>
    <row r="17935">
      <c r="A17935" s="1" t="s">
        <v>17934</v>
      </c>
      <c r="B17935" s="2" t="str">
        <f>IFERROR(__xludf.DUMMYFUNCTION("GOOGLETRANSLATE(A17935, ""de"", ""en"")"),"severed")</f>
        <v>severed</v>
      </c>
    </row>
    <row r="17936">
      <c r="A17936" s="1" t="s">
        <v>17935</v>
      </c>
      <c r="B17936" s="2" t="str">
        <f>IFERROR(__xludf.DUMMYFUNCTION("GOOGLETRANSLATE(A17936, ""de"", ""en"")"),"Muslim")</f>
        <v>Muslim</v>
      </c>
    </row>
    <row r="17937">
      <c r="A17937" s="1" t="s">
        <v>17936</v>
      </c>
      <c r="B17937" s="2" t="str">
        <f>IFERROR(__xludf.DUMMYFUNCTION("GOOGLETRANSLATE(A17937, ""de"", ""en"")"),"bent")</f>
        <v>bent</v>
      </c>
    </row>
    <row r="17938">
      <c r="A17938" s="1" t="s">
        <v>17937</v>
      </c>
      <c r="B17938" s="2" t="str">
        <f>IFERROR(__xludf.DUMMYFUNCTION("GOOGLETRANSLATE(A17938, ""de"", ""en"")"),"favorite color")</f>
        <v>favorite color</v>
      </c>
    </row>
    <row r="17939">
      <c r="A17939" s="1" t="s">
        <v>17938</v>
      </c>
      <c r="B17939" s="2" t="str">
        <f>IFERROR(__xludf.DUMMYFUNCTION("GOOGLETRANSLATE(A17939, ""de"", ""en"")"),"visual")</f>
        <v>visual</v>
      </c>
    </row>
    <row r="17940">
      <c r="A17940" s="1" t="s">
        <v>17939</v>
      </c>
      <c r="B17940" s="2" t="str">
        <f>IFERROR(__xludf.DUMMYFUNCTION("GOOGLETRANSLATE(A17940, ""de"", ""en"")"),"harding")</f>
        <v>harding</v>
      </c>
    </row>
    <row r="17941">
      <c r="A17941" s="1" t="s">
        <v>17940</v>
      </c>
      <c r="B17941" s="2" t="str">
        <f>IFERROR(__xludf.DUMMYFUNCTION("GOOGLETRANSLATE(A17941, ""de"", ""en"")"),"ensure")</f>
        <v>ensure</v>
      </c>
    </row>
    <row r="17942">
      <c r="A17942" s="1" t="s">
        <v>17941</v>
      </c>
      <c r="B17942" s="2" t="str">
        <f>IFERROR(__xludf.DUMMYFUNCTION("GOOGLETRANSLATE(A17942, ""de"", ""en"")"),"surprised")</f>
        <v>surprised</v>
      </c>
    </row>
    <row r="17943">
      <c r="A17943" s="1" t="s">
        <v>17942</v>
      </c>
      <c r="B17943" s="2" t="str">
        <f>IFERROR(__xludf.DUMMYFUNCTION("GOOGLETRANSLATE(A17943, ""de"", ""en"")"),"complain")</f>
        <v>complain</v>
      </c>
    </row>
    <row r="17944">
      <c r="A17944" s="1" t="s">
        <v>17943</v>
      </c>
      <c r="B17944" s="2" t="str">
        <f>IFERROR(__xludf.DUMMYFUNCTION("GOOGLETRANSLATE(A17944, ""de"", ""en"")"),"orientation")</f>
        <v>orientation</v>
      </c>
    </row>
    <row r="17945">
      <c r="A17945" s="1" t="s">
        <v>17944</v>
      </c>
      <c r="B17945" s="2" t="str">
        <f>IFERROR(__xludf.DUMMYFUNCTION("GOOGLETRANSLATE(A17945, ""de"", ""en"")"),"dreamed")</f>
        <v>dreamed</v>
      </c>
    </row>
    <row r="17946">
      <c r="A17946" s="1" t="s">
        <v>17945</v>
      </c>
      <c r="B17946" s="2" t="str">
        <f>IFERROR(__xludf.DUMMYFUNCTION("GOOGLETRANSLATE(A17946, ""de"", ""en"")"),"Günther")</f>
        <v>Günther</v>
      </c>
    </row>
    <row r="17947">
      <c r="A17947" s="1" t="s">
        <v>17946</v>
      </c>
      <c r="B17947" s="2" t="str">
        <f>IFERROR(__xludf.DUMMYFUNCTION("GOOGLETRANSLATE(A17947, ""de"", ""en"")"),"arrangement")</f>
        <v>arrangement</v>
      </c>
    </row>
    <row r="17948">
      <c r="A17948" s="1" t="s">
        <v>17947</v>
      </c>
      <c r="B17948" s="2" t="str">
        <f>IFERROR(__xludf.DUMMYFUNCTION("GOOGLETRANSLATE(A17948, ""de"", ""en"")"),"brownies")</f>
        <v>brownies</v>
      </c>
    </row>
    <row r="17949">
      <c r="A17949" s="1" t="s">
        <v>17948</v>
      </c>
      <c r="B17949" s="2" t="str">
        <f>IFERROR(__xludf.DUMMYFUNCTION("GOOGLETRANSLATE(A17949, ""de"", ""en"")"),"ceo")</f>
        <v>ceo</v>
      </c>
    </row>
    <row r="17950">
      <c r="A17950" s="1" t="s">
        <v>17949</v>
      </c>
      <c r="B17950" s="2" t="str">
        <f>IFERROR(__xludf.DUMMYFUNCTION("GOOGLETRANSLATE(A17950, ""de"", ""en"")"),"results")</f>
        <v>results</v>
      </c>
    </row>
    <row r="17951">
      <c r="A17951" s="1" t="s">
        <v>17950</v>
      </c>
      <c r="B17951" s="2" t="str">
        <f>IFERROR(__xludf.DUMMYFUNCTION("GOOGLETRANSLATE(A17951, ""de"", ""en"")"),"pray")</f>
        <v>pray</v>
      </c>
    </row>
    <row r="17952">
      <c r="A17952" s="1" t="s">
        <v>17951</v>
      </c>
      <c r="B17952" s="2" t="str">
        <f>IFERROR(__xludf.DUMMYFUNCTION("GOOGLETRANSLATE(A17952, ""de"", ""en"")"),"lout")</f>
        <v>lout</v>
      </c>
    </row>
    <row r="17953">
      <c r="A17953" s="1" t="s">
        <v>17952</v>
      </c>
      <c r="B17953" s="2" t="str">
        <f>IFERROR(__xludf.DUMMYFUNCTION("GOOGLETRANSLATE(A17953, ""de"", ""en"")"),"biological")</f>
        <v>biological</v>
      </c>
    </row>
    <row r="17954">
      <c r="A17954" s="1" t="s">
        <v>17953</v>
      </c>
      <c r="B17954" s="2" t="str">
        <f>IFERROR(__xludf.DUMMYFUNCTION("GOOGLETRANSLATE(A17954, ""de"", ""en"")"),"duck")</f>
        <v>duck</v>
      </c>
    </row>
    <row r="17955">
      <c r="A17955" s="1" t="s">
        <v>17954</v>
      </c>
      <c r="B17955" s="2" t="str">
        <f>IFERROR(__xludf.DUMMYFUNCTION("GOOGLETRANSLATE(A17955, ""de"", ""en"")"),"lift")</f>
        <v>lift</v>
      </c>
    </row>
    <row r="17956">
      <c r="A17956" s="1" t="s">
        <v>17955</v>
      </c>
      <c r="B17956" s="2" t="str">
        <f>IFERROR(__xludf.DUMMYFUNCTION("GOOGLETRANSLATE(A17956, ""de"", ""en"")"),"racism")</f>
        <v>racism</v>
      </c>
    </row>
    <row r="17957">
      <c r="A17957" s="1" t="s">
        <v>17956</v>
      </c>
      <c r="B17957" s="2" t="str">
        <f>IFERROR(__xludf.DUMMYFUNCTION("GOOGLETRANSLATE(A17957, ""de"", ""en"")"),"slander")</f>
        <v>slander</v>
      </c>
    </row>
    <row r="17958">
      <c r="A17958" s="1" t="s">
        <v>17957</v>
      </c>
      <c r="B17958" s="2" t="str">
        <f>IFERROR(__xludf.DUMMYFUNCTION("GOOGLETRANSLATE(A17958, ""de"", ""en"")"),"forgot")</f>
        <v>forgot</v>
      </c>
    </row>
    <row r="17959">
      <c r="A17959" s="1" t="s">
        <v>17958</v>
      </c>
      <c r="B17959" s="2" t="str">
        <f>IFERROR(__xludf.DUMMYFUNCTION("GOOGLETRANSLATE(A17959, ""de"", ""en"")"),"mini")</f>
        <v>mini</v>
      </c>
    </row>
    <row r="17960">
      <c r="A17960" s="1" t="s">
        <v>17959</v>
      </c>
      <c r="B17960" s="2" t="str">
        <f>IFERROR(__xludf.DUMMYFUNCTION("GOOGLETRANSLATE(A17960, ""de"", ""en"")"),"barbed wire")</f>
        <v>barbed wire</v>
      </c>
    </row>
    <row r="17961">
      <c r="A17961" s="1" t="s">
        <v>17960</v>
      </c>
      <c r="B17961" s="2" t="str">
        <f>IFERROR(__xludf.DUMMYFUNCTION("GOOGLETRANSLATE(A17961, ""de"", ""en"")"),"Dubai")</f>
        <v>Dubai</v>
      </c>
    </row>
    <row r="17962">
      <c r="A17962" s="1" t="s">
        <v>17961</v>
      </c>
      <c r="B17962" s="2" t="str">
        <f>IFERROR(__xludf.DUMMYFUNCTION("GOOGLETRANSLATE(A17962, ""de"", ""en"")"),"more disgusting")</f>
        <v>more disgusting</v>
      </c>
    </row>
    <row r="17963">
      <c r="A17963" s="1" t="s">
        <v>17962</v>
      </c>
      <c r="B17963" s="2" t="str">
        <f>IFERROR(__xludf.DUMMYFUNCTION("GOOGLETRANSLATE(A17963, ""de"", ""en"")"),"jethro")</f>
        <v>jethro</v>
      </c>
    </row>
    <row r="17964">
      <c r="A17964" s="1" t="s">
        <v>17963</v>
      </c>
      <c r="B17964" s="2" t="str">
        <f>IFERROR(__xludf.DUMMYFUNCTION("GOOGLETRANSLATE(A17964, ""de"", ""en"")"),"Milly")</f>
        <v>Milly</v>
      </c>
    </row>
    <row r="17965">
      <c r="A17965" s="1" t="s">
        <v>17964</v>
      </c>
      <c r="B17965" s="2" t="str">
        <f>IFERROR(__xludf.DUMMYFUNCTION("GOOGLETRANSLATE(A17965, ""de"", ""en"")"),"airspace")</f>
        <v>airspace</v>
      </c>
    </row>
    <row r="17966">
      <c r="A17966" s="1" t="s">
        <v>17965</v>
      </c>
      <c r="B17966" s="2" t="str">
        <f>IFERROR(__xludf.DUMMYFUNCTION("GOOGLETRANSLATE(A17966, ""de"", ""en"")"),"cheer")</f>
        <v>cheer</v>
      </c>
    </row>
    <row r="17967">
      <c r="A17967" s="1" t="s">
        <v>17966</v>
      </c>
      <c r="B17967" s="2" t="str">
        <f>IFERROR(__xludf.DUMMYFUNCTION("GOOGLETRANSLATE(A17967, ""de"", ""en"")"),"hochstetter")</f>
        <v>hochstetter</v>
      </c>
    </row>
    <row r="17968">
      <c r="A17968" s="1" t="s">
        <v>17967</v>
      </c>
      <c r="B17968" s="2" t="str">
        <f>IFERROR(__xludf.DUMMYFUNCTION("GOOGLETRANSLATE(A17968, ""de"", ""en"")"),"bad")</f>
        <v>bad</v>
      </c>
    </row>
    <row r="17969">
      <c r="A17969" s="1" t="s">
        <v>17968</v>
      </c>
      <c r="B17969" s="2" t="str">
        <f>IFERROR(__xludf.DUMMYFUNCTION("GOOGLETRANSLATE(A17969, ""de"", ""en"")"),"bugged")</f>
        <v>bugged</v>
      </c>
    </row>
    <row r="17970">
      <c r="A17970" s="1" t="s">
        <v>17969</v>
      </c>
      <c r="B17970" s="2" t="str">
        <f>IFERROR(__xludf.DUMMYFUNCTION("GOOGLETRANSLATE(A17970, ""de"", ""en"")"),"lockwood")</f>
        <v>lockwood</v>
      </c>
    </row>
    <row r="17971">
      <c r="A17971" s="1" t="s">
        <v>17970</v>
      </c>
      <c r="B17971" s="2" t="str">
        <f>IFERROR(__xludf.DUMMYFUNCTION("GOOGLETRANSLATE(A17971, ""de"", ""en"")"),"rusty")</f>
        <v>rusty</v>
      </c>
    </row>
    <row r="17972">
      <c r="A17972" s="1" t="s">
        <v>17971</v>
      </c>
      <c r="B17972" s="2" t="str">
        <f>IFERROR(__xludf.DUMMYFUNCTION("GOOGLETRANSLATE(A17972, ""de"", ""en"")"),"Thad")</f>
        <v>Thad</v>
      </c>
    </row>
    <row r="17973">
      <c r="A17973" s="1" t="s">
        <v>17972</v>
      </c>
      <c r="B17973" s="2" t="str">
        <f>IFERROR(__xludf.DUMMYFUNCTION("GOOGLETRANSLATE(A17973, ""de"", ""en"")"),"visited")</f>
        <v>visited</v>
      </c>
    </row>
    <row r="17974">
      <c r="A17974" s="1" t="s">
        <v>17973</v>
      </c>
      <c r="B17974" s="2" t="str">
        <f>IFERROR(__xludf.DUMMYFUNCTION("GOOGLETRANSLATE(A17974, ""de"", ""en"")"),"checked in")</f>
        <v>checked in</v>
      </c>
    </row>
    <row r="17975">
      <c r="A17975" s="1" t="s">
        <v>17974</v>
      </c>
      <c r="B17975" s="2" t="str">
        <f>IFERROR(__xludf.DUMMYFUNCTION("GOOGLETRANSLATE(A17975, ""de"", ""en"")"),"syndicate")</f>
        <v>syndicate</v>
      </c>
    </row>
    <row r="17976">
      <c r="A17976" s="1" t="s">
        <v>17975</v>
      </c>
      <c r="B17976" s="2" t="str">
        <f>IFERROR(__xludf.DUMMYFUNCTION("GOOGLETRANSLATE(A17976, ""de"", ""en"")"),"aces")</f>
        <v>aces</v>
      </c>
    </row>
    <row r="17977">
      <c r="A17977" s="1" t="s">
        <v>17976</v>
      </c>
      <c r="B17977" s="2" t="str">
        <f>IFERROR(__xludf.DUMMYFUNCTION("GOOGLETRANSLATE(A17977, ""de"", ""en"")"),"California")</f>
        <v>California</v>
      </c>
    </row>
    <row r="17978">
      <c r="A17978" s="1" t="s">
        <v>17977</v>
      </c>
      <c r="B17978" s="2" t="str">
        <f>IFERROR(__xludf.DUMMYFUNCTION("GOOGLETRANSLATE(A17978, ""de"", ""en"")"),"bend")</f>
        <v>bend</v>
      </c>
    </row>
    <row r="17979">
      <c r="A17979" s="1" t="s">
        <v>17978</v>
      </c>
      <c r="B17979" s="2" t="str">
        <f>IFERROR(__xludf.DUMMYFUNCTION("GOOGLETRANSLATE(A17979, ""de"", ""en"")"),"hang")</f>
        <v>hang</v>
      </c>
    </row>
    <row r="17980">
      <c r="A17980" s="1" t="s">
        <v>17979</v>
      </c>
      <c r="B17980" s="2" t="str">
        <f>IFERROR(__xludf.DUMMYFUNCTION("GOOGLETRANSLATE(A17980, ""de"", ""en"")"),"Spider-Man")</f>
        <v>Spider-Man</v>
      </c>
    </row>
    <row r="17981">
      <c r="A17981" s="1" t="s">
        <v>17980</v>
      </c>
      <c r="B17981" s="2" t="str">
        <f>IFERROR(__xludf.DUMMYFUNCTION("GOOGLETRANSLATE(A17981, ""de"", ""en"")"),"trinity")</f>
        <v>trinity</v>
      </c>
    </row>
    <row r="17982">
      <c r="A17982" s="1" t="s">
        <v>17981</v>
      </c>
      <c r="B17982" s="2" t="str">
        <f>IFERROR(__xludf.DUMMYFUNCTION("GOOGLETRANSLATE(A17982, ""de"", ""en"")"),"sudden")</f>
        <v>sudden</v>
      </c>
    </row>
    <row r="17983">
      <c r="A17983" s="1" t="s">
        <v>17982</v>
      </c>
      <c r="B17983" s="2" t="str">
        <f>IFERROR(__xludf.DUMMYFUNCTION("GOOGLETRANSLATE(A17983, ""de"", ""en"")"),"graze")</f>
        <v>graze</v>
      </c>
    </row>
    <row r="17984">
      <c r="A17984" s="1" t="s">
        <v>17983</v>
      </c>
      <c r="B17984" s="2" t="str">
        <f>IFERROR(__xludf.DUMMYFUNCTION("GOOGLETRANSLATE(A17984, ""de"", ""en"")"),"Asians")</f>
        <v>Asians</v>
      </c>
    </row>
    <row r="17985">
      <c r="A17985" s="1" t="s">
        <v>17984</v>
      </c>
      <c r="B17985" s="2" t="str">
        <f>IFERROR(__xludf.DUMMYFUNCTION("GOOGLETRANSLATE(A17985, ""de"", ""en"")"),"firepower")</f>
        <v>firepower</v>
      </c>
    </row>
    <row r="17986">
      <c r="A17986" s="1" t="s">
        <v>17985</v>
      </c>
      <c r="B17986" s="2" t="str">
        <f>IFERROR(__xludf.DUMMYFUNCTION("GOOGLETRANSLATE(A17986, ""de"", ""en"")"),"francois")</f>
        <v>francois</v>
      </c>
    </row>
    <row r="17987">
      <c r="A17987" s="1" t="s">
        <v>17986</v>
      </c>
      <c r="B17987" s="2" t="str">
        <f>IFERROR(__xludf.DUMMYFUNCTION("GOOGLETRANSLATE(A17987, ""de"", ""en"")"),"rivera")</f>
        <v>rivera</v>
      </c>
    </row>
    <row r="17988">
      <c r="A17988" s="1" t="s">
        <v>17987</v>
      </c>
      <c r="B17988" s="2" t="str">
        <f>IFERROR(__xludf.DUMMYFUNCTION("GOOGLETRANSLATE(A17988, ""de"", ""en"")"),"crown")</f>
        <v>crown</v>
      </c>
    </row>
    <row r="17989">
      <c r="A17989" s="1" t="s">
        <v>17988</v>
      </c>
      <c r="B17989" s="2" t="str">
        <f>IFERROR(__xludf.DUMMYFUNCTION("GOOGLETRANSLATE(A17989, ""de"", ""en"")"),"livie")</f>
        <v>livie</v>
      </c>
    </row>
    <row r="17990">
      <c r="A17990" s="1" t="s">
        <v>17989</v>
      </c>
      <c r="B17990" s="2" t="str">
        <f>IFERROR(__xludf.DUMMYFUNCTION("GOOGLETRANSLATE(A17990, ""de"", ""en"")"),"step")</f>
        <v>step</v>
      </c>
    </row>
    <row r="17991">
      <c r="A17991" s="1" t="s">
        <v>17990</v>
      </c>
      <c r="B17991" s="2" t="str">
        <f>IFERROR(__xludf.DUMMYFUNCTION("GOOGLETRANSLATE(A17991, ""de"", ""en"")"),"attention")</f>
        <v>attention</v>
      </c>
    </row>
    <row r="17992">
      <c r="A17992" s="1" t="s">
        <v>17991</v>
      </c>
      <c r="B17992" s="2" t="str">
        <f>IFERROR(__xludf.DUMMYFUNCTION("GOOGLETRANSLATE(A17992, ""de"", ""en"")"),"to cancel")</f>
        <v>to cancel</v>
      </c>
    </row>
    <row r="17993">
      <c r="A17993" s="1" t="s">
        <v>17992</v>
      </c>
      <c r="B17993" s="2" t="str">
        <f>IFERROR(__xludf.DUMMYFUNCTION("GOOGLETRANSLATE(A17993, ""de"", ""en"")"),"sip")</f>
        <v>sip</v>
      </c>
    </row>
    <row r="17994">
      <c r="A17994" s="1" t="s">
        <v>17993</v>
      </c>
      <c r="B17994" s="2" t="str">
        <f>IFERROR(__xludf.DUMMYFUNCTION("GOOGLETRANSLATE(A17994, ""de"", ""en"")"),"mouth")</f>
        <v>mouth</v>
      </c>
    </row>
    <row r="17995">
      <c r="A17995" s="1" t="s">
        <v>17994</v>
      </c>
      <c r="B17995" s="2" t="str">
        <f>IFERROR(__xludf.DUMMYFUNCTION("GOOGLETRANSLATE(A17995, ""de"", ""en"")"),"Athena")</f>
        <v>Athena</v>
      </c>
    </row>
    <row r="17996">
      <c r="A17996" s="1" t="s">
        <v>17995</v>
      </c>
      <c r="B17996" s="2" t="str">
        <f>IFERROR(__xludf.DUMMYFUNCTION("GOOGLETRANSLATE(A17996, ""de"", ""en"")"),"delivered")</f>
        <v>delivered</v>
      </c>
    </row>
    <row r="17997">
      <c r="A17997" s="1" t="s">
        <v>17996</v>
      </c>
      <c r="B17997" s="2" t="str">
        <f>IFERROR(__xludf.DUMMYFUNCTION("GOOGLETRANSLATE(A17997, ""de"", ""en"")"),"individuals")</f>
        <v>individuals</v>
      </c>
    </row>
    <row r="17998">
      <c r="A17998" s="1" t="s">
        <v>17997</v>
      </c>
      <c r="B17998" s="2" t="str">
        <f>IFERROR(__xludf.DUMMYFUNCTION("GOOGLETRANSLATE(A17998, ""de"", ""en"")"),"quarry")</f>
        <v>quarry</v>
      </c>
    </row>
    <row r="17999">
      <c r="A17999" s="1" t="s">
        <v>17998</v>
      </c>
      <c r="B17999" s="2" t="str">
        <f>IFERROR(__xludf.DUMMYFUNCTION("GOOGLETRANSLATE(A17999, ""de"", ""en"")"),"go out")</f>
        <v>go out</v>
      </c>
    </row>
    <row r="18000">
      <c r="A18000" s="1" t="s">
        <v>17999</v>
      </c>
      <c r="B18000" s="2" t="str">
        <f>IFERROR(__xludf.DUMMYFUNCTION("GOOGLETRANSLATE(A18000, ""de"", ""en"")"),"planned")</f>
        <v>planned</v>
      </c>
    </row>
    <row r="18001">
      <c r="A18001" s="1" t="s">
        <v>18000</v>
      </c>
      <c r="B18001" s="2" t="str">
        <f>IFERROR(__xludf.DUMMYFUNCTION("GOOGLETRANSLATE(A18001, ""de"", ""en"")"),"excited")</f>
        <v>excited</v>
      </c>
    </row>
    <row r="18002">
      <c r="A18002" s="1" t="s">
        <v>18001</v>
      </c>
      <c r="B18002" s="2" t="str">
        <f>IFERROR(__xludf.DUMMYFUNCTION("GOOGLETRANSLATE(A18002, ""de"", ""en"")"),"master")</f>
        <v>master</v>
      </c>
    </row>
    <row r="18003">
      <c r="A18003" s="1" t="s">
        <v>18002</v>
      </c>
      <c r="B18003" s="2" t="str">
        <f>IFERROR(__xludf.DUMMYFUNCTION("GOOGLETRANSLATE(A18003, ""de"", ""en"")"),"cult")</f>
        <v>cult</v>
      </c>
    </row>
    <row r="18004">
      <c r="A18004" s="1" t="s">
        <v>18003</v>
      </c>
      <c r="B18004" s="2" t="str">
        <f>IFERROR(__xludf.DUMMYFUNCTION("GOOGLETRANSLATE(A18004, ""de"", ""en"")"),"would bring")</f>
        <v>would bring</v>
      </c>
    </row>
    <row r="18005">
      <c r="A18005" s="1" t="s">
        <v>18004</v>
      </c>
      <c r="B18005" s="2" t="str">
        <f>IFERROR(__xludf.DUMMYFUNCTION("GOOGLETRANSLATE(A18005, ""de"", ""en"")"),"pensioner")</f>
        <v>pensioner</v>
      </c>
    </row>
    <row r="18006">
      <c r="A18006" s="1" t="s">
        <v>18005</v>
      </c>
      <c r="B18006" s="2" t="str">
        <f>IFERROR(__xludf.DUMMYFUNCTION("GOOGLETRANSLATE(A18006, ""de"", ""en"")"),"family members")</f>
        <v>family members</v>
      </c>
    </row>
    <row r="18007">
      <c r="A18007" s="1" t="s">
        <v>18006</v>
      </c>
      <c r="B18007" s="2" t="str">
        <f>IFERROR(__xludf.DUMMYFUNCTION("GOOGLETRANSLATE(A18007, ""de"", ""en"")"),"first class")</f>
        <v>first class</v>
      </c>
    </row>
    <row r="18008">
      <c r="A18008" s="1" t="s">
        <v>18007</v>
      </c>
      <c r="B18008" s="2" t="str">
        <f>IFERROR(__xludf.DUMMYFUNCTION("GOOGLETRANSLATE(A18008, ""de"", ""en"")"),"have with you")</f>
        <v>have with you</v>
      </c>
    </row>
    <row r="18009">
      <c r="A18009" s="1" t="s">
        <v>18008</v>
      </c>
      <c r="B18009" s="2" t="str">
        <f>IFERROR(__xludf.DUMMYFUNCTION("GOOGLETRANSLATE(A18009, ""de"", ""en"")"),"dining room")</f>
        <v>dining room</v>
      </c>
    </row>
    <row r="18010">
      <c r="A18010" s="1" t="s">
        <v>18009</v>
      </c>
      <c r="B18010" s="2" t="str">
        <f>IFERROR(__xludf.DUMMYFUNCTION("GOOGLETRANSLATE(A18010, ""de"", ""en"")"),"jackets")</f>
        <v>jackets</v>
      </c>
    </row>
    <row r="18011">
      <c r="A18011" s="1" t="s">
        <v>18010</v>
      </c>
      <c r="B18011" s="2" t="str">
        <f>IFERROR(__xludf.DUMMYFUNCTION("GOOGLETRANSLATE(A18011, ""de"", ""en"")"),"nakedness")</f>
        <v>nakedness</v>
      </c>
    </row>
    <row r="18012">
      <c r="A18012" s="1" t="s">
        <v>18011</v>
      </c>
      <c r="B18012" s="2" t="str">
        <f>IFERROR(__xludf.DUMMYFUNCTION("GOOGLETRANSLATE(A18012, ""de"", ""en"")"),"scold")</f>
        <v>scold</v>
      </c>
    </row>
    <row r="18013">
      <c r="A18013" s="1" t="s">
        <v>18012</v>
      </c>
      <c r="B18013" s="2" t="str">
        <f>IFERROR(__xludf.DUMMYFUNCTION("GOOGLETRANSLATE(A18013, ""de"", ""en"")"),"harassed")</f>
        <v>harassed</v>
      </c>
    </row>
    <row r="18014">
      <c r="A18014" s="1" t="s">
        <v>18013</v>
      </c>
      <c r="B18014" s="2" t="str">
        <f>IFERROR(__xludf.DUMMYFUNCTION("GOOGLETRANSLATE(A18014, ""de"", ""en"")"),"ahem")</f>
        <v>ahem</v>
      </c>
    </row>
    <row r="18015">
      <c r="A18015" s="1" t="s">
        <v>18014</v>
      </c>
      <c r="B18015" s="2" t="str">
        <f>IFERROR(__xludf.DUMMYFUNCTION("GOOGLETRANSLATE(A18015, ""de"", ""en"")"),"piece of jewelry")</f>
        <v>piece of jewelry</v>
      </c>
    </row>
    <row r="18016">
      <c r="A18016" s="1" t="s">
        <v>18015</v>
      </c>
      <c r="B18016" s="2" t="str">
        <f>IFERROR(__xludf.DUMMYFUNCTION("GOOGLETRANSLATE(A18016, ""de"", ""en"")"),"perjury")</f>
        <v>perjury</v>
      </c>
    </row>
    <row r="18017">
      <c r="A18017" s="1" t="s">
        <v>18016</v>
      </c>
      <c r="B18017" s="2" t="str">
        <f>IFERROR(__xludf.DUMMYFUNCTION("GOOGLETRANSLATE(A18017, ""de"", ""en"")"),"handed over")</f>
        <v>handed over</v>
      </c>
    </row>
    <row r="18018">
      <c r="A18018" s="1" t="s">
        <v>18017</v>
      </c>
      <c r="B18018" s="2" t="str">
        <f>IFERROR(__xludf.DUMMYFUNCTION("GOOGLETRANSLATE(A18018, ""de"", ""en"")"),"damnation")</f>
        <v>damnation</v>
      </c>
    </row>
    <row r="18019">
      <c r="A18019" s="1" t="s">
        <v>18018</v>
      </c>
      <c r="B18019" s="2" t="str">
        <f>IFERROR(__xludf.DUMMYFUNCTION("GOOGLETRANSLATE(A18019, ""de"", ""en"")"),"reported")</f>
        <v>reported</v>
      </c>
    </row>
    <row r="18020">
      <c r="A18020" s="1" t="s">
        <v>18019</v>
      </c>
      <c r="B18020" s="2" t="str">
        <f>IFERROR(__xludf.DUMMYFUNCTION("GOOGLETRANSLATE(A18020, ""de"", ""en"")"),"archers")</f>
        <v>archers</v>
      </c>
    </row>
    <row r="18021">
      <c r="A18021" s="1" t="s">
        <v>18020</v>
      </c>
      <c r="B18021" s="2" t="str">
        <f>IFERROR(__xludf.DUMMYFUNCTION("GOOGLETRANSLATE(A18021, ""de"", ""en"")"),"purchased")</f>
        <v>purchased</v>
      </c>
    </row>
    <row r="18022">
      <c r="A18022" s="1" t="s">
        <v>18021</v>
      </c>
      <c r="B18022" s="2" t="str">
        <f>IFERROR(__xludf.DUMMYFUNCTION("GOOGLETRANSLATE(A18022, ""de"", ""en"")"),"brooch")</f>
        <v>brooch</v>
      </c>
    </row>
    <row r="18023">
      <c r="A18023" s="1" t="s">
        <v>18022</v>
      </c>
      <c r="B18023" s="2" t="str">
        <f>IFERROR(__xludf.DUMMYFUNCTION("GOOGLETRANSLATE(A18023, ""de"", ""en"")"),"postponed")</f>
        <v>postponed</v>
      </c>
    </row>
    <row r="18024">
      <c r="A18024" s="1" t="s">
        <v>18023</v>
      </c>
      <c r="B18024" s="2" t="str">
        <f>IFERROR(__xludf.DUMMYFUNCTION("GOOGLETRANSLATE(A18024, ""de"", ""en"")"),"kwan")</f>
        <v>kwan</v>
      </c>
    </row>
    <row r="18025">
      <c r="A18025" s="1" t="s">
        <v>18024</v>
      </c>
      <c r="B18025" s="2" t="str">
        <f>IFERROR(__xludf.DUMMYFUNCTION("GOOGLETRANSLATE(A18025, ""de"", ""en"")"),"earned")</f>
        <v>earned</v>
      </c>
    </row>
    <row r="18026">
      <c r="A18026" s="1" t="s">
        <v>18025</v>
      </c>
      <c r="B18026" s="2" t="str">
        <f>IFERROR(__xludf.DUMMYFUNCTION("GOOGLETRANSLATE(A18026, ""de"", ""en"")"),"to go back")</f>
        <v>to go back</v>
      </c>
    </row>
    <row r="18027">
      <c r="A18027" s="1" t="s">
        <v>18026</v>
      </c>
      <c r="B18027" s="2" t="str">
        <f>IFERROR(__xludf.DUMMYFUNCTION("GOOGLETRANSLATE(A18027, ""de"", ""en"")"),"yes")</f>
        <v>yes</v>
      </c>
    </row>
    <row r="18028">
      <c r="A18028" s="1" t="s">
        <v>18027</v>
      </c>
      <c r="B18028" s="2" t="str">
        <f>IFERROR(__xludf.DUMMYFUNCTION("GOOGLETRANSLATE(A18028, ""de"", ""en"")"),"smelly")</f>
        <v>smelly</v>
      </c>
    </row>
    <row r="18029">
      <c r="A18029" s="1" t="s">
        <v>18028</v>
      </c>
      <c r="B18029" s="2" t="str">
        <f>IFERROR(__xludf.DUMMYFUNCTION("GOOGLETRANSLATE(A18029, ""de"", ""en"")"),"ponder")</f>
        <v>ponder</v>
      </c>
    </row>
    <row r="18030">
      <c r="A18030" s="1" t="s">
        <v>18029</v>
      </c>
      <c r="B18030" s="2" t="str">
        <f>IFERROR(__xludf.DUMMYFUNCTION("GOOGLETRANSLATE(A18030, ""de"", ""en"")"),"brilliant")</f>
        <v>brilliant</v>
      </c>
    </row>
    <row r="18031">
      <c r="A18031" s="1" t="s">
        <v>18030</v>
      </c>
      <c r="B18031" s="2" t="str">
        <f>IFERROR(__xludf.DUMMYFUNCTION("GOOGLETRANSLATE(A18031, ""de"", ""en"")"),"enlarged")</f>
        <v>enlarged</v>
      </c>
    </row>
    <row r="18032">
      <c r="A18032" s="1" t="s">
        <v>18031</v>
      </c>
      <c r="B18032" s="2" t="str">
        <f>IFERROR(__xludf.DUMMYFUNCTION("GOOGLETRANSLATE(A18032, ""de"", ""en"")"),"legally")</f>
        <v>legally</v>
      </c>
    </row>
    <row r="18033">
      <c r="A18033" s="1" t="s">
        <v>18032</v>
      </c>
      <c r="B18033" s="2" t="str">
        <f>IFERROR(__xludf.DUMMYFUNCTION("GOOGLETRANSLATE(A18033, ""de"", ""en"")"),"katy")</f>
        <v>katy</v>
      </c>
    </row>
    <row r="18034">
      <c r="A18034" s="1" t="s">
        <v>18033</v>
      </c>
      <c r="B18034" s="2" t="str">
        <f>IFERROR(__xludf.DUMMYFUNCTION("GOOGLETRANSLATE(A18034, ""de"", ""en"")"),"redirect")</f>
        <v>redirect</v>
      </c>
    </row>
    <row r="18035">
      <c r="A18035" s="1" t="s">
        <v>18034</v>
      </c>
      <c r="B18035" s="2" t="str">
        <f>IFERROR(__xludf.DUMMYFUNCTION("GOOGLETRANSLATE(A18035, ""de"", ""en"")"),"attractive")</f>
        <v>attractive</v>
      </c>
    </row>
    <row r="18036">
      <c r="A18036" s="1" t="s">
        <v>18035</v>
      </c>
      <c r="B18036" s="2" t="str">
        <f>IFERROR(__xludf.DUMMYFUNCTION("GOOGLETRANSLATE(A18036, ""de"", ""en"")"),"pay off")</f>
        <v>pay off</v>
      </c>
    </row>
    <row r="18037">
      <c r="A18037" s="1" t="s">
        <v>18036</v>
      </c>
      <c r="B18037" s="2" t="str">
        <f>IFERROR(__xludf.DUMMYFUNCTION("GOOGLETRANSLATE(A18037, ""de"", ""en"")"),"greenhouse")</f>
        <v>greenhouse</v>
      </c>
    </row>
    <row r="18038">
      <c r="A18038" s="1" t="s">
        <v>18037</v>
      </c>
      <c r="B18038" s="2" t="str">
        <f>IFERROR(__xludf.DUMMYFUNCTION("GOOGLETRANSLATE(A18038, ""de"", ""en"")"),"unworthy")</f>
        <v>unworthy</v>
      </c>
    </row>
    <row r="18039">
      <c r="A18039" s="1" t="s">
        <v>18038</v>
      </c>
      <c r="B18039" s="2" t="str">
        <f>IFERROR(__xludf.DUMMYFUNCTION("GOOGLETRANSLATE(A18039, ""de"", ""en"")"),"mechanism")</f>
        <v>mechanism</v>
      </c>
    </row>
    <row r="18040">
      <c r="A18040" s="1" t="s">
        <v>18039</v>
      </c>
      <c r="B18040" s="2" t="str">
        <f>IFERROR(__xludf.DUMMYFUNCTION("GOOGLETRANSLATE(A18040, ""de"", ""en"")"),"unreliable")</f>
        <v>unreliable</v>
      </c>
    </row>
    <row r="18041">
      <c r="A18041" s="1" t="s">
        <v>18040</v>
      </c>
      <c r="B18041" s="2" t="str">
        <f>IFERROR(__xludf.DUMMYFUNCTION("GOOGLETRANSLATE(A18041, ""de"", ""en"")"),"moons")</f>
        <v>moons</v>
      </c>
    </row>
    <row r="18042">
      <c r="A18042" s="1" t="s">
        <v>18041</v>
      </c>
      <c r="B18042" s="2" t="str">
        <f>IFERROR(__xludf.DUMMYFUNCTION("GOOGLETRANSLATE(A18042, ""de"", ""en"")"),"tip")</f>
        <v>tip</v>
      </c>
    </row>
    <row r="18043">
      <c r="A18043" s="1" t="s">
        <v>18042</v>
      </c>
      <c r="B18043" s="2" t="str">
        <f>IFERROR(__xludf.DUMMYFUNCTION("GOOGLETRANSLATE(A18043, ""de"", ""en"")"),"non-stop")</f>
        <v>non-stop</v>
      </c>
    </row>
    <row r="18044">
      <c r="A18044" s="1" t="s">
        <v>18043</v>
      </c>
      <c r="B18044" s="2" t="str">
        <f>IFERROR(__xludf.DUMMYFUNCTION("GOOGLETRANSLATE(A18044, ""de"", ""en"")"),"tan")</f>
        <v>tan</v>
      </c>
    </row>
    <row r="18045">
      <c r="A18045" s="1" t="s">
        <v>18044</v>
      </c>
      <c r="B18045" s="2" t="str">
        <f>IFERROR(__xludf.DUMMYFUNCTION("GOOGLETRANSLATE(A18045, ""de"", ""en"")"),"whiteywhiteman")</f>
        <v>whiteywhiteman</v>
      </c>
    </row>
    <row r="18046">
      <c r="A18046" s="1" t="s">
        <v>18045</v>
      </c>
      <c r="B18046" s="2" t="str">
        <f>IFERROR(__xludf.DUMMYFUNCTION("GOOGLETRANSLATE(A18046, ""de"", ""en"")"),"returned")</f>
        <v>returned</v>
      </c>
    </row>
    <row r="18047">
      <c r="A18047" s="1" t="s">
        <v>18046</v>
      </c>
      <c r="B18047" s="2" t="str">
        <f>IFERROR(__xludf.DUMMYFUNCTION("GOOGLETRANSLATE(A18047, ""de"", ""en"")"),"separated")</f>
        <v>separated</v>
      </c>
    </row>
    <row r="18048">
      <c r="A18048" s="1" t="s">
        <v>18047</v>
      </c>
      <c r="B18048" s="2" t="str">
        <f>IFERROR(__xludf.DUMMYFUNCTION("GOOGLETRANSLATE(A18048, ""de"", ""en"")"),"worst")</f>
        <v>worst</v>
      </c>
    </row>
    <row r="18049">
      <c r="A18049" s="1" t="s">
        <v>18048</v>
      </c>
      <c r="B18049" s="2" t="str">
        <f>IFERROR(__xludf.DUMMYFUNCTION("GOOGLETRANSLATE(A18049, ""de"", ""en"")"),"normality")</f>
        <v>normality</v>
      </c>
    </row>
    <row r="18050">
      <c r="A18050" s="1" t="s">
        <v>18049</v>
      </c>
      <c r="B18050" s="2" t="str">
        <f>IFERROR(__xludf.DUMMYFUNCTION("GOOGLETRANSLATE(A18050, ""de"", ""en"")"),"generous")</f>
        <v>generous</v>
      </c>
    </row>
    <row r="18051">
      <c r="A18051" s="1" t="s">
        <v>18050</v>
      </c>
      <c r="B18051" s="2" t="str">
        <f>IFERROR(__xludf.DUMMYFUNCTION("GOOGLETRANSLATE(A18051, ""de"", ""en"")"),"transplantation")</f>
        <v>transplantation</v>
      </c>
    </row>
    <row r="18052">
      <c r="A18052" s="1" t="s">
        <v>18051</v>
      </c>
      <c r="B18052" s="2" t="str">
        <f>IFERROR(__xludf.DUMMYFUNCTION("GOOGLETRANSLATE(A18052, ""de"", ""en"")"),"to think up")</f>
        <v>to think up</v>
      </c>
    </row>
    <row r="18053">
      <c r="A18053" s="1" t="s">
        <v>18052</v>
      </c>
      <c r="B18053" s="2" t="str">
        <f>IFERROR(__xludf.DUMMYFUNCTION("GOOGLETRANSLATE(A18053, ""de"", ""en"")"),"etc.")</f>
        <v>etc.</v>
      </c>
    </row>
    <row r="18054">
      <c r="A18054" s="1" t="s">
        <v>18053</v>
      </c>
      <c r="B18054" s="2" t="str">
        <f>IFERROR(__xludf.DUMMYFUNCTION("GOOGLETRANSLATE(A18054, ""de"", ""en"")"),"more brilliant")</f>
        <v>more brilliant</v>
      </c>
    </row>
    <row r="18055">
      <c r="A18055" s="1" t="s">
        <v>18054</v>
      </c>
      <c r="B18055" s="2" t="str">
        <f>IFERROR(__xludf.DUMMYFUNCTION("GOOGLETRANSLATE(A18055, ""de"", ""en"")"),"orgy")</f>
        <v>orgy</v>
      </c>
    </row>
    <row r="18056">
      <c r="A18056" s="1" t="s">
        <v>18055</v>
      </c>
      <c r="B18056" s="2" t="str">
        <f>IFERROR(__xludf.DUMMYFUNCTION("GOOGLETRANSLATE(A18056, ""de"", ""en"")"),"fraction")</f>
        <v>fraction</v>
      </c>
    </row>
    <row r="18057">
      <c r="A18057" s="1" t="s">
        <v>18056</v>
      </c>
      <c r="B18057" s="2" t="str">
        <f>IFERROR(__xludf.DUMMYFUNCTION("GOOGLETRANSLATE(A18057, ""de"", ""en"")"),"adorable")</f>
        <v>adorable</v>
      </c>
    </row>
    <row r="18058">
      <c r="A18058" s="1" t="s">
        <v>18057</v>
      </c>
      <c r="B18058" s="2" t="str">
        <f>IFERROR(__xludf.DUMMYFUNCTION("GOOGLETRANSLATE(A18058, ""de"", ""en"")"),"Cinderella")</f>
        <v>Cinderella</v>
      </c>
    </row>
    <row r="18059">
      <c r="A18059" s="1" t="s">
        <v>18058</v>
      </c>
      <c r="B18059" s="2" t="str">
        <f>IFERROR(__xludf.DUMMYFUNCTION("GOOGLETRANSLATE(A18059, ""de"", ""en"")"),"vibrations")</f>
        <v>vibrations</v>
      </c>
    </row>
    <row r="18060">
      <c r="A18060" s="1" t="s">
        <v>18059</v>
      </c>
      <c r="B18060" s="2" t="str">
        <f>IFERROR(__xludf.DUMMYFUNCTION("GOOGLETRANSLATE(A18060, ""de"", ""en"")"),"comfort")</f>
        <v>comfort</v>
      </c>
    </row>
    <row r="18061">
      <c r="A18061" s="1" t="s">
        <v>18060</v>
      </c>
      <c r="B18061" s="2" t="str">
        <f>IFERROR(__xludf.DUMMYFUNCTION("GOOGLETRANSLATE(A18061, ""de"", ""en"")"),"more fantastic")</f>
        <v>more fantastic</v>
      </c>
    </row>
    <row r="18062">
      <c r="A18062" s="1" t="s">
        <v>18061</v>
      </c>
      <c r="B18062" s="2" t="str">
        <f>IFERROR(__xludf.DUMMYFUNCTION("GOOGLETRANSLATE(A18062, ""de"", ""en"")"),"gone")</f>
        <v>gone</v>
      </c>
    </row>
    <row r="18063">
      <c r="A18063" s="1" t="s">
        <v>18062</v>
      </c>
      <c r="B18063" s="2" t="str">
        <f>IFERROR(__xludf.DUMMYFUNCTION("GOOGLETRANSLATE(A18063, ""de"", ""en"")"),"tj")</f>
        <v>tj</v>
      </c>
    </row>
    <row r="18064">
      <c r="A18064" s="1" t="s">
        <v>18063</v>
      </c>
      <c r="B18064" s="2" t="str">
        <f>IFERROR(__xludf.DUMMYFUNCTION("GOOGLETRANSLATE(A18064, ""de"", ""en"")"),"caprica")</f>
        <v>caprica</v>
      </c>
    </row>
    <row r="18065">
      <c r="A18065" s="1" t="s">
        <v>18064</v>
      </c>
      <c r="B18065" s="2" t="str">
        <f>IFERROR(__xludf.DUMMYFUNCTION("GOOGLETRANSLATE(A18065, ""de"", ""en"")"),"criminals")</f>
        <v>criminals</v>
      </c>
    </row>
    <row r="18066">
      <c r="A18066" s="1" t="s">
        <v>18065</v>
      </c>
      <c r="B18066" s="2" t="str">
        <f>IFERROR(__xludf.DUMMYFUNCTION("GOOGLETRANSLATE(A18066, ""de"", ""en"")"),"diaries")</f>
        <v>diaries</v>
      </c>
    </row>
    <row r="18067">
      <c r="A18067" s="1" t="s">
        <v>18066</v>
      </c>
      <c r="B18067" s="2" t="str">
        <f>IFERROR(__xludf.DUMMYFUNCTION("GOOGLETRANSLATE(A18067, ""de"", ""en"")"),"healy")</f>
        <v>healy</v>
      </c>
    </row>
    <row r="18068">
      <c r="A18068" s="1" t="s">
        <v>18067</v>
      </c>
      <c r="B18068" s="2" t="str">
        <f>IFERROR(__xludf.DUMMYFUNCTION("GOOGLETRANSLATE(A18068, ""de"", ""en"")"),"bambi")</f>
        <v>bambi</v>
      </c>
    </row>
    <row r="18069">
      <c r="A18069" s="1" t="s">
        <v>18068</v>
      </c>
      <c r="B18069" s="2" t="str">
        <f>IFERROR(__xludf.DUMMYFUNCTION("GOOGLETRANSLATE(A18069, ""de"", ""en"")"),"gigi")</f>
        <v>gigi</v>
      </c>
    </row>
    <row r="18070">
      <c r="A18070" s="1" t="s">
        <v>18069</v>
      </c>
      <c r="B18070" s="2" t="str">
        <f>IFERROR(__xludf.DUMMYFUNCTION("GOOGLETRANSLATE(A18070, ""de"", ""en"")"),"lean")</f>
        <v>lean</v>
      </c>
    </row>
    <row r="18071">
      <c r="A18071" s="1" t="s">
        <v>18070</v>
      </c>
      <c r="B18071" s="2" t="str">
        <f>IFERROR(__xludf.DUMMYFUNCTION("GOOGLETRANSLATE(A18071, ""de"", ""en"")"),"stuff")</f>
        <v>stuff</v>
      </c>
    </row>
    <row r="18072">
      <c r="A18072" s="1" t="s">
        <v>18071</v>
      </c>
      <c r="B18072" s="2" t="str">
        <f>IFERROR(__xludf.DUMMYFUNCTION("GOOGLETRANSLATE(A18072, ""de"", ""en"")"),"malaria")</f>
        <v>malaria</v>
      </c>
    </row>
    <row r="18073">
      <c r="A18073" s="1" t="s">
        <v>18072</v>
      </c>
      <c r="B18073" s="2" t="str">
        <f>IFERROR(__xludf.DUMMYFUNCTION("GOOGLETRANSLATE(A18073, ""de"", ""en"")"),"very last")</f>
        <v>very last</v>
      </c>
    </row>
    <row r="18074">
      <c r="A18074" s="1" t="s">
        <v>18073</v>
      </c>
      <c r="B18074" s="2" t="str">
        <f>IFERROR(__xludf.DUMMYFUNCTION("GOOGLETRANSLATE(A18074, ""de"", ""en"")"),"core")</f>
        <v>core</v>
      </c>
    </row>
    <row r="18075">
      <c r="A18075" s="1" t="s">
        <v>18074</v>
      </c>
      <c r="B18075" s="2" t="str">
        <f>IFERROR(__xludf.DUMMYFUNCTION("GOOGLETRANSLATE(A18075, ""de"", ""en"")"),"blurred")</f>
        <v>blurred</v>
      </c>
    </row>
    <row r="18076">
      <c r="A18076" s="1" t="s">
        <v>18075</v>
      </c>
      <c r="B18076" s="2" t="str">
        <f>IFERROR(__xludf.DUMMYFUNCTION("GOOGLETRANSLATE(A18076, ""de"", ""en"")"),"sling")</f>
        <v>sling</v>
      </c>
    </row>
    <row r="18077">
      <c r="A18077" s="1" t="s">
        <v>18076</v>
      </c>
      <c r="B18077" s="2" t="str">
        <f>IFERROR(__xludf.DUMMYFUNCTION("GOOGLETRANSLATE(A18077, ""de"", ""en"")"),"Tahiti")</f>
        <v>Tahiti</v>
      </c>
    </row>
    <row r="18078">
      <c r="A18078" s="1" t="s">
        <v>18077</v>
      </c>
      <c r="B18078" s="2" t="str">
        <f>IFERROR(__xludf.DUMMYFUNCTION("GOOGLETRANSLATE(A18078, ""de"", ""en"")"),"disguise")</f>
        <v>disguise</v>
      </c>
    </row>
    <row r="18079">
      <c r="A18079" s="1" t="s">
        <v>18078</v>
      </c>
      <c r="B18079" s="2" t="str">
        <f>IFERROR(__xludf.DUMMYFUNCTION("GOOGLETRANSLATE(A18079, ""de"", ""en"")"),"hop")</f>
        <v>hop</v>
      </c>
    </row>
    <row r="18080">
      <c r="A18080" s="1" t="s">
        <v>18079</v>
      </c>
      <c r="B18080" s="2" t="str">
        <f>IFERROR(__xludf.DUMMYFUNCTION("GOOGLETRANSLATE(A18080, ""de"", ""en"")"),"unscrupulous")</f>
        <v>unscrupulous</v>
      </c>
    </row>
    <row r="18081">
      <c r="A18081" s="1" t="s">
        <v>18080</v>
      </c>
      <c r="B18081" s="2" t="str">
        <f>IFERROR(__xludf.DUMMYFUNCTION("GOOGLETRANSLATE(A18081, ""de"", ""en"")"),"get out")</f>
        <v>get out</v>
      </c>
    </row>
    <row r="18082">
      <c r="A18082" s="1" t="s">
        <v>18081</v>
      </c>
      <c r="B18082" s="2" t="str">
        <f>IFERROR(__xludf.DUMMYFUNCTION("GOOGLETRANSLATE(A18082, ""de"", ""en"")"),"bitten")</f>
        <v>bitten</v>
      </c>
    </row>
    <row r="18083">
      <c r="A18083" s="1" t="s">
        <v>18082</v>
      </c>
      <c r="B18083" s="2" t="str">
        <f>IFERROR(__xludf.DUMMYFUNCTION("GOOGLETRANSLATE(A18083, ""de"", ""en"")"),"domino")</f>
        <v>domino</v>
      </c>
    </row>
    <row r="18084">
      <c r="A18084" s="1" t="s">
        <v>18083</v>
      </c>
      <c r="B18084" s="2" t="str">
        <f>IFERROR(__xludf.DUMMYFUNCTION("GOOGLETRANSLATE(A18084, ""de"", ""en"")"),"arsenal")</f>
        <v>arsenal</v>
      </c>
    </row>
    <row r="18085">
      <c r="A18085" s="1" t="s">
        <v>18084</v>
      </c>
      <c r="B18085" s="2" t="str">
        <f>IFERROR(__xludf.DUMMYFUNCTION("GOOGLETRANSLATE(A18085, ""de"", ""en"")"),"unreachable")</f>
        <v>unreachable</v>
      </c>
    </row>
    <row r="18086">
      <c r="A18086" s="1" t="s">
        <v>18085</v>
      </c>
      <c r="B18086" s="2" t="str">
        <f>IFERROR(__xludf.DUMMYFUNCTION("GOOGLETRANSLATE(A18086, ""de"", ""en"")"),"stool")</f>
        <v>stool</v>
      </c>
    </row>
    <row r="18087">
      <c r="A18087" s="1" t="s">
        <v>18086</v>
      </c>
      <c r="B18087" s="2" t="str">
        <f>IFERROR(__xludf.DUMMYFUNCTION("GOOGLETRANSLATE(A18087, ""de"", ""en"")"),"time bomb")</f>
        <v>time bomb</v>
      </c>
    </row>
    <row r="18088">
      <c r="A18088" s="1" t="s">
        <v>18087</v>
      </c>
      <c r="B18088" s="2" t="str">
        <f>IFERROR(__xludf.DUMMYFUNCTION("GOOGLETRANSLATE(A18088, ""de"", ""en"")"),"spaceships")</f>
        <v>spaceships</v>
      </c>
    </row>
    <row r="18089">
      <c r="A18089" s="1" t="s">
        <v>18088</v>
      </c>
      <c r="B18089" s="2" t="str">
        <f>IFERROR(__xludf.DUMMYFUNCTION("GOOGLETRANSLATE(A18089, ""de"", ""en"")"),"low")</f>
        <v>low</v>
      </c>
    </row>
    <row r="18090">
      <c r="A18090" s="1" t="s">
        <v>18089</v>
      </c>
      <c r="B18090" s="2" t="str">
        <f>IFERROR(__xludf.DUMMYFUNCTION("GOOGLETRANSLATE(A18090, ""de"", ""en"")"),"ladies toilet")</f>
        <v>ladies toilet</v>
      </c>
    </row>
    <row r="18091">
      <c r="A18091" s="1" t="s">
        <v>18090</v>
      </c>
      <c r="B18091" s="2" t="str">
        <f>IFERROR(__xludf.DUMMYFUNCTION("GOOGLETRANSLATE(A18091, ""de"", ""en"")"),"purer")</f>
        <v>purer</v>
      </c>
    </row>
    <row r="18092">
      <c r="A18092" s="1" t="s">
        <v>18091</v>
      </c>
      <c r="B18092" s="2" t="str">
        <f>IFERROR(__xludf.DUMMYFUNCTION("GOOGLETRANSLATE(A18092, ""de"", ""en"")"),"clue")</f>
        <v>clue</v>
      </c>
    </row>
    <row r="18093">
      <c r="A18093" s="1" t="s">
        <v>18092</v>
      </c>
      <c r="B18093" s="2" t="str">
        <f>IFERROR(__xludf.DUMMYFUNCTION("GOOGLETRANSLATE(A18093, ""de"", ""en"")"),"gun")</f>
        <v>gun</v>
      </c>
    </row>
    <row r="18094">
      <c r="A18094" s="1" t="s">
        <v>18093</v>
      </c>
      <c r="B18094" s="2" t="str">
        <f>IFERROR(__xludf.DUMMYFUNCTION("GOOGLETRANSLATE(A18094, ""de"", ""en"")"),"widows")</f>
        <v>widows</v>
      </c>
    </row>
    <row r="18095">
      <c r="A18095" s="1" t="s">
        <v>18094</v>
      </c>
      <c r="B18095" s="2" t="str">
        <f>IFERROR(__xludf.DUMMYFUNCTION("GOOGLETRANSLATE(A18095, ""de"", ""en"")"),"drunk")</f>
        <v>drunk</v>
      </c>
    </row>
    <row r="18096">
      <c r="A18096" s="1" t="s">
        <v>18095</v>
      </c>
      <c r="B18096" s="2" t="str">
        <f>IFERROR(__xludf.DUMMYFUNCTION("GOOGLETRANSLATE(A18096, ""de"", ""en"")"),"meanwhile")</f>
        <v>meanwhile</v>
      </c>
    </row>
    <row r="18097">
      <c r="A18097" s="1" t="s">
        <v>18096</v>
      </c>
      <c r="B18097" s="2" t="str">
        <f>IFERROR(__xludf.DUMMYFUNCTION("GOOGLETRANSLATE(A18097, ""de"", ""en"")"),"pastime")</f>
        <v>pastime</v>
      </c>
    </row>
    <row r="18098">
      <c r="A18098" s="1" t="s">
        <v>18097</v>
      </c>
      <c r="B18098" s="2" t="str">
        <f>IFERROR(__xludf.DUMMYFUNCTION("GOOGLETRANSLATE(A18098, ""de"", ""en"")"),"meditation")</f>
        <v>meditation</v>
      </c>
    </row>
    <row r="18099">
      <c r="A18099" s="1" t="s">
        <v>18098</v>
      </c>
      <c r="B18099" s="2" t="str">
        <f>IFERROR(__xludf.DUMMYFUNCTION("GOOGLETRANSLATE(A18099, ""de"", ""en"")"),"pale")</f>
        <v>pale</v>
      </c>
    </row>
    <row r="18100">
      <c r="A18100" s="1" t="s">
        <v>18099</v>
      </c>
      <c r="B18100" s="2" t="str">
        <f>IFERROR(__xludf.DUMMYFUNCTION("GOOGLETRANSLATE(A18100, ""de"", ""en"")"),"cure")</f>
        <v>cure</v>
      </c>
    </row>
    <row r="18101">
      <c r="A18101" s="1" t="s">
        <v>18100</v>
      </c>
      <c r="B18101" s="2" t="str">
        <f>IFERROR(__xludf.DUMMYFUNCTION("GOOGLETRANSLATE(A18101, ""de"", ""en"")"),"prophecies")</f>
        <v>prophecies</v>
      </c>
    </row>
    <row r="18102">
      <c r="A18102" s="1" t="s">
        <v>18101</v>
      </c>
      <c r="B18102" s="2" t="str">
        <f>IFERROR(__xludf.DUMMYFUNCTION("GOOGLETRANSLATE(A18102, ""de"", ""en"")"),"more common")</f>
        <v>more common</v>
      </c>
    </row>
    <row r="18103">
      <c r="A18103" s="1" t="s">
        <v>18102</v>
      </c>
      <c r="B18103" s="2" t="str">
        <f>IFERROR(__xludf.DUMMYFUNCTION("GOOGLETRANSLATE(A18103, ""de"", ""en"")"),"thelma")</f>
        <v>thelma</v>
      </c>
    </row>
    <row r="18104">
      <c r="A18104" s="1" t="s">
        <v>18103</v>
      </c>
      <c r="B18104" s="2" t="str">
        <f>IFERROR(__xludf.DUMMYFUNCTION("GOOGLETRANSLATE(A18104, ""de"", ""en"")"),"haystack")</f>
        <v>haystack</v>
      </c>
    </row>
    <row r="18105">
      <c r="A18105" s="1" t="s">
        <v>18104</v>
      </c>
      <c r="B18105" s="2" t="str">
        <f>IFERROR(__xludf.DUMMYFUNCTION("GOOGLETRANSLATE(A18105, ""de"", ""en"")"),"brochure")</f>
        <v>brochure</v>
      </c>
    </row>
    <row r="18106">
      <c r="A18106" s="1" t="s">
        <v>18105</v>
      </c>
      <c r="B18106" s="2" t="str">
        <f>IFERROR(__xludf.DUMMYFUNCTION("GOOGLETRANSLATE(A18106, ""de"", ""en"")"),"wrapped")</f>
        <v>wrapped</v>
      </c>
    </row>
    <row r="18107">
      <c r="A18107" s="1" t="s">
        <v>18106</v>
      </c>
      <c r="B18107" s="2" t="str">
        <f>IFERROR(__xludf.DUMMYFUNCTION("GOOGLETRANSLATE(A18107, ""de"", ""en"")"),"dungeon")</f>
        <v>dungeon</v>
      </c>
    </row>
    <row r="18108">
      <c r="A18108" s="1" t="s">
        <v>18107</v>
      </c>
      <c r="B18108" s="2" t="str">
        <f>IFERROR(__xludf.DUMMYFUNCTION("GOOGLETRANSLATE(A18108, ""de"", ""en"")"),"cows")</f>
        <v>cows</v>
      </c>
    </row>
    <row r="18109">
      <c r="A18109" s="1" t="s">
        <v>18108</v>
      </c>
      <c r="B18109" s="2" t="str">
        <f>IFERROR(__xludf.DUMMYFUNCTION("GOOGLETRANSLATE(A18109, ""de"", ""en"")"),"Gerhard")</f>
        <v>Gerhard</v>
      </c>
    </row>
    <row r="18110">
      <c r="A18110" s="1" t="s">
        <v>18109</v>
      </c>
      <c r="B18110" s="2" t="str">
        <f>IFERROR(__xludf.DUMMYFUNCTION("GOOGLETRANSLATE(A18110, ""de"", ""en"")"),"rare")</f>
        <v>rare</v>
      </c>
    </row>
    <row r="18111">
      <c r="A18111" s="1" t="s">
        <v>18110</v>
      </c>
      <c r="B18111" s="2" t="str">
        <f>IFERROR(__xludf.DUMMYFUNCTION("GOOGLETRANSLATE(A18111, ""de"", ""en"")"),"awesome")</f>
        <v>awesome</v>
      </c>
    </row>
    <row r="18112">
      <c r="A18112" s="1" t="s">
        <v>18111</v>
      </c>
      <c r="B18112" s="2" t="str">
        <f>IFERROR(__xludf.DUMMYFUNCTION("GOOGLETRANSLATE(A18112, ""de"", ""en"")"),"more unusual")</f>
        <v>more unusual</v>
      </c>
    </row>
    <row r="18113">
      <c r="A18113" s="1" t="s">
        <v>18112</v>
      </c>
      <c r="B18113" s="2" t="str">
        <f>IFERROR(__xludf.DUMMYFUNCTION("GOOGLETRANSLATE(A18113, ""de"", ""en"")"),"exact")</f>
        <v>exact</v>
      </c>
    </row>
    <row r="18114">
      <c r="A18114" s="1" t="s">
        <v>18113</v>
      </c>
      <c r="B18114" s="2" t="str">
        <f>IFERROR(__xludf.DUMMYFUNCTION("GOOGLETRANSLATE(A18114, ""de"", ""en"")"),"cracker")</f>
        <v>cracker</v>
      </c>
    </row>
    <row r="18115">
      <c r="A18115" s="1" t="s">
        <v>18114</v>
      </c>
      <c r="B18115" s="2" t="str">
        <f>IFERROR(__xludf.DUMMYFUNCTION("GOOGLETRANSLATE(A18115, ""de"", ""en"")"),"bureaucracy")</f>
        <v>bureaucracy</v>
      </c>
    </row>
    <row r="18116">
      <c r="A18116" s="1" t="s">
        <v>18115</v>
      </c>
      <c r="B18116" s="2" t="str">
        <f>IFERROR(__xludf.DUMMYFUNCTION("GOOGLETRANSLATE(A18116, ""de"", ""en"")"),"windsor")</f>
        <v>windsor</v>
      </c>
    </row>
    <row r="18117">
      <c r="A18117" s="1" t="s">
        <v>18116</v>
      </c>
      <c r="B18117" s="2" t="str">
        <f>IFERROR(__xludf.DUMMYFUNCTION("GOOGLETRANSLATE(A18117, ""de"", ""en"")"),"register")</f>
        <v>register</v>
      </c>
    </row>
    <row r="18118">
      <c r="A18118" s="1" t="s">
        <v>18117</v>
      </c>
      <c r="B18118" s="2" t="str">
        <f>IFERROR(__xludf.DUMMYFUNCTION("GOOGLETRANSLATE(A18118, ""de"", ""en"")"),"blockbuster")</f>
        <v>blockbuster</v>
      </c>
    </row>
    <row r="18119">
      <c r="A18119" s="1" t="s">
        <v>18118</v>
      </c>
      <c r="B18119" s="2" t="str">
        <f>IFERROR(__xludf.DUMMYFUNCTION("GOOGLETRANSLATE(A18119, ""de"", ""en"")"),"pj")</f>
        <v>pj</v>
      </c>
    </row>
    <row r="18120">
      <c r="A18120" s="1" t="s">
        <v>18119</v>
      </c>
      <c r="B18120" s="2" t="str">
        <f>IFERROR(__xludf.DUMMYFUNCTION("GOOGLETRANSLATE(A18120, ""de"", ""en"")"),"card game")</f>
        <v>card game</v>
      </c>
    </row>
    <row r="18121">
      <c r="A18121" s="1" t="s">
        <v>18120</v>
      </c>
      <c r="B18121" s="2" t="str">
        <f>IFERROR(__xludf.DUMMYFUNCTION("GOOGLETRANSLATE(A18121, ""de"", ""en"")"),"joaquin")</f>
        <v>joaquin</v>
      </c>
    </row>
    <row r="18122">
      <c r="A18122" s="1" t="s">
        <v>18121</v>
      </c>
      <c r="B18122" s="2" t="str">
        <f>IFERROR(__xludf.DUMMYFUNCTION("GOOGLETRANSLATE(A18122, ""de"", ""en"")"),"lil")</f>
        <v>lil</v>
      </c>
    </row>
    <row r="18123">
      <c r="A18123" s="1" t="s">
        <v>18122</v>
      </c>
      <c r="B18123" s="2" t="str">
        <f>IFERROR(__xludf.DUMMYFUNCTION("GOOGLETRANSLATE(A18123, ""de"", ""en"")"),"scoundrels")</f>
        <v>scoundrels</v>
      </c>
    </row>
    <row r="18124">
      <c r="A18124" s="1" t="s">
        <v>18123</v>
      </c>
      <c r="B18124" s="2" t="str">
        <f>IFERROR(__xludf.DUMMYFUNCTION("GOOGLETRANSLATE(A18124, ""de"", ""en"")"),"seen")</f>
        <v>seen</v>
      </c>
    </row>
    <row r="18125">
      <c r="A18125" s="1" t="s">
        <v>18124</v>
      </c>
      <c r="B18125" s="2" t="str">
        <f>IFERROR(__xludf.DUMMYFUNCTION("GOOGLETRANSLATE(A18125, ""de"", ""en"")"),"witness statement")</f>
        <v>witness statement</v>
      </c>
    </row>
    <row r="18126">
      <c r="A18126" s="1" t="s">
        <v>18125</v>
      </c>
      <c r="B18126" s="2" t="str">
        <f>IFERROR(__xludf.DUMMYFUNCTION("GOOGLETRANSLATE(A18126, ""de"", ""en"")"),"excitation")</f>
        <v>excitation</v>
      </c>
    </row>
    <row r="18127">
      <c r="A18127" s="1" t="s">
        <v>18126</v>
      </c>
      <c r="B18127" s="2" t="str">
        <f>IFERROR(__xludf.DUMMYFUNCTION("GOOGLETRANSLATE(A18127, ""de"", ""en"")"),"drawers")</f>
        <v>drawers</v>
      </c>
    </row>
    <row r="18128">
      <c r="A18128" s="1" t="s">
        <v>18127</v>
      </c>
      <c r="B18128" s="2" t="str">
        <f>IFERROR(__xludf.DUMMYFUNCTION("GOOGLETRANSLATE(A18128, ""de"", ""en"")"),"secured")</f>
        <v>secured</v>
      </c>
    </row>
    <row r="18129">
      <c r="A18129" s="1" t="s">
        <v>18128</v>
      </c>
      <c r="B18129" s="2" t="str">
        <f>IFERROR(__xludf.DUMMYFUNCTION("GOOGLETRANSLATE(A18129, ""de"", ""en"")"),"Dutch")</f>
        <v>Dutch</v>
      </c>
    </row>
    <row r="18130">
      <c r="A18130" s="1" t="s">
        <v>18129</v>
      </c>
      <c r="B18130" s="2" t="str">
        <f>IFERROR(__xludf.DUMMYFUNCTION("GOOGLETRANSLATE(A18130, ""de"", ""en"")"),"substances")</f>
        <v>substances</v>
      </c>
    </row>
    <row r="18131">
      <c r="A18131" s="1" t="s">
        <v>18130</v>
      </c>
      <c r="B18131" s="2" t="str">
        <f>IFERROR(__xludf.DUMMYFUNCTION("GOOGLETRANSLATE(A18131, ""de"", ""en"")"),"tori")</f>
        <v>tori</v>
      </c>
    </row>
    <row r="18132">
      <c r="A18132" s="1" t="s">
        <v>18131</v>
      </c>
      <c r="B18132" s="2" t="str">
        <f>IFERROR(__xludf.DUMMYFUNCTION("GOOGLETRANSLATE(A18132, ""de"", ""en"")"),"monarchy")</f>
        <v>monarchy</v>
      </c>
    </row>
    <row r="18133">
      <c r="A18133" s="1" t="s">
        <v>18132</v>
      </c>
      <c r="B18133" s="2" t="str">
        <f>IFERROR(__xludf.DUMMYFUNCTION("GOOGLETRANSLATE(A18133, ""de"", ""en"")"),"doubt")</f>
        <v>doubt</v>
      </c>
    </row>
    <row r="18134">
      <c r="A18134" s="1" t="s">
        <v>18133</v>
      </c>
      <c r="B18134" s="2" t="str">
        <f>IFERROR(__xludf.DUMMYFUNCTION("GOOGLETRANSLATE(A18134, ""de"", ""en"")"),"made")</f>
        <v>made</v>
      </c>
    </row>
    <row r="18135">
      <c r="A18135" s="1" t="s">
        <v>18134</v>
      </c>
      <c r="B18135" s="2" t="str">
        <f>IFERROR(__xludf.DUMMYFUNCTION("GOOGLETRANSLATE(A18135, ""de"", ""en"")"),"will")</f>
        <v>will</v>
      </c>
    </row>
    <row r="18136">
      <c r="A18136" s="1" t="s">
        <v>18135</v>
      </c>
      <c r="B18136" s="2" t="str">
        <f>IFERROR(__xludf.DUMMYFUNCTION("GOOGLETRANSLATE(A18136, ""de"", ""en"")"),"bridesmaid")</f>
        <v>bridesmaid</v>
      </c>
    </row>
    <row r="18137">
      <c r="A18137" s="1" t="s">
        <v>18136</v>
      </c>
      <c r="B18137" s="2" t="str">
        <f>IFERROR(__xludf.DUMMYFUNCTION("GOOGLETRANSLATE(A18137, ""de"", ""en"")"),"oblige")</f>
        <v>oblige</v>
      </c>
    </row>
    <row r="18138">
      <c r="A18138" s="1" t="s">
        <v>18137</v>
      </c>
      <c r="B18138" s="2" t="str">
        <f>IFERROR(__xludf.DUMMYFUNCTION("GOOGLETRANSLATE(A18138, ""de"", ""en"")"),"ku")</f>
        <v>ku</v>
      </c>
    </row>
    <row r="18139">
      <c r="A18139" s="1" t="s">
        <v>18138</v>
      </c>
      <c r="B18139" s="2" t="str">
        <f>IFERROR(__xludf.DUMMYFUNCTION("GOOGLETRANSLATE(A18139, ""de"", ""en"")"),"awards")</f>
        <v>awards</v>
      </c>
    </row>
    <row r="18140">
      <c r="A18140" s="1" t="s">
        <v>18139</v>
      </c>
      <c r="B18140" s="2" t="str">
        <f>IFERROR(__xludf.DUMMYFUNCTION("GOOGLETRANSLATE(A18140, ""de"", ""en"")"),"Portuguese")</f>
        <v>Portuguese</v>
      </c>
    </row>
    <row r="18141">
      <c r="A18141" s="1" t="s">
        <v>18140</v>
      </c>
      <c r="B18141" s="2" t="str">
        <f>IFERROR(__xludf.DUMMYFUNCTION("GOOGLETRANSLATE(A18141, ""de"", ""en"")"),"emptier")</f>
        <v>emptier</v>
      </c>
    </row>
    <row r="18142">
      <c r="A18142" s="1" t="s">
        <v>18141</v>
      </c>
      <c r="B18142" s="2" t="str">
        <f>IFERROR(__xludf.DUMMYFUNCTION("GOOGLETRANSLATE(A18142, ""de"", ""en"")"),"fight")</f>
        <v>fight</v>
      </c>
    </row>
    <row r="18143">
      <c r="A18143" s="1" t="s">
        <v>18142</v>
      </c>
      <c r="B18143" s="2" t="str">
        <f>IFERROR(__xludf.DUMMYFUNCTION("GOOGLETRANSLATE(A18143, ""de"", ""en"")"),"employment")</f>
        <v>employment</v>
      </c>
    </row>
    <row r="18144">
      <c r="A18144" s="1" t="s">
        <v>18143</v>
      </c>
      <c r="B18144" s="2" t="str">
        <f>IFERROR(__xludf.DUMMYFUNCTION("GOOGLETRANSLATE(A18144, ""de"", ""en"")"),"plasma")</f>
        <v>plasma</v>
      </c>
    </row>
    <row r="18145">
      <c r="A18145" s="1" t="s">
        <v>18144</v>
      </c>
      <c r="B18145" s="2" t="str">
        <f>IFERROR(__xludf.DUMMYFUNCTION("GOOGLETRANSLATE(A18145, ""de"", ""en"")"),"davenport")</f>
        <v>davenport</v>
      </c>
    </row>
    <row r="18146">
      <c r="A18146" s="1" t="s">
        <v>18145</v>
      </c>
      <c r="B18146" s="2" t="str">
        <f>IFERROR(__xludf.DUMMYFUNCTION("GOOGLETRANSLATE(A18146, ""de"", ""en"")"),"ended")</f>
        <v>ended</v>
      </c>
    </row>
    <row r="18147">
      <c r="A18147" s="1" t="s">
        <v>18146</v>
      </c>
      <c r="B18147" s="2" t="str">
        <f>IFERROR(__xludf.DUMMYFUNCTION("GOOGLETRANSLATE(A18147, ""de"", ""en"")"),"newark")</f>
        <v>newark</v>
      </c>
    </row>
    <row r="18148">
      <c r="A18148" s="1" t="s">
        <v>18147</v>
      </c>
      <c r="B18148" s="2" t="str">
        <f>IFERROR(__xludf.DUMMYFUNCTION("GOOGLETRANSLATE(A18148, ""de"", ""en"")"),"subsceptible")</f>
        <v>subsceptible</v>
      </c>
    </row>
    <row r="18149">
      <c r="A18149" s="1" t="s">
        <v>18148</v>
      </c>
      <c r="B18149" s="2" t="str">
        <f>IFERROR(__xludf.DUMMYFUNCTION("GOOGLETRANSLATE(A18149, ""de"", ""en"")"),"subtle")</f>
        <v>subtle</v>
      </c>
    </row>
    <row r="18150">
      <c r="A18150" s="1" t="s">
        <v>18149</v>
      </c>
      <c r="B18150" s="2" t="str">
        <f>IFERROR(__xludf.DUMMYFUNCTION("GOOGLETRANSLATE(A18150, ""de"", ""en"")"),"marley")</f>
        <v>marley</v>
      </c>
    </row>
    <row r="18151">
      <c r="A18151" s="1" t="s">
        <v>18150</v>
      </c>
      <c r="B18151" s="2" t="str">
        <f>IFERROR(__xludf.DUMMYFUNCTION("GOOGLETRANSLATE(A18151, ""de"", ""en"")"),"high school diploma")</f>
        <v>high school diploma</v>
      </c>
    </row>
    <row r="18152">
      <c r="A18152" s="1" t="s">
        <v>18151</v>
      </c>
      <c r="B18152" s="2" t="str">
        <f>IFERROR(__xludf.DUMMYFUNCTION("GOOGLETRANSLATE(A18152, ""de"", ""en"")"),"crash")</f>
        <v>crash</v>
      </c>
    </row>
    <row r="18153">
      <c r="A18153" s="1" t="s">
        <v>18152</v>
      </c>
      <c r="B18153" s="2" t="str">
        <f>IFERROR(__xludf.DUMMYFUNCTION("GOOGLETRANSLATE(A18153, ""de"", ""en"")"),"sneakers")</f>
        <v>sneakers</v>
      </c>
    </row>
    <row r="18154">
      <c r="A18154" s="1" t="s">
        <v>18153</v>
      </c>
      <c r="B18154" s="2" t="str">
        <f>IFERROR(__xludf.DUMMYFUNCTION("GOOGLETRANSLATE(A18154, ""de"", ""en"")"),"threats")</f>
        <v>threats</v>
      </c>
    </row>
    <row r="18155">
      <c r="A18155" s="1" t="s">
        <v>18154</v>
      </c>
      <c r="B18155" s="2" t="str">
        <f>IFERROR(__xludf.DUMMYFUNCTION("GOOGLETRANSLATE(A18155, ""de"", ""en"")"),"cinemas")</f>
        <v>cinemas</v>
      </c>
    </row>
    <row r="18156">
      <c r="A18156" s="1" t="s">
        <v>18155</v>
      </c>
      <c r="B18156" s="2" t="str">
        <f>IFERROR(__xludf.DUMMYFUNCTION("GOOGLETRANSLATE(A18156, ""de"", ""en"")"),"triggers")</f>
        <v>triggers</v>
      </c>
    </row>
    <row r="18157">
      <c r="A18157" s="1" t="s">
        <v>18156</v>
      </c>
      <c r="B18157" s="2" t="str">
        <f>IFERROR(__xludf.DUMMYFUNCTION("GOOGLETRANSLATE(A18157, ""de"", ""en"")"),"octavia")</f>
        <v>octavia</v>
      </c>
    </row>
    <row r="18158">
      <c r="A18158" s="1" t="s">
        <v>18157</v>
      </c>
      <c r="B18158" s="2" t="str">
        <f>IFERROR(__xludf.DUMMYFUNCTION("GOOGLETRANSLATE(A18158, ""de"", ""en"")"),"come here")</f>
        <v>come here</v>
      </c>
    </row>
    <row r="18159">
      <c r="A18159" s="1" t="s">
        <v>18158</v>
      </c>
      <c r="B18159" s="2" t="str">
        <f>IFERROR(__xludf.DUMMYFUNCTION("GOOGLETRANSLATE(A18159, ""de"", ""en"")"),"annas")</f>
        <v>annas</v>
      </c>
    </row>
    <row r="18160">
      <c r="A18160" s="1" t="s">
        <v>18159</v>
      </c>
      <c r="B18160" s="2" t="str">
        <f>IFERROR(__xludf.DUMMYFUNCTION("GOOGLETRANSLATE(A18160, ""de"", ""en"")"),"make up")</f>
        <v>make up</v>
      </c>
    </row>
    <row r="18161">
      <c r="A18161" s="1" t="s">
        <v>18160</v>
      </c>
      <c r="B18161" s="2" t="str">
        <f>IFERROR(__xludf.DUMMYFUNCTION("GOOGLETRANSLATE(A18161, ""de"", ""en"")"),"frightens")</f>
        <v>frightens</v>
      </c>
    </row>
    <row r="18162">
      <c r="A18162" s="1" t="s">
        <v>18161</v>
      </c>
      <c r="B18162" s="2" t="str">
        <f>IFERROR(__xludf.DUMMYFUNCTION("GOOGLETRANSLATE(A18162, ""de"", ""en"")"),"high school")</f>
        <v>high school</v>
      </c>
    </row>
    <row r="18163">
      <c r="A18163" s="1" t="s">
        <v>18162</v>
      </c>
      <c r="B18163" s="2" t="str">
        <f>IFERROR(__xludf.DUMMYFUNCTION("GOOGLETRANSLATE(A18163, ""de"", ""en"")"),"smitty")</f>
        <v>smitty</v>
      </c>
    </row>
    <row r="18164">
      <c r="A18164" s="1" t="s">
        <v>18163</v>
      </c>
      <c r="B18164" s="2" t="str">
        <f>IFERROR(__xludf.DUMMYFUNCTION("GOOGLETRANSLATE(A18164, ""de"", ""en"")"),"pos")</f>
        <v>pos</v>
      </c>
    </row>
    <row r="18165">
      <c r="A18165" s="1" t="s">
        <v>18164</v>
      </c>
      <c r="B18165" s="2" t="str">
        <f>IFERROR(__xludf.DUMMYFUNCTION("GOOGLETRANSLATE(A18165, ""de"", ""en"")"),"turtles")</f>
        <v>turtles</v>
      </c>
    </row>
    <row r="18166">
      <c r="A18166" s="1" t="s">
        <v>18165</v>
      </c>
      <c r="B18166" s="2" t="str">
        <f>IFERROR(__xludf.DUMMYFUNCTION("GOOGLETRANSLATE(A18166, ""de"", ""en"")"),"unanimously")</f>
        <v>unanimously</v>
      </c>
    </row>
    <row r="18167">
      <c r="A18167" s="1" t="s">
        <v>18166</v>
      </c>
      <c r="B18167" s="2" t="str">
        <f>IFERROR(__xludf.DUMMYFUNCTION("GOOGLETRANSLATE(A18167, ""de"", ""en"")"),"grilled")</f>
        <v>grilled</v>
      </c>
    </row>
    <row r="18168">
      <c r="A18168" s="1" t="s">
        <v>18167</v>
      </c>
      <c r="B18168" s="2" t="str">
        <f>IFERROR(__xludf.DUMMYFUNCTION("GOOGLETRANSLATE(A18168, ""de"", ""en"")"),"half time")</f>
        <v>half time</v>
      </c>
    </row>
    <row r="18169">
      <c r="A18169" s="1" t="s">
        <v>18168</v>
      </c>
      <c r="B18169" s="2" t="str">
        <f>IFERROR(__xludf.DUMMYFUNCTION("GOOGLETRANSLATE(A18169, ""de"", ""en"")"),"cathedral")</f>
        <v>cathedral</v>
      </c>
    </row>
    <row r="18170">
      <c r="A18170" s="1" t="s">
        <v>18169</v>
      </c>
      <c r="B18170" s="2" t="str">
        <f>IFERROR(__xludf.DUMMYFUNCTION("GOOGLETRANSLATE(A18170, ""de"", ""en"")"),"storms")</f>
        <v>storms</v>
      </c>
    </row>
    <row r="18171">
      <c r="A18171" s="1" t="s">
        <v>18170</v>
      </c>
      <c r="B18171" s="2" t="str">
        <f>IFERROR(__xludf.DUMMYFUNCTION("GOOGLETRANSLATE(A18171, ""de"", ""en"")"),"low")</f>
        <v>low</v>
      </c>
    </row>
    <row r="18172">
      <c r="A18172" s="1" t="s">
        <v>18171</v>
      </c>
      <c r="B18172" s="2" t="str">
        <f>IFERROR(__xludf.DUMMYFUNCTION("GOOGLETRANSLATE(A18172, ""de"", ""en"")"),"Swedish")</f>
        <v>Swedish</v>
      </c>
    </row>
    <row r="18173">
      <c r="A18173" s="1" t="s">
        <v>18172</v>
      </c>
      <c r="B18173" s="2" t="str">
        <f>IFERROR(__xludf.DUMMYFUNCTION("GOOGLETRANSLATE(A18173, ""de"", ""en"")"),"dolphins")</f>
        <v>dolphins</v>
      </c>
    </row>
    <row r="18174">
      <c r="A18174" s="1" t="s">
        <v>18173</v>
      </c>
      <c r="B18174" s="2" t="str">
        <f>IFERROR(__xludf.DUMMYFUNCTION("GOOGLETRANSLATE(A18174, ""de"", ""en"")"),"ballast")</f>
        <v>ballast</v>
      </c>
    </row>
    <row r="18175">
      <c r="A18175" s="1" t="s">
        <v>18174</v>
      </c>
      <c r="B18175" s="2" t="str">
        <f>IFERROR(__xludf.DUMMYFUNCTION("GOOGLETRANSLATE(A18175, ""de"", ""en"")"),"attraction")</f>
        <v>attraction</v>
      </c>
    </row>
    <row r="18176">
      <c r="A18176" s="1" t="s">
        <v>18175</v>
      </c>
      <c r="B18176" s="2" t="str">
        <f>IFERROR(__xludf.DUMMYFUNCTION("GOOGLETRANSLATE(A18176, ""de"", ""en"")"),"Swede")</f>
        <v>Swede</v>
      </c>
    </row>
    <row r="18177">
      <c r="A18177" s="1" t="s">
        <v>18176</v>
      </c>
      <c r="B18177" s="2" t="str">
        <f>IFERROR(__xludf.DUMMYFUNCTION("GOOGLETRANSLATE(A18177, ""de"", ""en"")"),"causes")</f>
        <v>causes</v>
      </c>
    </row>
    <row r="18178">
      <c r="A18178" s="1" t="s">
        <v>18177</v>
      </c>
      <c r="B18178" s="2" t="str">
        <f>IFERROR(__xludf.DUMMYFUNCTION("GOOGLETRANSLATE(A18178, ""de"", ""en"")"),"dice")</f>
        <v>dice</v>
      </c>
    </row>
    <row r="18179">
      <c r="A18179" s="1" t="s">
        <v>18178</v>
      </c>
      <c r="B18179" s="2" t="str">
        <f>IFERROR(__xludf.DUMMYFUNCTION("GOOGLETRANSLATE(A18179, ""de"", ""en"")"),"rang")</f>
        <v>rang</v>
      </c>
    </row>
    <row r="18180">
      <c r="A18180" s="1" t="s">
        <v>18179</v>
      </c>
      <c r="B18180" s="2" t="str">
        <f>IFERROR(__xludf.DUMMYFUNCTION("GOOGLETRANSLATE(A18180, ""de"", ""en"")"),"Rudolf")</f>
        <v>Rudolf</v>
      </c>
    </row>
    <row r="18181">
      <c r="A18181" s="1" t="s">
        <v>18180</v>
      </c>
      <c r="B18181" s="2" t="str">
        <f>IFERROR(__xludf.DUMMYFUNCTION("GOOGLETRANSLATE(A18181, ""de"", ""en"")"),"map")</f>
        <v>map</v>
      </c>
    </row>
    <row r="18182">
      <c r="A18182" s="1" t="s">
        <v>18181</v>
      </c>
      <c r="B18182" s="2" t="str">
        <f>IFERROR(__xludf.DUMMYFUNCTION("GOOGLETRANSLATE(A18182, ""de"", ""en"")"),"chantal")</f>
        <v>chantal</v>
      </c>
    </row>
    <row r="18183">
      <c r="A18183" s="1" t="s">
        <v>18182</v>
      </c>
      <c r="B18183" s="2" t="str">
        <f>IFERROR(__xludf.DUMMYFUNCTION("GOOGLETRANSLATE(A18183, ""de"", ""en"")"),"appoint")</f>
        <v>appoint</v>
      </c>
    </row>
    <row r="18184">
      <c r="A18184" s="1" t="s">
        <v>18183</v>
      </c>
      <c r="B18184" s="2" t="str">
        <f>IFERROR(__xludf.DUMMYFUNCTION("GOOGLETRANSLATE(A18184, ""de"", ""en"")"),"writer")</f>
        <v>writer</v>
      </c>
    </row>
    <row r="18185">
      <c r="A18185" s="1" t="s">
        <v>18184</v>
      </c>
      <c r="B18185" s="2" t="str">
        <f>IFERROR(__xludf.DUMMYFUNCTION("GOOGLETRANSLATE(A18185, ""de"", ""en"")"),"gianni")</f>
        <v>gianni</v>
      </c>
    </row>
    <row r="18186">
      <c r="A18186" s="1" t="s">
        <v>18185</v>
      </c>
      <c r="B18186" s="2" t="str">
        <f>IFERROR(__xludf.DUMMYFUNCTION("GOOGLETRANSLATE(A18186, ""de"", ""en"")"),"unprepared")</f>
        <v>unprepared</v>
      </c>
    </row>
    <row r="18187">
      <c r="A18187" s="1" t="s">
        <v>18186</v>
      </c>
      <c r="B18187" s="2" t="str">
        <f>IFERROR(__xludf.DUMMYFUNCTION("GOOGLETRANSLATE(A18187, ""de"", ""en"")"),"swim")</f>
        <v>swim</v>
      </c>
    </row>
    <row r="18188">
      <c r="A18188" s="1" t="s">
        <v>18187</v>
      </c>
      <c r="B18188" s="2" t="str">
        <f>IFERROR(__xludf.DUMMYFUNCTION("GOOGLETRANSLATE(A18188, ""de"", ""en"")"),"dedicate")</f>
        <v>dedicate</v>
      </c>
    </row>
    <row r="18189">
      <c r="A18189" s="1" t="s">
        <v>18188</v>
      </c>
      <c r="B18189" s="2" t="str">
        <f>IFERROR(__xludf.DUMMYFUNCTION("GOOGLETRANSLATE(A18189, ""de"", ""en"")"),"helmsman")</f>
        <v>helmsman</v>
      </c>
    </row>
    <row r="18190">
      <c r="A18190" s="1" t="s">
        <v>18189</v>
      </c>
      <c r="B18190" s="2" t="str">
        <f>IFERROR(__xludf.DUMMYFUNCTION("GOOGLETRANSLATE(A18190, ""de"", ""en"")"),"blade")</f>
        <v>blade</v>
      </c>
    </row>
    <row r="18191">
      <c r="A18191" s="1" t="s">
        <v>18190</v>
      </c>
      <c r="B18191" s="2" t="str">
        <f>IFERROR(__xludf.DUMMYFUNCTION("GOOGLETRANSLATE(A18191, ""de"", ""en"")"),"ignore")</f>
        <v>ignore</v>
      </c>
    </row>
    <row r="18192">
      <c r="A18192" s="1" t="s">
        <v>18191</v>
      </c>
      <c r="B18192" s="2" t="str">
        <f>IFERROR(__xludf.DUMMYFUNCTION("GOOGLETRANSLATE(A18192, ""de"", ""en"")"),"ip")</f>
        <v>ip</v>
      </c>
    </row>
    <row r="18193">
      <c r="A18193" s="1" t="s">
        <v>18192</v>
      </c>
      <c r="B18193" s="2" t="str">
        <f>IFERROR(__xludf.DUMMYFUNCTION("GOOGLETRANSLATE(A18193, ""de"", ""en"")"),"alligator")</f>
        <v>alligator</v>
      </c>
    </row>
    <row r="18194">
      <c r="A18194" s="1" t="s">
        <v>18193</v>
      </c>
      <c r="B18194" s="2" t="str">
        <f>IFERROR(__xludf.DUMMYFUNCTION("GOOGLETRANSLATE(A18194, ""de"", ""en"")"),"english")</f>
        <v>english</v>
      </c>
    </row>
    <row r="18195">
      <c r="A18195" s="1" t="s">
        <v>18194</v>
      </c>
      <c r="B18195" s="2" t="str">
        <f>IFERROR(__xludf.DUMMYFUNCTION("GOOGLETRANSLATE(A18195, ""de"", ""en"")"),"if so")</f>
        <v>if so</v>
      </c>
    </row>
    <row r="18196">
      <c r="A18196" s="1" t="s">
        <v>18195</v>
      </c>
      <c r="B18196" s="2" t="str">
        <f>IFERROR(__xludf.DUMMYFUNCTION("GOOGLETRANSLATE(A18196, ""de"", ""en"")"),"dialect")</f>
        <v>dialect</v>
      </c>
    </row>
    <row r="18197">
      <c r="A18197" s="1" t="s">
        <v>18196</v>
      </c>
      <c r="B18197" s="2" t="str">
        <f>IFERROR(__xludf.DUMMYFUNCTION("GOOGLETRANSLATE(A18197, ""de"", ""en"")"),"goes away")</f>
        <v>goes away</v>
      </c>
    </row>
    <row r="18198">
      <c r="A18198" s="1" t="s">
        <v>18197</v>
      </c>
      <c r="B18198" s="2" t="str">
        <f>IFERROR(__xludf.DUMMYFUNCTION("GOOGLETRANSLATE(A18198, ""de"", ""en"")"),"mysterious")</f>
        <v>mysterious</v>
      </c>
    </row>
    <row r="18199">
      <c r="A18199" s="1" t="s">
        <v>18198</v>
      </c>
      <c r="B18199" s="2" t="str">
        <f>IFERROR(__xludf.DUMMYFUNCTION("GOOGLETRANSLATE(A18199, ""de"", ""en"")"),"cry")</f>
        <v>cry</v>
      </c>
    </row>
    <row r="18200">
      <c r="A18200" s="1" t="s">
        <v>18199</v>
      </c>
      <c r="B18200" s="2" t="str">
        <f>IFERROR(__xludf.DUMMYFUNCTION("GOOGLETRANSLATE(A18200, ""de"", ""en"")"),"lip")</f>
        <v>lip</v>
      </c>
    </row>
    <row r="18201">
      <c r="A18201" s="1" t="s">
        <v>18200</v>
      </c>
      <c r="B18201" s="2" t="str">
        <f>IFERROR(__xludf.DUMMYFUNCTION("GOOGLETRANSLATE(A18201, ""de"", ""en"")"),"omit")</f>
        <v>omit</v>
      </c>
    </row>
    <row r="18202">
      <c r="A18202" s="1" t="s">
        <v>18201</v>
      </c>
      <c r="B18202" s="2" t="str">
        <f>IFERROR(__xludf.DUMMYFUNCTION("GOOGLETRANSLATE(A18202, ""de"", ""en"")"),"pitiful")</f>
        <v>pitiful</v>
      </c>
    </row>
    <row r="18203">
      <c r="A18203" s="1" t="s">
        <v>18202</v>
      </c>
      <c r="B18203" s="2" t="str">
        <f>IFERROR(__xludf.DUMMYFUNCTION("GOOGLETRANSLATE(A18203, ""de"", ""en"")"),"Sophie")</f>
        <v>Sophie</v>
      </c>
    </row>
    <row r="18204">
      <c r="A18204" s="1" t="s">
        <v>18203</v>
      </c>
      <c r="B18204" s="2" t="str">
        <f>IFERROR(__xludf.DUMMYFUNCTION("GOOGLETRANSLATE(A18204, ""de"", ""en"")"),"Bertie")</f>
        <v>Bertie</v>
      </c>
    </row>
    <row r="18205">
      <c r="A18205" s="1" t="s">
        <v>18204</v>
      </c>
      <c r="B18205" s="2" t="str">
        <f>IFERROR(__xludf.DUMMYFUNCTION("GOOGLETRANSLATE(A18205, ""de"", ""en"")"),"fidget")</f>
        <v>fidget</v>
      </c>
    </row>
    <row r="18206">
      <c r="A18206" s="1" t="s">
        <v>18205</v>
      </c>
      <c r="B18206" s="2" t="str">
        <f>IFERROR(__xludf.DUMMYFUNCTION("GOOGLETRANSLATE(A18206, ""de"", ""en"")"),"postcards")</f>
        <v>postcards</v>
      </c>
    </row>
    <row r="18207">
      <c r="A18207" s="1" t="s">
        <v>18206</v>
      </c>
      <c r="B18207" s="2" t="str">
        <f>IFERROR(__xludf.DUMMYFUNCTION("GOOGLETRANSLATE(A18207, ""de"", ""en"")"),"frack")</f>
        <v>frack</v>
      </c>
    </row>
    <row r="18208">
      <c r="A18208" s="1" t="s">
        <v>18207</v>
      </c>
      <c r="B18208" s="2" t="str">
        <f>IFERROR(__xludf.DUMMYFUNCTION("GOOGLETRANSLATE(A18208, ""de"", ""en"")"),"watchdog")</f>
        <v>watchdog</v>
      </c>
    </row>
    <row r="18209">
      <c r="A18209" s="1" t="s">
        <v>18208</v>
      </c>
      <c r="B18209" s="2" t="str">
        <f>IFERROR(__xludf.DUMMYFUNCTION("GOOGLETRANSLATE(A18209, ""de"", ""en"")"),"question")</f>
        <v>question</v>
      </c>
    </row>
    <row r="18210">
      <c r="A18210" s="1" t="s">
        <v>18209</v>
      </c>
      <c r="B18210" s="2" t="str">
        <f>IFERROR(__xludf.DUMMYFUNCTION("GOOGLETRANSLATE(A18210, ""de"", ""en"")"),"tattooed")</f>
        <v>tattooed</v>
      </c>
    </row>
    <row r="18211">
      <c r="A18211" s="1" t="s">
        <v>18210</v>
      </c>
      <c r="B18211" s="2" t="str">
        <f>IFERROR(__xludf.DUMMYFUNCTION("GOOGLETRANSLATE(A18211, ""de"", ""en"")"),"departments")</f>
        <v>departments</v>
      </c>
    </row>
    <row r="18212">
      <c r="A18212" s="1" t="s">
        <v>18211</v>
      </c>
      <c r="B18212" s="2" t="str">
        <f>IFERROR(__xludf.DUMMYFUNCTION("GOOGLETRANSLATE(A18212, ""de"", ""en"")"),"speculate")</f>
        <v>speculate</v>
      </c>
    </row>
    <row r="18213">
      <c r="A18213" s="1" t="s">
        <v>18212</v>
      </c>
      <c r="B18213" s="2" t="str">
        <f>IFERROR(__xludf.DUMMYFUNCTION("GOOGLETRANSLATE(A18213, ""de"", ""en"")"),"interpretation")</f>
        <v>interpretation</v>
      </c>
    </row>
    <row r="18214">
      <c r="A18214" s="1" t="s">
        <v>18213</v>
      </c>
      <c r="B18214" s="2" t="str">
        <f>IFERROR(__xludf.DUMMYFUNCTION("GOOGLETRANSLATE(A18214, ""de"", ""en"")"),"rehearsed")</f>
        <v>rehearsed</v>
      </c>
    </row>
    <row r="18215">
      <c r="A18215" s="1" t="s">
        <v>18214</v>
      </c>
      <c r="B18215" s="2" t="str">
        <f>IFERROR(__xludf.DUMMYFUNCTION("GOOGLETRANSLATE(A18215, ""de"", ""en"")"),"disintegrate")</f>
        <v>disintegrate</v>
      </c>
    </row>
    <row r="18216">
      <c r="A18216" s="1" t="s">
        <v>18215</v>
      </c>
      <c r="B18216" s="2" t="str">
        <f>IFERROR(__xludf.DUMMYFUNCTION("GOOGLETRANSLATE(A18216, ""de"", ""en"")"),"arrived")</f>
        <v>arrived</v>
      </c>
    </row>
    <row r="18217">
      <c r="A18217" s="1" t="s">
        <v>18216</v>
      </c>
      <c r="B18217" s="2" t="str">
        <f>IFERROR(__xludf.DUMMYFUNCTION("GOOGLETRANSLATE(A18217, ""de"", ""en"")"),"flutter")</f>
        <v>flutter</v>
      </c>
    </row>
    <row r="18218">
      <c r="A18218" s="1" t="s">
        <v>18217</v>
      </c>
      <c r="B18218" s="2" t="str">
        <f>IFERROR(__xludf.DUMMYFUNCTION("GOOGLETRANSLATE(A18218, ""de"", ""en"")"),"includes")</f>
        <v>includes</v>
      </c>
    </row>
    <row r="18219">
      <c r="A18219" s="1" t="s">
        <v>18218</v>
      </c>
      <c r="B18219" s="2" t="str">
        <f>IFERROR(__xludf.DUMMYFUNCTION("GOOGLETRANSLATE(A18219, ""de"", ""en"")"),"office")</f>
        <v>office</v>
      </c>
    </row>
    <row r="18220">
      <c r="A18220" s="1" t="s">
        <v>18219</v>
      </c>
      <c r="B18220" s="2" t="str">
        <f>IFERROR(__xludf.DUMMYFUNCTION("GOOGLETRANSLATE(A18220, ""de"", ""en"")"),"Hermes")</f>
        <v>Hermes</v>
      </c>
    </row>
    <row r="18221">
      <c r="A18221" s="1" t="s">
        <v>18220</v>
      </c>
      <c r="B18221" s="2" t="str">
        <f>IFERROR(__xludf.DUMMYFUNCTION("GOOGLETRANSLATE(A18221, ""de"", ""en"")"),"tie")</f>
        <v>tie</v>
      </c>
    </row>
    <row r="18222">
      <c r="A18222" s="1" t="s">
        <v>18221</v>
      </c>
      <c r="B18222" s="2" t="str">
        <f>IFERROR(__xludf.DUMMYFUNCTION("GOOGLETRANSLATE(A18222, ""de"", ""en"")"),"light bulb")</f>
        <v>light bulb</v>
      </c>
    </row>
    <row r="18223">
      <c r="A18223" s="1" t="s">
        <v>18222</v>
      </c>
      <c r="B18223" s="2" t="str">
        <f>IFERROR(__xludf.DUMMYFUNCTION("GOOGLETRANSLATE(A18223, ""de"", ""en"")"),"bad")</f>
        <v>bad</v>
      </c>
    </row>
    <row r="18224">
      <c r="A18224" s="1" t="s">
        <v>18223</v>
      </c>
      <c r="B18224" s="2" t="str">
        <f>IFERROR(__xludf.DUMMYFUNCTION("GOOGLETRANSLATE(A18224, ""de"", ""en"")"),"meteorites")</f>
        <v>meteorites</v>
      </c>
    </row>
    <row r="18225">
      <c r="A18225" s="1" t="s">
        <v>18224</v>
      </c>
      <c r="B18225" s="2" t="str">
        <f>IFERROR(__xludf.DUMMYFUNCTION("GOOGLETRANSLATE(A18225, ""de"", ""en"")"),"amber")</f>
        <v>amber</v>
      </c>
    </row>
    <row r="18226">
      <c r="A18226" s="1" t="s">
        <v>18225</v>
      </c>
      <c r="B18226" s="2" t="str">
        <f>IFERROR(__xludf.DUMMYFUNCTION("GOOGLETRANSLATE(A18226, ""de"", ""en"")"),"hector")</f>
        <v>hector</v>
      </c>
    </row>
    <row r="18227">
      <c r="A18227" s="1" t="s">
        <v>18226</v>
      </c>
      <c r="B18227" s="2" t="str">
        <f>IFERROR(__xludf.DUMMYFUNCTION("GOOGLETRANSLATE(A18227, ""de"", ""en"")"),"Kristina")</f>
        <v>Kristina</v>
      </c>
    </row>
    <row r="18228">
      <c r="A18228" s="1" t="s">
        <v>18227</v>
      </c>
      <c r="B18228" s="2" t="str">
        <f>IFERROR(__xludf.DUMMYFUNCTION("GOOGLETRANSLATE(A18228, ""de"", ""en"")"),"uncertainty")</f>
        <v>uncertainty</v>
      </c>
    </row>
    <row r="18229">
      <c r="A18229" s="1" t="s">
        <v>18228</v>
      </c>
      <c r="B18229" s="2" t="str">
        <f>IFERROR(__xludf.DUMMYFUNCTION("GOOGLETRANSLATE(A18229, ""de"", ""en"")"),"fatigue")</f>
        <v>fatigue</v>
      </c>
    </row>
    <row r="18230">
      <c r="A18230" s="1" t="s">
        <v>18229</v>
      </c>
      <c r="B18230" s="2" t="str">
        <f>IFERROR(__xludf.DUMMYFUNCTION("GOOGLETRANSLATE(A18230, ""de"", ""en"")"),"mountain")</f>
        <v>mountain</v>
      </c>
    </row>
    <row r="18231">
      <c r="A18231" s="1" t="s">
        <v>18230</v>
      </c>
      <c r="B18231" s="2" t="str">
        <f>IFERROR(__xludf.DUMMYFUNCTION("GOOGLETRANSLATE(A18231, ""de"", ""en"")"),"sitting around")</f>
        <v>sitting around</v>
      </c>
    </row>
    <row r="18232">
      <c r="A18232" s="1" t="s">
        <v>18231</v>
      </c>
      <c r="B18232" s="2" t="str">
        <f>IFERROR(__xludf.DUMMYFUNCTION("GOOGLETRANSLATE(A18232, ""de"", ""en"")"),"not-")</f>
        <v>not-</v>
      </c>
    </row>
    <row r="18233">
      <c r="A18233" s="1" t="s">
        <v>18232</v>
      </c>
      <c r="B18233" s="2" t="str">
        <f>IFERROR(__xludf.DUMMYFUNCTION("GOOGLETRANSLATE(A18233, ""de"", ""en"")"),"entangled")</f>
        <v>entangled</v>
      </c>
    </row>
    <row r="18234">
      <c r="A18234" s="1" t="s">
        <v>18233</v>
      </c>
      <c r="B18234" s="2" t="str">
        <f>IFERROR(__xludf.DUMMYFUNCTION("GOOGLETRANSLATE(A18234, ""de"", ""en"")"),"Daleks")</f>
        <v>Daleks</v>
      </c>
    </row>
    <row r="18235">
      <c r="A18235" s="1" t="s">
        <v>18234</v>
      </c>
      <c r="B18235" s="2" t="str">
        <f>IFERROR(__xludf.DUMMYFUNCTION("GOOGLETRANSLATE(A18235, ""de"", ""en"")"),"almighty")</f>
        <v>almighty</v>
      </c>
    </row>
    <row r="18236">
      <c r="A18236" s="1" t="s">
        <v>18235</v>
      </c>
      <c r="B18236" s="2" t="str">
        <f>IFERROR(__xludf.DUMMYFUNCTION("GOOGLETRANSLATE(A18236, ""de"", ""en"")"),"lotus")</f>
        <v>lotus</v>
      </c>
    </row>
    <row r="18237">
      <c r="A18237" s="1" t="s">
        <v>18236</v>
      </c>
      <c r="B18237" s="2" t="str">
        <f>IFERROR(__xludf.DUMMYFUNCTION("GOOGLETRANSLATE(A18237, ""de"", ""en"")"),"iii.")</f>
        <v>iii.</v>
      </c>
    </row>
    <row r="18238">
      <c r="A18238" s="1" t="s">
        <v>18237</v>
      </c>
      <c r="B18238" s="2" t="str">
        <f>IFERROR(__xludf.DUMMYFUNCTION("GOOGLETRANSLATE(A18238, ""de"", ""en"")"),"cornflakes")</f>
        <v>cornflakes</v>
      </c>
    </row>
    <row r="18239">
      <c r="A18239" s="1" t="s">
        <v>18238</v>
      </c>
      <c r="B18239" s="2" t="str">
        <f>IFERROR(__xludf.DUMMYFUNCTION("GOOGLETRANSLATE(A18239, ""de"", ""en"")"),"lounge")</f>
        <v>lounge</v>
      </c>
    </row>
    <row r="18240">
      <c r="A18240" s="1" t="s">
        <v>18239</v>
      </c>
      <c r="B18240" s="2" t="str">
        <f>IFERROR(__xludf.DUMMYFUNCTION("GOOGLETRANSLATE(A18240, ""de"", ""en"")"),"Düsseldorf")</f>
        <v>Düsseldorf</v>
      </c>
    </row>
    <row r="18241">
      <c r="A18241" s="1" t="s">
        <v>18240</v>
      </c>
      <c r="B18241" s="2" t="str">
        <f>IFERROR(__xludf.DUMMYFUNCTION("GOOGLETRANSLATE(A18241, ""de"", ""en"")"),"emphasized")</f>
        <v>emphasized</v>
      </c>
    </row>
    <row r="18242">
      <c r="A18242" s="1" t="s">
        <v>18241</v>
      </c>
      <c r="B18242" s="2" t="str">
        <f>IFERROR(__xludf.DUMMYFUNCTION("GOOGLETRANSLATE(A18242, ""de"", ""en"")"),"evaluation")</f>
        <v>evaluation</v>
      </c>
    </row>
    <row r="18243">
      <c r="A18243" s="1" t="s">
        <v>18242</v>
      </c>
      <c r="B18243" s="2" t="str">
        <f>IFERROR(__xludf.DUMMYFUNCTION("GOOGLETRANSLATE(A18243, ""de"", ""en"")"),"melody")</f>
        <v>melody</v>
      </c>
    </row>
    <row r="18244">
      <c r="A18244" s="1" t="s">
        <v>18243</v>
      </c>
      <c r="B18244" s="2" t="str">
        <f>IFERROR(__xludf.DUMMYFUNCTION("GOOGLETRANSLATE(A18244, ""de"", ""en"")"),"fascists")</f>
        <v>fascists</v>
      </c>
    </row>
    <row r="18245">
      <c r="A18245" s="1" t="s">
        <v>18244</v>
      </c>
      <c r="B18245" s="2" t="str">
        <f>IFERROR(__xludf.DUMMYFUNCTION("GOOGLETRANSLATE(A18245, ""de"", ""en"")"),"grips")</f>
        <v>grips</v>
      </c>
    </row>
    <row r="18246">
      <c r="A18246" s="1" t="s">
        <v>18245</v>
      </c>
      <c r="B18246" s="2" t="str">
        <f>IFERROR(__xludf.DUMMYFUNCTION("GOOGLETRANSLATE(A18246, ""de"", ""en"")"),"abbey")</f>
        <v>abbey</v>
      </c>
    </row>
    <row r="18247">
      <c r="A18247" s="1" t="s">
        <v>18246</v>
      </c>
      <c r="B18247" s="2" t="str">
        <f>IFERROR(__xludf.DUMMYFUNCTION("GOOGLETRANSLATE(A18247, ""de"", ""en"")"),"shepherd")</f>
        <v>shepherd</v>
      </c>
    </row>
    <row r="18248">
      <c r="A18248" s="1" t="s">
        <v>18247</v>
      </c>
      <c r="B18248" s="2" t="str">
        <f>IFERROR(__xludf.DUMMYFUNCTION("GOOGLETRANSLATE(A18248, ""de"", ""en"")"),"monaco")</f>
        <v>monaco</v>
      </c>
    </row>
    <row r="18249">
      <c r="A18249" s="1" t="s">
        <v>18248</v>
      </c>
      <c r="B18249" s="2" t="str">
        <f>IFERROR(__xludf.DUMMYFUNCTION("GOOGLETRANSLATE(A18249, ""de"", ""en"")"),"counterfeit money")</f>
        <v>counterfeit money</v>
      </c>
    </row>
    <row r="18250">
      <c r="A18250" s="1" t="s">
        <v>18249</v>
      </c>
      <c r="B18250" s="2" t="str">
        <f>IFERROR(__xludf.DUMMYFUNCTION("GOOGLETRANSLATE(A18250, ""de"", ""en"")"),"despair")</f>
        <v>despair</v>
      </c>
    </row>
    <row r="18251">
      <c r="A18251" s="1" t="s">
        <v>18250</v>
      </c>
      <c r="B18251" s="2" t="str">
        <f>IFERROR(__xludf.DUMMYFUNCTION("GOOGLETRANSLATE(A18251, ""de"", ""en"")"),"uss")</f>
        <v>uss</v>
      </c>
    </row>
    <row r="18252">
      <c r="A18252" s="1" t="s">
        <v>18251</v>
      </c>
      <c r="B18252" s="2" t="str">
        <f>IFERROR(__xludf.DUMMYFUNCTION("GOOGLETRANSLATE(A18252, ""de"", ""en"")"),"disease")</f>
        <v>disease</v>
      </c>
    </row>
    <row r="18253">
      <c r="A18253" s="1" t="s">
        <v>18252</v>
      </c>
      <c r="B18253" s="2" t="str">
        <f>IFERROR(__xludf.DUMMYFUNCTION("GOOGLETRANSLATE(A18253, ""de"", ""en"")"),"serve")</f>
        <v>serve</v>
      </c>
    </row>
    <row r="18254">
      <c r="A18254" s="1" t="s">
        <v>18253</v>
      </c>
      <c r="B18254" s="2" t="str">
        <f>IFERROR(__xludf.DUMMYFUNCTION("GOOGLETRANSLATE(A18254, ""de"", ""en"")"),"appear")</f>
        <v>appear</v>
      </c>
    </row>
    <row r="18255">
      <c r="A18255" s="1" t="s">
        <v>18254</v>
      </c>
      <c r="B18255" s="2" t="str">
        <f>IFERROR(__xludf.DUMMYFUNCTION("GOOGLETRANSLATE(A18255, ""de"", ""en"")"),"applaud")</f>
        <v>applaud</v>
      </c>
    </row>
    <row r="18256">
      <c r="A18256" s="1" t="s">
        <v>18255</v>
      </c>
      <c r="B18256" s="2" t="str">
        <f>IFERROR(__xludf.DUMMYFUNCTION("GOOGLETRANSLATE(A18256, ""de"", ""en"")"),"violinist")</f>
        <v>violinist</v>
      </c>
    </row>
    <row r="18257">
      <c r="A18257" s="1" t="s">
        <v>18256</v>
      </c>
      <c r="B18257" s="2" t="str">
        <f>IFERROR(__xludf.DUMMYFUNCTION("GOOGLETRANSLATE(A18257, ""de"", ""en"")"),"mmm.")</f>
        <v>mmm.</v>
      </c>
    </row>
    <row r="18258">
      <c r="A18258" s="1" t="s">
        <v>18257</v>
      </c>
      <c r="B18258" s="2" t="str">
        <f>IFERROR(__xludf.DUMMYFUNCTION("GOOGLETRANSLATE(A18258, ""de"", ""en"")"),"overheard")</f>
        <v>overheard</v>
      </c>
    </row>
    <row r="18259">
      <c r="A18259" s="1" t="s">
        <v>18258</v>
      </c>
      <c r="B18259" s="2" t="str">
        <f>IFERROR(__xludf.DUMMYFUNCTION("GOOGLETRANSLATE(A18259, ""de"", ""en"")"),"Nik")</f>
        <v>Nik</v>
      </c>
    </row>
    <row r="18260">
      <c r="A18260" s="1" t="s">
        <v>18259</v>
      </c>
      <c r="B18260" s="2" t="str">
        <f>IFERROR(__xludf.DUMMYFUNCTION("GOOGLETRANSLATE(A18260, ""de"", ""en"")"),"inclined")</f>
        <v>inclined</v>
      </c>
    </row>
    <row r="18261">
      <c r="A18261" s="1" t="s">
        <v>18260</v>
      </c>
      <c r="B18261" s="2" t="str">
        <f>IFERROR(__xludf.DUMMYFUNCTION("GOOGLETRANSLATE(A18261, ""de"", ""en"")"),"drug investigation")</f>
        <v>drug investigation</v>
      </c>
    </row>
    <row r="18262">
      <c r="A18262" s="1" t="s">
        <v>18261</v>
      </c>
      <c r="B18262" s="2" t="str">
        <f>IFERROR(__xludf.DUMMYFUNCTION("GOOGLETRANSLATE(A18262, ""de"", ""en"")"),"exorcism")</f>
        <v>exorcism</v>
      </c>
    </row>
    <row r="18263">
      <c r="A18263" s="1" t="s">
        <v>18262</v>
      </c>
      <c r="B18263" s="2" t="str">
        <f>IFERROR(__xludf.DUMMYFUNCTION("GOOGLETRANSLATE(A18263, ""de"", ""en"")"),"redirected")</f>
        <v>redirected</v>
      </c>
    </row>
    <row r="18264">
      <c r="A18264" s="1" t="s">
        <v>18263</v>
      </c>
      <c r="B18264" s="2" t="str">
        <f>IFERROR(__xludf.DUMMYFUNCTION("GOOGLETRANSLATE(A18264, ""de"", ""en"")"),"paulo")</f>
        <v>paulo</v>
      </c>
    </row>
    <row r="18265">
      <c r="A18265" s="1" t="s">
        <v>18264</v>
      </c>
      <c r="B18265" s="2" t="str">
        <f>IFERROR(__xludf.DUMMYFUNCTION("GOOGLETRANSLATE(A18265, ""de"", ""en"")"),"sneak")</f>
        <v>sneak</v>
      </c>
    </row>
    <row r="18266">
      <c r="A18266" s="1" t="s">
        <v>18265</v>
      </c>
      <c r="B18266" s="2" t="str">
        <f>IFERROR(__xludf.DUMMYFUNCTION("GOOGLETRANSLATE(A18266, ""de"", ""en"")"),"management report")</f>
        <v>management report</v>
      </c>
    </row>
    <row r="18267">
      <c r="A18267" s="1" t="s">
        <v>18266</v>
      </c>
      <c r="B18267" s="2" t="str">
        <f>IFERROR(__xludf.DUMMYFUNCTION("GOOGLETRANSLATE(A18267, ""de"", ""en"")"),"crowded")</f>
        <v>crowded</v>
      </c>
    </row>
    <row r="18268">
      <c r="A18268" s="1" t="s">
        <v>18267</v>
      </c>
      <c r="B18268" s="2" t="str">
        <f>IFERROR(__xludf.DUMMYFUNCTION("GOOGLETRANSLATE(A18268, ""de"", ""en"")"),"dent")</f>
        <v>dent</v>
      </c>
    </row>
    <row r="18269">
      <c r="A18269" s="1" t="s">
        <v>18268</v>
      </c>
      <c r="B18269" s="2" t="str">
        <f>IFERROR(__xludf.DUMMYFUNCTION("GOOGLETRANSLATE(A18269, ""de"", ""en"")"),"thought")</f>
        <v>thought</v>
      </c>
    </row>
    <row r="18270">
      <c r="A18270" s="1" t="s">
        <v>18269</v>
      </c>
      <c r="B18270" s="2" t="str">
        <f>IFERROR(__xludf.DUMMYFUNCTION("GOOGLETRANSLATE(A18270, ""de"", ""en"")"),"grant")</f>
        <v>grant</v>
      </c>
    </row>
    <row r="18271">
      <c r="A18271" s="1" t="s">
        <v>18270</v>
      </c>
      <c r="B18271" s="2" t="str">
        <f>IFERROR(__xludf.DUMMYFUNCTION("GOOGLETRANSLATE(A18271, ""de"", ""en"")"),"unnatural")</f>
        <v>unnatural</v>
      </c>
    </row>
    <row r="18272">
      <c r="A18272" s="1" t="s">
        <v>18271</v>
      </c>
      <c r="B18272" s="2" t="str">
        <f>IFERROR(__xludf.DUMMYFUNCTION("GOOGLETRANSLATE(A18272, ""de"", ""en"")"),"towers")</f>
        <v>towers</v>
      </c>
    </row>
    <row r="18273">
      <c r="A18273" s="1" t="s">
        <v>18272</v>
      </c>
      <c r="B18273" s="2" t="str">
        <f>IFERROR(__xludf.DUMMYFUNCTION("GOOGLETRANSLATE(A18273, ""de"", ""en"")"),"rust")</f>
        <v>rust</v>
      </c>
    </row>
    <row r="18274">
      <c r="A18274" s="1" t="s">
        <v>18273</v>
      </c>
      <c r="B18274" s="2" t="str">
        <f>IFERROR(__xludf.DUMMYFUNCTION("GOOGLETRANSLATE(A18274, ""de"", ""en"")"),"murph")</f>
        <v>murph</v>
      </c>
    </row>
    <row r="18275">
      <c r="A18275" s="1" t="s">
        <v>18274</v>
      </c>
      <c r="B18275" s="2" t="str">
        <f>IFERROR(__xludf.DUMMYFUNCTION("GOOGLETRANSLATE(A18275, ""de"", ""en"")"),"search party")</f>
        <v>search party</v>
      </c>
    </row>
    <row r="18276">
      <c r="A18276" s="1" t="s">
        <v>18275</v>
      </c>
      <c r="B18276" s="2" t="str">
        <f>IFERROR(__xludf.DUMMYFUNCTION("GOOGLETRANSLATE(A18276, ""de"", ""en"")"),"carved")</f>
        <v>carved</v>
      </c>
    </row>
    <row r="18277">
      <c r="A18277" s="1" t="s">
        <v>18276</v>
      </c>
      <c r="B18277" s="2" t="str">
        <f>IFERROR(__xludf.DUMMYFUNCTION("GOOGLETRANSLATE(A18277, ""de"", ""en"")"),"according to")</f>
        <v>according to</v>
      </c>
    </row>
    <row r="18278">
      <c r="A18278" s="1" t="s">
        <v>18277</v>
      </c>
      <c r="B18278" s="2" t="str">
        <f>IFERROR(__xludf.DUMMYFUNCTION("GOOGLETRANSLATE(A18278, ""de"", ""en"")"),"troy")</f>
        <v>troy</v>
      </c>
    </row>
    <row r="18279">
      <c r="A18279" s="1" t="s">
        <v>18278</v>
      </c>
      <c r="B18279" s="2" t="str">
        <f>IFERROR(__xludf.DUMMYFUNCTION("GOOGLETRANSLATE(A18279, ""de"", ""en"")"),"spied")</f>
        <v>spied</v>
      </c>
    </row>
    <row r="18280">
      <c r="A18280" s="1" t="s">
        <v>18279</v>
      </c>
      <c r="B18280" s="2" t="str">
        <f>IFERROR(__xludf.DUMMYFUNCTION("GOOGLETRANSLATE(A18280, ""de"", ""en"")"),"brutality")</f>
        <v>brutality</v>
      </c>
    </row>
    <row r="18281">
      <c r="A18281" s="1" t="s">
        <v>18280</v>
      </c>
      <c r="B18281" s="2" t="str">
        <f>IFERROR(__xludf.DUMMYFUNCTION("GOOGLETRANSLATE(A18281, ""de"", ""en"")"),"airlines")</f>
        <v>airlines</v>
      </c>
    </row>
    <row r="18282">
      <c r="A18282" s="1" t="s">
        <v>18281</v>
      </c>
      <c r="B18282" s="2" t="str">
        <f>IFERROR(__xludf.DUMMYFUNCTION("GOOGLETRANSLATE(A18282, ""de"", ""en"")"),"would find")</f>
        <v>would find</v>
      </c>
    </row>
    <row r="18283">
      <c r="A18283" s="1" t="s">
        <v>18282</v>
      </c>
      <c r="B18283" s="2" t="str">
        <f>IFERROR(__xludf.DUMMYFUNCTION("GOOGLETRANSLATE(A18283, ""de"", ""en"")"),"waiting list")</f>
        <v>waiting list</v>
      </c>
    </row>
    <row r="18284">
      <c r="A18284" s="1" t="s">
        <v>18283</v>
      </c>
      <c r="B18284" s="2" t="str">
        <f>IFERROR(__xludf.DUMMYFUNCTION("GOOGLETRANSLATE(A18284, ""de"", ""en"")"),"ensured")</f>
        <v>ensured</v>
      </c>
    </row>
    <row r="18285">
      <c r="A18285" s="1" t="s">
        <v>18284</v>
      </c>
      <c r="B18285" s="2" t="str">
        <f>IFERROR(__xludf.DUMMYFUNCTION("GOOGLETRANSLATE(A18285, ""de"", ""en"")"),"promotes")</f>
        <v>promotes</v>
      </c>
    </row>
    <row r="18286">
      <c r="A18286" s="1" t="s">
        <v>18285</v>
      </c>
      <c r="B18286" s="2" t="str">
        <f>IFERROR(__xludf.DUMMYFUNCTION("GOOGLETRANSLATE(A18286, ""de"", ""en"")"),"fabulous")</f>
        <v>fabulous</v>
      </c>
    </row>
    <row r="18287">
      <c r="A18287" s="1" t="s">
        <v>18286</v>
      </c>
      <c r="B18287" s="2" t="str">
        <f>IFERROR(__xludf.DUMMYFUNCTION("GOOGLETRANSLATE(A18287, ""de"", ""en"")"),"pardoned")</f>
        <v>pardoned</v>
      </c>
    </row>
    <row r="18288">
      <c r="A18288" s="1" t="s">
        <v>18287</v>
      </c>
      <c r="B18288" s="2" t="str">
        <f>IFERROR(__xludf.DUMMYFUNCTION("GOOGLETRANSLATE(A18288, ""de"", ""en"")"),"Sparky")</f>
        <v>Sparky</v>
      </c>
    </row>
    <row r="18289">
      <c r="A18289" s="1" t="s">
        <v>18288</v>
      </c>
      <c r="B18289" s="2" t="str">
        <f>IFERROR(__xludf.DUMMYFUNCTION("GOOGLETRANSLATE(A18289, ""de"", ""en"")"),"haunted")</f>
        <v>haunted</v>
      </c>
    </row>
    <row r="18290">
      <c r="A18290" s="1" t="s">
        <v>18289</v>
      </c>
      <c r="B18290" s="2" t="str">
        <f>IFERROR(__xludf.DUMMYFUNCTION("GOOGLETRANSLATE(A18290, ""de"", ""en"")"),"crap")</f>
        <v>crap</v>
      </c>
    </row>
    <row r="18291">
      <c r="A18291" s="1" t="s">
        <v>18290</v>
      </c>
      <c r="B18291" s="2" t="str">
        <f>IFERROR(__xludf.DUMMYFUNCTION("GOOGLETRANSLATE(A18291, ""de"", ""en"")"),"expressions")</f>
        <v>expressions</v>
      </c>
    </row>
    <row r="18292">
      <c r="A18292" s="1" t="s">
        <v>18291</v>
      </c>
      <c r="B18292" s="2" t="str">
        <f>IFERROR(__xludf.DUMMYFUNCTION("GOOGLETRANSLATE(A18292, ""de"", ""en"")"),"retired")</f>
        <v>retired</v>
      </c>
    </row>
    <row r="18293">
      <c r="A18293" s="1" t="s">
        <v>18292</v>
      </c>
      <c r="B18293" s="2" t="str">
        <f>IFERROR(__xludf.DUMMYFUNCTION("GOOGLETRANSLATE(A18293, ""de"", ""en"")"),"to raise")</f>
        <v>to raise</v>
      </c>
    </row>
    <row r="18294">
      <c r="A18294" s="1" t="s">
        <v>18293</v>
      </c>
      <c r="B18294" s="2" t="str">
        <f>IFERROR(__xludf.DUMMYFUNCTION("GOOGLETRANSLATE(A18294, ""de"", ""en"")"),"fired")</f>
        <v>fired</v>
      </c>
    </row>
    <row r="18295">
      <c r="A18295" s="1" t="s">
        <v>18294</v>
      </c>
      <c r="B18295" s="2" t="str">
        <f>IFERROR(__xludf.DUMMYFUNCTION("GOOGLETRANSLATE(A18295, ""de"", ""en"")"),"asterix")</f>
        <v>asterix</v>
      </c>
    </row>
    <row r="18296">
      <c r="A18296" s="1" t="s">
        <v>18295</v>
      </c>
      <c r="B18296" s="2" t="str">
        <f>IFERROR(__xludf.DUMMYFUNCTION("GOOGLETRANSLATE(A18296, ""de"", ""en"")"),"bells")</f>
        <v>bells</v>
      </c>
    </row>
    <row r="18297">
      <c r="A18297" s="1" t="s">
        <v>18296</v>
      </c>
      <c r="B18297" s="2" t="str">
        <f>IFERROR(__xludf.DUMMYFUNCTION("GOOGLETRANSLATE(A18297, ""de"", ""en"")"),"electronics")</f>
        <v>electronics</v>
      </c>
    </row>
    <row r="18298">
      <c r="A18298" s="1" t="s">
        <v>18297</v>
      </c>
      <c r="B18298" s="2" t="str">
        <f>IFERROR(__xludf.DUMMYFUNCTION("GOOGLETRANSLATE(A18298, ""de"", ""en"")"),"norfolk")</f>
        <v>norfolk</v>
      </c>
    </row>
    <row r="18299">
      <c r="A18299" s="1" t="s">
        <v>18298</v>
      </c>
      <c r="B18299" s="2" t="str">
        <f>IFERROR(__xludf.DUMMYFUNCTION("GOOGLETRANSLATE(A18299, ""de"", ""en"")"),"paloma")</f>
        <v>paloma</v>
      </c>
    </row>
    <row r="18300">
      <c r="A18300" s="1" t="s">
        <v>18299</v>
      </c>
      <c r="B18300" s="2" t="str">
        <f>IFERROR(__xludf.DUMMYFUNCTION("GOOGLETRANSLATE(A18300, ""de"", ""en"")"),"were missing")</f>
        <v>were missing</v>
      </c>
    </row>
    <row r="18301">
      <c r="A18301" s="1" t="s">
        <v>18300</v>
      </c>
      <c r="B18301" s="2" t="str">
        <f>IFERROR(__xludf.DUMMYFUNCTION("GOOGLETRANSLATE(A18301, ""de"", ""en"")"),"stopped")</f>
        <v>stopped</v>
      </c>
    </row>
    <row r="18302">
      <c r="A18302" s="1" t="s">
        <v>18301</v>
      </c>
      <c r="B18302" s="2" t="str">
        <f>IFERROR(__xludf.DUMMYFUNCTION("GOOGLETRANSLATE(A18302, ""de"", ""en"")"),"to bring here")</f>
        <v>to bring here</v>
      </c>
    </row>
    <row r="18303">
      <c r="A18303" s="1" t="s">
        <v>18302</v>
      </c>
      <c r="B18303" s="2" t="str">
        <f>IFERROR(__xludf.DUMMYFUNCTION("GOOGLETRANSLATE(A18303, ""de"", ""en"")"),"life story")</f>
        <v>life story</v>
      </c>
    </row>
    <row r="18304">
      <c r="A18304" s="1" t="s">
        <v>18303</v>
      </c>
      <c r="B18304" s="2" t="str">
        <f>IFERROR(__xludf.DUMMYFUNCTION("GOOGLETRANSLATE(A18304, ""de"", ""en"")"),"ow")</f>
        <v>ow</v>
      </c>
    </row>
    <row r="18305">
      <c r="A18305" s="1" t="s">
        <v>18304</v>
      </c>
      <c r="B18305" s="2" t="str">
        <f>IFERROR(__xludf.DUMMYFUNCTION("GOOGLETRANSLATE(A18305, ""de"", ""en"")"),"radio silence")</f>
        <v>radio silence</v>
      </c>
    </row>
    <row r="18306">
      <c r="A18306" s="1" t="s">
        <v>18305</v>
      </c>
      <c r="B18306" s="2" t="str">
        <f>IFERROR(__xludf.DUMMYFUNCTION("GOOGLETRANSLATE(A18306, ""de"", ""en"")"),"popo")</f>
        <v>popo</v>
      </c>
    </row>
    <row r="18307">
      <c r="A18307" s="1" t="s">
        <v>18306</v>
      </c>
      <c r="B18307" s="2" t="str">
        <f>IFERROR(__xludf.DUMMYFUNCTION("GOOGLETRANSLATE(A18307, ""de"", ""en"")"),"revolutionary")</f>
        <v>revolutionary</v>
      </c>
    </row>
    <row r="18308">
      <c r="A18308" s="1" t="s">
        <v>18307</v>
      </c>
      <c r="B18308" s="2" t="str">
        <f>IFERROR(__xludf.DUMMYFUNCTION("GOOGLETRANSLATE(A18308, ""de"", ""en"")"),"more living")</f>
        <v>more living</v>
      </c>
    </row>
    <row r="18309">
      <c r="A18309" s="1" t="s">
        <v>18308</v>
      </c>
      <c r="B18309" s="2" t="str">
        <f>IFERROR(__xludf.DUMMYFUNCTION("GOOGLETRANSLATE(A18309, ""de"", ""en"")"),"denied")</f>
        <v>denied</v>
      </c>
    </row>
    <row r="18310">
      <c r="A18310" s="1" t="s">
        <v>18309</v>
      </c>
      <c r="B18310" s="2" t="str">
        <f>IFERROR(__xludf.DUMMYFUNCTION("GOOGLETRANSLATE(A18310, ""de"", ""en"")"),"journalism")</f>
        <v>journalism</v>
      </c>
    </row>
    <row r="18311">
      <c r="A18311" s="1" t="s">
        <v>18310</v>
      </c>
      <c r="B18311" s="2" t="str">
        <f>IFERROR(__xludf.DUMMYFUNCTION("GOOGLETRANSLATE(A18311, ""de"", ""en"")"),"milking")</f>
        <v>milking</v>
      </c>
    </row>
    <row r="18312">
      <c r="A18312" s="1" t="s">
        <v>18311</v>
      </c>
      <c r="B18312" s="2" t="str">
        <f>IFERROR(__xludf.DUMMYFUNCTION("GOOGLETRANSLATE(A18312, ""de"", ""en"")"),"hair color")</f>
        <v>hair color</v>
      </c>
    </row>
    <row r="18313">
      <c r="A18313" s="1" t="s">
        <v>18312</v>
      </c>
      <c r="B18313" s="2" t="str">
        <f>IFERROR(__xludf.DUMMYFUNCTION("GOOGLETRANSLATE(A18313, ""de"", ""en"")"),"kidnapper")</f>
        <v>kidnapper</v>
      </c>
    </row>
    <row r="18314">
      <c r="A18314" s="1" t="s">
        <v>18313</v>
      </c>
      <c r="B18314" s="2" t="str">
        <f>IFERROR(__xludf.DUMMYFUNCTION("GOOGLETRANSLATE(A18314, ""de"", ""en"")"),"seventeen")</f>
        <v>seventeen</v>
      </c>
    </row>
    <row r="18315">
      <c r="A18315" s="1" t="s">
        <v>18314</v>
      </c>
      <c r="B18315" s="2" t="str">
        <f>IFERROR(__xludf.DUMMYFUNCTION("GOOGLETRANSLATE(A18315, ""de"", ""en"")"),"collapses")</f>
        <v>collapses</v>
      </c>
    </row>
    <row r="18316">
      <c r="A18316" s="1" t="s">
        <v>18315</v>
      </c>
      <c r="B18316" s="2" t="str">
        <f>IFERROR(__xludf.DUMMYFUNCTION("GOOGLETRANSLATE(A18316, ""de"", ""en"")"),"brick")</f>
        <v>brick</v>
      </c>
    </row>
    <row r="18317">
      <c r="A18317" s="1" t="s">
        <v>18316</v>
      </c>
      <c r="B18317" s="2" t="str">
        <f>IFERROR(__xludf.DUMMYFUNCTION("GOOGLETRANSLATE(A18317, ""de"", ""en"")"),"put")</f>
        <v>put</v>
      </c>
    </row>
    <row r="18318">
      <c r="A18318" s="1" t="s">
        <v>18317</v>
      </c>
      <c r="B18318" s="2" t="str">
        <f>IFERROR(__xludf.DUMMYFUNCTION("GOOGLETRANSLATE(A18318, ""de"", ""en"")"),"cinnamon")</f>
        <v>cinnamon</v>
      </c>
    </row>
    <row r="18319">
      <c r="A18319" s="1" t="s">
        <v>18318</v>
      </c>
      <c r="B18319" s="2" t="str">
        <f>IFERROR(__xludf.DUMMYFUNCTION("GOOGLETRANSLATE(A18319, ""de"", ""en"")"),"registration")</f>
        <v>registration</v>
      </c>
    </row>
    <row r="18320">
      <c r="A18320" s="1" t="s">
        <v>18319</v>
      </c>
      <c r="B18320" s="2" t="str">
        <f>IFERROR(__xludf.DUMMYFUNCTION("GOOGLETRANSLATE(A18320, ""de"", ""en"")"),"stat")</f>
        <v>stat</v>
      </c>
    </row>
    <row r="18321">
      <c r="A18321" s="1" t="s">
        <v>18320</v>
      </c>
      <c r="B18321" s="2" t="str">
        <f>IFERROR(__xludf.DUMMYFUNCTION("GOOGLETRANSLATE(A18321, ""de"", ""en"")"),"could")</f>
        <v>could</v>
      </c>
    </row>
    <row r="18322">
      <c r="A18322" s="1" t="s">
        <v>18321</v>
      </c>
      <c r="B18322" s="2" t="str">
        <f>IFERROR(__xludf.DUMMYFUNCTION("GOOGLETRANSLATE(A18322, ""de"", ""en"")"),"fantastic")</f>
        <v>fantastic</v>
      </c>
    </row>
    <row r="18323">
      <c r="A18323" s="1" t="s">
        <v>18322</v>
      </c>
      <c r="B18323" s="2" t="str">
        <f>IFERROR(__xludf.DUMMYFUNCTION("GOOGLETRANSLATE(A18323, ""de"", ""en"")"),"Muslims")</f>
        <v>Muslims</v>
      </c>
    </row>
    <row r="18324">
      <c r="A18324" s="1" t="s">
        <v>18323</v>
      </c>
      <c r="B18324" s="2" t="str">
        <f>IFERROR(__xludf.DUMMYFUNCTION("GOOGLETRANSLATE(A18324, ""de"", ""en"")"),"reviews")</f>
        <v>reviews</v>
      </c>
    </row>
    <row r="18325">
      <c r="A18325" s="1" t="s">
        <v>18324</v>
      </c>
      <c r="B18325" s="2" t="str">
        <f>IFERROR(__xludf.DUMMYFUNCTION("GOOGLETRANSLATE(A18325, ""de"", ""en"")"),"pryce")</f>
        <v>pryce</v>
      </c>
    </row>
    <row r="18326">
      <c r="A18326" s="1" t="s">
        <v>18325</v>
      </c>
      <c r="B18326" s="2" t="str">
        <f>IFERROR(__xludf.DUMMYFUNCTION("GOOGLETRANSLATE(A18326, ""de"", ""en"")"),"lessons")</f>
        <v>lessons</v>
      </c>
    </row>
    <row r="18327">
      <c r="A18327" s="1" t="s">
        <v>18326</v>
      </c>
      <c r="B18327" s="2" t="str">
        <f>IFERROR(__xludf.DUMMYFUNCTION("GOOGLETRANSLATE(A18327, ""de"", ""en"")"),"turn around")</f>
        <v>turn around</v>
      </c>
    </row>
    <row r="18328">
      <c r="A18328" s="1" t="s">
        <v>18327</v>
      </c>
      <c r="B18328" s="2" t="str">
        <f>IFERROR(__xludf.DUMMYFUNCTION("GOOGLETRANSLATE(A18328, ""de"", ""en"")"),"met")</f>
        <v>met</v>
      </c>
    </row>
    <row r="18329">
      <c r="A18329" s="1" t="s">
        <v>18328</v>
      </c>
      <c r="B18329" s="2" t="str">
        <f>IFERROR(__xludf.DUMMYFUNCTION("GOOGLETRANSLATE(A18329, ""de"", ""en"")"),"imaginative")</f>
        <v>imaginative</v>
      </c>
    </row>
    <row r="18330">
      <c r="A18330" s="1" t="s">
        <v>18329</v>
      </c>
      <c r="B18330" s="2" t="str">
        <f>IFERROR(__xludf.DUMMYFUNCTION("GOOGLETRANSLATE(A18330, ""de"", ""en"")"),"ongoing")</f>
        <v>ongoing</v>
      </c>
    </row>
    <row r="18331">
      <c r="A18331" s="1" t="s">
        <v>18330</v>
      </c>
      <c r="B18331" s="2" t="str">
        <f>IFERROR(__xludf.DUMMYFUNCTION("GOOGLETRANSLATE(A18331, ""de"", ""en"")"),"fay")</f>
        <v>fay</v>
      </c>
    </row>
    <row r="18332">
      <c r="A18332" s="1" t="s">
        <v>18331</v>
      </c>
      <c r="B18332" s="2" t="str">
        <f>IFERROR(__xludf.DUMMYFUNCTION("GOOGLETRANSLATE(A18332, ""de"", ""en"")"),"capitalism")</f>
        <v>capitalism</v>
      </c>
    </row>
    <row r="18333">
      <c r="A18333" s="1" t="s">
        <v>18332</v>
      </c>
      <c r="B18333" s="2" t="str">
        <f>IFERROR(__xludf.DUMMYFUNCTION("GOOGLETRANSLATE(A18333, ""de"", ""en"")"),"devours")</f>
        <v>devours</v>
      </c>
    </row>
    <row r="18334">
      <c r="A18334" s="1" t="s">
        <v>18333</v>
      </c>
      <c r="B18334" s="2" t="str">
        <f>IFERROR(__xludf.DUMMYFUNCTION("GOOGLETRANSLATE(A18334, ""de"", ""en"")"),"sacramento")</f>
        <v>sacramento</v>
      </c>
    </row>
    <row r="18335">
      <c r="A18335" s="1" t="s">
        <v>18334</v>
      </c>
      <c r="B18335" s="2" t="str">
        <f>IFERROR(__xludf.DUMMYFUNCTION("GOOGLETRANSLATE(A18335, ""de"", ""en"")"),"yikes")</f>
        <v>yikes</v>
      </c>
    </row>
    <row r="18336">
      <c r="A18336" s="1" t="s">
        <v>18335</v>
      </c>
      <c r="B18336" s="2" t="str">
        <f>IFERROR(__xludf.DUMMYFUNCTION("GOOGLETRANSLATE(A18336, ""de"", ""en"")"),"precision")</f>
        <v>precision</v>
      </c>
    </row>
    <row r="18337">
      <c r="A18337" s="1" t="s">
        <v>18336</v>
      </c>
      <c r="B18337" s="2" t="str">
        <f>IFERROR(__xludf.DUMMYFUNCTION("GOOGLETRANSLATE(A18337, ""de"", ""en"")"),"borrowed")</f>
        <v>borrowed</v>
      </c>
    </row>
    <row r="18338">
      <c r="A18338" s="1" t="s">
        <v>18337</v>
      </c>
      <c r="B18338" s="2" t="str">
        <f>IFERROR(__xludf.DUMMYFUNCTION("GOOGLETRANSLATE(A18338, ""de"", ""en"")"),"lovely")</f>
        <v>lovely</v>
      </c>
    </row>
    <row r="18339">
      <c r="A18339" s="1" t="s">
        <v>18338</v>
      </c>
      <c r="B18339" s="2" t="str">
        <f>IFERROR(__xludf.DUMMYFUNCTION("GOOGLETRANSLATE(A18339, ""de"", ""en"")"),"local")</f>
        <v>local</v>
      </c>
    </row>
    <row r="18340">
      <c r="A18340" s="1" t="s">
        <v>18339</v>
      </c>
      <c r="B18340" s="2" t="str">
        <f>IFERROR(__xludf.DUMMYFUNCTION("GOOGLETRANSLATE(A18340, ""de"", ""en"")"),"toilet paper")</f>
        <v>toilet paper</v>
      </c>
    </row>
    <row r="18341">
      <c r="A18341" s="1" t="s">
        <v>18340</v>
      </c>
      <c r="B18341" s="2" t="str">
        <f>IFERROR(__xludf.DUMMYFUNCTION("GOOGLETRANSLATE(A18341, ""de"", ""en"")"),"block")</f>
        <v>block</v>
      </c>
    </row>
    <row r="18342">
      <c r="A18342" s="1" t="s">
        <v>18341</v>
      </c>
      <c r="B18342" s="2" t="str">
        <f>IFERROR(__xludf.DUMMYFUNCTION("GOOGLETRANSLATE(A18342, ""de"", ""en"")"),"obi wan")</f>
        <v>obi wan</v>
      </c>
    </row>
    <row r="18343">
      <c r="A18343" s="1" t="s">
        <v>18342</v>
      </c>
      <c r="B18343" s="2" t="str">
        <f>IFERROR(__xludf.DUMMYFUNCTION("GOOGLETRANSLATE(A18343, ""de"", ""en"")"),"sardines")</f>
        <v>sardines</v>
      </c>
    </row>
    <row r="18344">
      <c r="A18344" s="1" t="s">
        <v>18343</v>
      </c>
      <c r="B18344" s="2" t="str">
        <f>IFERROR(__xludf.DUMMYFUNCTION("GOOGLETRANSLATE(A18344, ""de"", ""en"")"),"meadow")</f>
        <v>meadow</v>
      </c>
    </row>
    <row r="18345">
      <c r="A18345" s="1" t="s">
        <v>18344</v>
      </c>
      <c r="B18345" s="2" t="str">
        <f>IFERROR(__xludf.DUMMYFUNCTION("GOOGLETRANSLATE(A18345, ""de"", ""en"")"),"Siobhan")</f>
        <v>Siobhan</v>
      </c>
    </row>
    <row r="18346">
      <c r="A18346" s="1" t="s">
        <v>18345</v>
      </c>
      <c r="B18346" s="2" t="str">
        <f>IFERROR(__xludf.DUMMYFUNCTION("GOOGLETRANSLATE(A18346, ""de"", ""en"")"),"academy")</f>
        <v>academy</v>
      </c>
    </row>
    <row r="18347">
      <c r="A18347" s="1" t="s">
        <v>18346</v>
      </c>
      <c r="B18347" s="2" t="str">
        <f>IFERROR(__xludf.DUMMYFUNCTION("GOOGLETRANSLATE(A18347, ""de"", ""en"")"),"scattered")</f>
        <v>scattered</v>
      </c>
    </row>
    <row r="18348">
      <c r="A18348" s="1" t="s">
        <v>18347</v>
      </c>
      <c r="B18348" s="2" t="str">
        <f>IFERROR(__xludf.DUMMYFUNCTION("GOOGLETRANSLATE(A18348, ""de"", ""en"")"),"get away")</f>
        <v>get away</v>
      </c>
    </row>
    <row r="18349">
      <c r="A18349" s="1" t="s">
        <v>18348</v>
      </c>
      <c r="B18349" s="2" t="str">
        <f>IFERROR(__xludf.DUMMYFUNCTION("GOOGLETRANSLATE(A18349, ""de"", ""en"")"),"give away")</f>
        <v>give away</v>
      </c>
    </row>
    <row r="18350">
      <c r="A18350" s="1" t="s">
        <v>18349</v>
      </c>
      <c r="B18350" s="2" t="str">
        <f>IFERROR(__xludf.DUMMYFUNCTION("GOOGLETRANSLATE(A18350, ""de"", ""en"")"),"wreath")</f>
        <v>wreath</v>
      </c>
    </row>
    <row r="18351">
      <c r="A18351" s="1" t="s">
        <v>18350</v>
      </c>
      <c r="B18351" s="2" t="str">
        <f>IFERROR(__xludf.DUMMYFUNCTION("GOOGLETRANSLATE(A18351, ""de"", ""en"")"),"jewel")</f>
        <v>jewel</v>
      </c>
    </row>
    <row r="18352">
      <c r="A18352" s="1" t="s">
        <v>18351</v>
      </c>
      <c r="B18352" s="2" t="str">
        <f>IFERROR(__xludf.DUMMYFUNCTION("GOOGLETRANSLATE(A18352, ""de"", ""en"")"),"doo")</f>
        <v>doo</v>
      </c>
    </row>
    <row r="18353">
      <c r="A18353" s="1" t="s">
        <v>18352</v>
      </c>
      <c r="B18353" s="2" t="str">
        <f>IFERROR(__xludf.DUMMYFUNCTION("GOOGLETRANSLATE(A18353, ""de"", ""en"")"),"to depend")</f>
        <v>to depend</v>
      </c>
    </row>
    <row r="18354">
      <c r="A18354" s="1" t="s">
        <v>18353</v>
      </c>
      <c r="B18354" s="2" t="str">
        <f>IFERROR(__xludf.DUMMYFUNCTION("GOOGLETRANSLATE(A18354, ""de"", ""en"")"),"spider")</f>
        <v>spider</v>
      </c>
    </row>
    <row r="18355">
      <c r="A18355" s="1" t="s">
        <v>18354</v>
      </c>
      <c r="B18355" s="2" t="str">
        <f>IFERROR(__xludf.DUMMYFUNCTION("GOOGLETRANSLATE(A18355, ""de"", ""en"")"),"poetic")</f>
        <v>poetic</v>
      </c>
    </row>
    <row r="18356">
      <c r="A18356" s="1" t="s">
        <v>18355</v>
      </c>
      <c r="B18356" s="2" t="str">
        <f>IFERROR(__xludf.DUMMYFUNCTION("GOOGLETRANSLATE(A18356, ""de"", ""en"")"),"inhibitions")</f>
        <v>inhibitions</v>
      </c>
    </row>
    <row r="18357">
      <c r="A18357" s="1" t="s">
        <v>18356</v>
      </c>
      <c r="B18357" s="2" t="str">
        <f>IFERROR(__xludf.DUMMYFUNCTION("GOOGLETRANSLATE(A18357, ""de"", ""en"")"),"Paulette")</f>
        <v>Paulette</v>
      </c>
    </row>
    <row r="18358">
      <c r="A18358" s="1" t="s">
        <v>18357</v>
      </c>
      <c r="B18358" s="2" t="str">
        <f>IFERROR(__xludf.DUMMYFUNCTION("GOOGLETRANSLATE(A18358, ""de"", ""en"")"),"allergies")</f>
        <v>allergies</v>
      </c>
    </row>
    <row r="18359">
      <c r="A18359" s="1" t="s">
        <v>18358</v>
      </c>
      <c r="B18359" s="2" t="str">
        <f>IFERROR(__xludf.DUMMYFUNCTION("GOOGLETRANSLATE(A18359, ""de"", ""en"")"),"tear gas")</f>
        <v>tear gas</v>
      </c>
    </row>
    <row r="18360">
      <c r="A18360" s="1" t="s">
        <v>18359</v>
      </c>
      <c r="B18360" s="2" t="str">
        <f>IFERROR(__xludf.DUMMYFUNCTION("GOOGLETRANSLATE(A18360, ""de"", ""en"")"),"winn")</f>
        <v>winn</v>
      </c>
    </row>
    <row r="18361">
      <c r="A18361" s="1" t="s">
        <v>18360</v>
      </c>
      <c r="B18361" s="2" t="str">
        <f>IFERROR(__xludf.DUMMYFUNCTION("GOOGLETRANSLATE(A18361, ""de"", ""en"")"),"hattie")</f>
        <v>hattie</v>
      </c>
    </row>
    <row r="18362">
      <c r="A18362" s="1" t="s">
        <v>18361</v>
      </c>
      <c r="B18362" s="2" t="str">
        <f>IFERROR(__xludf.DUMMYFUNCTION("GOOGLETRANSLATE(A18362, ""de"", ""en"")"),"coordinate")</f>
        <v>coordinate</v>
      </c>
    </row>
    <row r="18363">
      <c r="A18363" s="1" t="s">
        <v>18362</v>
      </c>
      <c r="B18363" s="2" t="str">
        <f>IFERROR(__xludf.DUMMYFUNCTION("GOOGLETRANSLATE(A18363, ""de"", ""en"")"),"mixed in")</f>
        <v>mixed in</v>
      </c>
    </row>
    <row r="18364">
      <c r="A18364" s="1" t="s">
        <v>18363</v>
      </c>
      <c r="B18364" s="2" t="str">
        <f>IFERROR(__xludf.DUMMYFUNCTION("GOOGLETRANSLATE(A18364, ""de"", ""en"")"),"religions")</f>
        <v>religions</v>
      </c>
    </row>
    <row r="18365">
      <c r="A18365" s="1" t="s">
        <v>18364</v>
      </c>
      <c r="B18365" s="2" t="str">
        <f>IFERROR(__xludf.DUMMYFUNCTION("GOOGLETRANSLATE(A18365, ""de"", ""en"")"),"surveys")</f>
        <v>surveys</v>
      </c>
    </row>
    <row r="18366">
      <c r="A18366" s="1" t="s">
        <v>18365</v>
      </c>
      <c r="B18366" s="2" t="str">
        <f>IFERROR(__xludf.DUMMYFUNCTION("GOOGLETRANSLATE(A18366, ""de"", ""en"")"),"reflect")</f>
        <v>reflect</v>
      </c>
    </row>
    <row r="18367">
      <c r="A18367" s="1" t="s">
        <v>18366</v>
      </c>
      <c r="B18367" s="2" t="str">
        <f>IFERROR(__xludf.DUMMYFUNCTION("GOOGLETRANSLATE(A18367, ""de"", ""en"")"),"upper hand")</f>
        <v>upper hand</v>
      </c>
    </row>
    <row r="18368">
      <c r="A18368" s="1" t="s">
        <v>18367</v>
      </c>
      <c r="B18368" s="2" t="str">
        <f>IFERROR(__xludf.DUMMYFUNCTION("GOOGLETRANSLATE(A18368, ""de"", ""en"")"),"crow")</f>
        <v>crow</v>
      </c>
    </row>
    <row r="18369">
      <c r="A18369" s="1" t="s">
        <v>18368</v>
      </c>
      <c r="B18369" s="2" t="str">
        <f>IFERROR(__xludf.DUMMYFUNCTION("GOOGLETRANSLATE(A18369, ""de"", ""en"")"),"strict")</f>
        <v>strict</v>
      </c>
    </row>
    <row r="18370">
      <c r="A18370" s="1" t="s">
        <v>18369</v>
      </c>
      <c r="B18370" s="2" t="str">
        <f>IFERROR(__xludf.DUMMYFUNCTION("GOOGLETRANSLATE(A18370, ""de"", ""en"")"),"darkest")</f>
        <v>darkest</v>
      </c>
    </row>
    <row r="18371">
      <c r="A18371" s="1" t="s">
        <v>18370</v>
      </c>
      <c r="B18371" s="2" t="str">
        <f>IFERROR(__xludf.DUMMYFUNCTION("GOOGLETRANSLATE(A18371, ""de"", ""en"")"),"Matilda")</f>
        <v>Matilda</v>
      </c>
    </row>
    <row r="18372">
      <c r="A18372" s="1" t="s">
        <v>18371</v>
      </c>
      <c r="B18372" s="2" t="str">
        <f>IFERROR(__xludf.DUMMYFUNCTION("GOOGLETRANSLATE(A18372, ""de"", ""en"")"),"beaten up")</f>
        <v>beaten up</v>
      </c>
    </row>
    <row r="18373">
      <c r="A18373" s="1" t="s">
        <v>18372</v>
      </c>
      <c r="B18373" s="2" t="str">
        <f>IFERROR(__xludf.DUMMYFUNCTION("GOOGLETRANSLATE(A18373, ""de"", ""en"")"),"rushed")</f>
        <v>rushed</v>
      </c>
    </row>
    <row r="18374">
      <c r="A18374" s="1" t="s">
        <v>18373</v>
      </c>
      <c r="B18374" s="2" t="str">
        <f>IFERROR(__xludf.DUMMYFUNCTION("GOOGLETRANSLATE(A18374, ""de"", ""en"")"),"stranded")</f>
        <v>stranded</v>
      </c>
    </row>
    <row r="18375">
      <c r="A18375" s="1" t="s">
        <v>18374</v>
      </c>
      <c r="B18375" s="2" t="str">
        <f>IFERROR(__xludf.DUMMYFUNCTION("GOOGLETRANSLATE(A18375, ""de"", ""en"")"),"cleans")</f>
        <v>cleans</v>
      </c>
    </row>
    <row r="18376">
      <c r="A18376" s="1" t="s">
        <v>18375</v>
      </c>
      <c r="B18376" s="2" t="str">
        <f>IFERROR(__xludf.DUMMYFUNCTION("GOOGLETRANSLATE(A18376, ""de"", ""en"")"),"herbie")</f>
        <v>herbie</v>
      </c>
    </row>
    <row r="18377">
      <c r="A18377" s="1" t="s">
        <v>18376</v>
      </c>
      <c r="B18377" s="2" t="str">
        <f>IFERROR(__xludf.DUMMYFUNCTION("GOOGLETRANSLATE(A18377, ""de"", ""en"")"),"zhao")</f>
        <v>zhao</v>
      </c>
    </row>
    <row r="18378">
      <c r="A18378" s="1" t="s">
        <v>18377</v>
      </c>
      <c r="B18378" s="2" t="str">
        <f>IFERROR(__xludf.DUMMYFUNCTION("GOOGLETRANSLATE(A18378, ""de"", ""en"")"),"oppressive")</f>
        <v>oppressive</v>
      </c>
    </row>
    <row r="18379">
      <c r="A18379" s="1" t="s">
        <v>18378</v>
      </c>
      <c r="B18379" s="2" t="str">
        <f>IFERROR(__xludf.DUMMYFUNCTION("GOOGLETRANSLATE(A18379, ""de"", ""en"")"),"ran away")</f>
        <v>ran away</v>
      </c>
    </row>
    <row r="18380">
      <c r="A18380" s="1" t="s">
        <v>18379</v>
      </c>
      <c r="B18380" s="2" t="str">
        <f>IFERROR(__xludf.DUMMYFUNCTION("GOOGLETRANSLATE(A18380, ""de"", ""en"")"),"coupling")</f>
        <v>coupling</v>
      </c>
    </row>
    <row r="18381">
      <c r="A18381" s="1" t="s">
        <v>18380</v>
      </c>
      <c r="B18381" s="2" t="str">
        <f>IFERROR(__xludf.DUMMYFUNCTION("GOOGLETRANSLATE(A18381, ""de"", ""en"")"),"heretic")</f>
        <v>heretic</v>
      </c>
    </row>
    <row r="18382">
      <c r="A18382" s="1" t="s">
        <v>18381</v>
      </c>
      <c r="B18382" s="2" t="str">
        <f>IFERROR(__xludf.DUMMYFUNCTION("GOOGLETRANSLATE(A18382, ""de"", ""en"")"),"bargain")</f>
        <v>bargain</v>
      </c>
    </row>
    <row r="18383">
      <c r="A18383" s="1" t="s">
        <v>18382</v>
      </c>
      <c r="B18383" s="2" t="str">
        <f>IFERROR(__xludf.DUMMYFUNCTION("GOOGLETRANSLATE(A18383, ""de"", ""en"")"),"Sherwood")</f>
        <v>Sherwood</v>
      </c>
    </row>
    <row r="18384">
      <c r="A18384" s="1" t="s">
        <v>18383</v>
      </c>
      <c r="B18384" s="2" t="str">
        <f>IFERROR(__xludf.DUMMYFUNCTION("GOOGLETRANSLATE(A18384, ""de"", ""en"")"),"mix")</f>
        <v>mix</v>
      </c>
    </row>
    <row r="18385">
      <c r="A18385" s="1" t="s">
        <v>18384</v>
      </c>
      <c r="B18385" s="2" t="str">
        <f>IFERROR(__xludf.DUMMYFUNCTION("GOOGLETRANSLATE(A18385, ""de"", ""en"")"),"Odessa")</f>
        <v>Odessa</v>
      </c>
    </row>
    <row r="18386">
      <c r="A18386" s="1" t="s">
        <v>18385</v>
      </c>
      <c r="B18386" s="2" t="str">
        <f>IFERROR(__xludf.DUMMYFUNCTION("GOOGLETRANSLATE(A18386, ""de"", ""en"")"),"more intense")</f>
        <v>more intense</v>
      </c>
    </row>
    <row r="18387">
      <c r="A18387" s="1" t="s">
        <v>18386</v>
      </c>
      <c r="B18387" s="2" t="str">
        <f>IFERROR(__xludf.DUMMYFUNCTION("GOOGLETRANSLATE(A18387, ""de"", ""en"")"),"district")</f>
        <v>district</v>
      </c>
    </row>
    <row r="18388">
      <c r="A18388" s="1" t="s">
        <v>18387</v>
      </c>
      <c r="B18388" s="2" t="str">
        <f>IFERROR(__xludf.DUMMYFUNCTION("GOOGLETRANSLATE(A18388, ""de"", ""en"")"),"beach house")</f>
        <v>beach house</v>
      </c>
    </row>
    <row r="18389">
      <c r="A18389" s="1" t="s">
        <v>18388</v>
      </c>
      <c r="B18389" s="2" t="str">
        <f>IFERROR(__xludf.DUMMYFUNCTION("GOOGLETRANSLATE(A18389, ""de"", ""en"")"),"prescribe")</f>
        <v>prescribe</v>
      </c>
    </row>
    <row r="18390">
      <c r="A18390" s="1" t="s">
        <v>18389</v>
      </c>
      <c r="B18390" s="2" t="str">
        <f>IFERROR(__xludf.DUMMYFUNCTION("GOOGLETRANSLATE(A18390, ""de"", ""en"")"),"trixie")</f>
        <v>trixie</v>
      </c>
    </row>
    <row r="18391">
      <c r="A18391" s="1" t="s">
        <v>18390</v>
      </c>
      <c r="B18391" s="2" t="str">
        <f>IFERROR(__xludf.DUMMYFUNCTION("GOOGLETRANSLATE(A18391, ""de"", ""en"")"),"verses")</f>
        <v>verses</v>
      </c>
    </row>
    <row r="18392">
      <c r="A18392" s="1" t="s">
        <v>18391</v>
      </c>
      <c r="B18392" s="2" t="str">
        <f>IFERROR(__xludf.DUMMYFUNCTION("GOOGLETRANSLATE(A18392, ""de"", ""en"")"),"pretends")</f>
        <v>pretends</v>
      </c>
    </row>
    <row r="18393">
      <c r="A18393" s="1" t="s">
        <v>18392</v>
      </c>
      <c r="B18393" s="2" t="str">
        <f>IFERROR(__xludf.DUMMYFUNCTION("GOOGLETRANSLATE(A18393, ""de"", ""en"")"),"hottest")</f>
        <v>hottest</v>
      </c>
    </row>
    <row r="18394">
      <c r="A18394" s="1" t="s">
        <v>18393</v>
      </c>
      <c r="B18394" s="2" t="str">
        <f>IFERROR(__xludf.DUMMYFUNCTION("GOOGLETRANSLATE(A18394, ""de"", ""en"")"),"yudd")</f>
        <v>yudd</v>
      </c>
    </row>
    <row r="18395">
      <c r="A18395" s="1" t="s">
        <v>18394</v>
      </c>
      <c r="B18395" s="2" t="str">
        <f>IFERROR(__xludf.DUMMYFUNCTION("GOOGLETRANSLATE(A18395, ""de"", ""en"")"),"priya")</f>
        <v>priya</v>
      </c>
    </row>
    <row r="18396">
      <c r="A18396" s="1" t="s">
        <v>18395</v>
      </c>
      <c r="B18396" s="2" t="str">
        <f>IFERROR(__xludf.DUMMYFUNCTION("GOOGLETRANSLATE(A18396, ""de"", ""en"")"),"balboa")</f>
        <v>balboa</v>
      </c>
    </row>
    <row r="18397">
      <c r="A18397" s="1" t="s">
        <v>18396</v>
      </c>
      <c r="B18397" s="2" t="str">
        <f>IFERROR(__xludf.DUMMYFUNCTION("GOOGLETRANSLATE(A18397, ""de"", ""en"")"),"benno")</f>
        <v>benno</v>
      </c>
    </row>
    <row r="18398">
      <c r="A18398" s="1" t="s">
        <v>18397</v>
      </c>
      <c r="B18398" s="2" t="str">
        <f>IFERROR(__xludf.DUMMYFUNCTION("GOOGLETRANSLATE(A18398, ""de"", ""en"")"),"mothership")</f>
        <v>mothership</v>
      </c>
    </row>
    <row r="18399">
      <c r="A18399" s="1" t="s">
        <v>18398</v>
      </c>
      <c r="B18399" s="2" t="str">
        <f>IFERROR(__xludf.DUMMYFUNCTION("GOOGLETRANSLATE(A18399, ""de"", ""en"")"),"mob")</f>
        <v>mob</v>
      </c>
    </row>
    <row r="18400">
      <c r="A18400" s="1" t="s">
        <v>18399</v>
      </c>
      <c r="B18400" s="2" t="str">
        <f>IFERROR(__xludf.DUMMYFUNCTION("GOOGLETRANSLATE(A18400, ""de"", ""en"")"),"senior physician")</f>
        <v>senior physician</v>
      </c>
    </row>
    <row r="18401">
      <c r="A18401" s="1" t="s">
        <v>18400</v>
      </c>
      <c r="B18401" s="2" t="str">
        <f>IFERROR(__xludf.DUMMYFUNCTION("GOOGLETRANSLATE(A18401, ""de"", ""en"")"),"ebay")</f>
        <v>ebay</v>
      </c>
    </row>
    <row r="18402">
      <c r="A18402" s="1" t="s">
        <v>18401</v>
      </c>
      <c r="B18402" s="2" t="str">
        <f>IFERROR(__xludf.DUMMYFUNCTION("GOOGLETRANSLATE(A18402, ""de"", ""en"")"),"hum")</f>
        <v>hum</v>
      </c>
    </row>
    <row r="18403">
      <c r="A18403" s="1" t="s">
        <v>18402</v>
      </c>
      <c r="B18403" s="2" t="str">
        <f>IFERROR(__xludf.DUMMYFUNCTION("GOOGLETRANSLATE(A18403, ""de"", ""en"")"),"sneaked")</f>
        <v>sneaked</v>
      </c>
    </row>
    <row r="18404">
      <c r="A18404" s="1" t="s">
        <v>18403</v>
      </c>
      <c r="B18404" s="2" t="str">
        <f>IFERROR(__xludf.DUMMYFUNCTION("GOOGLETRANSLATE(A18404, ""de"", ""en"")"),"rough")</f>
        <v>rough</v>
      </c>
    </row>
    <row r="18405">
      <c r="A18405" s="1" t="s">
        <v>18404</v>
      </c>
      <c r="B18405" s="2" t="str">
        <f>IFERROR(__xludf.DUMMYFUNCTION("GOOGLETRANSLATE(A18405, ""de"", ""en"")"),"strand")</f>
        <v>strand</v>
      </c>
    </row>
    <row r="18406">
      <c r="A18406" s="1" t="s">
        <v>18405</v>
      </c>
      <c r="B18406" s="2" t="str">
        <f>IFERROR(__xludf.DUMMYFUNCTION("GOOGLETRANSLATE(A18406, ""de"", ""en"")"),"windshield")</f>
        <v>windshield</v>
      </c>
    </row>
    <row r="18407">
      <c r="A18407" s="1" t="s">
        <v>18406</v>
      </c>
      <c r="B18407" s="2" t="str">
        <f>IFERROR(__xludf.DUMMYFUNCTION("GOOGLETRANSLATE(A18407, ""de"", ""en"")"),"extremes")</f>
        <v>extremes</v>
      </c>
    </row>
    <row r="18408">
      <c r="A18408" s="1" t="s">
        <v>18407</v>
      </c>
      <c r="B18408" s="2" t="str">
        <f>IFERROR(__xludf.DUMMYFUNCTION("GOOGLETRANSLATE(A18408, ""de"", ""en"")"),"nobody's")</f>
        <v>nobody's</v>
      </c>
    </row>
    <row r="18409">
      <c r="A18409" s="1" t="s">
        <v>18408</v>
      </c>
      <c r="B18409" s="2" t="str">
        <f>IFERROR(__xludf.DUMMYFUNCTION("GOOGLETRANSLATE(A18409, ""de"", ""en"")"),"dries")</f>
        <v>dries</v>
      </c>
    </row>
    <row r="18410">
      <c r="A18410" s="1" t="s">
        <v>18409</v>
      </c>
      <c r="B18410" s="2" t="str">
        <f>IFERROR(__xludf.DUMMYFUNCTION("GOOGLETRANSLATE(A18410, ""de"", ""en"")"),"pelle")</f>
        <v>pelle</v>
      </c>
    </row>
    <row r="18411">
      <c r="A18411" s="1" t="s">
        <v>18410</v>
      </c>
      <c r="B18411" s="2" t="str">
        <f>IFERROR(__xludf.DUMMYFUNCTION("GOOGLETRANSLATE(A18411, ""de"", ""en"")"),"mariana")</f>
        <v>mariana</v>
      </c>
    </row>
    <row r="18412">
      <c r="A18412" s="1" t="s">
        <v>18411</v>
      </c>
      <c r="B18412" s="2" t="str">
        <f>IFERROR(__xludf.DUMMYFUNCTION("GOOGLETRANSLATE(A18412, ""de"", ""en"")"),"scarecrow")</f>
        <v>scarecrow</v>
      </c>
    </row>
    <row r="18413">
      <c r="A18413" s="1" t="s">
        <v>18412</v>
      </c>
      <c r="B18413" s="2" t="str">
        <f>IFERROR(__xludf.DUMMYFUNCTION("GOOGLETRANSLATE(A18413, ""de"", ""en"")"),"vinny")</f>
        <v>vinny</v>
      </c>
    </row>
    <row r="18414">
      <c r="A18414" s="1" t="s">
        <v>18413</v>
      </c>
      <c r="B18414" s="2" t="str">
        <f>IFERROR(__xludf.DUMMYFUNCTION("GOOGLETRANSLATE(A18414, ""de"", ""en"")"),"primitive")</f>
        <v>primitive</v>
      </c>
    </row>
    <row r="18415">
      <c r="A18415" s="1" t="s">
        <v>18414</v>
      </c>
      <c r="B18415" s="2" t="str">
        <f>IFERROR(__xludf.DUMMYFUNCTION("GOOGLETRANSLATE(A18415, ""de"", ""en"")"),"ally")</f>
        <v>ally</v>
      </c>
    </row>
    <row r="18416">
      <c r="A18416" s="1" t="s">
        <v>18415</v>
      </c>
      <c r="B18416" s="2" t="str">
        <f>IFERROR(__xludf.DUMMYFUNCTION("GOOGLETRANSLATE(A18416, ""de"", ""en"")"),"Harry's")</f>
        <v>Harry's</v>
      </c>
    </row>
    <row r="18417">
      <c r="A18417" s="1" t="s">
        <v>18416</v>
      </c>
      <c r="B18417" s="2" t="str">
        <f>IFERROR(__xludf.DUMMYFUNCTION("GOOGLETRANSLATE(A18417, ""de"", ""en"")"),"razor")</f>
        <v>razor</v>
      </c>
    </row>
    <row r="18418">
      <c r="A18418" s="1" t="s">
        <v>18417</v>
      </c>
      <c r="B18418" s="2" t="str">
        <f>IFERROR(__xludf.DUMMYFUNCTION("GOOGLETRANSLATE(A18418, ""de"", ""en"")"),"hash")</f>
        <v>hash</v>
      </c>
    </row>
    <row r="18419">
      <c r="A18419" s="1" t="s">
        <v>18418</v>
      </c>
      <c r="B18419" s="2" t="str">
        <f>IFERROR(__xludf.DUMMYFUNCTION("GOOGLETRANSLATE(A18419, ""de"", ""en"")"),"Kiera")</f>
        <v>Kiera</v>
      </c>
    </row>
    <row r="18420">
      <c r="A18420" s="1" t="s">
        <v>18419</v>
      </c>
      <c r="B18420" s="2" t="str">
        <f>IFERROR(__xludf.DUMMYFUNCTION("GOOGLETRANSLATE(A18420, ""de"", ""en"")"),"bastards")</f>
        <v>bastards</v>
      </c>
    </row>
    <row r="18421">
      <c r="A18421" s="1" t="s">
        <v>18420</v>
      </c>
      <c r="B18421" s="2" t="str">
        <f>IFERROR(__xludf.DUMMYFUNCTION("GOOGLETRANSLATE(A18421, ""de"", ""en"")"),"fax")</f>
        <v>fax</v>
      </c>
    </row>
    <row r="18422">
      <c r="A18422" s="1" t="s">
        <v>18421</v>
      </c>
      <c r="B18422" s="2" t="str">
        <f>IFERROR(__xludf.DUMMYFUNCTION("GOOGLETRANSLATE(A18422, ""de"", ""en"")"),"clone")</f>
        <v>clone</v>
      </c>
    </row>
    <row r="18423">
      <c r="A18423" s="1" t="s">
        <v>18422</v>
      </c>
      <c r="B18423" s="2" t="str">
        <f>IFERROR(__xludf.DUMMYFUNCTION("GOOGLETRANSLATE(A18423, ""de"", ""en"")"),"of legal age")</f>
        <v>of legal age</v>
      </c>
    </row>
    <row r="18424">
      <c r="A18424" s="1" t="s">
        <v>18423</v>
      </c>
      <c r="B18424" s="2" t="str">
        <f>IFERROR(__xludf.DUMMYFUNCTION("GOOGLETRANSLATE(A18424, ""de"", ""en"")"),"benefactor")</f>
        <v>benefactor</v>
      </c>
    </row>
    <row r="18425">
      <c r="A18425" s="1" t="s">
        <v>18424</v>
      </c>
      <c r="B18425" s="2" t="str">
        <f>IFERROR(__xludf.DUMMYFUNCTION("GOOGLETRANSLATE(A18425, ""de"", ""en"")"),"packaging")</f>
        <v>packaging</v>
      </c>
    </row>
    <row r="18426">
      <c r="A18426" s="1" t="s">
        <v>18425</v>
      </c>
      <c r="B18426" s="2" t="str">
        <f>IFERROR(__xludf.DUMMYFUNCTION("GOOGLETRANSLATE(A18426, ""de"", ""en"")"),"harmony")</f>
        <v>harmony</v>
      </c>
    </row>
    <row r="18427">
      <c r="A18427" s="1" t="s">
        <v>18426</v>
      </c>
      <c r="B18427" s="2" t="str">
        <f>IFERROR(__xludf.DUMMYFUNCTION("GOOGLETRANSLATE(A18427, ""de"", ""en"")"),"global")</f>
        <v>global</v>
      </c>
    </row>
    <row r="18428">
      <c r="A18428" s="1" t="s">
        <v>18427</v>
      </c>
      <c r="B18428" s="2" t="str">
        <f>IFERROR(__xludf.DUMMYFUNCTION("GOOGLETRANSLATE(A18428, ""de"", ""en"")"),"attached")</f>
        <v>attached</v>
      </c>
    </row>
    <row r="18429">
      <c r="A18429" s="1" t="s">
        <v>18428</v>
      </c>
      <c r="B18429" s="2" t="str">
        <f>IFERROR(__xludf.DUMMYFUNCTION("GOOGLETRANSLATE(A18429, ""de"", ""en"")"),"templeton")</f>
        <v>templeton</v>
      </c>
    </row>
    <row r="18430">
      <c r="A18430" s="1" t="s">
        <v>18429</v>
      </c>
      <c r="B18430" s="2" t="str">
        <f>IFERROR(__xludf.DUMMYFUNCTION("GOOGLETRANSLATE(A18430, ""de"", ""en"")"),"bimbam")</f>
        <v>bimbam</v>
      </c>
    </row>
    <row r="18431">
      <c r="A18431" s="1" t="s">
        <v>18430</v>
      </c>
      <c r="B18431" s="2" t="str">
        <f>IFERROR(__xludf.DUMMYFUNCTION("GOOGLETRANSLATE(A18431, ""de"", ""en"")"),"requirements")</f>
        <v>requirements</v>
      </c>
    </row>
    <row r="18432">
      <c r="A18432" s="1" t="s">
        <v>18431</v>
      </c>
      <c r="B18432" s="2" t="str">
        <f>IFERROR(__xludf.DUMMYFUNCTION("GOOGLETRANSLATE(A18432, ""de"", ""en"")"),"curse")</f>
        <v>curse</v>
      </c>
    </row>
    <row r="18433">
      <c r="A18433" s="1" t="s">
        <v>18432</v>
      </c>
      <c r="B18433" s="2" t="str">
        <f>IFERROR(__xludf.DUMMYFUNCTION("GOOGLETRANSLATE(A18433, ""de"", ""en"")"),"natural")</f>
        <v>natural</v>
      </c>
    </row>
    <row r="18434">
      <c r="A18434" s="1" t="s">
        <v>18433</v>
      </c>
      <c r="B18434" s="2" t="str">
        <f>IFERROR(__xludf.DUMMYFUNCTION("GOOGLETRANSLATE(A18434, ""de"", ""en"")"),"selfless")</f>
        <v>selfless</v>
      </c>
    </row>
    <row r="18435">
      <c r="A18435" s="1" t="s">
        <v>18434</v>
      </c>
      <c r="B18435" s="2" t="str">
        <f>IFERROR(__xludf.DUMMYFUNCTION("GOOGLETRANSLATE(A18435, ""de"", ""en"")"),"powder")</f>
        <v>powder</v>
      </c>
    </row>
    <row r="18436">
      <c r="A18436" s="1" t="s">
        <v>18435</v>
      </c>
      <c r="B18436" s="2" t="str">
        <f>IFERROR(__xludf.DUMMYFUNCTION("GOOGLETRANSLATE(A18436, ""de"", ""en"")"),"pierrot")</f>
        <v>pierrot</v>
      </c>
    </row>
    <row r="18437">
      <c r="A18437" s="1" t="s">
        <v>18436</v>
      </c>
      <c r="B18437" s="2" t="str">
        <f>IFERROR(__xludf.DUMMYFUNCTION("GOOGLETRANSLATE(A18437, ""de"", ""en"")"),"total")</f>
        <v>total</v>
      </c>
    </row>
    <row r="18438">
      <c r="A18438" s="1" t="s">
        <v>18437</v>
      </c>
      <c r="B18438" s="2" t="str">
        <f>IFERROR(__xludf.DUMMYFUNCTION("GOOGLETRANSLATE(A18438, ""de"", ""en"")"),"announces")</f>
        <v>announces</v>
      </c>
    </row>
    <row r="18439">
      <c r="A18439" s="1" t="s">
        <v>18438</v>
      </c>
      <c r="B18439" s="2" t="str">
        <f>IFERROR(__xludf.DUMMYFUNCTION("GOOGLETRANSLATE(A18439, ""de"", ""en"")"),"malice")</f>
        <v>malice</v>
      </c>
    </row>
    <row r="18440">
      <c r="A18440" s="1" t="s">
        <v>18439</v>
      </c>
      <c r="B18440" s="2" t="str">
        <f>IFERROR(__xludf.DUMMYFUNCTION("GOOGLETRANSLATE(A18440, ""de"", ""en"")"),"herpes")</f>
        <v>herpes</v>
      </c>
    </row>
    <row r="18441">
      <c r="A18441" s="1" t="s">
        <v>18440</v>
      </c>
      <c r="B18441" s="2" t="str">
        <f>IFERROR(__xludf.DUMMYFUNCTION("GOOGLETRANSLATE(A18441, ""de"", ""en"")"),"boards")</f>
        <v>boards</v>
      </c>
    </row>
    <row r="18442">
      <c r="A18442" s="1" t="s">
        <v>18441</v>
      </c>
      <c r="B18442" s="2" t="str">
        <f>IFERROR(__xludf.DUMMYFUNCTION("GOOGLETRANSLATE(A18442, ""de"", ""en"")"),"speak")</f>
        <v>speak</v>
      </c>
    </row>
    <row r="18443">
      <c r="A18443" s="1" t="s">
        <v>18442</v>
      </c>
      <c r="B18443" s="2" t="str">
        <f>IFERROR(__xludf.DUMMYFUNCTION("GOOGLETRANSLATE(A18443, ""de"", ""en"")"),"fractures")</f>
        <v>fractures</v>
      </c>
    </row>
    <row r="18444">
      <c r="A18444" s="1" t="s">
        <v>18443</v>
      </c>
      <c r="B18444" s="2" t="str">
        <f>IFERROR(__xludf.DUMMYFUNCTION("GOOGLETRANSLATE(A18444, ""de"", ""en"")"),"aas")</f>
        <v>aas</v>
      </c>
    </row>
    <row r="18445">
      <c r="A18445" s="1" t="s">
        <v>18444</v>
      </c>
      <c r="B18445" s="2" t="str">
        <f>IFERROR(__xludf.DUMMYFUNCTION("GOOGLETRANSLATE(A18445, ""de"", ""en"")"),"Olympic")</f>
        <v>Olympic</v>
      </c>
    </row>
    <row r="18446">
      <c r="A18446" s="1" t="s">
        <v>18445</v>
      </c>
      <c r="B18446" s="2" t="str">
        <f>IFERROR(__xludf.DUMMYFUNCTION("GOOGLETRANSLATE(A18446, ""de"", ""en"")"),"forgive")</f>
        <v>forgive</v>
      </c>
    </row>
    <row r="18447">
      <c r="A18447" s="1" t="s">
        <v>18446</v>
      </c>
      <c r="B18447" s="2" t="str">
        <f>IFERROR(__xludf.DUMMYFUNCTION("GOOGLETRANSLATE(A18447, ""de"", ""en"")"),"coupon")</f>
        <v>coupon</v>
      </c>
    </row>
    <row r="18448">
      <c r="A18448" s="1" t="s">
        <v>18447</v>
      </c>
      <c r="B18448" s="2" t="str">
        <f>IFERROR(__xludf.DUMMYFUNCTION("GOOGLETRANSLATE(A18448, ""de"", ""en"")"),"summer vacation")</f>
        <v>summer vacation</v>
      </c>
    </row>
    <row r="18449">
      <c r="A18449" s="1" t="s">
        <v>18448</v>
      </c>
      <c r="B18449" s="2" t="str">
        <f>IFERROR(__xludf.DUMMYFUNCTION("GOOGLETRANSLATE(A18449, ""de"", ""en"")"),"Jameson")</f>
        <v>Jameson</v>
      </c>
    </row>
    <row r="18450">
      <c r="A18450" s="1" t="s">
        <v>18449</v>
      </c>
      <c r="B18450" s="2" t="str">
        <f>IFERROR(__xludf.DUMMYFUNCTION("GOOGLETRANSLATE(A18450, ""de"", ""en"")"),"adoration")</f>
        <v>adoration</v>
      </c>
    </row>
    <row r="18451">
      <c r="A18451" s="1" t="s">
        <v>18450</v>
      </c>
      <c r="B18451" s="2" t="str">
        <f>IFERROR(__xludf.DUMMYFUNCTION("GOOGLETRANSLATE(A18451, ""de"", ""en"")"),"marlo")</f>
        <v>marlo</v>
      </c>
    </row>
    <row r="18452">
      <c r="A18452" s="1" t="s">
        <v>18451</v>
      </c>
      <c r="B18452" s="2" t="str">
        <f>IFERROR(__xludf.DUMMYFUNCTION("GOOGLETRANSLATE(A18452, ""de"", ""en"")"),"desired")</f>
        <v>desired</v>
      </c>
    </row>
    <row r="18453">
      <c r="A18453" s="1" t="s">
        <v>18452</v>
      </c>
      <c r="B18453" s="2" t="str">
        <f>IFERROR(__xludf.DUMMYFUNCTION("GOOGLETRANSLATE(A18453, ""de"", ""en"")"),"active")</f>
        <v>active</v>
      </c>
    </row>
    <row r="18454">
      <c r="A18454" s="1" t="s">
        <v>18453</v>
      </c>
      <c r="B18454" s="2" t="str">
        <f>IFERROR(__xludf.DUMMYFUNCTION("GOOGLETRANSLATE(A18454, ""de"", ""en"")"),"ryans")</f>
        <v>ryans</v>
      </c>
    </row>
    <row r="18455">
      <c r="A18455" s="1" t="s">
        <v>18454</v>
      </c>
      <c r="B18455" s="2" t="str">
        <f>IFERROR(__xludf.DUMMYFUNCTION("GOOGLETRANSLATE(A18455, ""de"", ""en"")"),"etienne")</f>
        <v>etienne</v>
      </c>
    </row>
    <row r="18456">
      <c r="A18456" s="1" t="s">
        <v>18455</v>
      </c>
      <c r="B18456" s="2" t="str">
        <f>IFERROR(__xludf.DUMMYFUNCTION("GOOGLETRANSLATE(A18456, ""de"", ""en"")"),"shay")</f>
        <v>shay</v>
      </c>
    </row>
    <row r="18457">
      <c r="A18457" s="1" t="s">
        <v>18456</v>
      </c>
      <c r="B18457" s="2" t="str">
        <f>IFERROR(__xludf.DUMMYFUNCTION("GOOGLETRANSLATE(A18457, ""de"", ""en"")"),"wan")</f>
        <v>wan</v>
      </c>
    </row>
    <row r="18458">
      <c r="A18458" s="1" t="s">
        <v>18457</v>
      </c>
      <c r="B18458" s="2" t="str">
        <f>IFERROR(__xludf.DUMMYFUNCTION("GOOGLETRANSLATE(A18458, ""de"", ""en"")"),"committed")</f>
        <v>committed</v>
      </c>
    </row>
    <row r="18459">
      <c r="A18459" s="1" t="s">
        <v>18458</v>
      </c>
      <c r="B18459" s="2" t="str">
        <f>IFERROR(__xludf.DUMMYFUNCTION("GOOGLETRANSLATE(A18459, ""de"", ""en"")"),"Oof")</f>
        <v>Oof</v>
      </c>
    </row>
    <row r="18460">
      <c r="A18460" s="1" t="s">
        <v>18459</v>
      </c>
      <c r="B18460" s="2" t="str">
        <f>IFERROR(__xludf.DUMMYFUNCTION("GOOGLETRANSLATE(A18460, ""de"", ""en"")"),"jasmine")</f>
        <v>jasmine</v>
      </c>
    </row>
    <row r="18461">
      <c r="A18461" s="1" t="s">
        <v>18460</v>
      </c>
      <c r="B18461" s="2" t="str">
        <f>IFERROR(__xludf.DUMMYFUNCTION("GOOGLETRANSLATE(A18461, ""de"", ""en"")"),"Alexandria")</f>
        <v>Alexandria</v>
      </c>
    </row>
    <row r="18462">
      <c r="A18462" s="1" t="s">
        <v>18461</v>
      </c>
      <c r="B18462" s="2" t="str">
        <f>IFERROR(__xludf.DUMMYFUNCTION("GOOGLETRANSLATE(A18462, ""de"", ""en"")"),"psychological")</f>
        <v>psychological</v>
      </c>
    </row>
    <row r="18463">
      <c r="A18463" s="1" t="s">
        <v>18462</v>
      </c>
      <c r="B18463" s="2" t="str">
        <f>IFERROR(__xludf.DUMMYFUNCTION("GOOGLETRANSLATE(A18463, ""de"", ""en"")"),"taffeta")</f>
        <v>taffeta</v>
      </c>
    </row>
    <row r="18464">
      <c r="A18464" s="1" t="s">
        <v>18463</v>
      </c>
      <c r="B18464" s="2" t="str">
        <f>IFERROR(__xludf.DUMMYFUNCTION("GOOGLETRANSLATE(A18464, ""de"", ""en"")"),"foreshadowing")</f>
        <v>foreshadowing</v>
      </c>
    </row>
    <row r="18465">
      <c r="A18465" s="1" t="s">
        <v>18464</v>
      </c>
      <c r="B18465" s="2" t="str">
        <f>IFERROR(__xludf.DUMMYFUNCTION("GOOGLETRANSLATE(A18465, ""de"", ""en"")"),"comets")</f>
        <v>comets</v>
      </c>
    </row>
    <row r="18466">
      <c r="A18466" s="1" t="s">
        <v>18465</v>
      </c>
      <c r="B18466" s="2" t="str">
        <f>IFERROR(__xludf.DUMMYFUNCTION("GOOGLETRANSLATE(A18466, ""de"", ""en"")"),"chained")</f>
        <v>chained</v>
      </c>
    </row>
    <row r="18467">
      <c r="A18467" s="1" t="s">
        <v>18466</v>
      </c>
      <c r="B18467" s="2" t="str">
        <f>IFERROR(__xludf.DUMMYFUNCTION("GOOGLETRANSLATE(A18467, ""de"", ""en"")"),"scottie")</f>
        <v>scottie</v>
      </c>
    </row>
    <row r="18468">
      <c r="A18468" s="1" t="s">
        <v>18467</v>
      </c>
      <c r="B18468" s="2" t="str">
        <f>IFERROR(__xludf.DUMMYFUNCTION("GOOGLETRANSLATE(A18468, ""de"", ""en"")"),"harass")</f>
        <v>harass</v>
      </c>
    </row>
    <row r="18469">
      <c r="A18469" s="1" t="s">
        <v>18468</v>
      </c>
      <c r="B18469" s="2" t="str">
        <f>IFERROR(__xludf.DUMMYFUNCTION("GOOGLETRANSLATE(A18469, ""de"", ""en"")"),"Cecilia")</f>
        <v>Cecilia</v>
      </c>
    </row>
    <row r="18470">
      <c r="A18470" s="1" t="s">
        <v>18469</v>
      </c>
      <c r="B18470" s="2" t="str">
        <f>IFERROR(__xludf.DUMMYFUNCTION("GOOGLETRANSLATE(A18470, ""de"", ""en"")"),"fill up")</f>
        <v>fill up</v>
      </c>
    </row>
    <row r="18471">
      <c r="A18471" s="1" t="s">
        <v>18470</v>
      </c>
      <c r="B18471" s="2" t="str">
        <f>IFERROR(__xludf.DUMMYFUNCTION("GOOGLETRANSLATE(A18471, ""de"", ""en"")"),"bike")</f>
        <v>bike</v>
      </c>
    </row>
    <row r="18472">
      <c r="A18472" s="1" t="s">
        <v>18471</v>
      </c>
      <c r="B18472" s="2" t="str">
        <f>IFERROR(__xludf.DUMMYFUNCTION("GOOGLETRANSLATE(A18472, ""de"", ""en"")"),"treatments")</f>
        <v>treatments</v>
      </c>
    </row>
    <row r="18473">
      <c r="A18473" s="1" t="s">
        <v>18472</v>
      </c>
      <c r="B18473" s="2" t="str">
        <f>IFERROR(__xludf.DUMMYFUNCTION("GOOGLETRANSLATE(A18473, ""de"", ""en"")"),"bean")</f>
        <v>bean</v>
      </c>
    </row>
    <row r="18474">
      <c r="A18474" s="1" t="s">
        <v>18473</v>
      </c>
      <c r="B18474" s="2" t="str">
        <f>IFERROR(__xludf.DUMMYFUNCTION("GOOGLETRANSLATE(A18474, ""de"", ""en"")"),"appendix")</f>
        <v>appendix</v>
      </c>
    </row>
    <row r="18475">
      <c r="A18475" s="1" t="s">
        <v>18474</v>
      </c>
      <c r="B18475" s="2" t="str">
        <f>IFERROR(__xludf.DUMMYFUNCTION("GOOGLETRANSLATE(A18475, ""de"", ""en"")"),"bourgeois")</f>
        <v>bourgeois</v>
      </c>
    </row>
    <row r="18476">
      <c r="A18476" s="1" t="s">
        <v>18475</v>
      </c>
      <c r="B18476" s="2" t="str">
        <f>IFERROR(__xludf.DUMMYFUNCTION("GOOGLETRANSLATE(A18476, ""de"", ""en"")"),"different")</f>
        <v>different</v>
      </c>
    </row>
    <row r="18477">
      <c r="A18477" s="1" t="s">
        <v>18476</v>
      </c>
      <c r="B18477" s="2" t="str">
        <f>IFERROR(__xludf.DUMMYFUNCTION("GOOGLETRANSLATE(A18477, ""de"", ""en"")"),"whistler")</f>
        <v>whistler</v>
      </c>
    </row>
    <row r="18478">
      <c r="A18478" s="1" t="s">
        <v>18477</v>
      </c>
      <c r="B18478" s="2" t="str">
        <f>IFERROR(__xludf.DUMMYFUNCTION("GOOGLETRANSLATE(A18478, ""de"", ""en"")"),"seasick")</f>
        <v>seasick</v>
      </c>
    </row>
    <row r="18479">
      <c r="A18479" s="1" t="s">
        <v>18478</v>
      </c>
      <c r="B18479" s="2" t="str">
        <f>IFERROR(__xludf.DUMMYFUNCTION("GOOGLETRANSLATE(A18479, ""de"", ""en"")"),"process")</f>
        <v>process</v>
      </c>
    </row>
    <row r="18480">
      <c r="A18480" s="1" t="s">
        <v>18479</v>
      </c>
      <c r="B18480" s="2" t="str">
        <f>IFERROR(__xludf.DUMMYFUNCTION("GOOGLETRANSLATE(A18480, ""de"", ""en"")"),"vern")</f>
        <v>vern</v>
      </c>
    </row>
    <row r="18481">
      <c r="A18481" s="1" t="s">
        <v>18480</v>
      </c>
      <c r="B18481" s="2" t="str">
        <f>IFERROR(__xludf.DUMMYFUNCTION("GOOGLETRANSLATE(A18481, ""de"", ""en"")"),"Kasper")</f>
        <v>Kasper</v>
      </c>
    </row>
    <row r="18482">
      <c r="A18482" s="1" t="s">
        <v>18481</v>
      </c>
      <c r="B18482" s="2" t="str">
        <f>IFERROR(__xludf.DUMMYFUNCTION("GOOGLETRANSLATE(A18482, ""de"", ""en"")"),"phases")</f>
        <v>phases</v>
      </c>
    </row>
    <row r="18483">
      <c r="A18483" s="1" t="s">
        <v>18482</v>
      </c>
      <c r="B18483" s="2" t="str">
        <f>IFERROR(__xludf.DUMMYFUNCTION("GOOGLETRANSLATE(A18483, ""de"", ""en"")"),"immensely")</f>
        <v>immensely</v>
      </c>
    </row>
    <row r="18484">
      <c r="A18484" s="1" t="s">
        <v>18483</v>
      </c>
      <c r="B18484" s="2" t="str">
        <f>IFERROR(__xludf.DUMMYFUNCTION("GOOGLETRANSLATE(A18484, ""de"", ""en"")"),"deprive")</f>
        <v>deprive</v>
      </c>
    </row>
    <row r="18485">
      <c r="A18485" s="1" t="s">
        <v>18484</v>
      </c>
      <c r="B18485" s="2" t="str">
        <f>IFERROR(__xludf.DUMMYFUNCTION("GOOGLETRANSLATE(A18485, ""de"", ""en"")"),"jolly")</f>
        <v>jolly</v>
      </c>
    </row>
    <row r="18486">
      <c r="A18486" s="1" t="s">
        <v>18485</v>
      </c>
      <c r="B18486" s="2" t="str">
        <f>IFERROR(__xludf.DUMMYFUNCTION("GOOGLETRANSLATE(A18486, ""de"", ""en"")"),"intentionally")</f>
        <v>intentionally</v>
      </c>
    </row>
    <row r="18487">
      <c r="A18487" s="1" t="s">
        <v>18486</v>
      </c>
      <c r="B18487" s="2" t="str">
        <f>IFERROR(__xludf.DUMMYFUNCTION("GOOGLETRANSLATE(A18487, ""de"", ""en"")"),"zak")</f>
        <v>zak</v>
      </c>
    </row>
    <row r="18488">
      <c r="A18488" s="1" t="s">
        <v>18487</v>
      </c>
      <c r="B18488" s="2" t="str">
        <f>IFERROR(__xludf.DUMMYFUNCTION("GOOGLETRANSLATE(A18488, ""de"", ""en"")"),"delayed")</f>
        <v>delayed</v>
      </c>
    </row>
    <row r="18489">
      <c r="A18489" s="1" t="s">
        <v>18488</v>
      </c>
      <c r="B18489" s="2" t="str">
        <f>IFERROR(__xludf.DUMMYFUNCTION("GOOGLETRANSLATE(A18489, ""de"", ""en"")"),"business")</f>
        <v>business</v>
      </c>
    </row>
    <row r="18490">
      <c r="A18490" s="1" t="s">
        <v>18489</v>
      </c>
      <c r="B18490" s="2" t="str">
        <f>IFERROR(__xludf.DUMMYFUNCTION("GOOGLETRANSLATE(A18490, ""de"", ""en"")"),"folder")</f>
        <v>folder</v>
      </c>
    </row>
    <row r="18491">
      <c r="A18491" s="1" t="s">
        <v>18490</v>
      </c>
      <c r="B18491" s="2" t="str">
        <f>IFERROR(__xludf.DUMMYFUNCTION("GOOGLETRANSLATE(A18491, ""de"", ""en"")"),"inhuman")</f>
        <v>inhuman</v>
      </c>
    </row>
    <row r="18492">
      <c r="A18492" s="1" t="s">
        <v>18491</v>
      </c>
      <c r="B18492" s="2" t="str">
        <f>IFERROR(__xludf.DUMMYFUNCTION("GOOGLETRANSLATE(A18492, ""de"", ""en"")"),"sonny")</f>
        <v>sonny</v>
      </c>
    </row>
    <row r="18493">
      <c r="A18493" s="1" t="s">
        <v>18492</v>
      </c>
      <c r="B18493" s="2" t="str">
        <f>IFERROR(__xludf.DUMMYFUNCTION("GOOGLETRANSLATE(A18493, ""de"", ""en"")"),"inquisition")</f>
        <v>inquisition</v>
      </c>
    </row>
    <row r="18494">
      <c r="A18494" s="1" t="s">
        <v>18493</v>
      </c>
      <c r="B18494" s="2" t="str">
        <f>IFERROR(__xludf.DUMMYFUNCTION("GOOGLETRANSLATE(A18494, ""de"", ""en"")"),"killing")</f>
        <v>killing</v>
      </c>
    </row>
    <row r="18495">
      <c r="A18495" s="1" t="s">
        <v>18494</v>
      </c>
      <c r="B18495" s="2" t="str">
        <f>IFERROR(__xludf.DUMMYFUNCTION("GOOGLETRANSLATE(A18495, ""de"", ""en"")"),"go over")</f>
        <v>go over</v>
      </c>
    </row>
    <row r="18496">
      <c r="A18496" s="1" t="s">
        <v>18495</v>
      </c>
      <c r="B18496" s="2" t="str">
        <f>IFERROR(__xludf.DUMMYFUNCTION("GOOGLETRANSLATE(A18496, ""de"", ""en"")"),"Hermione")</f>
        <v>Hermione</v>
      </c>
    </row>
    <row r="18497">
      <c r="A18497" s="1" t="s">
        <v>18496</v>
      </c>
      <c r="B18497" s="2" t="str">
        <f>IFERROR(__xludf.DUMMYFUNCTION("GOOGLETRANSLATE(A18497, ""de"", ""en"")"),"created")</f>
        <v>created</v>
      </c>
    </row>
    <row r="18498">
      <c r="A18498" s="1" t="s">
        <v>18497</v>
      </c>
      <c r="B18498" s="2" t="str">
        <f>IFERROR(__xludf.DUMMYFUNCTION("GOOGLETRANSLATE(A18498, ""de"", ""en"")"),"deal")</f>
        <v>deal</v>
      </c>
    </row>
    <row r="18499">
      <c r="A18499" s="1" t="s">
        <v>18498</v>
      </c>
      <c r="B18499" s="2" t="str">
        <f>IFERROR(__xludf.DUMMYFUNCTION("GOOGLETRANSLATE(A18499, ""de"", ""en"")"),"Eiffel tower")</f>
        <v>Eiffel tower</v>
      </c>
    </row>
    <row r="18500">
      <c r="A18500" s="1" t="s">
        <v>18499</v>
      </c>
      <c r="B18500" s="2" t="str">
        <f>IFERROR(__xludf.DUMMYFUNCTION("GOOGLETRANSLATE(A18500, ""de"", ""en"")"),"trophies")</f>
        <v>trophies</v>
      </c>
    </row>
    <row r="18501">
      <c r="A18501" s="1" t="s">
        <v>18500</v>
      </c>
      <c r="B18501" s="2" t="str">
        <f>IFERROR(__xludf.DUMMYFUNCTION("GOOGLETRANSLATE(A18501, ""de"", ""en"")"),"baptist")</f>
        <v>baptist</v>
      </c>
    </row>
    <row r="18502">
      <c r="A18502" s="1" t="s">
        <v>18501</v>
      </c>
      <c r="B18502" s="2" t="str">
        <f>IFERROR(__xludf.DUMMYFUNCTION("GOOGLETRANSLATE(A18502, ""de"", ""en"")"),"society")</f>
        <v>society</v>
      </c>
    </row>
    <row r="18503">
      <c r="A18503" s="1" t="s">
        <v>18502</v>
      </c>
      <c r="B18503" s="2" t="str">
        <f>IFERROR(__xludf.DUMMYFUNCTION("GOOGLETRANSLATE(A18503, ""de"", ""en"")"),"warfare")</f>
        <v>warfare</v>
      </c>
    </row>
    <row r="18504">
      <c r="A18504" s="1" t="s">
        <v>18503</v>
      </c>
      <c r="B18504" s="2" t="str">
        <f>IFERROR(__xludf.DUMMYFUNCTION("GOOGLETRANSLATE(A18504, ""de"", ""en"")"),"than")</f>
        <v>than</v>
      </c>
    </row>
    <row r="18505">
      <c r="A18505" s="1" t="s">
        <v>18504</v>
      </c>
      <c r="B18505" s="2" t="str">
        <f>IFERROR(__xludf.DUMMYFUNCTION("GOOGLETRANSLATE(A18505, ""de"", ""en"")"),"kidnappings")</f>
        <v>kidnappings</v>
      </c>
    </row>
    <row r="18506">
      <c r="A18506" s="1" t="s">
        <v>18505</v>
      </c>
      <c r="B18506" s="2" t="str">
        <f>IFERROR(__xludf.DUMMYFUNCTION("GOOGLETRANSLATE(A18506, ""de"", ""en"")"),"tutte")</f>
        <v>tutte</v>
      </c>
    </row>
    <row r="18507">
      <c r="A18507" s="1" t="s">
        <v>18506</v>
      </c>
      <c r="B18507" s="2" t="str">
        <f>IFERROR(__xludf.DUMMYFUNCTION("GOOGLETRANSLATE(A18507, ""de"", ""en"")"),"FBI agent")</f>
        <v>FBI agent</v>
      </c>
    </row>
    <row r="18508">
      <c r="A18508" s="1" t="s">
        <v>18507</v>
      </c>
      <c r="B18508" s="2" t="str">
        <f>IFERROR(__xludf.DUMMYFUNCTION("GOOGLETRANSLATE(A18508, ""de"", ""en"")"),"forest")</f>
        <v>forest</v>
      </c>
    </row>
    <row r="18509">
      <c r="A18509" s="1" t="s">
        <v>18508</v>
      </c>
      <c r="B18509" s="2" t="str">
        <f>IFERROR(__xludf.DUMMYFUNCTION("GOOGLETRANSLATE(A18509, ""de"", ""en"")"),"average")</f>
        <v>average</v>
      </c>
    </row>
    <row r="18510">
      <c r="A18510" s="1" t="s">
        <v>18509</v>
      </c>
      <c r="B18510" s="2" t="str">
        <f>IFERROR(__xludf.DUMMYFUNCTION("GOOGLETRANSLATE(A18510, ""de"", ""en"")"),"looked")</f>
        <v>looked</v>
      </c>
    </row>
    <row r="18511">
      <c r="A18511" s="1" t="s">
        <v>18510</v>
      </c>
      <c r="B18511" s="2" t="str">
        <f>IFERROR(__xludf.DUMMYFUNCTION("GOOGLETRANSLATE(A18511, ""de"", ""en"")"),"compare")</f>
        <v>compare</v>
      </c>
    </row>
    <row r="18512">
      <c r="A18512" s="1" t="s">
        <v>18511</v>
      </c>
      <c r="B18512" s="2" t="str">
        <f>IFERROR(__xludf.DUMMYFUNCTION("GOOGLETRANSLATE(A18512, ""de"", ""en"")"),"forged")</f>
        <v>forged</v>
      </c>
    </row>
    <row r="18513">
      <c r="A18513" s="1" t="s">
        <v>18512</v>
      </c>
      <c r="B18513" s="2" t="str">
        <f>IFERROR(__xludf.DUMMYFUNCTION("GOOGLETRANSLATE(A18513, ""de"", ""en"")"),"superintendent")</f>
        <v>superintendent</v>
      </c>
    </row>
    <row r="18514">
      <c r="A18514" s="1" t="s">
        <v>18513</v>
      </c>
      <c r="B18514" s="2" t="str">
        <f>IFERROR(__xludf.DUMMYFUNCTION("GOOGLETRANSLATE(A18514, ""de"", ""en"")"),"mace")</f>
        <v>mace</v>
      </c>
    </row>
    <row r="18515">
      <c r="A18515" s="1" t="s">
        <v>18514</v>
      </c>
      <c r="B18515" s="2" t="str">
        <f>IFERROR(__xludf.DUMMYFUNCTION("GOOGLETRANSLATE(A18515, ""de"", ""en"")"),"mean")</f>
        <v>mean</v>
      </c>
    </row>
    <row r="18516">
      <c r="A18516" s="1" t="s">
        <v>18515</v>
      </c>
      <c r="B18516" s="2" t="str">
        <f>IFERROR(__xludf.DUMMYFUNCTION("GOOGLETRANSLATE(A18516, ""de"", ""en"")"),"defense minister")</f>
        <v>defense minister</v>
      </c>
    </row>
    <row r="18517">
      <c r="A18517" s="1" t="s">
        <v>18516</v>
      </c>
      <c r="B18517" s="2" t="str">
        <f>IFERROR(__xludf.DUMMYFUNCTION("GOOGLETRANSLATE(A18517, ""de"", ""en"")"),"to compete")</f>
        <v>to compete</v>
      </c>
    </row>
    <row r="18518">
      <c r="A18518" s="1" t="s">
        <v>18517</v>
      </c>
      <c r="B18518" s="2" t="str">
        <f>IFERROR(__xludf.DUMMYFUNCTION("GOOGLETRANSLATE(A18518, ""de"", ""en"")"),"harass")</f>
        <v>harass</v>
      </c>
    </row>
    <row r="18519">
      <c r="A18519" s="1" t="s">
        <v>18518</v>
      </c>
      <c r="B18519" s="2" t="str">
        <f>IFERROR(__xludf.DUMMYFUNCTION("GOOGLETRANSLATE(A18519, ""de"", ""en"")"),"disturbing")</f>
        <v>disturbing</v>
      </c>
    </row>
    <row r="18520">
      <c r="A18520" s="1" t="s">
        <v>18519</v>
      </c>
      <c r="B18520" s="2" t="str">
        <f>IFERROR(__xludf.DUMMYFUNCTION("GOOGLETRANSLATE(A18520, ""de"", ""en"")"),"fight")</f>
        <v>fight</v>
      </c>
    </row>
    <row r="18521">
      <c r="A18521" s="1" t="s">
        <v>18520</v>
      </c>
      <c r="B18521" s="2" t="str">
        <f>IFERROR(__xludf.DUMMYFUNCTION("GOOGLETRANSLATE(A18521, ""de"", ""en"")"),"label")</f>
        <v>label</v>
      </c>
    </row>
    <row r="18522">
      <c r="A18522" s="1" t="s">
        <v>18521</v>
      </c>
      <c r="B18522" s="2" t="str">
        <f>IFERROR(__xludf.DUMMYFUNCTION("GOOGLETRANSLATE(A18522, ""de"", ""en"")"),"changed")</f>
        <v>changed</v>
      </c>
    </row>
    <row r="18523">
      <c r="A18523" s="1" t="s">
        <v>18522</v>
      </c>
      <c r="B18523" s="2" t="str">
        <f>IFERROR(__xludf.DUMMYFUNCTION("GOOGLETRANSLATE(A18523, ""de"", ""en"")"),"cher")</f>
        <v>cher</v>
      </c>
    </row>
    <row r="18524">
      <c r="A18524" s="1" t="s">
        <v>18523</v>
      </c>
      <c r="B18524" s="2" t="str">
        <f>IFERROR(__xludf.DUMMYFUNCTION("GOOGLETRANSLATE(A18524, ""de"", ""en"")"),"fifth")</f>
        <v>fifth</v>
      </c>
    </row>
    <row r="18525">
      <c r="A18525" s="1" t="s">
        <v>18524</v>
      </c>
      <c r="B18525" s="2" t="str">
        <f>IFERROR(__xludf.DUMMYFUNCTION("GOOGLETRANSLATE(A18525, ""de"", ""en"")"),"touch")</f>
        <v>touch</v>
      </c>
    </row>
    <row r="18526">
      <c r="A18526" s="1" t="s">
        <v>18525</v>
      </c>
      <c r="B18526" s="2" t="str">
        <f>IFERROR(__xludf.DUMMYFUNCTION("GOOGLETRANSLATE(A18526, ""de"", ""en"")"),"cracker")</f>
        <v>cracker</v>
      </c>
    </row>
    <row r="18527">
      <c r="A18527" s="1" t="s">
        <v>18526</v>
      </c>
      <c r="B18527" s="2" t="str">
        <f>IFERROR(__xludf.DUMMYFUNCTION("GOOGLETRANSLATE(A18527, ""de"", ""en"")"),"dervish")</f>
        <v>dervish</v>
      </c>
    </row>
    <row r="18528">
      <c r="A18528" s="1" t="s">
        <v>18527</v>
      </c>
      <c r="B18528" s="2" t="str">
        <f>IFERROR(__xludf.DUMMYFUNCTION("GOOGLETRANSLATE(A18528, ""de"", ""en"")"),"be patient")</f>
        <v>be patient</v>
      </c>
    </row>
    <row r="18529">
      <c r="A18529" s="1" t="s">
        <v>18528</v>
      </c>
      <c r="B18529" s="2" t="str">
        <f>IFERROR(__xludf.DUMMYFUNCTION("GOOGLETRANSLATE(A18529, ""de"", ""en"")"),"favor")</f>
        <v>favor</v>
      </c>
    </row>
    <row r="18530">
      <c r="A18530" s="1" t="s">
        <v>18529</v>
      </c>
      <c r="B18530" s="2" t="str">
        <f>IFERROR(__xludf.DUMMYFUNCTION("GOOGLETRANSLATE(A18530, ""de"", ""en"")"),"bring together")</f>
        <v>bring together</v>
      </c>
    </row>
    <row r="18531">
      <c r="A18531" s="1" t="s">
        <v>18530</v>
      </c>
      <c r="B18531" s="2" t="str">
        <f>IFERROR(__xludf.DUMMYFUNCTION("GOOGLETRANSLATE(A18531, ""de"", ""en"")"),"ice cubes")</f>
        <v>ice cubes</v>
      </c>
    </row>
    <row r="18532">
      <c r="A18532" s="1" t="s">
        <v>18531</v>
      </c>
      <c r="B18532" s="2" t="str">
        <f>IFERROR(__xludf.DUMMYFUNCTION("GOOGLETRANSLATE(A18532, ""de"", ""en"")"),"change")</f>
        <v>change</v>
      </c>
    </row>
    <row r="18533">
      <c r="A18533" s="1" t="s">
        <v>18532</v>
      </c>
      <c r="B18533" s="2" t="str">
        <f>IFERROR(__xludf.DUMMYFUNCTION("GOOGLETRANSLATE(A18533, ""de"", ""en"")"),"jobs")</f>
        <v>jobs</v>
      </c>
    </row>
    <row r="18534">
      <c r="A18534" s="1" t="s">
        <v>18533</v>
      </c>
      <c r="B18534" s="2" t="str">
        <f>IFERROR(__xludf.DUMMYFUNCTION("GOOGLETRANSLATE(A18534, ""de"", ""en"")"),"removed")</f>
        <v>removed</v>
      </c>
    </row>
    <row r="18535">
      <c r="A18535" s="1" t="s">
        <v>18534</v>
      </c>
      <c r="B18535" s="2" t="str">
        <f>IFERROR(__xludf.DUMMYFUNCTION("GOOGLETRANSLATE(A18535, ""de"", ""en"")"),"Charlottesville")</f>
        <v>Charlottesville</v>
      </c>
    </row>
    <row r="18536">
      <c r="A18536" s="1" t="s">
        <v>18535</v>
      </c>
      <c r="B18536" s="2" t="str">
        <f>IFERROR(__xludf.DUMMYFUNCTION("GOOGLETRANSLATE(A18536, ""de"", ""en"")"),"sands")</f>
        <v>sands</v>
      </c>
    </row>
    <row r="18537">
      <c r="A18537" s="1" t="s">
        <v>18536</v>
      </c>
      <c r="B18537" s="2" t="str">
        <f>IFERROR(__xludf.DUMMYFUNCTION("GOOGLETRANSLATE(A18537, ""de"", ""en"")"),"anomalies")</f>
        <v>anomalies</v>
      </c>
    </row>
    <row r="18538">
      <c r="A18538" s="1" t="s">
        <v>18537</v>
      </c>
      <c r="B18538" s="2" t="str">
        <f>IFERROR(__xludf.DUMMYFUNCTION("GOOGLETRANSLATE(A18538, ""de"", ""en"")"),"dog barking")</f>
        <v>dog barking</v>
      </c>
    </row>
    <row r="18539">
      <c r="A18539" s="1" t="s">
        <v>18538</v>
      </c>
      <c r="B18539" s="2" t="str">
        <f>IFERROR(__xludf.DUMMYFUNCTION("GOOGLETRANSLATE(A18539, ""de"", ""en"")"),"cousin")</f>
        <v>cousin</v>
      </c>
    </row>
    <row r="18540">
      <c r="A18540" s="1" t="s">
        <v>18539</v>
      </c>
      <c r="B18540" s="2" t="str">
        <f>IFERROR(__xludf.DUMMYFUNCTION("GOOGLETRANSLATE(A18540, ""de"", ""en"")"),"stackhouse")</f>
        <v>stackhouse</v>
      </c>
    </row>
    <row r="18541">
      <c r="A18541" s="1" t="s">
        <v>18540</v>
      </c>
      <c r="B18541" s="2" t="str">
        <f>IFERROR(__xludf.DUMMYFUNCTION("GOOGLETRANSLATE(A18541, ""de"", ""en"")"),"flatulence")</f>
        <v>flatulence</v>
      </c>
    </row>
    <row r="18542">
      <c r="A18542" s="1" t="s">
        <v>18541</v>
      </c>
      <c r="B18542" s="2" t="str">
        <f>IFERROR(__xludf.DUMMYFUNCTION("GOOGLETRANSLATE(A18542, ""de"", ""en"")"),"behind")</f>
        <v>behind</v>
      </c>
    </row>
    <row r="18543">
      <c r="A18543" s="1" t="s">
        <v>18542</v>
      </c>
      <c r="B18543" s="2" t="str">
        <f>IFERROR(__xludf.DUMMYFUNCTION("GOOGLETRANSLATE(A18543, ""de"", ""en"")"),"negotiate")</f>
        <v>negotiate</v>
      </c>
    </row>
    <row r="18544">
      <c r="A18544" s="1" t="s">
        <v>18543</v>
      </c>
      <c r="B18544" s="2" t="str">
        <f>IFERROR(__xludf.DUMMYFUNCTION("GOOGLETRANSLATE(A18544, ""de"", ""en"")"),"prize")</f>
        <v>prize</v>
      </c>
    </row>
    <row r="18545">
      <c r="A18545" s="1" t="s">
        <v>18544</v>
      </c>
      <c r="B18545" s="2" t="str">
        <f>IFERROR(__xludf.DUMMYFUNCTION("GOOGLETRANSLATE(A18545, ""de"", ""en"")"),"would sit")</f>
        <v>would sit</v>
      </c>
    </row>
    <row r="18546">
      <c r="A18546" s="1" t="s">
        <v>18545</v>
      </c>
      <c r="B18546" s="2" t="str">
        <f>IFERROR(__xludf.DUMMYFUNCTION("GOOGLETRANSLATE(A18546, ""de"", ""en"")"),"partners")</f>
        <v>partners</v>
      </c>
    </row>
    <row r="18547">
      <c r="A18547" s="1" t="s">
        <v>18546</v>
      </c>
      <c r="B18547" s="2" t="str">
        <f>IFERROR(__xludf.DUMMYFUNCTION("GOOGLETRANSLATE(A18547, ""de"", ""en"")"),"vomit")</f>
        <v>vomit</v>
      </c>
    </row>
    <row r="18548">
      <c r="A18548" s="1" t="s">
        <v>18547</v>
      </c>
      <c r="B18548" s="2" t="str">
        <f>IFERROR(__xludf.DUMMYFUNCTION("GOOGLETRANSLATE(A18548, ""de"", ""en"")"),"fan")</f>
        <v>fan</v>
      </c>
    </row>
    <row r="18549">
      <c r="A18549" s="1" t="s">
        <v>18548</v>
      </c>
      <c r="B18549" s="2" t="str">
        <f>IFERROR(__xludf.DUMMYFUNCTION("GOOGLETRANSLATE(A18549, ""de"", ""en"")"),"classified")</f>
        <v>classified</v>
      </c>
    </row>
    <row r="18550">
      <c r="A18550" s="1" t="s">
        <v>18549</v>
      </c>
      <c r="B18550" s="2" t="str">
        <f>IFERROR(__xludf.DUMMYFUNCTION("GOOGLETRANSLATE(A18550, ""de"", ""en"")"),"Mikael")</f>
        <v>Mikael</v>
      </c>
    </row>
    <row r="18551">
      <c r="A18551" s="1" t="s">
        <v>18550</v>
      </c>
      <c r="B18551" s="2" t="str">
        <f>IFERROR(__xludf.DUMMYFUNCTION("GOOGLETRANSLATE(A18551, ""de"", ""en"")"),"fr")</f>
        <v>fr</v>
      </c>
    </row>
    <row r="18552">
      <c r="A18552" s="1" t="s">
        <v>18551</v>
      </c>
      <c r="B18552" s="2" t="str">
        <f>IFERROR(__xludf.DUMMYFUNCTION("GOOGLETRANSLATE(A18552, ""de"", ""en"")"),"pointless")</f>
        <v>pointless</v>
      </c>
    </row>
    <row r="18553">
      <c r="A18553" s="1" t="s">
        <v>18552</v>
      </c>
      <c r="B18553" s="2" t="str">
        <f>IFERROR(__xludf.DUMMYFUNCTION("GOOGLETRANSLATE(A18553, ""de"", ""en"")"),"to get excited")</f>
        <v>to get excited</v>
      </c>
    </row>
    <row r="18554">
      <c r="A18554" s="1" t="s">
        <v>18553</v>
      </c>
      <c r="B18554" s="2" t="str">
        <f>IFERROR(__xludf.DUMMYFUNCTION("GOOGLETRANSLATE(A18554, ""de"", ""en"")"),"gigantic")</f>
        <v>gigantic</v>
      </c>
    </row>
    <row r="18555">
      <c r="A18555" s="1" t="s">
        <v>18554</v>
      </c>
      <c r="B18555" s="2" t="str">
        <f>IFERROR(__xludf.DUMMYFUNCTION("GOOGLETRANSLATE(A18555, ""de"", ""en"")"),"historian")</f>
        <v>historian</v>
      </c>
    </row>
    <row r="18556">
      <c r="A18556" s="1" t="s">
        <v>18555</v>
      </c>
      <c r="B18556" s="2" t="str">
        <f>IFERROR(__xludf.DUMMYFUNCTION("GOOGLETRANSLATE(A18556, ""de"", ""en"")"),"mock")</f>
        <v>mock</v>
      </c>
    </row>
    <row r="18557">
      <c r="A18557" s="1" t="s">
        <v>18556</v>
      </c>
      <c r="B18557" s="2" t="str">
        <f>IFERROR(__xludf.DUMMYFUNCTION("GOOGLETRANSLATE(A18557, ""de"", ""en"")"),"lock")</f>
        <v>lock</v>
      </c>
    </row>
    <row r="18558">
      <c r="A18558" s="1" t="s">
        <v>18557</v>
      </c>
      <c r="B18558" s="2" t="str">
        <f>IFERROR(__xludf.DUMMYFUNCTION("GOOGLETRANSLATE(A18558, ""de"", ""en"")"),"tons")</f>
        <v>tons</v>
      </c>
    </row>
    <row r="18559">
      <c r="A18559" s="1" t="s">
        <v>18558</v>
      </c>
      <c r="B18559" s="2" t="str">
        <f>IFERROR(__xludf.DUMMYFUNCTION("GOOGLETRANSLATE(A18559, ""de"", ""en"")"),"comes through")</f>
        <v>comes through</v>
      </c>
    </row>
    <row r="18560">
      <c r="A18560" s="1" t="s">
        <v>18559</v>
      </c>
      <c r="B18560" s="2" t="str">
        <f>IFERROR(__xludf.DUMMYFUNCTION("GOOGLETRANSLATE(A18560, ""de"", ""en"")"),"tapped")</f>
        <v>tapped</v>
      </c>
    </row>
    <row r="18561">
      <c r="A18561" s="1" t="s">
        <v>18560</v>
      </c>
      <c r="B18561" s="2" t="str">
        <f>IFERROR(__xludf.DUMMYFUNCTION("GOOGLETRANSLATE(A18561, ""de"", ""en"")"),"lousier")</f>
        <v>lousier</v>
      </c>
    </row>
    <row r="18562">
      <c r="A18562" s="1" t="s">
        <v>18561</v>
      </c>
      <c r="B18562" s="2" t="str">
        <f>IFERROR(__xludf.DUMMYFUNCTION("GOOGLETRANSLATE(A18562, ""de"", ""en"")"),"filmmaker")</f>
        <v>filmmaker</v>
      </c>
    </row>
    <row r="18563">
      <c r="A18563" s="1" t="s">
        <v>18562</v>
      </c>
      <c r="B18563" s="2" t="str">
        <f>IFERROR(__xludf.DUMMYFUNCTION("GOOGLETRANSLATE(A18563, ""de"", ""en"")"),"enlightened")</f>
        <v>enlightened</v>
      </c>
    </row>
    <row r="18564">
      <c r="A18564" s="1" t="s">
        <v>18563</v>
      </c>
      <c r="B18564" s="2" t="str">
        <f>IFERROR(__xludf.DUMMYFUNCTION("GOOGLETRANSLATE(A18564, ""de"", ""en"")"),"combi")</f>
        <v>combi</v>
      </c>
    </row>
    <row r="18565">
      <c r="A18565" s="1" t="s">
        <v>18564</v>
      </c>
      <c r="B18565" s="2" t="str">
        <f>IFERROR(__xludf.DUMMYFUNCTION("GOOGLETRANSLATE(A18565, ""de"", ""en"")"),"stored")</f>
        <v>stored</v>
      </c>
    </row>
    <row r="18566">
      <c r="A18566" s="1" t="s">
        <v>18565</v>
      </c>
      <c r="B18566" s="2" t="str">
        <f>IFERROR(__xludf.DUMMYFUNCTION("GOOGLETRANSLATE(A18566, ""de"", ""en"")"),"clever")</f>
        <v>clever</v>
      </c>
    </row>
    <row r="18567">
      <c r="A18567" s="1" t="s">
        <v>18566</v>
      </c>
      <c r="B18567" s="2" t="str">
        <f>IFERROR(__xludf.DUMMYFUNCTION("GOOGLETRANSLATE(A18567, ""de"", ""en"")"),"yancy")</f>
        <v>yancy</v>
      </c>
    </row>
    <row r="18568">
      <c r="A18568" s="1" t="s">
        <v>18567</v>
      </c>
      <c r="B18568" s="2" t="str">
        <f>IFERROR(__xludf.DUMMYFUNCTION("GOOGLETRANSLATE(A18568, ""de"", ""en"")"),"marshals")</f>
        <v>marshals</v>
      </c>
    </row>
    <row r="18569">
      <c r="A18569" s="1" t="s">
        <v>18568</v>
      </c>
      <c r="B18569" s="2" t="str">
        <f>IFERROR(__xludf.DUMMYFUNCTION("GOOGLETRANSLATE(A18569, ""de"", ""en"")"),"cobra")</f>
        <v>cobra</v>
      </c>
    </row>
    <row r="18570">
      <c r="A18570" s="1" t="s">
        <v>18569</v>
      </c>
      <c r="B18570" s="2" t="str">
        <f>IFERROR(__xludf.DUMMYFUNCTION("GOOGLETRANSLATE(A18570, ""de"", ""en"")"),"fences")</f>
        <v>fences</v>
      </c>
    </row>
    <row r="18571">
      <c r="A18571" s="1" t="s">
        <v>18570</v>
      </c>
      <c r="B18571" s="2" t="str">
        <f>IFERROR(__xludf.DUMMYFUNCTION("GOOGLETRANSLATE(A18571, ""de"", ""en"")"),"Judah")</f>
        <v>Judah</v>
      </c>
    </row>
    <row r="18572">
      <c r="A18572" s="1" t="s">
        <v>18571</v>
      </c>
      <c r="B18572" s="2" t="str">
        <f>IFERROR(__xludf.DUMMYFUNCTION("GOOGLETRANSLATE(A18572, ""de"", ""en"")"),"cowardly")</f>
        <v>cowardly</v>
      </c>
    </row>
    <row r="18573">
      <c r="A18573" s="1" t="s">
        <v>18572</v>
      </c>
      <c r="B18573" s="2" t="str">
        <f>IFERROR(__xludf.DUMMYFUNCTION("GOOGLETRANSLATE(A18573, ""de"", ""en"")"),"bled")</f>
        <v>bled</v>
      </c>
    </row>
    <row r="18574">
      <c r="A18574" s="1" t="s">
        <v>18573</v>
      </c>
      <c r="B18574" s="2" t="str">
        <f>IFERROR(__xludf.DUMMYFUNCTION("GOOGLETRANSLATE(A18574, ""de"", ""en"")"),"rots")</f>
        <v>rots</v>
      </c>
    </row>
    <row r="18575">
      <c r="A18575" s="1" t="s">
        <v>18574</v>
      </c>
      <c r="B18575" s="2" t="str">
        <f>IFERROR(__xludf.DUMMYFUNCTION("GOOGLETRANSLATE(A18575, ""de"", ""en"")"),"wished")</f>
        <v>wished</v>
      </c>
    </row>
    <row r="18576">
      <c r="A18576" s="1" t="s">
        <v>18575</v>
      </c>
      <c r="B18576" s="2" t="str">
        <f>IFERROR(__xludf.DUMMYFUNCTION("GOOGLETRANSLATE(A18576, ""de"", ""en"")"),"linc")</f>
        <v>linc</v>
      </c>
    </row>
    <row r="18577">
      <c r="A18577" s="1" t="s">
        <v>18576</v>
      </c>
      <c r="B18577" s="2" t="str">
        <f>IFERROR(__xludf.DUMMYFUNCTION("GOOGLETRANSLATE(A18577, ""de"", ""en"")"),"bitter")</f>
        <v>bitter</v>
      </c>
    </row>
    <row r="18578">
      <c r="A18578" s="1" t="s">
        <v>18577</v>
      </c>
      <c r="B18578" s="2" t="str">
        <f>IFERROR(__xludf.DUMMYFUNCTION("GOOGLETRANSLATE(A18578, ""de"", ""en"")"),"important")</f>
        <v>important</v>
      </c>
    </row>
    <row r="18579">
      <c r="A18579" s="1" t="s">
        <v>18578</v>
      </c>
      <c r="B18579" s="2" t="str">
        <f>IFERROR(__xludf.DUMMYFUNCTION("GOOGLETRANSLATE(A18579, ""de"", ""en"")"),"tricked")</f>
        <v>tricked</v>
      </c>
    </row>
    <row r="18580">
      <c r="A18580" s="1" t="s">
        <v>18579</v>
      </c>
      <c r="B18580" s="2" t="str">
        <f>IFERROR(__xludf.DUMMYFUNCTION("GOOGLETRANSLATE(A18580, ""de"", ""en"")"),"intimidated")</f>
        <v>intimidated</v>
      </c>
    </row>
    <row r="18581">
      <c r="A18581" s="1" t="s">
        <v>18580</v>
      </c>
      <c r="B18581" s="2" t="str">
        <f>IFERROR(__xludf.DUMMYFUNCTION("GOOGLETRANSLATE(A18581, ""de"", ""en"")"),"martial arts")</f>
        <v>martial arts</v>
      </c>
    </row>
    <row r="18582">
      <c r="A18582" s="1" t="s">
        <v>18581</v>
      </c>
      <c r="B18582" s="2" t="str">
        <f>IFERROR(__xludf.DUMMYFUNCTION("GOOGLETRANSLATE(A18582, ""de"", ""en"")"),"nicki")</f>
        <v>nicki</v>
      </c>
    </row>
    <row r="18583">
      <c r="A18583" s="1" t="s">
        <v>18582</v>
      </c>
      <c r="B18583" s="2" t="str">
        <f>IFERROR(__xludf.DUMMYFUNCTION("GOOGLETRANSLATE(A18583, ""de"", ""en"")"),"caps")</f>
        <v>caps</v>
      </c>
    </row>
    <row r="18584">
      <c r="A18584" s="1" t="s">
        <v>18583</v>
      </c>
      <c r="B18584" s="2" t="str">
        <f>IFERROR(__xludf.DUMMYFUNCTION("GOOGLETRANSLATE(A18584, ""de"", ""en"")"),"get together")</f>
        <v>get together</v>
      </c>
    </row>
    <row r="18585">
      <c r="A18585" s="1" t="s">
        <v>18584</v>
      </c>
      <c r="B18585" s="2" t="str">
        <f>IFERROR(__xludf.DUMMYFUNCTION("GOOGLETRANSLATE(A18585, ""de"", ""en"")"),"crocodiles")</f>
        <v>crocodiles</v>
      </c>
    </row>
    <row r="18586">
      <c r="A18586" s="1" t="s">
        <v>18585</v>
      </c>
      <c r="B18586" s="2" t="str">
        <f>IFERROR(__xludf.DUMMYFUNCTION("GOOGLETRANSLATE(A18586, ""de"", ""en"")"),"ta")</f>
        <v>ta</v>
      </c>
    </row>
    <row r="18587">
      <c r="A18587" s="1" t="s">
        <v>18586</v>
      </c>
      <c r="B18587" s="2" t="str">
        <f>IFERROR(__xludf.DUMMYFUNCTION("GOOGLETRANSLATE(A18587, ""de"", ""en"")"),"traumatized")</f>
        <v>traumatized</v>
      </c>
    </row>
    <row r="18588">
      <c r="A18588" s="1" t="s">
        <v>18587</v>
      </c>
      <c r="B18588" s="2" t="str">
        <f>IFERROR(__xludf.DUMMYFUNCTION("GOOGLETRANSLATE(A18588, ""de"", ""en"")"),"mythology")</f>
        <v>mythology</v>
      </c>
    </row>
    <row r="18589">
      <c r="A18589" s="1" t="s">
        <v>18588</v>
      </c>
      <c r="B18589" s="2" t="str">
        <f>IFERROR(__xludf.DUMMYFUNCTION("GOOGLETRANSLATE(A18589, ""de"", ""en"")"),"paul")</f>
        <v>paul</v>
      </c>
    </row>
    <row r="18590">
      <c r="A18590" s="1" t="s">
        <v>18589</v>
      </c>
      <c r="B18590" s="2" t="str">
        <f>IFERROR(__xludf.DUMMYFUNCTION("GOOGLETRANSLATE(A18590, ""de"", ""en"")"),"protégé")</f>
        <v>protégé</v>
      </c>
    </row>
    <row r="18591">
      <c r="A18591" s="1" t="s">
        <v>18590</v>
      </c>
      <c r="B18591" s="2" t="str">
        <f>IFERROR(__xludf.DUMMYFUNCTION("GOOGLETRANSLATE(A18591, ""de"", ""en"")"),"bel")</f>
        <v>bel</v>
      </c>
    </row>
    <row r="18592">
      <c r="A18592" s="1" t="s">
        <v>18591</v>
      </c>
      <c r="B18592" s="2" t="str">
        <f>IFERROR(__xludf.DUMMYFUNCTION("GOOGLETRANSLATE(A18592, ""de"", ""en"")"),"Louise")</f>
        <v>Louise</v>
      </c>
    </row>
    <row r="18593">
      <c r="A18593" s="1" t="s">
        <v>18592</v>
      </c>
      <c r="B18593" s="2" t="str">
        <f>IFERROR(__xludf.DUMMYFUNCTION("GOOGLETRANSLATE(A18593, ""de"", ""en"")"),"fact")</f>
        <v>fact</v>
      </c>
    </row>
    <row r="18594">
      <c r="A18594" s="1" t="s">
        <v>18593</v>
      </c>
      <c r="B18594" s="2" t="str">
        <f>IFERROR(__xludf.DUMMYFUNCTION("GOOGLETRANSLATE(A18594, ""de"", ""en"")"),"Hades")</f>
        <v>Hades</v>
      </c>
    </row>
    <row r="18595">
      <c r="A18595" s="1" t="s">
        <v>18594</v>
      </c>
      <c r="B18595" s="2" t="str">
        <f>IFERROR(__xludf.DUMMYFUNCTION("GOOGLETRANSLATE(A18595, ""de"", ""en"")"),"carmela")</f>
        <v>carmela</v>
      </c>
    </row>
    <row r="18596">
      <c r="A18596" s="1" t="s">
        <v>18595</v>
      </c>
      <c r="B18596" s="2" t="str">
        <f>IFERROR(__xludf.DUMMYFUNCTION("GOOGLETRANSLATE(A18596, ""de"", ""en"")"),"Palestine")</f>
        <v>Palestine</v>
      </c>
    </row>
    <row r="18597">
      <c r="A18597" s="1" t="s">
        <v>18596</v>
      </c>
      <c r="B18597" s="2" t="str">
        <f>IFERROR(__xludf.DUMMYFUNCTION("GOOGLETRANSLATE(A18597, ""de"", ""en"")"),"tougher")</f>
        <v>tougher</v>
      </c>
    </row>
    <row r="18598">
      <c r="A18598" s="1" t="s">
        <v>18597</v>
      </c>
      <c r="B18598" s="2" t="str">
        <f>IFERROR(__xludf.DUMMYFUNCTION("GOOGLETRANSLATE(A18598, ""de"", ""en"")"),"ancient")</f>
        <v>ancient</v>
      </c>
    </row>
    <row r="18599">
      <c r="A18599" s="1" t="s">
        <v>18598</v>
      </c>
      <c r="B18599" s="2" t="str">
        <f>IFERROR(__xludf.DUMMYFUNCTION("GOOGLETRANSLATE(A18599, ""de"", ""en"")"),"melted")</f>
        <v>melted</v>
      </c>
    </row>
    <row r="18600">
      <c r="A18600" s="1" t="s">
        <v>18599</v>
      </c>
      <c r="B18600" s="2" t="str">
        <f>IFERROR(__xludf.DUMMYFUNCTION("GOOGLETRANSLATE(A18600, ""de"", ""en"")"),"pride")</f>
        <v>pride</v>
      </c>
    </row>
    <row r="18601">
      <c r="A18601" s="1" t="s">
        <v>18600</v>
      </c>
      <c r="B18601" s="2" t="str">
        <f>IFERROR(__xludf.DUMMYFUNCTION("GOOGLETRANSLATE(A18601, ""de"", ""en"")"),"killed")</f>
        <v>killed</v>
      </c>
    </row>
    <row r="18602">
      <c r="A18602" s="1" t="s">
        <v>18601</v>
      </c>
      <c r="B18602" s="2" t="str">
        <f>IFERROR(__xludf.DUMMYFUNCTION("GOOGLETRANSLATE(A18602, ""de"", ""en"")"),"a hundred times")</f>
        <v>a hundred times</v>
      </c>
    </row>
    <row r="18603">
      <c r="A18603" s="1" t="s">
        <v>18602</v>
      </c>
      <c r="B18603" s="2" t="str">
        <f>IFERROR(__xludf.DUMMYFUNCTION("GOOGLETRANSLATE(A18603, ""de"", ""en"")"),"spinach")</f>
        <v>spinach</v>
      </c>
    </row>
    <row r="18604">
      <c r="A18604" s="1" t="s">
        <v>18603</v>
      </c>
      <c r="B18604" s="2" t="str">
        <f>IFERROR(__xludf.DUMMYFUNCTION("GOOGLETRANSLATE(A18604, ""de"", ""en"")"),"tucson")</f>
        <v>tucson</v>
      </c>
    </row>
    <row r="18605">
      <c r="A18605" s="1" t="s">
        <v>18604</v>
      </c>
      <c r="B18605" s="2" t="str">
        <f>IFERROR(__xludf.DUMMYFUNCTION("GOOGLETRANSLATE(A18605, ""de"", ""en"")"),"cost")</f>
        <v>cost</v>
      </c>
    </row>
    <row r="18606">
      <c r="A18606" s="1" t="s">
        <v>18605</v>
      </c>
      <c r="B18606" s="2" t="str">
        <f>IFERROR(__xludf.DUMMYFUNCTION("GOOGLETRANSLATE(A18606, ""de"", ""en"")"),"would have to")</f>
        <v>would have to</v>
      </c>
    </row>
    <row r="18607">
      <c r="A18607" s="1" t="s">
        <v>18606</v>
      </c>
      <c r="B18607" s="2" t="str">
        <f>IFERROR(__xludf.DUMMYFUNCTION("GOOGLETRANSLATE(A18607, ""de"", ""en"")"),"pinocchio")</f>
        <v>pinocchio</v>
      </c>
    </row>
    <row r="18608">
      <c r="A18608" s="1" t="s">
        <v>18607</v>
      </c>
      <c r="B18608" s="2" t="str">
        <f>IFERROR(__xludf.DUMMYFUNCTION("GOOGLETRANSLATE(A18608, ""de"", ""en"")"),"wyoming")</f>
        <v>wyoming</v>
      </c>
    </row>
    <row r="18609">
      <c r="A18609" s="1" t="s">
        <v>18608</v>
      </c>
      <c r="B18609" s="2" t="str">
        <f>IFERROR(__xludf.DUMMYFUNCTION("GOOGLETRANSLATE(A18609, ""de"", ""en"")"),"canoe")</f>
        <v>canoe</v>
      </c>
    </row>
    <row r="18610">
      <c r="A18610" s="1" t="s">
        <v>18609</v>
      </c>
      <c r="B18610" s="2" t="str">
        <f>IFERROR(__xludf.DUMMYFUNCTION("GOOGLETRANSLATE(A18610, ""de"", ""en"")"),"fathers")</f>
        <v>fathers</v>
      </c>
    </row>
    <row r="18611">
      <c r="A18611" s="1" t="s">
        <v>18610</v>
      </c>
      <c r="B18611" s="2" t="str">
        <f>IFERROR(__xludf.DUMMYFUNCTION("GOOGLETRANSLATE(A18611, ""de"", ""en"")"),"front")</f>
        <v>front</v>
      </c>
    </row>
    <row r="18612">
      <c r="A18612" s="1" t="s">
        <v>18611</v>
      </c>
      <c r="B18612" s="2" t="str">
        <f>IFERROR(__xludf.DUMMYFUNCTION("GOOGLETRANSLATE(A18612, ""de"", ""en"")"),"Romania")</f>
        <v>Romania</v>
      </c>
    </row>
    <row r="18613">
      <c r="A18613" s="1" t="s">
        <v>18612</v>
      </c>
      <c r="B18613" s="2" t="str">
        <f>IFERROR(__xludf.DUMMYFUNCTION("GOOGLETRANSLATE(A18613, ""de"", ""en"")"),"horse")</f>
        <v>horse</v>
      </c>
    </row>
    <row r="18614">
      <c r="A18614" s="1" t="s">
        <v>18613</v>
      </c>
      <c r="B18614" s="2" t="str">
        <f>IFERROR(__xludf.DUMMYFUNCTION("GOOGLETRANSLATE(A18614, ""de"", ""en"")"),"church bells")</f>
        <v>church bells</v>
      </c>
    </row>
    <row r="18615">
      <c r="A18615" s="1" t="s">
        <v>18614</v>
      </c>
      <c r="B18615" s="2" t="str">
        <f>IFERROR(__xludf.DUMMYFUNCTION("GOOGLETRANSLATE(A18615, ""de"", ""en"")"),"left")</f>
        <v>left</v>
      </c>
    </row>
    <row r="18616">
      <c r="A18616" s="1" t="s">
        <v>18615</v>
      </c>
      <c r="B18616" s="2" t="str">
        <f>IFERROR(__xludf.DUMMYFUNCTION("GOOGLETRANSLATE(A18616, ""de"", ""en"")"),"works of art")</f>
        <v>works of art</v>
      </c>
    </row>
    <row r="18617">
      <c r="A18617" s="1" t="s">
        <v>18616</v>
      </c>
      <c r="B18617" s="2" t="str">
        <f>IFERROR(__xludf.DUMMYFUNCTION("GOOGLETRANSLATE(A18617, ""de"", ""en"")"),"ritchie")</f>
        <v>ritchie</v>
      </c>
    </row>
    <row r="18618">
      <c r="A18618" s="1" t="s">
        <v>18617</v>
      </c>
      <c r="B18618" s="2" t="str">
        <f>IFERROR(__xludf.DUMMYFUNCTION("GOOGLETRANSLATE(A18618, ""de"", ""en"")"),"swirl")</f>
        <v>swirl</v>
      </c>
    </row>
    <row r="18619">
      <c r="A18619" s="1" t="s">
        <v>18618</v>
      </c>
      <c r="B18619" s="2" t="str">
        <f>IFERROR(__xludf.DUMMYFUNCTION("GOOGLETRANSLATE(A18619, ""de"", ""en"")"),"fives")</f>
        <v>fives</v>
      </c>
    </row>
    <row r="18620">
      <c r="A18620" s="1" t="s">
        <v>18619</v>
      </c>
      <c r="B18620" s="2" t="str">
        <f>IFERROR(__xludf.DUMMYFUNCTION("GOOGLETRANSLATE(A18620, ""de"", ""en"")"),"was wrong")</f>
        <v>was wrong</v>
      </c>
    </row>
    <row r="18621">
      <c r="A18621" s="1" t="s">
        <v>18620</v>
      </c>
      <c r="B18621" s="2" t="str">
        <f>IFERROR(__xludf.DUMMYFUNCTION("GOOGLETRANSLATE(A18621, ""de"", ""en"")"),"providence")</f>
        <v>providence</v>
      </c>
    </row>
    <row r="18622">
      <c r="A18622" s="1" t="s">
        <v>18621</v>
      </c>
      <c r="B18622" s="2" t="str">
        <f>IFERROR(__xludf.DUMMYFUNCTION("GOOGLETRANSLATE(A18622, ""de"", ""en"")"),"ax")</f>
        <v>ax</v>
      </c>
    </row>
    <row r="18623">
      <c r="A18623" s="1" t="s">
        <v>18622</v>
      </c>
      <c r="B18623" s="2" t="str">
        <f>IFERROR(__xludf.DUMMYFUNCTION("GOOGLETRANSLATE(A18623, ""de"", ""en"")"),"obsessed")</f>
        <v>obsessed</v>
      </c>
    </row>
    <row r="18624">
      <c r="A18624" s="1" t="s">
        <v>18623</v>
      </c>
      <c r="B18624" s="2" t="str">
        <f>IFERROR(__xludf.DUMMYFUNCTION("GOOGLETRANSLATE(A18624, ""de"", ""en"")"),"antonia")</f>
        <v>antonia</v>
      </c>
    </row>
    <row r="18625">
      <c r="A18625" s="1" t="s">
        <v>18624</v>
      </c>
      <c r="B18625" s="2" t="str">
        <f>IFERROR(__xludf.DUMMYFUNCTION("GOOGLETRANSLATE(A18625, ""de"", ""en"")"),"nail down")</f>
        <v>nail down</v>
      </c>
    </row>
    <row r="18626">
      <c r="A18626" s="1" t="s">
        <v>18625</v>
      </c>
      <c r="B18626" s="2" t="str">
        <f>IFERROR(__xludf.DUMMYFUNCTION("GOOGLETRANSLATE(A18626, ""de"", ""en"")"),"ambassador")</f>
        <v>ambassador</v>
      </c>
    </row>
    <row r="18627">
      <c r="A18627" s="1" t="s">
        <v>18626</v>
      </c>
      <c r="B18627" s="2" t="str">
        <f>IFERROR(__xludf.DUMMYFUNCTION("GOOGLETRANSLATE(A18627, ""de"", ""en"")"),"Branson")</f>
        <v>Branson</v>
      </c>
    </row>
    <row r="18628">
      <c r="A18628" s="1" t="s">
        <v>18627</v>
      </c>
      <c r="B18628" s="2" t="str">
        <f>IFERROR(__xludf.DUMMYFUNCTION("GOOGLETRANSLATE(A18628, ""de"", ""en"")"),"realize")</f>
        <v>realize</v>
      </c>
    </row>
    <row r="18629">
      <c r="A18629" s="1" t="s">
        <v>18628</v>
      </c>
      <c r="B18629" s="2" t="str">
        <f>IFERROR(__xludf.DUMMYFUNCTION("GOOGLETRANSLATE(A18629, ""de"", ""en"")"),"originals")</f>
        <v>originals</v>
      </c>
    </row>
    <row r="18630">
      <c r="A18630" s="1" t="s">
        <v>18629</v>
      </c>
      <c r="B18630" s="2" t="str">
        <f>IFERROR(__xludf.DUMMYFUNCTION("GOOGLETRANSLATE(A18630, ""de"", ""en"")"),"put together")</f>
        <v>put together</v>
      </c>
    </row>
    <row r="18631">
      <c r="A18631" s="1" t="s">
        <v>18630</v>
      </c>
      <c r="B18631" s="2" t="str">
        <f>IFERROR(__xludf.DUMMYFUNCTION("GOOGLETRANSLATE(A18631, ""de"", ""en"")"),"experiments")</f>
        <v>experiments</v>
      </c>
    </row>
    <row r="18632">
      <c r="A18632" s="1" t="s">
        <v>18631</v>
      </c>
      <c r="B18632" s="2" t="str">
        <f>IFERROR(__xludf.DUMMYFUNCTION("GOOGLETRANSLATE(A18632, ""de"", ""en"")"),"petty")</f>
        <v>petty</v>
      </c>
    </row>
    <row r="18633">
      <c r="A18633" s="1" t="s">
        <v>18632</v>
      </c>
      <c r="B18633" s="2" t="str">
        <f>IFERROR(__xludf.DUMMYFUNCTION("GOOGLETRANSLATE(A18633, ""de"", ""en"")"),"experiences")</f>
        <v>experiences</v>
      </c>
    </row>
    <row r="18634">
      <c r="A18634" s="1" t="s">
        <v>18633</v>
      </c>
      <c r="B18634" s="2" t="str">
        <f>IFERROR(__xludf.DUMMYFUNCTION("GOOGLETRANSLATE(A18634, ""de"", ""en"")"),"gaines")</f>
        <v>gaines</v>
      </c>
    </row>
    <row r="18635">
      <c r="A18635" s="1" t="s">
        <v>18634</v>
      </c>
      <c r="B18635" s="2" t="str">
        <f>IFERROR(__xludf.DUMMYFUNCTION("GOOGLETRANSLATE(A18635, ""de"", ""en"")"),"request")</f>
        <v>request</v>
      </c>
    </row>
    <row r="18636">
      <c r="A18636" s="1" t="s">
        <v>18635</v>
      </c>
      <c r="B18636" s="2" t="str">
        <f>IFERROR(__xludf.DUMMYFUNCTION("GOOGLETRANSLATE(A18636, ""de"", ""en"")"),"department head")</f>
        <v>department head</v>
      </c>
    </row>
    <row r="18637">
      <c r="A18637" s="1" t="s">
        <v>18636</v>
      </c>
      <c r="B18637" s="2" t="str">
        <f>IFERROR(__xludf.DUMMYFUNCTION("GOOGLETRANSLATE(A18637, ""de"", ""en"")"),"consequently")</f>
        <v>consequently</v>
      </c>
    </row>
    <row r="18638">
      <c r="A18638" s="1" t="s">
        <v>18637</v>
      </c>
      <c r="B18638" s="2" t="str">
        <f>IFERROR(__xludf.DUMMYFUNCTION("GOOGLETRANSLATE(A18638, ""de"", ""en"")"),"he goes")</f>
        <v>he goes</v>
      </c>
    </row>
    <row r="18639">
      <c r="A18639" s="1" t="s">
        <v>18638</v>
      </c>
      <c r="B18639" s="2" t="str">
        <f>IFERROR(__xludf.DUMMYFUNCTION("GOOGLETRANSLATE(A18639, ""de"", ""en"")"),"cherishes")</f>
        <v>cherishes</v>
      </c>
    </row>
    <row r="18640">
      <c r="A18640" s="1" t="s">
        <v>18639</v>
      </c>
      <c r="B18640" s="2" t="str">
        <f>IFERROR(__xludf.DUMMYFUNCTION("GOOGLETRANSLATE(A18640, ""de"", ""en"")"),"low point")</f>
        <v>low point</v>
      </c>
    </row>
    <row r="18641">
      <c r="A18641" s="1" t="s">
        <v>18640</v>
      </c>
      <c r="B18641" s="2" t="str">
        <f>IFERROR(__xludf.DUMMYFUNCTION("GOOGLETRANSLATE(A18641, ""de"", ""en"")"),"cover up")</f>
        <v>cover up</v>
      </c>
    </row>
    <row r="18642">
      <c r="A18642" s="1" t="s">
        <v>18641</v>
      </c>
      <c r="B18642" s="2" t="str">
        <f>IFERROR(__xludf.DUMMYFUNCTION("GOOGLETRANSLATE(A18642, ""de"", ""en"")"),"made clear")</f>
        <v>made clear</v>
      </c>
    </row>
    <row r="18643">
      <c r="A18643" s="1" t="s">
        <v>18642</v>
      </c>
      <c r="B18643" s="2" t="str">
        <f>IFERROR(__xludf.DUMMYFUNCTION("GOOGLETRANSLATE(A18643, ""de"", ""en"")"),"wealthy")</f>
        <v>wealthy</v>
      </c>
    </row>
    <row r="18644">
      <c r="A18644" s="1" t="s">
        <v>18643</v>
      </c>
      <c r="B18644" s="2" t="str">
        <f>IFERROR(__xludf.DUMMYFUNCTION("GOOGLETRANSLATE(A18644, ""de"", ""en"")"),"bedside table")</f>
        <v>bedside table</v>
      </c>
    </row>
    <row r="18645">
      <c r="A18645" s="1" t="s">
        <v>18644</v>
      </c>
      <c r="B18645" s="2" t="str">
        <f>IFERROR(__xludf.DUMMYFUNCTION("GOOGLETRANSLATE(A18645, ""de"", ""en"")"),"mule")</f>
        <v>mule</v>
      </c>
    </row>
    <row r="18646">
      <c r="A18646" s="1" t="s">
        <v>18645</v>
      </c>
      <c r="B18646" s="2" t="str">
        <f>IFERROR(__xludf.DUMMYFUNCTION("GOOGLETRANSLATE(A18646, ""de"", ""en"")"),"scolds")</f>
        <v>scolds</v>
      </c>
    </row>
    <row r="18647">
      <c r="A18647" s="1" t="s">
        <v>18646</v>
      </c>
      <c r="B18647" s="2" t="str">
        <f>IFERROR(__xludf.DUMMYFUNCTION("GOOGLETRANSLATE(A18647, ""de"", ""en"")"),"minors")</f>
        <v>minors</v>
      </c>
    </row>
    <row r="18648">
      <c r="A18648" s="1" t="s">
        <v>18647</v>
      </c>
      <c r="B18648" s="2" t="str">
        <f>IFERROR(__xludf.DUMMYFUNCTION("GOOGLETRANSLATE(A18648, ""de"", ""en"")"),"modest")</f>
        <v>modest</v>
      </c>
    </row>
    <row r="18649">
      <c r="A18649" s="1" t="s">
        <v>18648</v>
      </c>
      <c r="B18649" s="2" t="str">
        <f>IFERROR(__xludf.DUMMYFUNCTION("GOOGLETRANSLATE(A18649, ""de"", ""en"")"),"fears")</f>
        <v>fears</v>
      </c>
    </row>
    <row r="18650">
      <c r="A18650" s="1" t="s">
        <v>18649</v>
      </c>
      <c r="B18650" s="2" t="str">
        <f>IFERROR(__xludf.DUMMYFUNCTION("GOOGLETRANSLATE(A18650, ""de"", ""en"")"),"Adriana")</f>
        <v>Adriana</v>
      </c>
    </row>
    <row r="18651">
      <c r="A18651" s="1" t="s">
        <v>18650</v>
      </c>
      <c r="B18651" s="2" t="str">
        <f>IFERROR(__xludf.DUMMYFUNCTION("GOOGLETRANSLATE(A18651, ""de"", ""en"")"),"birthday party")</f>
        <v>birthday party</v>
      </c>
    </row>
    <row r="18652">
      <c r="A18652" s="1" t="s">
        <v>18651</v>
      </c>
      <c r="B18652" s="2" t="str">
        <f>IFERROR(__xludf.DUMMYFUNCTION("GOOGLETRANSLATE(A18652, ""de"", ""en"")"),"although")</f>
        <v>although</v>
      </c>
    </row>
    <row r="18653">
      <c r="A18653" s="1" t="s">
        <v>18652</v>
      </c>
      <c r="B18653" s="2" t="str">
        <f>IFERROR(__xludf.DUMMYFUNCTION("GOOGLETRANSLATE(A18653, ""de"", ""en"")"),"giraffe")</f>
        <v>giraffe</v>
      </c>
    </row>
    <row r="18654">
      <c r="A18654" s="1" t="s">
        <v>18653</v>
      </c>
      <c r="B18654" s="2" t="str">
        <f>IFERROR(__xludf.DUMMYFUNCTION("GOOGLETRANSLATE(A18654, ""de"", ""en"")"),"breathe")</f>
        <v>breathe</v>
      </c>
    </row>
    <row r="18655">
      <c r="A18655" s="1" t="s">
        <v>18654</v>
      </c>
      <c r="B18655" s="2" t="str">
        <f>IFERROR(__xludf.DUMMYFUNCTION("GOOGLETRANSLATE(A18655, ""de"", ""en"")"),"to let in")</f>
        <v>to let in</v>
      </c>
    </row>
    <row r="18656">
      <c r="A18656" s="1" t="s">
        <v>18655</v>
      </c>
      <c r="B18656" s="2" t="str">
        <f>IFERROR(__xludf.DUMMYFUNCTION("GOOGLETRANSLATE(A18656, ""de"", ""en"")"),"sweep")</f>
        <v>sweep</v>
      </c>
    </row>
    <row r="18657">
      <c r="A18657" s="1" t="s">
        <v>18656</v>
      </c>
      <c r="B18657" s="2" t="str">
        <f>IFERROR(__xludf.DUMMYFUNCTION("GOOGLETRANSLATE(A18657, ""de"", ""en"")"),"dirtier")</f>
        <v>dirtier</v>
      </c>
    </row>
    <row r="18658">
      <c r="A18658" s="1" t="s">
        <v>18657</v>
      </c>
      <c r="B18658" s="2" t="str">
        <f>IFERROR(__xludf.DUMMYFUNCTION("GOOGLETRANSLATE(A18658, ""de"", ""en"")"),"collective")</f>
        <v>collective</v>
      </c>
    </row>
    <row r="18659">
      <c r="A18659" s="1" t="s">
        <v>18658</v>
      </c>
      <c r="B18659" s="2" t="str">
        <f>IFERROR(__xludf.DUMMYFUNCTION("GOOGLETRANSLATE(A18659, ""de"", ""en"")"),"proper")</f>
        <v>proper</v>
      </c>
    </row>
    <row r="18660">
      <c r="A18660" s="1" t="s">
        <v>18659</v>
      </c>
      <c r="B18660" s="2" t="str">
        <f>IFERROR(__xludf.DUMMYFUNCTION("GOOGLETRANSLATE(A18660, ""de"", ""en"")"),"decrypted")</f>
        <v>decrypted</v>
      </c>
    </row>
    <row r="18661">
      <c r="A18661" s="1" t="s">
        <v>18660</v>
      </c>
      <c r="B18661" s="2" t="str">
        <f>IFERROR(__xludf.DUMMYFUNCTION("GOOGLETRANSLATE(A18661, ""de"", ""en"")"),"hiss")</f>
        <v>hiss</v>
      </c>
    </row>
    <row r="18662">
      <c r="A18662" s="1" t="s">
        <v>18661</v>
      </c>
      <c r="B18662" s="2" t="str">
        <f>IFERROR(__xludf.DUMMYFUNCTION("GOOGLETRANSLATE(A18662, ""de"", ""en"")"),"sank")</f>
        <v>sank</v>
      </c>
    </row>
    <row r="18663">
      <c r="A18663" s="1" t="s">
        <v>18662</v>
      </c>
      <c r="B18663" s="2" t="str">
        <f>IFERROR(__xludf.DUMMYFUNCTION("GOOGLETRANSLATE(A18663, ""de"", ""en"")"),"frozen")</f>
        <v>frozen</v>
      </c>
    </row>
    <row r="18664">
      <c r="A18664" s="1" t="s">
        <v>18663</v>
      </c>
      <c r="B18664" s="2" t="str">
        <f>IFERROR(__xludf.DUMMYFUNCTION("GOOGLETRANSLATE(A18664, ""de"", ""en"")"),"colorful")</f>
        <v>colorful</v>
      </c>
    </row>
    <row r="18665">
      <c r="A18665" s="1" t="s">
        <v>18664</v>
      </c>
      <c r="B18665" s="2" t="str">
        <f>IFERROR(__xludf.DUMMYFUNCTION("GOOGLETRANSLATE(A18665, ""de"", ""en"")"),"Russian")</f>
        <v>Russian</v>
      </c>
    </row>
    <row r="18666">
      <c r="A18666" s="1" t="s">
        <v>18665</v>
      </c>
      <c r="B18666" s="2" t="str">
        <f>IFERROR(__xludf.DUMMYFUNCTION("GOOGLETRANSLATE(A18666, ""de"", ""en"")"),"crows")</f>
        <v>crows</v>
      </c>
    </row>
    <row r="18667">
      <c r="A18667" s="1" t="s">
        <v>18666</v>
      </c>
      <c r="B18667" s="2" t="str">
        <f>IFERROR(__xludf.DUMMYFUNCTION("GOOGLETRANSLATE(A18667, ""de"", ""en"")"),"lodge")</f>
        <v>lodge</v>
      </c>
    </row>
    <row r="18668">
      <c r="A18668" s="1" t="s">
        <v>18667</v>
      </c>
      <c r="B18668" s="2" t="str">
        <f>IFERROR(__xludf.DUMMYFUNCTION("GOOGLETRANSLATE(A18668, ""de"", ""en"")"),"resentful")</f>
        <v>resentful</v>
      </c>
    </row>
    <row r="18669">
      <c r="A18669" s="1" t="s">
        <v>18668</v>
      </c>
      <c r="B18669" s="2" t="str">
        <f>IFERROR(__xludf.DUMMYFUNCTION("GOOGLETRANSLATE(A18669, ""de"", ""en"")"),"reconstruct")</f>
        <v>reconstruct</v>
      </c>
    </row>
    <row r="18670">
      <c r="A18670" s="1" t="s">
        <v>18669</v>
      </c>
      <c r="B18670" s="2" t="str">
        <f>IFERROR(__xludf.DUMMYFUNCTION("GOOGLETRANSLATE(A18670, ""de"", ""en"")"),"strikes")</f>
        <v>strikes</v>
      </c>
    </row>
    <row r="18671">
      <c r="A18671" s="1" t="s">
        <v>18670</v>
      </c>
      <c r="B18671" s="2" t="str">
        <f>IFERROR(__xludf.DUMMYFUNCTION("GOOGLETRANSLATE(A18671, ""de"", ""en"")"),"ancient")</f>
        <v>ancient</v>
      </c>
    </row>
    <row r="18672">
      <c r="A18672" s="1" t="s">
        <v>18671</v>
      </c>
      <c r="B18672" s="2" t="str">
        <f>IFERROR(__xludf.DUMMYFUNCTION("GOOGLETRANSLATE(A18672, ""de"", ""en"")"),"nada")</f>
        <v>nada</v>
      </c>
    </row>
    <row r="18673">
      <c r="A18673" s="1" t="s">
        <v>18672</v>
      </c>
      <c r="B18673" s="2" t="str">
        <f>IFERROR(__xludf.DUMMYFUNCTION("GOOGLETRANSLATE(A18673, ""de"", ""en"")"),"chatted")</f>
        <v>chatted</v>
      </c>
    </row>
    <row r="18674">
      <c r="A18674" s="1" t="s">
        <v>18673</v>
      </c>
      <c r="B18674" s="2" t="str">
        <f>IFERROR(__xludf.DUMMYFUNCTION("GOOGLETRANSLATE(A18674, ""de"", ""en"")"),"completed")</f>
        <v>completed</v>
      </c>
    </row>
    <row r="18675">
      <c r="A18675" s="1" t="s">
        <v>18674</v>
      </c>
      <c r="B18675" s="2" t="str">
        <f>IFERROR(__xludf.DUMMYFUNCTION("GOOGLETRANSLATE(A18675, ""de"", ""en"")"),"to set up")</f>
        <v>to set up</v>
      </c>
    </row>
    <row r="18676">
      <c r="A18676" s="1" t="s">
        <v>18675</v>
      </c>
      <c r="B18676" s="2" t="str">
        <f>IFERROR(__xludf.DUMMYFUNCTION("GOOGLETRANSLATE(A18676, ""de"", ""en"")"),"feed")</f>
        <v>feed</v>
      </c>
    </row>
    <row r="18677">
      <c r="A18677" s="1" t="s">
        <v>18676</v>
      </c>
      <c r="B18677" s="2" t="str">
        <f>IFERROR(__xludf.DUMMYFUNCTION("GOOGLETRANSLATE(A18677, ""de"", ""en"")"),"milwaukee")</f>
        <v>milwaukee</v>
      </c>
    </row>
    <row r="18678">
      <c r="A18678" s="1" t="s">
        <v>18677</v>
      </c>
      <c r="B18678" s="2" t="str">
        <f>IFERROR(__xludf.DUMMYFUNCTION("GOOGLETRANSLATE(A18678, ""de"", ""en"")"),"safest")</f>
        <v>safest</v>
      </c>
    </row>
    <row r="18679">
      <c r="A18679" s="1" t="s">
        <v>18678</v>
      </c>
      <c r="B18679" s="2" t="str">
        <f>IFERROR(__xludf.DUMMYFUNCTION("GOOGLETRANSLATE(A18679, ""de"", ""en"")"),"threw")</f>
        <v>threw</v>
      </c>
    </row>
    <row r="18680">
      <c r="A18680" s="1" t="s">
        <v>18679</v>
      </c>
      <c r="B18680" s="2" t="str">
        <f>IFERROR(__xludf.DUMMYFUNCTION("GOOGLETRANSLATE(A18680, ""de"", ""en"")"),"dumped")</f>
        <v>dumped</v>
      </c>
    </row>
    <row r="18681">
      <c r="A18681" s="1" t="s">
        <v>18680</v>
      </c>
      <c r="B18681" s="2" t="str">
        <f>IFERROR(__xludf.DUMMYFUNCTION("GOOGLETRANSLATE(A18681, ""de"", ""en"")"),"Antarctic")</f>
        <v>Antarctic</v>
      </c>
    </row>
    <row r="18682">
      <c r="A18682" s="1" t="s">
        <v>18681</v>
      </c>
      <c r="B18682" s="2" t="str">
        <f>IFERROR(__xludf.DUMMYFUNCTION("GOOGLETRANSLATE(A18682, ""de"", ""en"")"),"stricter")</f>
        <v>stricter</v>
      </c>
    </row>
    <row r="18683">
      <c r="A18683" s="1" t="s">
        <v>18682</v>
      </c>
      <c r="B18683" s="2" t="str">
        <f>IFERROR(__xludf.DUMMYFUNCTION("GOOGLETRANSLATE(A18683, ""de"", ""en"")"),"blood count")</f>
        <v>blood count</v>
      </c>
    </row>
    <row r="18684">
      <c r="A18684" s="1" t="s">
        <v>18683</v>
      </c>
      <c r="B18684" s="2" t="str">
        <f>IFERROR(__xludf.DUMMYFUNCTION("GOOGLETRANSLATE(A18684, ""de"", ""en"")"),"insult")</f>
        <v>insult</v>
      </c>
    </row>
    <row r="18685">
      <c r="A18685" s="1" t="s">
        <v>18684</v>
      </c>
      <c r="B18685" s="2" t="str">
        <f>IFERROR(__xludf.DUMMYFUNCTION("GOOGLETRANSLATE(A18685, ""de"", ""en"")"),"tongues")</f>
        <v>tongues</v>
      </c>
    </row>
    <row r="18686">
      <c r="A18686" s="1" t="s">
        <v>18685</v>
      </c>
      <c r="B18686" s="2" t="str">
        <f>IFERROR(__xludf.DUMMYFUNCTION("GOOGLETRANSLATE(A18686, ""de"", ""en"")"),"weather report")</f>
        <v>weather report</v>
      </c>
    </row>
    <row r="18687">
      <c r="A18687" s="1" t="s">
        <v>18686</v>
      </c>
      <c r="B18687" s="2" t="str">
        <f>IFERROR(__xludf.DUMMYFUNCTION("GOOGLETRANSLATE(A18687, ""de"", ""en"")"),"antoinette")</f>
        <v>antoinette</v>
      </c>
    </row>
    <row r="18688">
      <c r="A18688" s="1" t="s">
        <v>18687</v>
      </c>
      <c r="B18688" s="2" t="str">
        <f>IFERROR(__xludf.DUMMYFUNCTION("GOOGLETRANSLATE(A18688, ""de"", ""en"")"),"pregnant women")</f>
        <v>pregnant women</v>
      </c>
    </row>
    <row r="18689">
      <c r="A18689" s="1" t="s">
        <v>18688</v>
      </c>
      <c r="B18689" s="2" t="str">
        <f>IFERROR(__xludf.DUMMYFUNCTION("GOOGLETRANSLATE(A18689, ""de"", ""en"")"),"three and a half")</f>
        <v>three and a half</v>
      </c>
    </row>
    <row r="18690">
      <c r="A18690" s="1" t="s">
        <v>18689</v>
      </c>
      <c r="B18690" s="2" t="str">
        <f>IFERROR(__xludf.DUMMYFUNCTION("GOOGLETRANSLATE(A18690, ""de"", ""en"")"),"complains")</f>
        <v>complains</v>
      </c>
    </row>
    <row r="18691">
      <c r="A18691" s="1" t="s">
        <v>18690</v>
      </c>
      <c r="B18691" s="2" t="str">
        <f>IFERROR(__xludf.DUMMYFUNCTION("GOOGLETRANSLATE(A18691, ""de"", ""en"")"),"larson")</f>
        <v>larson</v>
      </c>
    </row>
    <row r="18692">
      <c r="A18692" s="1" t="s">
        <v>18691</v>
      </c>
      <c r="B18692" s="2" t="str">
        <f>IFERROR(__xludf.DUMMYFUNCTION("GOOGLETRANSLATE(A18692, ""de"", ""en"")"),"berry")</f>
        <v>berry</v>
      </c>
    </row>
    <row r="18693">
      <c r="A18693" s="1" t="s">
        <v>18692</v>
      </c>
      <c r="B18693" s="2" t="str">
        <f>IFERROR(__xludf.DUMMYFUNCTION("GOOGLETRANSLATE(A18693, ""de"", ""en"")"),"consumed")</f>
        <v>consumed</v>
      </c>
    </row>
    <row r="18694">
      <c r="A18694" s="1" t="s">
        <v>18693</v>
      </c>
      <c r="B18694" s="2" t="str">
        <f>IFERROR(__xludf.DUMMYFUNCTION("GOOGLETRANSLATE(A18694, ""de"", ""en"")"),"inability")</f>
        <v>inability</v>
      </c>
    </row>
    <row r="18695">
      <c r="A18695" s="1" t="s">
        <v>18694</v>
      </c>
      <c r="B18695" s="2" t="str">
        <f>IFERROR(__xludf.DUMMYFUNCTION("GOOGLETRANSLATE(A18695, ""de"", ""en"")"),"tolerate")</f>
        <v>tolerate</v>
      </c>
    </row>
    <row r="18696">
      <c r="A18696" s="1" t="s">
        <v>18695</v>
      </c>
      <c r="B18696" s="2" t="str">
        <f>IFERROR(__xludf.DUMMYFUNCTION("GOOGLETRANSLATE(A18696, ""de"", ""en"")"),"boo")</f>
        <v>boo</v>
      </c>
    </row>
    <row r="18697">
      <c r="A18697" s="1" t="s">
        <v>18696</v>
      </c>
      <c r="B18697" s="2" t="str">
        <f>IFERROR(__xludf.DUMMYFUNCTION("GOOGLETRANSLATE(A18697, ""de"", ""en"")"),"area of ​​expertise")</f>
        <v>area of ​​expertise</v>
      </c>
    </row>
    <row r="18698">
      <c r="A18698" s="1" t="s">
        <v>18697</v>
      </c>
      <c r="B18698" s="2" t="str">
        <f>IFERROR(__xludf.DUMMYFUNCTION("GOOGLETRANSLATE(A18698, ""de"", ""en"")"),"Bertha")</f>
        <v>Bertha</v>
      </c>
    </row>
    <row r="18699">
      <c r="A18699" s="1" t="s">
        <v>18698</v>
      </c>
      <c r="B18699" s="2" t="str">
        <f>IFERROR(__xludf.DUMMYFUNCTION("GOOGLETRANSLATE(A18699, ""de"", ""en"")"),"condemned")</f>
        <v>condemned</v>
      </c>
    </row>
    <row r="18700">
      <c r="A18700" s="1" t="s">
        <v>18699</v>
      </c>
      <c r="B18700" s="2" t="str">
        <f>IFERROR(__xludf.DUMMYFUNCTION("GOOGLETRANSLATE(A18700, ""de"", ""en"")"),"laurels")</f>
        <v>laurels</v>
      </c>
    </row>
    <row r="18701">
      <c r="A18701" s="1" t="s">
        <v>18700</v>
      </c>
      <c r="B18701" s="2" t="str">
        <f>IFERROR(__xludf.DUMMYFUNCTION("GOOGLETRANSLATE(A18701, ""de"", ""en"")"),"nosebleeds")</f>
        <v>nosebleeds</v>
      </c>
    </row>
    <row r="18702">
      <c r="A18702" s="1" t="s">
        <v>18701</v>
      </c>
      <c r="B18702" s="2" t="str">
        <f>IFERROR(__xludf.DUMMYFUNCTION("GOOGLETRANSLATE(A18702, ""de"", ""en"")"),"to some extent")</f>
        <v>to some extent</v>
      </c>
    </row>
    <row r="18703">
      <c r="A18703" s="1" t="s">
        <v>18702</v>
      </c>
      <c r="B18703" s="2" t="str">
        <f>IFERROR(__xludf.DUMMYFUNCTION("GOOGLETRANSLATE(A18703, ""de"", ""en"")"),"Chinese")</f>
        <v>Chinese</v>
      </c>
    </row>
    <row r="18704">
      <c r="A18704" s="1" t="s">
        <v>18703</v>
      </c>
      <c r="B18704" s="2" t="str">
        <f>IFERROR(__xludf.DUMMYFUNCTION("GOOGLETRANSLATE(A18704, ""de"", ""en"")"),"condescending")</f>
        <v>condescending</v>
      </c>
    </row>
    <row r="18705">
      <c r="A18705" s="1" t="s">
        <v>18704</v>
      </c>
      <c r="B18705" s="2" t="str">
        <f>IFERROR(__xludf.DUMMYFUNCTION("GOOGLETRANSLATE(A18705, ""de"", ""en"")"),"henning")</f>
        <v>henning</v>
      </c>
    </row>
    <row r="18706">
      <c r="A18706" s="1" t="s">
        <v>18705</v>
      </c>
      <c r="B18706" s="2" t="str">
        <f>IFERROR(__xludf.DUMMYFUNCTION("GOOGLETRANSLATE(A18706, ""de"", ""en"")"),"angry")</f>
        <v>angry</v>
      </c>
    </row>
    <row r="18707">
      <c r="A18707" s="1" t="s">
        <v>18706</v>
      </c>
      <c r="B18707" s="2" t="str">
        <f>IFERROR(__xludf.DUMMYFUNCTION("GOOGLETRANSLATE(A18707, ""de"", ""en"")"),"moss")</f>
        <v>moss</v>
      </c>
    </row>
    <row r="18708">
      <c r="A18708" s="1" t="s">
        <v>18707</v>
      </c>
      <c r="B18708" s="2" t="str">
        <f>IFERROR(__xludf.DUMMYFUNCTION("GOOGLETRANSLATE(A18708, ""de"", ""en"")"),"looked")</f>
        <v>looked</v>
      </c>
    </row>
    <row r="18709">
      <c r="A18709" s="1" t="s">
        <v>18708</v>
      </c>
      <c r="B18709" s="2" t="str">
        <f>IFERROR(__xludf.DUMMYFUNCTION("GOOGLETRANSLATE(A18709, ""de"", ""en"")"),"uninteresting")</f>
        <v>uninteresting</v>
      </c>
    </row>
    <row r="18710">
      <c r="A18710" s="1" t="s">
        <v>18709</v>
      </c>
      <c r="B18710" s="2" t="str">
        <f>IFERROR(__xludf.DUMMYFUNCTION("GOOGLETRANSLATE(A18710, ""de"", ""en"")"),"more lovely")</f>
        <v>more lovely</v>
      </c>
    </row>
    <row r="18711">
      <c r="A18711" s="1" t="s">
        <v>18710</v>
      </c>
      <c r="B18711" s="2" t="str">
        <f>IFERROR(__xludf.DUMMYFUNCTION("GOOGLETRANSLATE(A18711, ""de"", ""en"")"),"fawlty")</f>
        <v>fawlty</v>
      </c>
    </row>
    <row r="18712">
      <c r="A18712" s="1" t="s">
        <v>18711</v>
      </c>
      <c r="B18712" s="2" t="str">
        <f>IFERROR(__xludf.DUMMYFUNCTION("GOOGLETRANSLATE(A18712, ""de"", ""en"")"),"join")</f>
        <v>join</v>
      </c>
    </row>
    <row r="18713">
      <c r="A18713" s="1" t="s">
        <v>18712</v>
      </c>
      <c r="B18713" s="2" t="str">
        <f>IFERROR(__xludf.DUMMYFUNCTION("GOOGLETRANSLATE(A18713, ""de"", ""en"")"),"on this")</f>
        <v>on this</v>
      </c>
    </row>
    <row r="18714">
      <c r="A18714" s="1" t="s">
        <v>18713</v>
      </c>
      <c r="B18714" s="2" t="str">
        <f>IFERROR(__xludf.DUMMYFUNCTION("GOOGLETRANSLATE(A18714, ""de"", ""en"")"),"Goering")</f>
        <v>Goering</v>
      </c>
    </row>
    <row r="18715">
      <c r="A18715" s="1" t="s">
        <v>18714</v>
      </c>
      <c r="B18715" s="2" t="str">
        <f>IFERROR(__xludf.DUMMYFUNCTION("GOOGLETRANSLATE(A18715, ""de"", ""en"")"),"Carole")</f>
        <v>Carole</v>
      </c>
    </row>
    <row r="18716">
      <c r="A18716" s="1" t="s">
        <v>18715</v>
      </c>
      <c r="B18716" s="2" t="str">
        <f>IFERROR(__xludf.DUMMYFUNCTION("GOOGLETRANSLATE(A18716, ""de"", ""en"")"),"faded")</f>
        <v>faded</v>
      </c>
    </row>
    <row r="18717">
      <c r="A18717" s="1" t="s">
        <v>18716</v>
      </c>
      <c r="B18717" s="2" t="str">
        <f>IFERROR(__xludf.DUMMYFUNCTION("GOOGLETRANSLATE(A18717, ""de"", ""en"")"),"healthier")</f>
        <v>healthier</v>
      </c>
    </row>
    <row r="18718">
      <c r="A18718" s="1" t="s">
        <v>18717</v>
      </c>
      <c r="B18718" s="2" t="str">
        <f>IFERROR(__xludf.DUMMYFUNCTION("GOOGLETRANSLATE(A18718, ""de"", ""en"")"),"annabeth")</f>
        <v>annabeth</v>
      </c>
    </row>
    <row r="18719">
      <c r="A18719" s="1" t="s">
        <v>18718</v>
      </c>
      <c r="B18719" s="2" t="str">
        <f>IFERROR(__xludf.DUMMYFUNCTION("GOOGLETRANSLATE(A18719, ""de"", ""en"")"),"sinatra")</f>
        <v>sinatra</v>
      </c>
    </row>
    <row r="18720">
      <c r="A18720" s="1" t="s">
        <v>18719</v>
      </c>
      <c r="B18720" s="2" t="str">
        <f>IFERROR(__xludf.DUMMYFUNCTION("GOOGLETRANSLATE(A18720, ""de"", ""en"")"),"hyde")</f>
        <v>hyde</v>
      </c>
    </row>
    <row r="18721">
      <c r="A18721" s="1" t="s">
        <v>18720</v>
      </c>
      <c r="B18721" s="2" t="str">
        <f>IFERROR(__xludf.DUMMYFUNCTION("GOOGLETRANSLATE(A18721, ""de"", ""en"")"),"annalise")</f>
        <v>annalise</v>
      </c>
    </row>
    <row r="18722">
      <c r="A18722" s="1" t="s">
        <v>18721</v>
      </c>
      <c r="B18722" s="2" t="str">
        <f>IFERROR(__xludf.DUMMYFUNCTION("GOOGLETRANSLATE(A18722, ""de"", ""en"")"),"particles")</f>
        <v>particles</v>
      </c>
    </row>
    <row r="18723">
      <c r="A18723" s="1" t="s">
        <v>18722</v>
      </c>
      <c r="B18723" s="2" t="str">
        <f>IFERROR(__xludf.DUMMYFUNCTION("GOOGLETRANSLATE(A18723, ""de"", ""en"")"),"fallon")</f>
        <v>fallon</v>
      </c>
    </row>
    <row r="18724">
      <c r="A18724" s="1" t="s">
        <v>18723</v>
      </c>
      <c r="B18724" s="2" t="str">
        <f>IFERROR(__xludf.DUMMYFUNCTION("GOOGLETRANSLATE(A18724, ""de"", ""en"")"),"exotic")</f>
        <v>exotic</v>
      </c>
    </row>
    <row r="18725">
      <c r="A18725" s="1" t="s">
        <v>18724</v>
      </c>
      <c r="B18725" s="2" t="str">
        <f>IFERROR(__xludf.DUMMYFUNCTION("GOOGLETRANSLATE(A18725, ""de"", ""en"")"),"hulk")</f>
        <v>hulk</v>
      </c>
    </row>
    <row r="18726">
      <c r="A18726" s="1" t="s">
        <v>18725</v>
      </c>
      <c r="B18726" s="2" t="str">
        <f>IFERROR(__xludf.DUMMYFUNCTION("GOOGLETRANSLATE(A18726, ""de"", ""en"")"),"Kieran")</f>
        <v>Kieran</v>
      </c>
    </row>
    <row r="18727">
      <c r="A18727" s="1" t="s">
        <v>18726</v>
      </c>
      <c r="B18727" s="2" t="str">
        <f>IFERROR(__xludf.DUMMYFUNCTION("GOOGLETRANSLATE(A18727, ""de"", ""en"")"),"Chile")</f>
        <v>Chile</v>
      </c>
    </row>
    <row r="18728">
      <c r="A18728" s="1" t="s">
        <v>18727</v>
      </c>
      <c r="B18728" s="2" t="str">
        <f>IFERROR(__xludf.DUMMYFUNCTION("GOOGLETRANSLATE(A18728, ""de"", ""en"")"),"couple of times")</f>
        <v>couple of times</v>
      </c>
    </row>
    <row r="18729">
      <c r="A18729" s="1" t="s">
        <v>18728</v>
      </c>
      <c r="B18729" s="2" t="str">
        <f>IFERROR(__xludf.DUMMYFUNCTION("GOOGLETRANSLATE(A18729, ""de"", ""en"")"),"radio contact")</f>
        <v>radio contact</v>
      </c>
    </row>
    <row r="18730">
      <c r="A18730" s="1" t="s">
        <v>18729</v>
      </c>
      <c r="B18730" s="2" t="str">
        <f>IFERROR(__xludf.DUMMYFUNCTION("GOOGLETRANSLATE(A18730, ""de"", ""en"")"),"automobile")</f>
        <v>automobile</v>
      </c>
    </row>
    <row r="18731">
      <c r="A18731" s="1" t="s">
        <v>18730</v>
      </c>
      <c r="B18731" s="2" t="str">
        <f>IFERROR(__xludf.DUMMYFUNCTION("GOOGLETRANSLATE(A18731, ""de"", ""en"")"),"hip")</f>
        <v>hip</v>
      </c>
    </row>
    <row r="18732">
      <c r="A18732" s="1" t="s">
        <v>18731</v>
      </c>
      <c r="B18732" s="2" t="str">
        <f>IFERROR(__xludf.DUMMYFUNCTION("GOOGLETRANSLATE(A18732, ""de"", ""en"")"),"boring")</f>
        <v>boring</v>
      </c>
    </row>
    <row r="18733">
      <c r="A18733" s="1" t="s">
        <v>18732</v>
      </c>
      <c r="B18733" s="2" t="str">
        <f>IFERROR(__xludf.DUMMYFUNCTION("GOOGLETRANSLATE(A18733, ""de"", ""en"")"),"Mark")</f>
        <v>Mark</v>
      </c>
    </row>
    <row r="18734">
      <c r="A18734" s="1" t="s">
        <v>18733</v>
      </c>
      <c r="B18734" s="2" t="str">
        <f>IFERROR(__xludf.DUMMYFUNCTION("GOOGLETRANSLATE(A18734, ""de"", ""en"")"),"Maude")</f>
        <v>Maude</v>
      </c>
    </row>
    <row r="18735">
      <c r="A18735" s="1" t="s">
        <v>18734</v>
      </c>
      <c r="B18735" s="2" t="str">
        <f>IFERROR(__xludf.DUMMYFUNCTION("GOOGLETRANSLATE(A18735, ""de"", ""en"")"),"major")</f>
        <v>major</v>
      </c>
    </row>
    <row r="18736">
      <c r="A18736" s="1" t="s">
        <v>18735</v>
      </c>
      <c r="B18736" s="2" t="str">
        <f>IFERROR(__xludf.DUMMYFUNCTION("GOOGLETRANSLATE(A18736, ""de"", ""en"")"),"eu")</f>
        <v>eu</v>
      </c>
    </row>
    <row r="18737">
      <c r="A18737" s="1" t="s">
        <v>18736</v>
      </c>
      <c r="B18737" s="2" t="str">
        <f>IFERROR(__xludf.DUMMYFUNCTION("GOOGLETRANSLATE(A18737, ""de"", ""en"")"),"organ")</f>
        <v>organ</v>
      </c>
    </row>
    <row r="18738">
      <c r="A18738" s="1" t="s">
        <v>18737</v>
      </c>
      <c r="B18738" s="2" t="str">
        <f>IFERROR(__xludf.DUMMYFUNCTION("GOOGLETRANSLATE(A18738, ""de"", ""en"")"),"stayed here")</f>
        <v>stayed here</v>
      </c>
    </row>
    <row r="18739">
      <c r="A18739" s="1" t="s">
        <v>18738</v>
      </c>
      <c r="B18739" s="2" t="str">
        <f>IFERROR(__xludf.DUMMYFUNCTION("GOOGLETRANSLATE(A18739, ""de"", ""en"")"),"correct")</f>
        <v>correct</v>
      </c>
    </row>
    <row r="18740">
      <c r="A18740" s="1" t="s">
        <v>18739</v>
      </c>
      <c r="B18740" s="2" t="str">
        <f>IFERROR(__xludf.DUMMYFUNCTION("GOOGLETRANSLATE(A18740, ""de"", ""en"")"),"Bjorn")</f>
        <v>Bjorn</v>
      </c>
    </row>
    <row r="18741">
      <c r="A18741" s="1" t="s">
        <v>18740</v>
      </c>
      <c r="B18741" s="2" t="str">
        <f>IFERROR(__xludf.DUMMYFUNCTION("GOOGLETRANSLATE(A18741, ""de"", ""en"")"),"spare parts")</f>
        <v>spare parts</v>
      </c>
    </row>
    <row r="18742">
      <c r="A18742" s="1" t="s">
        <v>18741</v>
      </c>
      <c r="B18742" s="2" t="str">
        <f>IFERROR(__xludf.DUMMYFUNCTION("GOOGLETRANSLATE(A18742, ""de"", ""en"")"),"fibers")</f>
        <v>fibers</v>
      </c>
    </row>
    <row r="18743">
      <c r="A18743" s="1" t="s">
        <v>18742</v>
      </c>
      <c r="B18743" s="2" t="str">
        <f>IFERROR(__xludf.DUMMYFUNCTION("GOOGLETRANSLATE(A18743, ""de"", ""en"")"),"vitamin")</f>
        <v>vitamin</v>
      </c>
    </row>
    <row r="18744">
      <c r="A18744" s="1" t="s">
        <v>18743</v>
      </c>
      <c r="B18744" s="2" t="str">
        <f>IFERROR(__xludf.DUMMYFUNCTION("GOOGLETRANSLATE(A18744, ""de"", ""en"")"),"receipts")</f>
        <v>receipts</v>
      </c>
    </row>
    <row r="18745">
      <c r="A18745" s="1" t="s">
        <v>18744</v>
      </c>
      <c r="B18745" s="2" t="str">
        <f>IFERROR(__xludf.DUMMYFUNCTION("GOOGLETRANSLATE(A18745, ""de"", ""en"")"),"ives")</f>
        <v>ives</v>
      </c>
    </row>
    <row r="18746">
      <c r="A18746" s="1" t="s">
        <v>18745</v>
      </c>
      <c r="B18746" s="2" t="str">
        <f>IFERROR(__xludf.DUMMYFUNCTION("GOOGLETRANSLATE(A18746, ""de"", ""en"")"),"one hundred")</f>
        <v>one hundred</v>
      </c>
    </row>
    <row r="18747">
      <c r="A18747" s="1" t="s">
        <v>18746</v>
      </c>
      <c r="B18747" s="2" t="str">
        <f>IFERROR(__xludf.DUMMYFUNCTION("GOOGLETRANSLATE(A18747, ""de"", ""en"")"),"broth")</f>
        <v>broth</v>
      </c>
    </row>
    <row r="18748">
      <c r="A18748" s="1" t="s">
        <v>18747</v>
      </c>
      <c r="B18748" s="2" t="str">
        <f>IFERROR(__xludf.DUMMYFUNCTION("GOOGLETRANSLATE(A18748, ""de"", ""en"")"),"created")</f>
        <v>created</v>
      </c>
    </row>
    <row r="18749">
      <c r="A18749" s="1" t="s">
        <v>18748</v>
      </c>
      <c r="B18749" s="2" t="str">
        <f>IFERROR(__xludf.DUMMYFUNCTION("GOOGLETRANSLATE(A18749, ""de"", ""en"")"),"protective")</f>
        <v>protective</v>
      </c>
    </row>
    <row r="18750">
      <c r="A18750" s="1" t="s">
        <v>18749</v>
      </c>
      <c r="B18750" s="2" t="str">
        <f>IFERROR(__xludf.DUMMYFUNCTION("GOOGLETRANSLATE(A18750, ""de"", ""en"")"),"kauz")</f>
        <v>kauz</v>
      </c>
    </row>
    <row r="18751">
      <c r="A18751" s="1" t="s">
        <v>18750</v>
      </c>
      <c r="B18751" s="2" t="str">
        <f>IFERROR(__xludf.DUMMYFUNCTION("GOOGLETRANSLATE(A18751, ""de"", ""en"")"),"skunk")</f>
        <v>skunk</v>
      </c>
    </row>
    <row r="18752">
      <c r="A18752" s="1" t="s">
        <v>18751</v>
      </c>
      <c r="B18752" s="2" t="str">
        <f>IFERROR(__xludf.DUMMYFUNCTION("GOOGLETRANSLATE(A18752, ""de"", ""en"")"),"sark")</f>
        <v>sark</v>
      </c>
    </row>
    <row r="18753">
      <c r="A18753" s="1" t="s">
        <v>18752</v>
      </c>
      <c r="B18753" s="2" t="str">
        <f>IFERROR(__xludf.DUMMYFUNCTION("GOOGLETRANSLATE(A18753, ""de"", ""en"")"),"slaughtered")</f>
        <v>slaughtered</v>
      </c>
    </row>
    <row r="18754">
      <c r="A18754" s="1" t="s">
        <v>18753</v>
      </c>
      <c r="B18754" s="2" t="str">
        <f>IFERROR(__xludf.DUMMYFUNCTION("GOOGLETRANSLATE(A18754, ""de"", ""en"")"),"sunset")</f>
        <v>sunset</v>
      </c>
    </row>
    <row r="18755">
      <c r="A18755" s="1" t="s">
        <v>18754</v>
      </c>
      <c r="B18755" s="2" t="str">
        <f>IFERROR(__xludf.DUMMYFUNCTION("GOOGLETRANSLATE(A18755, ""de"", ""en"")"),"more experienced")</f>
        <v>more experienced</v>
      </c>
    </row>
    <row r="18756">
      <c r="A18756" s="1" t="s">
        <v>18755</v>
      </c>
      <c r="B18756" s="2" t="str">
        <f>IFERROR(__xludf.DUMMYFUNCTION("GOOGLETRANSLATE(A18756, ""de"", ""en"")"),"diskette")</f>
        <v>diskette</v>
      </c>
    </row>
    <row r="18757">
      <c r="A18757" s="1" t="s">
        <v>18756</v>
      </c>
      <c r="B18757" s="2" t="str">
        <f>IFERROR(__xludf.DUMMYFUNCTION("GOOGLETRANSLATE(A18757, ""de"", ""en"")"),"sent there")</f>
        <v>sent there</v>
      </c>
    </row>
    <row r="18758">
      <c r="A18758" s="1" t="s">
        <v>18757</v>
      </c>
      <c r="B18758" s="2" t="str">
        <f>IFERROR(__xludf.DUMMYFUNCTION("GOOGLETRANSLATE(A18758, ""de"", ""en"")"),"to get out")</f>
        <v>to get out</v>
      </c>
    </row>
    <row r="18759">
      <c r="A18759" s="1" t="s">
        <v>18758</v>
      </c>
      <c r="B18759" s="2" t="str">
        <f>IFERROR(__xludf.DUMMYFUNCTION("GOOGLETRANSLATE(A18759, ""de"", ""en"")"),"dus")</f>
        <v>dus</v>
      </c>
    </row>
    <row r="18760">
      <c r="A18760" s="1" t="s">
        <v>18759</v>
      </c>
      <c r="B18760" s="2" t="str">
        <f>IFERROR(__xludf.DUMMYFUNCTION("GOOGLETRANSLATE(A18760, ""de"", ""en"")"),"hadar")</f>
        <v>hadar</v>
      </c>
    </row>
    <row r="18761">
      <c r="A18761" s="1" t="s">
        <v>18760</v>
      </c>
      <c r="B18761" s="2" t="str">
        <f>IFERROR(__xludf.DUMMYFUNCTION("GOOGLETRANSLATE(A18761, ""de"", ""en"")"),"concierge")</f>
        <v>concierge</v>
      </c>
    </row>
    <row r="18762">
      <c r="A18762" s="1" t="s">
        <v>18761</v>
      </c>
      <c r="B18762" s="2" t="str">
        <f>IFERROR(__xludf.DUMMYFUNCTION("GOOGLETRANSLATE(A18762, ""de"", ""en"")"),"put away")</f>
        <v>put away</v>
      </c>
    </row>
    <row r="18763">
      <c r="A18763" s="1" t="s">
        <v>18762</v>
      </c>
      <c r="B18763" s="2" t="str">
        <f>IFERROR(__xludf.DUMMYFUNCTION("GOOGLETRANSLATE(A18763, ""de"", ""en"")"),"give")</f>
        <v>give</v>
      </c>
    </row>
    <row r="18764">
      <c r="A18764" s="1" t="s">
        <v>18763</v>
      </c>
      <c r="B18764" s="2" t="str">
        <f>IFERROR(__xludf.DUMMYFUNCTION("GOOGLETRANSLATE(A18764, ""de"", ""en"")"),"picked")</f>
        <v>picked</v>
      </c>
    </row>
    <row r="18765">
      <c r="A18765" s="1" t="s">
        <v>18764</v>
      </c>
      <c r="B18765" s="2" t="str">
        <f>IFERROR(__xludf.DUMMYFUNCTION("GOOGLETRANSLATE(A18765, ""de"", ""en"")"),"Thursdays")</f>
        <v>Thursdays</v>
      </c>
    </row>
    <row r="18766">
      <c r="A18766" s="1" t="s">
        <v>18765</v>
      </c>
      <c r="B18766" s="2" t="str">
        <f>IFERROR(__xludf.DUMMYFUNCTION("GOOGLETRANSLATE(A18766, ""de"", ""en"")"),"neutralized")</f>
        <v>neutralized</v>
      </c>
    </row>
    <row r="18767">
      <c r="A18767" s="1" t="s">
        <v>18766</v>
      </c>
      <c r="B18767" s="2" t="str">
        <f>IFERROR(__xludf.DUMMYFUNCTION("GOOGLETRANSLATE(A18767, ""de"", ""en"")"),"vikaay")</f>
        <v>vikaay</v>
      </c>
    </row>
    <row r="18768">
      <c r="A18768" s="1" t="s">
        <v>18767</v>
      </c>
      <c r="B18768" s="2" t="str">
        <f>IFERROR(__xludf.DUMMYFUNCTION("GOOGLETRANSLATE(A18768, ""de"", ""en"")"),"do nothing")</f>
        <v>do nothing</v>
      </c>
    </row>
    <row r="18769">
      <c r="A18769" s="1" t="s">
        <v>18768</v>
      </c>
      <c r="B18769" s="2" t="str">
        <f>IFERROR(__xludf.DUMMYFUNCTION("GOOGLETRANSLATE(A18769, ""de"", ""en"")"),"lift up")</f>
        <v>lift up</v>
      </c>
    </row>
    <row r="18770">
      <c r="A18770" s="1" t="s">
        <v>18769</v>
      </c>
      <c r="B18770" s="2" t="str">
        <f>IFERROR(__xludf.DUMMYFUNCTION("GOOGLETRANSLATE(A18770, ""de"", ""en"")"),"lancelot")</f>
        <v>lancelot</v>
      </c>
    </row>
    <row r="18771">
      <c r="A18771" s="1" t="s">
        <v>18770</v>
      </c>
      <c r="B18771" s="2" t="str">
        <f>IFERROR(__xludf.DUMMYFUNCTION("GOOGLETRANSLATE(A18771, ""de"", ""en"")"),"rushes")</f>
        <v>rushes</v>
      </c>
    </row>
    <row r="18772">
      <c r="A18772" s="1" t="s">
        <v>18771</v>
      </c>
      <c r="B18772" s="2" t="str">
        <f>IFERROR(__xludf.DUMMYFUNCTION("GOOGLETRANSLATE(A18772, ""de"", ""en"")"),"queens")</f>
        <v>queens</v>
      </c>
    </row>
    <row r="18773">
      <c r="A18773" s="1" t="s">
        <v>18772</v>
      </c>
      <c r="B18773" s="2" t="str">
        <f>IFERROR(__xludf.DUMMYFUNCTION("GOOGLETRANSLATE(A18773, ""de"", ""en"")"),"overrated")</f>
        <v>overrated</v>
      </c>
    </row>
    <row r="18774">
      <c r="A18774" s="1" t="s">
        <v>18773</v>
      </c>
      <c r="B18774" s="2" t="str">
        <f>IFERROR(__xludf.DUMMYFUNCTION("GOOGLETRANSLATE(A18774, ""de"", ""en"")"),"undertook")</f>
        <v>undertook</v>
      </c>
    </row>
    <row r="18775">
      <c r="A18775" s="1" t="s">
        <v>18774</v>
      </c>
      <c r="B18775" s="2" t="str">
        <f>IFERROR(__xludf.DUMMYFUNCTION("GOOGLETRANSLATE(A18775, ""de"", ""en"")"),"60s")</f>
        <v>60s</v>
      </c>
    </row>
    <row r="18776">
      <c r="A18776" s="1" t="s">
        <v>18775</v>
      </c>
      <c r="B18776" s="2" t="str">
        <f>IFERROR(__xludf.DUMMYFUNCTION("GOOGLETRANSLATE(A18776, ""de"", ""en"")"),"more extraordinary")</f>
        <v>more extraordinary</v>
      </c>
    </row>
    <row r="18777">
      <c r="A18777" s="1" t="s">
        <v>18776</v>
      </c>
      <c r="B18777" s="2" t="str">
        <f>IFERROR(__xludf.DUMMYFUNCTION("GOOGLETRANSLATE(A18777, ""de"", ""en"")"),"grant")</f>
        <v>grant</v>
      </c>
    </row>
    <row r="18778">
      <c r="A18778" s="1" t="s">
        <v>18777</v>
      </c>
      <c r="B18778" s="2" t="str">
        <f>IFERROR(__xludf.DUMMYFUNCTION("GOOGLETRANSLATE(A18778, ""de"", ""en"")"),"smoke weed")</f>
        <v>smoke weed</v>
      </c>
    </row>
    <row r="18779">
      <c r="A18779" s="1" t="s">
        <v>18778</v>
      </c>
      <c r="B18779" s="2" t="str">
        <f>IFERROR(__xludf.DUMMYFUNCTION("GOOGLETRANSLATE(A18779, ""de"", ""en"")"),"pours")</f>
        <v>pours</v>
      </c>
    </row>
    <row r="18780">
      <c r="A18780" s="1" t="s">
        <v>18779</v>
      </c>
      <c r="B18780" s="2" t="str">
        <f>IFERROR(__xludf.DUMMYFUNCTION("GOOGLETRANSLATE(A18780, ""de"", ""en"")"),"entourage")</f>
        <v>entourage</v>
      </c>
    </row>
    <row r="18781">
      <c r="A18781" s="1" t="s">
        <v>18780</v>
      </c>
      <c r="B18781" s="2" t="str">
        <f>IFERROR(__xludf.DUMMYFUNCTION("GOOGLETRANSLATE(A18781, ""de"", ""en"")"),"steadfast")</f>
        <v>steadfast</v>
      </c>
    </row>
    <row r="18782">
      <c r="A18782" s="1" t="s">
        <v>18781</v>
      </c>
      <c r="B18782" s="2" t="str">
        <f>IFERROR(__xludf.DUMMYFUNCTION("GOOGLETRANSLATE(A18782, ""de"", ""en"")"),"cut open")</f>
        <v>cut open</v>
      </c>
    </row>
    <row r="18783">
      <c r="A18783" s="1" t="s">
        <v>18782</v>
      </c>
      <c r="B18783" s="2" t="str">
        <f>IFERROR(__xludf.DUMMYFUNCTION("GOOGLETRANSLATE(A18783, ""de"", ""en"")"),"GDR")</f>
        <v>GDR</v>
      </c>
    </row>
    <row r="18784">
      <c r="A18784" s="1" t="s">
        <v>18783</v>
      </c>
      <c r="B18784" s="2" t="str">
        <f>IFERROR(__xludf.DUMMYFUNCTION("GOOGLETRANSLATE(A18784, ""de"", ""en"")"),"genie")</f>
        <v>genie</v>
      </c>
    </row>
    <row r="18785">
      <c r="A18785" s="1" t="s">
        <v>18784</v>
      </c>
      <c r="B18785" s="2" t="str">
        <f>IFERROR(__xludf.DUMMYFUNCTION("GOOGLETRANSLATE(A18785, ""de"", ""en"")"),"family reunion")</f>
        <v>family reunion</v>
      </c>
    </row>
    <row r="18786">
      <c r="A18786" s="1" t="s">
        <v>18785</v>
      </c>
      <c r="B18786" s="2" t="str">
        <f>IFERROR(__xludf.DUMMYFUNCTION("GOOGLETRANSLATE(A18786, ""de"", ""en"")"),"bonnet")</f>
        <v>bonnet</v>
      </c>
    </row>
    <row r="18787">
      <c r="A18787" s="1" t="s">
        <v>18786</v>
      </c>
      <c r="B18787" s="2" t="str">
        <f>IFERROR(__xludf.DUMMYFUNCTION("GOOGLETRANSLATE(A18787, ""de"", ""en"")"),"bolton")</f>
        <v>bolton</v>
      </c>
    </row>
    <row r="18788">
      <c r="A18788" s="1" t="s">
        <v>18787</v>
      </c>
      <c r="B18788" s="2" t="str">
        <f>IFERROR(__xludf.DUMMYFUNCTION("GOOGLETRANSLATE(A18788, ""de"", ""en"")"),"waters")</f>
        <v>waters</v>
      </c>
    </row>
    <row r="18789">
      <c r="A18789" s="1" t="s">
        <v>18788</v>
      </c>
      <c r="B18789" s="2" t="str">
        <f>IFERROR(__xludf.DUMMYFUNCTION("GOOGLETRANSLATE(A18789, ""de"", ""en"")"),"Pope")</f>
        <v>Pope</v>
      </c>
    </row>
    <row r="18790">
      <c r="A18790" s="1" t="s">
        <v>18789</v>
      </c>
      <c r="B18790" s="2" t="str">
        <f>IFERROR(__xludf.DUMMYFUNCTION("GOOGLETRANSLATE(A18790, ""de"", ""en"")"),"grow")</f>
        <v>grow</v>
      </c>
    </row>
    <row r="18791">
      <c r="A18791" s="1" t="s">
        <v>18790</v>
      </c>
      <c r="B18791" s="2" t="str">
        <f>IFERROR(__xludf.DUMMYFUNCTION("GOOGLETRANSLATE(A18791, ""de"", ""en"")"),"care")</f>
        <v>care</v>
      </c>
    </row>
    <row r="18792">
      <c r="A18792" s="1" t="s">
        <v>18791</v>
      </c>
      <c r="B18792" s="2" t="str">
        <f>IFERROR(__xludf.DUMMYFUNCTION("GOOGLETRANSLATE(A18792, ""de"", ""en"")"),"mess up")</f>
        <v>mess up</v>
      </c>
    </row>
    <row r="18793">
      <c r="A18793" s="1" t="s">
        <v>18792</v>
      </c>
      <c r="B18793" s="2" t="str">
        <f>IFERROR(__xludf.DUMMYFUNCTION("GOOGLETRANSLATE(A18793, ""de"", ""en"")"),"deported")</f>
        <v>deported</v>
      </c>
    </row>
    <row r="18794">
      <c r="A18794" s="1" t="s">
        <v>18793</v>
      </c>
      <c r="B18794" s="2" t="str">
        <f>IFERROR(__xludf.DUMMYFUNCTION("GOOGLETRANSLATE(A18794, ""de"", ""en"")"),"looked through")</f>
        <v>looked through</v>
      </c>
    </row>
    <row r="18795">
      <c r="A18795" s="1" t="s">
        <v>18794</v>
      </c>
      <c r="B18795" s="2" t="str">
        <f>IFERROR(__xludf.DUMMYFUNCTION("GOOGLETRANSLATE(A18795, ""de"", ""en"")"),"cdc")</f>
        <v>cdc</v>
      </c>
    </row>
    <row r="18796">
      <c r="A18796" s="1" t="s">
        <v>18795</v>
      </c>
      <c r="B18796" s="2" t="str">
        <f>IFERROR(__xludf.DUMMYFUNCTION("GOOGLETRANSLATE(A18796, ""de"", ""en"")"),"dickens")</f>
        <v>dickens</v>
      </c>
    </row>
    <row r="18797">
      <c r="A18797" s="1" t="s">
        <v>18796</v>
      </c>
      <c r="B18797" s="2" t="str">
        <f>IFERROR(__xludf.DUMMYFUNCTION("GOOGLETRANSLATE(A18797, ""de"", ""en"")"),"rumble")</f>
        <v>rumble</v>
      </c>
    </row>
    <row r="18798">
      <c r="A18798" s="1" t="s">
        <v>18797</v>
      </c>
      <c r="B18798" s="2" t="str">
        <f>IFERROR(__xludf.DUMMYFUNCTION("GOOGLETRANSLATE(A18798, ""de"", ""en"")"),"linden")</f>
        <v>linden</v>
      </c>
    </row>
    <row r="18799">
      <c r="A18799" s="1" t="s">
        <v>18798</v>
      </c>
      <c r="B18799" s="2" t="str">
        <f>IFERROR(__xludf.DUMMYFUNCTION("GOOGLETRANSLATE(A18799, ""de"", ""en"")"),"purchasable")</f>
        <v>purchasable</v>
      </c>
    </row>
    <row r="18800">
      <c r="A18800" s="1" t="s">
        <v>18799</v>
      </c>
      <c r="B18800" s="2" t="str">
        <f>IFERROR(__xludf.DUMMYFUNCTION("GOOGLETRANSLATE(A18800, ""de"", ""en"")"),"sharper")</f>
        <v>sharper</v>
      </c>
    </row>
    <row r="18801">
      <c r="A18801" s="1" t="s">
        <v>18800</v>
      </c>
      <c r="B18801" s="2" t="str">
        <f>IFERROR(__xludf.DUMMYFUNCTION("GOOGLETRANSLATE(A18801, ""de"", ""en"")"),"heaven")</f>
        <v>heaven</v>
      </c>
    </row>
    <row r="18802">
      <c r="A18802" s="1" t="s">
        <v>18801</v>
      </c>
      <c r="B18802" s="2" t="str">
        <f>IFERROR(__xludf.DUMMYFUNCTION("GOOGLETRANSLATE(A18802, ""de"", ""en"")"),"pots")</f>
        <v>pots</v>
      </c>
    </row>
    <row r="18803">
      <c r="A18803" s="1" t="s">
        <v>18802</v>
      </c>
      <c r="B18803" s="2" t="str">
        <f>IFERROR(__xludf.DUMMYFUNCTION("GOOGLETRANSLATE(A18803, ""de"", ""en"")"),"cycle")</f>
        <v>cycle</v>
      </c>
    </row>
    <row r="18804">
      <c r="A18804" s="1" t="s">
        <v>18803</v>
      </c>
      <c r="B18804" s="2" t="str">
        <f>IFERROR(__xludf.DUMMYFUNCTION("GOOGLETRANSLATE(A18804, ""de"", ""en"")"),"flirts")</f>
        <v>flirts</v>
      </c>
    </row>
    <row r="18805">
      <c r="A18805" s="1" t="s">
        <v>18804</v>
      </c>
      <c r="B18805" s="2" t="str">
        <f>IFERROR(__xludf.DUMMYFUNCTION("GOOGLETRANSLATE(A18805, ""de"", ""en"")"),"call")</f>
        <v>call</v>
      </c>
    </row>
    <row r="18806">
      <c r="A18806" s="1" t="s">
        <v>18805</v>
      </c>
      <c r="B18806" s="2" t="str">
        <f>IFERROR(__xludf.DUMMYFUNCTION("GOOGLETRANSLATE(A18806, ""de"", ""en"")"),"kelso")</f>
        <v>kelso</v>
      </c>
    </row>
    <row r="18807">
      <c r="A18807" s="1" t="s">
        <v>18806</v>
      </c>
      <c r="B18807" s="2" t="str">
        <f>IFERROR(__xludf.DUMMYFUNCTION("GOOGLETRANSLATE(A18807, ""de"", ""en"")"),"funnier")</f>
        <v>funnier</v>
      </c>
    </row>
    <row r="18808">
      <c r="A18808" s="1" t="s">
        <v>18807</v>
      </c>
      <c r="B18808" s="2" t="str">
        <f>IFERROR(__xludf.DUMMYFUNCTION("GOOGLETRANSLATE(A18808, ""de"", ""en"")"),"biased")</f>
        <v>biased</v>
      </c>
    </row>
    <row r="18809">
      <c r="A18809" s="1" t="s">
        <v>18808</v>
      </c>
      <c r="B18809" s="2" t="str">
        <f>IFERROR(__xludf.DUMMYFUNCTION("GOOGLETRANSLATE(A18809, ""de"", ""en"")"),"is coming")</f>
        <v>is coming</v>
      </c>
    </row>
    <row r="18810">
      <c r="A18810" s="1" t="s">
        <v>18809</v>
      </c>
      <c r="B18810" s="2" t="str">
        <f>IFERROR(__xludf.DUMMYFUNCTION("GOOGLETRANSLATE(A18810, ""de"", ""en"")"),"intrigue")</f>
        <v>intrigue</v>
      </c>
    </row>
    <row r="18811">
      <c r="A18811" s="1" t="s">
        <v>18810</v>
      </c>
      <c r="B18811" s="2" t="str">
        <f>IFERROR(__xludf.DUMMYFUNCTION("GOOGLETRANSLATE(A18811, ""de"", ""en"")"),"shell")</f>
        <v>shell</v>
      </c>
    </row>
    <row r="18812">
      <c r="A18812" s="1" t="s">
        <v>18811</v>
      </c>
      <c r="B18812" s="2" t="str">
        <f>IFERROR(__xludf.DUMMYFUNCTION("GOOGLETRANSLATE(A18812, ""de"", ""en"")"),"finish line")</f>
        <v>finish line</v>
      </c>
    </row>
    <row r="18813">
      <c r="A18813" s="1" t="s">
        <v>18812</v>
      </c>
      <c r="B18813" s="2" t="str">
        <f>IFERROR(__xludf.DUMMYFUNCTION("GOOGLETRANSLATE(A18813, ""de"", ""en"")"),"davy")</f>
        <v>davy</v>
      </c>
    </row>
    <row r="18814">
      <c r="A18814" s="1" t="s">
        <v>18813</v>
      </c>
      <c r="B18814" s="2" t="str">
        <f>IFERROR(__xludf.DUMMYFUNCTION("GOOGLETRANSLATE(A18814, ""de"", ""en"")"),"offend")</f>
        <v>offend</v>
      </c>
    </row>
    <row r="18815">
      <c r="A18815" s="1" t="s">
        <v>18814</v>
      </c>
      <c r="B18815" s="2" t="str">
        <f>IFERROR(__xludf.DUMMYFUNCTION("GOOGLETRANSLATE(A18815, ""de"", ""en"")"),"to put in")</f>
        <v>to put in</v>
      </c>
    </row>
    <row r="18816">
      <c r="A18816" s="1" t="s">
        <v>18815</v>
      </c>
      <c r="B18816" s="2" t="str">
        <f>IFERROR(__xludf.DUMMYFUNCTION("GOOGLETRANSLATE(A18816, ""de"", ""en"")"),"halves")</f>
        <v>halves</v>
      </c>
    </row>
    <row r="18817">
      <c r="A18817" s="1" t="s">
        <v>18816</v>
      </c>
      <c r="B18817" s="2" t="str">
        <f>IFERROR(__xludf.DUMMYFUNCTION("GOOGLETRANSLATE(A18817, ""de"", ""en"")"),"pour")</f>
        <v>pour</v>
      </c>
    </row>
    <row r="18818">
      <c r="A18818" s="1" t="s">
        <v>18817</v>
      </c>
      <c r="B18818" s="2" t="str">
        <f>IFERROR(__xludf.DUMMYFUNCTION("GOOGLETRANSLATE(A18818, ""de"", ""en"")"),"in between")</f>
        <v>in between</v>
      </c>
    </row>
    <row r="18819">
      <c r="A18819" s="1" t="s">
        <v>18818</v>
      </c>
      <c r="B18819" s="2" t="str">
        <f>IFERROR(__xludf.DUMMYFUNCTION("GOOGLETRANSLATE(A18819, ""de"", ""en"")"),"Shaun")</f>
        <v>Shaun</v>
      </c>
    </row>
    <row r="18820">
      <c r="A18820" s="1" t="s">
        <v>18819</v>
      </c>
      <c r="B18820" s="2" t="str">
        <f>IFERROR(__xludf.DUMMYFUNCTION("GOOGLETRANSLATE(A18820, ""de"", ""en"")"),"triad")</f>
        <v>triad</v>
      </c>
    </row>
    <row r="18821">
      <c r="A18821" s="1" t="s">
        <v>18820</v>
      </c>
      <c r="B18821" s="2" t="str">
        <f>IFERROR(__xludf.DUMMYFUNCTION("GOOGLETRANSLATE(A18821, ""de"", ""en"")"),"button")</f>
        <v>button</v>
      </c>
    </row>
    <row r="18822">
      <c r="A18822" s="1" t="s">
        <v>18821</v>
      </c>
      <c r="B18822" s="2" t="str">
        <f>IFERROR(__xludf.DUMMYFUNCTION("GOOGLETRANSLATE(A18822, ""de"", ""en"")"),"drove off")</f>
        <v>drove off</v>
      </c>
    </row>
    <row r="18823">
      <c r="A18823" s="1" t="s">
        <v>18822</v>
      </c>
      <c r="B18823" s="2" t="str">
        <f>IFERROR(__xludf.DUMMYFUNCTION("GOOGLETRANSLATE(A18823, ""de"", ""en"")"),"would have to")</f>
        <v>would have to</v>
      </c>
    </row>
    <row r="18824">
      <c r="A18824" s="1" t="s">
        <v>18823</v>
      </c>
      <c r="B18824" s="2" t="str">
        <f>IFERROR(__xludf.DUMMYFUNCTION("GOOGLETRANSLATE(A18824, ""de"", ""en"")"),"hooves")</f>
        <v>hooves</v>
      </c>
    </row>
    <row r="18825">
      <c r="A18825" s="1" t="s">
        <v>18824</v>
      </c>
      <c r="B18825" s="2" t="str">
        <f>IFERROR(__xludf.DUMMYFUNCTION("GOOGLETRANSLATE(A18825, ""de"", ""en"")"),"yearbook")</f>
        <v>yearbook</v>
      </c>
    </row>
    <row r="18826">
      <c r="A18826" s="1" t="s">
        <v>18825</v>
      </c>
      <c r="B18826" s="2" t="str">
        <f>IFERROR(__xludf.DUMMYFUNCTION("GOOGLETRANSLATE(A18826, ""de"", ""en"")"),"cackle")</f>
        <v>cackle</v>
      </c>
    </row>
    <row r="18827">
      <c r="A18827" s="1" t="s">
        <v>18826</v>
      </c>
      <c r="B18827" s="2" t="str">
        <f>IFERROR(__xludf.DUMMYFUNCTION("GOOGLETRANSLATE(A18827, ""de"", ""en"")"),"efficiency")</f>
        <v>efficiency</v>
      </c>
    </row>
    <row r="18828">
      <c r="A18828" s="1" t="s">
        <v>18827</v>
      </c>
      <c r="B18828" s="2" t="str">
        <f>IFERROR(__xludf.DUMMYFUNCTION("GOOGLETRANSLATE(A18828, ""de"", ""en"")"),"bloodsuckers")</f>
        <v>bloodsuckers</v>
      </c>
    </row>
    <row r="18829">
      <c r="A18829" s="1" t="s">
        <v>18828</v>
      </c>
      <c r="B18829" s="2" t="str">
        <f>IFERROR(__xludf.DUMMYFUNCTION("GOOGLETRANSLATE(A18829, ""de"", ""en"")"),"Salvador")</f>
        <v>Salvador</v>
      </c>
    </row>
    <row r="18830">
      <c r="A18830" s="1" t="s">
        <v>18829</v>
      </c>
      <c r="B18830" s="2" t="str">
        <f>IFERROR(__xludf.DUMMYFUNCTION("GOOGLETRANSLATE(A18830, ""de"", ""en"")"),"state")</f>
        <v>state</v>
      </c>
    </row>
    <row r="18831">
      <c r="A18831" s="1" t="s">
        <v>18830</v>
      </c>
      <c r="B18831" s="2" t="str">
        <f>IFERROR(__xludf.DUMMYFUNCTION("GOOGLETRANSLATE(A18831, ""de"", ""en"")"),"rambo")</f>
        <v>rambo</v>
      </c>
    </row>
    <row r="18832">
      <c r="A18832" s="1" t="s">
        <v>18831</v>
      </c>
      <c r="B18832" s="2" t="str">
        <f>IFERROR(__xludf.DUMMYFUNCTION("GOOGLETRANSLATE(A18832, ""de"", ""en"")"),"abdul")</f>
        <v>abdul</v>
      </c>
    </row>
    <row r="18833">
      <c r="A18833" s="1" t="s">
        <v>18832</v>
      </c>
      <c r="B18833" s="2" t="str">
        <f>IFERROR(__xludf.DUMMYFUNCTION("GOOGLETRANSLATE(A18833, ""de"", ""en"")"),"willa")</f>
        <v>willa</v>
      </c>
    </row>
    <row r="18834">
      <c r="A18834" s="1" t="s">
        <v>18833</v>
      </c>
      <c r="B18834" s="2" t="str">
        <f>IFERROR(__xludf.DUMMYFUNCTION("GOOGLETRANSLATE(A18834, ""de"", ""en"")"),"attach")</f>
        <v>attach</v>
      </c>
    </row>
    <row r="18835">
      <c r="A18835" s="1" t="s">
        <v>18834</v>
      </c>
      <c r="B18835" s="2" t="str">
        <f>IFERROR(__xludf.DUMMYFUNCTION("GOOGLETRANSLATE(A18835, ""de"", ""en"")"),"panda")</f>
        <v>panda</v>
      </c>
    </row>
    <row r="18836">
      <c r="A18836" s="1" t="s">
        <v>18835</v>
      </c>
      <c r="B18836" s="2" t="str">
        <f>IFERROR(__xludf.DUMMYFUNCTION("GOOGLETRANSLATE(A18836, ""de"", ""en"")"),"eaten up")</f>
        <v>eaten up</v>
      </c>
    </row>
    <row r="18837">
      <c r="A18837" s="1" t="s">
        <v>18836</v>
      </c>
      <c r="B18837" s="2" t="str">
        <f>IFERROR(__xludf.DUMMYFUNCTION("GOOGLETRANSLATE(A18837, ""de"", ""en"")"),"first of all")</f>
        <v>first of all</v>
      </c>
    </row>
    <row r="18838">
      <c r="A18838" s="1" t="s">
        <v>18837</v>
      </c>
      <c r="B18838" s="2" t="str">
        <f>IFERROR(__xludf.DUMMYFUNCTION("GOOGLETRANSLATE(A18838, ""de"", ""en"")"),"sissies")</f>
        <v>sissies</v>
      </c>
    </row>
    <row r="18839">
      <c r="A18839" s="1" t="s">
        <v>18838</v>
      </c>
      <c r="B18839" s="2" t="str">
        <f>IFERROR(__xludf.DUMMYFUNCTION("GOOGLETRANSLATE(A18839, ""de"", ""en"")"),"bash")</f>
        <v>bash</v>
      </c>
    </row>
    <row r="18840">
      <c r="A18840" s="1" t="s">
        <v>18839</v>
      </c>
      <c r="B18840" s="2" t="str">
        <f>IFERROR(__xludf.DUMMYFUNCTION("GOOGLETRANSLATE(A18840, ""de"", ""en"")"),"peeping Tom")</f>
        <v>peeping Tom</v>
      </c>
    </row>
    <row r="18841">
      <c r="A18841" s="1" t="s">
        <v>18840</v>
      </c>
      <c r="B18841" s="2" t="str">
        <f>IFERROR(__xludf.DUMMYFUNCTION("GOOGLETRANSLATE(A18841, ""de"", ""en"")"),"forever")</f>
        <v>forever</v>
      </c>
    </row>
    <row r="18842">
      <c r="A18842" s="1" t="s">
        <v>18841</v>
      </c>
      <c r="B18842" s="2" t="str">
        <f>IFERROR(__xludf.DUMMYFUNCTION("GOOGLETRANSLATE(A18842, ""de"", ""en"")"),"inhabited")</f>
        <v>inhabited</v>
      </c>
    </row>
    <row r="18843">
      <c r="A18843" s="1" t="s">
        <v>18842</v>
      </c>
      <c r="B18843" s="2" t="str">
        <f>IFERROR(__xludf.DUMMYFUNCTION("GOOGLETRANSLATE(A18843, ""de"", ""en"")"),"participates")</f>
        <v>participates</v>
      </c>
    </row>
    <row r="18844">
      <c r="A18844" s="1" t="s">
        <v>18843</v>
      </c>
      <c r="B18844" s="2" t="str">
        <f>IFERROR(__xludf.DUMMYFUNCTION("GOOGLETRANSLATE(A18844, ""de"", ""en"")"),"tests")</f>
        <v>tests</v>
      </c>
    </row>
    <row r="18845">
      <c r="A18845" s="1" t="s">
        <v>18844</v>
      </c>
      <c r="B18845" s="2" t="str">
        <f>IFERROR(__xludf.DUMMYFUNCTION("GOOGLETRANSLATE(A18845, ""de"", ""en"")"),"dislike")</f>
        <v>dislike</v>
      </c>
    </row>
    <row r="18846">
      <c r="A18846" s="1" t="s">
        <v>18845</v>
      </c>
      <c r="B18846" s="2" t="str">
        <f>IFERROR(__xludf.DUMMYFUNCTION("GOOGLETRANSLATE(A18846, ""de"", ""en"")"),"hiss")</f>
        <v>hiss</v>
      </c>
    </row>
    <row r="18847">
      <c r="A18847" s="1" t="s">
        <v>18846</v>
      </c>
      <c r="B18847" s="2" t="str">
        <f>IFERROR(__xludf.DUMMYFUNCTION("GOOGLETRANSLATE(A18847, ""de"", ""en"")"),"tragedies")</f>
        <v>tragedies</v>
      </c>
    </row>
    <row r="18848">
      <c r="A18848" s="1" t="s">
        <v>18847</v>
      </c>
      <c r="B18848" s="2" t="str">
        <f>IFERROR(__xludf.DUMMYFUNCTION("GOOGLETRANSLATE(A18848, ""de"", ""en"")"),"hops")</f>
        <v>hops</v>
      </c>
    </row>
    <row r="18849">
      <c r="A18849" s="1" t="s">
        <v>18848</v>
      </c>
      <c r="B18849" s="2" t="str">
        <f>IFERROR(__xludf.DUMMYFUNCTION("GOOGLETRANSLATE(A18849, ""de"", ""en"")"),"emilys")</f>
        <v>emilys</v>
      </c>
    </row>
    <row r="18850">
      <c r="A18850" s="1" t="s">
        <v>18849</v>
      </c>
      <c r="B18850" s="2" t="str">
        <f>IFERROR(__xludf.DUMMYFUNCTION("GOOGLETRANSLATE(A18850, ""de"", ""en"")"),"refuge")</f>
        <v>refuge</v>
      </c>
    </row>
    <row r="18851">
      <c r="A18851" s="1" t="s">
        <v>18850</v>
      </c>
      <c r="B18851" s="2" t="str">
        <f>IFERROR(__xludf.DUMMYFUNCTION("GOOGLETRANSLATE(A18851, ""de"", ""en"")"),"warship")</f>
        <v>warship</v>
      </c>
    </row>
    <row r="18852">
      <c r="A18852" s="1" t="s">
        <v>18851</v>
      </c>
      <c r="B18852" s="2" t="str">
        <f>IFERROR(__xludf.DUMMYFUNCTION("GOOGLETRANSLATE(A18852, ""de"", ""en"")"),"template")</f>
        <v>template</v>
      </c>
    </row>
    <row r="18853">
      <c r="A18853" s="1" t="s">
        <v>18852</v>
      </c>
      <c r="B18853" s="2" t="str">
        <f>IFERROR(__xludf.DUMMYFUNCTION("GOOGLETRANSLATE(A18853, ""de"", ""en"")"),"divided")</f>
        <v>divided</v>
      </c>
    </row>
    <row r="18854">
      <c r="A18854" s="1" t="s">
        <v>18853</v>
      </c>
      <c r="B18854" s="2" t="str">
        <f>IFERROR(__xludf.DUMMYFUNCTION("GOOGLETRANSLATE(A18854, ""de"", ""en"")"),"spanked")</f>
        <v>spanked</v>
      </c>
    </row>
    <row r="18855">
      <c r="A18855" s="1" t="s">
        <v>18854</v>
      </c>
      <c r="B18855" s="2" t="str">
        <f>IFERROR(__xludf.DUMMYFUNCTION("GOOGLETRANSLATE(A18855, ""de"", ""en"")"),"farrell")</f>
        <v>farrell</v>
      </c>
    </row>
    <row r="18856">
      <c r="A18856" s="1" t="s">
        <v>18855</v>
      </c>
      <c r="B18856" s="2" t="str">
        <f>IFERROR(__xludf.DUMMYFUNCTION("GOOGLETRANSLATE(A18856, ""de"", ""en"")"),"rational")</f>
        <v>rational</v>
      </c>
    </row>
    <row r="18857">
      <c r="A18857" s="1" t="s">
        <v>18856</v>
      </c>
      <c r="B18857" s="2" t="str">
        <f>IFERROR(__xludf.DUMMYFUNCTION("GOOGLETRANSLATE(A18857, ""de"", ""en"")"),"thrill")</f>
        <v>thrill</v>
      </c>
    </row>
    <row r="18858">
      <c r="A18858" s="1" t="s">
        <v>18857</v>
      </c>
      <c r="B18858" s="2" t="str">
        <f>IFERROR(__xludf.DUMMYFUNCTION("GOOGLETRANSLATE(A18858, ""de"", ""en"")"),"first name")</f>
        <v>first name</v>
      </c>
    </row>
    <row r="18859">
      <c r="A18859" s="1" t="s">
        <v>18858</v>
      </c>
      <c r="B18859" s="2" t="str">
        <f>IFERROR(__xludf.DUMMYFUNCTION("GOOGLETRANSLATE(A18859, ""de"", ""en"")"),"approach")</f>
        <v>approach</v>
      </c>
    </row>
    <row r="18860">
      <c r="A18860" s="1" t="s">
        <v>18859</v>
      </c>
      <c r="B18860" s="2" t="str">
        <f>IFERROR(__xludf.DUMMYFUNCTION("GOOGLETRANSLATE(A18860, ""de"", ""en"")"),"ohhhh")</f>
        <v>ohhhh</v>
      </c>
    </row>
    <row r="18861">
      <c r="A18861" s="1" t="s">
        <v>18860</v>
      </c>
      <c r="B18861" s="2" t="str">
        <f>IFERROR(__xludf.DUMMYFUNCTION("GOOGLETRANSLATE(A18861, ""de"", ""en"")"),"coat of arms")</f>
        <v>coat of arms</v>
      </c>
    </row>
    <row r="18862">
      <c r="A18862" s="1" t="s">
        <v>18861</v>
      </c>
      <c r="B18862" s="2" t="str">
        <f>IFERROR(__xludf.DUMMYFUNCTION("GOOGLETRANSLATE(A18862, ""de"", ""en"")"),"burned out")</f>
        <v>burned out</v>
      </c>
    </row>
    <row r="18863">
      <c r="A18863" s="1" t="s">
        <v>18862</v>
      </c>
      <c r="B18863" s="2" t="str">
        <f>IFERROR(__xludf.DUMMYFUNCTION("GOOGLETRANSLATE(A18863, ""de"", ""en"")"),"tram")</f>
        <v>tram</v>
      </c>
    </row>
    <row r="18864">
      <c r="A18864" s="1" t="s">
        <v>18863</v>
      </c>
      <c r="B18864" s="2" t="str">
        <f>IFERROR(__xludf.DUMMYFUNCTION("GOOGLETRANSLATE(A18864, ""de"", ""en"")"),"toiled")</f>
        <v>toiled</v>
      </c>
    </row>
    <row r="18865">
      <c r="A18865" s="1" t="s">
        <v>18864</v>
      </c>
      <c r="B18865" s="2" t="str">
        <f>IFERROR(__xludf.DUMMYFUNCTION("GOOGLETRANSLATE(A18865, ""de"", ""en"")"),"peach")</f>
        <v>peach</v>
      </c>
    </row>
    <row r="18866">
      <c r="A18866" s="1" t="s">
        <v>18865</v>
      </c>
      <c r="B18866" s="2" t="str">
        <f>IFERROR(__xludf.DUMMYFUNCTION("GOOGLETRANSLATE(A18866, ""de"", ""en"")"),"brag")</f>
        <v>brag</v>
      </c>
    </row>
    <row r="18867">
      <c r="A18867" s="1" t="s">
        <v>18866</v>
      </c>
      <c r="B18867" s="2" t="str">
        <f>IFERROR(__xludf.DUMMYFUNCTION("GOOGLETRANSLATE(A18867, ""de"", ""en"")"),"North Korea")</f>
        <v>North Korea</v>
      </c>
    </row>
    <row r="18868">
      <c r="A18868" s="1" t="s">
        <v>18867</v>
      </c>
      <c r="B18868" s="2" t="str">
        <f>IFERROR(__xludf.DUMMYFUNCTION("GOOGLETRANSLATE(A18868, ""de"", ""en"")"),"damage")</f>
        <v>damage</v>
      </c>
    </row>
    <row r="18869">
      <c r="A18869" s="1" t="s">
        <v>18868</v>
      </c>
      <c r="B18869" s="2" t="str">
        <f>IFERROR(__xludf.DUMMYFUNCTION("GOOGLETRANSLATE(A18869, ""de"", ""en"")"),"charges")</f>
        <v>charges</v>
      </c>
    </row>
    <row r="18870">
      <c r="A18870" s="1" t="s">
        <v>18869</v>
      </c>
      <c r="B18870" s="2" t="str">
        <f>IFERROR(__xludf.DUMMYFUNCTION("GOOGLETRANSLATE(A18870, ""de"", ""en"")"),"renard")</f>
        <v>renard</v>
      </c>
    </row>
    <row r="18871">
      <c r="A18871" s="1" t="s">
        <v>18870</v>
      </c>
      <c r="B18871" s="2" t="str">
        <f>IFERROR(__xludf.DUMMYFUNCTION("GOOGLETRANSLATE(A18871, ""de"", ""en"")"),"fencing")</f>
        <v>fencing</v>
      </c>
    </row>
    <row r="18872">
      <c r="A18872" s="1" t="s">
        <v>18871</v>
      </c>
      <c r="B18872" s="2" t="str">
        <f>IFERROR(__xludf.DUMMYFUNCTION("GOOGLETRANSLATE(A18872, ""de"", ""en"")"),"Mari")</f>
        <v>Mari</v>
      </c>
    </row>
    <row r="18873">
      <c r="A18873" s="1" t="s">
        <v>18872</v>
      </c>
      <c r="B18873" s="2" t="str">
        <f>IFERROR(__xludf.DUMMYFUNCTION("GOOGLETRANSLATE(A18873, ""de"", ""en"")"),"unusable")</f>
        <v>unusable</v>
      </c>
    </row>
    <row r="18874">
      <c r="A18874" s="1" t="s">
        <v>18873</v>
      </c>
      <c r="B18874" s="2" t="str">
        <f>IFERROR(__xludf.DUMMYFUNCTION("GOOGLETRANSLATE(A18874, ""de"", ""en"")"),"pull off")</f>
        <v>pull off</v>
      </c>
    </row>
    <row r="18875">
      <c r="A18875" s="1" t="s">
        <v>18874</v>
      </c>
      <c r="B18875" s="2" t="str">
        <f>IFERROR(__xludf.DUMMYFUNCTION("GOOGLETRANSLATE(A18875, ""de"", ""en"")"),"changes")</f>
        <v>changes</v>
      </c>
    </row>
    <row r="18876">
      <c r="A18876" s="1" t="s">
        <v>18875</v>
      </c>
      <c r="B18876" s="2" t="str">
        <f>IFERROR(__xludf.DUMMYFUNCTION("GOOGLETRANSLATE(A18876, ""de"", ""en"")"),"pity")</f>
        <v>pity</v>
      </c>
    </row>
    <row r="18877">
      <c r="A18877" s="1" t="s">
        <v>18876</v>
      </c>
      <c r="B18877" s="2" t="str">
        <f>IFERROR(__xludf.DUMMYFUNCTION("GOOGLETRANSLATE(A18877, ""de"", ""en"")"),"locomotive")</f>
        <v>locomotive</v>
      </c>
    </row>
    <row r="18878">
      <c r="A18878" s="1" t="s">
        <v>18877</v>
      </c>
      <c r="B18878" s="2" t="str">
        <f>IFERROR(__xludf.DUMMYFUNCTION("GOOGLETRANSLATE(A18878, ""de"", ""en"")"),"ends")</f>
        <v>ends</v>
      </c>
    </row>
    <row r="18879">
      <c r="A18879" s="1" t="s">
        <v>18878</v>
      </c>
      <c r="B18879" s="2" t="str">
        <f>IFERROR(__xludf.DUMMYFUNCTION("GOOGLETRANSLATE(A18879, ""de"", ""en"")"),"bullock")</f>
        <v>bullock</v>
      </c>
    </row>
    <row r="18880">
      <c r="A18880" s="1" t="s">
        <v>18879</v>
      </c>
      <c r="B18880" s="2" t="str">
        <f>IFERROR(__xludf.DUMMYFUNCTION("GOOGLETRANSLATE(A18880, ""de"", ""en"")"),"advanced")</f>
        <v>advanced</v>
      </c>
    </row>
    <row r="18881">
      <c r="A18881" s="1" t="s">
        <v>18880</v>
      </c>
      <c r="B18881" s="2" t="str">
        <f>IFERROR(__xludf.DUMMYFUNCTION("GOOGLETRANSLATE(A18881, ""de"", ""en"")"),"witnesses")</f>
        <v>witnesses</v>
      </c>
    </row>
    <row r="18882">
      <c r="A18882" s="1" t="s">
        <v>18881</v>
      </c>
      <c r="B18882" s="2" t="str">
        <f>IFERROR(__xludf.DUMMYFUNCTION("GOOGLETRANSLATE(A18882, ""de"", ""en"")"),"complete")</f>
        <v>complete</v>
      </c>
    </row>
    <row r="18883">
      <c r="A18883" s="1" t="s">
        <v>18882</v>
      </c>
      <c r="B18883" s="2" t="str">
        <f>IFERROR(__xludf.DUMMYFUNCTION("GOOGLETRANSLATE(A18883, ""de"", ""en"")"),"continued")</f>
        <v>continued</v>
      </c>
    </row>
    <row r="18884">
      <c r="A18884" s="1" t="s">
        <v>18883</v>
      </c>
      <c r="B18884" s="2" t="str">
        <f>IFERROR(__xludf.DUMMYFUNCTION("GOOGLETRANSLATE(A18884, ""de"", ""en"")"),"perceived")</f>
        <v>perceived</v>
      </c>
    </row>
    <row r="18885">
      <c r="A18885" s="1" t="s">
        <v>18884</v>
      </c>
      <c r="B18885" s="2" t="str">
        <f>IFERROR(__xludf.DUMMYFUNCTION("GOOGLETRANSLATE(A18885, ""de"", ""en"")"),"radical")</f>
        <v>radical</v>
      </c>
    </row>
    <row r="18886">
      <c r="A18886" s="1" t="s">
        <v>18885</v>
      </c>
      <c r="B18886" s="2" t="str">
        <f>IFERROR(__xludf.DUMMYFUNCTION("GOOGLETRANSLATE(A18886, ""de"", ""en"")"),"African")</f>
        <v>African</v>
      </c>
    </row>
    <row r="18887">
      <c r="A18887" s="1" t="s">
        <v>18886</v>
      </c>
      <c r="B18887" s="2" t="str">
        <f>IFERROR(__xludf.DUMMYFUNCTION("GOOGLETRANSLATE(A18887, ""de"", ""en"")"),"bus driver")</f>
        <v>bus driver</v>
      </c>
    </row>
    <row r="18888">
      <c r="A18888" s="1" t="s">
        <v>18887</v>
      </c>
      <c r="B18888" s="2" t="str">
        <f>IFERROR(__xludf.DUMMYFUNCTION("GOOGLETRANSLATE(A18888, ""de"", ""en"")"),"Cuban")</f>
        <v>Cuban</v>
      </c>
    </row>
    <row r="18889">
      <c r="A18889" s="1" t="s">
        <v>18888</v>
      </c>
      <c r="B18889" s="2" t="str">
        <f>IFERROR(__xludf.DUMMYFUNCTION("GOOGLETRANSLATE(A18889, ""de"", ""en"")"),"warehouse")</f>
        <v>warehouse</v>
      </c>
    </row>
    <row r="18890">
      <c r="A18890" s="1" t="s">
        <v>18889</v>
      </c>
      <c r="B18890" s="2" t="str">
        <f>IFERROR(__xludf.DUMMYFUNCTION("GOOGLETRANSLATE(A18890, ""de"", ""en"")"),"fucking")</f>
        <v>fucking</v>
      </c>
    </row>
    <row r="18891">
      <c r="A18891" s="1" t="s">
        <v>18890</v>
      </c>
      <c r="B18891" s="2" t="str">
        <f>IFERROR(__xludf.DUMMYFUNCTION("GOOGLETRANSLATE(A18891, ""de"", ""en"")"),"devil")</f>
        <v>devil</v>
      </c>
    </row>
    <row r="18892">
      <c r="A18892" s="1" t="s">
        <v>18891</v>
      </c>
      <c r="B18892" s="2" t="str">
        <f>IFERROR(__xludf.DUMMYFUNCTION("GOOGLETRANSLATE(A18892, ""de"", ""en"")"),"kris")</f>
        <v>kris</v>
      </c>
    </row>
    <row r="18893">
      <c r="A18893" s="1" t="s">
        <v>18892</v>
      </c>
      <c r="B18893" s="2" t="str">
        <f>IFERROR(__xludf.DUMMYFUNCTION("GOOGLETRANSLATE(A18893, ""de"", ""en"")"),"Gisela")</f>
        <v>Gisela</v>
      </c>
    </row>
    <row r="18894">
      <c r="A18894" s="1" t="s">
        <v>18893</v>
      </c>
      <c r="B18894" s="2" t="str">
        <f>IFERROR(__xludf.DUMMYFUNCTION("GOOGLETRANSLATE(A18894, ""de"", ""en"")"),"detailed")</f>
        <v>detailed</v>
      </c>
    </row>
    <row r="18895">
      <c r="A18895" s="1" t="s">
        <v>18894</v>
      </c>
      <c r="B18895" s="2" t="str">
        <f>IFERROR(__xludf.DUMMYFUNCTION("GOOGLETRANSLATE(A18895, ""de"", ""en"")"),"bertrand")</f>
        <v>bertrand</v>
      </c>
    </row>
    <row r="18896">
      <c r="A18896" s="1" t="s">
        <v>18895</v>
      </c>
      <c r="B18896" s="2" t="str">
        <f>IFERROR(__xludf.DUMMYFUNCTION("GOOGLETRANSLATE(A18896, ""de"", ""en"")"),"strict")</f>
        <v>strict</v>
      </c>
    </row>
    <row r="18897">
      <c r="A18897" s="1" t="s">
        <v>18896</v>
      </c>
      <c r="B18897" s="2" t="str">
        <f>IFERROR(__xludf.DUMMYFUNCTION("GOOGLETRANSLATE(A18897, ""de"", ""en"")"),"assistant doctor")</f>
        <v>assistant doctor</v>
      </c>
    </row>
    <row r="18898">
      <c r="A18898" s="1" t="s">
        <v>18897</v>
      </c>
      <c r="B18898" s="2" t="str">
        <f>IFERROR(__xludf.DUMMYFUNCTION("GOOGLETRANSLATE(A18898, ""de"", ""en"")"),"seagulls")</f>
        <v>seagulls</v>
      </c>
    </row>
    <row r="18899">
      <c r="A18899" s="1" t="s">
        <v>18898</v>
      </c>
      <c r="B18899" s="2" t="str">
        <f>IFERROR(__xludf.DUMMYFUNCTION("GOOGLETRANSLATE(A18899, ""de"", ""en"")"),"cornelius")</f>
        <v>cornelius</v>
      </c>
    </row>
    <row r="18900">
      <c r="A18900" s="1" t="s">
        <v>18899</v>
      </c>
      <c r="B18900" s="2" t="str">
        <f>IFERROR(__xludf.DUMMYFUNCTION("GOOGLETRANSLATE(A18900, ""de"", ""en"")"),"thrifty")</f>
        <v>thrifty</v>
      </c>
    </row>
    <row r="18901">
      <c r="A18901" s="1" t="s">
        <v>18900</v>
      </c>
      <c r="B18901" s="2" t="str">
        <f>IFERROR(__xludf.DUMMYFUNCTION("GOOGLETRANSLATE(A18901, ""de"", ""en"")"),"trucks")</f>
        <v>trucks</v>
      </c>
    </row>
    <row r="18902">
      <c r="A18902" s="1" t="s">
        <v>18901</v>
      </c>
      <c r="B18902" s="2" t="str">
        <f>IFERROR(__xludf.DUMMYFUNCTION("GOOGLETRANSLATE(A18902, ""de"", ""en"")"),"Caesar")</f>
        <v>Caesar</v>
      </c>
    </row>
    <row r="18903">
      <c r="A18903" s="1" t="s">
        <v>18902</v>
      </c>
      <c r="B18903" s="2" t="str">
        <f>IFERROR(__xludf.DUMMYFUNCTION("GOOGLETRANSLATE(A18903, ""de"", ""en"")"),"faucet")</f>
        <v>faucet</v>
      </c>
    </row>
    <row r="18904">
      <c r="A18904" s="1" t="s">
        <v>18903</v>
      </c>
      <c r="B18904" s="2" t="str">
        <f>IFERROR(__xludf.DUMMYFUNCTION("GOOGLETRANSLATE(A18904, ""de"", ""en"")"),"laugh to death")</f>
        <v>laugh to death</v>
      </c>
    </row>
    <row r="18905">
      <c r="A18905" s="1" t="s">
        <v>18904</v>
      </c>
      <c r="B18905" s="2" t="str">
        <f>IFERROR(__xludf.DUMMYFUNCTION("GOOGLETRANSLATE(A18905, ""de"", ""en"")"),"Wednesdays")</f>
        <v>Wednesdays</v>
      </c>
    </row>
    <row r="18906">
      <c r="A18906" s="1" t="s">
        <v>18905</v>
      </c>
      <c r="B18906" s="2" t="str">
        <f>IFERROR(__xludf.DUMMYFUNCTION("GOOGLETRANSLATE(A18906, ""de"", ""en"")"),"thrive")</f>
        <v>thrive</v>
      </c>
    </row>
    <row r="18907">
      <c r="A18907" s="1" t="s">
        <v>18906</v>
      </c>
      <c r="B18907" s="2" t="str">
        <f>IFERROR(__xludf.DUMMYFUNCTION("GOOGLETRANSLATE(A18907, ""de"", ""en"")"),"nourish")</f>
        <v>nourish</v>
      </c>
    </row>
    <row r="18908">
      <c r="A18908" s="1" t="s">
        <v>18907</v>
      </c>
      <c r="B18908" s="2" t="str">
        <f>IFERROR(__xludf.DUMMYFUNCTION("GOOGLETRANSLATE(A18908, ""de"", ""en"")"),"paragraphs")</f>
        <v>paragraphs</v>
      </c>
    </row>
    <row r="18909">
      <c r="A18909" s="1" t="s">
        <v>18908</v>
      </c>
      <c r="B18909" s="2" t="str">
        <f>IFERROR(__xludf.DUMMYFUNCTION("GOOGLETRANSLATE(A18909, ""de"", ""en"")"),"useful")</f>
        <v>useful</v>
      </c>
    </row>
    <row r="18910">
      <c r="A18910" s="1" t="s">
        <v>18909</v>
      </c>
      <c r="B18910" s="2" t="str">
        <f>IFERROR(__xludf.DUMMYFUNCTION("GOOGLETRANSLATE(A18910, ""de"", ""en"")"),"air raid")</f>
        <v>air raid</v>
      </c>
    </row>
    <row r="18911">
      <c r="A18911" s="1" t="s">
        <v>18910</v>
      </c>
      <c r="B18911" s="2" t="str">
        <f>IFERROR(__xludf.DUMMYFUNCTION("GOOGLETRANSLATE(A18911, ""de"", ""en"")"),"Turkish")</f>
        <v>Turkish</v>
      </c>
    </row>
    <row r="18912">
      <c r="A18912" s="1" t="s">
        <v>18911</v>
      </c>
      <c r="B18912" s="2" t="str">
        <f>IFERROR(__xludf.DUMMYFUNCTION("GOOGLETRANSLATE(A18912, ""de"", ""en"")"),"anatomy")</f>
        <v>anatomy</v>
      </c>
    </row>
    <row r="18913">
      <c r="A18913" s="1" t="s">
        <v>18912</v>
      </c>
      <c r="B18913" s="2" t="str">
        <f>IFERROR(__xludf.DUMMYFUNCTION("GOOGLETRANSLATE(A18913, ""de"", ""en"")"),"in favor")</f>
        <v>in favor</v>
      </c>
    </row>
    <row r="18914">
      <c r="A18914" s="1" t="s">
        <v>18913</v>
      </c>
      <c r="B18914" s="2" t="str">
        <f>IFERROR(__xludf.DUMMYFUNCTION("GOOGLETRANSLATE(A18914, ""de"", ""en"")"),"carmichael")</f>
        <v>carmichael</v>
      </c>
    </row>
    <row r="18915">
      <c r="A18915" s="1" t="s">
        <v>18914</v>
      </c>
      <c r="B18915" s="2" t="str">
        <f>IFERROR(__xludf.DUMMYFUNCTION("GOOGLETRANSLATE(A18915, ""de"", ""en"")"),"strictly speaking")</f>
        <v>strictly speaking</v>
      </c>
    </row>
    <row r="18916">
      <c r="A18916" s="1" t="s">
        <v>18915</v>
      </c>
      <c r="B18916" s="2" t="str">
        <f>IFERROR(__xludf.DUMMYFUNCTION("GOOGLETRANSLATE(A18916, ""de"", ""en"")"),"footage")</f>
        <v>footage</v>
      </c>
    </row>
    <row r="18917">
      <c r="A18917" s="1" t="s">
        <v>18916</v>
      </c>
      <c r="B18917" s="2" t="str">
        <f>IFERROR(__xludf.DUMMYFUNCTION("GOOGLETRANSLATE(A18917, ""de"", ""en"")"),"fronts")</f>
        <v>fronts</v>
      </c>
    </row>
    <row r="18918">
      <c r="A18918" s="1" t="s">
        <v>18917</v>
      </c>
      <c r="B18918" s="2" t="str">
        <f>IFERROR(__xludf.DUMMYFUNCTION("GOOGLETRANSLATE(A18918, ""de"", ""en"")"),"director")</f>
        <v>director</v>
      </c>
    </row>
    <row r="18919">
      <c r="A18919" s="1" t="s">
        <v>18918</v>
      </c>
      <c r="B18919" s="2" t="str">
        <f>IFERROR(__xludf.DUMMYFUNCTION("GOOGLETRANSLATE(A18919, ""de"", ""en"")"),"word")</f>
        <v>word</v>
      </c>
    </row>
    <row r="18920">
      <c r="A18920" s="1" t="s">
        <v>18919</v>
      </c>
      <c r="B18920" s="2" t="str">
        <f>IFERROR(__xludf.DUMMYFUNCTION("GOOGLETRANSLATE(A18920, ""de"", ""en"")"),"butcher")</f>
        <v>butcher</v>
      </c>
    </row>
    <row r="18921">
      <c r="A18921" s="1" t="s">
        <v>18920</v>
      </c>
      <c r="B18921" s="2" t="str">
        <f>IFERROR(__xludf.DUMMYFUNCTION("GOOGLETRANSLATE(A18921, ""de"", ""en"")"),"petty")</f>
        <v>petty</v>
      </c>
    </row>
    <row r="18922">
      <c r="A18922" s="1" t="s">
        <v>18921</v>
      </c>
      <c r="B18922" s="2" t="str">
        <f>IFERROR(__xludf.DUMMYFUNCTION("GOOGLETRANSLATE(A18922, ""de"", ""en"")"),"huggy")</f>
        <v>huggy</v>
      </c>
    </row>
    <row r="18923">
      <c r="A18923" s="1" t="s">
        <v>18922</v>
      </c>
      <c r="B18923" s="2" t="str">
        <f>IFERROR(__xludf.DUMMYFUNCTION("GOOGLETRANSLATE(A18923, ""de"", ""en"")"),"upper body")</f>
        <v>upper body</v>
      </c>
    </row>
    <row r="18924">
      <c r="A18924" s="1" t="s">
        <v>18923</v>
      </c>
      <c r="B18924" s="2" t="str">
        <f>IFERROR(__xludf.DUMMYFUNCTION("GOOGLETRANSLATE(A18924, ""de"", ""en"")"),"waterproof")</f>
        <v>waterproof</v>
      </c>
    </row>
    <row r="18925">
      <c r="A18925" s="1" t="s">
        <v>18924</v>
      </c>
      <c r="B18925" s="2" t="str">
        <f>IFERROR(__xludf.DUMMYFUNCTION("GOOGLETRANSLATE(A18925, ""de"", ""en"")"),"blackmailer")</f>
        <v>blackmailer</v>
      </c>
    </row>
    <row r="18926">
      <c r="A18926" s="1" t="s">
        <v>18925</v>
      </c>
      <c r="B18926" s="2" t="str">
        <f>IFERROR(__xludf.DUMMYFUNCTION("GOOGLETRANSLATE(A18926, ""de"", ""en"")"),"ambrose")</f>
        <v>ambrose</v>
      </c>
    </row>
    <row r="18927">
      <c r="A18927" s="1" t="s">
        <v>18926</v>
      </c>
      <c r="B18927" s="2" t="str">
        <f>IFERROR(__xludf.DUMMYFUNCTION("GOOGLETRANSLATE(A18927, ""de"", ""en"")"),"hollow")</f>
        <v>hollow</v>
      </c>
    </row>
    <row r="18928">
      <c r="A18928" s="1" t="s">
        <v>18927</v>
      </c>
      <c r="B18928" s="2" t="str">
        <f>IFERROR(__xludf.DUMMYFUNCTION("GOOGLETRANSLATE(A18928, ""de"", ""en"")"),"slowed down")</f>
        <v>slowed down</v>
      </c>
    </row>
    <row r="18929">
      <c r="A18929" s="1" t="s">
        <v>18928</v>
      </c>
      <c r="B18929" s="2" t="str">
        <f>IFERROR(__xludf.DUMMYFUNCTION("GOOGLETRANSLATE(A18929, ""de"", ""en"")"),"to come over")</f>
        <v>to come over</v>
      </c>
    </row>
    <row r="18930">
      <c r="A18930" s="1" t="s">
        <v>18929</v>
      </c>
      <c r="B18930" s="2" t="str">
        <f>IFERROR(__xludf.DUMMYFUNCTION("GOOGLETRANSLATE(A18930, ""de"", ""en"")"),"time window")</f>
        <v>time window</v>
      </c>
    </row>
    <row r="18931">
      <c r="A18931" s="1" t="s">
        <v>18930</v>
      </c>
      <c r="B18931" s="2" t="str">
        <f>IFERROR(__xludf.DUMMYFUNCTION("GOOGLETRANSLATE(A18931, ""de"", ""en"")"),"main entrance")</f>
        <v>main entrance</v>
      </c>
    </row>
    <row r="18932">
      <c r="A18932" s="1" t="s">
        <v>18931</v>
      </c>
      <c r="B18932" s="2" t="str">
        <f>IFERROR(__xludf.DUMMYFUNCTION("GOOGLETRANSLATE(A18932, ""de"", ""en"")"),"lumberjack")</f>
        <v>lumberjack</v>
      </c>
    </row>
    <row r="18933">
      <c r="A18933" s="1" t="s">
        <v>18932</v>
      </c>
      <c r="B18933" s="2" t="str">
        <f>IFERROR(__xludf.DUMMYFUNCTION("GOOGLETRANSLATE(A18933, ""de"", ""en"")"),"more anonymous")</f>
        <v>more anonymous</v>
      </c>
    </row>
    <row r="18934">
      <c r="A18934" s="1" t="s">
        <v>18933</v>
      </c>
      <c r="B18934" s="2" t="str">
        <f>IFERROR(__xludf.DUMMYFUNCTION("GOOGLETRANSLATE(A18934, ""de"", ""en"")"),"covered")</f>
        <v>covered</v>
      </c>
    </row>
    <row r="18935">
      <c r="A18935" s="1" t="s">
        <v>18934</v>
      </c>
      <c r="B18935" s="2" t="str">
        <f>IFERROR(__xludf.DUMMYFUNCTION("GOOGLETRANSLATE(A18935, ""de"", ""en"")"),"clever")</f>
        <v>clever</v>
      </c>
    </row>
    <row r="18936">
      <c r="A18936" s="1" t="s">
        <v>18935</v>
      </c>
      <c r="B18936" s="2" t="str">
        <f>IFERROR(__xludf.DUMMYFUNCTION("GOOGLETRANSLATE(A18936, ""de"", ""en"")"),"uranium")</f>
        <v>uranium</v>
      </c>
    </row>
    <row r="18937">
      <c r="A18937" s="1" t="s">
        <v>18936</v>
      </c>
      <c r="B18937" s="2" t="str">
        <f>IFERROR(__xludf.DUMMYFUNCTION("GOOGLETRANSLATE(A18937, ""de"", ""en"")"),"bracket")</f>
        <v>bracket</v>
      </c>
    </row>
    <row r="18938">
      <c r="A18938" s="1" t="s">
        <v>18937</v>
      </c>
      <c r="B18938" s="2" t="str">
        <f>IFERROR(__xludf.DUMMYFUNCTION("GOOGLETRANSLATE(A18938, ""de"", ""en"")"),"squats")</f>
        <v>squats</v>
      </c>
    </row>
    <row r="18939">
      <c r="A18939" s="1" t="s">
        <v>18938</v>
      </c>
      <c r="B18939" s="2" t="str">
        <f>IFERROR(__xludf.DUMMYFUNCTION("GOOGLETRANSLATE(A18939, ""de"", ""en"")"),"ideals")</f>
        <v>ideals</v>
      </c>
    </row>
    <row r="18940">
      <c r="A18940" s="1" t="s">
        <v>18939</v>
      </c>
      <c r="B18940" s="2" t="str">
        <f>IFERROR(__xludf.DUMMYFUNCTION("GOOGLETRANSLATE(A18940, ""de"", ""en"")"),"chun")</f>
        <v>chun</v>
      </c>
    </row>
    <row r="18941">
      <c r="A18941" s="1" t="s">
        <v>18940</v>
      </c>
      <c r="B18941" s="2" t="str">
        <f>IFERROR(__xludf.DUMMYFUNCTION("GOOGLETRANSLATE(A18941, ""de"", ""en"")"),"pin")</f>
        <v>pin</v>
      </c>
    </row>
    <row r="18942">
      <c r="A18942" s="1" t="s">
        <v>18941</v>
      </c>
      <c r="B18942" s="2" t="str">
        <f>IFERROR(__xludf.DUMMYFUNCTION("GOOGLETRANSLATE(A18942, ""de"", ""en"")"),"advances")</f>
        <v>advances</v>
      </c>
    </row>
    <row r="18943">
      <c r="A18943" s="1" t="s">
        <v>18942</v>
      </c>
      <c r="B18943" s="2" t="str">
        <f>IFERROR(__xludf.DUMMYFUNCTION("GOOGLETRANSLATE(A18943, ""de"", ""en"")"),"stunt")</f>
        <v>stunt</v>
      </c>
    </row>
    <row r="18944">
      <c r="A18944" s="1" t="s">
        <v>18943</v>
      </c>
      <c r="B18944" s="2" t="str">
        <f>IFERROR(__xludf.DUMMYFUNCTION("GOOGLETRANSLATE(A18944, ""de"", ""en"")"),"immortals")</f>
        <v>immortals</v>
      </c>
    </row>
    <row r="18945">
      <c r="A18945" s="1" t="s">
        <v>18944</v>
      </c>
      <c r="B18945" s="2" t="str">
        <f>IFERROR(__xludf.DUMMYFUNCTION("GOOGLETRANSLATE(A18945, ""de"", ""en"")"),"butters")</f>
        <v>butters</v>
      </c>
    </row>
    <row r="18946">
      <c r="A18946" s="1" t="s">
        <v>18945</v>
      </c>
      <c r="B18946" s="2" t="str">
        <f>IFERROR(__xludf.DUMMYFUNCTION("GOOGLETRANSLATE(A18946, ""de"", ""en"")"),"scrub")</f>
        <v>scrub</v>
      </c>
    </row>
    <row r="18947">
      <c r="A18947" s="1" t="s">
        <v>18946</v>
      </c>
      <c r="B18947" s="2" t="str">
        <f>IFERROR(__xludf.DUMMYFUNCTION("GOOGLETRANSLATE(A18947, ""de"", ""en"")"),"ID")</f>
        <v>ID</v>
      </c>
    </row>
    <row r="18948">
      <c r="A18948" s="1" t="s">
        <v>18947</v>
      </c>
      <c r="B18948" s="2" t="str">
        <f>IFERROR(__xludf.DUMMYFUNCTION("GOOGLETRANSLATE(A18948, ""de"", ""en"")"),"keep playing")</f>
        <v>keep playing</v>
      </c>
    </row>
    <row r="18949">
      <c r="A18949" s="1" t="s">
        <v>18948</v>
      </c>
      <c r="B18949" s="2" t="str">
        <f>IFERROR(__xludf.DUMMYFUNCTION("GOOGLETRANSLATE(A18949, ""de"", ""en"")"),"storm")</f>
        <v>storm</v>
      </c>
    </row>
    <row r="18950">
      <c r="A18950" s="1" t="s">
        <v>18949</v>
      </c>
      <c r="B18950" s="2" t="str">
        <f>IFERROR(__xludf.DUMMYFUNCTION("GOOGLETRANSLATE(A18950, ""de"", ""en"")"),"sarahs")</f>
        <v>sarahs</v>
      </c>
    </row>
    <row r="18951">
      <c r="A18951" s="1" t="s">
        <v>18950</v>
      </c>
      <c r="B18951" s="2" t="str">
        <f>IFERROR(__xludf.DUMMYFUNCTION("GOOGLETRANSLATE(A18951, ""de"", ""en"")"),"dancers")</f>
        <v>dancers</v>
      </c>
    </row>
    <row r="18952">
      <c r="A18952" s="1" t="s">
        <v>18951</v>
      </c>
      <c r="B18952" s="2" t="str">
        <f>IFERROR(__xludf.DUMMYFUNCTION("GOOGLETRANSLATE(A18952, ""de"", ""en"")"),"Tibet")</f>
        <v>Tibet</v>
      </c>
    </row>
    <row r="18953">
      <c r="A18953" s="1" t="s">
        <v>18952</v>
      </c>
      <c r="B18953" s="2" t="str">
        <f>IFERROR(__xludf.DUMMYFUNCTION("GOOGLETRANSLATE(A18953, ""de"", ""en"")"),"eighteen")</f>
        <v>eighteen</v>
      </c>
    </row>
    <row r="18954">
      <c r="A18954" s="1" t="s">
        <v>18953</v>
      </c>
      <c r="B18954" s="2" t="str">
        <f>IFERROR(__xludf.DUMMYFUNCTION("GOOGLETRANSLATE(A18954, ""de"", ""en"")"),"suitable")</f>
        <v>suitable</v>
      </c>
    </row>
    <row r="18955">
      <c r="A18955" s="1" t="s">
        <v>18954</v>
      </c>
      <c r="B18955" s="2" t="str">
        <f>IFERROR(__xludf.DUMMYFUNCTION("GOOGLETRANSLATE(A18955, ""de"", ""en"")"),"chief of staff")</f>
        <v>chief of staff</v>
      </c>
    </row>
    <row r="18956">
      <c r="A18956" s="1" t="s">
        <v>18955</v>
      </c>
      <c r="B18956" s="2" t="str">
        <f>IFERROR(__xludf.DUMMYFUNCTION("GOOGLETRANSLATE(A18956, ""de"", ""en"")"),"Fabian")</f>
        <v>Fabian</v>
      </c>
    </row>
    <row r="18957">
      <c r="A18957" s="1" t="s">
        <v>18956</v>
      </c>
      <c r="B18957" s="2" t="str">
        <f>IFERROR(__xludf.DUMMYFUNCTION("GOOGLETRANSLATE(A18957, ""de"", ""en"")"),"swimming pool")</f>
        <v>swimming pool</v>
      </c>
    </row>
    <row r="18958">
      <c r="A18958" s="1" t="s">
        <v>18957</v>
      </c>
      <c r="B18958" s="2" t="str">
        <f>IFERROR(__xludf.DUMMYFUNCTION("GOOGLETRANSLATE(A18958, ""de"", ""en"")"),"princess")</f>
        <v>princess</v>
      </c>
    </row>
    <row r="18959">
      <c r="A18959" s="1" t="s">
        <v>18958</v>
      </c>
      <c r="B18959" s="2" t="str">
        <f>IFERROR(__xludf.DUMMYFUNCTION("GOOGLETRANSLATE(A18959, ""de"", ""en"")"),"convince")</f>
        <v>convince</v>
      </c>
    </row>
    <row r="18960">
      <c r="A18960" s="1" t="s">
        <v>18959</v>
      </c>
      <c r="B18960" s="2" t="str">
        <f>IFERROR(__xludf.DUMMYFUNCTION("GOOGLETRANSLATE(A18960, ""de"", ""en"")"),"rained")</f>
        <v>rained</v>
      </c>
    </row>
    <row r="18961">
      <c r="A18961" s="1" t="s">
        <v>18960</v>
      </c>
      <c r="B18961" s="2" t="str">
        <f>IFERROR(__xludf.DUMMYFUNCTION("GOOGLETRANSLATE(A18961, ""de"", ""en"")"),"cleared out")</f>
        <v>cleared out</v>
      </c>
    </row>
    <row r="18962">
      <c r="A18962" s="1" t="s">
        <v>18961</v>
      </c>
      <c r="B18962" s="2" t="str">
        <f>IFERROR(__xludf.DUMMYFUNCTION("GOOGLETRANSLATE(A18962, ""de"", ""en"")"),"infusion")</f>
        <v>infusion</v>
      </c>
    </row>
    <row r="18963">
      <c r="A18963" s="1" t="s">
        <v>18962</v>
      </c>
      <c r="B18963" s="2" t="str">
        <f>IFERROR(__xludf.DUMMYFUNCTION("GOOGLETRANSLATE(A18963, ""de"", ""en"")"),"showcase")</f>
        <v>showcase</v>
      </c>
    </row>
    <row r="18964">
      <c r="A18964" s="1" t="s">
        <v>18963</v>
      </c>
      <c r="B18964" s="2" t="str">
        <f>IFERROR(__xludf.DUMMYFUNCTION("GOOGLETRANSLATE(A18964, ""de"", ""en"")"),"hostility")</f>
        <v>hostility</v>
      </c>
    </row>
    <row r="18965">
      <c r="A18965" s="1" t="s">
        <v>18964</v>
      </c>
      <c r="B18965" s="2" t="str">
        <f>IFERROR(__xludf.DUMMYFUNCTION("GOOGLETRANSLATE(A18965, ""de"", ""en"")"),"call")</f>
        <v>call</v>
      </c>
    </row>
    <row r="18966">
      <c r="A18966" s="1" t="s">
        <v>18965</v>
      </c>
      <c r="B18966" s="2" t="str">
        <f>IFERROR(__xludf.DUMMYFUNCTION("GOOGLETRANSLATE(A18966, ""de"", ""en"")"),"violent")</f>
        <v>violent</v>
      </c>
    </row>
    <row r="18967">
      <c r="A18967" s="1" t="s">
        <v>18966</v>
      </c>
      <c r="B18967" s="2" t="str">
        <f>IFERROR(__xludf.DUMMYFUNCTION("GOOGLETRANSLATE(A18967, ""de"", ""en"")"),"chimpanzees")</f>
        <v>chimpanzees</v>
      </c>
    </row>
    <row r="18968">
      <c r="A18968" s="1" t="s">
        <v>18967</v>
      </c>
      <c r="B18968" s="2" t="str">
        <f>IFERROR(__xludf.DUMMYFUNCTION("GOOGLETRANSLATE(A18968, ""de"", ""en"")"),"e-mail")</f>
        <v>e-mail</v>
      </c>
    </row>
    <row r="18969">
      <c r="A18969" s="1" t="s">
        <v>18968</v>
      </c>
      <c r="B18969" s="2" t="str">
        <f>IFERROR(__xludf.DUMMYFUNCTION("GOOGLETRANSLATE(A18969, ""de"", ""en"")"),"perform")</f>
        <v>perform</v>
      </c>
    </row>
    <row r="18970">
      <c r="A18970" s="1" t="s">
        <v>18969</v>
      </c>
      <c r="B18970" s="2" t="str">
        <f>IFERROR(__xludf.DUMMYFUNCTION("GOOGLETRANSLATE(A18970, ""de"", ""en"")"),"stays")</f>
        <v>stays</v>
      </c>
    </row>
    <row r="18971">
      <c r="A18971" s="1" t="s">
        <v>18970</v>
      </c>
      <c r="B18971" s="2" t="str">
        <f>IFERROR(__xludf.DUMMYFUNCTION("GOOGLETRANSLATE(A18971, ""de"", ""en"")"),"science")</f>
        <v>science</v>
      </c>
    </row>
    <row r="18972">
      <c r="A18972" s="1" t="s">
        <v>18971</v>
      </c>
      <c r="B18972" s="2" t="str">
        <f>IFERROR(__xludf.DUMMYFUNCTION("GOOGLETRANSLATE(A18972, ""de"", ""en"")"),"steps")</f>
        <v>steps</v>
      </c>
    </row>
    <row r="18973">
      <c r="A18973" s="1" t="s">
        <v>18972</v>
      </c>
      <c r="B18973" s="2" t="str">
        <f>IFERROR(__xludf.DUMMYFUNCTION("GOOGLETRANSLATE(A18973, ""de"", ""en"")"),"conditional")</f>
        <v>conditional</v>
      </c>
    </row>
    <row r="18974">
      <c r="A18974" s="1" t="s">
        <v>18973</v>
      </c>
      <c r="B18974" s="2" t="str">
        <f>IFERROR(__xludf.DUMMYFUNCTION("GOOGLETRANSLATE(A18974, ""de"", ""en"")"),"outdated")</f>
        <v>outdated</v>
      </c>
    </row>
    <row r="18975">
      <c r="A18975" s="1" t="s">
        <v>18974</v>
      </c>
      <c r="B18975" s="2" t="str">
        <f>IFERROR(__xludf.DUMMYFUNCTION("GOOGLETRANSLATE(A18975, ""de"", ""en"")"),"browner")</f>
        <v>browner</v>
      </c>
    </row>
    <row r="18976">
      <c r="A18976" s="1" t="s">
        <v>18975</v>
      </c>
      <c r="B18976" s="2" t="str">
        <f>IFERROR(__xludf.DUMMYFUNCTION("GOOGLETRANSLATE(A18976, ""de"", ""en"")"),"undergo")</f>
        <v>undergo</v>
      </c>
    </row>
    <row r="18977">
      <c r="A18977" s="1" t="s">
        <v>18976</v>
      </c>
      <c r="B18977" s="2" t="str">
        <f>IFERROR(__xludf.DUMMYFUNCTION("GOOGLETRANSLATE(A18977, ""de"", ""en"")"),"capitol")</f>
        <v>capitol</v>
      </c>
    </row>
    <row r="18978">
      <c r="A18978" s="1" t="s">
        <v>18977</v>
      </c>
      <c r="B18978" s="2" t="str">
        <f>IFERROR(__xludf.DUMMYFUNCTION("GOOGLETRANSLATE(A18978, ""de"", ""en"")"),"garak")</f>
        <v>garak</v>
      </c>
    </row>
    <row r="18979">
      <c r="A18979" s="1" t="s">
        <v>18978</v>
      </c>
      <c r="B18979" s="2" t="str">
        <f>IFERROR(__xludf.DUMMYFUNCTION("GOOGLETRANSLATE(A18979, ""de"", ""en"")"),"terrifying")</f>
        <v>terrifying</v>
      </c>
    </row>
    <row r="18980">
      <c r="A18980" s="1" t="s">
        <v>18979</v>
      </c>
      <c r="B18980" s="2" t="str">
        <f>IFERROR(__xludf.DUMMYFUNCTION("GOOGLETRANSLATE(A18980, ""de"", ""en"")"),"read")</f>
        <v>read</v>
      </c>
    </row>
    <row r="18981">
      <c r="A18981" s="1" t="s">
        <v>18980</v>
      </c>
      <c r="B18981" s="2" t="str">
        <f>IFERROR(__xludf.DUMMYFUNCTION("GOOGLETRANSLATE(A18981, ""de"", ""en"")"),"tk")</f>
        <v>tk</v>
      </c>
    </row>
    <row r="18982">
      <c r="A18982" s="1" t="s">
        <v>18981</v>
      </c>
      <c r="B18982" s="2" t="str">
        <f>IFERROR(__xludf.DUMMYFUNCTION("GOOGLETRANSLATE(A18982, ""de"", ""en"")"),"tungsten")</f>
        <v>tungsten</v>
      </c>
    </row>
    <row r="18983">
      <c r="A18983" s="1" t="s">
        <v>18982</v>
      </c>
      <c r="B18983" s="2" t="str">
        <f>IFERROR(__xludf.DUMMYFUNCTION("GOOGLETRANSLATE(A18983, ""de"", ""en"")"),"clear")</f>
        <v>clear</v>
      </c>
    </row>
    <row r="18984">
      <c r="A18984" s="1" t="s">
        <v>18983</v>
      </c>
      <c r="B18984" s="2" t="str">
        <f>IFERROR(__xludf.DUMMYFUNCTION("GOOGLETRANSLATE(A18984, ""de"", ""en"")"),"burglaries")</f>
        <v>burglaries</v>
      </c>
    </row>
    <row r="18985">
      <c r="A18985" s="1" t="s">
        <v>18984</v>
      </c>
      <c r="B18985" s="2" t="str">
        <f>IFERROR(__xludf.DUMMYFUNCTION("GOOGLETRANSLATE(A18985, ""de"", ""en"")"),"gorillas")</f>
        <v>gorillas</v>
      </c>
    </row>
    <row r="18986">
      <c r="A18986" s="1" t="s">
        <v>18985</v>
      </c>
      <c r="B18986" s="2" t="str">
        <f>IFERROR(__xludf.DUMMYFUNCTION("GOOGLETRANSLATE(A18986, ""de"", ""en"")"),"fields.fields")</f>
        <v>fields.fields</v>
      </c>
    </row>
    <row r="18987">
      <c r="A18987" s="1" t="s">
        <v>18986</v>
      </c>
      <c r="B18987" s="2" t="str">
        <f>IFERROR(__xludf.DUMMYFUNCTION("GOOGLETRANSLATE(A18987, ""de"", ""en"")"),"ignite")</f>
        <v>ignite</v>
      </c>
    </row>
    <row r="18988">
      <c r="A18988" s="1" t="s">
        <v>18987</v>
      </c>
      <c r="B18988" s="2" t="str">
        <f>IFERROR(__xludf.DUMMYFUNCTION("GOOGLETRANSLATE(A18988, ""de"", ""en"")"),"brown")</f>
        <v>brown</v>
      </c>
    </row>
    <row r="18989">
      <c r="A18989" s="1" t="s">
        <v>18988</v>
      </c>
      <c r="B18989" s="2" t="str">
        <f>IFERROR(__xludf.DUMMYFUNCTION("GOOGLETRANSLATE(A18989, ""de"", ""en"")"),"albuquerque")</f>
        <v>albuquerque</v>
      </c>
    </row>
    <row r="18990">
      <c r="A18990" s="1" t="s">
        <v>18989</v>
      </c>
      <c r="B18990" s="2" t="str">
        <f>IFERROR(__xludf.DUMMYFUNCTION("GOOGLETRANSLATE(A18990, ""de"", ""en"")"),"escape")</f>
        <v>escape</v>
      </c>
    </row>
    <row r="18991">
      <c r="A18991" s="1" t="s">
        <v>18990</v>
      </c>
      <c r="B18991" s="2" t="str">
        <f>IFERROR(__xludf.DUMMYFUNCTION("GOOGLETRANSLATE(A18991, ""de"", ""en"")"),"plaintiff")</f>
        <v>plaintiff</v>
      </c>
    </row>
    <row r="18992">
      <c r="A18992" s="1" t="s">
        <v>18991</v>
      </c>
      <c r="B18992" s="2" t="str">
        <f>IFERROR(__xludf.DUMMYFUNCTION("GOOGLETRANSLATE(A18992, ""de"", ""en"")"),"stir")</f>
        <v>stir</v>
      </c>
    </row>
    <row r="18993">
      <c r="A18993" s="1" t="s">
        <v>18992</v>
      </c>
      <c r="B18993" s="2" t="str">
        <f>IFERROR(__xludf.DUMMYFUNCTION("GOOGLETRANSLATE(A18993, ""de"", ""en"")"),"ethics")</f>
        <v>ethics</v>
      </c>
    </row>
    <row r="18994">
      <c r="A18994" s="1" t="s">
        <v>18993</v>
      </c>
      <c r="B18994" s="2" t="str">
        <f>IFERROR(__xludf.DUMMYFUNCTION("GOOGLETRANSLATE(A18994, ""de"", ""en"")"),"intent")</f>
        <v>intent</v>
      </c>
    </row>
    <row r="18995">
      <c r="A18995" s="1" t="s">
        <v>18994</v>
      </c>
      <c r="B18995" s="2" t="str">
        <f>IFERROR(__xludf.DUMMYFUNCTION("GOOGLETRANSLATE(A18995, ""de"", ""en"")"),"cultivated")</f>
        <v>cultivated</v>
      </c>
    </row>
    <row r="18996">
      <c r="A18996" s="1" t="s">
        <v>18995</v>
      </c>
      <c r="B18996" s="2" t="str">
        <f>IFERROR(__xludf.DUMMYFUNCTION("GOOGLETRANSLATE(A18996, ""de"", ""en"")"),"Penn")</f>
        <v>Penn</v>
      </c>
    </row>
    <row r="18997">
      <c r="A18997" s="1" t="s">
        <v>18996</v>
      </c>
      <c r="B18997" s="2" t="str">
        <f>IFERROR(__xludf.DUMMYFUNCTION("GOOGLETRANSLATE(A18997, ""de"", ""en"")"),"sheep")</f>
        <v>sheep</v>
      </c>
    </row>
    <row r="18998">
      <c r="A18998" s="1" t="s">
        <v>18997</v>
      </c>
      <c r="B18998" s="2" t="str">
        <f>IFERROR(__xludf.DUMMYFUNCTION("GOOGLETRANSLATE(A18998, ""de"", ""en"")"),"psychiatric")</f>
        <v>psychiatric</v>
      </c>
    </row>
    <row r="18999">
      <c r="A18999" s="1" t="s">
        <v>18998</v>
      </c>
      <c r="B18999" s="2" t="str">
        <f>IFERROR(__xludf.DUMMYFUNCTION("GOOGLETRANSLATE(A18999, ""de"", ""en"")"),"fly")</f>
        <v>fly</v>
      </c>
    </row>
    <row r="19000">
      <c r="A19000" s="1" t="s">
        <v>18999</v>
      </c>
      <c r="B19000" s="2" t="str">
        <f>IFERROR(__xludf.DUMMYFUNCTION("GOOGLETRANSLATE(A19000, ""de"", ""en"")"),"enough")</f>
        <v>enough</v>
      </c>
    </row>
    <row r="19001">
      <c r="A19001" s="1" t="s">
        <v>19000</v>
      </c>
      <c r="B19001" s="2" t="str">
        <f>IFERROR(__xludf.DUMMYFUNCTION("GOOGLETRANSLATE(A19001, ""de"", ""en"")"),"wings")</f>
        <v>wings</v>
      </c>
    </row>
    <row r="19002">
      <c r="A19002" s="1" t="s">
        <v>19001</v>
      </c>
      <c r="B19002" s="2" t="str">
        <f>IFERROR(__xludf.DUMMYFUNCTION("GOOGLETRANSLATE(A19002, ""de"", ""en"")"),"walk")</f>
        <v>walk</v>
      </c>
    </row>
    <row r="19003">
      <c r="A19003" s="1" t="s">
        <v>19002</v>
      </c>
      <c r="B19003" s="2" t="str">
        <f>IFERROR(__xludf.DUMMYFUNCTION("GOOGLETRANSLATE(A19003, ""de"", ""en"")"),"marketplace")</f>
        <v>marketplace</v>
      </c>
    </row>
    <row r="19004">
      <c r="A19004" s="1" t="s">
        <v>19003</v>
      </c>
      <c r="B19004" s="2" t="str">
        <f>IFERROR(__xludf.DUMMYFUNCTION("GOOGLETRANSLATE(A19004, ""de"", ""en"")"),"unthinkable")</f>
        <v>unthinkable</v>
      </c>
    </row>
    <row r="19005">
      <c r="A19005" s="1" t="s">
        <v>19004</v>
      </c>
      <c r="B19005" s="2" t="str">
        <f>IFERROR(__xludf.DUMMYFUNCTION("GOOGLETRANSLATE(A19005, ""de"", ""en"")"),"entered")</f>
        <v>entered</v>
      </c>
    </row>
    <row r="19006">
      <c r="A19006" s="1" t="s">
        <v>19005</v>
      </c>
      <c r="B19006" s="2" t="str">
        <f>IFERROR(__xludf.DUMMYFUNCTION("GOOGLETRANSLATE(A19006, ""de"", ""en"")"),"beheaded")</f>
        <v>beheaded</v>
      </c>
    </row>
    <row r="19007">
      <c r="A19007" s="1" t="s">
        <v>19006</v>
      </c>
      <c r="B19007" s="2" t="str">
        <f>IFERROR(__xludf.DUMMYFUNCTION("GOOGLETRANSLATE(A19007, ""de"", ""en"")"),"heroic deeds")</f>
        <v>heroic deeds</v>
      </c>
    </row>
    <row r="19008">
      <c r="A19008" s="1" t="s">
        <v>19007</v>
      </c>
      <c r="B19008" s="2" t="str">
        <f>IFERROR(__xludf.DUMMYFUNCTION("GOOGLETRANSLATE(A19008, ""de"", ""en"")"),"campaign")</f>
        <v>campaign</v>
      </c>
    </row>
    <row r="19009">
      <c r="A19009" s="1" t="s">
        <v>19008</v>
      </c>
      <c r="B19009" s="2" t="str">
        <f>IFERROR(__xludf.DUMMYFUNCTION("GOOGLETRANSLATE(A19009, ""de"", ""en"")"),"virtues")</f>
        <v>virtues</v>
      </c>
    </row>
    <row r="19010">
      <c r="A19010" s="1" t="s">
        <v>19009</v>
      </c>
      <c r="B19010" s="2" t="str">
        <f>IFERROR(__xludf.DUMMYFUNCTION("GOOGLETRANSLATE(A19010, ""de"", ""en"")"),"fruitful")</f>
        <v>fruitful</v>
      </c>
    </row>
    <row r="19011">
      <c r="A19011" s="1" t="s">
        <v>19010</v>
      </c>
      <c r="B19011" s="2" t="str">
        <f>IFERROR(__xludf.DUMMYFUNCTION("GOOGLETRANSLATE(A19011, ""de"", ""en"")"),"Cain")</f>
        <v>Cain</v>
      </c>
    </row>
    <row r="19012">
      <c r="A19012" s="1" t="s">
        <v>19011</v>
      </c>
      <c r="B19012" s="2" t="str">
        <f>IFERROR(__xludf.DUMMYFUNCTION("GOOGLETRANSLATE(A19012, ""de"", ""en"")"),"serial number")</f>
        <v>serial number</v>
      </c>
    </row>
    <row r="19013">
      <c r="A19013" s="1" t="s">
        <v>19012</v>
      </c>
      <c r="B19013" s="2" t="str">
        <f>IFERROR(__xludf.DUMMYFUNCTION("GOOGLETRANSLATE(A19013, ""de"", ""en"")"),"color")</f>
        <v>color</v>
      </c>
    </row>
    <row r="19014">
      <c r="A19014" s="1" t="s">
        <v>19013</v>
      </c>
      <c r="B19014" s="2" t="str">
        <f>IFERROR(__xludf.DUMMYFUNCTION("GOOGLETRANSLATE(A19014, ""de"", ""en"")"),"claps")</f>
        <v>claps</v>
      </c>
    </row>
    <row r="19015">
      <c r="A19015" s="1" t="s">
        <v>19014</v>
      </c>
      <c r="B19015" s="2" t="str">
        <f>IFERROR(__xludf.DUMMYFUNCTION("GOOGLETRANSLATE(A19015, ""de"", ""en"")"),"conversations")</f>
        <v>conversations</v>
      </c>
    </row>
    <row r="19016">
      <c r="A19016" s="1" t="s">
        <v>19015</v>
      </c>
      <c r="B19016" s="2" t="str">
        <f>IFERROR(__xludf.DUMMYFUNCTION("GOOGLETRANSLATE(A19016, ""de"", ""en"")"),"buckley")</f>
        <v>buckley</v>
      </c>
    </row>
    <row r="19017">
      <c r="A19017" s="1" t="s">
        <v>19016</v>
      </c>
      <c r="B19017" s="2" t="str">
        <f>IFERROR(__xludf.DUMMYFUNCTION("GOOGLETRANSLATE(A19017, ""de"", ""en"")"),"breaks out")</f>
        <v>breaks out</v>
      </c>
    </row>
    <row r="19018">
      <c r="A19018" s="1" t="s">
        <v>19017</v>
      </c>
      <c r="B19018" s="2" t="str">
        <f>IFERROR(__xludf.DUMMYFUNCTION("GOOGLETRANSLATE(A19018, ""de"", ""en"")"),"convict")</f>
        <v>convict</v>
      </c>
    </row>
    <row r="19019">
      <c r="A19019" s="1" t="s">
        <v>19018</v>
      </c>
      <c r="B19019" s="2" t="str">
        <f>IFERROR(__xludf.DUMMYFUNCTION("GOOGLETRANSLATE(A19019, ""de"", ""en"")"),"contact person")</f>
        <v>contact person</v>
      </c>
    </row>
    <row r="19020">
      <c r="A19020" s="1" t="s">
        <v>19019</v>
      </c>
      <c r="B19020" s="2" t="str">
        <f>IFERROR(__xludf.DUMMYFUNCTION("GOOGLETRANSLATE(A19020, ""de"", ""en"")"),"ludo")</f>
        <v>ludo</v>
      </c>
    </row>
    <row r="19021">
      <c r="A19021" s="1" t="s">
        <v>19020</v>
      </c>
      <c r="B19021" s="2" t="str">
        <f>IFERROR(__xludf.DUMMYFUNCTION("GOOGLETRANSLATE(A19021, ""de"", ""en"")"),"trump")</f>
        <v>trump</v>
      </c>
    </row>
    <row r="19022">
      <c r="A19022" s="1" t="s">
        <v>19021</v>
      </c>
      <c r="B19022" s="2" t="str">
        <f>IFERROR(__xludf.DUMMYFUNCTION("GOOGLETRANSLATE(A19022, ""de"", ""en"")"),"quarrels")</f>
        <v>quarrels</v>
      </c>
    </row>
    <row r="19023">
      <c r="A19023" s="1" t="s">
        <v>19022</v>
      </c>
      <c r="B19023" s="2" t="str">
        <f>IFERROR(__xludf.DUMMYFUNCTION("GOOGLETRANSLATE(A19023, ""de"", ""en"")"),"Barker")</f>
        <v>Barker</v>
      </c>
    </row>
    <row r="19024">
      <c r="A19024" s="1" t="s">
        <v>19023</v>
      </c>
      <c r="B19024" s="2" t="str">
        <f>IFERROR(__xludf.DUMMYFUNCTION("GOOGLETRANSLATE(A19024, ""de"", ""en"")"),"protective shield")</f>
        <v>protective shield</v>
      </c>
    </row>
    <row r="19025">
      <c r="A19025" s="1" t="s">
        <v>19024</v>
      </c>
      <c r="B19025" s="2" t="str">
        <f>IFERROR(__xludf.DUMMYFUNCTION("GOOGLETRANSLATE(A19025, ""de"", ""en"")"),"more lively")</f>
        <v>more lively</v>
      </c>
    </row>
    <row r="19026">
      <c r="A19026" s="1" t="s">
        <v>19025</v>
      </c>
      <c r="B19026" s="2" t="str">
        <f>IFERROR(__xludf.DUMMYFUNCTION("GOOGLETRANSLATE(A19026, ""de"", ""en"")"),"revision")</f>
        <v>revision</v>
      </c>
    </row>
    <row r="19027">
      <c r="A19027" s="1" t="s">
        <v>19026</v>
      </c>
      <c r="B19027" s="2" t="str">
        <f>IFERROR(__xludf.DUMMYFUNCTION("GOOGLETRANSLATE(A19027, ""de"", ""en"")"),"paint")</f>
        <v>paint</v>
      </c>
    </row>
    <row r="19028">
      <c r="A19028" s="1" t="s">
        <v>19027</v>
      </c>
      <c r="B19028" s="2" t="str">
        <f>IFERROR(__xludf.DUMMYFUNCTION("GOOGLETRANSLATE(A19028, ""de"", ""en"")"),"half")</f>
        <v>half</v>
      </c>
    </row>
    <row r="19029">
      <c r="A19029" s="1" t="s">
        <v>19028</v>
      </c>
      <c r="B19029" s="2" t="str">
        <f>IFERROR(__xludf.DUMMYFUNCTION("GOOGLETRANSLATE(A19029, ""de"", ""en"")"),"march")</f>
        <v>march</v>
      </c>
    </row>
    <row r="19030">
      <c r="A19030" s="1" t="s">
        <v>19029</v>
      </c>
      <c r="B19030" s="2" t="str">
        <f>IFERROR(__xludf.DUMMYFUNCTION("GOOGLETRANSLATE(A19030, ""de"", ""en"")"),"learn")</f>
        <v>learn</v>
      </c>
    </row>
    <row r="19031">
      <c r="A19031" s="1" t="s">
        <v>19030</v>
      </c>
      <c r="B19031" s="2" t="str">
        <f>IFERROR(__xludf.DUMMYFUNCTION("GOOGLETRANSLATE(A19031, ""de"", ""en"")"),"frivolously")</f>
        <v>frivolously</v>
      </c>
    </row>
    <row r="19032">
      <c r="A19032" s="1" t="s">
        <v>19031</v>
      </c>
      <c r="B19032" s="2" t="str">
        <f>IFERROR(__xludf.DUMMYFUNCTION("GOOGLETRANSLATE(A19032, ""de"", ""en"")"),"praised")</f>
        <v>praised</v>
      </c>
    </row>
    <row r="19033">
      <c r="A19033" s="1" t="s">
        <v>19032</v>
      </c>
      <c r="B19033" s="2" t="str">
        <f>IFERROR(__xludf.DUMMYFUNCTION("GOOGLETRANSLATE(A19033, ""de"", ""en"")"),"Polish")</f>
        <v>Polish</v>
      </c>
    </row>
    <row r="19034">
      <c r="A19034" s="1" t="s">
        <v>19033</v>
      </c>
      <c r="B19034" s="2" t="str">
        <f>IFERROR(__xludf.DUMMYFUNCTION("GOOGLETRANSLATE(A19034, ""de"", ""en"")"),"rhys")</f>
        <v>rhys</v>
      </c>
    </row>
    <row r="19035">
      <c r="A19035" s="1" t="s">
        <v>19034</v>
      </c>
      <c r="B19035" s="2" t="str">
        <f>IFERROR(__xludf.DUMMYFUNCTION("GOOGLETRANSLATE(A19035, ""de"", ""en"")"),"as quickly as possible")</f>
        <v>as quickly as possible</v>
      </c>
    </row>
    <row r="19036">
      <c r="A19036" s="1" t="s">
        <v>19035</v>
      </c>
      <c r="B19036" s="2" t="str">
        <f>IFERROR(__xludf.DUMMYFUNCTION("GOOGLETRANSLATE(A19036, ""de"", ""en"")"),"scout")</f>
        <v>scout</v>
      </c>
    </row>
    <row r="19037">
      <c r="A19037" s="1" t="s">
        <v>19036</v>
      </c>
      <c r="B19037" s="2" t="str">
        <f>IFERROR(__xludf.DUMMYFUNCTION("GOOGLETRANSLATE(A19037, ""de"", ""en"")"),"radiant")</f>
        <v>radiant</v>
      </c>
    </row>
    <row r="19038">
      <c r="A19038" s="1" t="s">
        <v>19037</v>
      </c>
      <c r="B19038" s="2" t="str">
        <f>IFERROR(__xludf.DUMMYFUNCTION("GOOGLETRANSLATE(A19038, ""de"", ""en"")"),"cartridge")</f>
        <v>cartridge</v>
      </c>
    </row>
    <row r="19039">
      <c r="A19039" s="1" t="s">
        <v>19038</v>
      </c>
      <c r="B19039" s="2" t="str">
        <f>IFERROR(__xludf.DUMMYFUNCTION("GOOGLETRANSLATE(A19039, ""de"", ""en"")"),"informed")</f>
        <v>informed</v>
      </c>
    </row>
    <row r="19040">
      <c r="A19040" s="1" t="s">
        <v>19039</v>
      </c>
      <c r="B19040" s="2" t="str">
        <f>IFERROR(__xludf.DUMMYFUNCTION("GOOGLETRANSLATE(A19040, ""de"", ""en"")"),"eager")</f>
        <v>eager</v>
      </c>
    </row>
    <row r="19041">
      <c r="A19041" s="1" t="s">
        <v>19040</v>
      </c>
      <c r="B19041" s="2" t="str">
        <f>IFERROR(__xludf.DUMMYFUNCTION("GOOGLETRANSLATE(A19041, ""de"", ""en"")"),"imprisoned")</f>
        <v>imprisoned</v>
      </c>
    </row>
    <row r="19042">
      <c r="A19042" s="1" t="s">
        <v>19041</v>
      </c>
      <c r="B19042" s="2" t="str">
        <f>IFERROR(__xludf.DUMMYFUNCTION("GOOGLETRANSLATE(A19042, ""de"", ""en"")"),"picked up")</f>
        <v>picked up</v>
      </c>
    </row>
    <row r="19043">
      <c r="A19043" s="1" t="s">
        <v>19042</v>
      </c>
      <c r="B19043" s="2" t="str">
        <f>IFERROR(__xludf.DUMMYFUNCTION("GOOGLETRANSLATE(A19043, ""de"", ""en"")"),"forbidden")</f>
        <v>forbidden</v>
      </c>
    </row>
    <row r="19044">
      <c r="A19044" s="1" t="s">
        <v>19043</v>
      </c>
      <c r="B19044" s="2" t="str">
        <f>IFERROR(__xludf.DUMMYFUNCTION("GOOGLETRANSLATE(A19044, ""de"", ""en"")"),"delicate")</f>
        <v>delicate</v>
      </c>
    </row>
    <row r="19045">
      <c r="A19045" s="1" t="s">
        <v>19044</v>
      </c>
      <c r="B19045" s="2" t="str">
        <f>IFERROR(__xludf.DUMMYFUNCTION("GOOGLETRANSLATE(A19045, ""de"", ""en"")"),"misses")</f>
        <v>misses</v>
      </c>
    </row>
    <row r="19046">
      <c r="A19046" s="1" t="s">
        <v>19045</v>
      </c>
      <c r="B19046" s="2" t="str">
        <f>IFERROR(__xludf.DUMMYFUNCTION("GOOGLETRANSLATE(A19046, ""de"", ""en"")"),"nuclear")</f>
        <v>nuclear</v>
      </c>
    </row>
    <row r="19047">
      <c r="A19047" s="1" t="s">
        <v>19046</v>
      </c>
      <c r="B19047" s="2" t="str">
        <f>IFERROR(__xludf.DUMMYFUNCTION("GOOGLETRANSLATE(A19047, ""de"", ""en"")"),"silva")</f>
        <v>silva</v>
      </c>
    </row>
    <row r="19048">
      <c r="A19048" s="1" t="s">
        <v>19047</v>
      </c>
      <c r="B19048" s="2" t="str">
        <f>IFERROR(__xludf.DUMMYFUNCTION("GOOGLETRANSLATE(A19048, ""de"", ""en"")"),"warning")</f>
        <v>warning</v>
      </c>
    </row>
    <row r="19049">
      <c r="A19049" s="1" t="s">
        <v>19048</v>
      </c>
      <c r="B19049" s="2" t="str">
        <f>IFERROR(__xludf.DUMMYFUNCTION("GOOGLETRANSLATE(A19049, ""de"", ""en"")"),"evidence")</f>
        <v>evidence</v>
      </c>
    </row>
    <row r="19050">
      <c r="A19050" s="1" t="s">
        <v>19049</v>
      </c>
      <c r="B19050" s="2" t="str">
        <f>IFERROR(__xludf.DUMMYFUNCTION("GOOGLETRANSLATE(A19050, ""de"", ""en"")"),"Dougie")</f>
        <v>Dougie</v>
      </c>
    </row>
    <row r="19051">
      <c r="A19051" s="1" t="s">
        <v>19050</v>
      </c>
      <c r="B19051" s="2" t="str">
        <f>IFERROR(__xludf.DUMMYFUNCTION("GOOGLETRANSLATE(A19051, ""de"", ""en"")"),"this includes")</f>
        <v>this includes</v>
      </c>
    </row>
    <row r="19052">
      <c r="A19052" s="1" t="s">
        <v>19051</v>
      </c>
      <c r="B19052" s="2" t="str">
        <f>IFERROR(__xludf.DUMMYFUNCTION("GOOGLETRANSLATE(A19052, ""de"", ""en"")"),"marketing")</f>
        <v>marketing</v>
      </c>
    </row>
    <row r="19053">
      <c r="A19053" s="1" t="s">
        <v>19052</v>
      </c>
      <c r="B19053" s="2" t="str">
        <f>IFERROR(__xludf.DUMMYFUNCTION("GOOGLETRANSLATE(A19053, ""de"", ""en"")"),"density")</f>
        <v>density</v>
      </c>
    </row>
    <row r="19054">
      <c r="A19054" s="1" t="s">
        <v>19053</v>
      </c>
      <c r="B19054" s="2" t="str">
        <f>IFERROR(__xludf.DUMMYFUNCTION("GOOGLETRANSLATE(A19054, ""de"", ""en"")"),"into")</f>
        <v>into</v>
      </c>
    </row>
    <row r="19055">
      <c r="A19055" s="1" t="s">
        <v>19054</v>
      </c>
      <c r="B19055" s="2" t="str">
        <f>IFERROR(__xludf.DUMMYFUNCTION("GOOGLETRANSLATE(A19055, ""de"", ""en"")"),"befriend")</f>
        <v>befriend</v>
      </c>
    </row>
    <row r="19056">
      <c r="A19056" s="1" t="s">
        <v>19055</v>
      </c>
      <c r="B19056" s="2" t="str">
        <f>IFERROR(__xludf.DUMMYFUNCTION("GOOGLETRANSLATE(A19056, ""de"", ""en"")"),"half brother")</f>
        <v>half brother</v>
      </c>
    </row>
    <row r="19057">
      <c r="A19057" s="1" t="s">
        <v>19056</v>
      </c>
      <c r="B19057" s="2" t="str">
        <f>IFERROR(__xludf.DUMMYFUNCTION("GOOGLETRANSLATE(A19057, ""de"", ""en"")"),"thousands")</f>
        <v>thousands</v>
      </c>
    </row>
    <row r="19058">
      <c r="A19058" s="1" t="s">
        <v>19057</v>
      </c>
      <c r="B19058" s="2" t="str">
        <f>IFERROR(__xludf.DUMMYFUNCTION("GOOGLETRANSLATE(A19058, ""de"", ""en"")"),"dover")</f>
        <v>dover</v>
      </c>
    </row>
    <row r="19059">
      <c r="A19059" s="1" t="s">
        <v>19058</v>
      </c>
      <c r="B19059" s="2" t="str">
        <f>IFERROR(__xludf.DUMMYFUNCTION("GOOGLETRANSLATE(A19059, ""de"", ""en"")"),"isa")</f>
        <v>isa</v>
      </c>
    </row>
    <row r="19060">
      <c r="A19060" s="1" t="s">
        <v>19059</v>
      </c>
      <c r="B19060" s="2" t="str">
        <f>IFERROR(__xludf.DUMMYFUNCTION("GOOGLETRANSLATE(A19060, ""de"", ""en"")"),"recall")</f>
        <v>recall</v>
      </c>
    </row>
    <row r="19061">
      <c r="A19061" s="1" t="s">
        <v>19060</v>
      </c>
      <c r="B19061" s="2" t="str">
        <f>IFERROR(__xludf.DUMMYFUNCTION("GOOGLETRANSLATE(A19061, ""de"", ""en"")"),"quietest")</f>
        <v>quietest</v>
      </c>
    </row>
    <row r="19062">
      <c r="A19062" s="1" t="s">
        <v>19061</v>
      </c>
      <c r="B19062" s="2" t="str">
        <f>IFERROR(__xludf.DUMMYFUNCTION("GOOGLETRANSLATE(A19062, ""de"", ""en"")"),"yy")</f>
        <v>yy</v>
      </c>
    </row>
    <row r="19063">
      <c r="A19063" s="1" t="s">
        <v>19062</v>
      </c>
      <c r="B19063" s="2" t="str">
        <f>IFERROR(__xludf.DUMMYFUNCTION("GOOGLETRANSLATE(A19063, ""de"", ""en"")"),"biopsy")</f>
        <v>biopsy</v>
      </c>
    </row>
    <row r="19064">
      <c r="A19064" s="1" t="s">
        <v>19063</v>
      </c>
      <c r="B19064" s="2" t="str">
        <f>IFERROR(__xludf.DUMMYFUNCTION("GOOGLETRANSLATE(A19064, ""de"", ""en"")"),"henrietta")</f>
        <v>henrietta</v>
      </c>
    </row>
    <row r="19065">
      <c r="A19065" s="1" t="s">
        <v>19064</v>
      </c>
      <c r="B19065" s="2" t="str">
        <f>IFERROR(__xludf.DUMMYFUNCTION("GOOGLETRANSLATE(A19065, ""de"", ""en"")"),"all sorts of things")</f>
        <v>all sorts of things</v>
      </c>
    </row>
    <row r="19066">
      <c r="A19066" s="1" t="s">
        <v>19065</v>
      </c>
      <c r="B19066" s="2" t="str">
        <f>IFERROR(__xludf.DUMMYFUNCTION("GOOGLETRANSLATE(A19066, ""de"", ""en"")"),"protein")</f>
        <v>protein</v>
      </c>
    </row>
    <row r="19067">
      <c r="A19067" s="1" t="s">
        <v>19066</v>
      </c>
      <c r="B19067" s="2" t="str">
        <f>IFERROR(__xludf.DUMMYFUNCTION("GOOGLETRANSLATE(A19067, ""de"", ""en"")"),"returned")</f>
        <v>returned</v>
      </c>
    </row>
    <row r="19068">
      <c r="A19068" s="1" t="s">
        <v>19067</v>
      </c>
      <c r="B19068" s="2" t="str">
        <f>IFERROR(__xludf.DUMMYFUNCTION("GOOGLETRANSLATE(A19068, ""de"", ""en"")"),"fake")</f>
        <v>fake</v>
      </c>
    </row>
    <row r="19069">
      <c r="A19069" s="1" t="s">
        <v>19068</v>
      </c>
      <c r="B19069" s="2" t="str">
        <f>IFERROR(__xludf.DUMMYFUNCTION("GOOGLETRANSLATE(A19069, ""de"", ""en"")"),"loaded")</f>
        <v>loaded</v>
      </c>
    </row>
    <row r="19070">
      <c r="A19070" s="1" t="s">
        <v>19069</v>
      </c>
      <c r="B19070" s="2" t="str">
        <f>IFERROR(__xludf.DUMMYFUNCTION("GOOGLETRANSLATE(A19070, ""de"", ""en"")"),"special")</f>
        <v>special</v>
      </c>
    </row>
    <row r="19071">
      <c r="A19071" s="1" t="s">
        <v>19070</v>
      </c>
      <c r="B19071" s="2" t="str">
        <f>IFERROR(__xludf.DUMMYFUNCTION("GOOGLETRANSLATE(A19071, ""de"", ""en"")"),"underground")</f>
        <v>underground</v>
      </c>
    </row>
    <row r="19072">
      <c r="A19072" s="1" t="s">
        <v>19071</v>
      </c>
      <c r="B19072" s="2" t="str">
        <f>IFERROR(__xludf.DUMMYFUNCTION("GOOGLETRANSLATE(A19072, ""de"", ""en"")"),"peculiar")</f>
        <v>peculiar</v>
      </c>
    </row>
    <row r="19073">
      <c r="A19073" s="1" t="s">
        <v>19072</v>
      </c>
      <c r="B19073" s="2" t="str">
        <f>IFERROR(__xludf.DUMMYFUNCTION("GOOGLETRANSLATE(A19073, ""de"", ""en"")"),"act")</f>
        <v>act</v>
      </c>
    </row>
    <row r="19074">
      <c r="A19074" s="1" t="s">
        <v>19073</v>
      </c>
      <c r="B19074" s="2" t="str">
        <f>IFERROR(__xludf.DUMMYFUNCTION("GOOGLETRANSLATE(A19074, ""de"", ""en"")"),"tex")</f>
        <v>tex</v>
      </c>
    </row>
    <row r="19075">
      <c r="A19075" s="1" t="s">
        <v>19074</v>
      </c>
      <c r="B19075" s="2" t="str">
        <f>IFERROR(__xludf.DUMMYFUNCTION("GOOGLETRANSLATE(A19075, ""de"", ""en"")"),"psychiatrist")</f>
        <v>psychiatrist</v>
      </c>
    </row>
    <row r="19076">
      <c r="A19076" s="1" t="s">
        <v>19075</v>
      </c>
      <c r="B19076" s="2" t="str">
        <f>IFERROR(__xludf.DUMMYFUNCTION("GOOGLETRANSLATE(A19076, ""de"", ""en"")"),"rinsed")</f>
        <v>rinsed</v>
      </c>
    </row>
    <row r="19077">
      <c r="A19077" s="1" t="s">
        <v>19076</v>
      </c>
      <c r="B19077" s="2" t="str">
        <f>IFERROR(__xludf.DUMMYFUNCTION("GOOGLETRANSLATE(A19077, ""de"", ""en"")"),"transmitted")</f>
        <v>transmitted</v>
      </c>
    </row>
    <row r="19078">
      <c r="A19078" s="1" t="s">
        <v>19077</v>
      </c>
      <c r="B19078" s="2" t="str">
        <f>IFERROR(__xludf.DUMMYFUNCTION("GOOGLETRANSLATE(A19078, ""de"", ""en"")"),"conversations")</f>
        <v>conversations</v>
      </c>
    </row>
    <row r="19079">
      <c r="A19079" s="1" t="s">
        <v>19078</v>
      </c>
      <c r="B19079" s="2" t="str">
        <f>IFERROR(__xludf.DUMMYFUNCTION("GOOGLETRANSLATE(A19079, ""de"", ""en"")"),"infrastructure")</f>
        <v>infrastructure</v>
      </c>
    </row>
    <row r="19080">
      <c r="A19080" s="1" t="s">
        <v>19079</v>
      </c>
      <c r="B19080" s="2" t="str">
        <f>IFERROR(__xludf.DUMMYFUNCTION("GOOGLETRANSLATE(A19080, ""de"", ""en"")"),"secret")</f>
        <v>secret</v>
      </c>
    </row>
    <row r="19081">
      <c r="A19081" s="1" t="s">
        <v>19080</v>
      </c>
      <c r="B19081" s="2" t="str">
        <f>IFERROR(__xludf.DUMMYFUNCTION("GOOGLETRANSLATE(A19081, ""de"", ""en"")"),"mentally")</f>
        <v>mentally</v>
      </c>
    </row>
    <row r="19082">
      <c r="A19082" s="1" t="s">
        <v>19081</v>
      </c>
      <c r="B19082" s="2" t="str">
        <f>IFERROR(__xludf.DUMMYFUNCTION("GOOGLETRANSLATE(A19082, ""de"", ""en"")"),"pseudonym")</f>
        <v>pseudonym</v>
      </c>
    </row>
    <row r="19083">
      <c r="A19083" s="1" t="s">
        <v>19082</v>
      </c>
      <c r="B19083" s="2" t="str">
        <f>IFERROR(__xludf.DUMMYFUNCTION("GOOGLETRANSLATE(A19083, ""de"", ""en"")"),"old")</f>
        <v>old</v>
      </c>
    </row>
    <row r="19084">
      <c r="A19084" s="1" t="s">
        <v>19083</v>
      </c>
      <c r="B19084" s="2" t="str">
        <f>IFERROR(__xludf.DUMMYFUNCTION("GOOGLETRANSLATE(A19084, ""de"", ""en"")"),"exchanged")</f>
        <v>exchanged</v>
      </c>
    </row>
    <row r="19085">
      <c r="A19085" s="1" t="s">
        <v>19084</v>
      </c>
      <c r="B19085" s="2" t="str">
        <f>IFERROR(__xludf.DUMMYFUNCTION("GOOGLETRANSLATE(A19085, ""de"", ""en"")"),"arbitrarily")</f>
        <v>arbitrarily</v>
      </c>
    </row>
    <row r="19086">
      <c r="A19086" s="1" t="s">
        <v>19085</v>
      </c>
      <c r="B19086" s="2" t="str">
        <f>IFERROR(__xludf.DUMMYFUNCTION("GOOGLETRANSLATE(A19086, ""de"", ""en"")"),"whispering")</f>
        <v>whispering</v>
      </c>
    </row>
    <row r="19087">
      <c r="A19087" s="1" t="s">
        <v>19086</v>
      </c>
      <c r="B19087" s="2" t="str">
        <f>IFERROR(__xludf.DUMMYFUNCTION("GOOGLETRANSLATE(A19087, ""de"", ""en"")"),"hostess")</f>
        <v>hostess</v>
      </c>
    </row>
    <row r="19088">
      <c r="A19088" s="1" t="s">
        <v>19087</v>
      </c>
      <c r="B19088" s="2" t="str">
        <f>IFERROR(__xludf.DUMMYFUNCTION("GOOGLETRANSLATE(A19088, ""de"", ""en"")"),"homie")</f>
        <v>homie</v>
      </c>
    </row>
    <row r="19089">
      <c r="A19089" s="1" t="s">
        <v>19088</v>
      </c>
      <c r="B19089" s="2" t="str">
        <f>IFERROR(__xludf.DUMMYFUNCTION("GOOGLETRANSLATE(A19089, ""de"", ""en"")"),"urgent")</f>
        <v>urgent</v>
      </c>
    </row>
    <row r="19090">
      <c r="A19090" s="1" t="s">
        <v>19089</v>
      </c>
      <c r="B19090" s="2" t="str">
        <f>IFERROR(__xludf.DUMMYFUNCTION("GOOGLETRANSLATE(A19090, ""de"", ""en"")"),"Congo")</f>
        <v>Congo</v>
      </c>
    </row>
    <row r="19091">
      <c r="A19091" s="1" t="s">
        <v>19090</v>
      </c>
      <c r="B19091" s="2" t="str">
        <f>IFERROR(__xludf.DUMMYFUNCTION("GOOGLETRANSLATE(A19091, ""de"", ""en"")"),"closed")</f>
        <v>closed</v>
      </c>
    </row>
    <row r="19092">
      <c r="A19092" s="1" t="s">
        <v>19091</v>
      </c>
      <c r="B19092" s="2" t="str">
        <f>IFERROR(__xludf.DUMMYFUNCTION("GOOGLETRANSLATE(A19092, ""de"", ""en"")"),"rebel")</f>
        <v>rebel</v>
      </c>
    </row>
    <row r="19093">
      <c r="A19093" s="1" t="s">
        <v>19092</v>
      </c>
      <c r="B19093" s="2" t="str">
        <f>IFERROR(__xludf.DUMMYFUNCTION("GOOGLETRANSLATE(A19093, ""de"", ""en"")"),"granny")</f>
        <v>granny</v>
      </c>
    </row>
    <row r="19094">
      <c r="A19094" s="1" t="s">
        <v>19093</v>
      </c>
      <c r="B19094" s="2" t="str">
        <f>IFERROR(__xludf.DUMMYFUNCTION("GOOGLETRANSLATE(A19094, ""de"", ""en"")"),"waldo")</f>
        <v>waldo</v>
      </c>
    </row>
    <row r="19095">
      <c r="A19095" s="1" t="s">
        <v>19094</v>
      </c>
      <c r="B19095" s="2" t="str">
        <f>IFERROR(__xludf.DUMMYFUNCTION("GOOGLETRANSLATE(A19095, ""de"", ""en"")"),"ascended")</f>
        <v>ascended</v>
      </c>
    </row>
    <row r="19096">
      <c r="A19096" s="1" t="s">
        <v>19095</v>
      </c>
      <c r="B19096" s="2" t="str">
        <f>IFERROR(__xludf.DUMMYFUNCTION("GOOGLETRANSLATE(A19096, ""de"", ""en"")"),"pulled out")</f>
        <v>pulled out</v>
      </c>
    </row>
    <row r="19097">
      <c r="A19097" s="1" t="s">
        <v>19096</v>
      </c>
      <c r="B19097" s="2" t="str">
        <f>IFERROR(__xludf.DUMMYFUNCTION("GOOGLETRANSLATE(A19097, ""de"", ""en"")"),"twin")</f>
        <v>twin</v>
      </c>
    </row>
    <row r="19098">
      <c r="A19098" s="1" t="s">
        <v>19097</v>
      </c>
      <c r="B19098" s="2" t="str">
        <f>IFERROR(__xludf.DUMMYFUNCTION("GOOGLETRANSLATE(A19098, ""de"", ""en"")"),"memorial service")</f>
        <v>memorial service</v>
      </c>
    </row>
    <row r="19099">
      <c r="A19099" s="1" t="s">
        <v>19098</v>
      </c>
      <c r="B19099" s="2" t="str">
        <f>IFERROR(__xludf.DUMMYFUNCTION("GOOGLETRANSLATE(A19099, ""de"", ""en"")"),"princess")</f>
        <v>princess</v>
      </c>
    </row>
    <row r="19100">
      <c r="A19100" s="1" t="s">
        <v>19099</v>
      </c>
      <c r="B19100" s="2" t="str">
        <f>IFERROR(__xludf.DUMMYFUNCTION("GOOGLETRANSLATE(A19100, ""de"", ""en"")"),"frustration")</f>
        <v>frustration</v>
      </c>
    </row>
    <row r="19101">
      <c r="A19101" s="1" t="s">
        <v>19100</v>
      </c>
      <c r="B19101" s="2" t="str">
        <f>IFERROR(__xludf.DUMMYFUNCTION("GOOGLETRANSLATE(A19101, ""de"", ""en"")"),"nurse")</f>
        <v>nurse</v>
      </c>
    </row>
    <row r="19102">
      <c r="A19102" s="1" t="s">
        <v>19101</v>
      </c>
      <c r="B19102" s="2" t="str">
        <f>IFERROR(__xludf.DUMMYFUNCTION("GOOGLETRANSLATE(A19102, ""de"", ""en"")"),"clay")</f>
        <v>clay</v>
      </c>
    </row>
    <row r="19103">
      <c r="A19103" s="1" t="s">
        <v>19102</v>
      </c>
      <c r="B19103" s="2" t="str">
        <f>IFERROR(__xludf.DUMMYFUNCTION("GOOGLETRANSLATE(A19103, ""de"", ""en"")"),"Egyptian")</f>
        <v>Egyptian</v>
      </c>
    </row>
    <row r="19104">
      <c r="A19104" s="1" t="s">
        <v>19103</v>
      </c>
      <c r="B19104" s="2" t="str">
        <f>IFERROR(__xludf.DUMMYFUNCTION("GOOGLETRANSLATE(A19104, ""de"", ""en"")"),"friends")</f>
        <v>friends</v>
      </c>
    </row>
    <row r="19105">
      <c r="A19105" s="1" t="s">
        <v>19104</v>
      </c>
      <c r="B19105" s="2" t="str">
        <f>IFERROR(__xludf.DUMMYFUNCTION("GOOGLETRANSLATE(A19105, ""de"", ""en"")"),"trek")</f>
        <v>trek</v>
      </c>
    </row>
    <row r="19106">
      <c r="A19106" s="1" t="s">
        <v>19105</v>
      </c>
      <c r="B19106" s="2" t="str">
        <f>IFERROR(__xludf.DUMMYFUNCTION("GOOGLETRANSLATE(A19106, ""de"", ""en"")"),"hear")</f>
        <v>hear</v>
      </c>
    </row>
    <row r="19107">
      <c r="A19107" s="1" t="s">
        <v>19106</v>
      </c>
      <c r="B19107" s="2" t="str">
        <f>IFERROR(__xludf.DUMMYFUNCTION("GOOGLETRANSLATE(A19107, ""de"", ""en"")"),"donates")</f>
        <v>donates</v>
      </c>
    </row>
    <row r="19108">
      <c r="A19108" s="1" t="s">
        <v>19107</v>
      </c>
      <c r="B19108" s="2" t="str">
        <f>IFERROR(__xludf.DUMMYFUNCTION("GOOGLETRANSLATE(A19108, ""de"", ""en"")"),"currently")</f>
        <v>currently</v>
      </c>
    </row>
    <row r="19109">
      <c r="A19109" s="1" t="s">
        <v>19108</v>
      </c>
      <c r="B19109" s="2" t="str">
        <f>IFERROR(__xludf.DUMMYFUNCTION("GOOGLETRANSLATE(A19109, ""de"", ""en"")"),"assholes")</f>
        <v>assholes</v>
      </c>
    </row>
    <row r="19110">
      <c r="A19110" s="1" t="s">
        <v>19109</v>
      </c>
      <c r="B19110" s="2" t="str">
        <f>IFERROR(__xludf.DUMMYFUNCTION("GOOGLETRANSLATE(A19110, ""de"", ""en"")"),"insulin")</f>
        <v>insulin</v>
      </c>
    </row>
    <row r="19111">
      <c r="A19111" s="1" t="s">
        <v>19110</v>
      </c>
      <c r="B19111" s="2" t="str">
        <f>IFERROR(__xludf.DUMMYFUNCTION("GOOGLETRANSLATE(A19111, ""de"", ""en"")"),"witness protection program")</f>
        <v>witness protection program</v>
      </c>
    </row>
    <row r="19112">
      <c r="A19112" s="1" t="s">
        <v>19111</v>
      </c>
      <c r="B19112" s="2" t="str">
        <f>IFERROR(__xludf.DUMMYFUNCTION("GOOGLETRANSLATE(A19112, ""de"", ""en"")"),"ducats")</f>
        <v>ducats</v>
      </c>
    </row>
    <row r="19113">
      <c r="A19113" s="1" t="s">
        <v>19112</v>
      </c>
      <c r="B19113" s="2" t="str">
        <f>IFERROR(__xludf.DUMMYFUNCTION("GOOGLETRANSLATE(A19113, ""de"", ""en"")"),"somewhere else")</f>
        <v>somewhere else</v>
      </c>
    </row>
    <row r="19114">
      <c r="A19114" s="1" t="s">
        <v>19113</v>
      </c>
      <c r="B19114" s="2" t="str">
        <f>IFERROR(__xludf.DUMMYFUNCTION("GOOGLETRANSLATE(A19114, ""de"", ""en"")"),"accomplice")</f>
        <v>accomplice</v>
      </c>
    </row>
    <row r="19115">
      <c r="A19115" s="1" t="s">
        <v>19114</v>
      </c>
      <c r="B19115" s="2" t="str">
        <f>IFERROR(__xludf.DUMMYFUNCTION("GOOGLETRANSLATE(A19115, ""de"", ""en"")"),"brain")</f>
        <v>brain</v>
      </c>
    </row>
    <row r="19116">
      <c r="A19116" s="1" t="s">
        <v>19115</v>
      </c>
      <c r="B19116" s="2" t="str">
        <f>IFERROR(__xludf.DUMMYFUNCTION("GOOGLETRANSLATE(A19116, ""de"", ""en"")"),"coke")</f>
        <v>coke</v>
      </c>
    </row>
    <row r="19117">
      <c r="A19117" s="1" t="s">
        <v>19116</v>
      </c>
      <c r="B19117" s="2" t="str">
        <f>IFERROR(__xludf.DUMMYFUNCTION("GOOGLETRANSLATE(A19117, ""de"", ""en"")"),"transaction")</f>
        <v>transaction</v>
      </c>
    </row>
    <row r="19118">
      <c r="A19118" s="1" t="s">
        <v>19117</v>
      </c>
      <c r="B19118" s="2" t="str">
        <f>IFERROR(__xludf.DUMMYFUNCTION("GOOGLETRANSLATE(A19118, ""de"", ""en"")"),"intern")</f>
        <v>intern</v>
      </c>
    </row>
    <row r="19119">
      <c r="A19119" s="1" t="s">
        <v>19118</v>
      </c>
      <c r="B19119" s="2" t="str">
        <f>IFERROR(__xludf.DUMMYFUNCTION("GOOGLETRANSLATE(A19119, ""de"", ""en"")"),"disgrace")</f>
        <v>disgrace</v>
      </c>
    </row>
    <row r="19120">
      <c r="A19120" s="1" t="s">
        <v>19119</v>
      </c>
      <c r="B19120" s="2" t="str">
        <f>IFERROR(__xludf.DUMMYFUNCTION("GOOGLETRANSLATE(A19120, ""de"", ""en"")"),"snowman")</f>
        <v>snowman</v>
      </c>
    </row>
    <row r="19121">
      <c r="A19121" s="1" t="s">
        <v>19120</v>
      </c>
      <c r="B19121" s="2" t="str">
        <f>IFERROR(__xludf.DUMMYFUNCTION("GOOGLETRANSLATE(A19121, ""de"", ""en"")"),"tac")</f>
        <v>tac</v>
      </c>
    </row>
    <row r="19122">
      <c r="A19122" s="1" t="s">
        <v>19121</v>
      </c>
      <c r="B19122" s="2" t="str">
        <f>IFERROR(__xludf.DUMMYFUNCTION("GOOGLETRANSLATE(A19122, ""de"", ""en"")"),"specialty")</f>
        <v>specialty</v>
      </c>
    </row>
    <row r="19123">
      <c r="A19123" s="1" t="s">
        <v>19122</v>
      </c>
      <c r="B19123" s="2" t="str">
        <f>IFERROR(__xludf.DUMMYFUNCTION("GOOGLETRANSLATE(A19123, ""de"", ""en"")"),"Christmas party")</f>
        <v>Christmas party</v>
      </c>
    </row>
    <row r="19124">
      <c r="A19124" s="1" t="s">
        <v>19123</v>
      </c>
      <c r="B19124" s="2" t="str">
        <f>IFERROR(__xludf.DUMMYFUNCTION("GOOGLETRANSLATE(A19124, ""de"", ""en"")"),"embodied")</f>
        <v>embodied</v>
      </c>
    </row>
    <row r="19125">
      <c r="A19125" s="1" t="s">
        <v>19124</v>
      </c>
      <c r="B19125" s="2" t="str">
        <f>IFERROR(__xludf.DUMMYFUNCTION("GOOGLETRANSLATE(A19125, ""de"", ""en"")"),"sister heart")</f>
        <v>sister heart</v>
      </c>
    </row>
    <row r="19126">
      <c r="A19126" s="1" t="s">
        <v>19125</v>
      </c>
      <c r="B19126" s="2" t="str">
        <f>IFERROR(__xludf.DUMMYFUNCTION("GOOGLETRANSLATE(A19126, ""de"", ""en"")"),"slow")</f>
        <v>slow</v>
      </c>
    </row>
    <row r="19127">
      <c r="A19127" s="1" t="s">
        <v>19126</v>
      </c>
      <c r="B19127" s="2" t="str">
        <f>IFERROR(__xludf.DUMMYFUNCTION("GOOGLETRANSLATE(A19127, ""de"", ""en"")"),"middleman")</f>
        <v>middleman</v>
      </c>
    </row>
    <row r="19128">
      <c r="A19128" s="1" t="s">
        <v>19127</v>
      </c>
      <c r="B19128" s="2" t="str">
        <f>IFERROR(__xludf.DUMMYFUNCTION("GOOGLETRANSLATE(A19128, ""de"", ""en"")"),"opinion poll")</f>
        <v>opinion poll</v>
      </c>
    </row>
    <row r="19129">
      <c r="A19129" s="1" t="s">
        <v>19128</v>
      </c>
      <c r="B19129" s="2" t="str">
        <f>IFERROR(__xludf.DUMMYFUNCTION("GOOGLETRANSLATE(A19129, ""de"", ""en"")"),"maquis")</f>
        <v>maquis</v>
      </c>
    </row>
    <row r="19130">
      <c r="A19130" s="1" t="s">
        <v>19129</v>
      </c>
      <c r="B19130" s="2" t="str">
        <f>IFERROR(__xludf.DUMMYFUNCTION("GOOGLETRANSLATE(A19130, ""de"", ""en"")"),"lemons")</f>
        <v>lemons</v>
      </c>
    </row>
    <row r="19131">
      <c r="A19131" s="1" t="s">
        <v>19130</v>
      </c>
      <c r="B19131" s="2" t="str">
        <f>IFERROR(__xludf.DUMMYFUNCTION("GOOGLETRANSLATE(A19131, ""de"", ""en"")"),"nuclear")</f>
        <v>nuclear</v>
      </c>
    </row>
    <row r="19132">
      <c r="A19132" s="1" t="s">
        <v>19131</v>
      </c>
      <c r="B19132" s="2" t="str">
        <f>IFERROR(__xludf.DUMMYFUNCTION("GOOGLETRANSLATE(A19132, ""de"", ""en"")"),"return")</f>
        <v>return</v>
      </c>
    </row>
    <row r="19133">
      <c r="A19133" s="1" t="s">
        <v>19132</v>
      </c>
      <c r="B19133" s="2" t="str">
        <f>IFERROR(__xludf.DUMMYFUNCTION("GOOGLETRANSLATE(A19133, ""de"", ""en"")"),"variant")</f>
        <v>variant</v>
      </c>
    </row>
    <row r="19134">
      <c r="A19134" s="1" t="s">
        <v>19133</v>
      </c>
      <c r="B19134" s="2" t="str">
        <f>IFERROR(__xludf.DUMMYFUNCTION("GOOGLETRANSLATE(A19134, ""de"", ""en"")"),"Michelangelo")</f>
        <v>Michelangelo</v>
      </c>
    </row>
    <row r="19135">
      <c r="A19135" s="1" t="s">
        <v>19134</v>
      </c>
      <c r="B19135" s="2" t="str">
        <f>IFERROR(__xludf.DUMMYFUNCTION("GOOGLETRANSLATE(A19135, ""de"", ""en"")"),"bronze")</f>
        <v>bronze</v>
      </c>
    </row>
    <row r="19136">
      <c r="A19136" s="1" t="s">
        <v>19135</v>
      </c>
      <c r="B19136" s="2" t="str">
        <f>IFERROR(__xludf.DUMMYFUNCTION("GOOGLETRANSLATE(A19136, ""de"", ""en"")"),"cadets")</f>
        <v>cadets</v>
      </c>
    </row>
    <row r="19137">
      <c r="A19137" s="1" t="s">
        <v>19136</v>
      </c>
      <c r="B19137" s="2" t="str">
        <f>IFERROR(__xludf.DUMMYFUNCTION("GOOGLETRANSLATE(A19137, ""de"", ""en"")"),"decent")</f>
        <v>decent</v>
      </c>
    </row>
    <row r="19138">
      <c r="A19138" s="1" t="s">
        <v>19137</v>
      </c>
      <c r="B19138" s="2" t="str">
        <f>IFERROR(__xludf.DUMMYFUNCTION("GOOGLETRANSLATE(A19138, ""de"", ""en"")"),"companion")</f>
        <v>companion</v>
      </c>
    </row>
    <row r="19139">
      <c r="A19139" s="1" t="s">
        <v>19138</v>
      </c>
      <c r="B19139" s="2" t="str">
        <f>IFERROR(__xludf.DUMMYFUNCTION("GOOGLETRANSLATE(A19139, ""de"", ""en"")"),"ryder")</f>
        <v>ryder</v>
      </c>
    </row>
    <row r="19140">
      <c r="A19140" s="1" t="s">
        <v>19139</v>
      </c>
      <c r="B19140" s="2" t="str">
        <f>IFERROR(__xludf.DUMMYFUNCTION("GOOGLETRANSLATE(A19140, ""de"", ""en"")"),"opposition")</f>
        <v>opposition</v>
      </c>
    </row>
    <row r="19141">
      <c r="A19141" s="1" t="s">
        <v>19140</v>
      </c>
      <c r="B19141" s="2" t="str">
        <f>IFERROR(__xludf.DUMMYFUNCTION("GOOGLETRANSLATE(A19141, ""de"", ""en"")"),"misunderstand")</f>
        <v>misunderstand</v>
      </c>
    </row>
    <row r="19142">
      <c r="A19142" s="1" t="s">
        <v>19141</v>
      </c>
      <c r="B19142" s="2" t="str">
        <f>IFERROR(__xludf.DUMMYFUNCTION("GOOGLETRANSLATE(A19142, ""de"", ""en"")"),"supplier")</f>
        <v>supplier</v>
      </c>
    </row>
    <row r="19143">
      <c r="A19143" s="1" t="s">
        <v>19142</v>
      </c>
      <c r="B19143" s="2" t="str">
        <f>IFERROR(__xludf.DUMMYFUNCTION("GOOGLETRANSLATE(A19143, ""de"", ""en"")"),"brunette")</f>
        <v>brunette</v>
      </c>
    </row>
    <row r="19144">
      <c r="A19144" s="1" t="s">
        <v>19143</v>
      </c>
      <c r="B19144" s="2" t="str">
        <f>IFERROR(__xludf.DUMMYFUNCTION("GOOGLETRANSLATE(A19144, ""de"", ""en"")"),"rainer")</f>
        <v>rainer</v>
      </c>
    </row>
    <row r="19145">
      <c r="A19145" s="1" t="s">
        <v>19144</v>
      </c>
      <c r="B19145" s="2" t="str">
        <f>IFERROR(__xludf.DUMMYFUNCTION("GOOGLETRANSLATE(A19145, ""de"", ""en"")"),"keyboard")</f>
        <v>keyboard</v>
      </c>
    </row>
    <row r="19146">
      <c r="A19146" s="1" t="s">
        <v>19145</v>
      </c>
      <c r="B19146" s="2" t="str">
        <f>IFERROR(__xludf.DUMMYFUNCTION("GOOGLETRANSLATE(A19146, ""de"", ""en"")"),"claimed")</f>
        <v>claimed</v>
      </c>
    </row>
    <row r="19147">
      <c r="A19147" s="1" t="s">
        <v>19146</v>
      </c>
      <c r="B19147" s="2" t="str">
        <f>IFERROR(__xludf.DUMMYFUNCTION("GOOGLETRANSLATE(A19147, ""de"", ""en"")"),"Nobel Prize")</f>
        <v>Nobel Prize</v>
      </c>
    </row>
    <row r="19148">
      <c r="A19148" s="1" t="s">
        <v>19147</v>
      </c>
      <c r="B19148" s="2" t="str">
        <f>IFERROR(__xludf.DUMMYFUNCTION("GOOGLETRANSLATE(A19148, ""de"", ""en"")"),"Hartley")</f>
        <v>Hartley</v>
      </c>
    </row>
    <row r="19149">
      <c r="A19149" s="1" t="s">
        <v>19148</v>
      </c>
      <c r="B19149" s="2" t="str">
        <f>IFERROR(__xludf.DUMMYFUNCTION("GOOGLETRANSLATE(A19149, ""de"", ""en"")"),"rein in")</f>
        <v>rein in</v>
      </c>
    </row>
    <row r="19150">
      <c r="A19150" s="1" t="s">
        <v>19149</v>
      </c>
      <c r="B19150" s="2" t="str">
        <f>IFERROR(__xludf.DUMMYFUNCTION("GOOGLETRANSLATE(A19150, ""de"", ""en"")"),"muirfield")</f>
        <v>muirfield</v>
      </c>
    </row>
    <row r="19151">
      <c r="A19151" s="1" t="s">
        <v>19150</v>
      </c>
      <c r="B19151" s="2" t="str">
        <f>IFERROR(__xludf.DUMMYFUNCTION("GOOGLETRANSLATE(A19151, ""de"", ""en"")"),"dorota")</f>
        <v>dorota</v>
      </c>
    </row>
    <row r="19152">
      <c r="A19152" s="1" t="s">
        <v>19151</v>
      </c>
      <c r="B19152" s="2" t="str">
        <f>IFERROR(__xludf.DUMMYFUNCTION("GOOGLETRANSLATE(A19152, ""de"", ""en"")"),"ep")</f>
        <v>ep</v>
      </c>
    </row>
    <row r="19153">
      <c r="A19153" s="1" t="s">
        <v>19152</v>
      </c>
      <c r="B19153" s="2" t="str">
        <f>IFERROR(__xludf.DUMMYFUNCTION("GOOGLETRANSLATE(A19153, ""de"", ""en"")"),"viagra")</f>
        <v>viagra</v>
      </c>
    </row>
    <row r="19154">
      <c r="A19154" s="1" t="s">
        <v>19153</v>
      </c>
      <c r="B19154" s="2" t="str">
        <f>IFERROR(__xludf.DUMMYFUNCTION("GOOGLETRANSLATE(A19154, ""de"", ""en"")"),"pretty")</f>
        <v>pretty</v>
      </c>
    </row>
    <row r="19155">
      <c r="A19155" s="1" t="s">
        <v>19154</v>
      </c>
      <c r="B19155" s="2" t="str">
        <f>IFERROR(__xludf.DUMMYFUNCTION("GOOGLETRANSLATE(A19155, ""de"", ""en"")"),"flared")</f>
        <v>flared</v>
      </c>
    </row>
    <row r="19156">
      <c r="A19156" s="1" t="s">
        <v>19155</v>
      </c>
      <c r="B19156" s="2" t="str">
        <f>IFERROR(__xludf.DUMMYFUNCTION("GOOGLETRANSLATE(A19156, ""de"", ""en"")"),"for example")</f>
        <v>for example</v>
      </c>
    </row>
    <row r="19157">
      <c r="A19157" s="1" t="s">
        <v>19156</v>
      </c>
      <c r="B19157" s="2" t="str">
        <f>IFERROR(__xludf.DUMMYFUNCTION("GOOGLETRANSLATE(A19157, ""de"", ""en"")"),"unwise")</f>
        <v>unwise</v>
      </c>
    </row>
    <row r="19158">
      <c r="A19158" s="1" t="s">
        <v>19157</v>
      </c>
      <c r="B19158" s="2" t="str">
        <f>IFERROR(__xludf.DUMMYFUNCTION("GOOGLETRANSLATE(A19158, ""de"", ""en"")"),"night watch")</f>
        <v>night watch</v>
      </c>
    </row>
    <row r="19159">
      <c r="A19159" s="1" t="s">
        <v>19158</v>
      </c>
      <c r="B19159" s="2" t="str">
        <f>IFERROR(__xludf.DUMMYFUNCTION("GOOGLETRANSLATE(A19159, ""de"", ""en"")"),"Polish")</f>
        <v>Polish</v>
      </c>
    </row>
    <row r="19160">
      <c r="A19160" s="1" t="s">
        <v>19159</v>
      </c>
      <c r="B19160" s="2" t="str">
        <f>IFERROR(__xludf.DUMMYFUNCTION("GOOGLETRANSLATE(A19160, ""de"", ""en"")"),"Olympics")</f>
        <v>Olympics</v>
      </c>
    </row>
    <row r="19161">
      <c r="A19161" s="1" t="s">
        <v>19160</v>
      </c>
      <c r="B19161" s="2" t="str">
        <f>IFERROR(__xludf.DUMMYFUNCTION("GOOGLETRANSLATE(A19161, ""de"", ""en"")"),"kidding")</f>
        <v>kidding</v>
      </c>
    </row>
    <row r="19162">
      <c r="A19162" s="1" t="s">
        <v>19161</v>
      </c>
      <c r="B19162" s="2" t="str">
        <f>IFERROR(__xludf.DUMMYFUNCTION("GOOGLETRANSLATE(A19162, ""de"", ""en"")"),"marble")</f>
        <v>marble</v>
      </c>
    </row>
    <row r="19163">
      <c r="A19163" s="1" t="s">
        <v>19162</v>
      </c>
      <c r="B19163" s="2" t="str">
        <f>IFERROR(__xludf.DUMMYFUNCTION("GOOGLETRANSLATE(A19163, ""de"", ""en"")"),"promises")</f>
        <v>promises</v>
      </c>
    </row>
    <row r="19164">
      <c r="A19164" s="1" t="s">
        <v>19163</v>
      </c>
      <c r="B19164" s="2" t="str">
        <f>IFERROR(__xludf.DUMMYFUNCTION("GOOGLETRANSLATE(A19164, ""de"", ""en"")"),"larger")</f>
        <v>larger</v>
      </c>
    </row>
    <row r="19165">
      <c r="A19165" s="1" t="s">
        <v>19164</v>
      </c>
      <c r="B19165" s="2" t="str">
        <f>IFERROR(__xludf.DUMMYFUNCTION("GOOGLETRANSLATE(A19165, ""de"", ""en"")"),"Saxony")</f>
        <v>Saxony</v>
      </c>
    </row>
    <row r="19166">
      <c r="A19166" s="1" t="s">
        <v>19165</v>
      </c>
      <c r="B19166" s="2" t="str">
        <f>IFERROR(__xludf.DUMMYFUNCTION("GOOGLETRANSLATE(A19166, ""de"", ""en"")"),"jerk off")</f>
        <v>jerk off</v>
      </c>
    </row>
    <row r="19167">
      <c r="A19167" s="1" t="s">
        <v>19166</v>
      </c>
      <c r="B19167" s="2" t="str">
        <f>IFERROR(__xludf.DUMMYFUNCTION("GOOGLETRANSLATE(A19167, ""de"", ""en"")"),"started")</f>
        <v>started</v>
      </c>
    </row>
    <row r="19168">
      <c r="A19168" s="1" t="s">
        <v>19167</v>
      </c>
      <c r="B19168" s="2" t="str">
        <f>IFERROR(__xludf.DUMMYFUNCTION("GOOGLETRANSLATE(A19168, ""de"", ""en"")"),"federal")</f>
        <v>federal</v>
      </c>
    </row>
    <row r="19169">
      <c r="A19169" s="1" t="s">
        <v>19168</v>
      </c>
      <c r="B19169" s="2" t="str">
        <f>IFERROR(__xludf.DUMMYFUNCTION("GOOGLETRANSLATE(A19169, ""de"", ""en"")"),"hits")</f>
        <v>hits</v>
      </c>
    </row>
    <row r="19170">
      <c r="A19170" s="1" t="s">
        <v>19169</v>
      </c>
      <c r="B19170" s="2" t="str">
        <f>IFERROR(__xludf.DUMMYFUNCTION("GOOGLETRANSLATE(A19170, ""de"", ""en"")"),"seist")</f>
        <v>seist</v>
      </c>
    </row>
    <row r="19171">
      <c r="A19171" s="1" t="s">
        <v>19170</v>
      </c>
      <c r="B19171" s="2" t="str">
        <f>IFERROR(__xludf.DUMMYFUNCTION("GOOGLETRANSLATE(A19171, ""de"", ""en"")"),"mu")</f>
        <v>mu</v>
      </c>
    </row>
    <row r="19172">
      <c r="A19172" s="1" t="s">
        <v>19171</v>
      </c>
      <c r="B19172" s="2" t="str">
        <f>IFERROR(__xludf.DUMMYFUNCTION("GOOGLETRANSLATE(A19172, ""de"", ""en"")"),"residential")</f>
        <v>residential</v>
      </c>
    </row>
    <row r="19173">
      <c r="A19173" s="1" t="s">
        <v>19172</v>
      </c>
      <c r="B19173" s="2" t="str">
        <f>IFERROR(__xludf.DUMMYFUNCTION("GOOGLETRANSLATE(A19173, ""de"", ""en"")"),"cared for")</f>
        <v>cared for</v>
      </c>
    </row>
    <row r="19174">
      <c r="A19174" s="1" t="s">
        <v>19173</v>
      </c>
      <c r="B19174" s="2" t="str">
        <f>IFERROR(__xludf.DUMMYFUNCTION("GOOGLETRANSLATE(A19174, ""de"", ""en"")"),"turn")</f>
        <v>turn</v>
      </c>
    </row>
    <row r="19175">
      <c r="A19175" s="1" t="s">
        <v>19174</v>
      </c>
      <c r="B19175" s="2" t="str">
        <f>IFERROR(__xludf.DUMMYFUNCTION("GOOGLETRANSLATE(A19175, ""de"", ""en"")"),"Jonesy")</f>
        <v>Jonesy</v>
      </c>
    </row>
    <row r="19176">
      <c r="A19176" s="1" t="s">
        <v>19175</v>
      </c>
      <c r="B19176" s="2" t="str">
        <f>IFERROR(__xludf.DUMMYFUNCTION("GOOGLETRANSLATE(A19176, ""de"", ""en"")"),"used")</f>
        <v>used</v>
      </c>
    </row>
    <row r="19177">
      <c r="A19177" s="1" t="s">
        <v>19176</v>
      </c>
      <c r="B19177" s="2" t="str">
        <f>IFERROR(__xludf.DUMMYFUNCTION("GOOGLETRANSLATE(A19177, ""de"", ""en"")"),"elegance")</f>
        <v>elegance</v>
      </c>
    </row>
    <row r="19178">
      <c r="A19178" s="1" t="s">
        <v>19177</v>
      </c>
      <c r="B19178" s="2" t="str">
        <f>IFERROR(__xludf.DUMMYFUNCTION("GOOGLETRANSLATE(A19178, ""de"", ""en"")"),"dog food")</f>
        <v>dog food</v>
      </c>
    </row>
    <row r="19179">
      <c r="A19179" s="1" t="s">
        <v>19178</v>
      </c>
      <c r="B19179" s="2" t="str">
        <f>IFERROR(__xludf.DUMMYFUNCTION("GOOGLETRANSLATE(A19179, ""de"", ""en"")"),"curtsy")</f>
        <v>curtsy</v>
      </c>
    </row>
    <row r="19180">
      <c r="A19180" s="1" t="s">
        <v>19179</v>
      </c>
      <c r="B19180" s="2" t="str">
        <f>IFERROR(__xludf.DUMMYFUNCTION("GOOGLETRANSLATE(A19180, ""de"", ""en"")"),"graves")</f>
        <v>graves</v>
      </c>
    </row>
    <row r="19181">
      <c r="A19181" s="1" t="s">
        <v>19180</v>
      </c>
      <c r="B19181" s="2" t="str">
        <f>IFERROR(__xludf.DUMMYFUNCTION("GOOGLETRANSLATE(A19181, ""de"", ""en"")"),"ophelia")</f>
        <v>ophelia</v>
      </c>
    </row>
    <row r="19182">
      <c r="A19182" s="1" t="s">
        <v>19181</v>
      </c>
      <c r="B19182" s="2" t="str">
        <f>IFERROR(__xludf.DUMMYFUNCTION("GOOGLETRANSLATE(A19182, ""de"", ""en"")"),"alessandro")</f>
        <v>alessandro</v>
      </c>
    </row>
    <row r="19183">
      <c r="A19183" s="1" t="s">
        <v>19182</v>
      </c>
      <c r="B19183" s="2" t="str">
        <f>IFERROR(__xludf.DUMMYFUNCTION("GOOGLETRANSLATE(A19183, ""de"", ""en"")"),"won")</f>
        <v>won</v>
      </c>
    </row>
    <row r="19184">
      <c r="A19184" s="1" t="s">
        <v>19183</v>
      </c>
      <c r="B19184" s="2" t="str">
        <f>IFERROR(__xludf.DUMMYFUNCTION("GOOGLETRANSLATE(A19184, ""de"", ""en"")"),"to appear")</f>
        <v>to appear</v>
      </c>
    </row>
    <row r="19185">
      <c r="A19185" s="1" t="s">
        <v>19184</v>
      </c>
      <c r="B19185" s="2" t="str">
        <f>IFERROR(__xludf.DUMMYFUNCTION("GOOGLETRANSLATE(A19185, ""de"", ""en"")"),"restricted")</f>
        <v>restricted</v>
      </c>
    </row>
    <row r="19186">
      <c r="A19186" s="1" t="s">
        <v>19185</v>
      </c>
      <c r="B19186" s="2" t="str">
        <f>IFERROR(__xludf.DUMMYFUNCTION("GOOGLETRANSLATE(A19186, ""de"", ""en"")"),"boy")</f>
        <v>boy</v>
      </c>
    </row>
    <row r="19187">
      <c r="A19187" s="1" t="s">
        <v>19186</v>
      </c>
      <c r="B19187" s="2" t="str">
        <f>IFERROR(__xludf.DUMMYFUNCTION("GOOGLETRANSLATE(A19187, ""de"", ""en"")"),"float")</f>
        <v>float</v>
      </c>
    </row>
    <row r="19188">
      <c r="A19188" s="1" t="s">
        <v>19187</v>
      </c>
      <c r="B19188" s="2" t="str">
        <f>IFERROR(__xludf.DUMMYFUNCTION("GOOGLETRANSLATE(A19188, ""de"", ""en"")"),"mountains")</f>
        <v>mountains</v>
      </c>
    </row>
    <row r="19189">
      <c r="A19189" s="1" t="s">
        <v>19188</v>
      </c>
      <c r="B19189" s="2" t="str">
        <f>IFERROR(__xludf.DUMMYFUNCTION("GOOGLETRANSLATE(A19189, ""de"", ""en"")"),"chop")</f>
        <v>chop</v>
      </c>
    </row>
    <row r="19190">
      <c r="A19190" s="1" t="s">
        <v>19189</v>
      </c>
      <c r="B19190" s="2" t="str">
        <f>IFERROR(__xludf.DUMMYFUNCTION("GOOGLETRANSLATE(A19190, ""de"", ""en"")"),"serious")</f>
        <v>serious</v>
      </c>
    </row>
    <row r="19191">
      <c r="A19191" s="1" t="s">
        <v>19190</v>
      </c>
      <c r="B19191" s="2" t="str">
        <f>IFERROR(__xludf.DUMMYFUNCTION("GOOGLETRANSLATE(A19191, ""de"", ""en"")"),"console")</f>
        <v>console</v>
      </c>
    </row>
    <row r="19192">
      <c r="A19192" s="1" t="s">
        <v>19191</v>
      </c>
      <c r="B19192" s="2" t="str">
        <f>IFERROR(__xludf.DUMMYFUNCTION("GOOGLETRANSLATE(A19192, ""de"", ""en"")"),"puck")</f>
        <v>puck</v>
      </c>
    </row>
    <row r="19193">
      <c r="A19193" s="1" t="s">
        <v>19192</v>
      </c>
      <c r="B19193" s="2" t="str">
        <f>IFERROR(__xludf.DUMMYFUNCTION("GOOGLETRANSLATE(A19193, ""de"", ""en"")"),"pour")</f>
        <v>pour</v>
      </c>
    </row>
    <row r="19194">
      <c r="A19194" s="1" t="s">
        <v>19193</v>
      </c>
      <c r="B19194" s="2" t="str">
        <f>IFERROR(__xludf.DUMMYFUNCTION("GOOGLETRANSLATE(A19194, ""de"", ""en"")"),"Bernd")</f>
        <v>Bernd</v>
      </c>
    </row>
    <row r="19195">
      <c r="A19195" s="1" t="s">
        <v>19194</v>
      </c>
      <c r="B19195" s="2" t="str">
        <f>IFERROR(__xludf.DUMMYFUNCTION("GOOGLETRANSLATE(A19195, ""de"", ""en"")"),"experienced")</f>
        <v>experienced</v>
      </c>
    </row>
    <row r="19196">
      <c r="A19196" s="1" t="s">
        <v>19195</v>
      </c>
      <c r="B19196" s="2" t="str">
        <f>IFERROR(__xludf.DUMMYFUNCTION("GOOGLETRANSLATE(A19196, ""de"", ""en"")"),"cavanaugh")</f>
        <v>cavanaugh</v>
      </c>
    </row>
    <row r="19197">
      <c r="A19197" s="1" t="s">
        <v>19196</v>
      </c>
      <c r="B19197" s="2" t="str">
        <f>IFERROR(__xludf.DUMMYFUNCTION("GOOGLETRANSLATE(A19197, ""de"", ""en"")"),"eye contact")</f>
        <v>eye contact</v>
      </c>
    </row>
    <row r="19198">
      <c r="A19198" s="1" t="s">
        <v>19197</v>
      </c>
      <c r="B19198" s="2" t="str">
        <f>IFERROR(__xludf.DUMMYFUNCTION("GOOGLETRANSLATE(A19198, ""de"", ""en"")"),"macaroni")</f>
        <v>macaroni</v>
      </c>
    </row>
    <row r="19199">
      <c r="A19199" s="1" t="s">
        <v>19198</v>
      </c>
      <c r="B19199" s="2" t="str">
        <f>IFERROR(__xludf.DUMMYFUNCTION("GOOGLETRANSLATE(A19199, ""de"", ""en"")"),"dough")</f>
        <v>dough</v>
      </c>
    </row>
    <row r="19200">
      <c r="A19200" s="1" t="s">
        <v>19199</v>
      </c>
      <c r="B19200" s="2" t="str">
        <f>IFERROR(__xludf.DUMMYFUNCTION("GOOGLETRANSLATE(A19200, ""de"", ""en"")"),"traditional")</f>
        <v>traditional</v>
      </c>
    </row>
    <row r="19201">
      <c r="A19201" s="1" t="s">
        <v>19200</v>
      </c>
      <c r="B19201" s="2" t="str">
        <f>IFERROR(__xludf.DUMMYFUNCTION("GOOGLETRANSLATE(A19201, ""de"", ""en"")"),"tear out")</f>
        <v>tear out</v>
      </c>
    </row>
    <row r="19202">
      <c r="A19202" s="1" t="s">
        <v>19201</v>
      </c>
      <c r="B19202" s="2" t="str">
        <f>IFERROR(__xludf.DUMMYFUNCTION("GOOGLETRANSLATE(A19202, ""de"", ""en"")"),"drive a car")</f>
        <v>drive a car</v>
      </c>
    </row>
    <row r="19203">
      <c r="A19203" s="1" t="s">
        <v>19202</v>
      </c>
      <c r="B19203" s="2" t="str">
        <f>IFERROR(__xludf.DUMMYFUNCTION("GOOGLETRANSLATE(A19203, ""de"", ""en"")"),"latest")</f>
        <v>latest</v>
      </c>
    </row>
    <row r="19204">
      <c r="A19204" s="1" t="s">
        <v>19203</v>
      </c>
      <c r="B19204" s="2" t="str">
        <f>IFERROR(__xludf.DUMMYFUNCTION("GOOGLETRANSLATE(A19204, ""de"", ""en"")"),"blondes")</f>
        <v>blondes</v>
      </c>
    </row>
    <row r="19205">
      <c r="A19205" s="1" t="s">
        <v>19204</v>
      </c>
      <c r="B19205" s="2" t="str">
        <f>IFERROR(__xludf.DUMMYFUNCTION("GOOGLETRANSLATE(A19205, ""de"", ""en"")"),"gorman")</f>
        <v>gorman</v>
      </c>
    </row>
    <row r="19206">
      <c r="A19206" s="1" t="s">
        <v>19205</v>
      </c>
      <c r="B19206" s="2" t="str">
        <f>IFERROR(__xludf.DUMMYFUNCTION("GOOGLETRANSLATE(A19206, ""de"", ""en"")"),"amok")</f>
        <v>amok</v>
      </c>
    </row>
    <row r="19207">
      <c r="A19207" s="1" t="s">
        <v>19206</v>
      </c>
      <c r="B19207" s="2" t="str">
        <f>IFERROR(__xludf.DUMMYFUNCTION("GOOGLETRANSLATE(A19207, ""de"", ""en"")"),"turn off")</f>
        <v>turn off</v>
      </c>
    </row>
    <row r="19208">
      <c r="A19208" s="1" t="s">
        <v>19207</v>
      </c>
      <c r="B19208" s="2" t="str">
        <f>IFERROR(__xludf.DUMMYFUNCTION("GOOGLETRANSLATE(A19208, ""de"", ""en"")"),"ripped out")</f>
        <v>ripped out</v>
      </c>
    </row>
    <row r="19209">
      <c r="A19209" s="1" t="s">
        <v>19208</v>
      </c>
      <c r="B19209" s="2" t="str">
        <f>IFERROR(__xludf.DUMMYFUNCTION("GOOGLETRANSLATE(A19209, ""de"", ""en"")"),"electrical")</f>
        <v>electrical</v>
      </c>
    </row>
    <row r="19210">
      <c r="A19210" s="1" t="s">
        <v>19209</v>
      </c>
      <c r="B19210" s="2" t="str">
        <f>IFERROR(__xludf.DUMMYFUNCTION("GOOGLETRANSLATE(A19210, ""de"", ""en"")"),"subjected")</f>
        <v>subjected</v>
      </c>
    </row>
    <row r="19211">
      <c r="A19211" s="1" t="s">
        <v>19210</v>
      </c>
      <c r="B19211" s="2" t="str">
        <f>IFERROR(__xludf.DUMMYFUNCTION("GOOGLETRANSLATE(A19211, ""de"", ""en"")"),"eating")</f>
        <v>eating</v>
      </c>
    </row>
    <row r="19212">
      <c r="A19212" s="1" t="s">
        <v>19211</v>
      </c>
      <c r="B19212" s="2" t="str">
        <f>IFERROR(__xludf.DUMMYFUNCTION("GOOGLETRANSLATE(A19212, ""de"", ""en"")"),"extension")</f>
        <v>extension</v>
      </c>
    </row>
    <row r="19213">
      <c r="A19213" s="1" t="s">
        <v>19212</v>
      </c>
      <c r="B19213" s="2" t="str">
        <f>IFERROR(__xludf.DUMMYFUNCTION("GOOGLETRANSLATE(A19213, ""de"", ""en"")"),"contact person")</f>
        <v>contact person</v>
      </c>
    </row>
    <row r="19214">
      <c r="A19214" s="1" t="s">
        <v>19213</v>
      </c>
      <c r="B19214" s="2" t="str">
        <f>IFERROR(__xludf.DUMMYFUNCTION("GOOGLETRANSLATE(A19214, ""de"", ""en"")"),"50s")</f>
        <v>50s</v>
      </c>
    </row>
    <row r="19215">
      <c r="A19215" s="1" t="s">
        <v>19214</v>
      </c>
      <c r="B19215" s="2" t="str">
        <f>IFERROR(__xludf.DUMMYFUNCTION("GOOGLETRANSLATE(A19215, ""de"", ""en"")"),"simplest")</f>
        <v>simplest</v>
      </c>
    </row>
    <row r="19216">
      <c r="A19216" s="1" t="s">
        <v>19215</v>
      </c>
      <c r="B19216" s="2" t="str">
        <f>IFERROR(__xludf.DUMMYFUNCTION("GOOGLETRANSLATE(A19216, ""de"", ""en"")"),"refrain from")</f>
        <v>refrain from</v>
      </c>
    </row>
    <row r="19217">
      <c r="A19217" s="1" t="s">
        <v>19216</v>
      </c>
      <c r="B19217" s="2" t="str">
        <f>IFERROR(__xludf.DUMMYFUNCTION("GOOGLETRANSLATE(A19217, ""de"", ""en"")"),"visa")</f>
        <v>visa</v>
      </c>
    </row>
    <row r="19218">
      <c r="A19218" s="1" t="s">
        <v>19217</v>
      </c>
      <c r="B19218" s="2" t="str">
        <f>IFERROR(__xludf.DUMMYFUNCTION("GOOGLETRANSLATE(A19218, ""de"", ""en"")"),"sick")</f>
        <v>sick</v>
      </c>
    </row>
    <row r="19219">
      <c r="A19219" s="1" t="s">
        <v>19218</v>
      </c>
      <c r="B19219" s="2" t="str">
        <f>IFERROR(__xludf.DUMMYFUNCTION("GOOGLETRANSLATE(A19219, ""de"", ""en"")"),"exposed")</f>
        <v>exposed</v>
      </c>
    </row>
    <row r="19220">
      <c r="A19220" s="1" t="s">
        <v>19219</v>
      </c>
      <c r="B19220" s="2" t="str">
        <f>IFERROR(__xludf.DUMMYFUNCTION("GOOGLETRANSLATE(A19220, ""de"", ""en"")"),"interpret")</f>
        <v>interpret</v>
      </c>
    </row>
    <row r="19221">
      <c r="A19221" s="1" t="s">
        <v>19220</v>
      </c>
      <c r="B19221" s="2" t="str">
        <f>IFERROR(__xludf.DUMMYFUNCTION("GOOGLETRANSLATE(A19221, ""de"", ""en"")"),"sharp")</f>
        <v>sharp</v>
      </c>
    </row>
    <row r="19222">
      <c r="A19222" s="1" t="s">
        <v>19221</v>
      </c>
      <c r="B19222" s="2" t="str">
        <f>IFERROR(__xludf.DUMMYFUNCTION("GOOGLETRANSLATE(A19222, ""de"", ""en"")"),"outrageous")</f>
        <v>outrageous</v>
      </c>
    </row>
    <row r="19223">
      <c r="A19223" s="1" t="s">
        <v>19222</v>
      </c>
      <c r="B19223" s="2" t="str">
        <f>IFERROR(__xludf.DUMMYFUNCTION("GOOGLETRANSLATE(A19223, ""de"", ""en"")"),"go well")</f>
        <v>go well</v>
      </c>
    </row>
    <row r="19224">
      <c r="A19224" s="1" t="s">
        <v>19223</v>
      </c>
      <c r="B19224" s="2" t="str">
        <f>IFERROR(__xludf.DUMMYFUNCTION("GOOGLETRANSLATE(A19224, ""de"", ""en"")"),"lapping")</f>
        <v>lapping</v>
      </c>
    </row>
    <row r="19225">
      <c r="A19225" s="1" t="s">
        <v>19224</v>
      </c>
      <c r="B19225" s="2" t="str">
        <f>IFERROR(__xludf.DUMMYFUNCTION("GOOGLETRANSLATE(A19225, ""de"", ""en"")"),"helpful")</f>
        <v>helpful</v>
      </c>
    </row>
    <row r="19226">
      <c r="A19226" s="1" t="s">
        <v>19225</v>
      </c>
      <c r="B19226" s="2" t="str">
        <f>IFERROR(__xludf.DUMMYFUNCTION("GOOGLETRANSLATE(A19226, ""de"", ""en"")"),"ramos")</f>
        <v>ramos</v>
      </c>
    </row>
    <row r="19227">
      <c r="A19227" s="1" t="s">
        <v>19226</v>
      </c>
      <c r="B19227" s="2" t="str">
        <f>IFERROR(__xludf.DUMMYFUNCTION("GOOGLETRANSLATE(A19227, ""de"", ""en"")"),"flags")</f>
        <v>flags</v>
      </c>
    </row>
    <row r="19228">
      <c r="A19228" s="1" t="s">
        <v>19227</v>
      </c>
      <c r="B19228" s="2" t="str">
        <f>IFERROR(__xludf.DUMMYFUNCTION("GOOGLETRANSLATE(A19228, ""de"", ""en"")"),"coyotes")</f>
        <v>coyotes</v>
      </c>
    </row>
    <row r="19229">
      <c r="A19229" s="1" t="s">
        <v>19228</v>
      </c>
      <c r="B19229" s="2" t="str">
        <f>IFERROR(__xludf.DUMMYFUNCTION("GOOGLETRANSLATE(A19229, ""de"", ""en"")"),"colored")</f>
        <v>colored</v>
      </c>
    </row>
    <row r="19230">
      <c r="A19230" s="1" t="s">
        <v>19229</v>
      </c>
      <c r="B19230" s="2" t="str">
        <f>IFERROR(__xludf.DUMMYFUNCTION("GOOGLETRANSLATE(A19230, ""de"", ""en"")"),"to move")</f>
        <v>to move</v>
      </c>
    </row>
    <row r="19231">
      <c r="A19231" s="1" t="s">
        <v>19230</v>
      </c>
      <c r="B19231" s="2" t="str">
        <f>IFERROR(__xludf.DUMMYFUNCTION("GOOGLETRANSLATE(A19231, ""de"", ""en"")"),"served")</f>
        <v>served</v>
      </c>
    </row>
    <row r="19232">
      <c r="A19232" s="1" t="s">
        <v>19231</v>
      </c>
      <c r="B19232" s="2" t="str">
        <f>IFERROR(__xludf.DUMMYFUNCTION("GOOGLETRANSLATE(A19232, ""de"", ""en"")"),"jets")</f>
        <v>jets</v>
      </c>
    </row>
    <row r="19233">
      <c r="A19233" s="1" t="s">
        <v>19232</v>
      </c>
      <c r="B19233" s="2" t="str">
        <f>IFERROR(__xludf.DUMMYFUNCTION("GOOGLETRANSLATE(A19233, ""de"", ""en"")"),"thatcher")</f>
        <v>thatcher</v>
      </c>
    </row>
    <row r="19234">
      <c r="A19234" s="1" t="s">
        <v>19233</v>
      </c>
      <c r="B19234" s="2" t="str">
        <f>IFERROR(__xludf.DUMMYFUNCTION("GOOGLETRANSLATE(A19234, ""de"", ""en"")"),"carpets")</f>
        <v>carpets</v>
      </c>
    </row>
    <row r="19235">
      <c r="A19235" s="1" t="s">
        <v>19234</v>
      </c>
      <c r="B19235" s="2" t="str">
        <f>IFERROR(__xludf.DUMMYFUNCTION("GOOGLETRANSLATE(A19235, ""de"", ""en"")"),"casual")</f>
        <v>casual</v>
      </c>
    </row>
    <row r="19236">
      <c r="A19236" s="1" t="s">
        <v>19235</v>
      </c>
      <c r="B19236" s="2" t="str">
        <f>IFERROR(__xludf.DUMMYFUNCTION("GOOGLETRANSLATE(A19236, ""de"", ""en"")"),"refreshment")</f>
        <v>refreshment</v>
      </c>
    </row>
    <row r="19237">
      <c r="A19237" s="1" t="s">
        <v>19236</v>
      </c>
      <c r="B19237" s="2" t="str">
        <f>IFERROR(__xludf.DUMMYFUNCTION("GOOGLETRANSLATE(A19237, ""de"", ""en"")"),"arrangements")</f>
        <v>arrangements</v>
      </c>
    </row>
    <row r="19238">
      <c r="A19238" s="1" t="s">
        <v>19237</v>
      </c>
      <c r="B19238" s="2" t="str">
        <f>IFERROR(__xludf.DUMMYFUNCTION("GOOGLETRANSLATE(A19238, ""de"", ""en"")"),"Latin")</f>
        <v>Latin</v>
      </c>
    </row>
    <row r="19239">
      <c r="A19239" s="1" t="s">
        <v>19238</v>
      </c>
      <c r="B19239" s="2" t="str">
        <f>IFERROR(__xludf.DUMMYFUNCTION("GOOGLETRANSLATE(A19239, ""de"", ""en"")"),"added")</f>
        <v>added</v>
      </c>
    </row>
    <row r="19240">
      <c r="A19240" s="1" t="s">
        <v>19239</v>
      </c>
      <c r="B19240" s="2" t="str">
        <f>IFERROR(__xludf.DUMMYFUNCTION("GOOGLETRANSLATE(A19240, ""de"", ""en"")"),"hardest")</f>
        <v>hardest</v>
      </c>
    </row>
    <row r="19241">
      <c r="A19241" s="1" t="s">
        <v>19240</v>
      </c>
      <c r="B19241" s="2" t="str">
        <f>IFERROR(__xludf.DUMMYFUNCTION("GOOGLETRANSLATE(A19241, ""de"", ""en"")"),"club")</f>
        <v>club</v>
      </c>
    </row>
    <row r="19242">
      <c r="A19242" s="1" t="s">
        <v>19241</v>
      </c>
      <c r="B19242" s="2" t="str">
        <f>IFERROR(__xludf.DUMMYFUNCTION("GOOGLETRANSLATE(A19242, ""de"", ""en"")"),"devilish")</f>
        <v>devilish</v>
      </c>
    </row>
    <row r="19243">
      <c r="A19243" s="1" t="s">
        <v>19242</v>
      </c>
      <c r="B19243" s="2" t="str">
        <f>IFERROR(__xludf.DUMMYFUNCTION("GOOGLETRANSLATE(A19243, ""de"", ""en"")"),"clearing")</f>
        <v>clearing</v>
      </c>
    </row>
    <row r="19244">
      <c r="A19244" s="1" t="s">
        <v>19243</v>
      </c>
      <c r="B19244" s="2" t="str">
        <f>IFERROR(__xludf.DUMMYFUNCTION("GOOGLETRANSLATE(A19244, ""de"", ""en"")"),"wasted")</f>
        <v>wasted</v>
      </c>
    </row>
    <row r="19245">
      <c r="A19245" s="1" t="s">
        <v>19244</v>
      </c>
      <c r="B19245" s="2" t="str">
        <f>IFERROR(__xludf.DUMMYFUNCTION("GOOGLETRANSLATE(A19245, ""de"", ""en"")"),"arts")</f>
        <v>arts</v>
      </c>
    </row>
    <row r="19246">
      <c r="A19246" s="1" t="s">
        <v>19245</v>
      </c>
      <c r="B19246" s="2" t="str">
        <f>IFERROR(__xludf.DUMMYFUNCTION("GOOGLETRANSLATE(A19246, ""de"", ""en"")"),"help out")</f>
        <v>help out</v>
      </c>
    </row>
    <row r="19247">
      <c r="A19247" s="1" t="s">
        <v>19246</v>
      </c>
      <c r="B19247" s="2" t="str">
        <f>IFERROR(__xludf.DUMMYFUNCTION("GOOGLETRANSLATE(A19247, ""de"", ""en"")"),"otherwise")</f>
        <v>otherwise</v>
      </c>
    </row>
    <row r="19248">
      <c r="A19248" s="1" t="s">
        <v>19247</v>
      </c>
      <c r="B19248" s="2" t="str">
        <f>IFERROR(__xludf.DUMMYFUNCTION("GOOGLETRANSLATE(A19248, ""de"", ""en"")"),"blonde")</f>
        <v>blonde</v>
      </c>
    </row>
    <row r="19249">
      <c r="A19249" s="1" t="s">
        <v>19248</v>
      </c>
      <c r="B19249" s="2" t="str">
        <f>IFERROR(__xludf.DUMMYFUNCTION("GOOGLETRANSLATE(A19249, ""de"", ""en"")"),"instinctively")</f>
        <v>instinctively</v>
      </c>
    </row>
    <row r="19250">
      <c r="A19250" s="1" t="s">
        <v>19249</v>
      </c>
      <c r="B19250" s="2" t="str">
        <f>IFERROR(__xludf.DUMMYFUNCTION("GOOGLETRANSLATE(A19250, ""de"", ""en"")"),"soft")</f>
        <v>soft</v>
      </c>
    </row>
    <row r="19251">
      <c r="A19251" s="1" t="s">
        <v>19250</v>
      </c>
      <c r="B19251" s="2" t="str">
        <f>IFERROR(__xludf.DUMMYFUNCTION("GOOGLETRANSLATE(A19251, ""de"", ""en"")"),"digital")</f>
        <v>digital</v>
      </c>
    </row>
    <row r="19252">
      <c r="A19252" s="1" t="s">
        <v>19251</v>
      </c>
      <c r="B19252" s="2" t="str">
        <f>IFERROR(__xludf.DUMMYFUNCTION("GOOGLETRANSLATE(A19252, ""de"", ""en"")"),"inscription")</f>
        <v>inscription</v>
      </c>
    </row>
    <row r="19253">
      <c r="A19253" s="1" t="s">
        <v>19252</v>
      </c>
      <c r="B19253" s="2" t="str">
        <f>IFERROR(__xludf.DUMMYFUNCTION("GOOGLETRANSLATE(A19253, ""de"", ""en"")"),"freeman")</f>
        <v>freeman</v>
      </c>
    </row>
    <row r="19254">
      <c r="A19254" s="1" t="s">
        <v>19253</v>
      </c>
      <c r="B19254" s="2" t="str">
        <f>IFERROR(__xludf.DUMMYFUNCTION("GOOGLETRANSLATE(A19254, ""de"", ""en"")"),"knowing")</f>
        <v>knowing</v>
      </c>
    </row>
    <row r="19255">
      <c r="A19255" s="1" t="s">
        <v>19254</v>
      </c>
      <c r="B19255" s="2" t="str">
        <f>IFERROR(__xludf.DUMMYFUNCTION("GOOGLETRANSLATE(A19255, ""de"", ""en"")"),"disturbed")</f>
        <v>disturbed</v>
      </c>
    </row>
    <row r="19256">
      <c r="A19256" s="1" t="s">
        <v>19255</v>
      </c>
      <c r="B19256" s="2" t="str">
        <f>IFERROR(__xludf.DUMMYFUNCTION("GOOGLETRANSLATE(A19256, ""de"", ""en"")"),"dismembered")</f>
        <v>dismembered</v>
      </c>
    </row>
    <row r="19257">
      <c r="A19257" s="1" t="s">
        <v>19256</v>
      </c>
      <c r="B19257" s="2" t="str">
        <f>IFERROR(__xludf.DUMMYFUNCTION("GOOGLETRANSLATE(A19257, ""de"", ""en"")"),"avalanche")</f>
        <v>avalanche</v>
      </c>
    </row>
    <row r="19258">
      <c r="A19258" s="1" t="s">
        <v>19257</v>
      </c>
      <c r="B19258" s="2" t="str">
        <f>IFERROR(__xludf.DUMMYFUNCTION("GOOGLETRANSLATE(A19258, ""de"", ""en"")"),"to capture")</f>
        <v>to capture</v>
      </c>
    </row>
    <row r="19259">
      <c r="A19259" s="1" t="s">
        <v>19258</v>
      </c>
      <c r="B19259" s="2" t="str">
        <f>IFERROR(__xludf.DUMMYFUNCTION("GOOGLETRANSLATE(A19259, ""de"", ""en"")"),"reliable")</f>
        <v>reliable</v>
      </c>
    </row>
    <row r="19260">
      <c r="A19260" s="1" t="s">
        <v>19259</v>
      </c>
      <c r="B19260" s="2" t="str">
        <f>IFERROR(__xludf.DUMMYFUNCTION("GOOGLETRANSLATE(A19260, ""de"", ""en"")"),"against what")</f>
        <v>against what</v>
      </c>
    </row>
    <row r="19261">
      <c r="A19261" s="1" t="s">
        <v>19260</v>
      </c>
      <c r="B19261" s="2" t="str">
        <f>IFERROR(__xludf.DUMMYFUNCTION("GOOGLETRANSLATE(A19261, ""de"", ""en"")"),"locked out")</f>
        <v>locked out</v>
      </c>
    </row>
    <row r="19262">
      <c r="A19262" s="1" t="s">
        <v>19261</v>
      </c>
      <c r="B19262" s="2" t="str">
        <f>IFERROR(__xludf.DUMMYFUNCTION("GOOGLETRANSLATE(A19262, ""de"", ""en"")"),"colored")</f>
        <v>colored</v>
      </c>
    </row>
    <row r="19263">
      <c r="A19263" s="1" t="s">
        <v>19262</v>
      </c>
      <c r="B19263" s="2" t="str">
        <f>IFERROR(__xludf.DUMMYFUNCTION("GOOGLETRANSLATE(A19263, ""de"", ""en"")"),"settle")</f>
        <v>settle</v>
      </c>
    </row>
    <row r="19264">
      <c r="A19264" s="1" t="s">
        <v>19263</v>
      </c>
      <c r="B19264" s="2" t="str">
        <f>IFERROR(__xludf.DUMMYFUNCTION("GOOGLETRANSLATE(A19264, ""de"", ""en"")"),"social")</f>
        <v>social</v>
      </c>
    </row>
    <row r="19265">
      <c r="A19265" s="1" t="s">
        <v>19264</v>
      </c>
      <c r="B19265" s="2" t="str">
        <f>IFERROR(__xludf.DUMMYFUNCTION("GOOGLETRANSLATE(A19265, ""de"", ""en"")"),"corrupt")</f>
        <v>corrupt</v>
      </c>
    </row>
    <row r="19266">
      <c r="A19266" s="1" t="s">
        <v>19265</v>
      </c>
      <c r="B19266" s="2" t="str">
        <f>IFERROR(__xludf.DUMMYFUNCTION("GOOGLETRANSLATE(A19266, ""de"", ""en"")"),"pants shit")</f>
        <v>pants shit</v>
      </c>
    </row>
    <row r="19267">
      <c r="A19267" s="1" t="s">
        <v>19266</v>
      </c>
      <c r="B19267" s="2" t="str">
        <f>IFERROR(__xludf.DUMMYFUNCTION("GOOGLETRANSLATE(A19267, ""de"", ""en"")"),"group")</f>
        <v>group</v>
      </c>
    </row>
    <row r="19268">
      <c r="A19268" s="1" t="s">
        <v>19267</v>
      </c>
      <c r="B19268" s="2" t="str">
        <f>IFERROR(__xludf.DUMMYFUNCTION("GOOGLETRANSLATE(A19268, ""de"", ""en"")"),"contemptuous")</f>
        <v>contemptuous</v>
      </c>
    </row>
    <row r="19269">
      <c r="A19269" s="1" t="s">
        <v>19268</v>
      </c>
      <c r="B19269" s="2" t="str">
        <f>IFERROR(__xludf.DUMMYFUNCTION("GOOGLETRANSLATE(A19269, ""de"", ""en"")"),"bev")</f>
        <v>bev</v>
      </c>
    </row>
    <row r="19270">
      <c r="A19270" s="1" t="s">
        <v>19269</v>
      </c>
      <c r="B19270" s="2" t="str">
        <f>IFERROR(__xludf.DUMMYFUNCTION("GOOGLETRANSLATE(A19270, ""de"", ""en"")"),"pathetic")</f>
        <v>pathetic</v>
      </c>
    </row>
    <row r="19271">
      <c r="A19271" s="1" t="s">
        <v>19270</v>
      </c>
      <c r="B19271" s="2" t="str">
        <f>IFERROR(__xludf.DUMMYFUNCTION("GOOGLETRANSLATE(A19271, ""de"", ""en"")"),"holiday camp")</f>
        <v>holiday camp</v>
      </c>
    </row>
    <row r="19272">
      <c r="A19272" s="1" t="s">
        <v>19271</v>
      </c>
      <c r="B19272" s="2" t="str">
        <f>IFERROR(__xludf.DUMMYFUNCTION("GOOGLETRANSLATE(A19272, ""de"", ""en"")"),"hybrids")</f>
        <v>hybrids</v>
      </c>
    </row>
    <row r="19273">
      <c r="A19273" s="1" t="s">
        <v>19272</v>
      </c>
      <c r="B19273" s="2" t="str">
        <f>IFERROR(__xludf.DUMMYFUNCTION("GOOGLETRANSLATE(A19273, ""de"", ""en"")"),"farewell gift")</f>
        <v>farewell gift</v>
      </c>
    </row>
    <row r="19274">
      <c r="A19274" s="1" t="s">
        <v>19273</v>
      </c>
      <c r="B19274" s="2" t="str">
        <f>IFERROR(__xludf.DUMMYFUNCTION("GOOGLETRANSLATE(A19274, ""de"", ""en"")"),"magnet")</f>
        <v>magnet</v>
      </c>
    </row>
    <row r="19275">
      <c r="A19275" s="1" t="s">
        <v>19274</v>
      </c>
      <c r="B19275" s="2" t="str">
        <f>IFERROR(__xludf.DUMMYFUNCTION("GOOGLETRANSLATE(A19275, ""de"", ""en"")"),"to comply")</f>
        <v>to comply</v>
      </c>
    </row>
    <row r="19276">
      <c r="A19276" s="1" t="s">
        <v>19275</v>
      </c>
      <c r="B19276" s="2" t="str">
        <f>IFERROR(__xludf.DUMMYFUNCTION("GOOGLETRANSLATE(A19276, ""de"", ""en"")"),"hectic")</f>
        <v>hectic</v>
      </c>
    </row>
    <row r="19277">
      <c r="A19277" s="1" t="s">
        <v>19276</v>
      </c>
      <c r="B19277" s="2" t="str">
        <f>IFERROR(__xludf.DUMMYFUNCTION("GOOGLETRANSLATE(A19277, ""de"", ""en"")"),"organic")</f>
        <v>organic</v>
      </c>
    </row>
    <row r="19278">
      <c r="A19278" s="1" t="s">
        <v>19277</v>
      </c>
      <c r="B19278" s="2" t="str">
        <f>IFERROR(__xludf.DUMMYFUNCTION("GOOGLETRANSLATE(A19278, ""de"", ""en"")"),"organize")</f>
        <v>organize</v>
      </c>
    </row>
    <row r="19279">
      <c r="A19279" s="1" t="s">
        <v>19278</v>
      </c>
      <c r="B19279" s="2" t="str">
        <f>IFERROR(__xludf.DUMMYFUNCTION("GOOGLETRANSLATE(A19279, ""de"", ""en"")"),"antidepressants")</f>
        <v>antidepressants</v>
      </c>
    </row>
    <row r="19280">
      <c r="A19280" s="1" t="s">
        <v>19279</v>
      </c>
      <c r="B19280" s="2" t="str">
        <f>IFERROR(__xludf.DUMMYFUNCTION("GOOGLETRANSLATE(A19280, ""de"", ""en"")"),"drunk")</f>
        <v>drunk</v>
      </c>
    </row>
    <row r="19281">
      <c r="A19281" s="1" t="s">
        <v>19280</v>
      </c>
      <c r="B19281" s="2" t="str">
        <f>IFERROR(__xludf.DUMMYFUNCTION("GOOGLETRANSLATE(A19281, ""de"", ""en"")"),"son")</f>
        <v>son</v>
      </c>
    </row>
    <row r="19282">
      <c r="A19282" s="1" t="s">
        <v>19281</v>
      </c>
      <c r="B19282" s="2" t="str">
        <f>IFERROR(__xludf.DUMMYFUNCTION("GOOGLETRANSLATE(A19282, ""de"", ""en"")"),"indescribable")</f>
        <v>indescribable</v>
      </c>
    </row>
    <row r="19283">
      <c r="A19283" s="1" t="s">
        <v>19282</v>
      </c>
      <c r="B19283" s="2" t="str">
        <f>IFERROR(__xludf.DUMMYFUNCTION("GOOGLETRANSLATE(A19283, ""de"", ""en"")"),"top")</f>
        <v>top</v>
      </c>
    </row>
    <row r="19284">
      <c r="A19284" s="1" t="s">
        <v>19283</v>
      </c>
      <c r="B19284" s="2" t="str">
        <f>IFERROR(__xludf.DUMMYFUNCTION("GOOGLETRANSLATE(A19284, ""de"", ""en"")"),"separatists")</f>
        <v>separatists</v>
      </c>
    </row>
    <row r="19285">
      <c r="A19285" s="1" t="s">
        <v>19284</v>
      </c>
      <c r="B19285" s="2" t="str">
        <f>IFERROR(__xludf.DUMMYFUNCTION("GOOGLETRANSLATE(A19285, ""de"", ""en"")"),"candidacy")</f>
        <v>candidacy</v>
      </c>
    </row>
    <row r="19286">
      <c r="A19286" s="1" t="s">
        <v>19285</v>
      </c>
      <c r="B19286" s="2" t="str">
        <f>IFERROR(__xludf.DUMMYFUNCTION("GOOGLETRANSLATE(A19286, ""de"", ""en"")"),"ten thousand")</f>
        <v>ten thousand</v>
      </c>
    </row>
    <row r="19287">
      <c r="A19287" s="1" t="s">
        <v>19286</v>
      </c>
      <c r="B19287" s="2" t="str">
        <f>IFERROR(__xludf.DUMMYFUNCTION("GOOGLETRANSLATE(A19287, ""de"", ""en"")"),"legendary")</f>
        <v>legendary</v>
      </c>
    </row>
    <row r="19288">
      <c r="A19288" s="1" t="s">
        <v>19287</v>
      </c>
      <c r="B19288" s="2" t="str">
        <f>IFERROR(__xludf.DUMMYFUNCTION("GOOGLETRANSLATE(A19288, ""de"", ""en"")"),"gonzales")</f>
        <v>gonzales</v>
      </c>
    </row>
    <row r="19289">
      <c r="A19289" s="1" t="s">
        <v>19288</v>
      </c>
      <c r="B19289" s="2" t="str">
        <f>IFERROR(__xludf.DUMMYFUNCTION("GOOGLETRANSLATE(A19289, ""de"", ""en"")"),"torchwood")</f>
        <v>torchwood</v>
      </c>
    </row>
    <row r="19290">
      <c r="A19290" s="1" t="s">
        <v>19289</v>
      </c>
      <c r="B19290" s="2" t="str">
        <f>IFERROR(__xludf.DUMMYFUNCTION("GOOGLETRANSLATE(A19290, ""de"", ""en"")"),"moisture")</f>
        <v>moisture</v>
      </c>
    </row>
    <row r="19291">
      <c r="A19291" s="1" t="s">
        <v>19290</v>
      </c>
      <c r="B19291" s="2" t="str">
        <f>IFERROR(__xludf.DUMMYFUNCTION("GOOGLETRANSLATE(A19291, ""de"", ""en"")"),"buzzes")</f>
        <v>buzzes</v>
      </c>
    </row>
    <row r="19292">
      <c r="A19292" s="1" t="s">
        <v>19291</v>
      </c>
      <c r="B19292" s="2" t="str">
        <f>IFERROR(__xludf.DUMMYFUNCTION("GOOGLETRANSLATE(A19292, ""de"", ""en"")"),"dustin")</f>
        <v>dustin</v>
      </c>
    </row>
    <row r="19293">
      <c r="A19293" s="1" t="s">
        <v>19292</v>
      </c>
      <c r="B19293" s="2" t="str">
        <f>IFERROR(__xludf.DUMMYFUNCTION("GOOGLETRANSLATE(A19293, ""de"", ""en"")"),"toddler")</f>
        <v>toddler</v>
      </c>
    </row>
    <row r="19294">
      <c r="A19294" s="1" t="s">
        <v>19293</v>
      </c>
      <c r="B19294" s="2" t="str">
        <f>IFERROR(__xludf.DUMMYFUNCTION("GOOGLETRANSLATE(A19294, ""de"", ""en"")"),"cadaver")</f>
        <v>cadaver</v>
      </c>
    </row>
    <row r="19295">
      <c r="A19295" s="1" t="s">
        <v>19294</v>
      </c>
      <c r="B19295" s="2" t="str">
        <f>IFERROR(__xludf.DUMMYFUNCTION("GOOGLETRANSLATE(A19295, ""de"", ""en"")"),"milos")</f>
        <v>milos</v>
      </c>
    </row>
    <row r="19296">
      <c r="A19296" s="1" t="s">
        <v>19295</v>
      </c>
      <c r="B19296" s="2" t="str">
        <f>IFERROR(__xludf.DUMMYFUNCTION("GOOGLETRANSLATE(A19296, ""de"", ""en"")"),"communicated")</f>
        <v>communicated</v>
      </c>
    </row>
    <row r="19297">
      <c r="A19297" s="1" t="s">
        <v>19296</v>
      </c>
      <c r="B19297" s="2" t="str">
        <f>IFERROR(__xludf.DUMMYFUNCTION("GOOGLETRANSLATE(A19297, ""de"", ""en"")"),"alden")</f>
        <v>alden</v>
      </c>
    </row>
    <row r="19298">
      <c r="A19298" s="1" t="s">
        <v>19297</v>
      </c>
      <c r="B19298" s="2" t="str">
        <f>IFERROR(__xludf.DUMMYFUNCTION("GOOGLETRANSLATE(A19298, ""de"", ""en"")"),"big")</f>
        <v>big</v>
      </c>
    </row>
    <row r="19299">
      <c r="A19299" s="1" t="s">
        <v>19298</v>
      </c>
      <c r="B19299" s="2" t="str">
        <f>IFERROR(__xludf.DUMMYFUNCTION("GOOGLETRANSLATE(A19299, ""de"", ""en"")"),"Giorgio")</f>
        <v>Giorgio</v>
      </c>
    </row>
    <row r="19300">
      <c r="A19300" s="1" t="s">
        <v>19299</v>
      </c>
      <c r="B19300" s="2" t="str">
        <f>IFERROR(__xludf.DUMMYFUNCTION("GOOGLETRANSLATE(A19300, ""de"", ""en"")"),"insensitive")</f>
        <v>insensitive</v>
      </c>
    </row>
    <row r="19301">
      <c r="A19301" s="1" t="s">
        <v>19300</v>
      </c>
      <c r="B19301" s="2" t="str">
        <f>IFERROR(__xludf.DUMMYFUNCTION("GOOGLETRANSLATE(A19301, ""de"", ""en"")"),"disgusting")</f>
        <v>disgusting</v>
      </c>
    </row>
    <row r="19302">
      <c r="A19302" s="1" t="s">
        <v>19301</v>
      </c>
      <c r="B19302" s="2" t="str">
        <f>IFERROR(__xludf.DUMMYFUNCTION("GOOGLETRANSLATE(A19302, ""de"", ""en"")"),"immature")</f>
        <v>immature</v>
      </c>
    </row>
    <row r="19303">
      <c r="A19303" s="1" t="s">
        <v>19302</v>
      </c>
      <c r="B19303" s="2" t="str">
        <f>IFERROR(__xludf.DUMMYFUNCTION("GOOGLETRANSLATE(A19303, ""de"", ""en"")"),"to continue")</f>
        <v>to continue</v>
      </c>
    </row>
    <row r="19304">
      <c r="A19304" s="1" t="s">
        <v>19303</v>
      </c>
      <c r="B19304" s="2" t="str">
        <f>IFERROR(__xludf.DUMMYFUNCTION("GOOGLETRANSLATE(A19304, ""de"", ""en"")"),"displeased")</f>
        <v>displeased</v>
      </c>
    </row>
    <row r="19305">
      <c r="A19305" s="1" t="s">
        <v>19304</v>
      </c>
      <c r="B19305" s="2" t="str">
        <f>IFERROR(__xludf.DUMMYFUNCTION("GOOGLETRANSLATE(A19305, ""de"", ""en"")"),"richest")</f>
        <v>richest</v>
      </c>
    </row>
    <row r="19306">
      <c r="A19306" s="1" t="s">
        <v>19305</v>
      </c>
      <c r="B19306" s="2" t="str">
        <f>IFERROR(__xludf.DUMMYFUNCTION("GOOGLETRANSLATE(A19306, ""de"", ""en"")"),"snoop")</f>
        <v>snoop</v>
      </c>
    </row>
    <row r="19307">
      <c r="A19307" s="1" t="s">
        <v>19306</v>
      </c>
      <c r="B19307" s="2" t="str">
        <f>IFERROR(__xludf.DUMMYFUNCTION("GOOGLETRANSLATE(A19307, ""de"", ""en"")"),"beadle")</f>
        <v>beadle</v>
      </c>
    </row>
    <row r="19308">
      <c r="A19308" s="1" t="s">
        <v>19307</v>
      </c>
      <c r="B19308" s="2" t="str">
        <f>IFERROR(__xludf.DUMMYFUNCTION("GOOGLETRANSLATE(A19308, ""de"", ""en"")"),"potential")</f>
        <v>potential</v>
      </c>
    </row>
    <row r="19309">
      <c r="A19309" s="1" t="s">
        <v>19308</v>
      </c>
      <c r="B19309" s="2" t="str">
        <f>IFERROR(__xludf.DUMMYFUNCTION("GOOGLETRANSLATE(A19309, ""de"", ""en"")"),"unions")</f>
        <v>unions</v>
      </c>
    </row>
    <row r="19310">
      <c r="A19310" s="1" t="s">
        <v>19309</v>
      </c>
      <c r="B19310" s="2" t="str">
        <f>IFERROR(__xludf.DUMMYFUNCTION("GOOGLETRANSLATE(A19310, ""de"", ""en"")"),"professions")</f>
        <v>professions</v>
      </c>
    </row>
    <row r="19311">
      <c r="A19311" s="1" t="s">
        <v>19310</v>
      </c>
      <c r="B19311" s="2" t="str">
        <f>IFERROR(__xludf.DUMMYFUNCTION("GOOGLETRANSLATE(A19311, ""de"", ""en"")"),"hope")</f>
        <v>hope</v>
      </c>
    </row>
    <row r="19312">
      <c r="A19312" s="1" t="s">
        <v>19311</v>
      </c>
      <c r="B19312" s="2" t="str">
        <f>IFERROR(__xludf.DUMMYFUNCTION("GOOGLETRANSLATE(A19312, ""de"", ""en"")"),"close")</f>
        <v>close</v>
      </c>
    </row>
    <row r="19313">
      <c r="A19313" s="1" t="s">
        <v>19312</v>
      </c>
      <c r="B19313" s="2" t="str">
        <f>IFERROR(__xludf.DUMMYFUNCTION("GOOGLETRANSLATE(A19313, ""de"", ""en"")"),"residence")</f>
        <v>residence</v>
      </c>
    </row>
    <row r="19314">
      <c r="A19314" s="1" t="s">
        <v>19313</v>
      </c>
      <c r="B19314" s="2" t="str">
        <f>IFERROR(__xludf.DUMMYFUNCTION("GOOGLETRANSLATE(A19314, ""de"", ""en"")"),"forwarded")</f>
        <v>forwarded</v>
      </c>
    </row>
    <row r="19315">
      <c r="A19315" s="1" t="s">
        <v>19314</v>
      </c>
      <c r="B19315" s="2" t="str">
        <f>IFERROR(__xludf.DUMMYFUNCTION("GOOGLETRANSLATE(A19315, ""de"", ""en"")"),"match")</f>
        <v>match</v>
      </c>
    </row>
    <row r="19316">
      <c r="A19316" s="1" t="s">
        <v>19315</v>
      </c>
      <c r="B19316" s="2" t="str">
        <f>IFERROR(__xludf.DUMMYFUNCTION("GOOGLETRANSLATE(A19316, ""de"", ""en"")"),"Lestrade")</f>
        <v>Lestrade</v>
      </c>
    </row>
    <row r="19317">
      <c r="A19317" s="1" t="s">
        <v>19316</v>
      </c>
      <c r="B19317" s="2" t="str">
        <f>IFERROR(__xludf.DUMMYFUNCTION("GOOGLETRANSLATE(A19317, ""de"", ""en"")"),"Prussia")</f>
        <v>Prussia</v>
      </c>
    </row>
    <row r="19318">
      <c r="A19318" s="1" t="s">
        <v>19317</v>
      </c>
      <c r="B19318" s="2" t="str">
        <f>IFERROR(__xludf.DUMMYFUNCTION("GOOGLETRANSLATE(A19318, ""de"", ""en"")"),"credible")</f>
        <v>credible</v>
      </c>
    </row>
    <row r="19319">
      <c r="A19319" s="1" t="s">
        <v>19318</v>
      </c>
      <c r="B19319" s="2" t="str">
        <f>IFERROR(__xludf.DUMMYFUNCTION("GOOGLETRANSLATE(A19319, ""de"", ""en"")"),"regime")</f>
        <v>regime</v>
      </c>
    </row>
    <row r="19320">
      <c r="A19320" s="1" t="s">
        <v>19319</v>
      </c>
      <c r="B19320" s="2" t="str">
        <f>IFERROR(__xludf.DUMMYFUNCTION("GOOGLETRANSLATE(A19320, ""de"", ""en"")"),"youngest")</f>
        <v>youngest</v>
      </c>
    </row>
    <row r="19321">
      <c r="A19321" s="1" t="s">
        <v>19320</v>
      </c>
      <c r="B19321" s="2" t="str">
        <f>IFERROR(__xludf.DUMMYFUNCTION("GOOGLETRANSLATE(A19321, ""de"", ""en"")"),"motors")</f>
        <v>motors</v>
      </c>
    </row>
    <row r="19322">
      <c r="A19322" s="1" t="s">
        <v>19321</v>
      </c>
      <c r="B19322" s="2" t="str">
        <f>IFERROR(__xludf.DUMMYFUNCTION("GOOGLETRANSLATE(A19322, ""de"", ""en"")"),"karaoke")</f>
        <v>karaoke</v>
      </c>
    </row>
    <row r="19323">
      <c r="A19323" s="1" t="s">
        <v>19322</v>
      </c>
      <c r="B19323" s="2" t="str">
        <f>IFERROR(__xludf.DUMMYFUNCTION("GOOGLETRANSLATE(A19323, ""de"", ""en"")"),"Versailles")</f>
        <v>Versailles</v>
      </c>
    </row>
    <row r="19324">
      <c r="A19324" s="1" t="s">
        <v>19323</v>
      </c>
      <c r="B19324" s="2" t="str">
        <f>IFERROR(__xludf.DUMMYFUNCTION("GOOGLETRANSLATE(A19324, ""de"", ""en"")"),"spiritual")</f>
        <v>spiritual</v>
      </c>
    </row>
    <row r="19325">
      <c r="A19325" s="1" t="s">
        <v>19324</v>
      </c>
      <c r="B19325" s="2" t="str">
        <f>IFERROR(__xludf.DUMMYFUNCTION("GOOGLETRANSLATE(A19325, ""de"", ""en"")"),"FBI agents")</f>
        <v>FBI agents</v>
      </c>
    </row>
    <row r="19326">
      <c r="A19326" s="1" t="s">
        <v>19325</v>
      </c>
      <c r="B19326" s="2" t="str">
        <f>IFERROR(__xludf.DUMMYFUNCTION("GOOGLETRANSLATE(A19326, ""de"", ""en"")"),"films")</f>
        <v>films</v>
      </c>
    </row>
    <row r="19327">
      <c r="A19327" s="1" t="s">
        <v>19326</v>
      </c>
      <c r="B19327" s="2" t="str">
        <f>IFERROR(__xludf.DUMMYFUNCTION("GOOGLETRANSLATE(A19327, ""de"", ""en"")"),"uther")</f>
        <v>uther</v>
      </c>
    </row>
    <row r="19328">
      <c r="A19328" s="1" t="s">
        <v>19327</v>
      </c>
      <c r="B19328" s="2" t="str">
        <f>IFERROR(__xludf.DUMMYFUNCTION("GOOGLETRANSLATE(A19328, ""de"", ""en"")"),"Arabic")</f>
        <v>Arabic</v>
      </c>
    </row>
    <row r="19329">
      <c r="A19329" s="1" t="s">
        <v>19328</v>
      </c>
      <c r="B19329" s="2" t="str">
        <f>IFERROR(__xludf.DUMMYFUNCTION("GOOGLETRANSLATE(A19329, ""de"", ""en"")"),"dai")</f>
        <v>dai</v>
      </c>
    </row>
    <row r="19330">
      <c r="A19330" s="1" t="s">
        <v>19329</v>
      </c>
      <c r="B19330" s="2" t="str">
        <f>IFERROR(__xludf.DUMMYFUNCTION("GOOGLETRANSLATE(A19330, ""de"", ""en"")"),"vista")</f>
        <v>vista</v>
      </c>
    </row>
    <row r="19331">
      <c r="A19331" s="1" t="s">
        <v>19330</v>
      </c>
      <c r="B19331" s="2" t="str">
        <f>IFERROR(__xludf.DUMMYFUNCTION("GOOGLETRANSLATE(A19331, ""de"", ""en"")"),"suburb")</f>
        <v>suburb</v>
      </c>
    </row>
    <row r="19332">
      <c r="A19332" s="1" t="s">
        <v>19331</v>
      </c>
      <c r="B19332" s="2" t="str">
        <f>IFERROR(__xludf.DUMMYFUNCTION("GOOGLETRANSLATE(A19332, ""de"", ""en"")"),"please")</f>
        <v>please</v>
      </c>
    </row>
    <row r="19333">
      <c r="A19333" s="1" t="s">
        <v>19332</v>
      </c>
      <c r="B19333" s="2" t="str">
        <f>IFERROR(__xludf.DUMMYFUNCTION("GOOGLETRANSLATE(A19333, ""de"", ""en"")"),"50s")</f>
        <v>50s</v>
      </c>
    </row>
    <row r="19334">
      <c r="A19334" s="1" t="s">
        <v>19333</v>
      </c>
      <c r="B19334" s="2" t="str">
        <f>IFERROR(__xludf.DUMMYFUNCTION("GOOGLETRANSLATE(A19334, ""de"", ""en"")"),"rhythmic")</f>
        <v>rhythmic</v>
      </c>
    </row>
    <row r="19335">
      <c r="A19335" s="1" t="s">
        <v>19334</v>
      </c>
      <c r="B19335" s="2" t="str">
        <f>IFERROR(__xludf.DUMMYFUNCTION("GOOGLETRANSLATE(A19335, ""de"", ""en"")"),"south")</f>
        <v>south</v>
      </c>
    </row>
    <row r="19336">
      <c r="A19336" s="1" t="s">
        <v>19335</v>
      </c>
      <c r="B19336" s="2" t="str">
        <f>IFERROR(__xludf.DUMMYFUNCTION("GOOGLETRANSLATE(A19336, ""de"", ""en"")"),"gatsby")</f>
        <v>gatsby</v>
      </c>
    </row>
    <row r="19337">
      <c r="A19337" s="1" t="s">
        <v>19336</v>
      </c>
      <c r="B19337" s="2" t="str">
        <f>IFERROR(__xludf.DUMMYFUNCTION("GOOGLETRANSLATE(A19337, ""de"", ""en"")"),"spy")</f>
        <v>spy</v>
      </c>
    </row>
    <row r="19338">
      <c r="A19338" s="1" t="s">
        <v>19337</v>
      </c>
      <c r="B19338" s="2" t="str">
        <f>IFERROR(__xludf.DUMMYFUNCTION("GOOGLETRANSLATE(A19338, ""de"", ""en"")"),"isaiah")</f>
        <v>isaiah</v>
      </c>
    </row>
    <row r="19339">
      <c r="A19339" s="1" t="s">
        <v>19338</v>
      </c>
      <c r="B19339" s="2" t="str">
        <f>IFERROR(__xludf.DUMMYFUNCTION("GOOGLETRANSLATE(A19339, ""de"", ""en"")"),"warms")</f>
        <v>warms</v>
      </c>
    </row>
    <row r="19340">
      <c r="A19340" s="1" t="s">
        <v>19339</v>
      </c>
      <c r="B19340" s="2" t="str">
        <f>IFERROR(__xludf.DUMMYFUNCTION("GOOGLETRANSLATE(A19340, ""de"", ""en"")"),"rejected")</f>
        <v>rejected</v>
      </c>
    </row>
    <row r="19341">
      <c r="A19341" s="1" t="s">
        <v>19340</v>
      </c>
      <c r="B19341" s="2" t="str">
        <f>IFERROR(__xludf.DUMMYFUNCTION("GOOGLETRANSLATE(A19341, ""de"", ""en"")"),"to open")</f>
        <v>to open</v>
      </c>
    </row>
    <row r="19342">
      <c r="A19342" s="1" t="s">
        <v>19341</v>
      </c>
      <c r="B19342" s="2" t="str">
        <f>IFERROR(__xludf.DUMMYFUNCTION("GOOGLETRANSLATE(A19342, ""de"", ""en"")"),"hercules")</f>
        <v>hercules</v>
      </c>
    </row>
    <row r="19343">
      <c r="A19343" s="1" t="s">
        <v>19342</v>
      </c>
      <c r="B19343" s="2" t="str">
        <f>IFERROR(__xludf.DUMMYFUNCTION("GOOGLETRANSLATE(A19343, ""de"", ""en"")"),"solidarity")</f>
        <v>solidarity</v>
      </c>
    </row>
    <row r="19344">
      <c r="A19344" s="1" t="s">
        <v>19343</v>
      </c>
      <c r="B19344" s="2" t="str">
        <f>IFERROR(__xludf.DUMMYFUNCTION("GOOGLETRANSLATE(A19344, ""de"", ""en"")"),"tolerated")</f>
        <v>tolerated</v>
      </c>
    </row>
    <row r="19345">
      <c r="A19345" s="1" t="s">
        <v>19344</v>
      </c>
      <c r="B19345" s="2" t="str">
        <f>IFERROR(__xludf.DUMMYFUNCTION("GOOGLETRANSLATE(A19345, ""de"", ""en"")"),"country house")</f>
        <v>country house</v>
      </c>
    </row>
    <row r="19346">
      <c r="A19346" s="1" t="s">
        <v>19345</v>
      </c>
      <c r="B19346" s="2" t="str">
        <f>IFERROR(__xludf.DUMMYFUNCTION("GOOGLETRANSLATE(A19346, ""de"", ""en"")"),"fire alarm")</f>
        <v>fire alarm</v>
      </c>
    </row>
    <row r="19347">
      <c r="A19347" s="1" t="s">
        <v>19346</v>
      </c>
      <c r="B19347" s="2" t="str">
        <f>IFERROR(__xludf.DUMMYFUNCTION("GOOGLETRANSLATE(A19347, ""de"", ""en"")"),"device")</f>
        <v>device</v>
      </c>
    </row>
    <row r="19348">
      <c r="A19348" s="1" t="s">
        <v>19347</v>
      </c>
      <c r="B19348" s="2" t="str">
        <f>IFERROR(__xludf.DUMMYFUNCTION("GOOGLETRANSLATE(A19348, ""de"", ""en"")"),"deeks")</f>
        <v>deeks</v>
      </c>
    </row>
    <row r="19349">
      <c r="A19349" s="1" t="s">
        <v>19348</v>
      </c>
      <c r="B19349" s="2" t="str">
        <f>IFERROR(__xludf.DUMMYFUNCTION("GOOGLETRANSLATE(A19349, ""de"", ""en"")"),"biff")</f>
        <v>biff</v>
      </c>
    </row>
    <row r="19350">
      <c r="A19350" s="1" t="s">
        <v>19349</v>
      </c>
      <c r="B19350" s="2" t="str">
        <f>IFERROR(__xludf.DUMMYFUNCTION("GOOGLETRANSLATE(A19350, ""de"", ""en"")"),"adjust")</f>
        <v>adjust</v>
      </c>
    </row>
    <row r="19351">
      <c r="A19351" s="1" t="s">
        <v>19350</v>
      </c>
      <c r="B19351" s="2" t="str">
        <f>IFERROR(__xludf.DUMMYFUNCTION("GOOGLETRANSLATE(A19351, ""de"", ""en"")"),"keating")</f>
        <v>keating</v>
      </c>
    </row>
    <row r="19352">
      <c r="A19352" s="1" t="s">
        <v>19351</v>
      </c>
      <c r="B19352" s="2" t="str">
        <f>IFERROR(__xludf.DUMMYFUNCTION("GOOGLETRANSLATE(A19352, ""de"", ""en"")"),"kyoto")</f>
        <v>kyoto</v>
      </c>
    </row>
    <row r="19353">
      <c r="A19353" s="1" t="s">
        <v>19352</v>
      </c>
      <c r="B19353" s="2" t="str">
        <f>IFERROR(__xludf.DUMMYFUNCTION("GOOGLETRANSLATE(A19353, ""de"", ""en"")"),"unsuitable")</f>
        <v>unsuitable</v>
      </c>
    </row>
    <row r="19354">
      <c r="A19354" s="1" t="s">
        <v>19353</v>
      </c>
      <c r="B19354" s="2" t="str">
        <f>IFERROR(__xludf.DUMMYFUNCTION("GOOGLETRANSLATE(A19354, ""de"", ""en"")"),"kinch")</f>
        <v>kinch</v>
      </c>
    </row>
    <row r="19355">
      <c r="A19355" s="1" t="s">
        <v>19354</v>
      </c>
      <c r="B19355" s="2" t="str">
        <f>IFERROR(__xludf.DUMMYFUNCTION("GOOGLETRANSLATE(A19355, ""de"", ""en"")"),"chosen")</f>
        <v>chosen</v>
      </c>
    </row>
    <row r="19356">
      <c r="A19356" s="1" t="s">
        <v>19355</v>
      </c>
      <c r="B19356" s="2" t="str">
        <f>IFERROR(__xludf.DUMMYFUNCTION("GOOGLETRANSLATE(A19356, ""de"", ""en"")"),"slaughter")</f>
        <v>slaughter</v>
      </c>
    </row>
    <row r="19357">
      <c r="A19357" s="1" t="s">
        <v>19356</v>
      </c>
      <c r="B19357" s="2" t="str">
        <f>IFERROR(__xludf.DUMMYFUNCTION("GOOGLETRANSLATE(A19357, ""de"", ""en"")"),"yellower")</f>
        <v>yellower</v>
      </c>
    </row>
    <row r="19358">
      <c r="A19358" s="1" t="s">
        <v>19357</v>
      </c>
      <c r="B19358" s="2" t="str">
        <f>IFERROR(__xludf.DUMMYFUNCTION("GOOGLETRANSLATE(A19358, ""de"", ""en"")"),"spied on")</f>
        <v>spied on</v>
      </c>
    </row>
    <row r="19359">
      <c r="A19359" s="1" t="s">
        <v>19358</v>
      </c>
      <c r="B19359" s="2" t="str">
        <f>IFERROR(__xludf.DUMMYFUNCTION("GOOGLETRANSLATE(A19359, ""de"", ""en"")"),"Hawthorne")</f>
        <v>Hawthorne</v>
      </c>
    </row>
    <row r="19360">
      <c r="A19360" s="1" t="s">
        <v>19359</v>
      </c>
      <c r="B19360" s="2" t="str">
        <f>IFERROR(__xludf.DUMMYFUNCTION("GOOGLETRANSLATE(A19360, ""de"", ""en"")"),"falcone")</f>
        <v>falcone</v>
      </c>
    </row>
    <row r="19361">
      <c r="A19361" s="1" t="s">
        <v>19360</v>
      </c>
      <c r="B19361" s="2" t="str">
        <f>IFERROR(__xludf.DUMMYFUNCTION("GOOGLETRANSLATE(A19361, ""de"", ""en"")"),"bully")</f>
        <v>bully</v>
      </c>
    </row>
    <row r="19362">
      <c r="A19362" s="1" t="s">
        <v>19361</v>
      </c>
      <c r="B19362" s="2" t="str">
        <f>IFERROR(__xludf.DUMMYFUNCTION("GOOGLETRANSLATE(A19362, ""de"", ""en"")"),"schoolgirl")</f>
        <v>schoolgirl</v>
      </c>
    </row>
    <row r="19363">
      <c r="A19363" s="1" t="s">
        <v>19362</v>
      </c>
      <c r="B19363" s="2" t="str">
        <f>IFERROR(__xludf.DUMMYFUNCTION("GOOGLETRANSLATE(A19363, ""de"", ""en"")"),"ravens")</f>
        <v>ravens</v>
      </c>
    </row>
    <row r="19364">
      <c r="A19364" s="1" t="s">
        <v>19363</v>
      </c>
      <c r="B19364" s="2" t="str">
        <f>IFERROR(__xludf.DUMMYFUNCTION("GOOGLETRANSLATE(A19364, ""de"", ""en"")"),"woman's voice")</f>
        <v>woman's voice</v>
      </c>
    </row>
    <row r="19365">
      <c r="A19365" s="1" t="s">
        <v>19364</v>
      </c>
      <c r="B19365" s="2" t="str">
        <f>IFERROR(__xludf.DUMMYFUNCTION("GOOGLETRANSLATE(A19365, ""de"", ""en"")"),"move")</f>
        <v>move</v>
      </c>
    </row>
    <row r="19366">
      <c r="A19366" s="1" t="s">
        <v>19365</v>
      </c>
      <c r="B19366" s="2" t="str">
        <f>IFERROR(__xludf.DUMMYFUNCTION("GOOGLETRANSLATE(A19366, ""de"", ""en"")"),"strengthens")</f>
        <v>strengthens</v>
      </c>
    </row>
    <row r="19367">
      <c r="A19367" s="1" t="s">
        <v>19366</v>
      </c>
      <c r="B19367" s="2" t="str">
        <f>IFERROR(__xludf.DUMMYFUNCTION("GOOGLETRANSLATE(A19367, ""de"", ""en"")"),"mortal")</f>
        <v>mortal</v>
      </c>
    </row>
    <row r="19368">
      <c r="A19368" s="1" t="s">
        <v>19367</v>
      </c>
      <c r="B19368" s="2" t="str">
        <f>IFERROR(__xludf.DUMMYFUNCTION("GOOGLETRANSLATE(A19368, ""de"", ""en"")"),"fan")</f>
        <v>fan</v>
      </c>
    </row>
    <row r="19369">
      <c r="A19369" s="1" t="s">
        <v>19368</v>
      </c>
      <c r="B19369" s="2" t="str">
        <f>IFERROR(__xludf.DUMMYFUNCTION("GOOGLETRANSLATE(A19369, ""de"", ""en"")"),"dolan")</f>
        <v>dolan</v>
      </c>
    </row>
    <row r="19370">
      <c r="A19370" s="1" t="s">
        <v>19369</v>
      </c>
      <c r="B19370" s="2" t="str">
        <f>IFERROR(__xludf.DUMMYFUNCTION("GOOGLETRANSLATE(A19370, ""de"", ""en"")"),"flood")</f>
        <v>flood</v>
      </c>
    </row>
    <row r="19371">
      <c r="A19371" s="1" t="s">
        <v>19370</v>
      </c>
      <c r="B19371" s="2" t="str">
        <f>IFERROR(__xludf.DUMMYFUNCTION("GOOGLETRANSLATE(A19371, ""de"", ""en"")"),"bosch")</f>
        <v>bosch</v>
      </c>
    </row>
    <row r="19372">
      <c r="A19372" s="1" t="s">
        <v>19371</v>
      </c>
      <c r="B19372" s="2" t="str">
        <f>IFERROR(__xludf.DUMMYFUNCTION("GOOGLETRANSLATE(A19372, ""de"", ""en"")"),"emotion")</f>
        <v>emotion</v>
      </c>
    </row>
    <row r="19373">
      <c r="A19373" s="1" t="s">
        <v>19372</v>
      </c>
      <c r="B19373" s="2" t="str">
        <f>IFERROR(__xludf.DUMMYFUNCTION("GOOGLETRANSLATE(A19373, ""de"", ""en"")"),"munson")</f>
        <v>munson</v>
      </c>
    </row>
    <row r="19374">
      <c r="A19374" s="1" t="s">
        <v>19373</v>
      </c>
      <c r="B19374" s="2" t="str">
        <f>IFERROR(__xludf.DUMMYFUNCTION("GOOGLETRANSLATE(A19374, ""de"", ""en"")"),"chanel")</f>
        <v>chanel</v>
      </c>
    </row>
    <row r="19375">
      <c r="A19375" s="1" t="s">
        <v>19374</v>
      </c>
      <c r="B19375" s="2" t="str">
        <f>IFERROR(__xludf.DUMMYFUNCTION("GOOGLETRANSLATE(A19375, ""de"", ""en"")"),"firearms")</f>
        <v>firearms</v>
      </c>
    </row>
    <row r="19376">
      <c r="A19376" s="1" t="s">
        <v>19375</v>
      </c>
      <c r="B19376" s="2" t="str">
        <f>IFERROR(__xludf.DUMMYFUNCTION("GOOGLETRANSLATE(A19376, ""de"", ""en"")"),"lasts")</f>
        <v>lasts</v>
      </c>
    </row>
    <row r="19377">
      <c r="A19377" s="1" t="s">
        <v>19376</v>
      </c>
      <c r="B19377" s="2" t="str">
        <f>IFERROR(__xludf.DUMMYFUNCTION("GOOGLETRANSLATE(A19377, ""de"", ""en"")"),"match")</f>
        <v>match</v>
      </c>
    </row>
    <row r="19378">
      <c r="A19378" s="1" t="s">
        <v>19377</v>
      </c>
      <c r="B19378" s="2" t="str">
        <f>IFERROR(__xludf.DUMMYFUNCTION("GOOGLETRANSLATE(A19378, ""de"", ""en"")"),"staples")</f>
        <v>staples</v>
      </c>
    </row>
    <row r="19379">
      <c r="A19379" s="1" t="s">
        <v>19378</v>
      </c>
      <c r="B19379" s="2" t="str">
        <f>IFERROR(__xludf.DUMMYFUNCTION("GOOGLETRANSLATE(A19379, ""de"", ""en"")"),"return flight")</f>
        <v>return flight</v>
      </c>
    </row>
    <row r="19380">
      <c r="A19380" s="1" t="s">
        <v>19379</v>
      </c>
      <c r="B19380" s="2" t="str">
        <f>IFERROR(__xludf.DUMMYFUNCTION("GOOGLETRANSLATE(A19380, ""de"", ""en"")"),"birth date")</f>
        <v>birth date</v>
      </c>
    </row>
    <row r="19381">
      <c r="A19381" s="1" t="s">
        <v>19380</v>
      </c>
      <c r="B19381" s="2" t="str">
        <f>IFERROR(__xludf.DUMMYFUNCTION("GOOGLETRANSLATE(A19381, ""de"", ""en"")"),"colby")</f>
        <v>colby</v>
      </c>
    </row>
    <row r="19382">
      <c r="A19382" s="1" t="s">
        <v>19381</v>
      </c>
      <c r="B19382" s="2" t="str">
        <f>IFERROR(__xludf.DUMMYFUNCTION("GOOGLETRANSLATE(A19382, ""de"", ""en"")"),"put in")</f>
        <v>put in</v>
      </c>
    </row>
    <row r="19383">
      <c r="A19383" s="1" t="s">
        <v>19382</v>
      </c>
      <c r="B19383" s="2" t="str">
        <f>IFERROR(__xludf.DUMMYFUNCTION("GOOGLETRANSLATE(A19383, ""de"", ""en"")"),"nadja")</f>
        <v>nadja</v>
      </c>
    </row>
    <row r="19384">
      <c r="A19384" s="1" t="s">
        <v>19383</v>
      </c>
      <c r="B19384" s="2" t="str">
        <f>IFERROR(__xludf.DUMMYFUNCTION("GOOGLETRANSLATE(A19384, ""de"", ""en"")"),"stokes")</f>
        <v>stokes</v>
      </c>
    </row>
    <row r="19385">
      <c r="A19385" s="1" t="s">
        <v>19384</v>
      </c>
      <c r="B19385" s="2" t="str">
        <f>IFERROR(__xludf.DUMMYFUNCTION("GOOGLETRANSLATE(A19385, ""de"", ""en"")"),"paid out")</f>
        <v>paid out</v>
      </c>
    </row>
    <row r="19386">
      <c r="A19386" s="1" t="s">
        <v>19385</v>
      </c>
      <c r="B19386" s="2" t="str">
        <f>IFERROR(__xludf.DUMMYFUNCTION("GOOGLETRANSLATE(A19386, ""de"", ""en"")"),"pursuer")</f>
        <v>pursuer</v>
      </c>
    </row>
    <row r="19387">
      <c r="A19387" s="1" t="s">
        <v>19386</v>
      </c>
      <c r="B19387" s="2" t="str">
        <f>IFERROR(__xludf.DUMMYFUNCTION("GOOGLETRANSLATE(A19387, ""de"", ""en"")"),"disasters")</f>
        <v>disasters</v>
      </c>
    </row>
    <row r="19388">
      <c r="A19388" s="1" t="s">
        <v>19387</v>
      </c>
      <c r="B19388" s="2" t="str">
        <f>IFERROR(__xludf.DUMMYFUNCTION("GOOGLETRANSLATE(A19388, ""de"", ""en"")"),"fart")</f>
        <v>fart</v>
      </c>
    </row>
    <row r="19389">
      <c r="A19389" s="1" t="s">
        <v>19388</v>
      </c>
      <c r="B19389" s="2" t="str">
        <f>IFERROR(__xludf.DUMMYFUNCTION("GOOGLETRANSLATE(A19389, ""de"", ""en"")"),"area")</f>
        <v>area</v>
      </c>
    </row>
    <row r="19390">
      <c r="A19390" s="1" t="s">
        <v>19389</v>
      </c>
      <c r="B19390" s="2" t="str">
        <f>IFERROR(__xludf.DUMMYFUNCTION("GOOGLETRANSLATE(A19390, ""de"", ""en"")"),"lala")</f>
        <v>lala</v>
      </c>
    </row>
    <row r="19391">
      <c r="A19391" s="1" t="s">
        <v>19390</v>
      </c>
      <c r="B19391" s="2" t="str">
        <f>IFERROR(__xludf.DUMMYFUNCTION("GOOGLETRANSLATE(A19391, ""de"", ""en"")"),"diplomats")</f>
        <v>diplomats</v>
      </c>
    </row>
    <row r="19392">
      <c r="A19392" s="1" t="s">
        <v>19391</v>
      </c>
      <c r="B19392" s="2" t="str">
        <f>IFERROR(__xludf.DUMMYFUNCTION("GOOGLETRANSLATE(A19392, ""de"", ""en"")"),"cheated")</f>
        <v>cheated</v>
      </c>
    </row>
    <row r="19393">
      <c r="A19393" s="1" t="s">
        <v>19392</v>
      </c>
      <c r="B19393" s="2" t="str">
        <f>IFERROR(__xludf.DUMMYFUNCTION("GOOGLETRANSLATE(A19393, ""de"", ""en"")"),"Gruber")</f>
        <v>Gruber</v>
      </c>
    </row>
    <row r="19394">
      <c r="A19394" s="1" t="s">
        <v>19393</v>
      </c>
      <c r="B19394" s="2" t="str">
        <f>IFERROR(__xludf.DUMMYFUNCTION("GOOGLETRANSLATE(A19394, ""de"", ""en"")"),"sunk")</f>
        <v>sunk</v>
      </c>
    </row>
    <row r="19395">
      <c r="A19395" s="1" t="s">
        <v>19394</v>
      </c>
      <c r="B19395" s="2" t="str">
        <f>IFERROR(__xludf.DUMMYFUNCTION("GOOGLETRANSLATE(A19395, ""de"", ""en"")"),"raft")</f>
        <v>raft</v>
      </c>
    </row>
    <row r="19396">
      <c r="A19396" s="1" t="s">
        <v>19395</v>
      </c>
      <c r="B19396" s="2" t="str">
        <f>IFERROR(__xludf.DUMMYFUNCTION("GOOGLETRANSLATE(A19396, ""de"", ""en"")"),"dump")</f>
        <v>dump</v>
      </c>
    </row>
    <row r="19397">
      <c r="A19397" s="1" t="s">
        <v>19396</v>
      </c>
      <c r="B19397" s="2" t="str">
        <f>IFERROR(__xludf.DUMMYFUNCTION("GOOGLETRANSLATE(A19397, ""de"", ""en"")"),"blunt")</f>
        <v>blunt</v>
      </c>
    </row>
    <row r="19398">
      <c r="A19398" s="1" t="s">
        <v>19397</v>
      </c>
      <c r="B19398" s="2" t="str">
        <f>IFERROR(__xludf.DUMMYFUNCTION("GOOGLETRANSLATE(A19398, ""de"", ""en"")"),"moby")</f>
        <v>moby</v>
      </c>
    </row>
    <row r="19399">
      <c r="A19399" s="1" t="s">
        <v>19398</v>
      </c>
      <c r="B19399" s="2" t="str">
        <f>IFERROR(__xludf.DUMMYFUNCTION("GOOGLETRANSLATE(A19399, ""de"", ""en"")"),"burkhardt")</f>
        <v>burkhardt</v>
      </c>
    </row>
    <row r="19400">
      <c r="A19400" s="1" t="s">
        <v>19399</v>
      </c>
      <c r="B19400" s="2" t="str">
        <f>IFERROR(__xludf.DUMMYFUNCTION("GOOGLETRANSLATE(A19400, ""de"", ""en"")"),"pip")</f>
        <v>pip</v>
      </c>
    </row>
    <row r="19401">
      <c r="A19401" s="1" t="s">
        <v>19400</v>
      </c>
      <c r="B19401" s="2" t="str">
        <f>IFERROR(__xludf.DUMMYFUNCTION("GOOGLETRANSLATE(A19401, ""de"", ""en"")"),"masturbate")</f>
        <v>masturbate</v>
      </c>
    </row>
    <row r="19402">
      <c r="A19402" s="1" t="s">
        <v>19401</v>
      </c>
      <c r="B19402" s="2" t="str">
        <f>IFERROR(__xludf.DUMMYFUNCTION("GOOGLETRANSLATE(A19402, ""de"", ""en"")"),"bolt")</f>
        <v>bolt</v>
      </c>
    </row>
    <row r="19403">
      <c r="A19403" s="1" t="s">
        <v>19402</v>
      </c>
      <c r="B19403" s="2" t="str">
        <f>IFERROR(__xludf.DUMMYFUNCTION("GOOGLETRANSLATE(A19403, ""de"", ""en"")"),"markings")</f>
        <v>markings</v>
      </c>
    </row>
    <row r="19404">
      <c r="A19404" s="1" t="s">
        <v>19403</v>
      </c>
      <c r="B19404" s="2" t="str">
        <f>IFERROR(__xludf.DUMMYFUNCTION("GOOGLETRANSLATE(A19404, ""de"", ""en"")"),"amara")</f>
        <v>amara</v>
      </c>
    </row>
    <row r="19405">
      <c r="A19405" s="1" t="s">
        <v>19404</v>
      </c>
      <c r="B19405" s="2" t="str">
        <f>IFERROR(__xludf.DUMMYFUNCTION("GOOGLETRANSLATE(A19405, ""de"", ""en"")"),"messy")</f>
        <v>messy</v>
      </c>
    </row>
    <row r="19406">
      <c r="A19406" s="1" t="s">
        <v>19405</v>
      </c>
      <c r="B19406" s="2" t="str">
        <f>IFERROR(__xludf.DUMMYFUNCTION("GOOGLETRANSLATE(A19406, ""de"", ""en"")"),"burn")</f>
        <v>burn</v>
      </c>
    </row>
    <row r="19407">
      <c r="A19407" s="1" t="s">
        <v>19406</v>
      </c>
      <c r="B19407" s="2" t="str">
        <f>IFERROR(__xludf.DUMMYFUNCTION("GOOGLETRANSLATE(A19407, ""de"", ""en"")"),"documented")</f>
        <v>documented</v>
      </c>
    </row>
    <row r="19408">
      <c r="A19408" s="1" t="s">
        <v>19407</v>
      </c>
      <c r="B19408" s="2" t="str">
        <f>IFERROR(__xludf.DUMMYFUNCTION("GOOGLETRANSLATE(A19408, ""de"", ""en"")"),"Mehmet")</f>
        <v>Mehmet</v>
      </c>
    </row>
    <row r="19409">
      <c r="A19409" s="1" t="s">
        <v>19408</v>
      </c>
      <c r="B19409" s="2" t="str">
        <f>IFERROR(__xludf.DUMMYFUNCTION("GOOGLETRANSLATE(A19409, ""de"", ""en"")"),"candidate")</f>
        <v>candidate</v>
      </c>
    </row>
    <row r="19410">
      <c r="A19410" s="1" t="s">
        <v>19409</v>
      </c>
      <c r="B19410" s="2" t="str">
        <f>IFERROR(__xludf.DUMMYFUNCTION("GOOGLETRANSLATE(A19410, ""de"", ""en"")"),"behaved")</f>
        <v>behaved</v>
      </c>
    </row>
    <row r="19411">
      <c r="A19411" s="1" t="s">
        <v>19410</v>
      </c>
      <c r="B19411" s="2" t="str">
        <f>IFERROR(__xludf.DUMMYFUNCTION("GOOGLETRANSLATE(A19411, ""de"", ""en"")"),"head injury")</f>
        <v>head injury</v>
      </c>
    </row>
    <row r="19412">
      <c r="A19412" s="1" t="s">
        <v>19411</v>
      </c>
      <c r="B19412" s="2" t="str">
        <f>IFERROR(__xludf.DUMMYFUNCTION("GOOGLETRANSLATE(A19412, ""de"", ""en"")"),"drive out")</f>
        <v>drive out</v>
      </c>
    </row>
    <row r="19413">
      <c r="A19413" s="1" t="s">
        <v>19412</v>
      </c>
      <c r="B19413" s="2" t="str">
        <f>IFERROR(__xludf.DUMMYFUNCTION("GOOGLETRANSLATE(A19413, ""de"", ""en"")"),"today")</f>
        <v>today</v>
      </c>
    </row>
    <row r="19414">
      <c r="A19414" s="1" t="s">
        <v>19413</v>
      </c>
      <c r="B19414" s="2" t="str">
        <f>IFERROR(__xludf.DUMMYFUNCTION("GOOGLETRANSLATE(A19414, ""de"", ""en"")"),"civilian")</f>
        <v>civilian</v>
      </c>
    </row>
    <row r="19415">
      <c r="A19415" s="1" t="s">
        <v>19414</v>
      </c>
      <c r="B19415" s="2" t="str">
        <f>IFERROR(__xludf.DUMMYFUNCTION("GOOGLETRANSLATE(A19415, ""de"", ""en"")"),"softer")</f>
        <v>softer</v>
      </c>
    </row>
    <row r="19416">
      <c r="A19416" s="1" t="s">
        <v>19415</v>
      </c>
      <c r="B19416" s="2" t="str">
        <f>IFERROR(__xludf.DUMMYFUNCTION("GOOGLETRANSLATE(A19416, ""de"", ""en"")"),"officers")</f>
        <v>officers</v>
      </c>
    </row>
    <row r="19417">
      <c r="A19417" s="1" t="s">
        <v>19416</v>
      </c>
      <c r="B19417" s="2" t="str">
        <f>IFERROR(__xludf.DUMMYFUNCTION("GOOGLETRANSLATE(A19417, ""de"", ""en"")"),"record")</f>
        <v>record</v>
      </c>
    </row>
    <row r="19418">
      <c r="A19418" s="1" t="s">
        <v>19417</v>
      </c>
      <c r="B19418" s="2" t="str">
        <f>IFERROR(__xludf.DUMMYFUNCTION("GOOGLETRANSLATE(A19418, ""de"", ""en"")"),"falls")</f>
        <v>falls</v>
      </c>
    </row>
    <row r="19419">
      <c r="A19419" s="1" t="s">
        <v>19418</v>
      </c>
      <c r="B19419" s="2" t="str">
        <f>IFERROR(__xludf.DUMMYFUNCTION("GOOGLETRANSLATE(A19419, ""de"", ""en"")"),"genesis")</f>
        <v>genesis</v>
      </c>
    </row>
    <row r="19420">
      <c r="A19420" s="1" t="s">
        <v>19419</v>
      </c>
      <c r="B19420" s="2" t="str">
        <f>IFERROR(__xludf.DUMMYFUNCTION("GOOGLETRANSLATE(A19420, ""de"", ""en"")"),"hive")</f>
        <v>hive</v>
      </c>
    </row>
    <row r="19421">
      <c r="A19421" s="1" t="s">
        <v>19420</v>
      </c>
      <c r="B19421" s="2" t="str">
        <f>IFERROR(__xludf.DUMMYFUNCTION("GOOGLETRANSLATE(A19421, ""de"", ""en"")"),"violent")</f>
        <v>violent</v>
      </c>
    </row>
    <row r="19422">
      <c r="A19422" s="1" t="s">
        <v>19421</v>
      </c>
      <c r="B19422" s="2" t="str">
        <f>IFERROR(__xludf.DUMMYFUNCTION("GOOGLETRANSLATE(A19422, ""de"", ""en"")"),"charity")</f>
        <v>charity</v>
      </c>
    </row>
    <row r="19423">
      <c r="A19423" s="1" t="s">
        <v>19422</v>
      </c>
      <c r="B19423" s="2" t="str">
        <f>IFERROR(__xludf.DUMMYFUNCTION("GOOGLETRANSLATE(A19423, ""de"", ""en"")"),"stereo system")</f>
        <v>stereo system</v>
      </c>
    </row>
    <row r="19424">
      <c r="A19424" s="1" t="s">
        <v>19423</v>
      </c>
      <c r="B19424" s="2" t="str">
        <f>IFERROR(__xludf.DUMMYFUNCTION("GOOGLETRANSLATE(A19424, ""de"", ""en"")"),"mueller")</f>
        <v>mueller</v>
      </c>
    </row>
    <row r="19425">
      <c r="A19425" s="1" t="s">
        <v>19424</v>
      </c>
      <c r="B19425" s="2" t="str">
        <f>IFERROR(__xludf.DUMMYFUNCTION("GOOGLETRANSLATE(A19425, ""de"", ""en"")"),"comb through")</f>
        <v>comb through</v>
      </c>
    </row>
    <row r="19426">
      <c r="A19426" s="1" t="s">
        <v>19425</v>
      </c>
      <c r="B19426" s="2" t="str">
        <f>IFERROR(__xludf.DUMMYFUNCTION("GOOGLETRANSLATE(A19426, ""de"", ""en"")"),"branch")</f>
        <v>branch</v>
      </c>
    </row>
    <row r="19427">
      <c r="A19427" s="1" t="s">
        <v>19426</v>
      </c>
      <c r="B19427" s="2" t="str">
        <f>IFERROR(__xludf.DUMMYFUNCTION("GOOGLETRANSLATE(A19427, ""de"", ""en"")"),"sampson")</f>
        <v>sampson</v>
      </c>
    </row>
    <row r="19428">
      <c r="A19428" s="1" t="s">
        <v>19427</v>
      </c>
      <c r="B19428" s="2" t="str">
        <f>IFERROR(__xludf.DUMMYFUNCTION("GOOGLETRANSLATE(A19428, ""de"", ""en"")"),"attorney general")</f>
        <v>attorney general</v>
      </c>
    </row>
    <row r="19429">
      <c r="A19429" s="1" t="s">
        <v>19428</v>
      </c>
      <c r="B19429" s="2" t="str">
        <f>IFERROR(__xludf.DUMMYFUNCTION("GOOGLETRANSLATE(A19429, ""de"", ""en"")"),"neutralize")</f>
        <v>neutralize</v>
      </c>
    </row>
    <row r="19430">
      <c r="A19430" s="1" t="s">
        <v>19429</v>
      </c>
      <c r="B19430" s="2" t="str">
        <f>IFERROR(__xludf.DUMMYFUNCTION("GOOGLETRANSLATE(A19430, ""de"", ""en"")"),"throat")</f>
        <v>throat</v>
      </c>
    </row>
    <row r="19431">
      <c r="A19431" s="1" t="s">
        <v>19430</v>
      </c>
      <c r="B19431" s="2" t="str">
        <f>IFERROR(__xludf.DUMMYFUNCTION("GOOGLETRANSLATE(A19431, ""de"", ""en"")"),"maid")</f>
        <v>maid</v>
      </c>
    </row>
    <row r="19432">
      <c r="A19432" s="1" t="s">
        <v>19431</v>
      </c>
      <c r="B19432" s="2" t="str">
        <f>IFERROR(__xludf.DUMMYFUNCTION("GOOGLETRANSLATE(A19432, ""de"", ""en"")"),"midnight")</f>
        <v>midnight</v>
      </c>
    </row>
    <row r="19433">
      <c r="A19433" s="1" t="s">
        <v>19432</v>
      </c>
      <c r="B19433" s="2" t="str">
        <f>IFERROR(__xludf.DUMMYFUNCTION("GOOGLETRANSLATE(A19433, ""de"", ""en"")"),"nominated")</f>
        <v>nominated</v>
      </c>
    </row>
    <row r="19434">
      <c r="A19434" s="1" t="s">
        <v>19433</v>
      </c>
      <c r="B19434" s="2" t="str">
        <f>IFERROR(__xludf.DUMMYFUNCTION("GOOGLETRANSLATE(A19434, ""de"", ""en"")"),"hurt")</f>
        <v>hurt</v>
      </c>
    </row>
    <row r="19435">
      <c r="A19435" s="1" t="s">
        <v>19434</v>
      </c>
      <c r="B19435" s="2" t="str">
        <f>IFERROR(__xludf.DUMMYFUNCTION("GOOGLETRANSLATE(A19435, ""de"", ""en"")"),"tipped over")</f>
        <v>tipped over</v>
      </c>
    </row>
    <row r="19436">
      <c r="A19436" s="1" t="s">
        <v>19435</v>
      </c>
      <c r="B19436" s="2" t="str">
        <f>IFERROR(__xludf.DUMMYFUNCTION("GOOGLETRANSLATE(A19436, ""de"", ""en"")"),"jadzia")</f>
        <v>jadzia</v>
      </c>
    </row>
    <row r="19437">
      <c r="A19437" s="1" t="s">
        <v>19436</v>
      </c>
      <c r="B19437" s="2" t="str">
        <f>IFERROR(__xludf.DUMMYFUNCTION("GOOGLETRANSLATE(A19437, ""de"", ""en"")"),"sacrifices")</f>
        <v>sacrifices</v>
      </c>
    </row>
    <row r="19438">
      <c r="A19438" s="1" t="s">
        <v>19437</v>
      </c>
      <c r="B19438" s="2" t="str">
        <f>IFERROR(__xludf.DUMMYFUNCTION("GOOGLETRANSLATE(A19438, ""de"", ""en"")"),"jean louis")</f>
        <v>jean louis</v>
      </c>
    </row>
    <row r="19439">
      <c r="A19439" s="1" t="s">
        <v>19438</v>
      </c>
      <c r="B19439" s="2" t="str">
        <f>IFERROR(__xludf.DUMMYFUNCTION("GOOGLETRANSLATE(A19439, ""de"", ""en"")"),"hernandez")</f>
        <v>hernandez</v>
      </c>
    </row>
    <row r="19440">
      <c r="A19440" s="1" t="s">
        <v>19439</v>
      </c>
      <c r="B19440" s="2" t="str">
        <f>IFERROR(__xludf.DUMMYFUNCTION("GOOGLETRANSLATE(A19440, ""de"", ""en"")"),"dyeing")</f>
        <v>dyeing</v>
      </c>
    </row>
    <row r="19441">
      <c r="A19441" s="1" t="s">
        <v>19440</v>
      </c>
      <c r="B19441" s="2" t="str">
        <f>IFERROR(__xludf.DUMMYFUNCTION("GOOGLETRANSLATE(A19441, ""de"", ""en"")"),"infections")</f>
        <v>infections</v>
      </c>
    </row>
    <row r="19442">
      <c r="A19442" s="1" t="s">
        <v>19441</v>
      </c>
      <c r="B19442" s="2" t="str">
        <f>IFERROR(__xludf.DUMMYFUNCTION("GOOGLETRANSLATE(A19442, ""de"", ""en"")"),"supernatural")</f>
        <v>supernatural</v>
      </c>
    </row>
    <row r="19443">
      <c r="A19443" s="1" t="s">
        <v>19442</v>
      </c>
      <c r="B19443" s="2" t="str">
        <f>IFERROR(__xludf.DUMMYFUNCTION("GOOGLETRANSLATE(A19443, ""de"", ""en"")"),"quit")</f>
        <v>quit</v>
      </c>
    </row>
    <row r="19444">
      <c r="A19444" s="1" t="s">
        <v>19443</v>
      </c>
      <c r="B19444" s="2" t="str">
        <f>IFERROR(__xludf.DUMMYFUNCTION("GOOGLETRANSLATE(A19444, ""de"", ""en"")"),"recorded")</f>
        <v>recorded</v>
      </c>
    </row>
    <row r="19445">
      <c r="A19445" s="1" t="s">
        <v>19444</v>
      </c>
      <c r="B19445" s="2" t="str">
        <f>IFERROR(__xludf.DUMMYFUNCTION("GOOGLETRANSLATE(A19445, ""de"", ""en"")"),"abort")</f>
        <v>abort</v>
      </c>
    </row>
    <row r="19446">
      <c r="A19446" s="1" t="s">
        <v>19445</v>
      </c>
      <c r="B19446" s="2" t="str">
        <f>IFERROR(__xludf.DUMMYFUNCTION("GOOGLETRANSLATE(A19446, ""de"", ""en"")"),"York")</f>
        <v>York</v>
      </c>
    </row>
    <row r="19447">
      <c r="A19447" s="1" t="s">
        <v>19446</v>
      </c>
      <c r="B19447" s="2" t="str">
        <f>IFERROR(__xludf.DUMMYFUNCTION("GOOGLETRANSLATE(A19447, ""de"", ""en"")"),"cha")</f>
        <v>cha</v>
      </c>
    </row>
    <row r="19448">
      <c r="A19448" s="1" t="s">
        <v>19447</v>
      </c>
      <c r="B19448" s="2" t="str">
        <f>IFERROR(__xludf.DUMMYFUNCTION("GOOGLETRANSLATE(A19448, ""de"", ""en"")"),"lesbian")</f>
        <v>lesbian</v>
      </c>
    </row>
    <row r="19449">
      <c r="A19449" s="1" t="s">
        <v>19448</v>
      </c>
      <c r="B19449" s="2" t="str">
        <f>IFERROR(__xludf.DUMMYFUNCTION("GOOGLETRANSLATE(A19449, ""de"", ""en"")"),"mcleod")</f>
        <v>mcleod</v>
      </c>
    </row>
    <row r="19450">
      <c r="A19450" s="1" t="s">
        <v>19449</v>
      </c>
      <c r="B19450" s="2" t="str">
        <f>IFERROR(__xludf.DUMMYFUNCTION("GOOGLETRANSLATE(A19450, ""de"", ""en"")"),"trask")</f>
        <v>trask</v>
      </c>
    </row>
    <row r="19451">
      <c r="A19451" s="1" t="s">
        <v>19450</v>
      </c>
      <c r="B19451" s="2" t="str">
        <f>IFERROR(__xludf.DUMMYFUNCTION("GOOGLETRANSLATE(A19451, ""de"", ""en"")"),"disabled")</f>
        <v>disabled</v>
      </c>
    </row>
    <row r="19452">
      <c r="A19452" s="1" t="s">
        <v>19451</v>
      </c>
      <c r="B19452" s="2" t="str">
        <f>IFERROR(__xludf.DUMMYFUNCTION("GOOGLETRANSLATE(A19452, ""de"", ""en"")"),"hideous")</f>
        <v>hideous</v>
      </c>
    </row>
    <row r="19453">
      <c r="A19453" s="1" t="s">
        <v>19452</v>
      </c>
      <c r="B19453" s="2" t="str">
        <f>IFERROR(__xludf.DUMMYFUNCTION("GOOGLETRANSLATE(A19453, ""de"", ""en"")"),"drove past")</f>
        <v>drove past</v>
      </c>
    </row>
    <row r="19454">
      <c r="A19454" s="1" t="s">
        <v>19453</v>
      </c>
      <c r="B19454" s="2" t="str">
        <f>IFERROR(__xludf.DUMMYFUNCTION("GOOGLETRANSLATE(A19454, ""de"", ""en"")"),"forward")</f>
        <v>forward</v>
      </c>
    </row>
    <row r="19455">
      <c r="A19455" s="1" t="s">
        <v>19454</v>
      </c>
      <c r="B19455" s="2" t="str">
        <f>IFERROR(__xludf.DUMMYFUNCTION("GOOGLETRANSLATE(A19455, ""de"", ""en"")"),"tracey")</f>
        <v>tracey</v>
      </c>
    </row>
    <row r="19456">
      <c r="A19456" s="1" t="s">
        <v>19455</v>
      </c>
      <c r="B19456" s="2" t="str">
        <f>IFERROR(__xludf.DUMMYFUNCTION("GOOGLETRANSLATE(A19456, ""de"", ""en"")"),"defy")</f>
        <v>defy</v>
      </c>
    </row>
    <row r="19457">
      <c r="A19457" s="1" t="s">
        <v>19456</v>
      </c>
      <c r="B19457" s="2" t="str">
        <f>IFERROR(__xludf.DUMMYFUNCTION("GOOGLETRANSLATE(A19457, ""de"", ""en"")"),"erection")</f>
        <v>erection</v>
      </c>
    </row>
    <row r="19458">
      <c r="A19458" s="1" t="s">
        <v>19457</v>
      </c>
      <c r="B19458" s="2" t="str">
        <f>IFERROR(__xludf.DUMMYFUNCTION("GOOGLETRANSLATE(A19458, ""de"", ""en"")"),"show business")</f>
        <v>show business</v>
      </c>
    </row>
    <row r="19459">
      <c r="A19459" s="1" t="s">
        <v>19458</v>
      </c>
      <c r="B19459" s="2" t="str">
        <f>IFERROR(__xludf.DUMMYFUNCTION("GOOGLETRANSLATE(A19459, ""de"", ""en"")"),"dodo")</f>
        <v>dodo</v>
      </c>
    </row>
    <row r="19460">
      <c r="A19460" s="1" t="s">
        <v>19459</v>
      </c>
      <c r="B19460" s="2" t="str">
        <f>IFERROR(__xludf.DUMMYFUNCTION("GOOGLETRANSLATE(A19460, ""de"", ""en"")"),"applications")</f>
        <v>applications</v>
      </c>
    </row>
    <row r="19461">
      <c r="A19461" s="1" t="s">
        <v>19460</v>
      </c>
      <c r="B19461" s="2" t="str">
        <f>IFERROR(__xludf.DUMMYFUNCTION("GOOGLETRANSLATE(A19461, ""de"", ""en"")"),"licked")</f>
        <v>licked</v>
      </c>
    </row>
    <row r="19462">
      <c r="A19462" s="1" t="s">
        <v>19461</v>
      </c>
      <c r="B19462" s="2" t="str">
        <f>IFERROR(__xludf.DUMMYFUNCTION("GOOGLETRANSLATE(A19462, ""de"", ""en"")"),"truths")</f>
        <v>truths</v>
      </c>
    </row>
    <row r="19463">
      <c r="A19463" s="1" t="s">
        <v>19462</v>
      </c>
      <c r="B19463" s="2" t="str">
        <f>IFERROR(__xludf.DUMMYFUNCTION("GOOGLETRANSLATE(A19463, ""de"", ""en"")"),"research")</f>
        <v>research</v>
      </c>
    </row>
    <row r="19464">
      <c r="A19464" s="1" t="s">
        <v>19463</v>
      </c>
      <c r="B19464" s="2" t="str">
        <f>IFERROR(__xludf.DUMMYFUNCTION("GOOGLETRANSLATE(A19464, ""de"", ""en"")"),"drip")</f>
        <v>drip</v>
      </c>
    </row>
    <row r="19465">
      <c r="A19465" s="1" t="s">
        <v>19464</v>
      </c>
      <c r="B19465" s="2" t="str">
        <f>IFERROR(__xludf.DUMMYFUNCTION("GOOGLETRANSLATE(A19465, ""de"", ""en"")"),"haha")</f>
        <v>haha</v>
      </c>
    </row>
    <row r="19466">
      <c r="A19466" s="1" t="s">
        <v>19465</v>
      </c>
      <c r="B19466" s="2" t="str">
        <f>IFERROR(__xludf.DUMMYFUNCTION("GOOGLETRANSLATE(A19466, ""de"", ""en"")"),"osborne")</f>
        <v>osborne</v>
      </c>
    </row>
    <row r="19467">
      <c r="A19467" s="1" t="s">
        <v>19466</v>
      </c>
      <c r="B19467" s="2" t="str">
        <f>IFERROR(__xludf.DUMMYFUNCTION("GOOGLETRANSLATE(A19467, ""de"", ""en"")"),"shelves")</f>
        <v>shelves</v>
      </c>
    </row>
    <row r="19468">
      <c r="A19468" s="1" t="s">
        <v>19467</v>
      </c>
      <c r="B19468" s="2" t="str">
        <f>IFERROR(__xludf.DUMMYFUNCTION("GOOGLETRANSLATE(A19468, ""de"", ""en"")"),"restart")</f>
        <v>restart</v>
      </c>
    </row>
    <row r="19469">
      <c r="A19469" s="1" t="s">
        <v>19468</v>
      </c>
      <c r="B19469" s="2" t="str">
        <f>IFERROR(__xludf.DUMMYFUNCTION("GOOGLETRANSLATE(A19469, ""de"", ""en"")"),"moped")</f>
        <v>moped</v>
      </c>
    </row>
    <row r="19470">
      <c r="A19470" s="1" t="s">
        <v>19469</v>
      </c>
      <c r="B19470" s="2" t="str">
        <f>IFERROR(__xludf.DUMMYFUNCTION("GOOGLETRANSLATE(A19470, ""de"", ""en"")"),"adjutant")</f>
        <v>adjutant</v>
      </c>
    </row>
    <row r="19471">
      <c r="A19471" s="1" t="s">
        <v>19470</v>
      </c>
      <c r="B19471" s="2" t="str">
        <f>IFERROR(__xludf.DUMMYFUNCTION("GOOGLETRANSLATE(A19471, ""de"", ""en"")"),"tanks")</f>
        <v>tanks</v>
      </c>
    </row>
    <row r="19472">
      <c r="A19472" s="1" t="s">
        <v>19471</v>
      </c>
      <c r="B19472" s="2" t="str">
        <f>IFERROR(__xludf.DUMMYFUNCTION("GOOGLETRANSLATE(A19472, ""de"", ""en"")"),"rear exit")</f>
        <v>rear exit</v>
      </c>
    </row>
    <row r="19473">
      <c r="A19473" s="1" t="s">
        <v>19472</v>
      </c>
      <c r="B19473" s="2" t="str">
        <f>IFERROR(__xludf.DUMMYFUNCTION("GOOGLETRANSLATE(A19473, ""de"", ""en"")"),"scratch77")</f>
        <v>scratch77</v>
      </c>
    </row>
    <row r="19474">
      <c r="A19474" s="1" t="s">
        <v>19473</v>
      </c>
      <c r="B19474" s="2" t="str">
        <f>IFERROR(__xludf.DUMMYFUNCTION("GOOGLETRANSLATE(A19474, ""de"", ""en"")"),"construction worker")</f>
        <v>construction worker</v>
      </c>
    </row>
    <row r="19475">
      <c r="A19475" s="1" t="s">
        <v>19474</v>
      </c>
      <c r="B19475" s="2" t="str">
        <f>IFERROR(__xludf.DUMMYFUNCTION("GOOGLETRANSLATE(A19475, ""de"", ""en"")"),"valeria")</f>
        <v>valeria</v>
      </c>
    </row>
    <row r="19476">
      <c r="A19476" s="1" t="s">
        <v>19475</v>
      </c>
      <c r="B19476" s="2" t="str">
        <f>IFERROR(__xludf.DUMMYFUNCTION("GOOGLETRANSLATE(A19476, ""de"", ""en"")"),"get along")</f>
        <v>get along</v>
      </c>
    </row>
    <row r="19477">
      <c r="A19477" s="1" t="s">
        <v>19476</v>
      </c>
      <c r="B19477" s="2" t="str">
        <f>IFERROR(__xludf.DUMMYFUNCTION("GOOGLETRANSLATE(A19477, ""de"", ""en"")"),"died")</f>
        <v>died</v>
      </c>
    </row>
    <row r="19478">
      <c r="A19478" s="1" t="s">
        <v>19477</v>
      </c>
      <c r="B19478" s="2" t="str">
        <f>IFERROR(__xludf.DUMMYFUNCTION("GOOGLETRANSLATE(A19478, ""de"", ""en"")"),"panties")</f>
        <v>panties</v>
      </c>
    </row>
    <row r="19479">
      <c r="A19479" s="1" t="s">
        <v>19478</v>
      </c>
      <c r="B19479" s="2" t="str">
        <f>IFERROR(__xludf.DUMMYFUNCTION("GOOGLETRANSLATE(A19479, ""de"", ""en"")"),"to go out")</f>
        <v>to go out</v>
      </c>
    </row>
    <row r="19480">
      <c r="A19480" s="1" t="s">
        <v>19479</v>
      </c>
      <c r="B19480" s="2" t="str">
        <f>IFERROR(__xludf.DUMMYFUNCTION("GOOGLETRANSLATE(A19480, ""de"", ""en"")"),"narcotics")</f>
        <v>narcotics</v>
      </c>
    </row>
    <row r="19481">
      <c r="A19481" s="1" t="s">
        <v>19480</v>
      </c>
      <c r="B19481" s="2" t="str">
        <f>IFERROR(__xludf.DUMMYFUNCTION("GOOGLETRANSLATE(A19481, ""de"", ""en"")"),"emptied")</f>
        <v>emptied</v>
      </c>
    </row>
    <row r="19482">
      <c r="A19482" s="1" t="s">
        <v>19481</v>
      </c>
      <c r="B19482" s="2" t="str">
        <f>IFERROR(__xludf.DUMMYFUNCTION("GOOGLETRANSLATE(A19482, ""de"", ""en"")"),"ex boyfriend")</f>
        <v>ex boyfriend</v>
      </c>
    </row>
    <row r="19483">
      <c r="A19483" s="1" t="s">
        <v>19482</v>
      </c>
      <c r="B19483" s="2" t="str">
        <f>IFERROR(__xludf.DUMMYFUNCTION("GOOGLETRANSLATE(A19483, ""de"", ""en"")"),"forecast")</f>
        <v>forecast</v>
      </c>
    </row>
    <row r="19484">
      <c r="A19484" s="1" t="s">
        <v>19483</v>
      </c>
      <c r="B19484" s="2" t="str">
        <f>IFERROR(__xludf.DUMMYFUNCTION("GOOGLETRANSLATE(A19484, ""de"", ""en"")"),"partner")</f>
        <v>partner</v>
      </c>
    </row>
    <row r="19485">
      <c r="A19485" s="1" t="s">
        <v>19484</v>
      </c>
      <c r="B19485" s="2" t="str">
        <f>IFERROR(__xludf.DUMMYFUNCTION("GOOGLETRANSLATE(A19485, ""de"", ""en"")"),"fit")</f>
        <v>fit</v>
      </c>
    </row>
    <row r="19486">
      <c r="A19486" s="1" t="s">
        <v>19485</v>
      </c>
      <c r="B19486" s="2" t="str">
        <f>IFERROR(__xludf.DUMMYFUNCTION("GOOGLETRANSLATE(A19486, ""de"", ""en"")"),"events")</f>
        <v>events</v>
      </c>
    </row>
    <row r="19487">
      <c r="A19487" s="1" t="s">
        <v>19486</v>
      </c>
      <c r="B19487" s="2" t="str">
        <f>IFERROR(__xludf.DUMMYFUNCTION("GOOGLETRANSLATE(A19487, ""de"", ""en"")"),"cannibals")</f>
        <v>cannibals</v>
      </c>
    </row>
    <row r="19488">
      <c r="A19488" s="1" t="s">
        <v>19487</v>
      </c>
      <c r="B19488" s="2" t="str">
        <f>IFERROR(__xludf.DUMMYFUNCTION("GOOGLETRANSLATE(A19488, ""de"", ""en"")"),"lie")</f>
        <v>lie</v>
      </c>
    </row>
    <row r="19489">
      <c r="A19489" s="1" t="s">
        <v>19488</v>
      </c>
      <c r="B19489" s="2" t="str">
        <f>IFERROR(__xludf.DUMMYFUNCTION("GOOGLETRANSLATE(A19489, ""de"", ""en"")"),"caffrey")</f>
        <v>caffrey</v>
      </c>
    </row>
    <row r="19490">
      <c r="A19490" s="1" t="s">
        <v>19489</v>
      </c>
      <c r="B19490" s="2" t="str">
        <f>IFERROR(__xludf.DUMMYFUNCTION("GOOGLETRANSLATE(A19490, ""de"", ""en"")"),"stewie")</f>
        <v>stewie</v>
      </c>
    </row>
    <row r="19491">
      <c r="A19491" s="1" t="s">
        <v>19490</v>
      </c>
      <c r="B19491" s="2" t="str">
        <f>IFERROR(__xludf.DUMMYFUNCTION("GOOGLETRANSLATE(A19491, ""de"", ""en"")"),"tights")</f>
        <v>tights</v>
      </c>
    </row>
    <row r="19492">
      <c r="A19492" s="1" t="s">
        <v>19491</v>
      </c>
      <c r="B19492" s="2" t="str">
        <f>IFERROR(__xludf.DUMMYFUNCTION("GOOGLETRANSLATE(A19492, ""de"", ""en"")"),"delivery")</f>
        <v>delivery</v>
      </c>
    </row>
    <row r="19493">
      <c r="A19493" s="1" t="s">
        <v>19492</v>
      </c>
      <c r="B19493" s="2" t="str">
        <f>IFERROR(__xludf.DUMMYFUNCTION("GOOGLETRANSLATE(A19493, ""de"", ""en"")"),"leader")</f>
        <v>leader</v>
      </c>
    </row>
    <row r="19494">
      <c r="A19494" s="1" t="s">
        <v>19493</v>
      </c>
      <c r="B19494" s="2" t="str">
        <f>IFERROR(__xludf.DUMMYFUNCTION("GOOGLETRANSLATE(A19494, ""de"", ""en"")"),"owner")</f>
        <v>owner</v>
      </c>
    </row>
    <row r="19495">
      <c r="A19495" s="1" t="s">
        <v>19494</v>
      </c>
      <c r="B19495" s="2" t="str">
        <f>IFERROR(__xludf.DUMMYFUNCTION("GOOGLETRANSLATE(A19495, ""de"", ""en"")"),"ohhh")</f>
        <v>ohhh</v>
      </c>
    </row>
    <row r="19496">
      <c r="A19496" s="1" t="s">
        <v>19495</v>
      </c>
      <c r="B19496" s="2" t="str">
        <f>IFERROR(__xludf.DUMMYFUNCTION("GOOGLETRANSLATE(A19496, ""de"", ""en"")"),"temporary help")</f>
        <v>temporary help</v>
      </c>
    </row>
    <row r="19497">
      <c r="A19497" s="1" t="s">
        <v>19496</v>
      </c>
      <c r="B19497" s="2" t="str">
        <f>IFERROR(__xludf.DUMMYFUNCTION("GOOGLETRANSLATE(A19497, ""de"", ""en"")"),"cut")</f>
        <v>cut</v>
      </c>
    </row>
    <row r="19498">
      <c r="A19498" s="1" t="s">
        <v>19497</v>
      </c>
      <c r="B19498" s="2" t="str">
        <f>IFERROR(__xludf.DUMMYFUNCTION("GOOGLETRANSLATE(A19498, ""de"", ""en"")"),"to uncover")</f>
        <v>to uncover</v>
      </c>
    </row>
    <row r="19499">
      <c r="A19499" s="1" t="s">
        <v>19498</v>
      </c>
      <c r="B19499" s="2" t="str">
        <f>IFERROR(__xludf.DUMMYFUNCTION("GOOGLETRANSLATE(A19499, ""de"", ""en"")"),"detonation")</f>
        <v>detonation</v>
      </c>
    </row>
    <row r="19500">
      <c r="A19500" s="1" t="s">
        <v>19499</v>
      </c>
      <c r="B19500" s="2" t="str">
        <f>IFERROR(__xludf.DUMMYFUNCTION("GOOGLETRANSLATE(A19500, ""de"", ""en"")"),"sacrifice")</f>
        <v>sacrifice</v>
      </c>
    </row>
    <row r="19501">
      <c r="A19501" s="1" t="s">
        <v>19500</v>
      </c>
      <c r="B19501" s="2" t="str">
        <f>IFERROR(__xludf.DUMMYFUNCTION("GOOGLETRANSLATE(A19501, ""de"", ""en"")"),"lan")</f>
        <v>lan</v>
      </c>
    </row>
    <row r="19502">
      <c r="A19502" s="1" t="s">
        <v>19501</v>
      </c>
      <c r="B19502" s="2" t="str">
        <f>IFERROR(__xludf.DUMMYFUNCTION("GOOGLETRANSLATE(A19502, ""de"", ""en"")"),"grandchild")</f>
        <v>grandchild</v>
      </c>
    </row>
    <row r="19503">
      <c r="A19503" s="1" t="s">
        <v>19502</v>
      </c>
      <c r="B19503" s="2" t="str">
        <f>IFERROR(__xludf.DUMMYFUNCTION("GOOGLETRANSLATE(A19503, ""de"", ""en"")"),"edition")</f>
        <v>edition</v>
      </c>
    </row>
    <row r="19504">
      <c r="A19504" s="1" t="s">
        <v>19503</v>
      </c>
      <c r="B19504" s="2" t="str">
        <f>IFERROR(__xludf.DUMMYFUNCTION("GOOGLETRANSLATE(A19504, ""de"", ""en"")"),"fiasco")</f>
        <v>fiasco</v>
      </c>
    </row>
    <row r="19505">
      <c r="A19505" s="1" t="s">
        <v>19504</v>
      </c>
      <c r="B19505" s="2" t="str">
        <f>IFERROR(__xludf.DUMMYFUNCTION("GOOGLETRANSLATE(A19505, ""de"", ""en"")"),"rolling")</f>
        <v>rolling</v>
      </c>
    </row>
    <row r="19506">
      <c r="A19506" s="1" t="s">
        <v>19505</v>
      </c>
      <c r="B19506" s="2" t="str">
        <f>IFERROR(__xludf.DUMMYFUNCTION("GOOGLETRANSLATE(A19506, ""de"", ""en"")"),"areas")</f>
        <v>areas</v>
      </c>
    </row>
    <row r="19507">
      <c r="A19507" s="1" t="s">
        <v>19506</v>
      </c>
      <c r="B19507" s="2" t="str">
        <f>IFERROR(__xludf.DUMMYFUNCTION("GOOGLETRANSLATE(A19507, ""de"", ""en"")"),"hide away")</f>
        <v>hide away</v>
      </c>
    </row>
    <row r="19508">
      <c r="A19508" s="1" t="s">
        <v>19507</v>
      </c>
      <c r="B19508" s="2" t="str">
        <f>IFERROR(__xludf.DUMMYFUNCTION("GOOGLETRANSLATE(A19508, ""de"", ""en"")"),"bells ring")</f>
        <v>bells ring</v>
      </c>
    </row>
    <row r="19509">
      <c r="A19509" s="1" t="s">
        <v>19508</v>
      </c>
      <c r="B19509" s="2" t="str">
        <f>IFERROR(__xludf.DUMMYFUNCTION("GOOGLETRANSLATE(A19509, ""de"", ""en"")"),"vasquez")</f>
        <v>vasquez</v>
      </c>
    </row>
    <row r="19510">
      <c r="A19510" s="1" t="s">
        <v>19509</v>
      </c>
      <c r="B19510" s="2" t="str">
        <f>IFERROR(__xludf.DUMMYFUNCTION("GOOGLETRANSLATE(A19510, ""de"", ""en"")"),"alcoholic")</f>
        <v>alcoholic</v>
      </c>
    </row>
    <row r="19511">
      <c r="A19511" s="1" t="s">
        <v>19510</v>
      </c>
      <c r="B19511" s="2" t="str">
        <f>IFERROR(__xludf.DUMMYFUNCTION("GOOGLETRANSLATE(A19511, ""de"", ""en"")"),"cavalier")</f>
        <v>cavalier</v>
      </c>
    </row>
    <row r="19512">
      <c r="A19512" s="1" t="s">
        <v>19511</v>
      </c>
      <c r="B19512" s="2" t="str">
        <f>IFERROR(__xludf.DUMMYFUNCTION("GOOGLETRANSLATE(A19512, ""de"", ""en"")"),"hesitates")</f>
        <v>hesitates</v>
      </c>
    </row>
    <row r="19513">
      <c r="A19513" s="1" t="s">
        <v>19512</v>
      </c>
      <c r="B19513" s="2" t="str">
        <f>IFERROR(__xludf.DUMMYFUNCTION("GOOGLETRANSLATE(A19513, ""de"", ""en"")"),"ferris")</f>
        <v>ferris</v>
      </c>
    </row>
    <row r="19514">
      <c r="A19514" s="1" t="s">
        <v>19513</v>
      </c>
      <c r="B19514" s="2" t="str">
        <f>IFERROR(__xludf.DUMMYFUNCTION("GOOGLETRANSLATE(A19514, ""de"", ""en"")"),"nice")</f>
        <v>nice</v>
      </c>
    </row>
    <row r="19515">
      <c r="A19515" s="1" t="s">
        <v>19514</v>
      </c>
      <c r="B19515" s="2" t="str">
        <f>IFERROR(__xludf.DUMMYFUNCTION("GOOGLETRANSLATE(A19515, ""de"", ""en"")"),"to rest")</f>
        <v>to rest</v>
      </c>
    </row>
    <row r="19516">
      <c r="A19516" s="1" t="s">
        <v>19515</v>
      </c>
      <c r="B19516" s="2" t="str">
        <f>IFERROR(__xludf.DUMMYFUNCTION("GOOGLETRANSLATE(A19516, ""de"", ""en"")"),"hop")</f>
        <v>hop</v>
      </c>
    </row>
    <row r="19517">
      <c r="A19517" s="1" t="s">
        <v>19516</v>
      </c>
      <c r="B19517" s="2" t="str">
        <f>IFERROR(__xludf.DUMMYFUNCTION("GOOGLETRANSLATE(A19517, ""de"", ""en"")"),"liverpool")</f>
        <v>liverpool</v>
      </c>
    </row>
    <row r="19518">
      <c r="A19518" s="1" t="s">
        <v>19517</v>
      </c>
      <c r="B19518" s="2" t="str">
        <f>IFERROR(__xludf.DUMMYFUNCTION("GOOGLETRANSLATE(A19518, ""de"", ""en"")"),"herds")</f>
        <v>herds</v>
      </c>
    </row>
    <row r="19519">
      <c r="A19519" s="1" t="s">
        <v>19518</v>
      </c>
      <c r="B19519" s="2" t="str">
        <f>IFERROR(__xludf.DUMMYFUNCTION("GOOGLETRANSLATE(A19519, ""de"", ""en"")"),"shine")</f>
        <v>shine</v>
      </c>
    </row>
    <row r="19520">
      <c r="A19520" s="1" t="s">
        <v>19519</v>
      </c>
      <c r="B19520" s="2" t="str">
        <f>IFERROR(__xludf.DUMMYFUNCTION("GOOGLETRANSLATE(A19520, ""de"", ""en"")"),"pillars")</f>
        <v>pillars</v>
      </c>
    </row>
    <row r="19521">
      <c r="A19521" s="1" t="s">
        <v>19520</v>
      </c>
      <c r="B19521" s="2" t="str">
        <f>IFERROR(__xludf.DUMMYFUNCTION("GOOGLETRANSLATE(A19521, ""de"", ""en"")"),"elegant")</f>
        <v>elegant</v>
      </c>
    </row>
    <row r="19522">
      <c r="A19522" s="1" t="s">
        <v>19521</v>
      </c>
      <c r="B19522" s="2" t="str">
        <f>IFERROR(__xludf.DUMMYFUNCTION("GOOGLETRANSLATE(A19522, ""de"", ""en"")"),"athletes")</f>
        <v>athletes</v>
      </c>
    </row>
    <row r="19523">
      <c r="A19523" s="1" t="s">
        <v>19522</v>
      </c>
      <c r="B19523" s="2" t="str">
        <f>IFERROR(__xludf.DUMMYFUNCTION("GOOGLETRANSLATE(A19523, ""de"", ""en"")"),"greenwich")</f>
        <v>greenwich</v>
      </c>
    </row>
    <row r="19524">
      <c r="A19524" s="1" t="s">
        <v>19523</v>
      </c>
      <c r="B19524" s="2" t="str">
        <f>IFERROR(__xludf.DUMMYFUNCTION("GOOGLETRANSLATE(A19524, ""de"", ""en"")"),"stretches")</f>
        <v>stretches</v>
      </c>
    </row>
    <row r="19525">
      <c r="A19525" s="1" t="s">
        <v>19524</v>
      </c>
      <c r="B19525" s="2" t="str">
        <f>IFERROR(__xludf.DUMMYFUNCTION("GOOGLETRANSLATE(A19525, ""de"", ""en"")"),"warmer")</f>
        <v>warmer</v>
      </c>
    </row>
    <row r="19526">
      <c r="A19526" s="1" t="s">
        <v>19525</v>
      </c>
      <c r="B19526" s="2" t="str">
        <f>IFERROR(__xludf.DUMMYFUNCTION("GOOGLETRANSLATE(A19526, ""de"", ""en"")"),"applauds")</f>
        <v>applauds</v>
      </c>
    </row>
    <row r="19527">
      <c r="A19527" s="1" t="s">
        <v>19526</v>
      </c>
      <c r="B19527" s="2" t="str">
        <f>IFERROR(__xludf.DUMMYFUNCTION("GOOGLETRANSLATE(A19527, ""de"", ""en"")"),"printed")</f>
        <v>printed</v>
      </c>
    </row>
    <row r="19528">
      <c r="A19528" s="1" t="s">
        <v>19527</v>
      </c>
      <c r="B19528" s="2" t="str">
        <f>IFERROR(__xludf.DUMMYFUNCTION("GOOGLETRANSLATE(A19528, ""de"", ""en"")"),"finally")</f>
        <v>finally</v>
      </c>
    </row>
    <row r="19529">
      <c r="A19529" s="1" t="s">
        <v>19528</v>
      </c>
      <c r="B19529" s="2" t="str">
        <f>IFERROR(__xludf.DUMMYFUNCTION("GOOGLETRANSLATE(A19529, ""de"", ""en"")"),"revolutionary")</f>
        <v>revolutionary</v>
      </c>
    </row>
    <row r="19530">
      <c r="A19530" s="1" t="s">
        <v>19529</v>
      </c>
      <c r="B19530" s="2" t="str">
        <f>IFERROR(__xludf.DUMMYFUNCTION("GOOGLETRANSLATE(A19530, ""de"", ""en"")"),"replace")</f>
        <v>replace</v>
      </c>
    </row>
    <row r="19531">
      <c r="A19531" s="1" t="s">
        <v>19530</v>
      </c>
      <c r="B19531" s="2" t="str">
        <f>IFERROR(__xludf.DUMMYFUNCTION("GOOGLETRANSLATE(A19531, ""de"", ""en"")"),"Siegfried")</f>
        <v>Siegfried</v>
      </c>
    </row>
    <row r="19532">
      <c r="A19532" s="1" t="s">
        <v>19531</v>
      </c>
      <c r="B19532" s="2" t="str">
        <f>IFERROR(__xludf.DUMMYFUNCTION("GOOGLETRANSLATE(A19532, ""de"", ""en"")"),"hustle and bustle")</f>
        <v>hustle and bustle</v>
      </c>
    </row>
    <row r="19533">
      <c r="A19533" s="1" t="s">
        <v>19532</v>
      </c>
      <c r="B19533" s="2" t="str">
        <f>IFERROR(__xludf.DUMMYFUNCTION("GOOGLETRANSLATE(A19533, ""de"", ""en"")"),"puppets")</f>
        <v>puppets</v>
      </c>
    </row>
    <row r="19534">
      <c r="A19534" s="1" t="s">
        <v>19533</v>
      </c>
      <c r="B19534" s="2" t="str">
        <f>IFERROR(__xludf.DUMMYFUNCTION("GOOGLETRANSLATE(A19534, ""de"", ""en"")"),"used")</f>
        <v>used</v>
      </c>
    </row>
    <row r="19535">
      <c r="A19535" s="1" t="s">
        <v>19534</v>
      </c>
      <c r="B19535" s="2" t="str">
        <f>IFERROR(__xludf.DUMMYFUNCTION("GOOGLETRANSLATE(A19535, ""de"", ""en"")"),"away")</f>
        <v>away</v>
      </c>
    </row>
    <row r="19536">
      <c r="A19536" s="1" t="s">
        <v>19535</v>
      </c>
      <c r="B19536" s="2" t="str">
        <f>IFERROR(__xludf.DUMMYFUNCTION("GOOGLETRANSLATE(A19536, ""de"", ""en"")"),"label")</f>
        <v>label</v>
      </c>
    </row>
    <row r="19537">
      <c r="A19537" s="1" t="s">
        <v>19536</v>
      </c>
      <c r="B19537" s="2" t="str">
        <f>IFERROR(__xludf.DUMMYFUNCTION("GOOGLETRANSLATE(A19537, ""de"", ""en"")"),"teddy bear")</f>
        <v>teddy bear</v>
      </c>
    </row>
    <row r="19538">
      <c r="A19538" s="1" t="s">
        <v>19537</v>
      </c>
      <c r="B19538" s="2" t="str">
        <f>IFERROR(__xludf.DUMMYFUNCTION("GOOGLETRANSLATE(A19538, ""de"", ""en"")"),"precisely")</f>
        <v>precisely</v>
      </c>
    </row>
    <row r="19539">
      <c r="A19539" s="1" t="s">
        <v>19538</v>
      </c>
      <c r="B19539" s="2" t="str">
        <f>IFERROR(__xludf.DUMMYFUNCTION("GOOGLETRANSLATE(A19539, ""de"", ""en"")"),"ziva")</f>
        <v>ziva</v>
      </c>
    </row>
    <row r="19540">
      <c r="A19540" s="1" t="s">
        <v>19539</v>
      </c>
      <c r="B19540" s="2" t="str">
        <f>IFERROR(__xludf.DUMMYFUNCTION("GOOGLETRANSLATE(A19540, ""de"", ""en"")"),"constipation")</f>
        <v>constipation</v>
      </c>
    </row>
    <row r="19541">
      <c r="A19541" s="1" t="s">
        <v>19540</v>
      </c>
      <c r="B19541" s="2" t="str">
        <f>IFERROR(__xludf.DUMMYFUNCTION("GOOGLETRANSLATE(A19541, ""de"", ""en"")"),"Katarina")</f>
        <v>Katarina</v>
      </c>
    </row>
    <row r="19542">
      <c r="A19542" s="1" t="s">
        <v>19541</v>
      </c>
      <c r="B19542" s="2" t="str">
        <f>IFERROR(__xludf.DUMMYFUNCTION("GOOGLETRANSLATE(A19542, ""de"", ""en"")"),"cooked")</f>
        <v>cooked</v>
      </c>
    </row>
    <row r="19543">
      <c r="A19543" s="1" t="s">
        <v>19542</v>
      </c>
      <c r="B19543" s="2" t="str">
        <f>IFERROR(__xludf.DUMMYFUNCTION("GOOGLETRANSLATE(A19543, ""de"", ""en"")"),"cooperation")</f>
        <v>cooperation</v>
      </c>
    </row>
    <row r="19544">
      <c r="A19544" s="1" t="s">
        <v>19543</v>
      </c>
      <c r="B19544" s="2" t="str">
        <f>IFERROR(__xludf.DUMMYFUNCTION("GOOGLETRANSLATE(A19544, ""de"", ""en"")"),"golden")</f>
        <v>golden</v>
      </c>
    </row>
    <row r="19545">
      <c r="A19545" s="1" t="s">
        <v>19544</v>
      </c>
      <c r="B19545" s="2" t="str">
        <f>IFERROR(__xludf.DUMMYFUNCTION("GOOGLETRANSLATE(A19545, ""de"", ""en"")"),"neutrals")</f>
        <v>neutrals</v>
      </c>
    </row>
    <row r="19546">
      <c r="A19546" s="1" t="s">
        <v>19545</v>
      </c>
      <c r="B19546" s="2" t="str">
        <f>IFERROR(__xludf.DUMMYFUNCTION("GOOGLETRANSLATE(A19546, ""de"", ""en"")"),"cheeky")</f>
        <v>cheeky</v>
      </c>
    </row>
    <row r="19547">
      <c r="A19547" s="1" t="s">
        <v>19546</v>
      </c>
      <c r="B19547" s="2" t="str">
        <f>IFERROR(__xludf.DUMMYFUNCTION("GOOGLETRANSLATE(A19547, ""de"", ""en"")"),"tommy's")</f>
        <v>tommy's</v>
      </c>
    </row>
    <row r="19548">
      <c r="A19548" s="1" t="s">
        <v>19547</v>
      </c>
      <c r="B19548" s="2" t="str">
        <f>IFERROR(__xludf.DUMMYFUNCTION("GOOGLETRANSLATE(A19548, ""de"", ""en"")"),"kepner")</f>
        <v>kepner</v>
      </c>
    </row>
    <row r="19549">
      <c r="A19549" s="1" t="s">
        <v>19548</v>
      </c>
      <c r="B19549" s="2" t="str">
        <f>IFERROR(__xludf.DUMMYFUNCTION("GOOGLETRANSLATE(A19549, ""de"", ""en"")"),"messieurs")</f>
        <v>messieurs</v>
      </c>
    </row>
    <row r="19550">
      <c r="A19550" s="1" t="s">
        <v>19549</v>
      </c>
      <c r="B19550" s="2" t="str">
        <f>IFERROR(__xludf.DUMMYFUNCTION("GOOGLETRANSLATE(A19550, ""de"", ""en"")"),"deanna")</f>
        <v>deanna</v>
      </c>
    </row>
    <row r="19551">
      <c r="A19551" s="1" t="s">
        <v>19550</v>
      </c>
      <c r="B19551" s="2" t="str">
        <f>IFERROR(__xludf.DUMMYFUNCTION("GOOGLETRANSLATE(A19551, ""de"", ""en"")"),"asher")</f>
        <v>asher</v>
      </c>
    </row>
    <row r="19552">
      <c r="A19552" s="1" t="s">
        <v>19551</v>
      </c>
      <c r="B19552" s="2" t="str">
        <f>IFERROR(__xludf.DUMMYFUNCTION("GOOGLETRANSLATE(A19552, ""de"", ""en"")"),"expression")</f>
        <v>expression</v>
      </c>
    </row>
    <row r="19553">
      <c r="A19553" s="1" t="s">
        <v>19552</v>
      </c>
      <c r="B19553" s="2" t="str">
        <f>IFERROR(__xludf.DUMMYFUNCTION("GOOGLETRANSLATE(A19553, ""de"", ""en"")"),"electronic")</f>
        <v>electronic</v>
      </c>
    </row>
    <row r="19554">
      <c r="A19554" s="1" t="s">
        <v>19553</v>
      </c>
      <c r="B19554" s="2" t="str">
        <f>IFERROR(__xludf.DUMMYFUNCTION("GOOGLETRANSLATE(A19554, ""de"", ""en"")"),"pout")</f>
        <v>pout</v>
      </c>
    </row>
    <row r="19555">
      <c r="A19555" s="1" t="s">
        <v>19554</v>
      </c>
      <c r="B19555" s="2" t="str">
        <f>IFERROR(__xludf.DUMMYFUNCTION("GOOGLETRANSLATE(A19555, ""de"", ""en"")"),"maid")</f>
        <v>maid</v>
      </c>
    </row>
    <row r="19556">
      <c r="A19556" s="1" t="s">
        <v>19555</v>
      </c>
      <c r="B19556" s="2" t="str">
        <f>IFERROR(__xludf.DUMMYFUNCTION("GOOGLETRANSLATE(A19556, ""de"", ""en"")"),"agreed")</f>
        <v>agreed</v>
      </c>
    </row>
    <row r="19557">
      <c r="A19557" s="1" t="s">
        <v>19556</v>
      </c>
      <c r="B19557" s="2" t="str">
        <f>IFERROR(__xludf.DUMMYFUNCTION("GOOGLETRANSLATE(A19557, ""de"", ""en"")"),"increasingly")</f>
        <v>increasingly</v>
      </c>
    </row>
    <row r="19558">
      <c r="A19558" s="1" t="s">
        <v>19557</v>
      </c>
      <c r="B19558" s="2" t="str">
        <f>IFERROR(__xludf.DUMMYFUNCTION("GOOGLETRANSLATE(A19558, ""de"", ""en"")"),"sorceress")</f>
        <v>sorceress</v>
      </c>
    </row>
    <row r="19559">
      <c r="A19559" s="1" t="s">
        <v>19558</v>
      </c>
      <c r="B19559" s="2" t="str">
        <f>IFERROR(__xludf.DUMMYFUNCTION("GOOGLETRANSLATE(A19559, ""de"", ""en"")"),"burdens")</f>
        <v>burdens</v>
      </c>
    </row>
    <row r="19560">
      <c r="A19560" s="1" t="s">
        <v>19559</v>
      </c>
      <c r="B19560" s="2" t="str">
        <f>IFERROR(__xludf.DUMMYFUNCTION("GOOGLETRANSLATE(A19560, ""de"", ""en"")"),"drop")</f>
        <v>drop</v>
      </c>
    </row>
    <row r="19561">
      <c r="A19561" s="1" t="s">
        <v>19560</v>
      </c>
      <c r="B19561" s="2" t="str">
        <f>IFERROR(__xludf.DUMMYFUNCTION("GOOGLETRANSLATE(A19561, ""de"", ""en"")"),"goes")</f>
        <v>goes</v>
      </c>
    </row>
    <row r="19562">
      <c r="A19562" s="1" t="s">
        <v>19561</v>
      </c>
      <c r="B19562" s="2" t="str">
        <f>IFERROR(__xludf.DUMMYFUNCTION("GOOGLETRANSLATE(A19562, ""de"", ""en"")"),"rollo")</f>
        <v>rollo</v>
      </c>
    </row>
    <row r="19563">
      <c r="A19563" s="1" t="s">
        <v>19562</v>
      </c>
      <c r="B19563" s="2" t="str">
        <f>IFERROR(__xludf.DUMMYFUNCTION("GOOGLETRANSLATE(A19563, ""de"", ""en"")"),"were called")</f>
        <v>were called</v>
      </c>
    </row>
    <row r="19564">
      <c r="A19564" s="1" t="s">
        <v>19563</v>
      </c>
      <c r="B19564" s="2" t="str">
        <f>IFERROR(__xludf.DUMMYFUNCTION("GOOGLETRANSLATE(A19564, ""de"", ""en"")"),"Muslims")</f>
        <v>Muslims</v>
      </c>
    </row>
    <row r="19565">
      <c r="A19565" s="1" t="s">
        <v>19564</v>
      </c>
      <c r="B19565" s="2" t="str">
        <f>IFERROR(__xludf.DUMMYFUNCTION("GOOGLETRANSLATE(A19565, ""de"", ""en"")"),"serious")</f>
        <v>serious</v>
      </c>
    </row>
    <row r="19566">
      <c r="A19566" s="1" t="s">
        <v>19565</v>
      </c>
      <c r="B19566" s="2" t="str">
        <f>IFERROR(__xludf.DUMMYFUNCTION("GOOGLETRANSLATE(A19566, ""de"", ""en"")"),"more unhappy")</f>
        <v>more unhappy</v>
      </c>
    </row>
    <row r="19567">
      <c r="A19567" s="1" t="s">
        <v>19566</v>
      </c>
      <c r="B19567" s="2" t="str">
        <f>IFERROR(__xludf.DUMMYFUNCTION("GOOGLETRANSLATE(A19567, ""de"", ""en"")"),"sponsors")</f>
        <v>sponsors</v>
      </c>
    </row>
    <row r="19568">
      <c r="A19568" s="1" t="s">
        <v>19567</v>
      </c>
      <c r="B19568" s="2" t="str">
        <f>IFERROR(__xludf.DUMMYFUNCTION("GOOGLETRANSLATE(A19568, ""de"", ""en"")"),"merge")</f>
        <v>merge</v>
      </c>
    </row>
    <row r="19569">
      <c r="A19569" s="1" t="s">
        <v>19568</v>
      </c>
      <c r="B19569" s="2" t="str">
        <f>IFERROR(__xludf.DUMMYFUNCTION("GOOGLETRANSLATE(A19569, ""de"", ""en"")"),"sit there")</f>
        <v>sit there</v>
      </c>
    </row>
    <row r="19570">
      <c r="A19570" s="1" t="s">
        <v>19569</v>
      </c>
      <c r="B19570" s="2" t="str">
        <f>IFERROR(__xludf.DUMMYFUNCTION("GOOGLETRANSLATE(A19570, ""de"", ""en"")"),"steel")</f>
        <v>steel</v>
      </c>
    </row>
    <row r="19571">
      <c r="A19571" s="1" t="s">
        <v>19570</v>
      </c>
      <c r="B19571" s="2" t="str">
        <f>IFERROR(__xludf.DUMMYFUNCTION("GOOGLETRANSLATE(A19571, ""de"", ""en"")"),"sin")</f>
        <v>sin</v>
      </c>
    </row>
    <row r="19572">
      <c r="A19572" s="1" t="s">
        <v>19571</v>
      </c>
      <c r="B19572" s="2" t="str">
        <f>IFERROR(__xludf.DUMMYFUNCTION("GOOGLETRANSLATE(A19572, ""de"", ""en"")"),"coming")</f>
        <v>coming</v>
      </c>
    </row>
    <row r="19573">
      <c r="A19573" s="1" t="s">
        <v>19572</v>
      </c>
      <c r="B19573" s="2" t="str">
        <f>IFERROR(__xludf.DUMMYFUNCTION("GOOGLETRANSLATE(A19573, ""de"", ""en"")"),"mowing machine")</f>
        <v>mowing machine</v>
      </c>
    </row>
    <row r="19574">
      <c r="A19574" s="1" t="s">
        <v>19573</v>
      </c>
      <c r="B19574" s="2" t="str">
        <f>IFERROR(__xludf.DUMMYFUNCTION("GOOGLETRANSLATE(A19574, ""de"", ""en"")"),"powerful")</f>
        <v>powerful</v>
      </c>
    </row>
    <row r="19575">
      <c r="A19575" s="1" t="s">
        <v>19574</v>
      </c>
      <c r="B19575" s="2" t="str">
        <f>IFERROR(__xludf.DUMMYFUNCTION("GOOGLETRANSLATE(A19575, ""de"", ""en"")"),"juggernaut")</f>
        <v>juggernaut</v>
      </c>
    </row>
    <row r="19576">
      <c r="A19576" s="1" t="s">
        <v>19575</v>
      </c>
      <c r="B19576" s="2" t="str">
        <f>IFERROR(__xludf.DUMMYFUNCTION("GOOGLETRANSLATE(A19576, ""de"", ""en"")"),"bureau.bureau")</f>
        <v>bureau.bureau</v>
      </c>
    </row>
    <row r="19577">
      <c r="A19577" s="1" t="s">
        <v>19576</v>
      </c>
      <c r="B19577" s="2" t="str">
        <f>IFERROR(__xludf.DUMMYFUNCTION("GOOGLETRANSLATE(A19577, ""de"", ""en"")"),"share")</f>
        <v>share</v>
      </c>
    </row>
    <row r="19578">
      <c r="A19578" s="1" t="s">
        <v>19577</v>
      </c>
      <c r="B19578" s="2" t="str">
        <f>IFERROR(__xludf.DUMMYFUNCTION("GOOGLETRANSLATE(A19578, ""de"", ""en"")"),"mi6")</f>
        <v>mi6</v>
      </c>
    </row>
    <row r="19579">
      <c r="A19579" s="1" t="s">
        <v>19578</v>
      </c>
      <c r="B19579" s="2" t="str">
        <f>IFERROR(__xludf.DUMMYFUNCTION("GOOGLETRANSLATE(A19579, ""de"", ""en"")"),"anus")</f>
        <v>anus</v>
      </c>
    </row>
    <row r="19580">
      <c r="A19580" s="1" t="s">
        <v>19579</v>
      </c>
      <c r="B19580" s="2" t="str">
        <f>IFERROR(__xludf.DUMMYFUNCTION("GOOGLETRANSLATE(A19580, ""de"", ""en"")"),"Marsha")</f>
        <v>Marsha</v>
      </c>
    </row>
    <row r="19581">
      <c r="A19581" s="1" t="s">
        <v>19580</v>
      </c>
      <c r="B19581" s="2" t="str">
        <f>IFERROR(__xludf.DUMMYFUNCTION("GOOGLETRANSLATE(A19581, ""de"", ""en"")"),"rental car")</f>
        <v>rental car</v>
      </c>
    </row>
    <row r="19582">
      <c r="A19582" s="1" t="s">
        <v>19581</v>
      </c>
      <c r="B19582" s="2" t="str">
        <f>IFERROR(__xludf.DUMMYFUNCTION("GOOGLETRANSLATE(A19582, ""de"", ""en"")"),"picked up")</f>
        <v>picked up</v>
      </c>
    </row>
    <row r="19583">
      <c r="A19583" s="1" t="s">
        <v>19582</v>
      </c>
      <c r="B19583" s="2" t="str">
        <f>IFERROR(__xludf.DUMMYFUNCTION("GOOGLETRANSLATE(A19583, ""de"", ""en"")"),"bring home")</f>
        <v>bring home</v>
      </c>
    </row>
    <row r="19584">
      <c r="A19584" s="1" t="s">
        <v>19583</v>
      </c>
      <c r="B19584" s="2" t="str">
        <f>IFERROR(__xludf.DUMMYFUNCTION("GOOGLETRANSLATE(A19584, ""de"", ""en"")"),"lovely")</f>
        <v>lovely</v>
      </c>
    </row>
    <row r="19585">
      <c r="A19585" s="1" t="s">
        <v>19584</v>
      </c>
      <c r="B19585" s="2" t="str">
        <f>IFERROR(__xludf.DUMMYFUNCTION("GOOGLETRANSLATE(A19585, ""de"", ""en"")"),"wifey")</f>
        <v>wifey</v>
      </c>
    </row>
    <row r="19586">
      <c r="A19586" s="1" t="s">
        <v>19585</v>
      </c>
      <c r="B19586" s="2" t="str">
        <f>IFERROR(__xludf.DUMMYFUNCTION("GOOGLETRANSLATE(A19586, ""de"", ""en"")"),"dishonored")</f>
        <v>dishonored</v>
      </c>
    </row>
    <row r="19587">
      <c r="A19587" s="1" t="s">
        <v>19586</v>
      </c>
      <c r="B19587" s="2" t="str">
        <f>IFERROR(__xludf.DUMMYFUNCTION("GOOGLETRANSLATE(A19587, ""de"", ""en"")"),"examples")</f>
        <v>examples</v>
      </c>
    </row>
    <row r="19588">
      <c r="A19588" s="1" t="s">
        <v>19587</v>
      </c>
      <c r="B19588" s="2" t="str">
        <f>IFERROR(__xludf.DUMMYFUNCTION("GOOGLETRANSLATE(A19588, ""de"", ""en"")"),"Constantine")</f>
        <v>Constantine</v>
      </c>
    </row>
    <row r="19589">
      <c r="A19589" s="1" t="s">
        <v>19588</v>
      </c>
      <c r="B19589" s="2" t="str">
        <f>IFERROR(__xludf.DUMMYFUNCTION("GOOGLETRANSLATE(A19589, ""de"", ""en"")"),"radio message")</f>
        <v>radio message</v>
      </c>
    </row>
    <row r="19590">
      <c r="A19590" s="1" t="s">
        <v>19589</v>
      </c>
      <c r="B19590" s="2" t="str">
        <f>IFERROR(__xludf.DUMMYFUNCTION("GOOGLETRANSLATE(A19590, ""de"", ""en"")"),"constant")</f>
        <v>constant</v>
      </c>
    </row>
    <row r="19591">
      <c r="A19591" s="1" t="s">
        <v>19590</v>
      </c>
      <c r="B19591" s="2" t="str">
        <f>IFERROR(__xludf.DUMMYFUNCTION("GOOGLETRANSLATE(A19591, ""de"", ""en"")"),"to join")</f>
        <v>to join</v>
      </c>
    </row>
    <row r="19592">
      <c r="A19592" s="1" t="s">
        <v>19591</v>
      </c>
      <c r="B19592" s="2" t="str">
        <f>IFERROR(__xludf.DUMMYFUNCTION("GOOGLETRANSLATE(A19592, ""de"", ""en"")"),"plutonium")</f>
        <v>plutonium</v>
      </c>
    </row>
    <row r="19593">
      <c r="A19593" s="1" t="s">
        <v>19592</v>
      </c>
      <c r="B19593" s="2" t="str">
        <f>IFERROR(__xludf.DUMMYFUNCTION("GOOGLETRANSLATE(A19593, ""de"", ""en"")"),"rocks")</f>
        <v>rocks</v>
      </c>
    </row>
    <row r="19594">
      <c r="A19594" s="1" t="s">
        <v>19593</v>
      </c>
      <c r="B19594" s="2" t="str">
        <f>IFERROR(__xludf.DUMMYFUNCTION("GOOGLETRANSLATE(A19594, ""de"", ""en"")"),"goblins")</f>
        <v>goblins</v>
      </c>
    </row>
    <row r="19595">
      <c r="A19595" s="1" t="s">
        <v>19594</v>
      </c>
      <c r="B19595" s="2" t="str">
        <f>IFERROR(__xludf.DUMMYFUNCTION("GOOGLETRANSLATE(A19595, ""de"", ""en"")"),"rang")</f>
        <v>rang</v>
      </c>
    </row>
    <row r="19596">
      <c r="A19596" s="1" t="s">
        <v>19595</v>
      </c>
      <c r="B19596" s="2" t="str">
        <f>IFERROR(__xludf.DUMMYFUNCTION("GOOGLETRANSLATE(A19596, ""de"", ""en"")"),"interrogate")</f>
        <v>interrogate</v>
      </c>
    </row>
    <row r="19597">
      <c r="A19597" s="1" t="s">
        <v>19596</v>
      </c>
      <c r="B19597" s="2" t="str">
        <f>IFERROR(__xludf.DUMMYFUNCTION("GOOGLETRANSLATE(A19597, ""de"", ""en"")"),"stimuli")</f>
        <v>stimuli</v>
      </c>
    </row>
    <row r="19598">
      <c r="A19598" s="1" t="s">
        <v>19597</v>
      </c>
      <c r="B19598" s="2" t="str">
        <f>IFERROR(__xludf.DUMMYFUNCTION("GOOGLETRANSLATE(A19598, ""de"", ""en"")"),"gossip")</f>
        <v>gossip</v>
      </c>
    </row>
    <row r="19599">
      <c r="A19599" s="1" t="s">
        <v>19598</v>
      </c>
      <c r="B19599" s="2" t="str">
        <f>IFERROR(__xludf.DUMMYFUNCTION("GOOGLETRANSLATE(A19599, ""de"", ""en"")"),"balance sheet")</f>
        <v>balance sheet</v>
      </c>
    </row>
    <row r="19600">
      <c r="A19600" s="1" t="s">
        <v>19599</v>
      </c>
      <c r="B19600" s="2" t="str">
        <f>IFERROR(__xludf.DUMMYFUNCTION("GOOGLETRANSLATE(A19600, ""de"", ""en"")"),"designed")</f>
        <v>designed</v>
      </c>
    </row>
    <row r="19601">
      <c r="A19601" s="1" t="s">
        <v>19600</v>
      </c>
      <c r="B19601" s="2" t="str">
        <f>IFERROR(__xludf.DUMMYFUNCTION("GOOGLETRANSLATE(A19601, ""de"", ""en"")"),"shrek")</f>
        <v>shrek</v>
      </c>
    </row>
    <row r="19602">
      <c r="A19602" s="1" t="s">
        <v>19601</v>
      </c>
      <c r="B19602" s="2" t="str">
        <f>IFERROR(__xludf.DUMMYFUNCTION("GOOGLETRANSLATE(A19602, ""de"", ""en"")"),"dig")</f>
        <v>dig</v>
      </c>
    </row>
    <row r="19603">
      <c r="A19603" s="1" t="s">
        <v>19602</v>
      </c>
      <c r="B19603" s="2" t="str">
        <f>IFERROR(__xludf.DUMMYFUNCTION("GOOGLETRANSLATE(A19603, ""de"", ""en"")"),"cashier")</f>
        <v>cashier</v>
      </c>
    </row>
    <row r="19604">
      <c r="A19604" s="1" t="s">
        <v>19603</v>
      </c>
      <c r="B19604" s="2" t="str">
        <f>IFERROR(__xludf.DUMMYFUNCTION("GOOGLETRANSLATE(A19604, ""de"", ""en"")"),"concrete")</f>
        <v>concrete</v>
      </c>
    </row>
    <row r="19605">
      <c r="A19605" s="1" t="s">
        <v>19604</v>
      </c>
      <c r="B19605" s="2" t="str">
        <f>IFERROR(__xludf.DUMMYFUNCTION("GOOGLETRANSLATE(A19605, ""de"", ""en"")"),"60s")</f>
        <v>60s</v>
      </c>
    </row>
    <row r="19606">
      <c r="A19606" s="1" t="s">
        <v>19605</v>
      </c>
      <c r="B19606" s="2" t="str">
        <f>IFERROR(__xludf.DUMMYFUNCTION("GOOGLETRANSLATE(A19606, ""de"", ""en"")"),"scepter")</f>
        <v>scepter</v>
      </c>
    </row>
    <row r="19607">
      <c r="A19607" s="1" t="s">
        <v>19606</v>
      </c>
      <c r="B19607" s="2" t="str">
        <f>IFERROR(__xludf.DUMMYFUNCTION("GOOGLETRANSLATE(A19607, ""de"", ""en"")"),"laborious")</f>
        <v>laborious</v>
      </c>
    </row>
    <row r="19608">
      <c r="A19608" s="1" t="s">
        <v>19607</v>
      </c>
      <c r="B19608" s="2" t="str">
        <f>IFERROR(__xludf.DUMMYFUNCTION("GOOGLETRANSLATE(A19608, ""de"", ""en"")"),"greed")</f>
        <v>greed</v>
      </c>
    </row>
    <row r="19609">
      <c r="A19609" s="1" t="s">
        <v>19608</v>
      </c>
      <c r="B19609" s="2" t="str">
        <f>IFERROR(__xludf.DUMMYFUNCTION("GOOGLETRANSLATE(A19609, ""de"", ""en"")"),"summary")</f>
        <v>summary</v>
      </c>
    </row>
    <row r="19610">
      <c r="A19610" s="1" t="s">
        <v>19609</v>
      </c>
      <c r="B19610" s="2" t="str">
        <f>IFERROR(__xludf.DUMMYFUNCTION("GOOGLETRANSLATE(A19610, ""de"", ""en"")"),"gabi")</f>
        <v>gabi</v>
      </c>
    </row>
    <row r="19611">
      <c r="A19611" s="1" t="s">
        <v>19610</v>
      </c>
      <c r="B19611" s="2" t="str">
        <f>IFERROR(__xludf.DUMMYFUNCTION("GOOGLETRANSLATE(A19611, ""de"", ""en"")"),"attempt to escape")</f>
        <v>attempt to escape</v>
      </c>
    </row>
    <row r="19612">
      <c r="A19612" s="1" t="s">
        <v>19611</v>
      </c>
      <c r="B19612" s="2" t="str">
        <f>IFERROR(__xludf.DUMMYFUNCTION("GOOGLETRANSLATE(A19612, ""de"", ""en"")"),"grant")</f>
        <v>grant</v>
      </c>
    </row>
    <row r="19613">
      <c r="A19613" s="1" t="s">
        <v>19612</v>
      </c>
      <c r="B19613" s="2" t="str">
        <f>IFERROR(__xludf.DUMMYFUNCTION("GOOGLETRANSLATE(A19613, ""de"", ""en"")"),"to deliver")</f>
        <v>to deliver</v>
      </c>
    </row>
    <row r="19614">
      <c r="A19614" s="1" t="s">
        <v>19613</v>
      </c>
      <c r="B19614" s="2" t="str">
        <f>IFERROR(__xludf.DUMMYFUNCTION("GOOGLETRANSLATE(A19614, ""de"", ""en"")"),"crafted")</f>
        <v>crafted</v>
      </c>
    </row>
    <row r="19615">
      <c r="A19615" s="1" t="s">
        <v>19614</v>
      </c>
      <c r="B19615" s="2" t="str">
        <f>IFERROR(__xludf.DUMMYFUNCTION("GOOGLETRANSLATE(A19615, ""de"", ""en"")"),"other")</f>
        <v>other</v>
      </c>
    </row>
    <row r="19616">
      <c r="A19616" s="1" t="s">
        <v>19615</v>
      </c>
      <c r="B19616" s="2" t="str">
        <f>IFERROR(__xludf.DUMMYFUNCTION("GOOGLETRANSLATE(A19616, ""de"", ""en"")"),"residence")</f>
        <v>residence</v>
      </c>
    </row>
    <row r="19617">
      <c r="A19617" s="1" t="s">
        <v>19616</v>
      </c>
      <c r="B19617" s="2" t="str">
        <f>IFERROR(__xludf.DUMMYFUNCTION("GOOGLETRANSLATE(A19617, ""de"", ""en"")"),"ilsa")</f>
        <v>ilsa</v>
      </c>
    </row>
    <row r="19618">
      <c r="A19618" s="1" t="s">
        <v>19617</v>
      </c>
      <c r="B19618" s="2" t="str">
        <f>IFERROR(__xludf.DUMMYFUNCTION("GOOGLETRANSLATE(A19618, ""de"", ""en"")"),"begin")</f>
        <v>begin</v>
      </c>
    </row>
    <row r="19619">
      <c r="A19619" s="1" t="s">
        <v>19618</v>
      </c>
      <c r="B19619" s="2" t="str">
        <f>IFERROR(__xludf.DUMMYFUNCTION("GOOGLETRANSLATE(A19619, ""de"", ""en"")"),"come up")</f>
        <v>come up</v>
      </c>
    </row>
    <row r="19620">
      <c r="A19620" s="1" t="s">
        <v>19619</v>
      </c>
      <c r="B19620" s="2" t="str">
        <f>IFERROR(__xludf.DUMMYFUNCTION("GOOGLETRANSLATE(A19620, ""de"", ""en"")"),"granger")</f>
        <v>granger</v>
      </c>
    </row>
    <row r="19621">
      <c r="A19621" s="1" t="s">
        <v>19620</v>
      </c>
      <c r="B19621" s="2" t="str">
        <f>IFERROR(__xludf.DUMMYFUNCTION("GOOGLETRANSLATE(A19621, ""de"", ""en"")"),"German")</f>
        <v>German</v>
      </c>
    </row>
    <row r="19622">
      <c r="A19622" s="1" t="s">
        <v>19621</v>
      </c>
      <c r="B19622" s="2" t="str">
        <f>IFERROR(__xludf.DUMMYFUNCTION("GOOGLETRANSLATE(A19622, ""de"", ""en"")"),"more powerful")</f>
        <v>more powerful</v>
      </c>
    </row>
    <row r="19623">
      <c r="A19623" s="1" t="s">
        <v>19622</v>
      </c>
      <c r="B19623" s="2" t="str">
        <f>IFERROR(__xludf.DUMMYFUNCTION("GOOGLETRANSLATE(A19623, ""de"", ""en"")"),"experimented")</f>
        <v>experimented</v>
      </c>
    </row>
    <row r="19624">
      <c r="A19624" s="1" t="s">
        <v>19623</v>
      </c>
      <c r="B19624" s="2" t="str">
        <f>IFERROR(__xludf.DUMMYFUNCTION("GOOGLETRANSLATE(A19624, ""de"", ""en"")"),"to trigger")</f>
        <v>to trigger</v>
      </c>
    </row>
    <row r="19625">
      <c r="A19625" s="1" t="s">
        <v>19624</v>
      </c>
      <c r="B19625" s="2" t="str">
        <f>IFERROR(__xludf.DUMMYFUNCTION("GOOGLETRANSLATE(A19625, ""de"", ""en"")"),"zdf")</f>
        <v>zdf</v>
      </c>
    </row>
    <row r="19626">
      <c r="A19626" s="1" t="s">
        <v>19625</v>
      </c>
      <c r="B19626" s="2" t="str">
        <f>IFERROR(__xludf.DUMMYFUNCTION("GOOGLETRANSLATE(A19626, ""de"", ""en"")"),"opened")</f>
        <v>opened</v>
      </c>
    </row>
    <row r="19627">
      <c r="A19627" s="1" t="s">
        <v>19626</v>
      </c>
      <c r="B19627" s="2" t="str">
        <f>IFERROR(__xludf.DUMMYFUNCTION("GOOGLETRANSLATE(A19627, ""de"", ""en"")"),"surprise party")</f>
        <v>surprise party</v>
      </c>
    </row>
    <row r="19628">
      <c r="A19628" s="1" t="s">
        <v>19627</v>
      </c>
      <c r="B19628" s="2" t="str">
        <f>IFERROR(__xludf.DUMMYFUNCTION("GOOGLETRANSLATE(A19628, ""de"", ""en"")"),"private school")</f>
        <v>private school</v>
      </c>
    </row>
    <row r="19629">
      <c r="A19629" s="1" t="s">
        <v>19628</v>
      </c>
      <c r="B19629" s="2" t="str">
        <f>IFERROR(__xludf.DUMMYFUNCTION("GOOGLETRANSLATE(A19629, ""de"", ""en"")"),"lively")</f>
        <v>lively</v>
      </c>
    </row>
    <row r="19630">
      <c r="A19630" s="1" t="s">
        <v>19629</v>
      </c>
      <c r="B19630" s="2" t="str">
        <f>IFERROR(__xludf.DUMMYFUNCTION("GOOGLETRANSLATE(A19630, ""de"", ""en"")"),"more boring")</f>
        <v>more boring</v>
      </c>
    </row>
    <row r="19631">
      <c r="A19631" s="1" t="s">
        <v>19630</v>
      </c>
      <c r="B19631" s="2" t="str">
        <f>IFERROR(__xludf.DUMMYFUNCTION("GOOGLETRANSLATE(A19631, ""de"", ""en"")"),"cool")</f>
        <v>cool</v>
      </c>
    </row>
    <row r="19632">
      <c r="A19632" s="1" t="s">
        <v>19631</v>
      </c>
      <c r="B19632" s="2" t="str">
        <f>IFERROR(__xludf.DUMMYFUNCTION("GOOGLETRANSLATE(A19632, ""de"", ""en"")"),"seductive")</f>
        <v>seductive</v>
      </c>
    </row>
    <row r="19633">
      <c r="A19633" s="1" t="s">
        <v>19632</v>
      </c>
      <c r="B19633" s="2" t="str">
        <f>IFERROR(__xludf.DUMMYFUNCTION("GOOGLETRANSLATE(A19633, ""de"", ""en"")"),"evidence")</f>
        <v>evidence</v>
      </c>
    </row>
    <row r="19634">
      <c r="A19634" s="1" t="s">
        <v>19633</v>
      </c>
      <c r="B19634" s="2" t="str">
        <f>IFERROR(__xludf.DUMMYFUNCTION("GOOGLETRANSLATE(A19634, ""de"", ""en"")"),"affected")</f>
        <v>affected</v>
      </c>
    </row>
    <row r="19635">
      <c r="A19635" s="1" t="s">
        <v>19634</v>
      </c>
      <c r="B19635" s="2" t="str">
        <f>IFERROR(__xludf.DUMMYFUNCTION("GOOGLETRANSLATE(A19635, ""de"", ""en"")"),"swallow")</f>
        <v>swallow</v>
      </c>
    </row>
    <row r="19636">
      <c r="A19636" s="1" t="s">
        <v>19635</v>
      </c>
      <c r="B19636" s="2" t="str">
        <f>IFERROR(__xludf.DUMMYFUNCTION("GOOGLETRANSLATE(A19636, ""de"", ""en"")"),"to rob")</f>
        <v>to rob</v>
      </c>
    </row>
    <row r="19637">
      <c r="A19637" s="1" t="s">
        <v>19636</v>
      </c>
      <c r="B19637" s="2" t="str">
        <f>IFERROR(__xludf.DUMMYFUNCTION("GOOGLETRANSLATE(A19637, ""de"", ""en"")"),"squadron")</f>
        <v>squadron</v>
      </c>
    </row>
    <row r="19638">
      <c r="A19638" s="1" t="s">
        <v>19637</v>
      </c>
      <c r="B19638" s="2" t="str">
        <f>IFERROR(__xludf.DUMMYFUNCTION("GOOGLETRANSLATE(A19638, ""de"", ""en"")"),"ties")</f>
        <v>ties</v>
      </c>
    </row>
    <row r="19639">
      <c r="A19639" s="1" t="s">
        <v>19638</v>
      </c>
      <c r="B19639" s="2" t="str">
        <f>IFERROR(__xludf.DUMMYFUNCTION("GOOGLETRANSLATE(A19639, ""de"", ""en"")"),"lenses")</f>
        <v>lenses</v>
      </c>
    </row>
    <row r="19640">
      <c r="A19640" s="1" t="s">
        <v>19639</v>
      </c>
      <c r="B19640" s="2" t="str">
        <f>IFERROR(__xludf.DUMMYFUNCTION("GOOGLETRANSLATE(A19640, ""de"", ""en"")"),"experiment")</f>
        <v>experiment</v>
      </c>
    </row>
    <row r="19641">
      <c r="A19641" s="1" t="s">
        <v>19640</v>
      </c>
      <c r="B19641" s="2" t="str">
        <f>IFERROR(__xludf.DUMMYFUNCTION("GOOGLETRANSLATE(A19641, ""de"", ""en"")"),"davidson")</f>
        <v>davidson</v>
      </c>
    </row>
    <row r="19642">
      <c r="A19642" s="1" t="s">
        <v>19641</v>
      </c>
      <c r="B19642" s="2" t="str">
        <f>IFERROR(__xludf.DUMMYFUNCTION("GOOGLETRANSLATE(A19642, ""de"", ""en"")"),"clique")</f>
        <v>clique</v>
      </c>
    </row>
    <row r="19643">
      <c r="A19643" s="1" t="s">
        <v>19642</v>
      </c>
      <c r="B19643" s="2" t="str">
        <f>IFERROR(__xludf.DUMMYFUNCTION("GOOGLETRANSLATE(A19643, ""de"", ""en"")"),"failure")</f>
        <v>failure</v>
      </c>
    </row>
    <row r="19644">
      <c r="A19644" s="1" t="s">
        <v>19643</v>
      </c>
      <c r="B19644" s="2" t="str">
        <f>IFERROR(__xludf.DUMMYFUNCTION("GOOGLETRANSLATE(A19644, ""de"", ""en"")"),"to exploit")</f>
        <v>to exploit</v>
      </c>
    </row>
    <row r="19645">
      <c r="A19645" s="1" t="s">
        <v>19644</v>
      </c>
      <c r="B19645" s="2" t="str">
        <f>IFERROR(__xludf.DUMMYFUNCTION("GOOGLETRANSLATE(A19645, ""de"", ""en"")"),"terrain")</f>
        <v>terrain</v>
      </c>
    </row>
    <row r="19646">
      <c r="A19646" s="1" t="s">
        <v>19645</v>
      </c>
      <c r="B19646" s="2" t="str">
        <f>IFERROR(__xludf.DUMMYFUNCTION("GOOGLETRANSLATE(A19646, ""de"", ""en"")"),"witness statements")</f>
        <v>witness statements</v>
      </c>
    </row>
    <row r="19647">
      <c r="A19647" s="1" t="s">
        <v>19646</v>
      </c>
      <c r="B19647" s="2" t="str">
        <f>IFERROR(__xludf.DUMMYFUNCTION("GOOGLETRANSLATE(A19647, ""de"", ""en"")"),"bubi")</f>
        <v>bubi</v>
      </c>
    </row>
    <row r="19648">
      <c r="A19648" s="1" t="s">
        <v>19647</v>
      </c>
      <c r="B19648" s="2" t="str">
        <f>IFERROR(__xludf.DUMMYFUNCTION("GOOGLETRANSLATE(A19648, ""de"", ""en"")"),"swarm out")</f>
        <v>swarm out</v>
      </c>
    </row>
    <row r="19649">
      <c r="A19649" s="1" t="s">
        <v>19648</v>
      </c>
      <c r="B19649" s="2" t="str">
        <f>IFERROR(__xludf.DUMMYFUNCTION("GOOGLETRANSLATE(A19649, ""de"", ""en"")"),"glue")</f>
        <v>glue</v>
      </c>
    </row>
    <row r="19650">
      <c r="A19650" s="1" t="s">
        <v>19649</v>
      </c>
      <c r="B19650" s="2" t="str">
        <f>IFERROR(__xludf.DUMMYFUNCTION("GOOGLETRANSLATE(A19650, ""de"", ""en"")"),"to attach")</f>
        <v>to attach</v>
      </c>
    </row>
    <row r="19651">
      <c r="A19651" s="1" t="s">
        <v>19650</v>
      </c>
      <c r="B19651" s="2" t="str">
        <f>IFERROR(__xludf.DUMMYFUNCTION("GOOGLETRANSLATE(A19651, ""de"", ""en"")"),"grandpa")</f>
        <v>grandpa</v>
      </c>
    </row>
    <row r="19652">
      <c r="A19652" s="1" t="s">
        <v>19651</v>
      </c>
      <c r="B19652" s="2" t="str">
        <f>IFERROR(__xludf.DUMMYFUNCTION("GOOGLETRANSLATE(A19652, ""de"", ""en"")"),"harrington")</f>
        <v>harrington</v>
      </c>
    </row>
    <row r="19653">
      <c r="A19653" s="1" t="s">
        <v>19652</v>
      </c>
      <c r="B19653" s="2" t="str">
        <f>IFERROR(__xludf.DUMMYFUNCTION("GOOGLETRANSLATE(A19653, ""de"", ""en"")"),"noted")</f>
        <v>noted</v>
      </c>
    </row>
    <row r="19654">
      <c r="A19654" s="1" t="s">
        <v>19653</v>
      </c>
      <c r="B19654" s="2" t="str">
        <f>IFERROR(__xludf.DUMMYFUNCTION("GOOGLETRANSLATE(A19654, ""de"", ""en"")"),"salam")</f>
        <v>salam</v>
      </c>
    </row>
    <row r="19655">
      <c r="A19655" s="1" t="s">
        <v>19654</v>
      </c>
      <c r="B19655" s="2" t="str">
        <f>IFERROR(__xludf.DUMMYFUNCTION("GOOGLETRANSLATE(A19655, ""de"", ""en"")"),"tables")</f>
        <v>tables</v>
      </c>
    </row>
    <row r="19656">
      <c r="A19656" s="1" t="s">
        <v>19655</v>
      </c>
      <c r="B19656" s="2" t="str">
        <f>IFERROR(__xludf.DUMMYFUNCTION("GOOGLETRANSLATE(A19656, ""de"", ""en"")"),"get it")</f>
        <v>get it</v>
      </c>
    </row>
    <row r="19657">
      <c r="A19657" s="1" t="s">
        <v>19656</v>
      </c>
      <c r="B19657" s="2" t="str">
        <f>IFERROR(__xludf.DUMMYFUNCTION("GOOGLETRANSLATE(A19657, ""de"", ""en"")"),"social worker")</f>
        <v>social worker</v>
      </c>
    </row>
    <row r="19658">
      <c r="A19658" s="1" t="s">
        <v>19657</v>
      </c>
      <c r="B19658" s="2" t="str">
        <f>IFERROR(__xludf.DUMMYFUNCTION("GOOGLETRANSLATE(A19658, ""de"", ""en"")"),"wind")</f>
        <v>wind</v>
      </c>
    </row>
    <row r="19659">
      <c r="A19659" s="1" t="s">
        <v>19658</v>
      </c>
      <c r="B19659" s="2" t="str">
        <f>IFERROR(__xludf.DUMMYFUNCTION("GOOGLETRANSLATE(A19659, ""de"", ""en"")"),"demonstrated")</f>
        <v>demonstrated</v>
      </c>
    </row>
    <row r="19660">
      <c r="A19660" s="1" t="s">
        <v>19659</v>
      </c>
      <c r="B19660" s="2" t="str">
        <f>IFERROR(__xludf.DUMMYFUNCTION("GOOGLETRANSLATE(A19660, ""de"", ""en"")"),"brisk")</f>
        <v>brisk</v>
      </c>
    </row>
    <row r="19661">
      <c r="A19661" s="1" t="s">
        <v>19660</v>
      </c>
      <c r="B19661" s="2" t="str">
        <f>IFERROR(__xludf.DUMMYFUNCTION("GOOGLETRANSLATE(A19661, ""de"", ""en"")"),"Moi")</f>
        <v>Moi</v>
      </c>
    </row>
    <row r="19662">
      <c r="A19662" s="1" t="s">
        <v>19661</v>
      </c>
      <c r="B19662" s="2" t="str">
        <f>IFERROR(__xludf.DUMMYFUNCTION("GOOGLETRANSLATE(A19662, ""de"", ""en"")"),"villains")</f>
        <v>villains</v>
      </c>
    </row>
    <row r="19663">
      <c r="A19663" s="1" t="s">
        <v>19662</v>
      </c>
      <c r="B19663" s="2" t="str">
        <f>IFERROR(__xludf.DUMMYFUNCTION("GOOGLETRANSLATE(A19663, ""de"", ""en"")"),"martinis")</f>
        <v>martinis</v>
      </c>
    </row>
    <row r="19664">
      <c r="A19664" s="1" t="s">
        <v>19663</v>
      </c>
      <c r="B19664" s="2" t="str">
        <f>IFERROR(__xludf.DUMMYFUNCTION("GOOGLETRANSLATE(A19664, ""de"", ""en"")"),"delivered")</f>
        <v>delivered</v>
      </c>
    </row>
    <row r="19665">
      <c r="A19665" s="1" t="s">
        <v>19664</v>
      </c>
      <c r="B19665" s="2" t="str">
        <f>IFERROR(__xludf.DUMMYFUNCTION("GOOGLETRANSLATE(A19665, ""de"", ""en"")"),"fighting spirit")</f>
        <v>fighting spirit</v>
      </c>
    </row>
    <row r="19666">
      <c r="A19666" s="1" t="s">
        <v>19665</v>
      </c>
      <c r="B19666" s="2" t="str">
        <f>IFERROR(__xludf.DUMMYFUNCTION("GOOGLETRANSLATE(A19666, ""de"", ""en"")"),"fozzie")</f>
        <v>fozzie</v>
      </c>
    </row>
    <row r="19667">
      <c r="A19667" s="1" t="s">
        <v>19666</v>
      </c>
      <c r="B19667" s="2" t="str">
        <f>IFERROR(__xludf.DUMMYFUNCTION("GOOGLETRANSLATE(A19667, ""de"", ""en"")"),"crispy")</f>
        <v>crispy</v>
      </c>
    </row>
    <row r="19668">
      <c r="A19668" s="1" t="s">
        <v>19667</v>
      </c>
      <c r="B19668" s="2" t="str">
        <f>IFERROR(__xludf.DUMMYFUNCTION("GOOGLETRANSLATE(A19668, ""de"", ""en"")"),"Martina")</f>
        <v>Martina</v>
      </c>
    </row>
    <row r="19669">
      <c r="A19669" s="1" t="s">
        <v>19668</v>
      </c>
      <c r="B19669" s="2" t="str">
        <f>IFERROR(__xludf.DUMMYFUNCTION("GOOGLETRANSLATE(A19669, ""de"", ""en"")"),"nerve gas")</f>
        <v>nerve gas</v>
      </c>
    </row>
    <row r="19670">
      <c r="A19670" s="1" t="s">
        <v>19669</v>
      </c>
      <c r="B19670" s="2" t="str">
        <f>IFERROR(__xludf.DUMMYFUNCTION("GOOGLETRANSLATE(A19670, ""de"", ""en"")"),"concrete")</f>
        <v>concrete</v>
      </c>
    </row>
    <row r="19671">
      <c r="A19671" s="1" t="s">
        <v>19670</v>
      </c>
      <c r="B19671" s="2" t="str">
        <f>IFERROR(__xludf.DUMMYFUNCTION("GOOGLETRANSLATE(A19671, ""de"", ""en"")"),"more magical")</f>
        <v>more magical</v>
      </c>
    </row>
    <row r="19672">
      <c r="A19672" s="1" t="s">
        <v>19671</v>
      </c>
      <c r="B19672" s="2" t="str">
        <f>IFERROR(__xludf.DUMMYFUNCTION("GOOGLETRANSLATE(A19672, ""de"", ""en"")"),"ant")</f>
        <v>ant</v>
      </c>
    </row>
    <row r="19673">
      <c r="A19673" s="1" t="s">
        <v>19672</v>
      </c>
      <c r="B19673" s="2" t="str">
        <f>IFERROR(__xludf.DUMMYFUNCTION("GOOGLETRANSLATE(A19673, ""de"", ""en"")"),"Belinda")</f>
        <v>Belinda</v>
      </c>
    </row>
    <row r="19674">
      <c r="A19674" s="1" t="s">
        <v>19673</v>
      </c>
      <c r="B19674" s="2" t="str">
        <f>IFERROR(__xludf.DUMMYFUNCTION("GOOGLETRANSLATE(A19674, ""de"", ""en"")"),"Eileen")</f>
        <v>Eileen</v>
      </c>
    </row>
    <row r="19675">
      <c r="A19675" s="1" t="s">
        <v>19674</v>
      </c>
      <c r="B19675" s="2" t="str">
        <f>IFERROR(__xludf.DUMMYFUNCTION("GOOGLETRANSLATE(A19675, ""de"", ""en"")"),"little red riding hood")</f>
        <v>little red riding hood</v>
      </c>
    </row>
    <row r="19676">
      <c r="A19676" s="1" t="s">
        <v>19675</v>
      </c>
      <c r="B19676" s="2" t="str">
        <f>IFERROR(__xludf.DUMMYFUNCTION("GOOGLETRANSLATE(A19676, ""de"", ""en"")"),"created")</f>
        <v>created</v>
      </c>
    </row>
    <row r="19677">
      <c r="A19677" s="1" t="s">
        <v>19676</v>
      </c>
      <c r="B19677" s="2" t="str">
        <f>IFERROR(__xludf.DUMMYFUNCTION("GOOGLETRANSLATE(A19677, ""de"", ""en"")"),"Clemens")</f>
        <v>Clemens</v>
      </c>
    </row>
    <row r="19678">
      <c r="A19678" s="1" t="s">
        <v>19677</v>
      </c>
      <c r="B19678" s="2" t="str">
        <f>IFERROR(__xludf.DUMMYFUNCTION("GOOGLETRANSLATE(A19678, ""de"", ""en"")"),"speed")</f>
        <v>speed</v>
      </c>
    </row>
    <row r="19679">
      <c r="A19679" s="1" t="s">
        <v>19678</v>
      </c>
      <c r="B19679" s="2" t="str">
        <f>IFERROR(__xludf.DUMMYFUNCTION("GOOGLETRANSLATE(A19679, ""de"", ""en"")"),"legendary")</f>
        <v>legendary</v>
      </c>
    </row>
    <row r="19680">
      <c r="A19680" s="1" t="s">
        <v>19679</v>
      </c>
      <c r="B19680" s="2" t="str">
        <f>IFERROR(__xludf.DUMMYFUNCTION("GOOGLETRANSLATE(A19680, ""de"", ""en"")"),"sweet")</f>
        <v>sweet</v>
      </c>
    </row>
    <row r="19681">
      <c r="A19681" s="1" t="s">
        <v>19680</v>
      </c>
      <c r="B19681" s="2" t="str">
        <f>IFERROR(__xludf.DUMMYFUNCTION("GOOGLETRANSLATE(A19681, ""de"", ""en"")"),"escaped")</f>
        <v>escaped</v>
      </c>
    </row>
    <row r="19682">
      <c r="A19682" s="1" t="s">
        <v>19681</v>
      </c>
      <c r="B19682" s="2" t="str">
        <f>IFERROR(__xludf.DUMMYFUNCTION("GOOGLETRANSLATE(A19682, ""de"", ""en"")"),"bowie")</f>
        <v>bowie</v>
      </c>
    </row>
    <row r="19683">
      <c r="A19683" s="1" t="s">
        <v>19682</v>
      </c>
      <c r="B19683" s="2" t="str">
        <f>IFERROR(__xludf.DUMMYFUNCTION("GOOGLETRANSLATE(A19683, ""de"", ""en"")"),"onion")</f>
        <v>onion</v>
      </c>
    </row>
    <row r="19684">
      <c r="A19684" s="1" t="s">
        <v>19683</v>
      </c>
      <c r="B19684" s="2" t="str">
        <f>IFERROR(__xludf.DUMMYFUNCTION("GOOGLETRANSLATE(A19684, ""de"", ""en"")"),"barlow")</f>
        <v>barlow</v>
      </c>
    </row>
    <row r="19685">
      <c r="A19685" s="1" t="s">
        <v>19684</v>
      </c>
      <c r="B19685" s="2" t="str">
        <f>IFERROR(__xludf.DUMMYFUNCTION("GOOGLETRANSLATE(A19685, ""de"", ""en"")"),"investor")</f>
        <v>investor</v>
      </c>
    </row>
    <row r="19686">
      <c r="A19686" s="1" t="s">
        <v>19685</v>
      </c>
      <c r="B19686" s="2" t="str">
        <f>IFERROR(__xludf.DUMMYFUNCTION("GOOGLETRANSLATE(A19686, ""de"", ""en"")"),"Mondays")</f>
        <v>Mondays</v>
      </c>
    </row>
    <row r="19687">
      <c r="A19687" s="1" t="s">
        <v>19686</v>
      </c>
      <c r="B19687" s="2" t="str">
        <f>IFERROR(__xludf.DUMMYFUNCTION("GOOGLETRANSLATE(A19687, ""de"", ""en"")"),"diplomatic")</f>
        <v>diplomatic</v>
      </c>
    </row>
    <row r="19688">
      <c r="A19688" s="1" t="s">
        <v>19687</v>
      </c>
      <c r="B19688" s="2" t="str">
        <f>IFERROR(__xludf.DUMMYFUNCTION("GOOGLETRANSLATE(A19688, ""de"", ""en"")"),"exciting")</f>
        <v>exciting</v>
      </c>
    </row>
    <row r="19689">
      <c r="A19689" s="1" t="s">
        <v>19688</v>
      </c>
      <c r="B19689" s="2" t="str">
        <f>IFERROR(__xludf.DUMMYFUNCTION("GOOGLETRANSLATE(A19689, ""de"", ""en"")"),"hauser")</f>
        <v>hauser</v>
      </c>
    </row>
    <row r="19690">
      <c r="A19690" s="1" t="s">
        <v>19689</v>
      </c>
      <c r="B19690" s="2" t="str">
        <f>IFERROR(__xludf.DUMMYFUNCTION("GOOGLETRANSLATE(A19690, ""de"", ""en"")"),"police station")</f>
        <v>police station</v>
      </c>
    </row>
    <row r="19691">
      <c r="A19691" s="1" t="s">
        <v>19690</v>
      </c>
      <c r="B19691" s="2" t="str">
        <f>IFERROR(__xludf.DUMMYFUNCTION("GOOGLETRANSLATE(A19691, ""de"", ""en"")"),"sizes")</f>
        <v>sizes</v>
      </c>
    </row>
    <row r="19692">
      <c r="A19692" s="1" t="s">
        <v>19691</v>
      </c>
      <c r="B19692" s="2" t="str">
        <f>IFERROR(__xludf.DUMMYFUNCTION("GOOGLETRANSLATE(A19692, ""de"", ""en"")"),"pr")</f>
        <v>pr</v>
      </c>
    </row>
    <row r="19693">
      <c r="A19693" s="1" t="s">
        <v>19692</v>
      </c>
      <c r="B19693" s="2" t="str">
        <f>IFERROR(__xludf.DUMMYFUNCTION("GOOGLETRANSLATE(A19693, ""de"", ""en"")"),"Rhine")</f>
        <v>Rhine</v>
      </c>
    </row>
    <row r="19694">
      <c r="A19694" s="1" t="s">
        <v>19693</v>
      </c>
      <c r="B19694" s="2" t="str">
        <f>IFERROR(__xludf.DUMMYFUNCTION("GOOGLETRANSLATE(A19694, ""de"", ""en"")"),"strokes")</f>
        <v>strokes</v>
      </c>
    </row>
    <row r="19695">
      <c r="A19695" s="1" t="s">
        <v>19694</v>
      </c>
      <c r="B19695" s="2" t="str">
        <f>IFERROR(__xludf.DUMMYFUNCTION("GOOGLETRANSLATE(A19695, ""de"", ""en"")"),"living")</f>
        <v>living</v>
      </c>
    </row>
    <row r="19696">
      <c r="A19696" s="1" t="s">
        <v>19695</v>
      </c>
      <c r="B19696" s="2" t="str">
        <f>IFERROR(__xludf.DUMMYFUNCTION("GOOGLETRANSLATE(A19696, ""de"", ""en"")"),"social worker")</f>
        <v>social worker</v>
      </c>
    </row>
    <row r="19697">
      <c r="A19697" s="1" t="s">
        <v>19696</v>
      </c>
      <c r="B19697" s="2" t="str">
        <f>IFERROR(__xludf.DUMMYFUNCTION("GOOGLETRANSLATE(A19697, ""de"", ""en"")"),"to look")</f>
        <v>to look</v>
      </c>
    </row>
    <row r="19698">
      <c r="A19698" s="1" t="s">
        <v>19697</v>
      </c>
      <c r="B19698" s="2" t="str">
        <f>IFERROR(__xludf.DUMMYFUNCTION("GOOGLETRANSLATE(A19698, ""de"", ""en"")"),"brr")</f>
        <v>brr</v>
      </c>
    </row>
    <row r="19699">
      <c r="A19699" s="1" t="s">
        <v>19698</v>
      </c>
      <c r="B19699" s="2" t="str">
        <f>IFERROR(__xludf.DUMMYFUNCTION("GOOGLETRANSLATE(A19699, ""de"", ""en"")"),"developments")</f>
        <v>developments</v>
      </c>
    </row>
    <row r="19700">
      <c r="A19700" s="1" t="s">
        <v>19699</v>
      </c>
      <c r="B19700" s="2" t="str">
        <f>IFERROR(__xludf.DUMMYFUNCTION("GOOGLETRANSLATE(A19700, ""de"", ""en"")"),"Tony's")</f>
        <v>Tony's</v>
      </c>
    </row>
    <row r="19701">
      <c r="A19701" s="1" t="s">
        <v>19700</v>
      </c>
      <c r="B19701" s="2" t="str">
        <f>IFERROR(__xludf.DUMMYFUNCTION("GOOGLETRANSLATE(A19701, ""de"", ""en"")"),"electric shock")</f>
        <v>electric shock</v>
      </c>
    </row>
    <row r="19702">
      <c r="A19702" s="1" t="s">
        <v>19701</v>
      </c>
      <c r="B19702" s="2" t="str">
        <f>IFERROR(__xludf.DUMMYFUNCTION("GOOGLETRANSLATE(A19702, ""de"", ""en"")"),"portrait")</f>
        <v>portrait</v>
      </c>
    </row>
    <row r="19703">
      <c r="A19703" s="1" t="s">
        <v>19702</v>
      </c>
      <c r="B19703" s="2" t="str">
        <f>IFERROR(__xludf.DUMMYFUNCTION("GOOGLETRANSLATE(A19703, ""de"", ""en"")"),"amaze")</f>
        <v>amaze</v>
      </c>
    </row>
    <row r="19704">
      <c r="A19704" s="1" t="s">
        <v>19703</v>
      </c>
      <c r="B19704" s="2" t="str">
        <f>IFERROR(__xludf.DUMMYFUNCTION("GOOGLETRANSLATE(A19704, ""de"", ""en"")"),"similarities")</f>
        <v>similarities</v>
      </c>
    </row>
    <row r="19705">
      <c r="A19705" s="1" t="s">
        <v>19704</v>
      </c>
      <c r="B19705" s="2" t="str">
        <f>IFERROR(__xludf.DUMMYFUNCTION("GOOGLETRANSLATE(A19705, ""de"", ""en"")"),"travel agency")</f>
        <v>travel agency</v>
      </c>
    </row>
    <row r="19706">
      <c r="A19706" s="1" t="s">
        <v>19705</v>
      </c>
      <c r="B19706" s="2" t="str">
        <f>IFERROR(__xludf.DUMMYFUNCTION("GOOGLETRANSLATE(A19706, ""de"", ""en"")"),"shaggy")</f>
        <v>shaggy</v>
      </c>
    </row>
    <row r="19707">
      <c r="A19707" s="1" t="s">
        <v>19706</v>
      </c>
      <c r="B19707" s="2" t="str">
        <f>IFERROR(__xludf.DUMMYFUNCTION("GOOGLETRANSLATE(A19707, ""de"", ""en"")"),"lexicon")</f>
        <v>lexicon</v>
      </c>
    </row>
    <row r="19708">
      <c r="A19708" s="1" t="s">
        <v>19707</v>
      </c>
      <c r="B19708" s="2" t="str">
        <f>IFERROR(__xludf.DUMMYFUNCTION("GOOGLETRANSLATE(A19708, ""de"", ""en"")"),"complete")</f>
        <v>complete</v>
      </c>
    </row>
    <row r="19709">
      <c r="A19709" s="1" t="s">
        <v>19708</v>
      </c>
      <c r="B19709" s="2" t="str">
        <f>IFERROR(__xludf.DUMMYFUNCTION("GOOGLETRANSLATE(A19709, ""de"", ""en"")"),"diameter")</f>
        <v>diameter</v>
      </c>
    </row>
    <row r="19710">
      <c r="A19710" s="1" t="s">
        <v>19709</v>
      </c>
      <c r="B19710" s="2" t="str">
        <f>IFERROR(__xludf.DUMMYFUNCTION("GOOGLETRANSLATE(A19710, ""de"", ""en"")"),"above")</f>
        <v>above</v>
      </c>
    </row>
    <row r="19711">
      <c r="A19711" s="1" t="s">
        <v>19710</v>
      </c>
      <c r="B19711" s="2" t="str">
        <f>IFERROR(__xludf.DUMMYFUNCTION("GOOGLETRANSLATE(A19711, ""de"", ""en"")"),"absorbed")</f>
        <v>absorbed</v>
      </c>
    </row>
    <row r="19712">
      <c r="A19712" s="1" t="s">
        <v>19711</v>
      </c>
      <c r="B19712" s="2" t="str">
        <f>IFERROR(__xludf.DUMMYFUNCTION("GOOGLETRANSLATE(A19712, ""de"", ""en"")"),"melrose")</f>
        <v>melrose</v>
      </c>
    </row>
    <row r="19713">
      <c r="A19713" s="1" t="s">
        <v>19712</v>
      </c>
      <c r="B19713" s="2" t="str">
        <f>IFERROR(__xludf.DUMMYFUNCTION("GOOGLETRANSLATE(A19713, ""de"", ""en"")"),"Vladimir")</f>
        <v>Vladimir</v>
      </c>
    </row>
    <row r="19714">
      <c r="A19714" s="1" t="s">
        <v>19713</v>
      </c>
      <c r="B19714" s="2" t="str">
        <f>IFERROR(__xludf.DUMMYFUNCTION("GOOGLETRANSLATE(A19714, ""de"", ""en"")"),"gamma")</f>
        <v>gamma</v>
      </c>
    </row>
    <row r="19715">
      <c r="A19715" s="1" t="s">
        <v>19714</v>
      </c>
      <c r="B19715" s="2" t="str">
        <f>IFERROR(__xludf.DUMMYFUNCTION("GOOGLETRANSLATE(A19715, ""de"", ""en"")"),"Edmond")</f>
        <v>Edmond</v>
      </c>
    </row>
    <row r="19716">
      <c r="A19716" s="1" t="s">
        <v>19715</v>
      </c>
      <c r="B19716" s="2" t="str">
        <f>IFERROR(__xludf.DUMMYFUNCTION("GOOGLETRANSLATE(A19716, ""de"", ""en"")"),"paso")</f>
        <v>paso</v>
      </c>
    </row>
    <row r="19717">
      <c r="A19717" s="1" t="s">
        <v>19716</v>
      </c>
      <c r="B19717" s="2" t="str">
        <f>IFERROR(__xludf.DUMMYFUNCTION("GOOGLETRANSLATE(A19717, ""de"", ""en"")"),"sparkle")</f>
        <v>sparkle</v>
      </c>
    </row>
    <row r="19718">
      <c r="A19718" s="1" t="s">
        <v>19717</v>
      </c>
      <c r="B19718" s="2" t="str">
        <f>IFERROR(__xludf.DUMMYFUNCTION("GOOGLETRANSLATE(A19718, ""de"", ""en"")"),"decipher")</f>
        <v>decipher</v>
      </c>
    </row>
    <row r="19719">
      <c r="A19719" s="1" t="s">
        <v>19718</v>
      </c>
      <c r="B19719" s="2" t="str">
        <f>IFERROR(__xludf.DUMMYFUNCTION("GOOGLETRANSLATE(A19719, ""de"", ""en"")"),"viewfinder")</f>
        <v>viewfinder</v>
      </c>
    </row>
    <row r="19720">
      <c r="A19720" s="1" t="s">
        <v>19719</v>
      </c>
      <c r="B19720" s="2" t="str">
        <f>IFERROR(__xludf.DUMMYFUNCTION("GOOGLETRANSLATE(A19720, ""de"", ""en"")"),"venue")</f>
        <v>venue</v>
      </c>
    </row>
    <row r="19721">
      <c r="A19721" s="1" t="s">
        <v>19720</v>
      </c>
      <c r="B19721" s="2" t="str">
        <f>IFERROR(__xludf.DUMMYFUNCTION("GOOGLETRANSLATE(A19721, ""de"", ""en"")"),"mumbo jumbo")</f>
        <v>mumbo jumbo</v>
      </c>
    </row>
    <row r="19722">
      <c r="A19722" s="1" t="s">
        <v>19721</v>
      </c>
      <c r="B19722" s="2" t="str">
        <f>IFERROR(__xludf.DUMMYFUNCTION("GOOGLETRANSLATE(A19722, ""de"", ""en"")"),"gestures")</f>
        <v>gestures</v>
      </c>
    </row>
    <row r="19723">
      <c r="A19723" s="1" t="s">
        <v>19722</v>
      </c>
      <c r="B19723" s="2" t="str">
        <f>IFERROR(__xludf.DUMMYFUNCTION("GOOGLETRANSLATE(A19723, ""de"", ""en"")"),"continue")</f>
        <v>continue</v>
      </c>
    </row>
    <row r="19724">
      <c r="A19724" s="1" t="s">
        <v>19723</v>
      </c>
      <c r="B19724" s="2" t="str">
        <f>IFERROR(__xludf.DUMMYFUNCTION("GOOGLETRANSLATE(A19724, ""de"", ""en"")"),"previous")</f>
        <v>previous</v>
      </c>
    </row>
    <row r="19725">
      <c r="A19725" s="1" t="s">
        <v>19724</v>
      </c>
      <c r="B19725" s="2" t="str">
        <f>IFERROR(__xludf.DUMMYFUNCTION("GOOGLETRANSLATE(A19725, ""de"", ""en"")"),"hospitals")</f>
        <v>hospitals</v>
      </c>
    </row>
    <row r="19726">
      <c r="A19726" s="1" t="s">
        <v>19725</v>
      </c>
      <c r="B19726" s="2" t="str">
        <f>IFERROR(__xludf.DUMMYFUNCTION("GOOGLETRANSLATE(A19726, ""de"", ""en"")"),"cobbler")</f>
        <v>cobbler</v>
      </c>
    </row>
    <row r="19727">
      <c r="A19727" s="1" t="s">
        <v>19726</v>
      </c>
      <c r="B19727" s="2" t="str">
        <f>IFERROR(__xludf.DUMMYFUNCTION("GOOGLETRANSLATE(A19727, ""de"", ""en"")"),"fished")</f>
        <v>fished</v>
      </c>
    </row>
    <row r="19728">
      <c r="A19728" s="1" t="s">
        <v>19727</v>
      </c>
      <c r="B19728" s="2" t="str">
        <f>IFERROR(__xludf.DUMMYFUNCTION("GOOGLETRANSLATE(A19728, ""de"", ""en"")"),"mooney")</f>
        <v>mooney</v>
      </c>
    </row>
    <row r="19729">
      <c r="A19729" s="1" t="s">
        <v>19728</v>
      </c>
      <c r="B19729" s="2" t="str">
        <f>IFERROR(__xludf.DUMMYFUNCTION("GOOGLETRANSLATE(A19729, ""de"", ""en"")"),"airport")</f>
        <v>airport</v>
      </c>
    </row>
    <row r="19730">
      <c r="A19730" s="1" t="s">
        <v>19729</v>
      </c>
      <c r="B19730" s="2" t="str">
        <f>IFERROR(__xludf.DUMMYFUNCTION("GOOGLETRANSLATE(A19730, ""de"", ""en"")"),"written off")</f>
        <v>written off</v>
      </c>
    </row>
    <row r="19731">
      <c r="A19731" s="1" t="s">
        <v>19730</v>
      </c>
      <c r="B19731" s="2" t="str">
        <f>IFERROR(__xludf.DUMMYFUNCTION("GOOGLETRANSLATE(A19731, ""de"", ""en"")"),"hallway")</f>
        <v>hallway</v>
      </c>
    </row>
    <row r="19732">
      <c r="A19732" s="1" t="s">
        <v>19731</v>
      </c>
      <c r="B19732" s="2" t="str">
        <f>IFERROR(__xludf.DUMMYFUNCTION("GOOGLETRANSLATE(A19732, ""de"", ""en"")"),"90s")</f>
        <v>90s</v>
      </c>
    </row>
    <row r="19733">
      <c r="A19733" s="1" t="s">
        <v>19732</v>
      </c>
      <c r="B19733" s="2" t="str">
        <f>IFERROR(__xludf.DUMMYFUNCTION("GOOGLETRANSLATE(A19733, ""de"", ""en"")"),"conductor")</f>
        <v>conductor</v>
      </c>
    </row>
    <row r="19734">
      <c r="A19734" s="1" t="s">
        <v>19733</v>
      </c>
      <c r="B19734" s="2" t="str">
        <f>IFERROR(__xludf.DUMMYFUNCTION("GOOGLETRANSLATE(A19734, ""de"", ""en"")"),"quack")</f>
        <v>quack</v>
      </c>
    </row>
    <row r="19735">
      <c r="A19735" s="1" t="s">
        <v>19734</v>
      </c>
      <c r="B19735" s="2" t="str">
        <f>IFERROR(__xludf.DUMMYFUNCTION("GOOGLETRANSLATE(A19735, ""de"", ""en"")"),"trust")</f>
        <v>trust</v>
      </c>
    </row>
    <row r="19736">
      <c r="A19736" s="1" t="s">
        <v>19735</v>
      </c>
      <c r="B19736" s="2" t="str">
        <f>IFERROR(__xludf.DUMMYFUNCTION("GOOGLETRANSLATE(A19736, ""de"", ""en"")"),"dario")</f>
        <v>dario</v>
      </c>
    </row>
    <row r="19737">
      <c r="A19737" s="1" t="s">
        <v>19736</v>
      </c>
      <c r="B19737" s="2" t="str">
        <f>IFERROR(__xludf.DUMMYFUNCTION("GOOGLETRANSLATE(A19737, ""de"", ""en"")"),"incomplete")</f>
        <v>incomplete</v>
      </c>
    </row>
    <row r="19738">
      <c r="A19738" s="1" t="s">
        <v>19737</v>
      </c>
      <c r="B19738" s="2" t="str">
        <f>IFERROR(__xludf.DUMMYFUNCTION("GOOGLETRANSLATE(A19738, ""de"", ""en"")"),"woodhouse")</f>
        <v>woodhouse</v>
      </c>
    </row>
    <row r="19739">
      <c r="A19739" s="1" t="s">
        <v>19738</v>
      </c>
      <c r="B19739" s="2" t="str">
        <f>IFERROR(__xludf.DUMMYFUNCTION("GOOGLETRANSLATE(A19739, ""de"", ""en"")"),"darnell")</f>
        <v>darnell</v>
      </c>
    </row>
    <row r="19740">
      <c r="A19740" s="1" t="s">
        <v>19739</v>
      </c>
      <c r="B19740" s="2" t="str">
        <f>IFERROR(__xludf.DUMMYFUNCTION("GOOGLETRANSLATE(A19740, ""de"", ""en"")"),"warlock")</f>
        <v>warlock</v>
      </c>
    </row>
    <row r="19741">
      <c r="A19741" s="1" t="s">
        <v>19740</v>
      </c>
      <c r="B19741" s="2" t="str">
        <f>IFERROR(__xludf.DUMMYFUNCTION("GOOGLETRANSLATE(A19741, ""de"", ""en"")"),"last")</f>
        <v>last</v>
      </c>
    </row>
    <row r="19742">
      <c r="A19742" s="1" t="s">
        <v>19741</v>
      </c>
      <c r="B19742" s="2" t="str">
        <f>IFERROR(__xludf.DUMMYFUNCTION("GOOGLETRANSLATE(A19742, ""de"", ""en"")"),"ortiz")</f>
        <v>ortiz</v>
      </c>
    </row>
    <row r="19743">
      <c r="A19743" s="1" t="s">
        <v>19742</v>
      </c>
      <c r="B19743" s="2" t="str">
        <f>IFERROR(__xludf.DUMMYFUNCTION("GOOGLETRANSLATE(A19743, ""de"", ""en"")"),"Zachary")</f>
        <v>Zachary</v>
      </c>
    </row>
    <row r="19744">
      <c r="A19744" s="1" t="s">
        <v>19743</v>
      </c>
      <c r="B19744" s="2" t="str">
        <f>IFERROR(__xludf.DUMMYFUNCTION("GOOGLETRANSLATE(A19744, ""de"", ""en"")"),"exterminator")</f>
        <v>exterminator</v>
      </c>
    </row>
    <row r="19745">
      <c r="A19745" s="1" t="s">
        <v>19744</v>
      </c>
      <c r="B19745" s="2" t="str">
        <f>IFERROR(__xludf.DUMMYFUNCTION("GOOGLETRANSLATE(A19745, ""de"", ""en"")"),"leaflets")</f>
        <v>leaflets</v>
      </c>
    </row>
    <row r="19746">
      <c r="A19746" s="1" t="s">
        <v>19745</v>
      </c>
      <c r="B19746" s="2" t="str">
        <f>IFERROR(__xludf.DUMMYFUNCTION("GOOGLETRANSLATE(A19746, ""de"", ""en"")"),"dei")</f>
        <v>dei</v>
      </c>
    </row>
    <row r="19747">
      <c r="A19747" s="1" t="s">
        <v>19746</v>
      </c>
      <c r="B19747" s="2" t="str">
        <f>IFERROR(__xludf.DUMMYFUNCTION("GOOGLETRANSLATE(A19747, ""de"", ""en"")"),"comparable")</f>
        <v>comparable</v>
      </c>
    </row>
    <row r="19748">
      <c r="A19748" s="1" t="s">
        <v>19747</v>
      </c>
      <c r="B19748" s="2" t="str">
        <f>IFERROR(__xludf.DUMMYFUNCTION("GOOGLETRANSLATE(A19748, ""de"", ""en"")"),"storybrooke")</f>
        <v>storybrooke</v>
      </c>
    </row>
    <row r="19749">
      <c r="A19749" s="1" t="s">
        <v>19748</v>
      </c>
      <c r="B19749" s="2" t="str">
        <f>IFERROR(__xludf.DUMMYFUNCTION("GOOGLETRANSLATE(A19749, ""de"", ""en"")"),"legal")</f>
        <v>legal</v>
      </c>
    </row>
    <row r="19750">
      <c r="A19750" s="1" t="s">
        <v>19749</v>
      </c>
      <c r="B19750" s="2" t="str">
        <f>IFERROR(__xludf.DUMMYFUNCTION("GOOGLETRANSLATE(A19750, ""de"", ""en"")"),"freeway")</f>
        <v>freeway</v>
      </c>
    </row>
    <row r="19751">
      <c r="A19751" s="1" t="s">
        <v>19750</v>
      </c>
      <c r="B19751" s="2" t="str">
        <f>IFERROR(__xludf.DUMMYFUNCTION("GOOGLETRANSLATE(A19751, ""de"", ""en"")"),"carey")</f>
        <v>carey</v>
      </c>
    </row>
    <row r="19752">
      <c r="A19752" s="1" t="s">
        <v>19751</v>
      </c>
      <c r="B19752" s="2" t="str">
        <f>IFERROR(__xludf.DUMMYFUNCTION("GOOGLETRANSLATE(A19752, ""de"", ""en"")"),"clinks")</f>
        <v>clinks</v>
      </c>
    </row>
    <row r="19753">
      <c r="A19753" s="1" t="s">
        <v>19752</v>
      </c>
      <c r="B19753" s="2" t="str">
        <f>IFERROR(__xludf.DUMMYFUNCTION("GOOGLETRANSLATE(A19753, ""de"", ""en"")"),"governor")</f>
        <v>governor</v>
      </c>
    </row>
    <row r="19754">
      <c r="A19754" s="1" t="s">
        <v>19753</v>
      </c>
      <c r="B19754" s="2" t="str">
        <f>IFERROR(__xludf.DUMMYFUNCTION("GOOGLETRANSLATE(A19754, ""de"", ""en"")"),"contact")</f>
        <v>contact</v>
      </c>
    </row>
    <row r="19755">
      <c r="A19755" s="1" t="s">
        <v>19754</v>
      </c>
      <c r="B19755" s="2" t="str">
        <f>IFERROR(__xludf.DUMMYFUNCTION("GOOGLETRANSLATE(A19755, ""de"", ""en"")"),"membership")</f>
        <v>membership</v>
      </c>
    </row>
    <row r="19756">
      <c r="A19756" s="1" t="s">
        <v>19755</v>
      </c>
      <c r="B19756" s="2" t="str">
        <f>IFERROR(__xludf.DUMMYFUNCTION("GOOGLETRANSLATE(A19756, ""de"", ""en"")"),"Lisbon")</f>
        <v>Lisbon</v>
      </c>
    </row>
    <row r="19757">
      <c r="A19757" s="1" t="s">
        <v>19756</v>
      </c>
      <c r="B19757" s="2" t="str">
        <f>IFERROR(__xludf.DUMMYFUNCTION("GOOGLETRANSLATE(A19757, ""de"", ""en"")"),"sheet metal")</f>
        <v>sheet metal</v>
      </c>
    </row>
    <row r="19758">
      <c r="A19758" s="1" t="s">
        <v>19757</v>
      </c>
      <c r="B19758" s="2" t="str">
        <f>IFERROR(__xludf.DUMMYFUNCTION("GOOGLETRANSLATE(A19758, ""de"", ""en"")"),"bus station")</f>
        <v>bus station</v>
      </c>
    </row>
    <row r="19759">
      <c r="A19759" s="1" t="s">
        <v>19758</v>
      </c>
      <c r="B19759" s="2" t="str">
        <f>IFERROR(__xludf.DUMMYFUNCTION("GOOGLETRANSLATE(A19759, ""de"", ""en"")"),"bathe")</f>
        <v>bathe</v>
      </c>
    </row>
    <row r="19760">
      <c r="A19760" s="1" t="s">
        <v>19759</v>
      </c>
      <c r="B19760" s="2" t="str">
        <f>IFERROR(__xludf.DUMMYFUNCTION("GOOGLETRANSLATE(A19760, ""de"", ""en"")"),"request")</f>
        <v>request</v>
      </c>
    </row>
    <row r="19761">
      <c r="A19761" s="1" t="s">
        <v>19760</v>
      </c>
      <c r="B19761" s="2" t="str">
        <f>IFERROR(__xludf.DUMMYFUNCTION("GOOGLETRANSLATE(A19761, ""de"", ""en"")"),"lie to")</f>
        <v>lie to</v>
      </c>
    </row>
    <row r="19762">
      <c r="A19762" s="1" t="s">
        <v>19761</v>
      </c>
      <c r="B19762" s="2" t="str">
        <f>IFERROR(__xludf.DUMMYFUNCTION("GOOGLETRANSLATE(A19762, ""de"", ""en"")"),"Finland")</f>
        <v>Finland</v>
      </c>
    </row>
    <row r="19763">
      <c r="A19763" s="1" t="s">
        <v>19762</v>
      </c>
      <c r="B19763" s="2" t="str">
        <f>IFERROR(__xludf.DUMMYFUNCTION("GOOGLETRANSLATE(A19763, ""de"", ""en"")"),"trolls")</f>
        <v>trolls</v>
      </c>
    </row>
    <row r="19764">
      <c r="A19764" s="1" t="s">
        <v>19763</v>
      </c>
      <c r="B19764" s="2" t="str">
        <f>IFERROR(__xludf.DUMMYFUNCTION("GOOGLETRANSLATE(A19764, ""de"", ""en"")"),"worthier")</f>
        <v>worthier</v>
      </c>
    </row>
    <row r="19765">
      <c r="A19765" s="1" t="s">
        <v>19764</v>
      </c>
      <c r="B19765" s="2" t="str">
        <f>IFERROR(__xludf.DUMMYFUNCTION("GOOGLETRANSLATE(A19765, ""de"", ""en"")"),"on the one hand")</f>
        <v>on the one hand</v>
      </c>
    </row>
    <row r="19766">
      <c r="A19766" s="1" t="s">
        <v>19765</v>
      </c>
      <c r="B19766" s="2" t="str">
        <f>IFERROR(__xludf.DUMMYFUNCTION("GOOGLETRANSLATE(A19766, ""de"", ""en"")"),"jasons")</f>
        <v>jasons</v>
      </c>
    </row>
    <row r="19767">
      <c r="A19767" s="1" t="s">
        <v>19766</v>
      </c>
      <c r="B19767" s="2" t="str">
        <f>IFERROR(__xludf.DUMMYFUNCTION("GOOGLETRANSLATE(A19767, ""de"", ""en"")"),"serious")</f>
        <v>serious</v>
      </c>
    </row>
    <row r="19768">
      <c r="A19768" s="1" t="s">
        <v>19767</v>
      </c>
      <c r="B19768" s="2" t="str">
        <f>IFERROR(__xludf.DUMMYFUNCTION("GOOGLETRANSLATE(A19768, ""de"", ""en"")"),"scruples")</f>
        <v>scruples</v>
      </c>
    </row>
    <row r="19769">
      <c r="A19769" s="1" t="s">
        <v>19768</v>
      </c>
      <c r="B19769" s="2" t="str">
        <f>IFERROR(__xludf.DUMMYFUNCTION("GOOGLETRANSLATE(A19769, ""de"", ""en"")"),"stylish")</f>
        <v>stylish</v>
      </c>
    </row>
    <row r="19770">
      <c r="A19770" s="1" t="s">
        <v>19769</v>
      </c>
      <c r="B19770" s="2" t="str">
        <f>IFERROR(__xludf.DUMMYFUNCTION("GOOGLETRANSLATE(A19770, ""de"", ""en"")"),"mcbride")</f>
        <v>mcbride</v>
      </c>
    </row>
    <row r="19771">
      <c r="A19771" s="1" t="s">
        <v>19770</v>
      </c>
      <c r="B19771" s="2" t="str">
        <f>IFERROR(__xludf.DUMMYFUNCTION("GOOGLETRANSLATE(A19771, ""de"", ""en"")"),"myself")</f>
        <v>myself</v>
      </c>
    </row>
    <row r="19772">
      <c r="A19772" s="1" t="s">
        <v>19771</v>
      </c>
      <c r="B19772" s="2" t="str">
        <f>IFERROR(__xludf.DUMMYFUNCTION("GOOGLETRANSLATE(A19772, ""de"", ""en"")"),"externally")</f>
        <v>externally</v>
      </c>
    </row>
    <row r="19773">
      <c r="A19773" s="1" t="s">
        <v>19772</v>
      </c>
      <c r="B19773" s="2" t="str">
        <f>IFERROR(__xludf.DUMMYFUNCTION("GOOGLETRANSLATE(A19773, ""de"", ""en"")"),"sorted")</f>
        <v>sorted</v>
      </c>
    </row>
    <row r="19774">
      <c r="A19774" s="1" t="s">
        <v>19773</v>
      </c>
      <c r="B19774" s="2" t="str">
        <f>IFERROR(__xludf.DUMMYFUNCTION("GOOGLETRANSLATE(A19774, ""de"", ""en"")"),"rolls")</f>
        <v>rolls</v>
      </c>
    </row>
    <row r="19775">
      <c r="A19775" s="1" t="s">
        <v>19774</v>
      </c>
      <c r="B19775" s="2" t="str">
        <f>IFERROR(__xludf.DUMMYFUNCTION("GOOGLETRANSLATE(A19775, ""de"", ""en"")"),"predicted")</f>
        <v>predicted</v>
      </c>
    </row>
    <row r="19776">
      <c r="A19776" s="1" t="s">
        <v>19775</v>
      </c>
      <c r="B19776" s="2" t="str">
        <f>IFERROR(__xludf.DUMMYFUNCTION("GOOGLETRANSLATE(A19776, ""de"", ""en"")"),"vouch")</f>
        <v>vouch</v>
      </c>
    </row>
    <row r="19777">
      <c r="A19777" s="1" t="s">
        <v>19776</v>
      </c>
      <c r="B19777" s="2" t="str">
        <f>IFERROR(__xludf.DUMMYFUNCTION("GOOGLETRANSLATE(A19777, ""de"", ""en"")"),"Lenore")</f>
        <v>Lenore</v>
      </c>
    </row>
    <row r="19778">
      <c r="A19778" s="1" t="s">
        <v>19777</v>
      </c>
      <c r="B19778" s="2" t="str">
        <f>IFERROR(__xludf.DUMMYFUNCTION("GOOGLETRANSLATE(A19778, ""de"", ""en"")"),"candidate")</f>
        <v>candidate</v>
      </c>
    </row>
    <row r="19779">
      <c r="A19779" s="1" t="s">
        <v>19778</v>
      </c>
      <c r="B19779" s="2" t="str">
        <f>IFERROR(__xludf.DUMMYFUNCTION("GOOGLETRANSLATE(A19779, ""de"", ""en"")"),"sweep")</f>
        <v>sweep</v>
      </c>
    </row>
    <row r="19780">
      <c r="A19780" s="1" t="s">
        <v>19779</v>
      </c>
      <c r="B19780" s="2" t="str">
        <f>IFERROR(__xludf.DUMMYFUNCTION("GOOGLETRANSLATE(A19780, ""de"", ""en"")"),"make up")</f>
        <v>make up</v>
      </c>
    </row>
    <row r="19781">
      <c r="A19781" s="1" t="s">
        <v>19780</v>
      </c>
      <c r="B19781" s="2" t="str">
        <f>IFERROR(__xludf.DUMMYFUNCTION("GOOGLETRANSLATE(A19781, ""de"", ""en"")"),"ripped out")</f>
        <v>ripped out</v>
      </c>
    </row>
    <row r="19782">
      <c r="A19782" s="1" t="s">
        <v>19781</v>
      </c>
      <c r="B19782" s="2" t="str">
        <f>IFERROR(__xludf.DUMMYFUNCTION("GOOGLETRANSLATE(A19782, ""de"", ""en"")"),"heroic")</f>
        <v>heroic</v>
      </c>
    </row>
    <row r="19783">
      <c r="A19783" s="1" t="s">
        <v>19782</v>
      </c>
      <c r="B19783" s="2" t="str">
        <f>IFERROR(__xludf.DUMMYFUNCTION("GOOGLETRANSLATE(A19783, ""de"", ""en"")"),"cloths")</f>
        <v>cloths</v>
      </c>
    </row>
    <row r="19784">
      <c r="A19784" s="1" t="s">
        <v>19783</v>
      </c>
      <c r="B19784" s="2" t="str">
        <f>IFERROR(__xludf.DUMMYFUNCTION("GOOGLETRANSLATE(A19784, ""de"", ""en"")"),"blown off")</f>
        <v>blown off</v>
      </c>
    </row>
    <row r="19785">
      <c r="A19785" s="1" t="s">
        <v>19784</v>
      </c>
      <c r="B19785" s="2" t="str">
        <f>IFERROR(__xludf.DUMMYFUNCTION("GOOGLETRANSLATE(A19785, ""de"", ""en"")"),"skirts")</f>
        <v>skirts</v>
      </c>
    </row>
    <row r="19786">
      <c r="A19786" s="1" t="s">
        <v>19785</v>
      </c>
      <c r="B19786" s="2" t="str">
        <f>IFERROR(__xludf.DUMMYFUNCTION("GOOGLETRANSLATE(A19786, ""de"", ""en"")"),"patrols")</f>
        <v>patrols</v>
      </c>
    </row>
    <row r="19787">
      <c r="A19787" s="1" t="s">
        <v>19786</v>
      </c>
      <c r="B19787" s="2" t="str">
        <f>IFERROR(__xludf.DUMMYFUNCTION("GOOGLETRANSLATE(A19787, ""de"", ""en"")"),"chucks")</f>
        <v>chucks</v>
      </c>
    </row>
    <row r="19788">
      <c r="A19788" s="1" t="s">
        <v>19787</v>
      </c>
      <c r="B19788" s="2" t="str">
        <f>IFERROR(__xludf.DUMMYFUNCTION("GOOGLETRANSLATE(A19788, ""de"", ""en"")"),"attraction")</f>
        <v>attraction</v>
      </c>
    </row>
    <row r="19789">
      <c r="A19789" s="1" t="s">
        <v>19788</v>
      </c>
      <c r="B19789" s="2" t="str">
        <f>IFERROR(__xludf.DUMMYFUNCTION("GOOGLETRANSLATE(A19789, ""de"", ""en"")"),"rods")</f>
        <v>rods</v>
      </c>
    </row>
    <row r="19790">
      <c r="A19790" s="1" t="s">
        <v>19789</v>
      </c>
      <c r="B19790" s="2" t="str">
        <f>IFERROR(__xludf.DUMMYFUNCTION("GOOGLETRANSLATE(A19790, ""de"", ""en"")"),"defused")</f>
        <v>defused</v>
      </c>
    </row>
    <row r="19791">
      <c r="A19791" s="1" t="s">
        <v>19790</v>
      </c>
      <c r="B19791" s="2" t="str">
        <f>IFERROR(__xludf.DUMMYFUNCTION("GOOGLETRANSLATE(A19791, ""de"", ""en"")"),"imitate")</f>
        <v>imitate</v>
      </c>
    </row>
    <row r="19792">
      <c r="A19792" s="1" t="s">
        <v>19791</v>
      </c>
      <c r="B19792" s="2" t="str">
        <f>IFERROR(__xludf.DUMMYFUNCTION("GOOGLETRANSLATE(A19792, ""de"", ""en"")"),"elbow")</f>
        <v>elbow</v>
      </c>
    </row>
    <row r="19793">
      <c r="A19793" s="1" t="s">
        <v>19792</v>
      </c>
      <c r="B19793" s="2" t="str">
        <f>IFERROR(__xludf.DUMMYFUNCTION("GOOGLETRANSLATE(A19793, ""de"", ""en"")"),"nimble")</f>
        <v>nimble</v>
      </c>
    </row>
    <row r="19794">
      <c r="A19794" s="1" t="s">
        <v>19793</v>
      </c>
      <c r="B19794" s="2" t="str">
        <f>IFERROR(__xludf.DUMMYFUNCTION("GOOGLETRANSLATE(A19794, ""de"", ""en"")"),"drum roll")</f>
        <v>drum roll</v>
      </c>
    </row>
    <row r="19795">
      <c r="A19795" s="1" t="s">
        <v>19794</v>
      </c>
      <c r="B19795" s="2" t="str">
        <f>IFERROR(__xludf.DUMMYFUNCTION("GOOGLETRANSLATE(A19795, ""de"", ""en"")"),"nance")</f>
        <v>nance</v>
      </c>
    </row>
    <row r="19796">
      <c r="A19796" s="1" t="s">
        <v>19795</v>
      </c>
      <c r="B19796" s="2" t="str">
        <f>IFERROR(__xludf.DUMMYFUNCTION("GOOGLETRANSLATE(A19796, ""de"", ""en"")"),"memory loss")</f>
        <v>memory loss</v>
      </c>
    </row>
    <row r="19797">
      <c r="A19797" s="1" t="s">
        <v>19796</v>
      </c>
      <c r="B19797" s="2" t="str">
        <f>IFERROR(__xludf.DUMMYFUNCTION("GOOGLETRANSLATE(A19797, ""de"", ""en"")"),"novak")</f>
        <v>novak</v>
      </c>
    </row>
    <row r="19798">
      <c r="A19798" s="1" t="s">
        <v>19797</v>
      </c>
      <c r="B19798" s="2" t="str">
        <f>IFERROR(__xludf.DUMMYFUNCTION("GOOGLETRANSLATE(A19798, ""de"", ""en"")"),"end of the world")</f>
        <v>end of the world</v>
      </c>
    </row>
    <row r="19799">
      <c r="A19799" s="1" t="s">
        <v>19798</v>
      </c>
      <c r="B19799" s="2" t="str">
        <f>IFERROR(__xludf.DUMMYFUNCTION("GOOGLETRANSLATE(A19799, ""de"", ""en"")"),"requirements")</f>
        <v>requirements</v>
      </c>
    </row>
    <row r="19800">
      <c r="A19800" s="1" t="s">
        <v>19799</v>
      </c>
      <c r="B19800" s="2" t="str">
        <f>IFERROR(__xludf.DUMMYFUNCTION("GOOGLETRANSLATE(A19800, ""de"", ""en"")"),"christophe")</f>
        <v>christophe</v>
      </c>
    </row>
    <row r="19801">
      <c r="A19801" s="1" t="s">
        <v>19800</v>
      </c>
      <c r="B19801" s="2" t="str">
        <f>IFERROR(__xludf.DUMMYFUNCTION("GOOGLETRANSLATE(A19801, ""de"", ""en"")"),"stefano")</f>
        <v>stefano</v>
      </c>
    </row>
    <row r="19802">
      <c r="A19802" s="1" t="s">
        <v>19801</v>
      </c>
      <c r="B19802" s="2" t="str">
        <f>IFERROR(__xludf.DUMMYFUNCTION("GOOGLETRANSLATE(A19802, ""de"", ""en"")"),"sign")</f>
        <v>sign</v>
      </c>
    </row>
    <row r="19803">
      <c r="A19803" s="1" t="s">
        <v>19802</v>
      </c>
      <c r="B19803" s="2" t="str">
        <f>IFERROR(__xludf.DUMMYFUNCTION("GOOGLETRANSLATE(A19803, ""de"", ""en"")"),"Troy")</f>
        <v>Troy</v>
      </c>
    </row>
    <row r="19804">
      <c r="A19804" s="1" t="s">
        <v>19803</v>
      </c>
      <c r="B19804" s="2" t="str">
        <f>IFERROR(__xludf.DUMMYFUNCTION("GOOGLETRANSLATE(A19804, ""de"", ""en"")"),"reload")</f>
        <v>reload</v>
      </c>
    </row>
    <row r="19805">
      <c r="A19805" s="1" t="s">
        <v>19804</v>
      </c>
      <c r="B19805" s="2" t="str">
        <f>IFERROR(__xludf.DUMMYFUNCTION("GOOGLETRANSLATE(A19805, ""de"", ""en"")"),"wavelength")</f>
        <v>wavelength</v>
      </c>
    </row>
    <row r="19806">
      <c r="A19806" s="1" t="s">
        <v>19805</v>
      </c>
      <c r="B19806" s="2" t="str">
        <f>IFERROR(__xludf.DUMMYFUNCTION("GOOGLETRANSLATE(A19806, ""de"", ""en"")"),"hyperspace")</f>
        <v>hyperspace</v>
      </c>
    </row>
    <row r="19807">
      <c r="A19807" s="1" t="s">
        <v>19806</v>
      </c>
      <c r="B19807" s="2" t="str">
        <f>IFERROR(__xludf.DUMMYFUNCTION("GOOGLETRANSLATE(A19807, ""de"", ""en"")"),"mental")</f>
        <v>mental</v>
      </c>
    </row>
    <row r="19808">
      <c r="A19808" s="1" t="s">
        <v>19807</v>
      </c>
      <c r="B19808" s="2" t="str">
        <f>IFERROR(__xludf.DUMMYFUNCTION("GOOGLETRANSLATE(A19808, ""de"", ""en"")"),"necessary")</f>
        <v>necessary</v>
      </c>
    </row>
    <row r="19809">
      <c r="A19809" s="1" t="s">
        <v>19808</v>
      </c>
      <c r="B19809" s="2" t="str">
        <f>IFERROR(__xludf.DUMMYFUNCTION("GOOGLETRANSLATE(A19809, ""de"", ""en"")"),"affect")</f>
        <v>affect</v>
      </c>
    </row>
    <row r="19810">
      <c r="A19810" s="1" t="s">
        <v>19809</v>
      </c>
      <c r="B19810" s="2" t="str">
        <f>IFERROR(__xludf.DUMMYFUNCTION("GOOGLETRANSLATE(A19810, ""de"", ""en"")"),"scoffs")</f>
        <v>scoffs</v>
      </c>
    </row>
    <row r="19811">
      <c r="A19811" s="1" t="s">
        <v>19810</v>
      </c>
      <c r="B19811" s="2" t="str">
        <f>IFERROR(__xludf.DUMMYFUNCTION("GOOGLETRANSLATE(A19811, ""de"", ""en"")"),"humiliate")</f>
        <v>humiliate</v>
      </c>
    </row>
    <row r="19812">
      <c r="A19812" s="1" t="s">
        <v>19811</v>
      </c>
      <c r="B19812" s="2" t="str">
        <f>IFERROR(__xludf.DUMMYFUNCTION("GOOGLETRANSLATE(A19812, ""de"", ""en"")"),"Ronon")</f>
        <v>Ronon</v>
      </c>
    </row>
    <row r="19813">
      <c r="A19813" s="1" t="s">
        <v>19812</v>
      </c>
      <c r="B19813" s="2" t="str">
        <f>IFERROR(__xludf.DUMMYFUNCTION("GOOGLETRANSLATE(A19813, ""de"", ""en"")"),"forensics")</f>
        <v>forensics</v>
      </c>
    </row>
    <row r="19814">
      <c r="A19814" s="1" t="s">
        <v>19813</v>
      </c>
      <c r="B19814" s="2" t="str">
        <f>IFERROR(__xludf.DUMMYFUNCTION("GOOGLETRANSLATE(A19814, ""de"", ""en"")"),"howdy")</f>
        <v>howdy</v>
      </c>
    </row>
    <row r="19815">
      <c r="A19815" s="1" t="s">
        <v>19814</v>
      </c>
      <c r="B19815" s="2" t="str">
        <f>IFERROR(__xludf.DUMMYFUNCTION("GOOGLETRANSLATE(A19815, ""de"", ""en"")"),"fire")</f>
        <v>fire</v>
      </c>
    </row>
    <row r="19816">
      <c r="A19816" s="1" t="s">
        <v>19815</v>
      </c>
      <c r="B19816" s="2" t="str">
        <f>IFERROR(__xludf.DUMMYFUNCTION("GOOGLETRANSLATE(A19816, ""de"", ""en"")"),"hand over")</f>
        <v>hand over</v>
      </c>
    </row>
    <row r="19817">
      <c r="A19817" s="1" t="s">
        <v>19816</v>
      </c>
      <c r="B19817" s="2" t="str">
        <f>IFERROR(__xludf.DUMMYFUNCTION("GOOGLETRANSLATE(A19817, ""de"", ""en"")"),"treehouse")</f>
        <v>treehouse</v>
      </c>
    </row>
    <row r="19818">
      <c r="A19818" s="1" t="s">
        <v>19817</v>
      </c>
      <c r="B19818" s="2" t="str">
        <f>IFERROR(__xludf.DUMMYFUNCTION("GOOGLETRANSLATE(A19818, ""de"", ""en"")"),"beg")</f>
        <v>beg</v>
      </c>
    </row>
    <row r="19819">
      <c r="A19819" s="1" t="s">
        <v>19818</v>
      </c>
      <c r="B19819" s="2" t="str">
        <f>IFERROR(__xludf.DUMMYFUNCTION("GOOGLETRANSLATE(A19819, ""de"", ""en"")"),"guarding")</f>
        <v>guarding</v>
      </c>
    </row>
    <row r="19820">
      <c r="A19820" s="1" t="s">
        <v>19819</v>
      </c>
      <c r="B19820" s="2" t="str">
        <f>IFERROR(__xludf.DUMMYFUNCTION("GOOGLETRANSLATE(A19820, ""de"", ""en"")"),"settings")</f>
        <v>settings</v>
      </c>
    </row>
    <row r="19821">
      <c r="A19821" s="1" t="s">
        <v>19820</v>
      </c>
      <c r="B19821" s="2" t="str">
        <f>IFERROR(__xludf.DUMMYFUNCTION("GOOGLETRANSLATE(A19821, ""de"", ""en"")"),"smoker")</f>
        <v>smoker</v>
      </c>
    </row>
    <row r="19822">
      <c r="A19822" s="1" t="s">
        <v>19821</v>
      </c>
      <c r="B19822" s="2" t="str">
        <f>IFERROR(__xludf.DUMMYFUNCTION("GOOGLETRANSLATE(A19822, ""de"", ""en"")"),"poisoned")</f>
        <v>poisoned</v>
      </c>
    </row>
    <row r="19823">
      <c r="A19823" s="1" t="s">
        <v>19822</v>
      </c>
      <c r="B19823" s="2" t="str">
        <f>IFERROR(__xludf.DUMMYFUNCTION("GOOGLETRANSLATE(A19823, ""de"", ""en"")"),"repair")</f>
        <v>repair</v>
      </c>
    </row>
    <row r="19824">
      <c r="A19824" s="1" t="s">
        <v>19823</v>
      </c>
      <c r="B19824" s="2" t="str">
        <f>IFERROR(__xludf.DUMMYFUNCTION("GOOGLETRANSLATE(A19824, ""de"", ""en"")"),"throat")</f>
        <v>throat</v>
      </c>
    </row>
    <row r="19825">
      <c r="A19825" s="1" t="s">
        <v>19824</v>
      </c>
      <c r="B19825" s="2" t="str">
        <f>IFERROR(__xludf.DUMMYFUNCTION("GOOGLETRANSLATE(A19825, ""de"", ""en"")"),"lilys")</f>
        <v>lilys</v>
      </c>
    </row>
    <row r="19826">
      <c r="A19826" s="1" t="s">
        <v>19825</v>
      </c>
      <c r="B19826" s="2" t="str">
        <f>IFERROR(__xludf.DUMMYFUNCTION("GOOGLETRANSLATE(A19826, ""de"", ""en"")"),"enroll")</f>
        <v>enroll</v>
      </c>
    </row>
    <row r="19827">
      <c r="A19827" s="1" t="s">
        <v>19826</v>
      </c>
      <c r="B19827" s="2" t="str">
        <f>IFERROR(__xludf.DUMMYFUNCTION("GOOGLETRANSLATE(A19827, ""de"", ""en"")"),"margie")</f>
        <v>margie</v>
      </c>
    </row>
    <row r="19828">
      <c r="A19828" s="1" t="s">
        <v>19827</v>
      </c>
      <c r="B19828" s="2" t="str">
        <f>IFERROR(__xludf.DUMMYFUNCTION("GOOGLETRANSLATE(A19828, ""de"", ""en"")"),"predictable")</f>
        <v>predictable</v>
      </c>
    </row>
    <row r="19829">
      <c r="A19829" s="1" t="s">
        <v>19828</v>
      </c>
      <c r="B19829" s="2" t="str">
        <f>IFERROR(__xludf.DUMMYFUNCTION("GOOGLETRANSLATE(A19829, ""de"", ""en"")"),"hendricks")</f>
        <v>hendricks</v>
      </c>
    </row>
    <row r="19830">
      <c r="A19830" s="1" t="s">
        <v>19829</v>
      </c>
      <c r="B19830" s="2" t="str">
        <f>IFERROR(__xludf.DUMMYFUNCTION("GOOGLETRANSLATE(A19830, ""de"", ""en"")"),"Mediterranean")</f>
        <v>Mediterranean</v>
      </c>
    </row>
    <row r="19831">
      <c r="A19831" s="1" t="s">
        <v>19830</v>
      </c>
      <c r="B19831" s="2" t="str">
        <f>IFERROR(__xludf.DUMMYFUNCTION("GOOGLETRANSLATE(A19831, ""de"", ""en"")"),"Atticus")</f>
        <v>Atticus</v>
      </c>
    </row>
    <row r="19832">
      <c r="A19832" s="1" t="s">
        <v>19831</v>
      </c>
      <c r="B19832" s="2" t="str">
        <f>IFERROR(__xludf.DUMMYFUNCTION("GOOGLETRANSLATE(A19832, ""de"", ""en"")"),"meditate")</f>
        <v>meditate</v>
      </c>
    </row>
    <row r="19833">
      <c r="A19833" s="1" t="s">
        <v>19832</v>
      </c>
      <c r="B19833" s="2" t="str">
        <f>IFERROR(__xludf.DUMMYFUNCTION("GOOGLETRANSLATE(A19833, ""de"", ""en"")"),"mendoza")</f>
        <v>mendoza</v>
      </c>
    </row>
    <row r="19834">
      <c r="A19834" s="1" t="s">
        <v>19833</v>
      </c>
      <c r="B19834" s="2" t="str">
        <f>IFERROR(__xludf.DUMMYFUNCTION("GOOGLETRANSLATE(A19834, ""de"", ""en"")"),"hardware")</f>
        <v>hardware</v>
      </c>
    </row>
    <row r="19835">
      <c r="A19835" s="1" t="s">
        <v>19834</v>
      </c>
      <c r="B19835" s="2" t="str">
        <f>IFERROR(__xludf.DUMMYFUNCTION("GOOGLETRANSLATE(A19835, ""de"", ""en"")"),"peaches")</f>
        <v>peaches</v>
      </c>
    </row>
    <row r="19836">
      <c r="A19836" s="1" t="s">
        <v>19835</v>
      </c>
      <c r="B19836" s="2" t="str">
        <f>IFERROR(__xludf.DUMMYFUNCTION("GOOGLETRANSLATE(A19836, ""de"", ""en"")"),"Jerome")</f>
        <v>Jerome</v>
      </c>
    </row>
    <row r="19837">
      <c r="A19837" s="1" t="s">
        <v>19836</v>
      </c>
      <c r="B19837" s="2" t="str">
        <f>IFERROR(__xludf.DUMMYFUNCTION("GOOGLETRANSLATE(A19837, ""de"", ""en"")"),"psychologically")</f>
        <v>psychologically</v>
      </c>
    </row>
    <row r="19838">
      <c r="A19838" s="1" t="s">
        <v>19837</v>
      </c>
      <c r="B19838" s="2" t="str">
        <f>IFERROR(__xludf.DUMMYFUNCTION("GOOGLETRANSLATE(A19838, ""de"", ""en"")"),"protest")</f>
        <v>protest</v>
      </c>
    </row>
    <row r="19839">
      <c r="A19839" s="1" t="s">
        <v>19838</v>
      </c>
      <c r="B19839" s="2" t="str">
        <f>IFERROR(__xludf.DUMMYFUNCTION("GOOGLETRANSLATE(A19839, ""de"", ""en"")"),"fixed")</f>
        <v>fixed</v>
      </c>
    </row>
    <row r="19840">
      <c r="A19840" s="1" t="s">
        <v>19839</v>
      </c>
      <c r="B19840" s="2" t="str">
        <f>IFERROR(__xludf.DUMMYFUNCTION("GOOGLETRANSLATE(A19840, ""de"", ""en"")"),"office")</f>
        <v>office</v>
      </c>
    </row>
    <row r="19841">
      <c r="A19841" s="1" t="s">
        <v>19840</v>
      </c>
      <c r="B19841" s="2" t="str">
        <f>IFERROR(__xludf.DUMMYFUNCTION("GOOGLETRANSLATE(A19841, ""de"", ""en"")"),"krusty")</f>
        <v>krusty</v>
      </c>
    </row>
    <row r="19842">
      <c r="A19842" s="1" t="s">
        <v>19841</v>
      </c>
      <c r="B19842" s="2" t="str">
        <f>IFERROR(__xludf.DUMMYFUNCTION("GOOGLETRANSLATE(A19842, ""de"", ""en"")"),"law firm")</f>
        <v>law firm</v>
      </c>
    </row>
    <row r="19843">
      <c r="A19843" s="1" t="s">
        <v>19842</v>
      </c>
      <c r="B19843" s="2" t="str">
        <f>IFERROR(__xludf.DUMMYFUNCTION("GOOGLETRANSLATE(A19843, ""de"", ""en"")"),"pees")</f>
        <v>pees</v>
      </c>
    </row>
    <row r="19844">
      <c r="A19844" s="1" t="s">
        <v>19843</v>
      </c>
      <c r="B19844" s="2" t="str">
        <f>IFERROR(__xludf.DUMMYFUNCTION("GOOGLETRANSLATE(A19844, ""de"", ""en"")"),"guesthouse")</f>
        <v>guesthouse</v>
      </c>
    </row>
    <row r="19845">
      <c r="A19845" s="1" t="s">
        <v>19844</v>
      </c>
      <c r="B19845" s="2" t="str">
        <f>IFERROR(__xludf.DUMMYFUNCTION("GOOGLETRANSLATE(A19845, ""de"", ""en"")"),"leigh")</f>
        <v>leigh</v>
      </c>
    </row>
    <row r="19846">
      <c r="A19846" s="1" t="s">
        <v>19845</v>
      </c>
      <c r="B19846" s="2" t="str">
        <f>IFERROR(__xludf.DUMMYFUNCTION("GOOGLETRANSLATE(A19846, ""de"", ""en"")"),"knitting")</f>
        <v>knitting</v>
      </c>
    </row>
    <row r="19847">
      <c r="A19847" s="1" t="s">
        <v>19846</v>
      </c>
      <c r="B19847" s="2" t="str">
        <f>IFERROR(__xludf.DUMMYFUNCTION("GOOGLETRANSLATE(A19847, ""de"", ""en"")"),"mathieu")</f>
        <v>mathieu</v>
      </c>
    </row>
    <row r="19848">
      <c r="A19848" s="1" t="s">
        <v>19847</v>
      </c>
      <c r="B19848" s="2" t="str">
        <f>IFERROR(__xludf.DUMMYFUNCTION("GOOGLETRANSLATE(A19848, ""de"", ""en"")"),"bald head")</f>
        <v>bald head</v>
      </c>
    </row>
    <row r="19849">
      <c r="A19849" s="1" t="s">
        <v>19848</v>
      </c>
      <c r="B19849" s="2" t="str">
        <f>IFERROR(__xludf.DUMMYFUNCTION("GOOGLETRANSLATE(A19849, ""de"", ""en"")"),"passage")</f>
        <v>passage</v>
      </c>
    </row>
    <row r="19850">
      <c r="A19850" s="1" t="s">
        <v>19849</v>
      </c>
      <c r="B19850" s="2" t="str">
        <f>IFERROR(__xludf.DUMMYFUNCTION("GOOGLETRANSLATE(A19850, ""de"", ""en"")"),"lottery")</f>
        <v>lottery</v>
      </c>
    </row>
    <row r="19851">
      <c r="A19851" s="1" t="s">
        <v>19850</v>
      </c>
      <c r="B19851" s="2" t="str">
        <f>IFERROR(__xludf.DUMMYFUNCTION("GOOGLETRANSLATE(A19851, ""de"", ""en"")"),"areas")</f>
        <v>areas</v>
      </c>
    </row>
    <row r="19852">
      <c r="A19852" s="1" t="s">
        <v>19851</v>
      </c>
      <c r="B19852" s="2" t="str">
        <f>IFERROR(__xludf.DUMMYFUNCTION("GOOGLETRANSLATE(A19852, ""de"", ""en"")"),"hypocrisy")</f>
        <v>hypocrisy</v>
      </c>
    </row>
    <row r="19853">
      <c r="A19853" s="1" t="s">
        <v>19852</v>
      </c>
      <c r="B19853" s="2" t="str">
        <f>IFERROR(__xludf.DUMMYFUNCTION("GOOGLETRANSLATE(A19853, ""de"", ""en"")"),"challenger")</f>
        <v>challenger</v>
      </c>
    </row>
    <row r="19854">
      <c r="A19854" s="1" t="s">
        <v>19853</v>
      </c>
      <c r="B19854" s="2" t="str">
        <f>IFERROR(__xludf.DUMMYFUNCTION("GOOGLETRANSLATE(A19854, ""de"", ""en"")"),"hostage taking")</f>
        <v>hostage taking</v>
      </c>
    </row>
    <row r="19855">
      <c r="A19855" s="1" t="s">
        <v>19854</v>
      </c>
      <c r="B19855" s="2" t="str">
        <f>IFERROR(__xludf.DUMMYFUNCTION("GOOGLETRANSLATE(A19855, ""de"", ""en"")"),"miscarriage")</f>
        <v>miscarriage</v>
      </c>
    </row>
    <row r="19856">
      <c r="A19856" s="1" t="s">
        <v>19855</v>
      </c>
      <c r="B19856" s="2" t="str">
        <f>IFERROR(__xludf.DUMMYFUNCTION("GOOGLETRANSLATE(A19856, ""de"", ""en"")"),"took with him")</f>
        <v>took with him</v>
      </c>
    </row>
    <row r="19857">
      <c r="A19857" s="1" t="s">
        <v>19856</v>
      </c>
      <c r="B19857" s="2" t="str">
        <f>IFERROR(__xludf.DUMMYFUNCTION("GOOGLETRANSLATE(A19857, ""de"", ""en"")"),"90s")</f>
        <v>90s</v>
      </c>
    </row>
    <row r="19858">
      <c r="A19858" s="1" t="s">
        <v>19857</v>
      </c>
      <c r="B19858" s="2" t="str">
        <f>IFERROR(__xludf.DUMMYFUNCTION("GOOGLETRANSLATE(A19858, ""de"", ""en"")"),"aspens")</f>
        <v>aspens</v>
      </c>
    </row>
    <row r="19859">
      <c r="A19859" s="1" t="s">
        <v>19858</v>
      </c>
      <c r="B19859" s="2" t="str">
        <f>IFERROR(__xludf.DUMMYFUNCTION("GOOGLETRANSLATE(A19859, ""de"", ""en"")"),"Misha")</f>
        <v>Misha</v>
      </c>
    </row>
    <row r="19860">
      <c r="A19860" s="1" t="s">
        <v>19859</v>
      </c>
      <c r="B19860" s="2" t="str">
        <f>IFERROR(__xludf.DUMMYFUNCTION("GOOGLETRANSLATE(A19860, ""de"", ""en"")"),"program")</f>
        <v>program</v>
      </c>
    </row>
    <row r="19861">
      <c r="A19861" s="1" t="s">
        <v>19860</v>
      </c>
      <c r="B19861" s="2" t="str">
        <f>IFERROR(__xludf.DUMMYFUNCTION("GOOGLETRANSLATE(A19861, ""de"", ""en"")"),"stupid")</f>
        <v>stupid</v>
      </c>
    </row>
    <row r="19862">
      <c r="A19862" s="1" t="s">
        <v>19861</v>
      </c>
      <c r="B19862" s="2" t="str">
        <f>IFERROR(__xludf.DUMMYFUNCTION("GOOGLETRANSLATE(A19862, ""de"", ""en"")"),"cover photo")</f>
        <v>cover photo</v>
      </c>
    </row>
    <row r="19863">
      <c r="A19863" s="1" t="s">
        <v>19862</v>
      </c>
      <c r="B19863" s="2" t="str">
        <f>IFERROR(__xludf.DUMMYFUNCTION("GOOGLETRANSLATE(A19863, ""de"", ""en"")"),"to switch off")</f>
        <v>to switch off</v>
      </c>
    </row>
    <row r="19864">
      <c r="A19864" s="1" t="s">
        <v>19863</v>
      </c>
      <c r="B19864" s="2" t="str">
        <f>IFERROR(__xludf.DUMMYFUNCTION("GOOGLETRANSLATE(A19864, ""de"", ""en"")"),"more constant")</f>
        <v>more constant</v>
      </c>
    </row>
    <row r="19865">
      <c r="A19865" s="1" t="s">
        <v>19864</v>
      </c>
      <c r="B19865" s="2" t="str">
        <f>IFERROR(__xludf.DUMMYFUNCTION("GOOGLETRANSLATE(A19865, ""de"", ""en"")"),"pizzeria")</f>
        <v>pizzeria</v>
      </c>
    </row>
    <row r="19866">
      <c r="A19866" s="1" t="s">
        <v>19865</v>
      </c>
      <c r="B19866" s="2" t="str">
        <f>IFERROR(__xludf.DUMMYFUNCTION("GOOGLETRANSLATE(A19866, ""de"", ""en"")"),"stupid")</f>
        <v>stupid</v>
      </c>
    </row>
    <row r="19867">
      <c r="A19867" s="1" t="s">
        <v>19866</v>
      </c>
      <c r="B19867" s="2" t="str">
        <f>IFERROR(__xludf.DUMMYFUNCTION("GOOGLETRANSLATE(A19867, ""de"", ""en"")"),"hunted")</f>
        <v>hunted</v>
      </c>
    </row>
    <row r="19868">
      <c r="A19868" s="1" t="s">
        <v>19867</v>
      </c>
      <c r="B19868" s="2" t="str">
        <f>IFERROR(__xludf.DUMMYFUNCTION("GOOGLETRANSLATE(A19868, ""de"", ""en"")"),"scrambled eggs")</f>
        <v>scrambled eggs</v>
      </c>
    </row>
    <row r="19869">
      <c r="A19869" s="1" t="s">
        <v>19868</v>
      </c>
      <c r="B19869" s="2" t="str">
        <f>IFERROR(__xludf.DUMMYFUNCTION("GOOGLETRANSLATE(A19869, ""de"", ""en"")"),"search")</f>
        <v>search</v>
      </c>
    </row>
    <row r="19870">
      <c r="A19870" s="1" t="s">
        <v>19869</v>
      </c>
      <c r="B19870" s="2" t="str">
        <f>IFERROR(__xludf.DUMMYFUNCTION("GOOGLETRANSLATE(A19870, ""de"", ""en"")"),"horatio")</f>
        <v>horatio</v>
      </c>
    </row>
    <row r="19871">
      <c r="A19871" s="1" t="s">
        <v>19870</v>
      </c>
      <c r="B19871" s="2" t="str">
        <f>IFERROR(__xludf.DUMMYFUNCTION("GOOGLETRANSLATE(A19871, ""de"", ""en"")"),"child")</f>
        <v>child</v>
      </c>
    </row>
    <row r="19872">
      <c r="A19872" s="1" t="s">
        <v>19871</v>
      </c>
      <c r="B19872" s="2" t="str">
        <f>IFERROR(__xludf.DUMMYFUNCTION("GOOGLETRANSLATE(A19872, ""de"", ""en"")"),"senior")</f>
        <v>senior</v>
      </c>
    </row>
    <row r="19873">
      <c r="A19873" s="1" t="s">
        <v>19872</v>
      </c>
      <c r="B19873" s="2" t="str">
        <f>IFERROR(__xludf.DUMMYFUNCTION("GOOGLETRANSLATE(A19873, ""de"", ""en"")"),"hare")</f>
        <v>hare</v>
      </c>
    </row>
    <row r="19874">
      <c r="A19874" s="1" t="s">
        <v>19873</v>
      </c>
      <c r="B19874" s="2" t="str">
        <f>IFERROR(__xludf.DUMMYFUNCTION("GOOGLETRANSLATE(A19874, ""de"", ""en"")"),"fulfilled")</f>
        <v>fulfilled</v>
      </c>
    </row>
    <row r="19875">
      <c r="A19875" s="1" t="s">
        <v>19874</v>
      </c>
      <c r="B19875" s="2" t="str">
        <f>IFERROR(__xludf.DUMMYFUNCTION("GOOGLETRANSLATE(A19875, ""de"", ""en"")"),"perceive")</f>
        <v>perceive</v>
      </c>
    </row>
    <row r="19876">
      <c r="A19876" s="1" t="s">
        <v>19875</v>
      </c>
      <c r="B19876" s="2" t="str">
        <f>IFERROR(__xludf.DUMMYFUNCTION("GOOGLETRANSLATE(A19876, ""de"", ""en"")"),"nuclear weapons")</f>
        <v>nuclear weapons</v>
      </c>
    </row>
    <row r="19877">
      <c r="A19877" s="1" t="s">
        <v>19876</v>
      </c>
      <c r="B19877" s="2" t="str">
        <f>IFERROR(__xludf.DUMMYFUNCTION("GOOGLETRANSLATE(A19877, ""de"", ""en"")"),"immortal")</f>
        <v>immortal</v>
      </c>
    </row>
    <row r="19878">
      <c r="A19878" s="1" t="s">
        <v>19877</v>
      </c>
      <c r="B19878" s="2" t="str">
        <f>IFERROR(__xludf.DUMMYFUNCTION("GOOGLETRANSLATE(A19878, ""de"", ""en"")"),"Catalina")</f>
        <v>Catalina</v>
      </c>
    </row>
    <row r="19879">
      <c r="A19879" s="1" t="s">
        <v>19878</v>
      </c>
      <c r="B19879" s="2" t="str">
        <f>IFERROR(__xludf.DUMMYFUNCTION("GOOGLETRANSLATE(A19879, ""de"", ""en"")"),"gun")</f>
        <v>gun</v>
      </c>
    </row>
    <row r="19880">
      <c r="A19880" s="1" t="s">
        <v>19879</v>
      </c>
      <c r="B19880" s="2" t="str">
        <f>IFERROR(__xludf.DUMMYFUNCTION("GOOGLETRANSLATE(A19880, ""de"", ""en"")"),"Emile")</f>
        <v>Emile</v>
      </c>
    </row>
    <row r="19881">
      <c r="A19881" s="1" t="s">
        <v>19880</v>
      </c>
      <c r="B19881" s="2" t="str">
        <f>IFERROR(__xludf.DUMMYFUNCTION("GOOGLETRANSLATE(A19881, ""de"", ""en"")"),"snyder")</f>
        <v>snyder</v>
      </c>
    </row>
    <row r="19882">
      <c r="A19882" s="1" t="s">
        <v>19881</v>
      </c>
      <c r="B19882" s="2" t="str">
        <f>IFERROR(__xludf.DUMMYFUNCTION("GOOGLETRANSLATE(A19882, ""de"", ""en"")"),"superstition")</f>
        <v>superstition</v>
      </c>
    </row>
    <row r="19883">
      <c r="A19883" s="1" t="s">
        <v>19882</v>
      </c>
      <c r="B19883" s="2" t="str">
        <f>IFERROR(__xludf.DUMMYFUNCTION("GOOGLETRANSLATE(A19883, ""de"", ""en"")"),"drove here")</f>
        <v>drove here</v>
      </c>
    </row>
    <row r="19884">
      <c r="A19884" s="1" t="s">
        <v>19883</v>
      </c>
      <c r="B19884" s="2" t="str">
        <f>IFERROR(__xludf.DUMMYFUNCTION("GOOGLETRANSLATE(A19884, ""de"", ""en"")"),"care")</f>
        <v>care</v>
      </c>
    </row>
    <row r="19885">
      <c r="A19885" s="1" t="s">
        <v>19884</v>
      </c>
      <c r="B19885" s="2" t="str">
        <f>IFERROR(__xludf.DUMMYFUNCTION("GOOGLETRANSLATE(A19885, ""de"", ""en"")"),"navid")</f>
        <v>navid</v>
      </c>
    </row>
    <row r="19886">
      <c r="A19886" s="1" t="s">
        <v>19885</v>
      </c>
      <c r="B19886" s="2" t="str">
        <f>IFERROR(__xludf.DUMMYFUNCTION("GOOGLETRANSLATE(A19886, ""de"", ""en"")"),"innermost")</f>
        <v>innermost</v>
      </c>
    </row>
    <row r="19887">
      <c r="A19887" s="1" t="s">
        <v>19886</v>
      </c>
      <c r="B19887" s="2" t="str">
        <f>IFERROR(__xludf.DUMMYFUNCTION("GOOGLETRANSLATE(A19887, ""de"", ""en"")"),"colette")</f>
        <v>colette</v>
      </c>
    </row>
    <row r="19888">
      <c r="A19888" s="1" t="s">
        <v>19887</v>
      </c>
      <c r="B19888" s="2" t="str">
        <f>IFERROR(__xludf.DUMMYFUNCTION("GOOGLETRANSLATE(A19888, ""de"", ""en"")"),"Yorkshire")</f>
        <v>Yorkshire</v>
      </c>
    </row>
    <row r="19889">
      <c r="A19889" s="1" t="s">
        <v>19888</v>
      </c>
      <c r="B19889" s="2" t="str">
        <f>IFERROR(__xludf.DUMMYFUNCTION("GOOGLETRANSLATE(A19889, ""de"", ""en"")"),"ballpoint pen")</f>
        <v>ballpoint pen</v>
      </c>
    </row>
    <row r="19890">
      <c r="A19890" s="1" t="s">
        <v>19889</v>
      </c>
      <c r="B19890" s="2" t="str">
        <f>IFERROR(__xludf.DUMMYFUNCTION("GOOGLETRANSLATE(A19890, ""de"", ""en"")"),"fortune teller")</f>
        <v>fortune teller</v>
      </c>
    </row>
    <row r="19891">
      <c r="A19891" s="1" t="s">
        <v>19890</v>
      </c>
      <c r="B19891" s="2" t="str">
        <f>IFERROR(__xludf.DUMMYFUNCTION("GOOGLETRANSLATE(A19891, ""de"", ""en"")"),"tinier")</f>
        <v>tinier</v>
      </c>
    </row>
    <row r="19892">
      <c r="A19892" s="1" t="s">
        <v>19891</v>
      </c>
      <c r="B19892" s="2" t="str">
        <f>IFERROR(__xludf.DUMMYFUNCTION("GOOGLETRANSLATE(A19892, ""de"", ""en"")"),"shake off")</f>
        <v>shake off</v>
      </c>
    </row>
    <row r="19893">
      <c r="A19893" s="1" t="s">
        <v>19892</v>
      </c>
      <c r="B19893" s="2" t="str">
        <f>IFERROR(__xludf.DUMMYFUNCTION("GOOGLETRANSLATE(A19893, ""de"", ""en"")"),"Luke")</f>
        <v>Luke</v>
      </c>
    </row>
    <row r="19894">
      <c r="A19894" s="1" t="s">
        <v>19893</v>
      </c>
      <c r="B19894" s="2" t="str">
        <f>IFERROR(__xludf.DUMMYFUNCTION("GOOGLETRANSLATE(A19894, ""de"", ""en"")"),"inexperienced")</f>
        <v>inexperienced</v>
      </c>
    </row>
    <row r="19895">
      <c r="A19895" s="1" t="s">
        <v>19894</v>
      </c>
      <c r="B19895" s="2" t="str">
        <f>IFERROR(__xludf.DUMMYFUNCTION("GOOGLETRANSLATE(A19895, ""de"", ""en"")"),"survives")</f>
        <v>survives</v>
      </c>
    </row>
    <row r="19896">
      <c r="A19896" s="1" t="s">
        <v>19895</v>
      </c>
      <c r="B19896" s="2" t="str">
        <f>IFERROR(__xludf.DUMMYFUNCTION("GOOGLETRANSLATE(A19896, ""de"", ""en"")"),"cheaper")</f>
        <v>cheaper</v>
      </c>
    </row>
    <row r="19897">
      <c r="A19897" s="1" t="s">
        <v>19896</v>
      </c>
      <c r="B19897" s="2" t="str">
        <f>IFERROR(__xludf.DUMMYFUNCTION("GOOGLETRANSLATE(A19897, ""de"", ""en"")"),"homosexuals")</f>
        <v>homosexuals</v>
      </c>
    </row>
    <row r="19898">
      <c r="A19898" s="1" t="s">
        <v>19897</v>
      </c>
      <c r="B19898" s="2" t="str">
        <f>IFERROR(__xludf.DUMMYFUNCTION("GOOGLETRANSLATE(A19898, ""de"", ""en"")"),"passport")</f>
        <v>passport</v>
      </c>
    </row>
    <row r="19899">
      <c r="A19899" s="1" t="s">
        <v>19898</v>
      </c>
      <c r="B19899" s="2" t="str">
        <f>IFERROR(__xludf.DUMMYFUNCTION("GOOGLETRANSLATE(A19899, ""de"", ""en"")"),"medals")</f>
        <v>medals</v>
      </c>
    </row>
    <row r="19900">
      <c r="A19900" s="1" t="s">
        <v>19899</v>
      </c>
      <c r="B19900" s="2" t="str">
        <f>IFERROR(__xludf.DUMMYFUNCTION("GOOGLETRANSLATE(A19900, ""de"", ""en"")"),"receive")</f>
        <v>receive</v>
      </c>
    </row>
    <row r="19901">
      <c r="A19901" s="1" t="s">
        <v>19900</v>
      </c>
      <c r="B19901" s="2" t="str">
        <f>IFERROR(__xludf.DUMMYFUNCTION("GOOGLETRANSLATE(A19901, ""de"", ""en"")"),"legal")</f>
        <v>legal</v>
      </c>
    </row>
    <row r="19902">
      <c r="A19902" s="1" t="s">
        <v>19901</v>
      </c>
      <c r="B19902" s="2" t="str">
        <f>IFERROR(__xludf.DUMMYFUNCTION("GOOGLETRANSLATE(A19902, ""de"", ""en"")"),"cruiser")</f>
        <v>cruiser</v>
      </c>
    </row>
    <row r="19903">
      <c r="A19903" s="1" t="s">
        <v>19902</v>
      </c>
      <c r="B19903" s="2" t="str">
        <f>IFERROR(__xludf.DUMMYFUNCTION("GOOGLETRANSLATE(A19903, ""de"", ""en"")"),"textbook")</f>
        <v>textbook</v>
      </c>
    </row>
    <row r="19904">
      <c r="A19904" s="1" t="s">
        <v>19903</v>
      </c>
      <c r="B19904" s="2" t="str">
        <f>IFERROR(__xludf.DUMMYFUNCTION("GOOGLETRANSLATE(A19904, ""de"", ""en"")"),"liberated")</f>
        <v>liberated</v>
      </c>
    </row>
    <row r="19905">
      <c r="A19905" s="1" t="s">
        <v>19904</v>
      </c>
      <c r="B19905" s="2" t="str">
        <f>IFERROR(__xludf.DUMMYFUNCTION("GOOGLETRANSLATE(A19905, ""de"", ""en"")"),"tel")</f>
        <v>tel</v>
      </c>
    </row>
    <row r="19906">
      <c r="A19906" s="1" t="s">
        <v>19905</v>
      </c>
      <c r="B19906" s="2" t="str">
        <f>IFERROR(__xludf.DUMMYFUNCTION("GOOGLETRANSLATE(A19906, ""de"", ""en"")"),"wine cellar")</f>
        <v>wine cellar</v>
      </c>
    </row>
    <row r="19907">
      <c r="A19907" s="1" t="s">
        <v>19906</v>
      </c>
      <c r="B19907" s="2" t="str">
        <f>IFERROR(__xludf.DUMMYFUNCTION("GOOGLETRANSLATE(A19907, ""de"", ""en"")"),"traveler")</f>
        <v>traveler</v>
      </c>
    </row>
    <row r="19908">
      <c r="A19908" s="1" t="s">
        <v>19907</v>
      </c>
      <c r="B19908" s="2" t="str">
        <f>IFERROR(__xludf.DUMMYFUNCTION("GOOGLETRANSLATE(A19908, ""de"", ""en"")"),"deceive")</f>
        <v>deceive</v>
      </c>
    </row>
    <row r="19909">
      <c r="A19909" s="1" t="s">
        <v>19908</v>
      </c>
      <c r="B19909" s="2" t="str">
        <f>IFERROR(__xludf.DUMMYFUNCTION("GOOGLETRANSLATE(A19909, ""de"", ""en"")"),"barman")</f>
        <v>barman</v>
      </c>
    </row>
    <row r="19910">
      <c r="A19910" s="1" t="s">
        <v>19909</v>
      </c>
      <c r="B19910" s="2" t="str">
        <f>IFERROR(__xludf.DUMMYFUNCTION("GOOGLETRANSLATE(A19910, ""de"", ""en"")"),"blow job")</f>
        <v>blow job</v>
      </c>
    </row>
    <row r="19911">
      <c r="A19911" s="1" t="s">
        <v>19910</v>
      </c>
      <c r="B19911" s="2" t="str">
        <f>IFERROR(__xludf.DUMMYFUNCTION("GOOGLETRANSLATE(A19911, ""de"", ""en"")"),"wrench")</f>
        <v>wrench</v>
      </c>
    </row>
    <row r="19912">
      <c r="A19912" s="1" t="s">
        <v>19911</v>
      </c>
      <c r="B19912" s="2" t="str">
        <f>IFERROR(__xludf.DUMMYFUNCTION("GOOGLETRANSLATE(A19912, ""de"", ""en"")"),"bridesmaids")</f>
        <v>bridesmaids</v>
      </c>
    </row>
    <row r="19913">
      <c r="A19913" s="1" t="s">
        <v>19912</v>
      </c>
      <c r="B19913" s="2" t="str">
        <f>IFERROR(__xludf.DUMMYFUNCTION("GOOGLETRANSLATE(A19913, ""de"", ""en"")"),"babble")</f>
        <v>babble</v>
      </c>
    </row>
    <row r="19914">
      <c r="A19914" s="1" t="s">
        <v>19913</v>
      </c>
      <c r="B19914" s="2" t="str">
        <f>IFERROR(__xludf.DUMMYFUNCTION("GOOGLETRANSLATE(A19914, ""de"", ""en"")"),"trend")</f>
        <v>trend</v>
      </c>
    </row>
    <row r="19915">
      <c r="A19915" s="1" t="s">
        <v>19914</v>
      </c>
      <c r="B19915" s="2" t="str">
        <f>IFERROR(__xludf.DUMMYFUNCTION("GOOGLETRANSLATE(A19915, ""de"", ""en"")"),"equally")</f>
        <v>equally</v>
      </c>
    </row>
    <row r="19916">
      <c r="A19916" s="1" t="s">
        <v>19915</v>
      </c>
      <c r="B19916" s="2" t="str">
        <f>IFERROR(__xludf.DUMMYFUNCTION("GOOGLETRANSLATE(A19916, ""de"", ""en"")"),"sexual")</f>
        <v>sexual</v>
      </c>
    </row>
    <row r="19917">
      <c r="A19917" s="1" t="s">
        <v>19916</v>
      </c>
      <c r="B19917" s="2" t="str">
        <f>IFERROR(__xludf.DUMMYFUNCTION("GOOGLETRANSLATE(A19917, ""de"", ""en"")"),"taxpayer")</f>
        <v>taxpayer</v>
      </c>
    </row>
    <row r="19918">
      <c r="A19918" s="1" t="s">
        <v>19917</v>
      </c>
      <c r="B19918" s="2" t="str">
        <f>IFERROR(__xludf.DUMMYFUNCTION("GOOGLETRANSLATE(A19918, ""de"", ""en"")"),"tame")</f>
        <v>tame</v>
      </c>
    </row>
    <row r="19919">
      <c r="A19919" s="1" t="s">
        <v>19918</v>
      </c>
      <c r="B19919" s="2" t="str">
        <f>IFERROR(__xludf.DUMMYFUNCTION("GOOGLETRANSLATE(A19919, ""de"", ""en"")"),"essence")</f>
        <v>essence</v>
      </c>
    </row>
    <row r="19920">
      <c r="A19920" s="1" t="s">
        <v>19919</v>
      </c>
      <c r="B19920" s="2" t="str">
        <f>IFERROR(__xludf.DUMMYFUNCTION("GOOGLETRANSLATE(A19920, ""de"", ""en"")"),"powerful")</f>
        <v>powerful</v>
      </c>
    </row>
    <row r="19921">
      <c r="A19921" s="1" t="s">
        <v>19920</v>
      </c>
      <c r="B19921" s="2" t="str">
        <f>IFERROR(__xludf.DUMMYFUNCTION("GOOGLETRANSLATE(A19921, ""de"", ""en"")"),"Muenster")</f>
        <v>Muenster</v>
      </c>
    </row>
    <row r="19922">
      <c r="A19922" s="1" t="s">
        <v>19921</v>
      </c>
      <c r="B19922" s="2" t="str">
        <f>IFERROR(__xludf.DUMMYFUNCTION("GOOGLETRANSLATE(A19922, ""de"", ""en"")"),"agrees")</f>
        <v>agrees</v>
      </c>
    </row>
    <row r="19923">
      <c r="A19923" s="1" t="s">
        <v>19922</v>
      </c>
      <c r="B19923" s="2" t="str">
        <f>IFERROR(__xludf.DUMMYFUNCTION("GOOGLETRANSLATE(A19923, ""de"", ""en"")"),"space station")</f>
        <v>space station</v>
      </c>
    </row>
    <row r="19924">
      <c r="A19924" s="1" t="s">
        <v>19923</v>
      </c>
      <c r="B19924" s="2" t="str">
        <f>IFERROR(__xludf.DUMMYFUNCTION("GOOGLETRANSLATE(A19924, ""de"", ""en"")"),"painful")</f>
        <v>painful</v>
      </c>
    </row>
    <row r="19925">
      <c r="A19925" s="1" t="s">
        <v>19924</v>
      </c>
      <c r="B19925" s="2" t="str">
        <f>IFERROR(__xludf.DUMMYFUNCTION("GOOGLETRANSLATE(A19925, ""de"", ""en"")"),"suitable")</f>
        <v>suitable</v>
      </c>
    </row>
    <row r="19926">
      <c r="A19926" s="1" t="s">
        <v>19925</v>
      </c>
      <c r="B19926" s="2" t="str">
        <f>IFERROR(__xludf.DUMMYFUNCTION("GOOGLETRANSLATE(A19926, ""de"", ""en"")"),"to add")</f>
        <v>to add</v>
      </c>
    </row>
    <row r="19927">
      <c r="A19927" s="1" t="s">
        <v>19926</v>
      </c>
      <c r="B19927" s="2" t="str">
        <f>IFERROR(__xludf.DUMMYFUNCTION("GOOGLETRANSLATE(A19927, ""de"", ""en"")"),"Laurence")</f>
        <v>Laurence</v>
      </c>
    </row>
    <row r="19928">
      <c r="A19928" s="1" t="s">
        <v>19927</v>
      </c>
      <c r="B19928" s="2" t="str">
        <f>IFERROR(__xludf.DUMMYFUNCTION("GOOGLETRANSLATE(A19928, ""de"", ""en"")"),"violent")</f>
        <v>violent</v>
      </c>
    </row>
    <row r="19929">
      <c r="A19929" s="1" t="s">
        <v>19928</v>
      </c>
      <c r="B19929" s="2" t="str">
        <f>IFERROR(__xludf.DUMMYFUNCTION("GOOGLETRANSLATE(A19929, ""de"", ""en"")"),"robertson")</f>
        <v>robertson</v>
      </c>
    </row>
    <row r="19930">
      <c r="A19930" s="1" t="s">
        <v>19929</v>
      </c>
      <c r="B19930" s="2" t="str">
        <f>IFERROR(__xludf.DUMMYFUNCTION("GOOGLETRANSLATE(A19930, ""de"", ""en"")"),"interior minister")</f>
        <v>interior minister</v>
      </c>
    </row>
    <row r="19931">
      <c r="A19931" s="1" t="s">
        <v>19930</v>
      </c>
      <c r="B19931" s="2" t="str">
        <f>IFERROR(__xludf.DUMMYFUNCTION("GOOGLETRANSLATE(A19931, ""de"", ""en"")"),"to enforce")</f>
        <v>to enforce</v>
      </c>
    </row>
    <row r="19932">
      <c r="A19932" s="1" t="s">
        <v>19931</v>
      </c>
      <c r="B19932" s="2" t="str">
        <f>IFERROR(__xludf.DUMMYFUNCTION("GOOGLETRANSLATE(A19932, ""de"", ""en"")"),"taj")</f>
        <v>taj</v>
      </c>
    </row>
    <row r="19933">
      <c r="A19933" s="1" t="s">
        <v>19932</v>
      </c>
      <c r="B19933" s="2" t="str">
        <f>IFERROR(__xludf.DUMMYFUNCTION("GOOGLETRANSLATE(A19933, ""de"", ""en"")"),"whine")</f>
        <v>whine</v>
      </c>
    </row>
    <row r="19934">
      <c r="A19934" s="1" t="s">
        <v>19933</v>
      </c>
      <c r="B19934" s="2" t="str">
        <f>IFERROR(__xludf.DUMMYFUNCTION("GOOGLETRANSLATE(A19934, ""de"", ""en"")"),"foster parents")</f>
        <v>foster parents</v>
      </c>
    </row>
    <row r="19935">
      <c r="A19935" s="1" t="s">
        <v>19934</v>
      </c>
      <c r="B19935" s="2" t="str">
        <f>IFERROR(__xludf.DUMMYFUNCTION("GOOGLETRANSLATE(A19935, ""de"", ""en"")"),"bulletproof")</f>
        <v>bulletproof</v>
      </c>
    </row>
    <row r="19936">
      <c r="A19936" s="1" t="s">
        <v>19935</v>
      </c>
      <c r="B19936" s="2" t="str">
        <f>IFERROR(__xludf.DUMMYFUNCTION("GOOGLETRANSLATE(A19936, ""de"", ""en"")"),"lackeys")</f>
        <v>lackeys</v>
      </c>
    </row>
    <row r="19937">
      <c r="A19937" s="1" t="s">
        <v>19936</v>
      </c>
      <c r="B19937" s="2" t="str">
        <f>IFERROR(__xludf.DUMMYFUNCTION("GOOGLETRANSLATE(A19937, ""de"", ""en"")"),"legal")</f>
        <v>legal</v>
      </c>
    </row>
    <row r="19938">
      <c r="A19938" s="1" t="s">
        <v>19937</v>
      </c>
      <c r="B19938" s="2" t="str">
        <f>IFERROR(__xludf.DUMMYFUNCTION("GOOGLETRANSLATE(A19938, ""de"", ""en"")"),"suburb")</f>
        <v>suburb</v>
      </c>
    </row>
    <row r="19939">
      <c r="A19939" s="1" t="s">
        <v>19938</v>
      </c>
      <c r="B19939" s="2" t="str">
        <f>IFERROR(__xludf.DUMMYFUNCTION("GOOGLETRANSLATE(A19939, ""de"", ""en"")"),"eddies")</f>
        <v>eddies</v>
      </c>
    </row>
    <row r="19940">
      <c r="A19940" s="1" t="s">
        <v>19939</v>
      </c>
      <c r="B19940" s="2" t="str">
        <f>IFERROR(__xludf.DUMMYFUNCTION("GOOGLETRANSLATE(A19940, ""de"", ""en"")"),"collapse")</f>
        <v>collapse</v>
      </c>
    </row>
    <row r="19941">
      <c r="A19941" s="1" t="s">
        <v>19940</v>
      </c>
      <c r="B19941" s="2" t="str">
        <f>IFERROR(__xludf.DUMMYFUNCTION("GOOGLETRANSLATE(A19941, ""de"", ""en"")"),"to get through")</f>
        <v>to get through</v>
      </c>
    </row>
    <row r="19942">
      <c r="A19942" s="1" t="s">
        <v>19941</v>
      </c>
      <c r="B19942" s="2" t="str">
        <f>IFERROR(__xludf.DUMMYFUNCTION("GOOGLETRANSLATE(A19942, ""de"", ""en"")"),"xiang")</f>
        <v>xiang</v>
      </c>
    </row>
    <row r="19943">
      <c r="A19943" s="1" t="s">
        <v>19942</v>
      </c>
      <c r="B19943" s="2" t="str">
        <f>IFERROR(__xludf.DUMMYFUNCTION("GOOGLETRANSLATE(A19943, ""de"", ""en"")"),"tense")</f>
        <v>tense</v>
      </c>
    </row>
    <row r="19944">
      <c r="A19944" s="1" t="s">
        <v>19943</v>
      </c>
      <c r="B19944" s="2" t="str">
        <f>IFERROR(__xludf.DUMMYFUNCTION("GOOGLETRANSLATE(A19944, ""de"", ""en"")"),"Asian")</f>
        <v>Asian</v>
      </c>
    </row>
    <row r="19945">
      <c r="A19945" s="1" t="s">
        <v>19944</v>
      </c>
      <c r="B19945" s="2" t="str">
        <f>IFERROR(__xludf.DUMMYFUNCTION("GOOGLETRANSLATE(A19945, ""de"", ""en"")"),"diplomat")</f>
        <v>diplomat</v>
      </c>
    </row>
    <row r="19946">
      <c r="A19946" s="1" t="s">
        <v>19945</v>
      </c>
      <c r="B19946" s="2" t="str">
        <f>IFERROR(__xludf.DUMMYFUNCTION("GOOGLETRANSLATE(A19946, ""de"", ""en"")"),"kosher")</f>
        <v>kosher</v>
      </c>
    </row>
    <row r="19947">
      <c r="A19947" s="1" t="s">
        <v>19946</v>
      </c>
      <c r="B19947" s="2" t="str">
        <f>IFERROR(__xludf.DUMMYFUNCTION("GOOGLETRANSLATE(A19947, ""de"", ""en"")"),"cristal")</f>
        <v>cristal</v>
      </c>
    </row>
    <row r="19948">
      <c r="A19948" s="1" t="s">
        <v>19947</v>
      </c>
      <c r="B19948" s="2" t="str">
        <f>IFERROR(__xludf.DUMMYFUNCTION("GOOGLETRANSLATE(A19948, ""de"", ""en"")"),"day of death")</f>
        <v>day of death</v>
      </c>
    </row>
    <row r="19949">
      <c r="A19949" s="1" t="s">
        <v>19948</v>
      </c>
      <c r="B19949" s="2" t="str">
        <f>IFERROR(__xludf.DUMMYFUNCTION("GOOGLETRANSLATE(A19949, ""de"", ""en"")"),"gag")</f>
        <v>gag</v>
      </c>
    </row>
    <row r="19950">
      <c r="A19950" s="1" t="s">
        <v>19949</v>
      </c>
      <c r="B19950" s="2" t="str">
        <f>IFERROR(__xludf.DUMMYFUNCTION("GOOGLETRANSLATE(A19950, ""de"", ""en"")"),"form")</f>
        <v>form</v>
      </c>
    </row>
    <row r="19951">
      <c r="A19951" s="1" t="s">
        <v>19950</v>
      </c>
      <c r="B19951" s="2" t="str">
        <f>IFERROR(__xludf.DUMMYFUNCTION("GOOGLETRANSLATE(A19951, ""de"", ""en"")"),"shepherd")</f>
        <v>shepherd</v>
      </c>
    </row>
    <row r="19952">
      <c r="A19952" s="1" t="s">
        <v>19951</v>
      </c>
      <c r="B19952" s="2" t="str">
        <f>IFERROR(__xludf.DUMMYFUNCTION("GOOGLETRANSLATE(A19952, ""de"", ""en"")"),"Brighton")</f>
        <v>Brighton</v>
      </c>
    </row>
    <row r="19953">
      <c r="A19953" s="1" t="s">
        <v>19952</v>
      </c>
      <c r="B19953" s="2" t="str">
        <f>IFERROR(__xludf.DUMMYFUNCTION("GOOGLETRANSLATE(A19953, ""de"", ""en"")"),"appear")</f>
        <v>appear</v>
      </c>
    </row>
    <row r="19954">
      <c r="A19954" s="1" t="s">
        <v>19953</v>
      </c>
      <c r="B19954" s="2" t="str">
        <f>IFERROR(__xludf.DUMMYFUNCTION("GOOGLETRANSLATE(A19954, ""de"", ""en"")"),"burn out")</f>
        <v>burn out</v>
      </c>
    </row>
    <row r="19955">
      <c r="A19955" s="1" t="s">
        <v>19954</v>
      </c>
      <c r="B19955" s="2" t="str">
        <f>IFERROR(__xludf.DUMMYFUNCTION("GOOGLETRANSLATE(A19955, ""de"", ""en"")"),"move in")</f>
        <v>move in</v>
      </c>
    </row>
    <row r="19956">
      <c r="A19956" s="1" t="s">
        <v>19955</v>
      </c>
      <c r="B19956" s="2" t="str">
        <f>IFERROR(__xludf.DUMMYFUNCTION("GOOGLETRANSLATE(A19956, ""de"", ""en"")"),"fraudster")</f>
        <v>fraudster</v>
      </c>
    </row>
    <row r="19957">
      <c r="A19957" s="1" t="s">
        <v>19956</v>
      </c>
      <c r="B19957" s="2" t="str">
        <f>IFERROR(__xludf.DUMMYFUNCTION("GOOGLETRANSLATE(A19957, ""de"", ""en"")"),"more voluntary")</f>
        <v>more voluntary</v>
      </c>
    </row>
    <row r="19958">
      <c r="A19958" s="1" t="s">
        <v>19957</v>
      </c>
      <c r="B19958" s="2" t="str">
        <f>IFERROR(__xludf.DUMMYFUNCTION("GOOGLETRANSLATE(A19958, ""de"", ""en"")"),"solid")</f>
        <v>solid</v>
      </c>
    </row>
    <row r="19959">
      <c r="A19959" s="1" t="s">
        <v>19958</v>
      </c>
      <c r="B19959" s="2" t="str">
        <f>IFERROR(__xludf.DUMMYFUNCTION("GOOGLETRANSLATE(A19959, ""de"", ""en"")"),"watch")</f>
        <v>watch</v>
      </c>
    </row>
    <row r="19960">
      <c r="A19960" s="1" t="s">
        <v>19959</v>
      </c>
      <c r="B19960" s="2" t="str">
        <f>IFERROR(__xludf.DUMMYFUNCTION("GOOGLETRANSLATE(A19960, ""de"", ""en"")"),"to ski")</f>
        <v>to ski</v>
      </c>
    </row>
    <row r="19961">
      <c r="A19961" s="1" t="s">
        <v>19960</v>
      </c>
      <c r="B19961" s="2" t="str">
        <f>IFERROR(__xludf.DUMMYFUNCTION("GOOGLETRANSLATE(A19961, ""de"", ""en"")"),"Hampshire")</f>
        <v>Hampshire</v>
      </c>
    </row>
    <row r="19962">
      <c r="A19962" s="1" t="s">
        <v>19961</v>
      </c>
      <c r="B19962" s="2" t="str">
        <f>IFERROR(__xludf.DUMMYFUNCTION("GOOGLETRANSLATE(A19962, ""de"", ""en"")"),"competence")</f>
        <v>competence</v>
      </c>
    </row>
    <row r="19963">
      <c r="A19963" s="1" t="s">
        <v>19962</v>
      </c>
      <c r="B19963" s="2" t="str">
        <f>IFERROR(__xludf.DUMMYFUNCTION("GOOGLETRANSLATE(A19963, ""de"", ""en"")"),"falls apart")</f>
        <v>falls apart</v>
      </c>
    </row>
    <row r="19964">
      <c r="A19964" s="1" t="s">
        <v>19963</v>
      </c>
      <c r="B19964" s="2" t="str">
        <f>IFERROR(__xludf.DUMMYFUNCTION("GOOGLETRANSLATE(A19964, ""de"", ""en"")"),"help")</f>
        <v>help</v>
      </c>
    </row>
    <row r="19965">
      <c r="A19965" s="1" t="s">
        <v>19964</v>
      </c>
      <c r="B19965" s="2" t="str">
        <f>IFERROR(__xludf.DUMMYFUNCTION("GOOGLETRANSLATE(A19965, ""de"", ""en"")"),"ordered")</f>
        <v>ordered</v>
      </c>
    </row>
    <row r="19966">
      <c r="A19966" s="1" t="s">
        <v>19965</v>
      </c>
      <c r="B19966" s="2" t="str">
        <f>IFERROR(__xludf.DUMMYFUNCTION("GOOGLETRANSLATE(A19966, ""de"", ""en"")"),"idiotic")</f>
        <v>idiotic</v>
      </c>
    </row>
    <row r="19967">
      <c r="A19967" s="1" t="s">
        <v>19966</v>
      </c>
      <c r="B19967" s="2" t="str">
        <f>IFERROR(__xludf.DUMMYFUNCTION("GOOGLETRANSLATE(A19967, ""de"", ""en"")"),"shopping")</f>
        <v>shopping</v>
      </c>
    </row>
    <row r="19968">
      <c r="A19968" s="1" t="s">
        <v>19967</v>
      </c>
      <c r="B19968" s="2" t="str">
        <f>IFERROR(__xludf.DUMMYFUNCTION("GOOGLETRANSLATE(A19968, ""de"", ""en"")"),"prototypes")</f>
        <v>prototypes</v>
      </c>
    </row>
    <row r="19969">
      <c r="A19969" s="1" t="s">
        <v>19968</v>
      </c>
      <c r="B19969" s="2" t="str">
        <f>IFERROR(__xludf.DUMMYFUNCTION("GOOGLETRANSLATE(A19969, ""de"", ""en"")"),"Catholic")</f>
        <v>Catholic</v>
      </c>
    </row>
    <row r="19970">
      <c r="A19970" s="1" t="s">
        <v>19969</v>
      </c>
      <c r="B19970" s="2" t="str">
        <f>IFERROR(__xludf.DUMMYFUNCTION("GOOGLETRANSLATE(A19970, ""de"", ""en"")"),"gentlemen")</f>
        <v>gentlemen</v>
      </c>
    </row>
    <row r="19971">
      <c r="A19971" s="1" t="s">
        <v>19970</v>
      </c>
      <c r="B19971" s="2" t="str">
        <f>IFERROR(__xludf.DUMMYFUNCTION("GOOGLETRANSLATE(A19971, ""de"", ""en"")"),"door")</f>
        <v>door</v>
      </c>
    </row>
    <row r="19972">
      <c r="A19972" s="1" t="s">
        <v>19971</v>
      </c>
      <c r="B19972" s="2" t="str">
        <f>IFERROR(__xludf.DUMMYFUNCTION("GOOGLETRANSLATE(A19972, ""de"", ""en"")"),"props")</f>
        <v>props</v>
      </c>
    </row>
    <row r="19973">
      <c r="A19973" s="1" t="s">
        <v>19972</v>
      </c>
      <c r="B19973" s="2" t="str">
        <f>IFERROR(__xludf.DUMMYFUNCTION("GOOGLETRANSLATE(A19973, ""de"", ""en"")"),"conner")</f>
        <v>conner</v>
      </c>
    </row>
    <row r="19974">
      <c r="A19974" s="1" t="s">
        <v>19973</v>
      </c>
      <c r="B19974" s="2" t="str">
        <f>IFERROR(__xludf.DUMMYFUNCTION("GOOGLETRANSLATE(A19974, ""de"", ""en"")"),"sink")</f>
        <v>sink</v>
      </c>
    </row>
    <row r="19975">
      <c r="A19975" s="1" t="s">
        <v>19974</v>
      </c>
      <c r="B19975" s="2" t="str">
        <f>IFERROR(__xludf.DUMMYFUNCTION("GOOGLETRANSLATE(A19975, ""de"", ""en"")"),"more arrogant")</f>
        <v>more arrogant</v>
      </c>
    </row>
    <row r="19976">
      <c r="A19976" s="1" t="s">
        <v>19975</v>
      </c>
      <c r="B19976" s="2" t="str">
        <f>IFERROR(__xludf.DUMMYFUNCTION("GOOGLETRANSLATE(A19976, ""de"", ""en"")"),"kerry")</f>
        <v>kerry</v>
      </c>
    </row>
    <row r="19977">
      <c r="A19977" s="1" t="s">
        <v>19976</v>
      </c>
      <c r="B19977" s="2" t="str">
        <f>IFERROR(__xludf.DUMMYFUNCTION("GOOGLETRANSLATE(A19977, ""de"", ""en"")"),"coffins")</f>
        <v>coffins</v>
      </c>
    </row>
    <row r="19978">
      <c r="A19978" s="1" t="s">
        <v>19977</v>
      </c>
      <c r="B19978" s="2" t="str">
        <f>IFERROR(__xludf.DUMMYFUNCTION("GOOGLETRANSLATE(A19978, ""de"", ""en"")"),"clouseau")</f>
        <v>clouseau</v>
      </c>
    </row>
    <row r="19979">
      <c r="A19979" s="1" t="s">
        <v>19978</v>
      </c>
      <c r="B19979" s="2" t="str">
        <f>IFERROR(__xludf.DUMMYFUNCTION("GOOGLETRANSLATE(A19979, ""de"", ""en"")"),"grows up")</f>
        <v>grows up</v>
      </c>
    </row>
    <row r="19980">
      <c r="A19980" s="1" t="s">
        <v>19979</v>
      </c>
      <c r="B19980" s="2" t="str">
        <f>IFERROR(__xludf.DUMMYFUNCTION("GOOGLETRANSLATE(A19980, ""de"", ""en"")"),"mix")</f>
        <v>mix</v>
      </c>
    </row>
    <row r="19981">
      <c r="A19981" s="1" t="s">
        <v>19980</v>
      </c>
      <c r="B19981" s="2" t="str">
        <f>IFERROR(__xludf.DUMMYFUNCTION("GOOGLETRANSLATE(A19981, ""de"", ""en"")"),"undead")</f>
        <v>undead</v>
      </c>
    </row>
    <row r="19982">
      <c r="A19982" s="1" t="s">
        <v>19981</v>
      </c>
      <c r="B19982" s="2" t="str">
        <f>IFERROR(__xludf.DUMMYFUNCTION("GOOGLETRANSLATE(A19982, ""de"", ""en"")"),"fong")</f>
        <v>fong</v>
      </c>
    </row>
    <row r="19983">
      <c r="A19983" s="1" t="s">
        <v>19982</v>
      </c>
      <c r="B19983" s="2" t="str">
        <f>IFERROR(__xludf.DUMMYFUNCTION("GOOGLETRANSLATE(A19983, ""de"", ""en"")"),"gigantic")</f>
        <v>gigantic</v>
      </c>
    </row>
    <row r="19984">
      <c r="A19984" s="1" t="s">
        <v>19983</v>
      </c>
      <c r="B19984" s="2" t="str">
        <f>IFERROR(__xludf.DUMMYFUNCTION("GOOGLETRANSLATE(A19984, ""de"", ""en"")"),"strangely")</f>
        <v>strangely</v>
      </c>
    </row>
    <row r="19985">
      <c r="A19985" s="1" t="s">
        <v>19984</v>
      </c>
      <c r="B19985" s="2" t="str">
        <f>IFERROR(__xludf.DUMMYFUNCTION("GOOGLETRANSLATE(A19985, ""de"", ""en"")"),"snap")</f>
        <v>snap</v>
      </c>
    </row>
    <row r="19986">
      <c r="A19986" s="1" t="s">
        <v>19985</v>
      </c>
      <c r="B19986" s="2" t="str">
        <f>IFERROR(__xludf.DUMMYFUNCTION("GOOGLETRANSLATE(A19986, ""de"", ""en"")"),"gentle")</f>
        <v>gentle</v>
      </c>
    </row>
    <row r="19987">
      <c r="A19987" s="1" t="s">
        <v>19986</v>
      </c>
      <c r="B19987" s="2" t="str">
        <f>IFERROR(__xludf.DUMMYFUNCTION("GOOGLETRANSLATE(A19987, ""de"", ""en"")"),"fend off")</f>
        <v>fend off</v>
      </c>
    </row>
    <row r="19988">
      <c r="A19988" s="1" t="s">
        <v>19987</v>
      </c>
      <c r="B19988" s="2" t="str">
        <f>IFERROR(__xludf.DUMMYFUNCTION("GOOGLETRANSLATE(A19988, ""de"", ""en"")"),"man")</f>
        <v>man</v>
      </c>
    </row>
    <row r="19989">
      <c r="A19989" s="1" t="s">
        <v>19988</v>
      </c>
      <c r="B19989" s="2" t="str">
        <f>IFERROR(__xludf.DUMMYFUNCTION("GOOGLETRANSLATE(A19989, ""de"", ""en"")"),"Galen")</f>
        <v>Galen</v>
      </c>
    </row>
    <row r="19990">
      <c r="A19990" s="1" t="s">
        <v>19989</v>
      </c>
      <c r="B19990" s="2" t="str">
        <f>IFERROR(__xludf.DUMMYFUNCTION("GOOGLETRANSLATE(A19990, ""de"", ""en"")"),"ts")</f>
        <v>ts</v>
      </c>
    </row>
    <row r="19991">
      <c r="A19991" s="1" t="s">
        <v>19990</v>
      </c>
      <c r="B19991" s="2" t="str">
        <f>IFERROR(__xludf.DUMMYFUNCTION("GOOGLETRANSLATE(A19991, ""de"", ""en"")"),"tone of voice")</f>
        <v>tone of voice</v>
      </c>
    </row>
    <row r="19992">
      <c r="A19992" s="1" t="s">
        <v>19991</v>
      </c>
      <c r="B19992" s="2" t="str">
        <f>IFERROR(__xludf.DUMMYFUNCTION("GOOGLETRANSLATE(A19992, ""de"", ""en"")"),"supreme")</f>
        <v>supreme</v>
      </c>
    </row>
    <row r="19993">
      <c r="A19993" s="1" t="s">
        <v>19992</v>
      </c>
      <c r="B19993" s="2" t="str">
        <f>IFERROR(__xludf.DUMMYFUNCTION("GOOGLETRANSLATE(A19993, ""de"", ""en"")"),"scroll")</f>
        <v>scroll</v>
      </c>
    </row>
    <row r="19994">
      <c r="A19994" s="1" t="s">
        <v>19993</v>
      </c>
      <c r="B19994" s="2" t="str">
        <f>IFERROR(__xludf.DUMMYFUNCTION("GOOGLETRANSLATE(A19994, ""de"", ""en"")"),"disabled")</f>
        <v>disabled</v>
      </c>
    </row>
    <row r="19995">
      <c r="A19995" s="1" t="s">
        <v>19994</v>
      </c>
      <c r="B19995" s="2" t="str">
        <f>IFERROR(__xludf.DUMMYFUNCTION("GOOGLETRANSLATE(A19995, ""de"", ""en"")"),"cream")</f>
        <v>cream</v>
      </c>
    </row>
    <row r="19996">
      <c r="A19996" s="1" t="s">
        <v>19995</v>
      </c>
      <c r="B19996" s="2" t="str">
        <f>IFERROR(__xludf.DUMMYFUNCTION("GOOGLETRANSLATE(A19996, ""de"", ""en"")"),"aggravated")</f>
        <v>aggravated</v>
      </c>
    </row>
    <row r="19997">
      <c r="A19997" s="1" t="s">
        <v>19996</v>
      </c>
      <c r="B19997" s="2" t="str">
        <f>IFERROR(__xludf.DUMMYFUNCTION("GOOGLETRANSLATE(A19997, ""de"", ""en"")"),"talented")</f>
        <v>talented</v>
      </c>
    </row>
    <row r="19998">
      <c r="A19998" s="1" t="s">
        <v>19997</v>
      </c>
      <c r="B19998" s="2" t="str">
        <f>IFERROR(__xludf.DUMMYFUNCTION("GOOGLETRANSLATE(A19998, ""de"", ""en"")"),"prison")</f>
        <v>prison</v>
      </c>
    </row>
    <row r="19999">
      <c r="A19999" s="1" t="s">
        <v>19998</v>
      </c>
      <c r="B19999" s="2" t="str">
        <f>IFERROR(__xludf.DUMMYFUNCTION("GOOGLETRANSLATE(A19999, ""de"", ""en"")"),"mess")</f>
        <v>mess</v>
      </c>
    </row>
    <row r="20000">
      <c r="A20000" s="1" t="s">
        <v>19999</v>
      </c>
      <c r="B20000" s="2" t="str">
        <f>IFERROR(__xludf.DUMMYFUNCTION("GOOGLETRANSLATE(A20000, ""de"", ""en"")"),"exists")</f>
        <v>exists</v>
      </c>
    </row>
    <row r="20001">
      <c r="A20001" s="1" t="s">
        <v>20000</v>
      </c>
      <c r="B20001" s="2" t="str">
        <f>IFERROR(__xludf.DUMMYFUNCTION("GOOGLETRANSLATE(A20001, ""de"", ""en"")"),"kera")</f>
        <v>kera</v>
      </c>
    </row>
    <row r="20002">
      <c r="A20002" s="1" t="s">
        <v>20001</v>
      </c>
      <c r="B20002" s="2" t="str">
        <f>IFERROR(__xludf.DUMMYFUNCTION("GOOGLETRANSLATE(A20002, ""de"", ""en"")"),"taggart")</f>
        <v>taggart</v>
      </c>
    </row>
    <row r="20003">
      <c r="A20003" s="1" t="s">
        <v>20002</v>
      </c>
      <c r="B20003" s="2" t="str">
        <f>IFERROR(__xludf.DUMMYFUNCTION("GOOGLETRANSLATE(A20003, ""de"", ""en"")"),"bequeathed")</f>
        <v>bequeathed</v>
      </c>
    </row>
    <row r="20004">
      <c r="A20004" s="1" t="s">
        <v>20003</v>
      </c>
      <c r="B20004" s="2" t="str">
        <f>IFERROR(__xludf.DUMMYFUNCTION("GOOGLETRANSLATE(A20004, ""de"", ""en"")"),"take time off")</f>
        <v>take time off</v>
      </c>
    </row>
    <row r="20005">
      <c r="A20005" s="1" t="s">
        <v>20004</v>
      </c>
      <c r="B20005" s="2" t="str">
        <f>IFERROR(__xludf.DUMMYFUNCTION("GOOGLETRANSLATE(A20005, ""de"", ""en"")"),"translator")</f>
        <v>translator</v>
      </c>
    </row>
    <row r="20006">
      <c r="A20006" s="1" t="s">
        <v>20005</v>
      </c>
      <c r="B20006" s="2" t="str">
        <f>IFERROR(__xludf.DUMMYFUNCTION("GOOGLETRANSLATE(A20006, ""de"", ""en"")"),"more pitiful")</f>
        <v>more pitiful</v>
      </c>
    </row>
    <row r="20007">
      <c r="A20007" s="1" t="s">
        <v>20006</v>
      </c>
      <c r="B20007" s="2" t="str">
        <f>IFERROR(__xludf.DUMMYFUNCTION("GOOGLETRANSLATE(A20007, ""de"", ""en"")"),"Natasha")</f>
        <v>Natasha</v>
      </c>
    </row>
    <row r="20008">
      <c r="A20008" s="1" t="s">
        <v>20007</v>
      </c>
      <c r="B20008" s="2" t="str">
        <f>IFERROR(__xludf.DUMMYFUNCTION("GOOGLETRANSLATE(A20008, ""de"", ""en"")"),"honorable")</f>
        <v>honorable</v>
      </c>
    </row>
    <row r="20009">
      <c r="A20009" s="1" t="s">
        <v>20008</v>
      </c>
      <c r="B20009" s="2" t="str">
        <f>IFERROR(__xludf.DUMMYFUNCTION("GOOGLETRANSLATE(A20009, ""de"", ""en"")"),"argh")</f>
        <v>argh</v>
      </c>
    </row>
    <row r="20010">
      <c r="A20010" s="1" t="s">
        <v>20009</v>
      </c>
      <c r="B20010" s="2" t="str">
        <f>IFERROR(__xludf.DUMMYFUNCTION("GOOGLETRANSLATE(A20010, ""de"", ""en"")"),"jock")</f>
        <v>jock</v>
      </c>
    </row>
    <row r="20011">
      <c r="A20011" s="1" t="s">
        <v>20010</v>
      </c>
      <c r="B20011" s="2" t="str">
        <f>IFERROR(__xludf.DUMMYFUNCTION("GOOGLETRANSLATE(A20011, ""de"", ""en"")"),"Paul")</f>
        <v>Paul</v>
      </c>
    </row>
    <row r="20012">
      <c r="A20012" s="1" t="s">
        <v>20011</v>
      </c>
      <c r="B20012" s="2" t="str">
        <f>IFERROR(__xludf.DUMMYFUNCTION("GOOGLETRANSLATE(A20012, ""de"", ""en"")"),"very best")</f>
        <v>very best</v>
      </c>
    </row>
    <row r="20013">
      <c r="A20013" s="1" t="s">
        <v>20012</v>
      </c>
      <c r="B20013" s="2" t="str">
        <f>IFERROR(__xludf.DUMMYFUNCTION("GOOGLETRANSLATE(A20013, ""de"", ""en"")"),"at will")</f>
        <v>at will</v>
      </c>
    </row>
    <row r="20014">
      <c r="A20014" s="1" t="s">
        <v>20013</v>
      </c>
      <c r="B20014" s="2" t="str">
        <f>IFERROR(__xludf.DUMMYFUNCTION("GOOGLETRANSLATE(A20014, ""de"", ""en"")"),"descend")</f>
        <v>descend</v>
      </c>
    </row>
    <row r="20015">
      <c r="A20015" s="1" t="s">
        <v>20014</v>
      </c>
      <c r="B20015" s="2" t="str">
        <f>IFERROR(__xludf.DUMMYFUNCTION("GOOGLETRANSLATE(A20015, ""de"", ""en"")"),"avoided")</f>
        <v>avoided</v>
      </c>
    </row>
    <row r="20016">
      <c r="A20016" s="1" t="s">
        <v>20015</v>
      </c>
      <c r="B20016" s="2" t="str">
        <f>IFERROR(__xludf.DUMMYFUNCTION("GOOGLETRANSLATE(A20016, ""de"", ""en"")"),"jfk")</f>
        <v>jfk</v>
      </c>
    </row>
    <row r="20017">
      <c r="A20017" s="1" t="s">
        <v>20016</v>
      </c>
      <c r="B20017" s="2" t="str">
        <f>IFERROR(__xludf.DUMMYFUNCTION("GOOGLETRANSLATE(A20017, ""de"", ""en"")"),"streets")</f>
        <v>streets</v>
      </c>
    </row>
    <row r="20018">
      <c r="A20018" s="1" t="s">
        <v>20017</v>
      </c>
      <c r="B20018" s="2" t="str">
        <f>IFERROR(__xludf.DUMMYFUNCTION("GOOGLETRANSLATE(A20018, ""de"", ""en"")"),"flight")</f>
        <v>flight</v>
      </c>
    </row>
    <row r="20019">
      <c r="A20019" s="1" t="s">
        <v>20018</v>
      </c>
      <c r="B20019" s="2" t="str">
        <f>IFERROR(__xludf.DUMMYFUNCTION("GOOGLETRANSLATE(A20019, ""de"", ""en"")"),"remove")</f>
        <v>remove</v>
      </c>
    </row>
    <row r="20020">
      <c r="A20020" s="1" t="s">
        <v>20019</v>
      </c>
      <c r="B20020" s="2" t="str">
        <f>IFERROR(__xludf.DUMMYFUNCTION("GOOGLETRANSLATE(A20020, ""de"", ""en"")"),"airports")</f>
        <v>airports</v>
      </c>
    </row>
    <row r="20021">
      <c r="A20021" s="1" t="s">
        <v>20020</v>
      </c>
      <c r="B20021" s="2" t="str">
        <f>IFERROR(__xludf.DUMMYFUNCTION("GOOGLETRANSLATE(A20021, ""de"", ""en"")"),"decay")</f>
        <v>decay</v>
      </c>
    </row>
    <row r="20022">
      <c r="A20022" s="1" t="s">
        <v>20021</v>
      </c>
      <c r="B20022" s="2" t="str">
        <f>IFERROR(__xludf.DUMMYFUNCTION("GOOGLETRANSLATE(A20022, ""de"", ""en"")"),"aramis")</f>
        <v>aramis</v>
      </c>
    </row>
    <row r="20023">
      <c r="A20023" s="1" t="s">
        <v>20022</v>
      </c>
      <c r="B20023" s="2" t="str">
        <f>IFERROR(__xludf.DUMMYFUNCTION("GOOGLETRANSLATE(A20023, ""de"", ""en"")"),"humiliation")</f>
        <v>humiliation</v>
      </c>
    </row>
    <row r="20024">
      <c r="A20024" s="1" t="s">
        <v>20023</v>
      </c>
      <c r="B20024" s="2" t="str">
        <f>IFERROR(__xludf.DUMMYFUNCTION("GOOGLETRANSLATE(A20024, ""de"", ""en"")"),"improvised")</f>
        <v>improvised</v>
      </c>
    </row>
    <row r="20025">
      <c r="A20025" s="1" t="s">
        <v>20024</v>
      </c>
      <c r="B20025" s="2" t="str">
        <f>IFERROR(__xludf.DUMMYFUNCTION("GOOGLETRANSLATE(A20025, ""de"", ""en"")"),"man of honor")</f>
        <v>man of honor</v>
      </c>
    </row>
    <row r="20026">
      <c r="A20026" s="1" t="s">
        <v>20025</v>
      </c>
      <c r="B20026" s="2" t="str">
        <f>IFERROR(__xludf.DUMMYFUNCTION("GOOGLETRANSLATE(A20026, ""de"", ""en"")"),"pat")</f>
        <v>pat</v>
      </c>
    </row>
    <row r="20027">
      <c r="A20027" s="1" t="s">
        <v>20026</v>
      </c>
      <c r="B20027" s="2" t="str">
        <f>IFERROR(__xludf.DUMMYFUNCTION("GOOGLETRANSLATE(A20027, ""de"", ""en"")"),"duran")</f>
        <v>duran</v>
      </c>
    </row>
    <row r="20028">
      <c r="A20028" s="1" t="s">
        <v>20027</v>
      </c>
      <c r="B20028" s="2" t="str">
        <f>IFERROR(__xludf.DUMMYFUNCTION("GOOGLETRANSLATE(A20028, ""de"", ""en"")"),"boom")</f>
        <v>boom</v>
      </c>
    </row>
    <row r="20029">
      <c r="A20029" s="1" t="s">
        <v>20028</v>
      </c>
      <c r="B20029" s="2" t="str">
        <f>IFERROR(__xludf.DUMMYFUNCTION("GOOGLETRANSLATE(A20029, ""de"", ""en"")"),"commander in chief")</f>
        <v>commander in chief</v>
      </c>
    </row>
    <row r="20030">
      <c r="A20030" s="1" t="s">
        <v>20029</v>
      </c>
      <c r="B20030" s="2" t="str">
        <f>IFERROR(__xludf.DUMMYFUNCTION("GOOGLETRANSLATE(A20030, ""de"", ""en"")"),"cry")</f>
        <v>cry</v>
      </c>
    </row>
    <row r="20031">
      <c r="A20031" s="1" t="s">
        <v>20030</v>
      </c>
      <c r="B20031" s="2" t="str">
        <f>IFERROR(__xludf.DUMMYFUNCTION("GOOGLETRANSLATE(A20031, ""de"", ""en"")"),"got to know")</f>
        <v>got to know</v>
      </c>
    </row>
    <row r="20032">
      <c r="A20032" s="1" t="s">
        <v>20031</v>
      </c>
      <c r="B20032" s="2" t="str">
        <f>IFERROR(__xludf.DUMMYFUNCTION("GOOGLETRANSLATE(A20032, ""de"", ""en"")"),"cherry")</f>
        <v>cherry</v>
      </c>
    </row>
    <row r="20033">
      <c r="A20033" s="1" t="s">
        <v>20032</v>
      </c>
      <c r="B20033" s="2" t="str">
        <f>IFERROR(__xludf.DUMMYFUNCTION("GOOGLETRANSLATE(A20033, ""de"", ""en"")"),"ninth")</f>
        <v>ninth</v>
      </c>
    </row>
    <row r="20034">
      <c r="A20034" s="1" t="s">
        <v>20033</v>
      </c>
      <c r="B20034" s="2" t="str">
        <f>IFERROR(__xludf.DUMMYFUNCTION("GOOGLETRANSLATE(A20034, ""de"", ""en"")"),"wild boar")</f>
        <v>wild boar</v>
      </c>
    </row>
    <row r="20035">
      <c r="A20035" s="1" t="s">
        <v>20034</v>
      </c>
      <c r="B20035" s="2" t="str">
        <f>IFERROR(__xludf.DUMMYFUNCTION("GOOGLETRANSLATE(A20035, ""de"", ""en"")"),"wagon")</f>
        <v>wagon</v>
      </c>
    </row>
    <row r="20036">
      <c r="A20036" s="1" t="s">
        <v>20035</v>
      </c>
      <c r="B20036" s="2" t="str">
        <f>IFERROR(__xludf.DUMMYFUNCTION("GOOGLETRANSLATE(A20036, ""de"", ""en"")"),"presumptuous")</f>
        <v>presumptuous</v>
      </c>
    </row>
    <row r="20037">
      <c r="A20037" s="1" t="s">
        <v>20036</v>
      </c>
      <c r="B20037" s="2" t="str">
        <f>IFERROR(__xludf.DUMMYFUNCTION("GOOGLETRANSLATE(A20037, ""de"", ""en"")"),"card")</f>
        <v>card</v>
      </c>
    </row>
    <row r="20038">
      <c r="A20038" s="1" t="s">
        <v>20037</v>
      </c>
      <c r="B20038" s="2" t="str">
        <f>IFERROR(__xludf.DUMMYFUNCTION("GOOGLETRANSLATE(A20038, ""de"", ""en"")"),"Susanna")</f>
        <v>Susanna</v>
      </c>
    </row>
    <row r="20039">
      <c r="A20039" s="1" t="s">
        <v>20038</v>
      </c>
      <c r="B20039" s="2" t="str">
        <f>IFERROR(__xludf.DUMMYFUNCTION("GOOGLETRANSLATE(A20039, ""de"", ""en"")"),"closer")</f>
        <v>closer</v>
      </c>
    </row>
    <row r="20040">
      <c r="A20040" s="1" t="s">
        <v>20039</v>
      </c>
      <c r="B20040" s="2" t="str">
        <f>IFERROR(__xludf.DUMMYFUNCTION("GOOGLETRANSLATE(A20040, ""de"", ""en"")"),"winnie")</f>
        <v>winnie</v>
      </c>
    </row>
    <row r="20041">
      <c r="A20041" s="1" t="s">
        <v>20040</v>
      </c>
      <c r="B20041" s="2" t="str">
        <f>IFERROR(__xludf.DUMMYFUNCTION("GOOGLETRANSLATE(A20041, ""de"", ""en"")"),"ahab")</f>
        <v>ahab</v>
      </c>
    </row>
    <row r="20042">
      <c r="A20042" s="1" t="s">
        <v>20041</v>
      </c>
      <c r="B20042" s="2" t="str">
        <f>IFERROR(__xludf.DUMMYFUNCTION("GOOGLETRANSLATE(A20042, ""de"", ""en"")"),"compete")</f>
        <v>compete</v>
      </c>
    </row>
    <row r="20043">
      <c r="A20043" s="1" t="s">
        <v>20042</v>
      </c>
      <c r="B20043" s="2" t="str">
        <f>IFERROR(__xludf.DUMMYFUNCTION("GOOGLETRANSLATE(A20043, ""de"", ""en"")"),"abundance")</f>
        <v>abundance</v>
      </c>
    </row>
    <row r="20044">
      <c r="A20044" s="1" t="s">
        <v>20043</v>
      </c>
      <c r="B20044" s="2" t="str">
        <f>IFERROR(__xludf.DUMMYFUNCTION("GOOGLETRANSLATE(A20044, ""de"", ""en"")"),"bradshaw")</f>
        <v>bradshaw</v>
      </c>
    </row>
    <row r="20045">
      <c r="A20045" s="1" t="s">
        <v>20044</v>
      </c>
      <c r="B20045" s="2" t="str">
        <f>IFERROR(__xludf.DUMMYFUNCTION("GOOGLETRANSLATE(A20045, ""de"", ""en"")"),"Anastasia")</f>
        <v>Anastasia</v>
      </c>
    </row>
    <row r="20046">
      <c r="A20046" s="1" t="s">
        <v>20045</v>
      </c>
      <c r="B20046" s="2" t="str">
        <f>IFERROR(__xludf.DUMMYFUNCTION("GOOGLETRANSLATE(A20046, ""de"", ""en"")"),"ignite")</f>
        <v>ignite</v>
      </c>
    </row>
    <row r="20047">
      <c r="A20047" s="1" t="s">
        <v>20046</v>
      </c>
      <c r="B20047" s="2" t="str">
        <f>IFERROR(__xludf.DUMMYFUNCTION("GOOGLETRANSLATE(A20047, ""de"", ""en"")"),"handshake")</f>
        <v>handshake</v>
      </c>
    </row>
    <row r="20048">
      <c r="A20048" s="1" t="s">
        <v>20047</v>
      </c>
      <c r="B20048" s="2" t="str">
        <f>IFERROR(__xludf.DUMMYFUNCTION("GOOGLETRANSLATE(A20048, ""de"", ""en"")"),"farm")</f>
        <v>farm</v>
      </c>
    </row>
    <row r="20049">
      <c r="A20049" s="1" t="s">
        <v>20048</v>
      </c>
      <c r="B20049" s="2" t="str">
        <f>IFERROR(__xludf.DUMMYFUNCTION("GOOGLETRANSLATE(A20049, ""de"", ""en"")"),"fight")</f>
        <v>fight</v>
      </c>
    </row>
    <row r="20050">
      <c r="A20050" s="1" t="s">
        <v>20049</v>
      </c>
      <c r="B20050" s="2" t="str">
        <f>IFERROR(__xludf.DUMMYFUNCTION("GOOGLETRANSLATE(A20050, ""de"", ""en"")"),"freedom")</f>
        <v>freedom</v>
      </c>
    </row>
    <row r="20051">
      <c r="A20051" s="1" t="s">
        <v>20050</v>
      </c>
      <c r="B20051" s="2" t="str">
        <f>IFERROR(__xludf.DUMMYFUNCTION("GOOGLETRANSLATE(A20051, ""de"", ""en"")"),"lame")</f>
        <v>lame</v>
      </c>
    </row>
    <row r="20052">
      <c r="A20052" s="1" t="s">
        <v>20051</v>
      </c>
      <c r="B20052" s="2" t="str">
        <f>IFERROR(__xludf.DUMMYFUNCTION("GOOGLETRANSLATE(A20052, ""de"", ""en"")"),"everything")</f>
        <v>everything</v>
      </c>
    </row>
    <row r="20053">
      <c r="A20053" s="1" t="s">
        <v>20052</v>
      </c>
      <c r="B20053" s="2" t="str">
        <f>IFERROR(__xludf.DUMMYFUNCTION("GOOGLETRANSLATE(A20053, ""de"", ""en"")"),"asked")</f>
        <v>asked</v>
      </c>
    </row>
    <row r="20054">
      <c r="A20054" s="1" t="s">
        <v>20053</v>
      </c>
      <c r="B20054" s="2" t="str">
        <f>IFERROR(__xludf.DUMMYFUNCTION("GOOGLETRANSLATE(A20054, ""de"", ""en"")"),"cabe")</f>
        <v>cabe</v>
      </c>
    </row>
    <row r="20055">
      <c r="A20055" s="1" t="s">
        <v>20054</v>
      </c>
      <c r="B20055" s="2" t="str">
        <f>IFERROR(__xludf.DUMMYFUNCTION("GOOGLETRANSLATE(A20055, ""de"", ""en"")"),"devilish guy")</f>
        <v>devilish guy</v>
      </c>
    </row>
    <row r="20056">
      <c r="A20056" s="1" t="s">
        <v>20055</v>
      </c>
      <c r="B20056" s="2" t="str">
        <f>IFERROR(__xludf.DUMMYFUNCTION("GOOGLETRANSLATE(A20056, ""de"", ""en"")"),"auggie")</f>
        <v>auggie</v>
      </c>
    </row>
    <row r="20057">
      <c r="A20057" s="1" t="s">
        <v>20056</v>
      </c>
      <c r="B20057" s="2" t="str">
        <f>IFERROR(__xludf.DUMMYFUNCTION("GOOGLETRANSLATE(A20057, ""de"", ""en"")"),"helium")</f>
        <v>helium</v>
      </c>
    </row>
    <row r="20058">
      <c r="A20058" s="1" t="s">
        <v>20057</v>
      </c>
      <c r="B20058" s="2" t="str">
        <f>IFERROR(__xludf.DUMMYFUNCTION("GOOGLETRANSLATE(A20058, ""de"", ""en"")"),"autopsy")</f>
        <v>autopsy</v>
      </c>
    </row>
    <row r="20059">
      <c r="A20059" s="1" t="s">
        <v>20058</v>
      </c>
      <c r="B20059" s="2" t="str">
        <f>IFERROR(__xludf.DUMMYFUNCTION("GOOGLETRANSLATE(A20059, ""de"", ""en"")"),"jarl")</f>
        <v>jarl</v>
      </c>
    </row>
    <row r="20060">
      <c r="A20060" s="1" t="s">
        <v>20059</v>
      </c>
      <c r="B20060" s="2" t="str">
        <f>IFERROR(__xludf.DUMMYFUNCTION("GOOGLETRANSLATE(A20060, ""de"", ""en"")"),"Europeans")</f>
        <v>Europeans</v>
      </c>
    </row>
    <row r="20061">
      <c r="A20061" s="1" t="s">
        <v>20060</v>
      </c>
      <c r="B20061" s="2" t="str">
        <f>IFERROR(__xludf.DUMMYFUNCTION("GOOGLETRANSLATE(A20061, ""de"", ""en"")"),"bucky")</f>
        <v>bucky</v>
      </c>
    </row>
    <row r="20062">
      <c r="A20062" s="1" t="s">
        <v>20061</v>
      </c>
      <c r="B20062" s="2" t="str">
        <f>IFERROR(__xludf.DUMMYFUNCTION("GOOGLETRANSLATE(A20062, ""de"", ""en"")"),"factors")</f>
        <v>factors</v>
      </c>
    </row>
    <row r="20063">
      <c r="A20063" s="1" t="s">
        <v>20062</v>
      </c>
      <c r="B20063" s="2" t="str">
        <f>IFERROR(__xludf.DUMMYFUNCTION("GOOGLETRANSLATE(A20063, ""de"", ""en"")"),"amir")</f>
        <v>amir</v>
      </c>
    </row>
    <row r="20064">
      <c r="A20064" s="1" t="s">
        <v>20063</v>
      </c>
      <c r="B20064" s="2" t="str">
        <f>IFERROR(__xludf.DUMMYFUNCTION("GOOGLETRANSLATE(A20064, ""de"", ""en"")"),"nazir")</f>
        <v>nazir</v>
      </c>
    </row>
    <row r="20065">
      <c r="A20065" s="1" t="s">
        <v>20064</v>
      </c>
      <c r="B20065" s="2" t="str">
        <f>IFERROR(__xludf.DUMMYFUNCTION("GOOGLETRANSLATE(A20065, ""de"", ""en"")"),"bagel")</f>
        <v>bagel</v>
      </c>
    </row>
    <row r="20066">
      <c r="A20066" s="1" t="s">
        <v>20065</v>
      </c>
      <c r="B20066" s="2" t="str">
        <f>IFERROR(__xludf.DUMMYFUNCTION("GOOGLETRANSLATE(A20066, ""de"", ""en"")"),"wi")</f>
        <v>wi</v>
      </c>
    </row>
    <row r="20067">
      <c r="A20067" s="1" t="s">
        <v>20066</v>
      </c>
      <c r="B20067" s="2" t="str">
        <f>IFERROR(__xludf.DUMMYFUNCTION("GOOGLETRANSLATE(A20067, ""de"", ""en"")"),"burps")</f>
        <v>burps</v>
      </c>
    </row>
    <row r="20068">
      <c r="A20068" s="1" t="s">
        <v>20067</v>
      </c>
      <c r="B20068" s="2" t="str">
        <f>IFERROR(__xludf.DUMMYFUNCTION("GOOGLETRANSLATE(A20068, ""de"", ""en"")"),"princesses")</f>
        <v>princesses</v>
      </c>
    </row>
    <row r="20069">
      <c r="A20069" s="1" t="s">
        <v>20068</v>
      </c>
      <c r="B20069" s="2" t="str">
        <f>IFERROR(__xludf.DUMMYFUNCTION("GOOGLETRANSLATE(A20069, ""de"", ""en"")"),"scheme")</f>
        <v>scheme</v>
      </c>
    </row>
    <row r="20070">
      <c r="A20070" s="1" t="s">
        <v>20069</v>
      </c>
      <c r="B20070" s="2" t="str">
        <f>IFERROR(__xludf.DUMMYFUNCTION("GOOGLETRANSLATE(A20070, ""de"", ""en"")"),"wrong")</f>
        <v>wrong</v>
      </c>
    </row>
    <row r="20071">
      <c r="A20071" s="1" t="s">
        <v>20070</v>
      </c>
      <c r="B20071" s="2" t="str">
        <f>IFERROR(__xludf.DUMMYFUNCTION("GOOGLETRANSLATE(A20071, ""de"", ""en"")"),"kicked out")</f>
        <v>kicked out</v>
      </c>
    </row>
    <row r="20072">
      <c r="A20072" s="1" t="s">
        <v>20071</v>
      </c>
      <c r="B20072" s="2" t="str">
        <f>IFERROR(__xludf.DUMMYFUNCTION("GOOGLETRANSLATE(A20072, ""de"", ""en"")"),"tijuana")</f>
        <v>tijuana</v>
      </c>
    </row>
    <row r="20073">
      <c r="A20073" s="1" t="s">
        <v>20072</v>
      </c>
      <c r="B20073" s="2" t="str">
        <f>IFERROR(__xludf.DUMMYFUNCTION("GOOGLETRANSLATE(A20073, ""de"", ""en"")"),"flags")</f>
        <v>flags</v>
      </c>
    </row>
    <row r="20074">
      <c r="A20074" s="1" t="s">
        <v>20073</v>
      </c>
      <c r="B20074" s="2" t="str">
        <f>IFERROR(__xludf.DUMMYFUNCTION("GOOGLETRANSLATE(A20074, ""de"", ""en"")"),"vaccinated")</f>
        <v>vaccinated</v>
      </c>
    </row>
    <row r="20075">
      <c r="A20075" s="1" t="s">
        <v>20074</v>
      </c>
      <c r="B20075" s="2" t="str">
        <f>IFERROR(__xludf.DUMMYFUNCTION("GOOGLETRANSLATE(A20075, ""de"", ""en"")"),"puddle")</f>
        <v>puddle</v>
      </c>
    </row>
    <row r="20076">
      <c r="A20076" s="1" t="s">
        <v>20075</v>
      </c>
      <c r="B20076" s="2" t="str">
        <f>IFERROR(__xludf.DUMMYFUNCTION("GOOGLETRANSLATE(A20076, ""de"", ""en"")"),"to apply")</f>
        <v>to apply</v>
      </c>
    </row>
    <row r="20077">
      <c r="A20077" s="1" t="s">
        <v>20076</v>
      </c>
      <c r="B20077" s="2" t="str">
        <f>IFERROR(__xludf.DUMMYFUNCTION("GOOGLETRANSLATE(A20077, ""de"", ""en"")"),"documents")</f>
        <v>documents</v>
      </c>
    </row>
    <row r="20078">
      <c r="A20078" s="1" t="s">
        <v>20077</v>
      </c>
      <c r="B20078" s="2" t="str">
        <f>IFERROR(__xludf.DUMMYFUNCTION("GOOGLETRANSLATE(A20078, ""de"", ""en"")"),"cause")</f>
        <v>cause</v>
      </c>
    </row>
    <row r="20079">
      <c r="A20079" s="1" t="s">
        <v>20078</v>
      </c>
      <c r="B20079" s="2" t="str">
        <f>IFERROR(__xludf.DUMMYFUNCTION("GOOGLETRANSLATE(A20079, ""de"", ""en"")"),"eccentric")</f>
        <v>eccentric</v>
      </c>
    </row>
    <row r="20080">
      <c r="A20080" s="1" t="s">
        <v>20079</v>
      </c>
      <c r="B20080" s="2" t="str">
        <f>IFERROR(__xludf.DUMMYFUNCTION("GOOGLETRANSLATE(A20080, ""de"", ""en"")"),"eunice")</f>
        <v>eunice</v>
      </c>
    </row>
    <row r="20081">
      <c r="A20081" s="1" t="s">
        <v>20080</v>
      </c>
      <c r="B20081" s="2" t="str">
        <f>IFERROR(__xludf.DUMMYFUNCTION("GOOGLETRANSLATE(A20081, ""de"", ""en"")"),"more significant")</f>
        <v>more significant</v>
      </c>
    </row>
    <row r="20082">
      <c r="A20082" s="1" t="s">
        <v>20081</v>
      </c>
      <c r="B20082" s="2" t="str">
        <f>IFERROR(__xludf.DUMMYFUNCTION("GOOGLETRANSLATE(A20082, ""de"", ""en"")"),"chainsaw")</f>
        <v>chainsaw</v>
      </c>
    </row>
    <row r="20083">
      <c r="A20083" s="1" t="s">
        <v>20082</v>
      </c>
      <c r="B20083" s="2" t="str">
        <f>IFERROR(__xludf.DUMMYFUNCTION("GOOGLETRANSLATE(A20083, ""de"", ""en"")"),"mortimer")</f>
        <v>mortimer</v>
      </c>
    </row>
    <row r="20084">
      <c r="A20084" s="1" t="s">
        <v>20083</v>
      </c>
      <c r="B20084" s="2" t="str">
        <f>IFERROR(__xludf.DUMMYFUNCTION("GOOGLETRANSLATE(A20084, ""de"", ""en"")"),"fusel")</f>
        <v>fusel</v>
      </c>
    </row>
    <row r="20085">
      <c r="A20085" s="1" t="s">
        <v>20084</v>
      </c>
      <c r="B20085" s="2" t="str">
        <f>IFERROR(__xludf.DUMMYFUNCTION("GOOGLETRANSLATE(A20085, ""de"", ""en"")"),"chgreen")</f>
        <v>chgreen</v>
      </c>
    </row>
    <row r="20086">
      <c r="A20086" s="1" t="s">
        <v>20085</v>
      </c>
      <c r="B20086" s="2" t="str">
        <f>IFERROR(__xludf.DUMMYFUNCTION("GOOGLETRANSLATE(A20086, ""de"", ""en"")"),"stuffs")</f>
        <v>stuffs</v>
      </c>
    </row>
    <row r="20087">
      <c r="A20087" s="1" t="s">
        <v>20086</v>
      </c>
      <c r="B20087" s="2" t="str">
        <f>IFERROR(__xludf.DUMMYFUNCTION("GOOGLETRANSLATE(A20087, ""de"", ""en"")"),"estimate")</f>
        <v>estimate</v>
      </c>
    </row>
    <row r="20088">
      <c r="A20088" s="1" t="s">
        <v>20087</v>
      </c>
      <c r="B20088" s="2" t="str">
        <f>IFERROR(__xludf.DUMMYFUNCTION("GOOGLETRANSLATE(A20088, ""de"", ""en"")"),"bet")</f>
        <v>bet</v>
      </c>
    </row>
    <row r="20089">
      <c r="A20089" s="1" t="s">
        <v>20088</v>
      </c>
      <c r="B20089" s="2" t="str">
        <f>IFERROR(__xludf.DUMMYFUNCTION("GOOGLETRANSLATE(A20089, ""de"", ""en"")"),"accepted")</f>
        <v>accepted</v>
      </c>
    </row>
    <row r="20090">
      <c r="A20090" s="1" t="s">
        <v>20089</v>
      </c>
      <c r="B20090" s="2" t="str">
        <f>IFERROR(__xludf.DUMMYFUNCTION("GOOGLETRANSLATE(A20090, ""de"", ""en"")"),"mishap")</f>
        <v>mishap</v>
      </c>
    </row>
    <row r="20091">
      <c r="A20091" s="1" t="s">
        <v>20090</v>
      </c>
      <c r="B20091" s="2" t="str">
        <f>IFERROR(__xludf.DUMMYFUNCTION("GOOGLETRANSLATE(A20091, ""de"", ""en"")"),"Greek")</f>
        <v>Greek</v>
      </c>
    </row>
    <row r="20092">
      <c r="A20092" s="1" t="s">
        <v>20091</v>
      </c>
      <c r="B20092" s="2" t="str">
        <f>IFERROR(__xludf.DUMMYFUNCTION("GOOGLETRANSLATE(A20092, ""de"", ""en"")"),"hippies")</f>
        <v>hippies</v>
      </c>
    </row>
    <row r="20093">
      <c r="A20093" s="1" t="s">
        <v>20092</v>
      </c>
      <c r="B20093" s="2" t="str">
        <f>IFERROR(__xludf.DUMMYFUNCTION("GOOGLETRANSLATE(A20093, ""de"", ""en"")"),"north")</f>
        <v>north</v>
      </c>
    </row>
    <row r="20094">
      <c r="A20094" s="1" t="s">
        <v>20093</v>
      </c>
      <c r="B20094" s="2" t="str">
        <f>IFERROR(__xludf.DUMMYFUNCTION("GOOGLETRANSLATE(A20094, ""de"", ""en"")"),"walks")</f>
        <v>walks</v>
      </c>
    </row>
    <row r="20095">
      <c r="A20095" s="1" t="s">
        <v>20094</v>
      </c>
      <c r="B20095" s="2" t="str">
        <f>IFERROR(__xludf.DUMMYFUNCTION("GOOGLETRANSLATE(A20095, ""de"", ""en"")"),"nibble")</f>
        <v>nibble</v>
      </c>
    </row>
    <row r="20096">
      <c r="A20096" s="1" t="s">
        <v>20095</v>
      </c>
      <c r="B20096" s="2" t="str">
        <f>IFERROR(__xludf.DUMMYFUNCTION("GOOGLETRANSLATE(A20096, ""de"", ""en"")"),"alis")</f>
        <v>alis</v>
      </c>
    </row>
    <row r="20097">
      <c r="A20097" s="1" t="s">
        <v>20096</v>
      </c>
      <c r="B20097" s="2" t="str">
        <f>IFERROR(__xludf.DUMMYFUNCTION("GOOGLETRANSLATE(A20097, ""de"", ""en"")"),"take a look")</f>
        <v>take a look</v>
      </c>
    </row>
    <row r="20098">
      <c r="A20098" s="1" t="s">
        <v>20097</v>
      </c>
      <c r="B20098" s="2" t="str">
        <f>IFERROR(__xludf.DUMMYFUNCTION("GOOGLETRANSLATE(A20098, ""de"", ""en"")"),"poured")</f>
        <v>poured</v>
      </c>
    </row>
    <row r="20099">
      <c r="A20099" s="1" t="s">
        <v>20098</v>
      </c>
      <c r="B20099" s="2" t="str">
        <f>IFERROR(__xludf.DUMMYFUNCTION("GOOGLETRANSLATE(A20099, ""de"", ""en"")"),"weighed")</f>
        <v>weighed</v>
      </c>
    </row>
    <row r="20100">
      <c r="A20100" s="1" t="s">
        <v>20099</v>
      </c>
      <c r="B20100" s="2" t="str">
        <f>IFERROR(__xludf.DUMMYFUNCTION("GOOGLETRANSLATE(A20100, ""de"", ""en"")"),"mental institution")</f>
        <v>mental institution</v>
      </c>
    </row>
    <row r="20101">
      <c r="A20101" s="1" t="s">
        <v>20100</v>
      </c>
      <c r="B20101" s="2" t="str">
        <f>IFERROR(__xludf.DUMMYFUNCTION("GOOGLETRANSLATE(A20101, ""de"", ""en"")"),"stopped")</f>
        <v>stopped</v>
      </c>
    </row>
    <row r="20102">
      <c r="A20102" s="1" t="s">
        <v>20101</v>
      </c>
      <c r="B20102" s="2" t="str">
        <f>IFERROR(__xludf.DUMMYFUNCTION("GOOGLETRANSLATE(A20102, ""de"", ""en"")"),"earth")</f>
        <v>earth</v>
      </c>
    </row>
    <row r="20103">
      <c r="A20103" s="1" t="s">
        <v>20102</v>
      </c>
      <c r="B20103" s="2" t="str">
        <f>IFERROR(__xludf.DUMMYFUNCTION("GOOGLETRANSLATE(A20103, ""de"", ""en"")"),"uncomfortable")</f>
        <v>uncomfortable</v>
      </c>
    </row>
    <row r="20104">
      <c r="A20104" s="1" t="s">
        <v>20103</v>
      </c>
      <c r="B20104" s="2" t="str">
        <f>IFERROR(__xludf.DUMMYFUNCTION("GOOGLETRANSLATE(A20104, ""de"", ""en"")"),"worked")</f>
        <v>worked</v>
      </c>
    </row>
    <row r="20105">
      <c r="A20105" s="1" t="s">
        <v>20104</v>
      </c>
      <c r="B20105" s="2" t="str">
        <f>IFERROR(__xludf.DUMMYFUNCTION("GOOGLETRANSLATE(A20105, ""de"", ""en"")"),"goldmine")</f>
        <v>goldmine</v>
      </c>
    </row>
    <row r="20106">
      <c r="A20106" s="1" t="s">
        <v>20105</v>
      </c>
      <c r="B20106" s="2" t="str">
        <f>IFERROR(__xludf.DUMMYFUNCTION("GOOGLETRANSLATE(A20106, ""de"", ""en"")"),"professional")</f>
        <v>professional</v>
      </c>
    </row>
    <row r="20107">
      <c r="A20107" s="1" t="s">
        <v>20106</v>
      </c>
      <c r="B20107" s="2" t="str">
        <f>IFERROR(__xludf.DUMMYFUNCTION("GOOGLETRANSLATE(A20107, ""de"", ""en"")"),"community")</f>
        <v>community</v>
      </c>
    </row>
    <row r="20108">
      <c r="A20108" s="1" t="s">
        <v>20107</v>
      </c>
      <c r="B20108" s="2" t="str">
        <f>IFERROR(__xludf.DUMMYFUNCTION("GOOGLETRANSLATE(A20108, ""de"", ""en"")"),"la")</f>
        <v>la</v>
      </c>
    </row>
    <row r="20109">
      <c r="A20109" s="1" t="s">
        <v>20108</v>
      </c>
      <c r="B20109" s="2" t="str">
        <f>IFERROR(__xludf.DUMMYFUNCTION("GOOGLETRANSLATE(A20109, ""de"", ""en"")"),"whine")</f>
        <v>whine</v>
      </c>
    </row>
    <row r="20110">
      <c r="A20110" s="1" t="s">
        <v>20109</v>
      </c>
      <c r="B20110" s="2" t="str">
        <f>IFERROR(__xludf.DUMMYFUNCTION("GOOGLETRANSLATE(A20110, ""de"", ""en"")"),"arthritis")</f>
        <v>arthritis</v>
      </c>
    </row>
    <row r="20111">
      <c r="A20111" s="1" t="s">
        <v>20110</v>
      </c>
      <c r="B20111" s="2" t="str">
        <f>IFERROR(__xludf.DUMMYFUNCTION("GOOGLETRANSLATE(A20111, ""de"", ""en"")"),"to enter")</f>
        <v>to enter</v>
      </c>
    </row>
    <row r="20112">
      <c r="A20112" s="1" t="s">
        <v>20111</v>
      </c>
      <c r="B20112" s="2" t="str">
        <f>IFERROR(__xludf.DUMMYFUNCTION("GOOGLETRANSLATE(A20112, ""de"", ""en"")"),"played")</f>
        <v>played</v>
      </c>
    </row>
    <row r="20113">
      <c r="A20113" s="1" t="s">
        <v>20112</v>
      </c>
      <c r="B20113" s="2" t="str">
        <f>IFERROR(__xludf.DUMMYFUNCTION("GOOGLETRANSLATE(A20113, ""de"", ""en"")"),"used to")</f>
        <v>used to</v>
      </c>
    </row>
    <row r="20114">
      <c r="A20114" s="1" t="s">
        <v>20113</v>
      </c>
      <c r="B20114" s="2" t="str">
        <f>IFERROR(__xludf.DUMMYFUNCTION("GOOGLETRANSLATE(A20114, ""de"", ""en"")"),"limit")</f>
        <v>limit</v>
      </c>
    </row>
    <row r="20115">
      <c r="A20115" s="1" t="s">
        <v>20114</v>
      </c>
      <c r="B20115" s="2" t="str">
        <f>IFERROR(__xludf.DUMMYFUNCTION("GOOGLETRANSLATE(A20115, ""de"", ""en"")"),"honor")</f>
        <v>honor</v>
      </c>
    </row>
    <row r="20116">
      <c r="A20116" s="1" t="s">
        <v>20115</v>
      </c>
      <c r="B20116" s="2" t="str">
        <f>IFERROR(__xludf.DUMMYFUNCTION("GOOGLETRANSLATE(A20116, ""de"", ""en"")"),"kingdom")</f>
        <v>kingdom</v>
      </c>
    </row>
    <row r="20117">
      <c r="A20117" s="1" t="s">
        <v>20116</v>
      </c>
      <c r="B20117" s="2" t="str">
        <f>IFERROR(__xludf.DUMMYFUNCTION("GOOGLETRANSLATE(A20117, ""de"", ""en"")"),"dive")</f>
        <v>dive</v>
      </c>
    </row>
    <row r="20118">
      <c r="A20118" s="1" t="s">
        <v>20117</v>
      </c>
      <c r="B20118" s="2" t="str">
        <f>IFERROR(__xludf.DUMMYFUNCTION("GOOGLETRANSLATE(A20118, ""de"", ""en"")"),"reject")</f>
        <v>reject</v>
      </c>
    </row>
    <row r="20119">
      <c r="A20119" s="1" t="s">
        <v>20118</v>
      </c>
      <c r="B20119" s="2" t="str">
        <f>IFERROR(__xludf.DUMMYFUNCTION("GOOGLETRANSLATE(A20119, ""de"", ""en"")"),"prior")</f>
        <v>prior</v>
      </c>
    </row>
    <row r="20120">
      <c r="A20120" s="1" t="s">
        <v>20119</v>
      </c>
      <c r="B20120" s="2" t="str">
        <f>IFERROR(__xludf.DUMMYFUNCTION("GOOGLETRANSLATE(A20120, ""de"", ""en"")"),"applied")</f>
        <v>applied</v>
      </c>
    </row>
    <row r="20121">
      <c r="A20121" s="1" t="s">
        <v>20120</v>
      </c>
      <c r="B20121" s="2" t="str">
        <f>IFERROR(__xludf.DUMMYFUNCTION("GOOGLETRANSLATE(A20121, ""de"", ""en"")"),"Mandarin")</f>
        <v>Mandarin</v>
      </c>
    </row>
    <row r="20122">
      <c r="A20122" s="1" t="s">
        <v>20121</v>
      </c>
      <c r="B20122" s="2" t="str">
        <f>IFERROR(__xludf.DUMMYFUNCTION("GOOGLETRANSLATE(A20122, ""de"", ""en"")"),"lisbeth")</f>
        <v>lisbeth</v>
      </c>
    </row>
    <row r="20123">
      <c r="A20123" s="1" t="s">
        <v>20122</v>
      </c>
      <c r="B20123" s="2" t="str">
        <f>IFERROR(__xludf.DUMMYFUNCTION("GOOGLETRANSLATE(A20123, ""de"", ""en"")"),"spontaneous")</f>
        <v>spontaneous</v>
      </c>
    </row>
    <row r="20124">
      <c r="A20124" s="1" t="s">
        <v>20123</v>
      </c>
      <c r="B20124" s="2" t="str">
        <f>IFERROR(__xludf.DUMMYFUNCTION("GOOGLETRANSLATE(A20124, ""de"", ""en"")"),"watkins")</f>
        <v>watkins</v>
      </c>
    </row>
    <row r="20125">
      <c r="A20125" s="1" t="s">
        <v>20124</v>
      </c>
      <c r="B20125" s="2" t="str">
        <f>IFERROR(__xludf.DUMMYFUNCTION("GOOGLETRANSLATE(A20125, ""de"", ""en"")"),"laterally")</f>
        <v>laterally</v>
      </c>
    </row>
    <row r="20126">
      <c r="A20126" s="1" t="s">
        <v>20125</v>
      </c>
      <c r="B20126" s="2" t="str">
        <f>IFERROR(__xludf.DUMMYFUNCTION("GOOGLETRANSLATE(A20126, ""de"", ""en"")"),"raleigh")</f>
        <v>raleigh</v>
      </c>
    </row>
    <row r="20127">
      <c r="A20127" s="1" t="s">
        <v>20126</v>
      </c>
      <c r="B20127" s="2" t="str">
        <f>IFERROR(__xludf.DUMMYFUNCTION("GOOGLETRANSLATE(A20127, ""de"", ""en"")"),"drinking water")</f>
        <v>drinking water</v>
      </c>
    </row>
    <row r="20128">
      <c r="A20128" s="1" t="s">
        <v>20127</v>
      </c>
      <c r="B20128" s="2" t="str">
        <f>IFERROR(__xludf.DUMMYFUNCTION("GOOGLETRANSLATE(A20128, ""de"", ""en"")"),"pile of shit")</f>
        <v>pile of shit</v>
      </c>
    </row>
    <row r="20129">
      <c r="A20129" s="1" t="s">
        <v>20128</v>
      </c>
      <c r="B20129" s="2" t="str">
        <f>IFERROR(__xludf.DUMMYFUNCTION("GOOGLETRANSLATE(A20129, ""de"", ""en"")"),"guards")</f>
        <v>guards</v>
      </c>
    </row>
    <row r="20130">
      <c r="A20130" s="1" t="s">
        <v>20129</v>
      </c>
      <c r="B20130" s="2" t="str">
        <f>IFERROR(__xludf.DUMMYFUNCTION("GOOGLETRANSLATE(A20130, ""de"", ""en"")"),"circulate")</f>
        <v>circulate</v>
      </c>
    </row>
    <row r="20131">
      <c r="A20131" s="1" t="s">
        <v>20130</v>
      </c>
      <c r="B20131" s="2" t="str">
        <f>IFERROR(__xludf.DUMMYFUNCTION("GOOGLETRANSLATE(A20131, ""de"", ""en"")"),"admirer")</f>
        <v>admirer</v>
      </c>
    </row>
    <row r="20132">
      <c r="A20132" s="1" t="s">
        <v>20131</v>
      </c>
      <c r="B20132" s="2" t="str">
        <f>IFERROR(__xludf.DUMMYFUNCTION("GOOGLETRANSLATE(A20132, ""de"", ""en"")"),"cancellation")</f>
        <v>cancellation</v>
      </c>
    </row>
    <row r="20133">
      <c r="A20133" s="1" t="s">
        <v>20132</v>
      </c>
      <c r="B20133" s="2" t="str">
        <f>IFERROR(__xludf.DUMMYFUNCTION("GOOGLETRANSLATE(A20133, ""de"", ""en"")"),"unconditionally")</f>
        <v>unconditionally</v>
      </c>
    </row>
    <row r="20134">
      <c r="A20134" s="1" t="s">
        <v>20133</v>
      </c>
      <c r="B20134" s="2" t="str">
        <f>IFERROR(__xludf.DUMMYFUNCTION("GOOGLETRANSLATE(A20134, ""de"", ""en"")"),"air")</f>
        <v>air</v>
      </c>
    </row>
    <row r="20135">
      <c r="A20135" s="1" t="s">
        <v>20134</v>
      </c>
      <c r="B20135" s="2" t="str">
        <f>IFERROR(__xludf.DUMMYFUNCTION("GOOGLETRANSLATE(A20135, ""de"", ""en"")"),"cornell")</f>
        <v>cornell</v>
      </c>
    </row>
    <row r="20136">
      <c r="A20136" s="1" t="s">
        <v>20135</v>
      </c>
      <c r="B20136" s="2" t="str">
        <f>IFERROR(__xludf.DUMMYFUNCTION("GOOGLETRANSLATE(A20136, ""de"", ""en"")"),"suspected")</f>
        <v>suspected</v>
      </c>
    </row>
    <row r="20137">
      <c r="A20137" s="1" t="s">
        <v>20136</v>
      </c>
      <c r="B20137" s="2" t="str">
        <f>IFERROR(__xludf.DUMMYFUNCTION("GOOGLETRANSLATE(A20137, ""de"", ""en"")"),"dias")</f>
        <v>dias</v>
      </c>
    </row>
    <row r="20138">
      <c r="A20138" s="1" t="s">
        <v>20137</v>
      </c>
      <c r="B20138" s="2" t="str">
        <f>IFERROR(__xludf.DUMMYFUNCTION("GOOGLETRANSLATE(A20138, ""de"", ""en"")"),"gladiators")</f>
        <v>gladiators</v>
      </c>
    </row>
    <row r="20139">
      <c r="A20139" s="1" t="s">
        <v>20138</v>
      </c>
      <c r="B20139" s="2" t="str">
        <f>IFERROR(__xludf.DUMMYFUNCTION("GOOGLETRANSLATE(A20139, ""de"", ""en"")"),"competent")</f>
        <v>competent</v>
      </c>
    </row>
    <row r="20140">
      <c r="A20140" s="1" t="s">
        <v>20139</v>
      </c>
      <c r="B20140" s="2" t="str">
        <f>IFERROR(__xludf.DUMMYFUNCTION("GOOGLETRANSLATE(A20140, ""de"", ""en"")"),"tight")</f>
        <v>tight</v>
      </c>
    </row>
    <row r="20141">
      <c r="A20141" s="1" t="s">
        <v>20140</v>
      </c>
      <c r="B20141" s="2" t="str">
        <f>IFERROR(__xludf.DUMMYFUNCTION("GOOGLETRANSLATE(A20141, ""de"", ""en"")"),"browning")</f>
        <v>browning</v>
      </c>
    </row>
    <row r="20142">
      <c r="A20142" s="1" t="s">
        <v>20141</v>
      </c>
      <c r="B20142" s="2" t="str">
        <f>IFERROR(__xludf.DUMMYFUNCTION("GOOGLETRANSLATE(A20142, ""de"", ""en"")"),"catastrophic")</f>
        <v>catastrophic</v>
      </c>
    </row>
    <row r="20143">
      <c r="A20143" s="1" t="s">
        <v>20142</v>
      </c>
      <c r="B20143" s="2" t="str">
        <f>IFERROR(__xludf.DUMMYFUNCTION("GOOGLETRANSLATE(A20143, ""de"", ""en"")"),"viola")</f>
        <v>viola</v>
      </c>
    </row>
    <row r="20144">
      <c r="A20144" s="1" t="s">
        <v>20143</v>
      </c>
      <c r="B20144" s="2" t="str">
        <f>IFERROR(__xludf.DUMMYFUNCTION("GOOGLETRANSLATE(A20144, ""de"", ""en"")"),"divya")</f>
        <v>divya</v>
      </c>
    </row>
    <row r="20145">
      <c r="A20145" s="1" t="s">
        <v>20144</v>
      </c>
      <c r="B20145" s="2" t="str">
        <f>IFERROR(__xludf.DUMMYFUNCTION("GOOGLETRANSLATE(A20145, ""de"", ""en"")"),"bad breath")</f>
        <v>bad breath</v>
      </c>
    </row>
    <row r="20146">
      <c r="A20146" s="1" t="s">
        <v>20145</v>
      </c>
      <c r="B20146" s="2" t="str">
        <f>IFERROR(__xludf.DUMMYFUNCTION("GOOGLETRANSLATE(A20146, ""de"", ""en"")"),"deny")</f>
        <v>deny</v>
      </c>
    </row>
    <row r="20147">
      <c r="A20147" s="1" t="s">
        <v>20146</v>
      </c>
      <c r="B20147" s="2" t="str">
        <f>IFERROR(__xludf.DUMMYFUNCTION("GOOGLETRANSLATE(A20147, ""de"", ""en"")"),"scratch")</f>
        <v>scratch</v>
      </c>
    </row>
    <row r="20148">
      <c r="A20148" s="1" t="s">
        <v>20147</v>
      </c>
      <c r="B20148" s="2" t="str">
        <f>IFERROR(__xludf.DUMMYFUNCTION("GOOGLETRANSLATE(A20148, ""de"", ""en"")"),"navigator")</f>
        <v>navigator</v>
      </c>
    </row>
    <row r="20149">
      <c r="A20149" s="1" t="s">
        <v>20148</v>
      </c>
      <c r="B20149" s="2" t="str">
        <f>IFERROR(__xludf.DUMMYFUNCTION("GOOGLETRANSLATE(A20149, ""de"", ""en"")"),"passengers")</f>
        <v>passengers</v>
      </c>
    </row>
    <row r="20150">
      <c r="A20150" s="1" t="s">
        <v>20149</v>
      </c>
      <c r="B20150" s="2" t="str">
        <f>IFERROR(__xludf.DUMMYFUNCTION("GOOGLETRANSLATE(A20150, ""de"", ""en"")"),"crowd")</f>
        <v>crowd</v>
      </c>
    </row>
    <row r="20151">
      <c r="A20151" s="1" t="s">
        <v>20150</v>
      </c>
      <c r="B20151" s="2" t="str">
        <f>IFERROR(__xludf.DUMMYFUNCTION("GOOGLETRANSLATE(A20151, ""de"", ""en"")"),"failure")</f>
        <v>failure</v>
      </c>
    </row>
    <row r="20152">
      <c r="A20152" s="1" t="s">
        <v>20151</v>
      </c>
      <c r="B20152" s="2" t="str">
        <f>IFERROR(__xludf.DUMMYFUNCTION("GOOGLETRANSLATE(A20152, ""de"", ""en"")"),"Petersen")</f>
        <v>Petersen</v>
      </c>
    </row>
    <row r="20153">
      <c r="A20153" s="1" t="s">
        <v>20152</v>
      </c>
      <c r="B20153" s="2" t="str">
        <f>IFERROR(__xludf.DUMMYFUNCTION("GOOGLETRANSLATE(A20153, ""de"", ""en"")"),"dried out")</f>
        <v>dried out</v>
      </c>
    </row>
    <row r="20154">
      <c r="A20154" s="1" t="s">
        <v>20153</v>
      </c>
      <c r="B20154" s="2" t="str">
        <f>IFERROR(__xludf.DUMMYFUNCTION("GOOGLETRANSLATE(A20154, ""de"", ""en"")"),"preferences")</f>
        <v>preferences</v>
      </c>
    </row>
    <row r="20155">
      <c r="A20155" s="1" t="s">
        <v>20154</v>
      </c>
      <c r="B20155" s="2" t="str">
        <f>IFERROR(__xludf.DUMMYFUNCTION("GOOGLETRANSLATE(A20155, ""de"", ""en"")"),"discover")</f>
        <v>discover</v>
      </c>
    </row>
    <row r="20156">
      <c r="A20156" s="1" t="s">
        <v>20155</v>
      </c>
      <c r="B20156" s="2" t="str">
        <f>IFERROR(__xludf.DUMMYFUNCTION("GOOGLETRANSLATE(A20156, ""de"", ""en"")"),"goldman")</f>
        <v>goldman</v>
      </c>
    </row>
    <row r="20157">
      <c r="A20157" s="1" t="s">
        <v>20156</v>
      </c>
      <c r="B20157" s="2" t="str">
        <f>IFERROR(__xludf.DUMMYFUNCTION("GOOGLETRANSLATE(A20157, ""de"", ""en"")"),"heffernan")</f>
        <v>heffernan</v>
      </c>
    </row>
    <row r="20158">
      <c r="A20158" s="1" t="s">
        <v>20157</v>
      </c>
      <c r="B20158" s="2" t="str">
        <f>IFERROR(__xludf.DUMMYFUNCTION("GOOGLETRANSLATE(A20158, ""de"", ""en"")"),"sweeney")</f>
        <v>sweeney</v>
      </c>
    </row>
    <row r="20159">
      <c r="A20159" s="1" t="s">
        <v>20158</v>
      </c>
      <c r="B20159" s="2" t="str">
        <f>IFERROR(__xludf.DUMMYFUNCTION("GOOGLETRANSLATE(A20159, ""de"", ""en"")"),"rockfish")</f>
        <v>rockfish</v>
      </c>
    </row>
    <row r="20160">
      <c r="A20160" s="1" t="s">
        <v>20159</v>
      </c>
      <c r="B20160" s="2" t="str">
        <f>IFERROR(__xludf.DUMMYFUNCTION("GOOGLETRANSLATE(A20160, ""de"", ""en"")"),"gladiator")</f>
        <v>gladiator</v>
      </c>
    </row>
    <row r="20161">
      <c r="A20161" s="1" t="s">
        <v>20160</v>
      </c>
      <c r="B20161" s="2" t="str">
        <f>IFERROR(__xludf.DUMMYFUNCTION("GOOGLETRANSLATE(A20161, ""de"", ""en"")"),"twin brother")</f>
        <v>twin brother</v>
      </c>
    </row>
    <row r="20162">
      <c r="A20162" s="1" t="s">
        <v>20161</v>
      </c>
      <c r="B20162" s="2" t="str">
        <f>IFERROR(__xludf.DUMMYFUNCTION("GOOGLETRANSLATE(A20162, ""de"", ""en"")"),"preliminary")</f>
        <v>preliminary</v>
      </c>
    </row>
    <row r="20163">
      <c r="A20163" s="1" t="s">
        <v>20162</v>
      </c>
      <c r="B20163" s="2" t="str">
        <f>IFERROR(__xludf.DUMMYFUNCTION("GOOGLETRANSLATE(A20163, ""de"", ""en"")"),"lore")</f>
        <v>lore</v>
      </c>
    </row>
    <row r="20164">
      <c r="A20164" s="1" t="s">
        <v>20163</v>
      </c>
      <c r="B20164" s="2" t="str">
        <f>IFERROR(__xludf.DUMMYFUNCTION("GOOGLETRANSLATE(A20164, ""de"", ""en"")"),"ancestor")</f>
        <v>ancestor</v>
      </c>
    </row>
    <row r="20165">
      <c r="A20165" s="1" t="s">
        <v>20164</v>
      </c>
      <c r="B20165" s="2" t="str">
        <f>IFERROR(__xludf.DUMMYFUNCTION("GOOGLETRANSLATE(A20165, ""de"", ""en"")"),"meanness")</f>
        <v>meanness</v>
      </c>
    </row>
    <row r="20166">
      <c r="A20166" s="1" t="s">
        <v>20165</v>
      </c>
      <c r="B20166" s="2" t="str">
        <f>IFERROR(__xludf.DUMMYFUNCTION("GOOGLETRANSLATE(A20166, ""de"", ""en"")"),"louvre")</f>
        <v>louvre</v>
      </c>
    </row>
    <row r="20167">
      <c r="A20167" s="1" t="s">
        <v>20166</v>
      </c>
      <c r="B20167" s="2" t="str">
        <f>IFERROR(__xludf.DUMMYFUNCTION("GOOGLETRANSLATE(A20167, ""de"", ""en"")"),"phlox")</f>
        <v>phlox</v>
      </c>
    </row>
    <row r="20168">
      <c r="A20168" s="1" t="s">
        <v>20167</v>
      </c>
      <c r="B20168" s="2" t="str">
        <f>IFERROR(__xludf.DUMMYFUNCTION("GOOGLETRANSLATE(A20168, ""de"", ""en"")"),"lock")</f>
        <v>lock</v>
      </c>
    </row>
    <row r="20169">
      <c r="A20169" s="1" t="s">
        <v>20168</v>
      </c>
      <c r="B20169" s="2" t="str">
        <f>IFERROR(__xludf.DUMMYFUNCTION("GOOGLETRANSLATE(A20169, ""de"", ""en"")"),"larkin")</f>
        <v>larkin</v>
      </c>
    </row>
    <row r="20170">
      <c r="A20170" s="1" t="s">
        <v>20169</v>
      </c>
      <c r="B20170" s="2" t="str">
        <f>IFERROR(__xludf.DUMMYFUNCTION("GOOGLETRANSLATE(A20170, ""de"", ""en"")"),"happens")</f>
        <v>happens</v>
      </c>
    </row>
    <row r="20171">
      <c r="A20171" s="1" t="s">
        <v>20170</v>
      </c>
      <c r="B20171" s="2" t="str">
        <f>IFERROR(__xludf.DUMMYFUNCTION("GOOGLETRANSLATE(A20171, ""de"", ""en"")"),"properties")</f>
        <v>properties</v>
      </c>
    </row>
    <row r="20172">
      <c r="A20172" s="1" t="s">
        <v>20171</v>
      </c>
      <c r="B20172" s="2" t="str">
        <f>IFERROR(__xludf.DUMMYFUNCTION("GOOGLETRANSLATE(A20172, ""de"", ""en"")"),"given away")</f>
        <v>given away</v>
      </c>
    </row>
    <row r="20173">
      <c r="A20173" s="1" t="s">
        <v>20172</v>
      </c>
      <c r="B20173" s="2" t="str">
        <f>IFERROR(__xludf.DUMMYFUNCTION("GOOGLETRANSLATE(A20173, ""de"", ""en"")"),"announce")</f>
        <v>announce</v>
      </c>
    </row>
    <row r="20174">
      <c r="A20174" s="1" t="s">
        <v>20173</v>
      </c>
      <c r="B20174" s="2" t="str">
        <f>IFERROR(__xludf.DUMMYFUNCTION("GOOGLETRANSLATE(A20174, ""de"", ""en"")"),"Loki")</f>
        <v>Loki</v>
      </c>
    </row>
    <row r="20175">
      <c r="A20175" s="1" t="s">
        <v>20174</v>
      </c>
      <c r="B20175" s="2" t="str">
        <f>IFERROR(__xludf.DUMMYFUNCTION("GOOGLETRANSLATE(A20175, ""de"", ""en"")"),"garbage dump")</f>
        <v>garbage dump</v>
      </c>
    </row>
    <row r="20176">
      <c r="A20176" s="1" t="s">
        <v>20175</v>
      </c>
      <c r="B20176" s="2" t="str">
        <f>IFERROR(__xludf.DUMMYFUNCTION("GOOGLETRANSLATE(A20176, ""de"", ""en"")"),"started")</f>
        <v>started</v>
      </c>
    </row>
    <row r="20177">
      <c r="A20177" s="1" t="s">
        <v>20176</v>
      </c>
      <c r="B20177" s="2" t="str">
        <f>IFERROR(__xludf.DUMMYFUNCTION("GOOGLETRANSLATE(A20177, ""de"", ""en"")"),"higher")</f>
        <v>higher</v>
      </c>
    </row>
    <row r="20178">
      <c r="A20178" s="1" t="s">
        <v>20177</v>
      </c>
      <c r="B20178" s="2" t="str">
        <f>IFERROR(__xludf.DUMMYFUNCTION("GOOGLETRANSLATE(A20178, ""de"", ""en"")"),"cricket")</f>
        <v>cricket</v>
      </c>
    </row>
    <row r="20179">
      <c r="A20179" s="1" t="s">
        <v>20178</v>
      </c>
      <c r="B20179" s="2" t="str">
        <f>IFERROR(__xludf.DUMMYFUNCTION("GOOGLETRANSLATE(A20179, ""de"", ""en"")"),"killarney")</f>
        <v>killarney</v>
      </c>
    </row>
    <row r="20180">
      <c r="A20180" s="1" t="s">
        <v>20179</v>
      </c>
      <c r="B20180" s="2" t="str">
        <f>IFERROR(__xludf.DUMMYFUNCTION("GOOGLETRANSLATE(A20180, ""de"", ""en"")"),"kissed")</f>
        <v>kissed</v>
      </c>
    </row>
    <row r="20181">
      <c r="A20181" s="1" t="s">
        <v>20180</v>
      </c>
      <c r="B20181" s="2" t="str">
        <f>IFERROR(__xludf.DUMMYFUNCTION("GOOGLETRANSLATE(A20181, ""de"", ""en"")"),"measure")</f>
        <v>measure</v>
      </c>
    </row>
    <row r="20182">
      <c r="A20182" s="1" t="s">
        <v>20181</v>
      </c>
      <c r="B20182" s="2" t="str">
        <f>IFERROR(__xludf.DUMMYFUNCTION("GOOGLETRANSLATE(A20182, ""de"", ""en"")"),"paranormal")</f>
        <v>paranormal</v>
      </c>
    </row>
    <row r="20183">
      <c r="A20183" s="1" t="s">
        <v>20182</v>
      </c>
      <c r="B20183" s="2" t="str">
        <f>IFERROR(__xludf.DUMMYFUNCTION("GOOGLETRANSLATE(A20183, ""de"", ""en"")"),"franny")</f>
        <v>franny</v>
      </c>
    </row>
    <row r="20184">
      <c r="A20184" s="1" t="s">
        <v>20183</v>
      </c>
      <c r="B20184" s="2" t="str">
        <f>IFERROR(__xludf.DUMMYFUNCTION("GOOGLETRANSLATE(A20184, ""de"", ""en"")"),"impact")</f>
        <v>impact</v>
      </c>
    </row>
    <row r="20185">
      <c r="A20185" s="1" t="s">
        <v>20184</v>
      </c>
      <c r="B20185" s="2" t="str">
        <f>IFERROR(__xludf.DUMMYFUNCTION("GOOGLETRANSLATE(A20185, ""de"", ""en"")"),"riches")</f>
        <v>riches</v>
      </c>
    </row>
    <row r="20186">
      <c r="A20186" s="1" t="s">
        <v>20185</v>
      </c>
      <c r="B20186" s="2" t="str">
        <f>IFERROR(__xludf.DUMMYFUNCTION("GOOGLETRANSLATE(A20186, ""de"", ""en"")"),"Carter's")</f>
        <v>Carter's</v>
      </c>
    </row>
    <row r="20187">
      <c r="A20187" s="1" t="s">
        <v>20186</v>
      </c>
      <c r="B20187" s="2" t="str">
        <f>IFERROR(__xludf.DUMMYFUNCTION("GOOGLETRANSLATE(A20187, ""de"", ""en"")"),"earthlings")</f>
        <v>earthlings</v>
      </c>
    </row>
    <row r="20188">
      <c r="A20188" s="1" t="s">
        <v>20187</v>
      </c>
      <c r="B20188" s="2" t="str">
        <f>IFERROR(__xludf.DUMMYFUNCTION("GOOGLETRANSLATE(A20188, ""de"", ""en"")"),"ad")</f>
        <v>ad</v>
      </c>
    </row>
    <row r="20189">
      <c r="A20189" s="1" t="s">
        <v>20188</v>
      </c>
      <c r="B20189" s="2" t="str">
        <f>IFERROR(__xludf.DUMMYFUNCTION("GOOGLETRANSLATE(A20189, ""de"", ""en"")"),"fall through")</f>
        <v>fall through</v>
      </c>
    </row>
    <row r="20190">
      <c r="A20190" s="1" t="s">
        <v>20189</v>
      </c>
      <c r="B20190" s="2" t="str">
        <f>IFERROR(__xludf.DUMMYFUNCTION("GOOGLETRANSLATE(A20190, ""de"", ""en"")"),"dry")</f>
        <v>dry</v>
      </c>
    </row>
    <row r="20191">
      <c r="A20191" s="1" t="s">
        <v>20190</v>
      </c>
      <c r="B20191" s="2" t="str">
        <f>IFERROR(__xludf.DUMMYFUNCTION("GOOGLETRANSLATE(A20191, ""de"", ""en"")"),"macbeth")</f>
        <v>macbeth</v>
      </c>
    </row>
    <row r="20192">
      <c r="A20192" s="1" t="s">
        <v>20191</v>
      </c>
      <c r="B20192" s="2" t="str">
        <f>IFERROR(__xludf.DUMMYFUNCTION("GOOGLETRANSLATE(A20192, ""de"", ""en"")"),"aluminum")</f>
        <v>aluminum</v>
      </c>
    </row>
    <row r="20193">
      <c r="A20193" s="1" t="s">
        <v>20192</v>
      </c>
      <c r="B20193" s="2" t="str">
        <f>IFERROR(__xludf.DUMMYFUNCTION("GOOGLETRANSLATE(A20193, ""de"", ""en"")"),"raina")</f>
        <v>raina</v>
      </c>
    </row>
    <row r="20194">
      <c r="A20194" s="1" t="s">
        <v>20193</v>
      </c>
      <c r="B20194" s="2" t="str">
        <f>IFERROR(__xludf.DUMMYFUNCTION("GOOGLETRANSLATE(A20194, ""de"", ""en"")"),"myths")</f>
        <v>myths</v>
      </c>
    </row>
    <row r="20195">
      <c r="A20195" s="1" t="s">
        <v>20194</v>
      </c>
      <c r="B20195" s="2" t="str">
        <f>IFERROR(__xludf.DUMMYFUNCTION("GOOGLETRANSLATE(A20195, ""de"", ""en"")"),"pick up")</f>
        <v>pick up</v>
      </c>
    </row>
    <row r="20196">
      <c r="A20196" s="1" t="s">
        <v>20195</v>
      </c>
      <c r="B20196" s="2" t="str">
        <f>IFERROR(__xludf.DUMMYFUNCTION("GOOGLETRANSLATE(A20196, ""de"", ""en"")"),"starting point")</f>
        <v>starting point</v>
      </c>
    </row>
    <row r="20197">
      <c r="A20197" s="1" t="s">
        <v>20196</v>
      </c>
      <c r="B20197" s="2" t="str">
        <f>IFERROR(__xludf.DUMMYFUNCTION("GOOGLETRANSLATE(A20197, ""de"", ""en"")"),"dead as a mouse")</f>
        <v>dead as a mouse</v>
      </c>
    </row>
    <row r="20198">
      <c r="A20198" s="1" t="s">
        <v>20197</v>
      </c>
      <c r="B20198" s="2" t="str">
        <f>IFERROR(__xludf.DUMMYFUNCTION("GOOGLETRANSLATE(A20198, ""de"", ""en"")"),"eyesight")</f>
        <v>eyesight</v>
      </c>
    </row>
    <row r="20199">
      <c r="A20199" s="1" t="s">
        <v>20198</v>
      </c>
      <c r="B20199" s="2" t="str">
        <f>IFERROR(__xludf.DUMMYFUNCTION("GOOGLETRANSLATE(A20199, ""de"", ""en"")"),"implant")</f>
        <v>implant</v>
      </c>
    </row>
    <row r="20200">
      <c r="A20200" s="1" t="s">
        <v>20199</v>
      </c>
      <c r="B20200" s="2" t="str">
        <f>IFERROR(__xludf.DUMMYFUNCTION("GOOGLETRANSLATE(A20200, ""de"", ""en"")"),"undoubtedly")</f>
        <v>undoubtedly</v>
      </c>
    </row>
    <row r="20201">
      <c r="A20201" s="1" t="s">
        <v>20200</v>
      </c>
      <c r="B20201" s="2" t="str">
        <f>IFERROR(__xludf.DUMMYFUNCTION("GOOGLETRANSLATE(A20201, ""de"", ""en"")"),"lyre")</f>
        <v>lyre</v>
      </c>
    </row>
    <row r="20202">
      <c r="A20202" s="1" t="s">
        <v>20201</v>
      </c>
      <c r="B20202" s="2" t="str">
        <f>IFERROR(__xludf.DUMMYFUNCTION("GOOGLETRANSLATE(A20202, ""de"", ""en"")"),"Danny's")</f>
        <v>Danny's</v>
      </c>
    </row>
    <row r="20203">
      <c r="A20203" s="1" t="s">
        <v>20202</v>
      </c>
      <c r="B20203" s="2" t="str">
        <f>IFERROR(__xludf.DUMMYFUNCTION("GOOGLETRANSLATE(A20203, ""de"", ""en"")"),"ransacked")</f>
        <v>ransacked</v>
      </c>
    </row>
    <row r="20204">
      <c r="A20204" s="1" t="s">
        <v>20203</v>
      </c>
      <c r="B20204" s="2" t="str">
        <f>IFERROR(__xludf.DUMMYFUNCTION("GOOGLETRANSLATE(A20204, ""de"", ""en"")"),"tactical")</f>
        <v>tactical</v>
      </c>
    </row>
    <row r="20205">
      <c r="A20205" s="1" t="s">
        <v>20204</v>
      </c>
      <c r="B20205" s="2" t="str">
        <f>IFERROR(__xludf.DUMMYFUNCTION("GOOGLETRANSLATE(A20205, ""de"", ""en"")"),"keiko")</f>
        <v>keiko</v>
      </c>
    </row>
    <row r="20206">
      <c r="A20206" s="1" t="s">
        <v>20205</v>
      </c>
      <c r="B20206" s="2" t="str">
        <f>IFERROR(__xludf.DUMMYFUNCTION("GOOGLETRANSLATE(A20206, ""de"", ""en"")"),"minbari")</f>
        <v>minbari</v>
      </c>
    </row>
    <row r="20207">
      <c r="A20207" s="1" t="s">
        <v>20206</v>
      </c>
      <c r="B20207" s="2" t="str">
        <f>IFERROR(__xludf.DUMMYFUNCTION("GOOGLETRANSLATE(A20207, ""de"", ""en"")"),"battle")</f>
        <v>battle</v>
      </c>
    </row>
    <row r="20208">
      <c r="A20208" s="1" t="s">
        <v>20207</v>
      </c>
      <c r="B20208" s="2" t="str">
        <f>IFERROR(__xludf.DUMMYFUNCTION("GOOGLETRANSLATE(A20208, ""de"", ""en"")"),"unexpected")</f>
        <v>unexpected</v>
      </c>
    </row>
    <row r="20209">
      <c r="A20209" s="1" t="s">
        <v>20208</v>
      </c>
      <c r="B20209" s="2" t="str">
        <f>IFERROR(__xludf.DUMMYFUNCTION("GOOGLETRANSLATE(A20209, ""de"", ""en"")"),"ours")</f>
        <v>ours</v>
      </c>
    </row>
    <row r="20210">
      <c r="A20210" s="1" t="s">
        <v>20209</v>
      </c>
      <c r="B20210" s="2" t="str">
        <f>IFERROR(__xludf.DUMMYFUNCTION("GOOGLETRANSLATE(A20210, ""de"", ""en"")"),"more exciting")</f>
        <v>more exciting</v>
      </c>
    </row>
    <row r="20211">
      <c r="A20211" s="1" t="s">
        <v>20210</v>
      </c>
      <c r="B20211" s="2" t="str">
        <f>IFERROR(__xludf.DUMMYFUNCTION("GOOGLETRANSLATE(A20211, ""de"", ""en"")"),"saber")</f>
        <v>saber</v>
      </c>
    </row>
    <row r="20212">
      <c r="A20212" s="1" t="s">
        <v>20211</v>
      </c>
      <c r="B20212" s="2" t="str">
        <f>IFERROR(__xludf.DUMMYFUNCTION("GOOGLETRANSLATE(A20212, ""de"", ""en"")"),"dark ones")</f>
        <v>dark ones</v>
      </c>
    </row>
    <row r="20213">
      <c r="A20213" s="1" t="s">
        <v>20212</v>
      </c>
      <c r="B20213" s="2" t="str">
        <f>IFERROR(__xludf.DUMMYFUNCTION("GOOGLETRANSLATE(A20213, ""de"", ""en"")"),"attraction")</f>
        <v>attraction</v>
      </c>
    </row>
    <row r="20214">
      <c r="A20214" s="1" t="s">
        <v>20213</v>
      </c>
      <c r="B20214" s="2" t="str">
        <f>IFERROR(__xludf.DUMMYFUNCTION("GOOGLETRANSLATE(A20214, ""de"", ""en"")"),"20s")</f>
        <v>20s</v>
      </c>
    </row>
    <row r="20215">
      <c r="A20215" s="1" t="s">
        <v>20214</v>
      </c>
      <c r="B20215" s="2" t="str">
        <f>IFERROR(__xludf.DUMMYFUNCTION("GOOGLETRANSLATE(A20215, ""de"", ""en"")"),"beheaded")</f>
        <v>beheaded</v>
      </c>
    </row>
    <row r="20216">
      <c r="A20216" s="1" t="s">
        <v>20215</v>
      </c>
      <c r="B20216" s="2" t="str">
        <f>IFERROR(__xludf.DUMMYFUNCTION("GOOGLETRANSLATE(A20216, ""de"", ""en"")"),"croaks")</f>
        <v>croaks</v>
      </c>
    </row>
    <row r="20217">
      <c r="A20217" s="1" t="s">
        <v>20216</v>
      </c>
      <c r="B20217" s="2" t="str">
        <f>IFERROR(__xludf.DUMMYFUNCTION("GOOGLETRANSLATE(A20217, ""de"", ""en"")"),"pops")</f>
        <v>pops</v>
      </c>
    </row>
    <row r="20218">
      <c r="A20218" s="1" t="s">
        <v>20217</v>
      </c>
      <c r="B20218" s="2" t="str">
        <f>IFERROR(__xludf.DUMMYFUNCTION("GOOGLETRANSLATE(A20218, ""de"", ""en"")"),"loosen")</f>
        <v>loosen</v>
      </c>
    </row>
    <row r="20219">
      <c r="A20219" s="1" t="s">
        <v>20218</v>
      </c>
      <c r="B20219" s="2" t="str">
        <f>IFERROR(__xludf.DUMMYFUNCTION("GOOGLETRANSLATE(A20219, ""de"", ""en"")"),"evasive maneuvers")</f>
        <v>evasive maneuvers</v>
      </c>
    </row>
    <row r="20220">
      <c r="A20220" s="1" t="s">
        <v>20219</v>
      </c>
      <c r="B20220" s="2" t="str">
        <f>IFERROR(__xludf.DUMMYFUNCTION("GOOGLETRANSLATE(A20220, ""de"", ""en"")"),"tilts")</f>
        <v>tilts</v>
      </c>
    </row>
    <row r="20221">
      <c r="A20221" s="1" t="s">
        <v>20220</v>
      </c>
      <c r="B20221" s="2" t="str">
        <f>IFERROR(__xludf.DUMMYFUNCTION("GOOGLETRANSLATE(A20221, ""de"", ""en"")"),"coroner")</f>
        <v>coroner</v>
      </c>
    </row>
    <row r="20222">
      <c r="A20222" s="1" t="s">
        <v>20221</v>
      </c>
      <c r="B20222" s="2" t="str">
        <f>IFERROR(__xludf.DUMMYFUNCTION("GOOGLETRANSLATE(A20222, ""de"", ""en"")"),"primitive")</f>
        <v>primitive</v>
      </c>
    </row>
    <row r="20223">
      <c r="A20223" s="1" t="s">
        <v>20222</v>
      </c>
      <c r="B20223" s="2" t="str">
        <f>IFERROR(__xludf.DUMMYFUNCTION("GOOGLETRANSLATE(A20223, ""de"", ""en"")"),"still")</f>
        <v>still</v>
      </c>
    </row>
    <row r="20224">
      <c r="A20224" s="1" t="s">
        <v>20223</v>
      </c>
      <c r="B20224" s="2" t="str">
        <f>IFERROR(__xludf.DUMMYFUNCTION("GOOGLETRANSLATE(A20224, ""de"", ""en"")"),"algorithm")</f>
        <v>algorithm</v>
      </c>
    </row>
    <row r="20225">
      <c r="A20225" s="1" t="s">
        <v>20224</v>
      </c>
      <c r="B20225" s="2" t="str">
        <f>IFERROR(__xludf.DUMMYFUNCTION("GOOGLETRANSLATE(A20225, ""de"", ""en"")"),"tame")</f>
        <v>tame</v>
      </c>
    </row>
    <row r="20226">
      <c r="A20226" s="1" t="s">
        <v>20225</v>
      </c>
      <c r="B20226" s="2" t="str">
        <f>IFERROR(__xludf.DUMMYFUNCTION("GOOGLETRANSLATE(A20226, ""de"", ""en"")"),"possessions")</f>
        <v>possessions</v>
      </c>
    </row>
    <row r="20227">
      <c r="A20227" s="1" t="s">
        <v>20226</v>
      </c>
      <c r="B20227" s="2" t="str">
        <f>IFERROR(__xludf.DUMMYFUNCTION("GOOGLETRANSLATE(A20227, ""de"", ""en"")"),"nobles")</f>
        <v>nobles</v>
      </c>
    </row>
    <row r="20228">
      <c r="A20228" s="1" t="s">
        <v>20227</v>
      </c>
      <c r="B20228" s="2" t="str">
        <f>IFERROR(__xludf.DUMMYFUNCTION("GOOGLETRANSLATE(A20228, ""de"", ""en"")"),"telephone company")</f>
        <v>telephone company</v>
      </c>
    </row>
    <row r="20229">
      <c r="A20229" s="1" t="s">
        <v>20228</v>
      </c>
      <c r="B20229" s="2" t="str">
        <f>IFERROR(__xludf.DUMMYFUNCTION("GOOGLETRANSLATE(A20229, ""de"", ""en"")"),"philosophers")</f>
        <v>philosophers</v>
      </c>
    </row>
    <row r="20230">
      <c r="A20230" s="1" t="s">
        <v>20229</v>
      </c>
      <c r="B20230" s="2" t="str">
        <f>IFERROR(__xludf.DUMMYFUNCTION("GOOGLETRANSLATE(A20230, ""de"", ""en"")"),"proctor")</f>
        <v>proctor</v>
      </c>
    </row>
    <row r="20231">
      <c r="A20231" s="1" t="s">
        <v>20230</v>
      </c>
      <c r="B20231" s="2" t="str">
        <f>IFERROR(__xludf.DUMMYFUNCTION("GOOGLETRANSLATE(A20231, ""de"", ""en"")"),"drown")</f>
        <v>drown</v>
      </c>
    </row>
    <row r="20232">
      <c r="A20232" s="1" t="s">
        <v>20231</v>
      </c>
      <c r="B20232" s="2" t="str">
        <f>IFERROR(__xludf.DUMMYFUNCTION("GOOGLETRANSLATE(A20232, ""de"", ""en"")"),"deliver")</f>
        <v>deliver</v>
      </c>
    </row>
    <row r="20233">
      <c r="A20233" s="1" t="s">
        <v>20232</v>
      </c>
      <c r="B20233" s="2" t="str">
        <f>IFERROR(__xludf.DUMMYFUNCTION("GOOGLETRANSLATE(A20233, ""de"", ""en"")"),"cinnamon")</f>
        <v>cinnamon</v>
      </c>
    </row>
    <row r="20234">
      <c r="A20234" s="1" t="s">
        <v>20233</v>
      </c>
      <c r="B20234" s="2" t="str">
        <f>IFERROR(__xludf.DUMMYFUNCTION("GOOGLETRANSLATE(A20234, ""de"", ""en"")"),"checked off")</f>
        <v>checked off</v>
      </c>
    </row>
    <row r="20235">
      <c r="A20235" s="1" t="s">
        <v>20234</v>
      </c>
      <c r="B20235" s="2" t="str">
        <f>IFERROR(__xludf.DUMMYFUNCTION("GOOGLETRANSLATE(A20235, ""de"", ""en"")"),"ingredient")</f>
        <v>ingredient</v>
      </c>
    </row>
    <row r="20236">
      <c r="A20236" s="1" t="s">
        <v>20235</v>
      </c>
      <c r="B20236" s="2" t="str">
        <f>IFERROR(__xludf.DUMMYFUNCTION("GOOGLETRANSLATE(A20236, ""de"", ""en"")"),"arrogant")</f>
        <v>arrogant</v>
      </c>
    </row>
    <row r="20237">
      <c r="A20237" s="1" t="s">
        <v>20236</v>
      </c>
      <c r="B20237" s="2" t="str">
        <f>IFERROR(__xludf.DUMMYFUNCTION("GOOGLETRANSLATE(A20237, ""de"", ""en"")"),"Japan")</f>
        <v>Japan</v>
      </c>
    </row>
    <row r="20238">
      <c r="A20238" s="1" t="s">
        <v>20237</v>
      </c>
      <c r="B20238" s="2" t="str">
        <f>IFERROR(__xludf.DUMMYFUNCTION("GOOGLETRANSLATE(A20238, ""de"", ""en"")"),"typed")</f>
        <v>typed</v>
      </c>
    </row>
    <row r="20239">
      <c r="A20239" s="1" t="s">
        <v>20238</v>
      </c>
      <c r="B20239" s="2" t="str">
        <f>IFERROR(__xludf.DUMMYFUNCTION("GOOGLETRANSLATE(A20239, ""de"", ""en"")"),"friendly")</f>
        <v>friendly</v>
      </c>
    </row>
    <row r="20240">
      <c r="A20240" s="1" t="s">
        <v>20239</v>
      </c>
      <c r="B20240" s="2" t="str">
        <f>IFERROR(__xludf.DUMMYFUNCTION("GOOGLETRANSLATE(A20240, ""de"", ""en"")"),"flow")</f>
        <v>flow</v>
      </c>
    </row>
    <row r="20241">
      <c r="A20241" s="1" t="s">
        <v>20240</v>
      </c>
      <c r="B20241" s="2" t="str">
        <f>IFERROR(__xludf.DUMMYFUNCTION("GOOGLETRANSLATE(A20241, ""de"", ""en"")"),"working time")</f>
        <v>working time</v>
      </c>
    </row>
    <row r="20242">
      <c r="A20242" s="1" t="s">
        <v>20241</v>
      </c>
      <c r="B20242" s="2" t="str">
        <f>IFERROR(__xludf.DUMMYFUNCTION("GOOGLETRANSLATE(A20242, ""de"", ""en"")"),"spoil")</f>
        <v>spoil</v>
      </c>
    </row>
    <row r="20243">
      <c r="A20243" s="1" t="s">
        <v>20242</v>
      </c>
      <c r="B20243" s="2" t="str">
        <f>IFERROR(__xludf.DUMMYFUNCTION("GOOGLETRANSLATE(A20243, ""de"", ""en"")"),"woof")</f>
        <v>woof</v>
      </c>
    </row>
    <row r="20244">
      <c r="A20244" s="1" t="s">
        <v>20243</v>
      </c>
      <c r="B20244" s="2" t="str">
        <f>IFERROR(__xludf.DUMMYFUNCTION("GOOGLETRANSLATE(A20244, ""de"", ""en"")"),"crossing")</f>
        <v>crossing</v>
      </c>
    </row>
    <row r="20245">
      <c r="A20245" s="1" t="s">
        <v>20244</v>
      </c>
      <c r="B20245" s="2" t="str">
        <f>IFERROR(__xludf.DUMMYFUNCTION("GOOGLETRANSLATE(A20245, ""de"", ""en"")"),"Damian")</f>
        <v>Damian</v>
      </c>
    </row>
    <row r="20246">
      <c r="A20246" s="1" t="s">
        <v>20245</v>
      </c>
      <c r="B20246" s="2" t="str">
        <f>IFERROR(__xludf.DUMMYFUNCTION("GOOGLETRANSLATE(A20246, ""de"", ""en"")"),"gigantic")</f>
        <v>gigantic</v>
      </c>
    </row>
    <row r="20247">
      <c r="A20247" s="1" t="s">
        <v>20246</v>
      </c>
      <c r="B20247" s="2" t="str">
        <f>IFERROR(__xludf.DUMMYFUNCTION("GOOGLETRANSLATE(A20247, ""de"", ""en"")"),"tackle")</f>
        <v>tackle</v>
      </c>
    </row>
    <row r="20248">
      <c r="A20248" s="1" t="s">
        <v>20247</v>
      </c>
      <c r="B20248" s="2" t="str">
        <f>IFERROR(__xludf.DUMMYFUNCTION("GOOGLETRANSLATE(A20248, ""de"", ""en"")"),"died")</f>
        <v>died</v>
      </c>
    </row>
    <row r="20249">
      <c r="A20249" s="1" t="s">
        <v>20248</v>
      </c>
      <c r="B20249" s="2" t="str">
        <f>IFERROR(__xludf.DUMMYFUNCTION("GOOGLETRANSLATE(A20249, ""de"", ""en"")"),"camouflage")</f>
        <v>camouflage</v>
      </c>
    </row>
    <row r="20250">
      <c r="A20250" s="1" t="s">
        <v>20249</v>
      </c>
      <c r="B20250" s="2" t="str">
        <f>IFERROR(__xludf.DUMMYFUNCTION("GOOGLETRANSLATE(A20250, ""de"", ""en"")"),"dhs")</f>
        <v>dhs</v>
      </c>
    </row>
    <row r="20251">
      <c r="A20251" s="1" t="s">
        <v>20250</v>
      </c>
      <c r="B20251" s="2" t="str">
        <f>IFERROR(__xludf.DUMMYFUNCTION("GOOGLETRANSLATE(A20251, ""de"", ""en"")"),"cable television")</f>
        <v>cable television</v>
      </c>
    </row>
    <row r="20252">
      <c r="A20252" s="1" t="s">
        <v>20251</v>
      </c>
      <c r="B20252" s="2" t="str">
        <f>IFERROR(__xludf.DUMMYFUNCTION("GOOGLETRANSLATE(A20252, ""de"", ""en"")"),"Kyiv")</f>
        <v>Kyiv</v>
      </c>
    </row>
    <row r="20253">
      <c r="A20253" s="1" t="s">
        <v>20252</v>
      </c>
      <c r="B20253" s="2" t="str">
        <f>IFERROR(__xludf.DUMMYFUNCTION("GOOGLETRANSLATE(A20253, ""de"", ""en"")"),"overheard")</f>
        <v>overheard</v>
      </c>
    </row>
    <row r="20254">
      <c r="A20254" s="1" t="s">
        <v>20253</v>
      </c>
      <c r="B20254" s="2" t="str">
        <f>IFERROR(__xludf.DUMMYFUNCTION("GOOGLETRANSLATE(A20254, ""de"", ""en"")"),"stretch out")</f>
        <v>stretch out</v>
      </c>
    </row>
    <row r="20255">
      <c r="A20255" s="1" t="s">
        <v>20254</v>
      </c>
      <c r="B20255" s="2" t="str">
        <f>IFERROR(__xludf.DUMMYFUNCTION("GOOGLETRANSLATE(A20255, ""de"", ""en"")"),"ampoule")</f>
        <v>ampoule</v>
      </c>
    </row>
    <row r="20256">
      <c r="A20256" s="1" t="s">
        <v>20255</v>
      </c>
      <c r="B20256" s="2" t="str">
        <f>IFERROR(__xludf.DUMMYFUNCTION("GOOGLETRANSLATE(A20256, ""de"", ""en"")"),"autopsy report")</f>
        <v>autopsy report</v>
      </c>
    </row>
    <row r="20257">
      <c r="A20257" s="1" t="s">
        <v>20256</v>
      </c>
      <c r="B20257" s="2" t="str">
        <f>IFERROR(__xludf.DUMMYFUNCTION("GOOGLETRANSLATE(A20257, ""de"", ""en"")"),"Cecile")</f>
        <v>Cecile</v>
      </c>
    </row>
    <row r="20258">
      <c r="A20258" s="1" t="s">
        <v>20257</v>
      </c>
      <c r="B20258" s="2" t="str">
        <f>IFERROR(__xludf.DUMMYFUNCTION("GOOGLETRANSLATE(A20258, ""de"", ""en"")"),"switch")</f>
        <v>switch</v>
      </c>
    </row>
    <row r="20259">
      <c r="A20259" s="1" t="s">
        <v>20258</v>
      </c>
      <c r="B20259" s="2" t="str">
        <f>IFERROR(__xludf.DUMMYFUNCTION("GOOGLETRANSLATE(A20259, ""de"", ""en"")"),"myra")</f>
        <v>myra</v>
      </c>
    </row>
    <row r="20260">
      <c r="A20260" s="1" t="s">
        <v>20259</v>
      </c>
      <c r="B20260" s="2" t="str">
        <f>IFERROR(__xludf.DUMMYFUNCTION("GOOGLETRANSLATE(A20260, ""de"", ""en"")"),"corporal")</f>
        <v>corporal</v>
      </c>
    </row>
    <row r="20261">
      <c r="A20261" s="1" t="s">
        <v>20260</v>
      </c>
      <c r="B20261" s="2" t="str">
        <f>IFERROR(__xludf.DUMMYFUNCTION("GOOGLETRANSLATE(A20261, ""de"", ""en"")"),"arsonist")</f>
        <v>arsonist</v>
      </c>
    </row>
    <row r="20262">
      <c r="A20262" s="1" t="s">
        <v>20261</v>
      </c>
      <c r="B20262" s="2" t="str">
        <f>IFERROR(__xludf.DUMMYFUNCTION("GOOGLETRANSLATE(A20262, ""de"", ""en"")"),"sissi")</f>
        <v>sissi</v>
      </c>
    </row>
    <row r="20263">
      <c r="A20263" s="1" t="s">
        <v>20262</v>
      </c>
      <c r="B20263" s="2" t="str">
        <f>IFERROR(__xludf.DUMMYFUNCTION("GOOGLETRANSLATE(A20263, ""de"", ""en"")"),"grotesque")</f>
        <v>grotesque</v>
      </c>
    </row>
    <row r="20264">
      <c r="A20264" s="1" t="s">
        <v>20263</v>
      </c>
      <c r="B20264" s="2" t="str">
        <f>IFERROR(__xludf.DUMMYFUNCTION("GOOGLETRANSLATE(A20264, ""de"", ""en"")"),"Gill")</f>
        <v>Gill</v>
      </c>
    </row>
    <row r="20265">
      <c r="A20265" s="1" t="s">
        <v>20264</v>
      </c>
      <c r="B20265" s="2" t="str">
        <f>IFERROR(__xludf.DUMMYFUNCTION("GOOGLETRANSLATE(A20265, ""de"", ""en"")"),"pride")</f>
        <v>pride</v>
      </c>
    </row>
    <row r="20266">
      <c r="A20266" s="1" t="s">
        <v>20265</v>
      </c>
      <c r="B20266" s="2" t="str">
        <f>IFERROR(__xludf.DUMMYFUNCTION("GOOGLETRANSLATE(A20266, ""de"", ""en"")"),"discoveries")</f>
        <v>discoveries</v>
      </c>
    </row>
    <row r="20267">
      <c r="A20267" s="1" t="s">
        <v>20266</v>
      </c>
      <c r="B20267" s="2" t="str">
        <f>IFERROR(__xludf.DUMMYFUNCTION("GOOGLETRANSLATE(A20267, ""de"", ""en"")"),"twins")</f>
        <v>twins</v>
      </c>
    </row>
    <row r="20268">
      <c r="A20268" s="1" t="s">
        <v>20267</v>
      </c>
      <c r="B20268" s="2" t="str">
        <f>IFERROR(__xludf.DUMMYFUNCTION("GOOGLETRANSLATE(A20268, ""de"", ""en"")"),"exclude")</f>
        <v>exclude</v>
      </c>
    </row>
    <row r="20269">
      <c r="A20269" s="1" t="s">
        <v>20268</v>
      </c>
      <c r="B20269" s="2" t="str">
        <f>IFERROR(__xludf.DUMMYFUNCTION("GOOGLETRANSLATE(A20269, ""de"", ""en"")"),"pronunciation")</f>
        <v>pronunciation</v>
      </c>
    </row>
    <row r="20270">
      <c r="A20270" s="1" t="s">
        <v>20269</v>
      </c>
      <c r="B20270" s="2" t="str">
        <f>IFERROR(__xludf.DUMMYFUNCTION("GOOGLETRANSLATE(A20270, ""de"", ""en"")"),"creates")</f>
        <v>creates</v>
      </c>
    </row>
    <row r="20271">
      <c r="A20271" s="1" t="s">
        <v>20270</v>
      </c>
      <c r="B20271" s="2" t="str">
        <f>IFERROR(__xludf.DUMMYFUNCTION("GOOGLETRANSLATE(A20271, ""de"", ""en"")"),"cheesecake")</f>
        <v>cheesecake</v>
      </c>
    </row>
    <row r="20272">
      <c r="A20272" s="1" t="s">
        <v>20271</v>
      </c>
      <c r="B20272" s="2" t="str">
        <f>IFERROR(__xludf.DUMMYFUNCTION("GOOGLETRANSLATE(A20272, ""de"", ""en"")"),"goes up")</f>
        <v>goes up</v>
      </c>
    </row>
    <row r="20273">
      <c r="A20273" s="1" t="s">
        <v>20272</v>
      </c>
      <c r="B20273" s="2" t="str">
        <f>IFERROR(__xludf.DUMMYFUNCTION("GOOGLETRANSLATE(A20273, ""de"", ""en"")"),"betrayal")</f>
        <v>betrayal</v>
      </c>
    </row>
    <row r="20274">
      <c r="A20274" s="1" t="s">
        <v>20273</v>
      </c>
      <c r="B20274" s="2" t="str">
        <f>IFERROR(__xludf.DUMMYFUNCTION("GOOGLETRANSLATE(A20274, ""de"", ""en"")"),"Winslow")</f>
        <v>Winslow</v>
      </c>
    </row>
    <row r="20275">
      <c r="A20275" s="1" t="s">
        <v>20274</v>
      </c>
      <c r="B20275" s="2" t="str">
        <f>IFERROR(__xludf.DUMMYFUNCTION("GOOGLETRANSLATE(A20275, ""de"", ""en"")"),"Wilcox")</f>
        <v>Wilcox</v>
      </c>
    </row>
    <row r="20276">
      <c r="A20276" s="1" t="s">
        <v>20275</v>
      </c>
      <c r="B20276" s="2" t="str">
        <f>IFERROR(__xludf.DUMMYFUNCTION("GOOGLETRANSLATE(A20276, ""de"", ""en"")"),"order")</f>
        <v>order</v>
      </c>
    </row>
    <row r="20277">
      <c r="A20277" s="1" t="s">
        <v>20276</v>
      </c>
      <c r="B20277" s="2" t="str">
        <f>IFERROR(__xludf.DUMMYFUNCTION("GOOGLETRANSLATE(A20277, ""de"", ""en"")"),"read out")</f>
        <v>read out</v>
      </c>
    </row>
    <row r="20278">
      <c r="A20278" s="1" t="s">
        <v>20277</v>
      </c>
      <c r="B20278" s="2" t="str">
        <f>IFERROR(__xludf.DUMMYFUNCTION("GOOGLETRANSLATE(A20278, ""de"", ""en"")"),"whisper")</f>
        <v>whisper</v>
      </c>
    </row>
    <row r="20279">
      <c r="A20279" s="1" t="s">
        <v>20278</v>
      </c>
      <c r="B20279" s="2" t="str">
        <f>IFERROR(__xludf.DUMMYFUNCTION("GOOGLETRANSLATE(A20279, ""de"", ""en"")"),"ninjas")</f>
        <v>ninjas</v>
      </c>
    </row>
    <row r="20280">
      <c r="A20280" s="1" t="s">
        <v>20279</v>
      </c>
      <c r="B20280" s="2" t="str">
        <f>IFERROR(__xludf.DUMMYFUNCTION("GOOGLETRANSLATE(A20280, ""de"", ""en"")"),"headshot")</f>
        <v>headshot</v>
      </c>
    </row>
    <row r="20281">
      <c r="A20281" s="1" t="s">
        <v>20280</v>
      </c>
      <c r="B20281" s="2" t="str">
        <f>IFERROR(__xludf.DUMMYFUNCTION("GOOGLETRANSLATE(A20281, ""de"", ""en"")"),"baskets")</f>
        <v>baskets</v>
      </c>
    </row>
    <row r="20282">
      <c r="A20282" s="1" t="s">
        <v>20281</v>
      </c>
      <c r="B20282" s="2" t="str">
        <f>IFERROR(__xludf.DUMMYFUNCTION("GOOGLETRANSLATE(A20282, ""de"", ""en"")"),"long distance call")</f>
        <v>long distance call</v>
      </c>
    </row>
    <row r="20283">
      <c r="A20283" s="1" t="s">
        <v>20282</v>
      </c>
      <c r="B20283" s="2" t="str">
        <f>IFERROR(__xludf.DUMMYFUNCTION("GOOGLETRANSLATE(A20283, ""de"", ""en"")"),"catch a cold")</f>
        <v>catch a cold</v>
      </c>
    </row>
    <row r="20284">
      <c r="A20284" s="1" t="s">
        <v>20283</v>
      </c>
      <c r="B20284" s="2" t="str">
        <f>IFERROR(__xludf.DUMMYFUNCTION("GOOGLETRANSLATE(A20284, ""de"", ""en"")"),"decoy")</f>
        <v>decoy</v>
      </c>
    </row>
    <row r="20285">
      <c r="A20285" s="1" t="s">
        <v>20284</v>
      </c>
      <c r="B20285" s="2" t="str">
        <f>IFERROR(__xludf.DUMMYFUNCTION("GOOGLETRANSLATE(A20285, ""de"", ""en"")"),"acts")</f>
        <v>acts</v>
      </c>
    </row>
    <row r="20286">
      <c r="A20286" s="1" t="s">
        <v>20285</v>
      </c>
      <c r="B20286" s="2" t="str">
        <f>IFERROR(__xludf.DUMMYFUNCTION("GOOGLETRANSLATE(A20286, ""de"", ""en"")"),"withdraws")</f>
        <v>withdraws</v>
      </c>
    </row>
    <row r="20287">
      <c r="A20287" s="1" t="s">
        <v>20286</v>
      </c>
      <c r="B20287" s="2" t="str">
        <f>IFERROR(__xludf.DUMMYFUNCTION("GOOGLETRANSLATE(A20287, ""de"", ""en"")"),"jingle")</f>
        <v>jingle</v>
      </c>
    </row>
    <row r="20288">
      <c r="A20288" s="1" t="s">
        <v>20287</v>
      </c>
      <c r="B20288" s="2" t="str">
        <f>IFERROR(__xludf.DUMMYFUNCTION("GOOGLETRANSLATE(A20288, ""de"", ""en"")"),"badger")</f>
        <v>badger</v>
      </c>
    </row>
    <row r="20289">
      <c r="A20289" s="1" t="s">
        <v>20288</v>
      </c>
      <c r="B20289" s="2" t="str">
        <f>IFERROR(__xludf.DUMMYFUNCTION("GOOGLETRANSLATE(A20289, ""de"", ""en"")"),"gloomy")</f>
        <v>gloomy</v>
      </c>
    </row>
    <row r="20290">
      <c r="A20290" s="1" t="s">
        <v>20289</v>
      </c>
      <c r="B20290" s="2" t="str">
        <f>IFERROR(__xludf.DUMMYFUNCTION("GOOGLETRANSLATE(A20290, ""de"", ""en"")"),"should")</f>
        <v>should</v>
      </c>
    </row>
    <row r="20291">
      <c r="A20291" s="1" t="s">
        <v>20290</v>
      </c>
      <c r="B20291" s="2" t="str">
        <f>IFERROR(__xludf.DUMMYFUNCTION("GOOGLETRANSLATE(A20291, ""de"", ""en"")"),"landlady")</f>
        <v>landlady</v>
      </c>
    </row>
    <row r="20292">
      <c r="A20292" s="1" t="s">
        <v>20291</v>
      </c>
      <c r="B20292" s="2" t="str">
        <f>IFERROR(__xludf.DUMMYFUNCTION("GOOGLETRANSLATE(A20292, ""de"", ""en"")"),"get ahead of yourself")</f>
        <v>get ahead of yourself</v>
      </c>
    </row>
    <row r="20293">
      <c r="A20293" s="1" t="s">
        <v>20292</v>
      </c>
      <c r="B20293" s="2" t="str">
        <f>IFERROR(__xludf.DUMMYFUNCTION("GOOGLETRANSLATE(A20293, ""de"", ""en"")"),"Germany")</f>
        <v>Germany</v>
      </c>
    </row>
    <row r="20294">
      <c r="A20294" s="1" t="s">
        <v>20293</v>
      </c>
      <c r="B20294" s="2" t="str">
        <f>IFERROR(__xludf.DUMMYFUNCTION("GOOGLETRANSLATE(A20294, ""de"", ""en"")"),"gogh")</f>
        <v>gogh</v>
      </c>
    </row>
    <row r="20295">
      <c r="A20295" s="1" t="s">
        <v>20294</v>
      </c>
      <c r="B20295" s="2" t="str">
        <f>IFERROR(__xludf.DUMMYFUNCTION("GOOGLETRANSLATE(A20295, ""de"", ""en"")"),"mj")</f>
        <v>mj</v>
      </c>
    </row>
    <row r="20296">
      <c r="A20296" s="1" t="s">
        <v>20295</v>
      </c>
      <c r="B20296" s="2" t="str">
        <f>IFERROR(__xludf.DUMMYFUNCTION("GOOGLETRANSLATE(A20296, ""de"", ""en"")"),"go out")</f>
        <v>go out</v>
      </c>
    </row>
    <row r="20297">
      <c r="A20297" s="1" t="s">
        <v>20296</v>
      </c>
      <c r="B20297" s="2" t="str">
        <f>IFERROR(__xludf.DUMMYFUNCTION("GOOGLETRANSLATE(A20297, ""de"", ""en"")"),"Reuben")</f>
        <v>Reuben</v>
      </c>
    </row>
    <row r="20298">
      <c r="A20298" s="1" t="s">
        <v>20297</v>
      </c>
      <c r="B20298" s="2" t="str">
        <f>IFERROR(__xludf.DUMMYFUNCTION("GOOGLETRANSLATE(A20298, ""de"", ""en"")"),"belonged")</f>
        <v>belonged</v>
      </c>
    </row>
    <row r="20299">
      <c r="A20299" s="1" t="s">
        <v>20298</v>
      </c>
      <c r="B20299" s="2" t="str">
        <f>IFERROR(__xludf.DUMMYFUNCTION("GOOGLETRANSLATE(A20299, ""de"", ""en"")"),"harem")</f>
        <v>harem</v>
      </c>
    </row>
    <row r="20300">
      <c r="A20300" s="1" t="s">
        <v>20299</v>
      </c>
      <c r="B20300" s="2" t="str">
        <f>IFERROR(__xludf.DUMMYFUNCTION("GOOGLETRANSLATE(A20300, ""de"", ""en"")"),"square")</f>
        <v>square</v>
      </c>
    </row>
    <row r="20301">
      <c r="A20301" s="1" t="s">
        <v>20300</v>
      </c>
      <c r="B20301" s="2" t="str">
        <f>IFERROR(__xludf.DUMMYFUNCTION("GOOGLETRANSLATE(A20301, ""de"", ""en"")"),"Kruger")</f>
        <v>Kruger</v>
      </c>
    </row>
    <row r="20302">
      <c r="A20302" s="1" t="s">
        <v>20301</v>
      </c>
      <c r="B20302" s="2" t="str">
        <f>IFERROR(__xludf.DUMMYFUNCTION("GOOGLETRANSLATE(A20302, ""de"", ""en"")"),"loving couple")</f>
        <v>loving couple</v>
      </c>
    </row>
    <row r="20303">
      <c r="A20303" s="1" t="s">
        <v>20302</v>
      </c>
      <c r="B20303" s="2" t="str">
        <f>IFERROR(__xludf.DUMMYFUNCTION("GOOGLETRANSLATE(A20303, ""de"", ""en"")"),"tour")</f>
        <v>tour</v>
      </c>
    </row>
    <row r="20304">
      <c r="A20304" s="1" t="s">
        <v>20303</v>
      </c>
      <c r="B20304" s="2" t="str">
        <f>IFERROR(__xludf.DUMMYFUNCTION("GOOGLETRANSLATE(A20304, ""de"", ""en"")"),"picked up")</f>
        <v>picked up</v>
      </c>
    </row>
    <row r="20305">
      <c r="A20305" s="1" t="s">
        <v>20304</v>
      </c>
      <c r="B20305" s="2" t="str">
        <f>IFERROR(__xludf.DUMMYFUNCTION("GOOGLETRANSLATE(A20305, ""de"", ""en"")"),"seasons")</f>
        <v>seasons</v>
      </c>
    </row>
    <row r="20306">
      <c r="A20306" s="1" t="s">
        <v>20305</v>
      </c>
      <c r="B20306" s="2" t="str">
        <f>IFERROR(__xludf.DUMMYFUNCTION("GOOGLETRANSLATE(A20306, ""de"", ""en"")"),"Wilma")</f>
        <v>Wilma</v>
      </c>
    </row>
    <row r="20307">
      <c r="A20307" s="1" t="s">
        <v>20306</v>
      </c>
      <c r="B20307" s="2" t="str">
        <f>IFERROR(__xludf.DUMMYFUNCTION("GOOGLETRANSLATE(A20307, ""de"", ""en"")"),"surefire")</f>
        <v>surefire</v>
      </c>
    </row>
    <row r="20308">
      <c r="A20308" s="1" t="s">
        <v>20307</v>
      </c>
      <c r="B20308" s="2" t="str">
        <f>IFERROR(__xludf.DUMMYFUNCTION("GOOGLETRANSLATE(A20308, ""de"", ""en"")"),"taken by surprise")</f>
        <v>taken by surprise</v>
      </c>
    </row>
    <row r="20309">
      <c r="A20309" s="1" t="s">
        <v>20308</v>
      </c>
      <c r="B20309" s="2" t="str">
        <f>IFERROR(__xludf.DUMMYFUNCTION("GOOGLETRANSLATE(A20309, ""de"", ""en"")"),"split")</f>
        <v>split</v>
      </c>
    </row>
    <row r="20310">
      <c r="A20310" s="1" t="s">
        <v>20309</v>
      </c>
      <c r="B20310" s="2" t="str">
        <f>IFERROR(__xludf.DUMMYFUNCTION("GOOGLETRANSLATE(A20310, ""de"", ""en"")"),"flip")</f>
        <v>flip</v>
      </c>
    </row>
    <row r="20311">
      <c r="A20311" s="1" t="s">
        <v>20310</v>
      </c>
      <c r="B20311" s="2" t="str">
        <f>IFERROR(__xludf.DUMMYFUNCTION("GOOGLETRANSLATE(A20311, ""de"", ""en"")"),"groschen")</f>
        <v>groschen</v>
      </c>
    </row>
    <row r="20312">
      <c r="A20312" s="1" t="s">
        <v>20311</v>
      </c>
      <c r="B20312" s="2" t="str">
        <f>IFERROR(__xludf.DUMMYFUNCTION("GOOGLETRANSLATE(A20312, ""de"", ""en"")"),"worn")</f>
        <v>worn</v>
      </c>
    </row>
    <row r="20313">
      <c r="A20313" s="1" t="s">
        <v>20312</v>
      </c>
      <c r="B20313" s="2" t="str">
        <f>IFERROR(__xludf.DUMMYFUNCTION("GOOGLETRANSLATE(A20313, ""de"", ""en"")"),"Turkish")</f>
        <v>Turkish</v>
      </c>
    </row>
    <row r="20314">
      <c r="A20314" s="1" t="s">
        <v>20313</v>
      </c>
      <c r="B20314" s="2" t="str">
        <f>IFERROR(__xludf.DUMMYFUNCTION("GOOGLETRANSLATE(A20314, ""de"", ""en"")"),"smart")</f>
        <v>smart</v>
      </c>
    </row>
    <row r="20315">
      <c r="A20315" s="1" t="s">
        <v>20314</v>
      </c>
      <c r="B20315" s="2" t="str">
        <f>IFERROR(__xludf.DUMMYFUNCTION("GOOGLETRANSLATE(A20315, ""de"", ""en"")"),"mis-selected")</f>
        <v>mis-selected</v>
      </c>
    </row>
    <row r="20316">
      <c r="A20316" s="1" t="s">
        <v>20315</v>
      </c>
      <c r="B20316" s="2" t="str">
        <f>IFERROR(__xludf.DUMMYFUNCTION("GOOGLETRANSLATE(A20316, ""de"", ""en"")"),"dubenko")</f>
        <v>dubenko</v>
      </c>
    </row>
    <row r="20317">
      <c r="A20317" s="1" t="s">
        <v>20316</v>
      </c>
      <c r="B20317" s="2" t="str">
        <f>IFERROR(__xludf.DUMMYFUNCTION("GOOGLETRANSLATE(A20317, ""de"", ""en"")"),"kenobi")</f>
        <v>kenobi</v>
      </c>
    </row>
    <row r="20318">
      <c r="A20318" s="1" t="s">
        <v>20317</v>
      </c>
      <c r="B20318" s="2" t="str">
        <f>IFERROR(__xludf.DUMMYFUNCTION("GOOGLETRANSLATE(A20318, ""de"", ""en"")"),"agreement")</f>
        <v>agreement</v>
      </c>
    </row>
    <row r="20319">
      <c r="A20319" s="1" t="s">
        <v>20318</v>
      </c>
      <c r="B20319" s="2" t="str">
        <f>IFERROR(__xludf.DUMMYFUNCTION("GOOGLETRANSLATE(A20319, ""de"", ""en"")"),"inside")</f>
        <v>inside</v>
      </c>
    </row>
    <row r="20320">
      <c r="A20320" s="1" t="s">
        <v>20319</v>
      </c>
      <c r="B20320" s="2" t="str">
        <f>IFERROR(__xludf.DUMMYFUNCTION("GOOGLETRANSLATE(A20320, ""de"", ""en"")"),"to try out")</f>
        <v>to try out</v>
      </c>
    </row>
    <row r="20321">
      <c r="A20321" s="1" t="s">
        <v>20320</v>
      </c>
      <c r="B20321" s="2" t="str">
        <f>IFERROR(__xludf.DUMMYFUNCTION("GOOGLETRANSLATE(A20321, ""de"", ""en"")"),"unite")</f>
        <v>unite</v>
      </c>
    </row>
    <row r="20322">
      <c r="A20322" s="1" t="s">
        <v>20321</v>
      </c>
      <c r="B20322" s="2" t="str">
        <f>IFERROR(__xludf.DUMMYFUNCTION("GOOGLETRANSLATE(A20322, ""de"", ""en"")"),"hesitate")</f>
        <v>hesitate</v>
      </c>
    </row>
    <row r="20323">
      <c r="A20323" s="1" t="s">
        <v>20322</v>
      </c>
      <c r="B20323" s="2" t="str">
        <f>IFERROR(__xludf.DUMMYFUNCTION("GOOGLETRANSLATE(A20323, ""de"", ""en"")"),"Israelis")</f>
        <v>Israelis</v>
      </c>
    </row>
    <row r="20324">
      <c r="A20324" s="1" t="s">
        <v>20323</v>
      </c>
      <c r="B20324" s="2" t="str">
        <f>IFERROR(__xludf.DUMMYFUNCTION("GOOGLETRANSLATE(A20324, ""de"", ""en"")"),"bachelor party")</f>
        <v>bachelor party</v>
      </c>
    </row>
    <row r="20325">
      <c r="A20325" s="1" t="s">
        <v>20324</v>
      </c>
      <c r="B20325" s="2" t="str">
        <f>IFERROR(__xludf.DUMMYFUNCTION("GOOGLETRANSLATE(A20325, ""de"", ""en"")"),"dancing")</f>
        <v>dancing</v>
      </c>
    </row>
    <row r="20326">
      <c r="A20326" s="1" t="s">
        <v>20325</v>
      </c>
      <c r="B20326" s="2" t="str">
        <f>IFERROR(__xludf.DUMMYFUNCTION("GOOGLETRANSLATE(A20326, ""de"", ""en"")"),"behavioral")</f>
        <v>behavioral</v>
      </c>
    </row>
    <row r="20327">
      <c r="A20327" s="1" t="s">
        <v>20326</v>
      </c>
      <c r="B20327" s="2" t="str">
        <f>IFERROR(__xludf.DUMMYFUNCTION("GOOGLETRANSLATE(A20327, ""de"", ""en"")"),"obvious")</f>
        <v>obvious</v>
      </c>
    </row>
    <row r="20328">
      <c r="A20328" s="1" t="s">
        <v>20327</v>
      </c>
      <c r="B20328" s="2" t="str">
        <f>IFERROR(__xludf.DUMMYFUNCTION("GOOGLETRANSLATE(A20328, ""de"", ""en"")"),"drag")</f>
        <v>drag</v>
      </c>
    </row>
    <row r="20329">
      <c r="A20329" s="1" t="s">
        <v>20328</v>
      </c>
      <c r="B20329" s="2" t="str">
        <f>IFERROR(__xludf.DUMMYFUNCTION("GOOGLETRANSLATE(A20329, ""de"", ""en"")"),"fee")</f>
        <v>fee</v>
      </c>
    </row>
    <row r="20330">
      <c r="A20330" s="1" t="s">
        <v>20329</v>
      </c>
      <c r="B20330" s="2" t="str">
        <f>IFERROR(__xludf.DUMMYFUNCTION("GOOGLETRANSLATE(A20330, ""de"", ""en"")"),"warped")</f>
        <v>warped</v>
      </c>
    </row>
    <row r="20331">
      <c r="A20331" s="1" t="s">
        <v>20330</v>
      </c>
      <c r="B20331" s="2" t="str">
        <f>IFERROR(__xludf.DUMMYFUNCTION("GOOGLETRANSLATE(A20331, ""de"", ""en"")"),"Idaho")</f>
        <v>Idaho</v>
      </c>
    </row>
    <row r="20332">
      <c r="A20332" s="1" t="s">
        <v>20331</v>
      </c>
      <c r="B20332" s="2" t="str">
        <f>IFERROR(__xludf.DUMMYFUNCTION("GOOGLETRANSLATE(A20332, ""de"", ""en"")"),"doubt")</f>
        <v>doubt</v>
      </c>
    </row>
    <row r="20333">
      <c r="A20333" s="1" t="s">
        <v>20332</v>
      </c>
      <c r="B20333" s="2" t="str">
        <f>IFERROR(__xludf.DUMMYFUNCTION("GOOGLETRANSLATE(A20333, ""de"", ""en"")"),"mateo")</f>
        <v>mateo</v>
      </c>
    </row>
    <row r="20334">
      <c r="A20334" s="1" t="s">
        <v>20333</v>
      </c>
      <c r="B20334" s="2" t="str">
        <f>IFERROR(__xludf.DUMMYFUNCTION("GOOGLETRANSLATE(A20334, ""de"", ""en"")"),"flaw")</f>
        <v>flaw</v>
      </c>
    </row>
    <row r="20335">
      <c r="A20335" s="1" t="s">
        <v>20334</v>
      </c>
      <c r="B20335" s="2" t="str">
        <f>IFERROR(__xludf.DUMMYFUNCTION("GOOGLETRANSLATE(A20335, ""de"", ""en"")"),"mean")</f>
        <v>mean</v>
      </c>
    </row>
    <row r="20336">
      <c r="A20336" s="1" t="s">
        <v>20335</v>
      </c>
      <c r="B20336" s="2" t="str">
        <f>IFERROR(__xludf.DUMMYFUNCTION("GOOGLETRANSLATE(A20336, ""de"", ""en"")"),"museums")</f>
        <v>museums</v>
      </c>
    </row>
    <row r="20337">
      <c r="A20337" s="1" t="s">
        <v>20336</v>
      </c>
      <c r="B20337" s="2" t="str">
        <f>IFERROR(__xludf.DUMMYFUNCTION("GOOGLETRANSLATE(A20337, ""de"", ""en"")"),"bicycles")</f>
        <v>bicycles</v>
      </c>
    </row>
    <row r="20338">
      <c r="A20338" s="1" t="s">
        <v>20337</v>
      </c>
      <c r="B20338" s="2" t="str">
        <f>IFERROR(__xludf.DUMMYFUNCTION("GOOGLETRANSLATE(A20338, ""de"", ""en"")"),"stare at")</f>
        <v>stare at</v>
      </c>
    </row>
    <row r="20339">
      <c r="A20339" s="1" t="s">
        <v>20338</v>
      </c>
      <c r="B20339" s="2" t="str">
        <f>IFERROR(__xludf.DUMMYFUNCTION("GOOGLETRANSLATE(A20339, ""de"", ""en"")"),"knock")</f>
        <v>knock</v>
      </c>
    </row>
    <row r="20340">
      <c r="A20340" s="1" t="s">
        <v>20339</v>
      </c>
      <c r="B20340" s="2" t="str">
        <f>IFERROR(__xludf.DUMMYFUNCTION("GOOGLETRANSLATE(A20340, ""de"", ""en"")"),"warehouse")</f>
        <v>warehouse</v>
      </c>
    </row>
    <row r="20341">
      <c r="A20341" s="1" t="s">
        <v>20340</v>
      </c>
      <c r="B20341" s="2" t="str">
        <f>IFERROR(__xludf.DUMMYFUNCTION("GOOGLETRANSLATE(A20341, ""de"", ""en"")"),"clementine")</f>
        <v>clementine</v>
      </c>
    </row>
    <row r="20342">
      <c r="A20342" s="1" t="s">
        <v>20341</v>
      </c>
      <c r="B20342" s="2" t="str">
        <f>IFERROR(__xludf.DUMMYFUNCTION("GOOGLETRANSLATE(A20342, ""de"", ""en"")"),"p.s.")</f>
        <v>p.s.</v>
      </c>
    </row>
    <row r="20343">
      <c r="A20343" s="1" t="s">
        <v>20342</v>
      </c>
      <c r="B20343" s="2" t="str">
        <f>IFERROR(__xludf.DUMMYFUNCTION("GOOGLETRANSLATE(A20343, ""de"", ""en"")"),"roadblock")</f>
        <v>roadblock</v>
      </c>
    </row>
    <row r="20344">
      <c r="A20344" s="1" t="s">
        <v>20343</v>
      </c>
      <c r="B20344" s="2" t="str">
        <f>IFERROR(__xludf.DUMMYFUNCTION("GOOGLETRANSLATE(A20344, ""de"", ""en"")"),"secure")</f>
        <v>secure</v>
      </c>
    </row>
    <row r="20345">
      <c r="A20345" s="1" t="s">
        <v>20344</v>
      </c>
      <c r="B20345" s="2" t="str">
        <f>IFERROR(__xludf.DUMMYFUNCTION("GOOGLETRANSLATE(A20345, ""de"", ""en"")"),"blank cartridges")</f>
        <v>blank cartridges</v>
      </c>
    </row>
    <row r="20346">
      <c r="A20346" s="1" t="s">
        <v>20345</v>
      </c>
      <c r="B20346" s="2" t="str">
        <f>IFERROR(__xludf.DUMMYFUNCTION("GOOGLETRANSLATE(A20346, ""de"", ""en"")"),"unlock")</f>
        <v>unlock</v>
      </c>
    </row>
    <row r="20347">
      <c r="A20347" s="1" t="s">
        <v>20346</v>
      </c>
      <c r="B20347" s="2" t="str">
        <f>IFERROR(__xludf.DUMMYFUNCTION("GOOGLETRANSLATE(A20347, ""de"", ""en"")"),"more familiar")</f>
        <v>more familiar</v>
      </c>
    </row>
    <row r="20348">
      <c r="A20348" s="1" t="s">
        <v>20347</v>
      </c>
      <c r="B20348" s="2" t="str">
        <f>IFERROR(__xludf.DUMMYFUNCTION("GOOGLETRANSLATE(A20348, ""de"", ""en"")"),"ballistics")</f>
        <v>ballistics</v>
      </c>
    </row>
    <row r="20349">
      <c r="A20349" s="1" t="s">
        <v>20348</v>
      </c>
      <c r="B20349" s="2" t="str">
        <f>IFERROR(__xludf.DUMMYFUNCTION("GOOGLETRANSLATE(A20349, ""de"", ""en"")"),"molecules")</f>
        <v>molecules</v>
      </c>
    </row>
    <row r="20350">
      <c r="A20350" s="1" t="s">
        <v>20349</v>
      </c>
      <c r="B20350" s="2" t="str">
        <f>IFERROR(__xludf.DUMMYFUNCTION("GOOGLETRANSLATE(A20350, ""de"", ""en"")"),"cadet")</f>
        <v>cadet</v>
      </c>
    </row>
    <row r="20351">
      <c r="A20351" s="1" t="s">
        <v>20350</v>
      </c>
      <c r="B20351" s="2" t="str">
        <f>IFERROR(__xludf.DUMMYFUNCTION("GOOGLETRANSLATE(A20351, ""de"", ""en"")"),"rhyme")</f>
        <v>rhyme</v>
      </c>
    </row>
    <row r="20352">
      <c r="A20352" s="1" t="s">
        <v>20351</v>
      </c>
      <c r="B20352" s="2" t="str">
        <f>IFERROR(__xludf.DUMMYFUNCTION("GOOGLETRANSLATE(A20352, ""de"", ""en"")"),"innuendo")</f>
        <v>innuendo</v>
      </c>
    </row>
    <row r="20353">
      <c r="A20353" s="1" t="s">
        <v>20352</v>
      </c>
      <c r="B20353" s="2" t="str">
        <f>IFERROR(__xludf.DUMMYFUNCTION("GOOGLETRANSLATE(A20353, ""de"", ""en"")"),"donated")</f>
        <v>donated</v>
      </c>
    </row>
    <row r="20354">
      <c r="A20354" s="1" t="s">
        <v>20353</v>
      </c>
      <c r="B20354" s="2" t="str">
        <f>IFERROR(__xludf.DUMMYFUNCTION("GOOGLETRANSLATE(A20354, ""de"", ""en"")"),"health department")</f>
        <v>health department</v>
      </c>
    </row>
    <row r="20355">
      <c r="A20355" s="1" t="s">
        <v>20354</v>
      </c>
      <c r="B20355" s="2" t="str">
        <f>IFERROR(__xludf.DUMMYFUNCTION("GOOGLETRANSLATE(A20355, ""de"", ""en"")"),"deliver")</f>
        <v>deliver</v>
      </c>
    </row>
    <row r="20356">
      <c r="A20356" s="1" t="s">
        <v>20355</v>
      </c>
      <c r="B20356" s="2" t="str">
        <f>IFERROR(__xludf.DUMMYFUNCTION("GOOGLETRANSLATE(A20356, ""de"", ""en"")"),"homeland")</f>
        <v>homeland</v>
      </c>
    </row>
    <row r="20357">
      <c r="A20357" s="1" t="s">
        <v>20356</v>
      </c>
      <c r="B20357" s="2" t="str">
        <f>IFERROR(__xludf.DUMMYFUNCTION("GOOGLETRANSLATE(A20357, ""de"", ""en"")"),"fire protection")</f>
        <v>fire protection</v>
      </c>
    </row>
    <row r="20358">
      <c r="A20358" s="1" t="s">
        <v>20357</v>
      </c>
      <c r="B20358" s="2" t="str">
        <f>IFERROR(__xludf.DUMMYFUNCTION("GOOGLETRANSLATE(A20358, ""de"", ""en"")"),"sting")</f>
        <v>sting</v>
      </c>
    </row>
    <row r="20359">
      <c r="A20359" s="1" t="s">
        <v>20358</v>
      </c>
      <c r="B20359" s="2" t="str">
        <f>IFERROR(__xludf.DUMMYFUNCTION("GOOGLETRANSLATE(A20359, ""de"", ""en"")"),"noticed")</f>
        <v>noticed</v>
      </c>
    </row>
    <row r="20360">
      <c r="A20360" s="1" t="s">
        <v>20359</v>
      </c>
      <c r="B20360" s="2" t="str">
        <f>IFERROR(__xludf.DUMMYFUNCTION("GOOGLETRANSLATE(A20360, ""de"", ""en"")"),"india")</f>
        <v>india</v>
      </c>
    </row>
    <row r="20361">
      <c r="A20361" s="1" t="s">
        <v>20360</v>
      </c>
      <c r="B20361" s="2" t="str">
        <f>IFERROR(__xludf.DUMMYFUNCTION("GOOGLETRANSLATE(A20361, ""de"", ""en"")"),"addressed")</f>
        <v>addressed</v>
      </c>
    </row>
    <row r="20362">
      <c r="A20362" s="1" t="s">
        <v>20361</v>
      </c>
      <c r="B20362" s="2" t="str">
        <f>IFERROR(__xludf.DUMMYFUNCTION("GOOGLETRANSLATE(A20362, ""de"", ""en"")"),"bank robbery")</f>
        <v>bank robbery</v>
      </c>
    </row>
    <row r="20363">
      <c r="A20363" s="1" t="s">
        <v>20362</v>
      </c>
      <c r="B20363" s="2" t="str">
        <f>IFERROR(__xludf.DUMMYFUNCTION("GOOGLETRANSLATE(A20363, ""de"", ""en"")"),"Bedford")</f>
        <v>Bedford</v>
      </c>
    </row>
    <row r="20364">
      <c r="A20364" s="1" t="s">
        <v>20363</v>
      </c>
      <c r="B20364" s="2" t="str">
        <f>IFERROR(__xludf.DUMMYFUNCTION("GOOGLETRANSLATE(A20364, ""de"", ""en"")"),"refute")</f>
        <v>refute</v>
      </c>
    </row>
    <row r="20365">
      <c r="A20365" s="1" t="s">
        <v>20364</v>
      </c>
      <c r="B20365" s="2" t="str">
        <f>IFERROR(__xludf.DUMMYFUNCTION("GOOGLETRANSLATE(A20365, ""de"", ""en"")"),"rectory")</f>
        <v>rectory</v>
      </c>
    </row>
    <row r="20366">
      <c r="A20366" s="1" t="s">
        <v>20365</v>
      </c>
      <c r="B20366" s="2" t="str">
        <f>IFERROR(__xludf.DUMMYFUNCTION("GOOGLETRANSLATE(A20366, ""de"", ""en"")"),"wetter")</f>
        <v>wetter</v>
      </c>
    </row>
    <row r="20367">
      <c r="A20367" s="1" t="s">
        <v>20366</v>
      </c>
      <c r="B20367" s="2" t="str">
        <f>IFERROR(__xludf.DUMMYFUNCTION("GOOGLETRANSLATE(A20367, ""de"", ""en"")"),"year of life")</f>
        <v>year of life</v>
      </c>
    </row>
    <row r="20368">
      <c r="A20368" s="1" t="s">
        <v>20367</v>
      </c>
      <c r="B20368" s="2" t="str">
        <f>IFERROR(__xludf.DUMMYFUNCTION("GOOGLETRANSLATE(A20368, ""de"", ""en"")"),"more beautiful")</f>
        <v>more beautiful</v>
      </c>
    </row>
    <row r="20369">
      <c r="A20369" s="1" t="s">
        <v>20368</v>
      </c>
      <c r="B20369" s="2" t="str">
        <f>IFERROR(__xludf.DUMMYFUNCTION("GOOGLETRANSLATE(A20369, ""de"", ""en"")"),"combustion")</f>
        <v>combustion</v>
      </c>
    </row>
    <row r="20370">
      <c r="A20370" s="1" t="s">
        <v>20369</v>
      </c>
      <c r="B20370" s="2" t="str">
        <f>IFERROR(__xludf.DUMMYFUNCTION("GOOGLETRANSLATE(A20370, ""de"", ""en"")"),"Cologne")</f>
        <v>Cologne</v>
      </c>
    </row>
    <row r="20371">
      <c r="A20371" s="1" t="s">
        <v>20370</v>
      </c>
      <c r="B20371" s="2" t="str">
        <f>IFERROR(__xludf.DUMMYFUNCTION("GOOGLETRANSLATE(A20371, ""de"", ""en"")"),"clennam")</f>
        <v>clennam</v>
      </c>
    </row>
    <row r="20372">
      <c r="A20372" s="1" t="s">
        <v>20371</v>
      </c>
      <c r="B20372" s="2" t="str">
        <f>IFERROR(__xludf.DUMMYFUNCTION("GOOGLETRANSLATE(A20372, ""de"", ""en"")"),"favorites")</f>
        <v>favorites</v>
      </c>
    </row>
    <row r="20373">
      <c r="A20373" s="1" t="s">
        <v>20372</v>
      </c>
      <c r="B20373" s="2" t="str">
        <f>IFERROR(__xludf.DUMMYFUNCTION("GOOGLETRANSLATE(A20373, ""de"", ""en"")"),"brood")</f>
        <v>brood</v>
      </c>
    </row>
    <row r="20374">
      <c r="A20374" s="1" t="s">
        <v>20373</v>
      </c>
      <c r="B20374" s="2" t="str">
        <f>IFERROR(__xludf.DUMMYFUNCTION("GOOGLETRANSLATE(A20374, ""de"", ""en"")"),"guest star")</f>
        <v>guest star</v>
      </c>
    </row>
    <row r="20375">
      <c r="A20375" s="1" t="s">
        <v>20374</v>
      </c>
      <c r="B20375" s="2" t="str">
        <f>IFERROR(__xludf.DUMMYFUNCTION("GOOGLETRANSLATE(A20375, ""de"", ""en"")"),"Matthias")</f>
        <v>Matthias</v>
      </c>
    </row>
    <row r="20376">
      <c r="A20376" s="1" t="s">
        <v>20375</v>
      </c>
      <c r="B20376" s="2" t="str">
        <f>IFERROR(__xludf.DUMMYFUNCTION("GOOGLETRANSLATE(A20376, ""de"", ""en"")"),"bitter")</f>
        <v>bitter</v>
      </c>
    </row>
    <row r="20377">
      <c r="A20377" s="1" t="s">
        <v>20376</v>
      </c>
      <c r="B20377" s="2" t="str">
        <f>IFERROR(__xludf.DUMMYFUNCTION("GOOGLETRANSLATE(A20377, ""de"", ""en"")"),"cross-examination")</f>
        <v>cross-examination</v>
      </c>
    </row>
    <row r="20378">
      <c r="A20378" s="1" t="s">
        <v>20377</v>
      </c>
      <c r="B20378" s="2" t="str">
        <f>IFERROR(__xludf.DUMMYFUNCTION("GOOGLETRANSLATE(A20378, ""de"", ""en"")"),"place")</f>
        <v>place</v>
      </c>
    </row>
    <row r="20379">
      <c r="A20379" s="1" t="s">
        <v>20378</v>
      </c>
      <c r="B20379" s="2" t="str">
        <f>IFERROR(__xludf.DUMMYFUNCTION("GOOGLETRANSLATE(A20379, ""de"", ""en"")"),"aw")</f>
        <v>aw</v>
      </c>
    </row>
    <row r="20380">
      <c r="A20380" s="1" t="s">
        <v>20379</v>
      </c>
      <c r="B20380" s="2" t="str">
        <f>IFERROR(__xludf.DUMMYFUNCTION("GOOGLETRANSLATE(A20380, ""de"", ""en"")"),"nightly")</f>
        <v>nightly</v>
      </c>
    </row>
    <row r="20381">
      <c r="A20381" s="1" t="s">
        <v>20380</v>
      </c>
      <c r="B20381" s="2" t="str">
        <f>IFERROR(__xludf.DUMMYFUNCTION("GOOGLETRANSLATE(A20381, ""de"", ""en"")"),"closed")</f>
        <v>closed</v>
      </c>
    </row>
    <row r="20382">
      <c r="A20382" s="1" t="s">
        <v>20381</v>
      </c>
      <c r="B20382" s="2" t="str">
        <f>IFERROR(__xludf.DUMMYFUNCTION("GOOGLETRANSLATE(A20382, ""de"", ""en"")"),"bumped")</f>
        <v>bumped</v>
      </c>
    </row>
    <row r="20383">
      <c r="A20383" s="1" t="s">
        <v>20382</v>
      </c>
      <c r="B20383" s="2" t="str">
        <f>IFERROR(__xludf.DUMMYFUNCTION("GOOGLETRANSLATE(A20383, ""de"", ""en"")"),"mistress")</f>
        <v>mistress</v>
      </c>
    </row>
    <row r="20384">
      <c r="A20384" s="1" t="s">
        <v>20383</v>
      </c>
      <c r="B20384" s="2" t="str">
        <f>IFERROR(__xludf.DUMMYFUNCTION("GOOGLETRANSLATE(A20384, ""de"", ""en"")"),"vitality")</f>
        <v>vitality</v>
      </c>
    </row>
    <row r="20385">
      <c r="A20385" s="1" t="s">
        <v>20384</v>
      </c>
      <c r="B20385" s="2" t="str">
        <f>IFERROR(__xludf.DUMMYFUNCTION("GOOGLETRANSLATE(A20385, ""de"", ""en"")"),"nagus")</f>
        <v>nagus</v>
      </c>
    </row>
    <row r="20386">
      <c r="A20386" s="1" t="s">
        <v>20385</v>
      </c>
      <c r="B20386" s="2" t="str">
        <f>IFERROR(__xludf.DUMMYFUNCTION("GOOGLETRANSLATE(A20386, ""de"", ""en"")"),"lebrac")</f>
        <v>lebrac</v>
      </c>
    </row>
    <row r="20387">
      <c r="A20387" s="1" t="s">
        <v>20386</v>
      </c>
      <c r="B20387" s="2" t="str">
        <f>IFERROR(__xludf.DUMMYFUNCTION("GOOGLETRANSLATE(A20387, ""de"", ""en"")"),"pensive")</f>
        <v>pensive</v>
      </c>
    </row>
    <row r="20388">
      <c r="A20388" s="1" t="s">
        <v>20387</v>
      </c>
      <c r="B20388" s="2" t="str">
        <f>IFERROR(__xludf.DUMMYFUNCTION("GOOGLETRANSLATE(A20388, ""de"", ""en"")"),"knives")</f>
        <v>knives</v>
      </c>
    </row>
    <row r="20389">
      <c r="A20389" s="1" t="s">
        <v>20388</v>
      </c>
      <c r="B20389" s="2" t="str">
        <f>IFERROR(__xludf.DUMMYFUNCTION("GOOGLETRANSLATE(A20389, ""de"", ""en"")"),"Pfeiffer")</f>
        <v>Pfeiffer</v>
      </c>
    </row>
    <row r="20390">
      <c r="A20390" s="1" t="s">
        <v>20389</v>
      </c>
      <c r="B20390" s="2" t="str">
        <f>IFERROR(__xludf.DUMMYFUNCTION("GOOGLETRANSLATE(A20390, ""de"", ""en"")"),"DVDs")</f>
        <v>DVDs</v>
      </c>
    </row>
    <row r="20391">
      <c r="A20391" s="1" t="s">
        <v>20390</v>
      </c>
      <c r="B20391" s="2" t="str">
        <f>IFERROR(__xludf.DUMMYFUNCTION("GOOGLETRANSLATE(A20391, ""de"", ""en"")"),"short-sighted")</f>
        <v>short-sighted</v>
      </c>
    </row>
    <row r="20392">
      <c r="A20392" s="1" t="s">
        <v>20391</v>
      </c>
      <c r="B20392" s="2" t="str">
        <f>IFERROR(__xludf.DUMMYFUNCTION("GOOGLETRANSLATE(A20392, ""de"", ""en"")"),"horror film")</f>
        <v>horror film</v>
      </c>
    </row>
    <row r="20393">
      <c r="A20393" s="1" t="s">
        <v>20392</v>
      </c>
      <c r="B20393" s="2" t="str">
        <f>IFERROR(__xludf.DUMMYFUNCTION("GOOGLETRANSLATE(A20393, ""de"", ""en"")"),"caring")</f>
        <v>caring</v>
      </c>
    </row>
    <row r="20394">
      <c r="A20394" s="1" t="s">
        <v>20393</v>
      </c>
      <c r="B20394" s="2" t="str">
        <f>IFERROR(__xludf.DUMMYFUNCTION("GOOGLETRANSLATE(A20394, ""de"", ""en"")"),"narrow")</f>
        <v>narrow</v>
      </c>
    </row>
    <row r="20395">
      <c r="A20395" s="1" t="s">
        <v>20394</v>
      </c>
      <c r="B20395" s="2" t="str">
        <f>IFERROR(__xludf.DUMMYFUNCTION("GOOGLETRANSLATE(A20395, ""de"", ""en"")"),"be")</f>
        <v>be</v>
      </c>
    </row>
    <row r="20396">
      <c r="A20396" s="1" t="s">
        <v>20395</v>
      </c>
      <c r="B20396" s="2" t="str">
        <f>IFERROR(__xludf.DUMMYFUNCTION("GOOGLETRANSLATE(A20396, ""de"", ""en"")"),"custer")</f>
        <v>custer</v>
      </c>
    </row>
    <row r="20397">
      <c r="A20397" s="1" t="s">
        <v>20396</v>
      </c>
      <c r="B20397" s="2" t="str">
        <f>IFERROR(__xludf.DUMMYFUNCTION("GOOGLETRANSLATE(A20397, ""de"", ""en"")"),"further developed")</f>
        <v>further developed</v>
      </c>
    </row>
    <row r="20398">
      <c r="A20398" s="1" t="s">
        <v>20397</v>
      </c>
      <c r="B20398" s="2" t="str">
        <f>IFERROR(__xludf.DUMMYFUNCTION("GOOGLETRANSLATE(A20398, ""de"", ""en"")"),"lectures")</f>
        <v>lectures</v>
      </c>
    </row>
    <row r="20399">
      <c r="A20399" s="1" t="s">
        <v>20398</v>
      </c>
      <c r="B20399" s="2" t="str">
        <f>IFERROR(__xludf.DUMMYFUNCTION("GOOGLETRANSLATE(A20399, ""de"", ""en"")"),"observe")</f>
        <v>observe</v>
      </c>
    </row>
    <row r="20400">
      <c r="A20400" s="1" t="s">
        <v>20399</v>
      </c>
      <c r="B20400" s="2" t="str">
        <f>IFERROR(__xludf.DUMMYFUNCTION("GOOGLETRANSLATE(A20400, ""de"", ""en"")"),"Marnie")</f>
        <v>Marnie</v>
      </c>
    </row>
    <row r="20401">
      <c r="A20401" s="1" t="s">
        <v>20400</v>
      </c>
      <c r="B20401" s="2" t="str">
        <f>IFERROR(__xludf.DUMMYFUNCTION("GOOGLETRANSLATE(A20401, ""de"", ""en"")"),"bushes")</f>
        <v>bushes</v>
      </c>
    </row>
    <row r="20402">
      <c r="A20402" s="1" t="s">
        <v>20401</v>
      </c>
      <c r="B20402" s="2" t="str">
        <f>IFERROR(__xludf.DUMMYFUNCTION("GOOGLETRANSLATE(A20402, ""de"", ""en"")"),"bed linen")</f>
        <v>bed linen</v>
      </c>
    </row>
    <row r="20403">
      <c r="A20403" s="1" t="s">
        <v>20402</v>
      </c>
      <c r="B20403" s="2" t="str">
        <f>IFERROR(__xludf.DUMMYFUNCTION("GOOGLETRANSLATE(A20403, ""de"", ""en"")"),"cove")</f>
        <v>cove</v>
      </c>
    </row>
    <row r="20404">
      <c r="A20404" s="1" t="s">
        <v>20403</v>
      </c>
      <c r="B20404" s="2" t="str">
        <f>IFERROR(__xludf.DUMMYFUNCTION("GOOGLETRANSLATE(A20404, ""de"", ""en"")"),"adventurer")</f>
        <v>adventurer</v>
      </c>
    </row>
    <row r="20405">
      <c r="A20405" s="1" t="s">
        <v>20404</v>
      </c>
      <c r="B20405" s="2" t="str">
        <f>IFERROR(__xludf.DUMMYFUNCTION("GOOGLETRANSLATE(A20405, ""de"", ""en"")"),"area")</f>
        <v>area</v>
      </c>
    </row>
    <row r="20406">
      <c r="A20406" s="1" t="s">
        <v>20405</v>
      </c>
      <c r="B20406" s="2" t="str">
        <f>IFERROR(__xludf.DUMMYFUNCTION("GOOGLETRANSLATE(A20406, ""de"", ""en"")"),"it will")</f>
        <v>it will</v>
      </c>
    </row>
    <row r="20407">
      <c r="A20407" s="1" t="s">
        <v>20406</v>
      </c>
      <c r="B20407" s="2" t="str">
        <f>IFERROR(__xludf.DUMMYFUNCTION("GOOGLETRANSLATE(A20407, ""de"", ""en"")"),"one")</f>
        <v>one</v>
      </c>
    </row>
    <row r="20408">
      <c r="A20408" s="1" t="s">
        <v>20407</v>
      </c>
      <c r="B20408" s="2" t="str">
        <f>IFERROR(__xludf.DUMMYFUNCTION("GOOGLETRANSLATE(A20408, ""de"", ""en"")"),"froze")</f>
        <v>froze</v>
      </c>
    </row>
    <row r="20409">
      <c r="A20409" s="1" t="s">
        <v>20408</v>
      </c>
      <c r="B20409" s="2" t="str">
        <f>IFERROR(__xludf.DUMMYFUNCTION("GOOGLETRANSLATE(A20409, ""de"", ""en"")"),"students")</f>
        <v>students</v>
      </c>
    </row>
    <row r="20410">
      <c r="A20410" s="1" t="s">
        <v>20409</v>
      </c>
      <c r="B20410" s="2" t="str">
        <f>IFERROR(__xludf.DUMMYFUNCTION("GOOGLETRANSLATE(A20410, ""de"", ""en"")"),"jinn")</f>
        <v>jinn</v>
      </c>
    </row>
    <row r="20411">
      <c r="A20411" s="1" t="s">
        <v>20410</v>
      </c>
      <c r="B20411" s="2" t="str">
        <f>IFERROR(__xludf.DUMMYFUNCTION("GOOGLETRANSLATE(A20411, ""de"", ""en"")"),"played")</f>
        <v>played</v>
      </c>
    </row>
    <row r="20412">
      <c r="A20412" s="1" t="s">
        <v>20411</v>
      </c>
      <c r="B20412" s="2" t="str">
        <f>IFERROR(__xludf.DUMMYFUNCTION("GOOGLETRANSLATE(A20412, ""de"", ""en"")"),"boogie")</f>
        <v>boogie</v>
      </c>
    </row>
    <row r="20413">
      <c r="A20413" s="1" t="s">
        <v>20412</v>
      </c>
      <c r="B20413" s="2" t="str">
        <f>IFERROR(__xludf.DUMMYFUNCTION("GOOGLETRANSLATE(A20413, ""de"", ""en"")"),"reportage")</f>
        <v>reportage</v>
      </c>
    </row>
    <row r="20414">
      <c r="A20414" s="1" t="s">
        <v>20413</v>
      </c>
      <c r="B20414" s="2" t="str">
        <f>IFERROR(__xludf.DUMMYFUNCTION("GOOGLETRANSLATE(A20414, ""de"", ""en"")"),"rosalee")</f>
        <v>rosalee</v>
      </c>
    </row>
    <row r="20415">
      <c r="A20415" s="1" t="s">
        <v>20414</v>
      </c>
      <c r="B20415" s="2" t="str">
        <f>IFERROR(__xludf.DUMMYFUNCTION("GOOGLETRANSLATE(A20415, ""de"", ""en"")"),"car")</f>
        <v>car</v>
      </c>
    </row>
    <row r="20416">
      <c r="A20416" s="1" t="s">
        <v>20415</v>
      </c>
      <c r="B20416" s="2" t="str">
        <f>IFERROR(__xludf.DUMMYFUNCTION("GOOGLETRANSLATE(A20416, ""de"", ""en"")"),"overm")</f>
        <v>overm</v>
      </c>
    </row>
    <row r="20417">
      <c r="A20417" s="1" t="s">
        <v>20416</v>
      </c>
      <c r="B20417" s="2" t="str">
        <f>IFERROR(__xludf.DUMMYFUNCTION("GOOGLETRANSLATE(A20417, ""de"", ""en"")"),"stare")</f>
        <v>stare</v>
      </c>
    </row>
    <row r="20418">
      <c r="A20418" s="1" t="s">
        <v>20417</v>
      </c>
      <c r="B20418" s="2" t="str">
        <f>IFERROR(__xludf.DUMMYFUNCTION("GOOGLETRANSLATE(A20418, ""de"", ""en"")"),"photographer")</f>
        <v>photographer</v>
      </c>
    </row>
    <row r="20419">
      <c r="A20419" s="1" t="s">
        <v>20418</v>
      </c>
      <c r="B20419" s="2" t="str">
        <f>IFERROR(__xludf.DUMMYFUNCTION("GOOGLETRANSLATE(A20419, ""de"", ""en"")"),"yellow")</f>
        <v>yellow</v>
      </c>
    </row>
    <row r="20420">
      <c r="A20420" s="1" t="s">
        <v>20419</v>
      </c>
      <c r="B20420" s="2" t="str">
        <f>IFERROR(__xludf.DUMMYFUNCTION("GOOGLETRANSLATE(A20420, ""de"", ""en"")"),"sails")</f>
        <v>sails</v>
      </c>
    </row>
    <row r="20421">
      <c r="A20421" s="1" t="s">
        <v>20420</v>
      </c>
      <c r="B20421" s="2" t="str">
        <f>IFERROR(__xludf.DUMMYFUNCTION("GOOGLETRANSLATE(A20421, ""de"", ""en"")"),"vicomedia")</f>
        <v>vicomedia</v>
      </c>
    </row>
    <row r="20422">
      <c r="A20422" s="1" t="s">
        <v>20421</v>
      </c>
      <c r="B20422" s="2" t="str">
        <f>IFERROR(__xludf.DUMMYFUNCTION("GOOGLETRANSLATE(A20422, ""de"", ""en"")"),"changing room")</f>
        <v>changing room</v>
      </c>
    </row>
    <row r="20423">
      <c r="A20423" s="1" t="s">
        <v>20422</v>
      </c>
      <c r="B20423" s="2" t="str">
        <f>IFERROR(__xludf.DUMMYFUNCTION("GOOGLETRANSLATE(A20423, ""de"", ""en"")"),"let down")</f>
        <v>let down</v>
      </c>
    </row>
    <row r="20424">
      <c r="A20424" s="1" t="s">
        <v>20423</v>
      </c>
      <c r="B20424" s="2" t="str">
        <f>IFERROR(__xludf.DUMMYFUNCTION("GOOGLETRANSLATE(A20424, ""de"", ""en"")"),"before")</f>
        <v>before</v>
      </c>
    </row>
    <row r="20425">
      <c r="A20425" s="1" t="s">
        <v>20424</v>
      </c>
      <c r="B20425" s="2" t="str">
        <f>IFERROR(__xludf.DUMMYFUNCTION("GOOGLETRANSLATE(A20425, ""de"", ""en"")"),"lone")</f>
        <v>lone</v>
      </c>
    </row>
    <row r="20426">
      <c r="A20426" s="1" t="s">
        <v>20425</v>
      </c>
      <c r="B20426" s="2" t="str">
        <f>IFERROR(__xludf.DUMMYFUNCTION("GOOGLETRANSLATE(A20426, ""de"", ""en"")"),"wheezes")</f>
        <v>wheezes</v>
      </c>
    </row>
    <row r="20427">
      <c r="A20427" s="1" t="s">
        <v>20426</v>
      </c>
      <c r="B20427" s="2" t="str">
        <f>IFERROR(__xludf.DUMMYFUNCTION("GOOGLETRANSLATE(A20427, ""de"", ""en"")"),"way of thinking")</f>
        <v>way of thinking</v>
      </c>
    </row>
    <row r="20428">
      <c r="A20428" s="1" t="s">
        <v>20427</v>
      </c>
      <c r="B20428" s="2" t="str">
        <f>IFERROR(__xludf.DUMMYFUNCTION("GOOGLETRANSLATE(A20428, ""de"", ""en"")"),"cyborg")</f>
        <v>cyborg</v>
      </c>
    </row>
    <row r="20429">
      <c r="A20429" s="1" t="s">
        <v>20428</v>
      </c>
      <c r="B20429" s="2" t="str">
        <f>IFERROR(__xludf.DUMMYFUNCTION("GOOGLETRANSLATE(A20429, ""de"", ""en"")"),"reading")</f>
        <v>reading</v>
      </c>
    </row>
    <row r="20430">
      <c r="A20430" s="1" t="s">
        <v>20429</v>
      </c>
      <c r="B20430" s="2" t="str">
        <f>IFERROR(__xludf.DUMMYFUNCTION("GOOGLETRANSLATE(A20430, ""de"", ""en"")"),"jean paul")</f>
        <v>jean paul</v>
      </c>
    </row>
    <row r="20431">
      <c r="A20431" s="1" t="s">
        <v>20430</v>
      </c>
      <c r="B20431" s="2" t="str">
        <f>IFERROR(__xludf.DUMMYFUNCTION("GOOGLETRANSLATE(A20431, ""de"", ""en"")"),"carat")</f>
        <v>carat</v>
      </c>
    </row>
    <row r="20432">
      <c r="A20432" s="1" t="s">
        <v>20431</v>
      </c>
      <c r="B20432" s="2" t="str">
        <f>IFERROR(__xludf.DUMMYFUNCTION("GOOGLETRANSLATE(A20432, ""de"", ""en"")"),"gordo")</f>
        <v>gordo</v>
      </c>
    </row>
    <row r="20433">
      <c r="A20433" s="1" t="s">
        <v>20432</v>
      </c>
      <c r="B20433" s="2" t="str">
        <f>IFERROR(__xludf.DUMMYFUNCTION("GOOGLETRANSLATE(A20433, ""de"", ""en"")"),"endured")</f>
        <v>endured</v>
      </c>
    </row>
    <row r="20434">
      <c r="A20434" s="1" t="s">
        <v>20433</v>
      </c>
      <c r="B20434" s="2" t="str">
        <f>IFERROR(__xludf.DUMMYFUNCTION("GOOGLETRANSLATE(A20434, ""de"", ""en"")"),"door knocking")</f>
        <v>door knocking</v>
      </c>
    </row>
    <row r="20435">
      <c r="A20435" s="1" t="s">
        <v>20434</v>
      </c>
      <c r="B20435" s="2" t="str">
        <f>IFERROR(__xludf.DUMMYFUNCTION("GOOGLETRANSLATE(A20435, ""de"", ""en"")"),"stood")</f>
        <v>stood</v>
      </c>
    </row>
    <row r="20436">
      <c r="A20436" s="1" t="s">
        <v>20435</v>
      </c>
      <c r="B20436" s="2" t="str">
        <f>IFERROR(__xludf.DUMMYFUNCTION("GOOGLETRANSLATE(A20436, ""de"", ""en"")"),"psychological")</f>
        <v>psychological</v>
      </c>
    </row>
    <row r="20437">
      <c r="A20437" s="1" t="s">
        <v>20436</v>
      </c>
      <c r="B20437" s="2" t="str">
        <f>IFERROR(__xludf.DUMMYFUNCTION("GOOGLETRANSLATE(A20437, ""de"", ""en"")"),"sensei")</f>
        <v>sensei</v>
      </c>
    </row>
    <row r="20438">
      <c r="A20438" s="1" t="s">
        <v>20437</v>
      </c>
      <c r="B20438" s="2" t="str">
        <f>IFERROR(__xludf.DUMMYFUNCTION("GOOGLETRANSLATE(A20438, ""de"", ""en"")"),"wrong")</f>
        <v>wrong</v>
      </c>
    </row>
    <row r="20439">
      <c r="A20439" s="1" t="s">
        <v>20438</v>
      </c>
      <c r="B20439" s="2" t="str">
        <f>IFERROR(__xludf.DUMMYFUNCTION("GOOGLETRANSLATE(A20439, ""de"", ""en"")"),"heir to the throne")</f>
        <v>heir to the throne</v>
      </c>
    </row>
    <row r="20440">
      <c r="A20440" s="1" t="s">
        <v>20439</v>
      </c>
      <c r="B20440" s="2" t="str">
        <f>IFERROR(__xludf.DUMMYFUNCTION("GOOGLETRANSLATE(A20440, ""de"", ""en"")"),"hasty")</f>
        <v>hasty</v>
      </c>
    </row>
    <row r="20441">
      <c r="A20441" s="1" t="s">
        <v>20440</v>
      </c>
      <c r="B20441" s="2" t="str">
        <f>IFERROR(__xludf.DUMMYFUNCTION("GOOGLETRANSLATE(A20441, ""de"", ""en"")"),"pointless")</f>
        <v>pointless</v>
      </c>
    </row>
    <row r="20442">
      <c r="A20442" s="1" t="s">
        <v>20441</v>
      </c>
      <c r="B20442" s="2" t="str">
        <f>IFERROR(__xludf.DUMMYFUNCTION("GOOGLETRANSLATE(A20442, ""de"", ""en"")"),"embers")</f>
        <v>embers</v>
      </c>
    </row>
    <row r="20443">
      <c r="A20443" s="1" t="s">
        <v>20442</v>
      </c>
      <c r="B20443" s="2" t="str">
        <f>IFERROR(__xludf.DUMMYFUNCTION("GOOGLETRANSLATE(A20443, ""de"", ""en"")"),"Albany")</f>
        <v>Albany</v>
      </c>
    </row>
    <row r="20444">
      <c r="A20444" s="1" t="s">
        <v>20443</v>
      </c>
      <c r="B20444" s="2" t="str">
        <f>IFERROR(__xludf.DUMMYFUNCTION("GOOGLETRANSLATE(A20444, ""de"", ""en"")"),"brings with you")</f>
        <v>brings with you</v>
      </c>
    </row>
    <row r="20445">
      <c r="A20445" s="1" t="s">
        <v>20444</v>
      </c>
      <c r="B20445" s="2" t="str">
        <f>IFERROR(__xludf.DUMMYFUNCTION("GOOGLETRANSLATE(A20445, ""de"", ""en"")"),"straight")</f>
        <v>straight</v>
      </c>
    </row>
    <row r="20446">
      <c r="A20446" s="1" t="s">
        <v>20445</v>
      </c>
      <c r="B20446" s="2" t="str">
        <f>IFERROR(__xludf.DUMMYFUNCTION("GOOGLETRANSLATE(A20446, ""de"", ""en"")"),"opened")</f>
        <v>opened</v>
      </c>
    </row>
    <row r="20447">
      <c r="A20447" s="1" t="s">
        <v>20446</v>
      </c>
      <c r="B20447" s="2" t="str">
        <f>IFERROR(__xludf.DUMMYFUNCTION("GOOGLETRANSLATE(A20447, ""de"", ""en"")"),"sketch")</f>
        <v>sketch</v>
      </c>
    </row>
    <row r="20448">
      <c r="A20448" s="1" t="s">
        <v>20447</v>
      </c>
      <c r="B20448" s="2" t="str">
        <f>IFERROR(__xludf.DUMMYFUNCTION("GOOGLETRANSLATE(A20448, ""de"", ""en"")"),"lied to")</f>
        <v>lied to</v>
      </c>
    </row>
    <row r="20449">
      <c r="A20449" s="1" t="s">
        <v>20448</v>
      </c>
      <c r="B20449" s="2" t="str">
        <f>IFERROR(__xludf.DUMMYFUNCTION("GOOGLETRANSLATE(A20449, ""de"", ""en"")"),"manufactures")</f>
        <v>manufactures</v>
      </c>
    </row>
    <row r="20450">
      <c r="A20450" s="1" t="s">
        <v>20449</v>
      </c>
      <c r="B20450" s="2" t="str">
        <f>IFERROR(__xludf.DUMMYFUNCTION("GOOGLETRANSLATE(A20450, ""de"", ""en"")"),"forrester")</f>
        <v>forrester</v>
      </c>
    </row>
    <row r="20451">
      <c r="A20451" s="1" t="s">
        <v>20450</v>
      </c>
      <c r="B20451" s="2" t="str">
        <f>IFERROR(__xludf.DUMMYFUNCTION("GOOGLETRANSLATE(A20451, ""de"", ""en"")"),"shipments")</f>
        <v>shipments</v>
      </c>
    </row>
    <row r="20452">
      <c r="A20452" s="1" t="s">
        <v>20451</v>
      </c>
      <c r="B20452" s="2" t="str">
        <f>IFERROR(__xludf.DUMMYFUNCTION("GOOGLETRANSLATE(A20452, ""de"", ""en"")"),"minneapolis")</f>
        <v>minneapolis</v>
      </c>
    </row>
    <row r="20453">
      <c r="A20453" s="1" t="s">
        <v>20452</v>
      </c>
      <c r="B20453" s="2" t="str">
        <f>IFERROR(__xludf.DUMMYFUNCTION("GOOGLETRANSLATE(A20453, ""de"", ""en"")"),"dans")</f>
        <v>dans</v>
      </c>
    </row>
    <row r="20454">
      <c r="A20454" s="1" t="s">
        <v>20453</v>
      </c>
      <c r="B20454" s="2" t="str">
        <f>IFERROR(__xludf.DUMMYFUNCTION("GOOGLETRANSLATE(A20454, ""de"", ""en"")"),"ducat")</f>
        <v>ducat</v>
      </c>
    </row>
    <row r="20455">
      <c r="A20455" s="1" t="s">
        <v>20454</v>
      </c>
      <c r="B20455" s="2" t="str">
        <f>IFERROR(__xludf.DUMMYFUNCTION("GOOGLETRANSLATE(A20455, ""de"", ""en"")"),"deserter")</f>
        <v>deserter</v>
      </c>
    </row>
    <row r="20456">
      <c r="A20456" s="1" t="s">
        <v>20455</v>
      </c>
      <c r="B20456" s="2" t="str">
        <f>IFERROR(__xludf.DUMMYFUNCTION("GOOGLETRANSLATE(A20456, ""de"", ""en"")"),"equality")</f>
        <v>equality</v>
      </c>
    </row>
    <row r="20457">
      <c r="A20457" s="1" t="s">
        <v>20456</v>
      </c>
      <c r="B20457" s="2" t="str">
        <f>IFERROR(__xludf.DUMMYFUNCTION("GOOGLETRANSLATE(A20457, ""de"", ""en"")"),"goldfish")</f>
        <v>goldfish</v>
      </c>
    </row>
    <row r="20458">
      <c r="A20458" s="1" t="s">
        <v>20457</v>
      </c>
      <c r="B20458" s="2" t="str">
        <f>IFERROR(__xludf.DUMMYFUNCTION("GOOGLETRANSLATE(A20458, ""de"", ""en"")"),"typical")</f>
        <v>typical</v>
      </c>
    </row>
    <row r="20459">
      <c r="A20459" s="1" t="s">
        <v>20458</v>
      </c>
      <c r="B20459" s="2" t="str">
        <f>IFERROR(__xludf.DUMMYFUNCTION("GOOGLETRANSLATE(A20459, ""de"", ""en"")"),"accommodate")</f>
        <v>accommodate</v>
      </c>
    </row>
    <row r="20460">
      <c r="A20460" s="1" t="s">
        <v>20459</v>
      </c>
      <c r="B20460" s="2" t="str">
        <f>IFERROR(__xludf.DUMMYFUNCTION("GOOGLETRANSLATE(A20460, ""de"", ""en"")"),"observations")</f>
        <v>observations</v>
      </c>
    </row>
    <row r="20461">
      <c r="A20461" s="1" t="s">
        <v>20460</v>
      </c>
      <c r="B20461" s="2" t="str">
        <f>IFERROR(__xludf.DUMMYFUNCTION("GOOGLETRANSLATE(A20461, ""de"", ""en"")"),"Janie")</f>
        <v>Janie</v>
      </c>
    </row>
    <row r="20462">
      <c r="A20462" s="1" t="s">
        <v>20461</v>
      </c>
      <c r="B20462" s="2" t="str">
        <f>IFERROR(__xludf.DUMMYFUNCTION("GOOGLETRANSLATE(A20462, ""de"", ""en"")"),"scared")</f>
        <v>scared</v>
      </c>
    </row>
    <row r="20463">
      <c r="A20463" s="1" t="s">
        <v>20462</v>
      </c>
      <c r="B20463" s="2" t="str">
        <f>IFERROR(__xludf.DUMMYFUNCTION("GOOGLETRANSLATE(A20463, ""de"", ""en"")"),"gregson")</f>
        <v>gregson</v>
      </c>
    </row>
    <row r="20464">
      <c r="A20464" s="1" t="s">
        <v>20463</v>
      </c>
      <c r="B20464" s="2" t="str">
        <f>IFERROR(__xludf.DUMMYFUNCTION("GOOGLETRANSLATE(A20464, ""de"", ""en"")"),"interns")</f>
        <v>interns</v>
      </c>
    </row>
    <row r="20465">
      <c r="A20465" s="1" t="s">
        <v>20464</v>
      </c>
      <c r="B20465" s="2" t="str">
        <f>IFERROR(__xludf.DUMMYFUNCTION("GOOGLETRANSLATE(A20465, ""de"", ""en"")"),"globe")</f>
        <v>globe</v>
      </c>
    </row>
    <row r="20466">
      <c r="A20466" s="1" t="s">
        <v>20465</v>
      </c>
      <c r="B20466" s="2" t="str">
        <f>IFERROR(__xludf.DUMMYFUNCTION("GOOGLETRANSLATE(A20466, ""de"", ""en"")"),"Venice")</f>
        <v>Venice</v>
      </c>
    </row>
    <row r="20467">
      <c r="A20467" s="1" t="s">
        <v>20466</v>
      </c>
      <c r="B20467" s="2" t="str">
        <f>IFERROR(__xludf.DUMMYFUNCTION("GOOGLETRANSLATE(A20467, ""de"", ""en"")"),"brother heart")</f>
        <v>brother heart</v>
      </c>
    </row>
    <row r="20468">
      <c r="A20468" s="1" t="s">
        <v>20467</v>
      </c>
      <c r="B20468" s="2" t="str">
        <f>IFERROR(__xludf.DUMMYFUNCTION("GOOGLETRANSLATE(A20468, ""de"", ""en"")"),"riviera")</f>
        <v>riviera</v>
      </c>
    </row>
    <row r="20469">
      <c r="A20469" s="1" t="s">
        <v>20468</v>
      </c>
      <c r="B20469" s="2" t="str">
        <f>IFERROR(__xludf.DUMMYFUNCTION("GOOGLETRANSLATE(A20469, ""de"", ""en"")"),"tribal")</f>
        <v>tribal</v>
      </c>
    </row>
    <row r="20470">
      <c r="A20470" s="1" t="s">
        <v>20469</v>
      </c>
      <c r="B20470" s="2" t="str">
        <f>IFERROR(__xludf.DUMMYFUNCTION("GOOGLETRANSLATE(A20470, ""de"", ""en"")"),"disgrace")</f>
        <v>disgrace</v>
      </c>
    </row>
    <row r="20471">
      <c r="A20471" s="1" t="s">
        <v>20470</v>
      </c>
      <c r="B20471" s="2" t="str">
        <f>IFERROR(__xludf.DUMMYFUNCTION("GOOGLETRANSLATE(A20471, ""de"", ""en"")"),"nemo")</f>
        <v>nemo</v>
      </c>
    </row>
    <row r="20472">
      <c r="A20472" s="1" t="s">
        <v>20471</v>
      </c>
      <c r="B20472" s="2" t="str">
        <f>IFERROR(__xludf.DUMMYFUNCTION("GOOGLETRANSLATE(A20472, ""de"", ""en"")"),"delgado")</f>
        <v>delgado</v>
      </c>
    </row>
    <row r="20473">
      <c r="A20473" s="1" t="s">
        <v>20472</v>
      </c>
      <c r="B20473" s="2" t="str">
        <f>IFERROR(__xludf.DUMMYFUNCTION("GOOGLETRANSLATE(A20473, ""de"", ""en"")"),"comedy")</f>
        <v>comedy</v>
      </c>
    </row>
    <row r="20474">
      <c r="A20474" s="1" t="s">
        <v>20473</v>
      </c>
      <c r="B20474" s="2" t="str">
        <f>IFERROR(__xludf.DUMMYFUNCTION("GOOGLETRANSLATE(A20474, ""de"", ""en"")"),"Lorenz")</f>
        <v>Lorenz</v>
      </c>
    </row>
    <row r="20475">
      <c r="A20475" s="1" t="s">
        <v>20474</v>
      </c>
      <c r="B20475" s="2" t="str">
        <f>IFERROR(__xludf.DUMMYFUNCTION("GOOGLETRANSLATE(A20475, ""de"", ""en"")"),"tone")</f>
        <v>tone</v>
      </c>
    </row>
    <row r="20476">
      <c r="A20476" s="1" t="s">
        <v>20475</v>
      </c>
      <c r="B20476" s="2" t="str">
        <f>IFERROR(__xludf.DUMMYFUNCTION("GOOGLETRANSLATE(A20476, ""de"", ""en"")"),"holds on")</f>
        <v>holds on</v>
      </c>
    </row>
    <row r="20477">
      <c r="A20477" s="1" t="s">
        <v>20476</v>
      </c>
      <c r="B20477" s="2" t="str">
        <f>IFERROR(__xludf.DUMMYFUNCTION("GOOGLETRANSLATE(A20477, ""de"", ""en"")"),"self-employed")</f>
        <v>self-employed</v>
      </c>
    </row>
    <row r="20478">
      <c r="A20478" s="1" t="s">
        <v>20477</v>
      </c>
      <c r="B20478" s="2" t="str">
        <f>IFERROR(__xludf.DUMMYFUNCTION("GOOGLETRANSLATE(A20478, ""de"", ""en"")"),"flees")</f>
        <v>flees</v>
      </c>
    </row>
    <row r="20479">
      <c r="A20479" s="1" t="s">
        <v>20478</v>
      </c>
      <c r="B20479" s="2" t="str">
        <f>IFERROR(__xludf.DUMMYFUNCTION("GOOGLETRANSLATE(A20479, ""de"", ""en"")"),"construction")</f>
        <v>construction</v>
      </c>
    </row>
    <row r="20480">
      <c r="A20480" s="1" t="s">
        <v>20479</v>
      </c>
      <c r="B20480" s="2" t="str">
        <f>IFERROR(__xludf.DUMMYFUNCTION("GOOGLETRANSLATE(A20480, ""de"", ""en"")"),"conjure")</f>
        <v>conjure</v>
      </c>
    </row>
    <row r="20481">
      <c r="A20481" s="1" t="s">
        <v>20480</v>
      </c>
      <c r="B20481" s="2" t="str">
        <f>IFERROR(__xludf.DUMMYFUNCTION("GOOGLETRANSLATE(A20481, ""de"", ""en"")"),"nestor")</f>
        <v>nestor</v>
      </c>
    </row>
    <row r="20482">
      <c r="A20482" s="1" t="s">
        <v>20481</v>
      </c>
      <c r="B20482" s="2" t="str">
        <f>IFERROR(__xludf.DUMMYFUNCTION("GOOGLETRANSLATE(A20482, ""de"", ""en"")"),"callous")</f>
        <v>callous</v>
      </c>
    </row>
    <row r="20483">
      <c r="A20483" s="1" t="s">
        <v>20482</v>
      </c>
      <c r="B20483" s="2" t="str">
        <f>IFERROR(__xludf.DUMMYFUNCTION("GOOGLETRANSLATE(A20483, ""de"", ""en"")"),"Kayla")</f>
        <v>Kayla</v>
      </c>
    </row>
    <row r="20484">
      <c r="A20484" s="1" t="s">
        <v>20483</v>
      </c>
      <c r="B20484" s="2" t="str">
        <f>IFERROR(__xludf.DUMMYFUNCTION("GOOGLETRANSLATE(A20484, ""de"", ""en"")"),"open")</f>
        <v>open</v>
      </c>
    </row>
    <row r="20485">
      <c r="A20485" s="1" t="s">
        <v>20484</v>
      </c>
      <c r="B20485" s="2" t="str">
        <f>IFERROR(__xludf.DUMMYFUNCTION("GOOGLETRANSLATE(A20485, ""de"", ""en"")"),"square meters")</f>
        <v>square meters</v>
      </c>
    </row>
    <row r="20486">
      <c r="A20486" s="1" t="s">
        <v>20485</v>
      </c>
      <c r="B20486" s="2" t="str">
        <f>IFERROR(__xludf.DUMMYFUNCTION("GOOGLETRANSLATE(A20486, ""de"", ""en"")"),"cardassian")</f>
        <v>cardassian</v>
      </c>
    </row>
    <row r="20487">
      <c r="A20487" s="1" t="s">
        <v>20486</v>
      </c>
      <c r="B20487" s="2" t="str">
        <f>IFERROR(__xludf.DUMMYFUNCTION("GOOGLETRANSLATE(A20487, ""de"", ""en"")"),"olafur")</f>
        <v>olafur</v>
      </c>
    </row>
    <row r="20488">
      <c r="A20488" s="1" t="s">
        <v>20487</v>
      </c>
      <c r="B20488" s="2" t="str">
        <f>IFERROR(__xludf.DUMMYFUNCTION("GOOGLETRANSLATE(A20488, ""de"", ""en"")"),"Starbucks")</f>
        <v>Starbucks</v>
      </c>
    </row>
    <row r="20489">
      <c r="A20489" s="1" t="s">
        <v>20488</v>
      </c>
      <c r="B20489" s="2" t="str">
        <f>IFERROR(__xludf.DUMMYFUNCTION("GOOGLETRANSLATE(A20489, ""de"", ""en"")"),"distress signal")</f>
        <v>distress signal</v>
      </c>
    </row>
    <row r="20490">
      <c r="A20490" s="1" t="s">
        <v>20489</v>
      </c>
      <c r="B20490" s="2" t="str">
        <f>IFERROR(__xludf.DUMMYFUNCTION("GOOGLETRANSLATE(A20490, ""de"", ""en"")"),"patent")</f>
        <v>patent</v>
      </c>
    </row>
    <row r="20491">
      <c r="A20491" s="1" t="s">
        <v>20490</v>
      </c>
      <c r="B20491" s="2" t="str">
        <f>IFERROR(__xludf.DUMMYFUNCTION("GOOGLETRANSLATE(A20491, ""de"", ""en"")"),"see")</f>
        <v>see</v>
      </c>
    </row>
    <row r="20492">
      <c r="A20492" s="1" t="s">
        <v>20491</v>
      </c>
      <c r="B20492" s="2" t="str">
        <f>IFERROR(__xludf.DUMMYFUNCTION("GOOGLETRANSLATE(A20492, ""de"", ""en"")"),"small")</f>
        <v>small</v>
      </c>
    </row>
    <row r="20493">
      <c r="A20493" s="1" t="s">
        <v>20492</v>
      </c>
      <c r="B20493" s="2" t="str">
        <f>IFERROR(__xludf.DUMMYFUNCTION("GOOGLETRANSLATE(A20493, ""de"", ""en"")"),"variety")</f>
        <v>variety</v>
      </c>
    </row>
    <row r="20494">
      <c r="A20494" s="1" t="s">
        <v>20493</v>
      </c>
      <c r="B20494" s="2" t="str">
        <f>IFERROR(__xludf.DUMMYFUNCTION("GOOGLETRANSLATE(A20494, ""de"", ""en"")"),"programming")</f>
        <v>programming</v>
      </c>
    </row>
    <row r="20495">
      <c r="A20495" s="1" t="s">
        <v>20494</v>
      </c>
      <c r="B20495" s="2" t="str">
        <f>IFERROR(__xludf.DUMMYFUNCTION("GOOGLETRANSLATE(A20495, ""de"", ""en"")"),"artistic")</f>
        <v>artistic</v>
      </c>
    </row>
    <row r="20496">
      <c r="A20496" s="1" t="s">
        <v>20495</v>
      </c>
      <c r="B20496" s="2" t="str">
        <f>IFERROR(__xludf.DUMMYFUNCTION("GOOGLETRANSLATE(A20496, ""de"", ""en"")"),"fulton")</f>
        <v>fulton</v>
      </c>
    </row>
    <row r="20497">
      <c r="A20497" s="1" t="s">
        <v>20496</v>
      </c>
      <c r="B20497" s="2" t="str">
        <f>IFERROR(__xludf.DUMMYFUNCTION("GOOGLETRANSLATE(A20497, ""de"", ""en"")"),"attractive")</f>
        <v>attractive</v>
      </c>
    </row>
    <row r="20498">
      <c r="A20498" s="1" t="s">
        <v>20497</v>
      </c>
      <c r="B20498" s="2" t="str">
        <f>IFERROR(__xludf.DUMMYFUNCTION("GOOGLETRANSLATE(A20498, ""de"", ""en"")"),"parallel")</f>
        <v>parallel</v>
      </c>
    </row>
    <row r="20499">
      <c r="A20499" s="1" t="s">
        <v>20498</v>
      </c>
      <c r="B20499" s="2" t="str">
        <f>IFERROR(__xludf.DUMMYFUNCTION("GOOGLETRANSLATE(A20499, ""de"", ""en"")"),"roulette")</f>
        <v>roulette</v>
      </c>
    </row>
    <row r="20500">
      <c r="A20500" s="1" t="s">
        <v>20499</v>
      </c>
      <c r="B20500" s="2" t="str">
        <f>IFERROR(__xludf.DUMMYFUNCTION("GOOGLETRANSLATE(A20500, ""de"", ""en"")"),"foreign language")</f>
        <v>foreign language</v>
      </c>
    </row>
    <row r="20501">
      <c r="A20501" s="1" t="s">
        <v>20500</v>
      </c>
      <c r="B20501" s="2" t="str">
        <f>IFERROR(__xludf.DUMMYFUNCTION("GOOGLETRANSLATE(A20501, ""de"", ""en"")"),"to pursue")</f>
        <v>to pursue</v>
      </c>
    </row>
    <row r="20502">
      <c r="A20502" s="1" t="s">
        <v>20501</v>
      </c>
      <c r="B20502" s="2" t="str">
        <f>IFERROR(__xludf.DUMMYFUNCTION("GOOGLETRANSLATE(A20502, ""de"", ""en"")"),"daredevil")</f>
        <v>daredevil</v>
      </c>
    </row>
    <row r="20503">
      <c r="A20503" s="1" t="s">
        <v>20502</v>
      </c>
      <c r="B20503" s="2" t="str">
        <f>IFERROR(__xludf.DUMMYFUNCTION("GOOGLETRANSLATE(A20503, ""de"", ""en"")"),"lying around")</f>
        <v>lying around</v>
      </c>
    </row>
    <row r="20504">
      <c r="A20504" s="1" t="s">
        <v>20503</v>
      </c>
      <c r="B20504" s="2" t="str">
        <f>IFERROR(__xludf.DUMMYFUNCTION("GOOGLETRANSLATE(A20504, ""de"", ""en"")"),"closet")</f>
        <v>closet</v>
      </c>
    </row>
    <row r="20505">
      <c r="A20505" s="1" t="s">
        <v>20504</v>
      </c>
      <c r="B20505" s="2" t="str">
        <f>IFERROR(__xludf.DUMMYFUNCTION("GOOGLETRANSLATE(A20505, ""de"", ""en"")"),"change of heart")</f>
        <v>change of heart</v>
      </c>
    </row>
    <row r="20506">
      <c r="A20506" s="1" t="s">
        <v>20505</v>
      </c>
      <c r="B20506" s="2" t="str">
        <f>IFERROR(__xludf.DUMMYFUNCTION("GOOGLETRANSLATE(A20506, ""de"", ""en"")"),"blood loss")</f>
        <v>blood loss</v>
      </c>
    </row>
    <row r="20507">
      <c r="A20507" s="1" t="s">
        <v>20506</v>
      </c>
      <c r="B20507" s="2" t="str">
        <f>IFERROR(__xludf.DUMMYFUNCTION("GOOGLETRANSLATE(A20507, ""de"", ""en"")"),"izzie")</f>
        <v>izzie</v>
      </c>
    </row>
    <row r="20508">
      <c r="A20508" s="1" t="s">
        <v>20507</v>
      </c>
      <c r="B20508" s="2" t="str">
        <f>IFERROR(__xludf.DUMMYFUNCTION("GOOGLETRANSLATE(A20508, ""de"", ""en"")"),"pale")</f>
        <v>pale</v>
      </c>
    </row>
    <row r="20509">
      <c r="A20509" s="1" t="s">
        <v>20508</v>
      </c>
      <c r="B20509" s="2" t="str">
        <f>IFERROR(__xludf.DUMMYFUNCTION("GOOGLETRANSLATE(A20509, ""de"", ""en"")"),"sunk")</f>
        <v>sunk</v>
      </c>
    </row>
    <row r="20510">
      <c r="A20510" s="1" t="s">
        <v>20509</v>
      </c>
      <c r="B20510" s="2" t="str">
        <f>IFERROR(__xludf.DUMMYFUNCTION("GOOGLETRANSLATE(A20510, ""de"", ""en"")"),"placed")</f>
        <v>placed</v>
      </c>
    </row>
    <row r="20511">
      <c r="A20511" s="1" t="s">
        <v>20510</v>
      </c>
      <c r="B20511" s="2" t="str">
        <f>IFERROR(__xludf.DUMMYFUNCTION("GOOGLETRANSLATE(A20511, ""de"", ""en"")"),"hundreds of thousands")</f>
        <v>hundreds of thousands</v>
      </c>
    </row>
    <row r="20512">
      <c r="A20512" s="1" t="s">
        <v>20511</v>
      </c>
      <c r="B20512" s="2" t="str">
        <f>IFERROR(__xludf.DUMMYFUNCTION("GOOGLETRANSLATE(A20512, ""de"", ""en"")"),"insightful")</f>
        <v>insightful</v>
      </c>
    </row>
    <row r="20513">
      <c r="A20513" s="1" t="s">
        <v>20512</v>
      </c>
      <c r="B20513" s="2" t="str">
        <f>IFERROR(__xludf.DUMMYFUNCTION("GOOGLETRANSLATE(A20513, ""de"", ""en"")"),"faulty")</f>
        <v>faulty</v>
      </c>
    </row>
    <row r="20514">
      <c r="A20514" s="1" t="s">
        <v>20513</v>
      </c>
      <c r="B20514" s="2" t="str">
        <f>IFERROR(__xludf.DUMMYFUNCTION("GOOGLETRANSLATE(A20514, ""de"", ""en"")"),"rainbow")</f>
        <v>rainbow</v>
      </c>
    </row>
    <row r="20515">
      <c r="A20515" s="1" t="s">
        <v>20514</v>
      </c>
      <c r="B20515" s="2" t="str">
        <f>IFERROR(__xludf.DUMMYFUNCTION("GOOGLETRANSLATE(A20515, ""de"", ""en"")"),"waste")</f>
        <v>waste</v>
      </c>
    </row>
    <row r="20516">
      <c r="A20516" s="1" t="s">
        <v>20515</v>
      </c>
      <c r="B20516" s="2" t="str">
        <f>IFERROR(__xludf.DUMMYFUNCTION("GOOGLETRANSLATE(A20516, ""de"", ""en"")"),"hah")</f>
        <v>hah</v>
      </c>
    </row>
    <row r="20517">
      <c r="A20517" s="1" t="s">
        <v>20516</v>
      </c>
      <c r="B20517" s="2" t="str">
        <f>IFERROR(__xludf.DUMMYFUNCTION("GOOGLETRANSLATE(A20517, ""de"", ""en"")"),"prepare")</f>
        <v>prepare</v>
      </c>
    </row>
    <row r="20518">
      <c r="A20518" s="1" t="s">
        <v>20517</v>
      </c>
      <c r="B20518" s="2" t="str">
        <f>IFERROR(__xludf.DUMMYFUNCTION("GOOGLETRANSLATE(A20518, ""de"", ""en"")"),"bryant")</f>
        <v>bryant</v>
      </c>
    </row>
    <row r="20519">
      <c r="A20519" s="1" t="s">
        <v>20518</v>
      </c>
      <c r="B20519" s="2" t="str">
        <f>IFERROR(__xludf.DUMMYFUNCTION("GOOGLETRANSLATE(A20519, ""de"", ""en"")"),"bronson")</f>
        <v>bronson</v>
      </c>
    </row>
    <row r="20520">
      <c r="A20520" s="1" t="s">
        <v>20519</v>
      </c>
      <c r="B20520" s="2" t="str">
        <f>IFERROR(__xludf.DUMMYFUNCTION("GOOGLETRANSLATE(A20520, ""de"", ""en"")"),"commode")</f>
        <v>commode</v>
      </c>
    </row>
    <row r="20521">
      <c r="A20521" s="1" t="s">
        <v>20520</v>
      </c>
      <c r="B20521" s="2" t="str">
        <f>IFERROR(__xludf.DUMMYFUNCTION("GOOGLETRANSLATE(A20521, ""de"", ""en"")"),"offal")</f>
        <v>offal</v>
      </c>
    </row>
    <row r="20522">
      <c r="A20522" s="1" t="s">
        <v>20521</v>
      </c>
      <c r="B20522" s="2" t="str">
        <f>IFERROR(__xludf.DUMMYFUNCTION("GOOGLETRANSLATE(A20522, ""de"", ""en"")"),"biker")</f>
        <v>biker</v>
      </c>
    </row>
    <row r="20523">
      <c r="A20523" s="1" t="s">
        <v>20522</v>
      </c>
      <c r="B20523" s="2" t="str">
        <f>IFERROR(__xludf.DUMMYFUNCTION("GOOGLETRANSLATE(A20523, ""de"", ""en"")"),"upside down")</f>
        <v>upside down</v>
      </c>
    </row>
    <row r="20524">
      <c r="A20524" s="1" t="s">
        <v>20523</v>
      </c>
      <c r="B20524" s="2" t="str">
        <f>IFERROR(__xludf.DUMMYFUNCTION("GOOGLETRANSLATE(A20524, ""de"", ""en"")"),"essence")</f>
        <v>essence</v>
      </c>
    </row>
    <row r="20525">
      <c r="A20525" s="1" t="s">
        <v>20524</v>
      </c>
      <c r="B20525" s="2" t="str">
        <f>IFERROR(__xludf.DUMMYFUNCTION("GOOGLETRANSLATE(A20525, ""de"", ""en"")"),"narrative")</f>
        <v>narrative</v>
      </c>
    </row>
    <row r="20526">
      <c r="A20526" s="1" t="s">
        <v>20525</v>
      </c>
      <c r="B20526" s="2" t="str">
        <f>IFERROR(__xludf.DUMMYFUNCTION("GOOGLETRANSLATE(A20526, ""de"", ""en"")"),"pissed")</f>
        <v>pissed</v>
      </c>
    </row>
    <row r="20527">
      <c r="A20527" s="1" t="s">
        <v>20526</v>
      </c>
      <c r="B20527" s="2" t="str">
        <f>IFERROR(__xludf.DUMMYFUNCTION("GOOGLETRANSLATE(A20527, ""de"", ""en"")"),"lie detector")</f>
        <v>lie detector</v>
      </c>
    </row>
    <row r="20528">
      <c r="A20528" s="1" t="s">
        <v>20527</v>
      </c>
      <c r="B20528" s="2" t="str">
        <f>IFERROR(__xludf.DUMMYFUNCTION("GOOGLETRANSLATE(A20528, ""de"", ""en"")"),"promise")</f>
        <v>promise</v>
      </c>
    </row>
    <row r="20529">
      <c r="A20529" s="1" t="s">
        <v>20528</v>
      </c>
      <c r="B20529" s="2" t="str">
        <f>IFERROR(__xludf.DUMMYFUNCTION("GOOGLETRANSLATE(A20529, ""de"", ""en"")"),"orchestral music")</f>
        <v>orchestral music</v>
      </c>
    </row>
    <row r="20530">
      <c r="A20530" s="1" t="s">
        <v>20529</v>
      </c>
      <c r="B20530" s="2" t="str">
        <f>IFERROR(__xludf.DUMMYFUNCTION("GOOGLETRANSLATE(A20530, ""de"", ""en"")"),"hospital")</f>
        <v>hospital</v>
      </c>
    </row>
    <row r="20531">
      <c r="A20531" s="1" t="s">
        <v>20530</v>
      </c>
      <c r="B20531" s="2" t="str">
        <f>IFERROR(__xludf.DUMMYFUNCTION("GOOGLETRANSLATE(A20531, ""de"", ""en"")"),"lowers")</f>
        <v>lowers</v>
      </c>
    </row>
    <row r="20532">
      <c r="A20532" s="1" t="s">
        <v>20531</v>
      </c>
      <c r="B20532" s="2" t="str">
        <f>IFERROR(__xludf.DUMMYFUNCTION("GOOGLETRANSLATE(A20532, ""de"", ""en"")"),"rowan")</f>
        <v>rowan</v>
      </c>
    </row>
    <row r="20533">
      <c r="A20533" s="1" t="s">
        <v>20532</v>
      </c>
      <c r="B20533" s="2" t="str">
        <f>IFERROR(__xludf.DUMMYFUNCTION("GOOGLETRANSLATE(A20533, ""de"", ""en"")"),"stamp")</f>
        <v>stamp</v>
      </c>
    </row>
    <row r="20534">
      <c r="A20534" s="1" t="s">
        <v>20533</v>
      </c>
      <c r="B20534" s="2" t="str">
        <f>IFERROR(__xludf.DUMMYFUNCTION("GOOGLETRANSLATE(A20534, ""de"", ""en"")"),"impeccable")</f>
        <v>impeccable</v>
      </c>
    </row>
    <row r="20535">
      <c r="A20535" s="1" t="s">
        <v>20534</v>
      </c>
      <c r="B20535" s="2" t="str">
        <f>IFERROR(__xludf.DUMMYFUNCTION("GOOGLETRANSLATE(A20535, ""de"", ""en"")"),"Japanese")</f>
        <v>Japanese</v>
      </c>
    </row>
    <row r="20536">
      <c r="A20536" s="1" t="s">
        <v>20535</v>
      </c>
      <c r="B20536" s="2" t="str">
        <f>IFERROR(__xludf.DUMMYFUNCTION("GOOGLETRANSLATE(A20536, ""de"", ""en"")"),"covenant")</f>
        <v>covenant</v>
      </c>
    </row>
    <row r="20537">
      <c r="A20537" s="1" t="s">
        <v>20536</v>
      </c>
      <c r="B20537" s="2" t="str">
        <f>IFERROR(__xludf.DUMMYFUNCTION("GOOGLETRANSLATE(A20537, ""de"", ""en"")"),"jemma")</f>
        <v>jemma</v>
      </c>
    </row>
    <row r="20538">
      <c r="A20538" s="1" t="s">
        <v>20537</v>
      </c>
      <c r="B20538" s="2" t="str">
        <f>IFERROR(__xludf.DUMMYFUNCTION("GOOGLETRANSLATE(A20538, ""de"", ""en"")"),"degenerate")</f>
        <v>degenerate</v>
      </c>
    </row>
    <row r="20539">
      <c r="A20539" s="1" t="s">
        <v>20538</v>
      </c>
      <c r="B20539" s="2" t="str">
        <f>IFERROR(__xludf.DUMMYFUNCTION("GOOGLETRANSLATE(A20539, ""de"", ""en"")"),"chemotherapy")</f>
        <v>chemotherapy</v>
      </c>
    </row>
    <row r="20540">
      <c r="A20540" s="1" t="s">
        <v>20539</v>
      </c>
      <c r="B20540" s="2" t="str">
        <f>IFERROR(__xludf.DUMMYFUNCTION("GOOGLETRANSLATE(A20540, ""de"", ""en"")"),"pennies")</f>
        <v>pennies</v>
      </c>
    </row>
    <row r="20541">
      <c r="A20541" s="1" t="s">
        <v>20540</v>
      </c>
      <c r="B20541" s="2" t="str">
        <f>IFERROR(__xludf.DUMMYFUNCTION("GOOGLETRANSLATE(A20541, ""de"", ""en"")"),"greendale")</f>
        <v>greendale</v>
      </c>
    </row>
    <row r="20542">
      <c r="A20542" s="1" t="s">
        <v>20541</v>
      </c>
      <c r="B20542" s="2" t="str">
        <f>IFERROR(__xludf.DUMMYFUNCTION("GOOGLETRANSLATE(A20542, ""de"", ""en"")"),"shiny")</f>
        <v>shiny</v>
      </c>
    </row>
    <row r="20543">
      <c r="A20543" s="1" t="s">
        <v>20542</v>
      </c>
      <c r="B20543" s="2" t="str">
        <f>IFERROR(__xludf.DUMMYFUNCTION("GOOGLETRANSLATE(A20543, ""de"", ""en"")"),"cats")</f>
        <v>cats</v>
      </c>
    </row>
    <row r="20544">
      <c r="A20544" s="1" t="s">
        <v>20543</v>
      </c>
      <c r="B20544" s="2" t="str">
        <f>IFERROR(__xludf.DUMMYFUNCTION("GOOGLETRANSLATE(A20544, ""de"", ""en"")"),"apply")</f>
        <v>apply</v>
      </c>
    </row>
    <row r="20545">
      <c r="A20545" s="1" t="s">
        <v>20544</v>
      </c>
      <c r="B20545" s="2" t="str">
        <f>IFERROR(__xludf.DUMMYFUNCTION("GOOGLETRANSLATE(A20545, ""de"", ""en"")"),"homecoming")</f>
        <v>homecoming</v>
      </c>
    </row>
    <row r="20546">
      <c r="A20546" s="1" t="s">
        <v>20545</v>
      </c>
      <c r="B20546" s="2" t="str">
        <f>IFERROR(__xludf.DUMMYFUNCTION("GOOGLETRANSLATE(A20546, ""de"", ""en"")"),"criteria")</f>
        <v>criteria</v>
      </c>
    </row>
    <row r="20547">
      <c r="A20547" s="1" t="s">
        <v>20546</v>
      </c>
      <c r="B20547" s="2" t="str">
        <f>IFERROR(__xludf.DUMMYFUNCTION("GOOGLETRANSLATE(A20547, ""de"", ""en"")"),"chowllye")</f>
        <v>chowllye</v>
      </c>
    </row>
    <row r="20548">
      <c r="A20548" s="1" t="s">
        <v>20547</v>
      </c>
      <c r="B20548" s="2" t="str">
        <f>IFERROR(__xludf.DUMMYFUNCTION("GOOGLETRANSLATE(A20548, ""de"", ""en"")"),"circumcised")</f>
        <v>circumcised</v>
      </c>
    </row>
    <row r="20549">
      <c r="A20549" s="1" t="s">
        <v>20548</v>
      </c>
      <c r="B20549" s="2" t="str">
        <f>IFERROR(__xludf.DUMMYFUNCTION("GOOGLETRANSLATE(A20549, ""de"", ""en"")"),"that one")</f>
        <v>that one</v>
      </c>
    </row>
    <row r="20550">
      <c r="A20550" s="1" t="s">
        <v>20549</v>
      </c>
      <c r="B20550" s="2" t="str">
        <f>IFERROR(__xludf.DUMMYFUNCTION("GOOGLETRANSLATE(A20550, ""de"", ""en"")"),"haas")</f>
        <v>haas</v>
      </c>
    </row>
    <row r="20551">
      <c r="A20551" s="1" t="s">
        <v>20550</v>
      </c>
      <c r="B20551" s="2" t="str">
        <f>IFERROR(__xludf.DUMMYFUNCTION("GOOGLETRANSLATE(A20551, ""de"", ""en"")"),"failed")</f>
        <v>failed</v>
      </c>
    </row>
    <row r="20552">
      <c r="A20552" s="1" t="s">
        <v>20551</v>
      </c>
      <c r="B20552" s="2" t="str">
        <f>IFERROR(__xludf.DUMMYFUNCTION("GOOGLETRANSLATE(A20552, ""de"", ""en"")"),"rage")</f>
        <v>rage</v>
      </c>
    </row>
    <row r="20553">
      <c r="A20553" s="1" t="s">
        <v>20552</v>
      </c>
      <c r="B20553" s="2" t="str">
        <f>IFERROR(__xludf.DUMMYFUNCTION("GOOGLETRANSLATE(A20553, ""de"", ""en"")"),"errand boy")</f>
        <v>errand boy</v>
      </c>
    </row>
    <row r="20554">
      <c r="A20554" s="1" t="s">
        <v>20553</v>
      </c>
      <c r="B20554" s="2" t="str">
        <f>IFERROR(__xludf.DUMMYFUNCTION("GOOGLETRANSLATE(A20554, ""de"", ""en"")"),"batiatus")</f>
        <v>batiatus</v>
      </c>
    </row>
    <row r="20555">
      <c r="A20555" s="1" t="s">
        <v>20554</v>
      </c>
      <c r="B20555" s="2" t="str">
        <f>IFERROR(__xludf.DUMMYFUNCTION("GOOGLETRANSLATE(A20555, ""de"", ""en"")"),"African")</f>
        <v>African</v>
      </c>
    </row>
    <row r="20556">
      <c r="A20556" s="1" t="s">
        <v>20555</v>
      </c>
      <c r="B20556" s="2" t="str">
        <f>IFERROR(__xludf.DUMMYFUNCTION("GOOGLETRANSLATE(A20556, ""de"", ""en"")"),"stay up")</f>
        <v>stay up</v>
      </c>
    </row>
    <row r="20557">
      <c r="A20557" s="1" t="s">
        <v>20556</v>
      </c>
      <c r="B20557" s="2" t="str">
        <f>IFERROR(__xludf.DUMMYFUNCTION("GOOGLETRANSLATE(A20557, ""de"", ""en"")"),"bank accounts")</f>
        <v>bank accounts</v>
      </c>
    </row>
    <row r="20558">
      <c r="A20558" s="1" t="s">
        <v>20557</v>
      </c>
      <c r="B20558" s="2" t="str">
        <f>IFERROR(__xludf.DUMMYFUNCTION("GOOGLETRANSLATE(A20558, ""de"", ""en"")"),"threaten")</f>
        <v>threaten</v>
      </c>
    </row>
    <row r="20559">
      <c r="A20559" s="1" t="s">
        <v>20558</v>
      </c>
      <c r="B20559" s="2" t="str">
        <f>IFERROR(__xludf.DUMMYFUNCTION("GOOGLETRANSLATE(A20559, ""de"", ""en"")"),"caesarean section")</f>
        <v>caesarean section</v>
      </c>
    </row>
    <row r="20560">
      <c r="A20560" s="1" t="s">
        <v>20559</v>
      </c>
      <c r="B20560" s="2" t="str">
        <f>IFERROR(__xludf.DUMMYFUNCTION("GOOGLETRANSLATE(A20560, ""de"", ""en"")"),"handkerchiefs")</f>
        <v>handkerchiefs</v>
      </c>
    </row>
    <row r="20561">
      <c r="A20561" s="1" t="s">
        <v>20560</v>
      </c>
      <c r="B20561" s="2" t="str">
        <f>IFERROR(__xludf.DUMMYFUNCTION("GOOGLETRANSLATE(A20561, ""de"", ""en"")"),"reily")</f>
        <v>reily</v>
      </c>
    </row>
    <row r="20562">
      <c r="A20562" s="1" t="s">
        <v>20561</v>
      </c>
      <c r="B20562" s="2" t="str">
        <f>IFERROR(__xludf.DUMMYFUNCTION("GOOGLETRANSLATE(A20562, ""de"", ""en"")"),"lackey")</f>
        <v>lackey</v>
      </c>
    </row>
    <row r="20563">
      <c r="A20563" s="1" t="s">
        <v>20562</v>
      </c>
      <c r="B20563" s="2" t="str">
        <f>IFERROR(__xludf.DUMMYFUNCTION("GOOGLETRANSLATE(A20563, ""de"", ""en"")"),"peace offering")</f>
        <v>peace offering</v>
      </c>
    </row>
    <row r="20564">
      <c r="A20564" s="1" t="s">
        <v>20563</v>
      </c>
      <c r="B20564" s="2" t="str">
        <f>IFERROR(__xludf.DUMMYFUNCTION("GOOGLETRANSLATE(A20564, ""de"", ""en"")"),"cover")</f>
        <v>cover</v>
      </c>
    </row>
    <row r="20565">
      <c r="A20565" s="1" t="s">
        <v>20564</v>
      </c>
      <c r="B20565" s="2" t="str">
        <f>IFERROR(__xludf.DUMMYFUNCTION("GOOGLETRANSLATE(A20565, ""de"", ""en"")"),"ortega")</f>
        <v>ortega</v>
      </c>
    </row>
    <row r="20566">
      <c r="A20566" s="1" t="s">
        <v>20565</v>
      </c>
      <c r="B20566" s="2" t="str">
        <f>IFERROR(__xludf.DUMMYFUNCTION("GOOGLETRANSLATE(A20566, ""de"", ""en"")"),"helmets")</f>
        <v>helmets</v>
      </c>
    </row>
    <row r="20567">
      <c r="A20567" s="1" t="s">
        <v>20566</v>
      </c>
      <c r="B20567" s="2" t="str">
        <f>IFERROR(__xludf.DUMMYFUNCTION("GOOGLETRANSLATE(A20567, ""de"", ""en"")"),"depot")</f>
        <v>depot</v>
      </c>
    </row>
    <row r="20568">
      <c r="A20568" s="1" t="s">
        <v>20567</v>
      </c>
      <c r="B20568" s="2" t="str">
        <f>IFERROR(__xludf.DUMMYFUNCTION("GOOGLETRANSLATE(A20568, ""de"", ""en"")"),"wick")</f>
        <v>wick</v>
      </c>
    </row>
    <row r="20569">
      <c r="A20569" s="1" t="s">
        <v>20568</v>
      </c>
      <c r="B20569" s="2" t="str">
        <f>IFERROR(__xludf.DUMMYFUNCTION("GOOGLETRANSLATE(A20569, ""de"", ""en"")"),"traverse")</f>
        <v>traverse</v>
      </c>
    </row>
    <row r="20570">
      <c r="A20570" s="1" t="s">
        <v>20569</v>
      </c>
      <c r="B20570" s="2" t="str">
        <f>IFERROR(__xludf.DUMMYFUNCTION("GOOGLETRANSLATE(A20570, ""de"", ""en"")"),"turn back")</f>
        <v>turn back</v>
      </c>
    </row>
    <row r="20571">
      <c r="A20571" s="1" t="s">
        <v>20570</v>
      </c>
      <c r="B20571" s="2" t="str">
        <f>IFERROR(__xludf.DUMMYFUNCTION("GOOGLETRANSLATE(A20571, ""de"", ""en"")"),"glued")</f>
        <v>glued</v>
      </c>
    </row>
    <row r="20572">
      <c r="A20572" s="1" t="s">
        <v>20571</v>
      </c>
      <c r="B20572" s="2" t="str">
        <f>IFERROR(__xludf.DUMMYFUNCTION("GOOGLETRANSLATE(A20572, ""de"", ""en"")"),"tunnels")</f>
        <v>tunnels</v>
      </c>
    </row>
    <row r="20573">
      <c r="A20573" s="1" t="s">
        <v>20572</v>
      </c>
      <c r="B20573" s="2" t="str">
        <f>IFERROR(__xludf.DUMMYFUNCTION("GOOGLETRANSLATE(A20573, ""de"", ""en"")"),"windy")</f>
        <v>windy</v>
      </c>
    </row>
    <row r="20574">
      <c r="A20574" s="1" t="s">
        <v>20573</v>
      </c>
      <c r="B20574" s="2" t="str">
        <f>IFERROR(__xludf.DUMMYFUNCTION("GOOGLETRANSLATE(A20574, ""de"", ""en"")"),"give up")</f>
        <v>give up</v>
      </c>
    </row>
    <row r="20575">
      <c r="A20575" s="1" t="s">
        <v>20574</v>
      </c>
      <c r="B20575" s="2" t="str">
        <f>IFERROR(__xludf.DUMMYFUNCTION("GOOGLETRANSLATE(A20575, ""de"", ""en"")"),"favorite film")</f>
        <v>favorite film</v>
      </c>
    </row>
    <row r="20576">
      <c r="A20576" s="1" t="s">
        <v>20575</v>
      </c>
      <c r="B20576" s="2" t="str">
        <f>IFERROR(__xludf.DUMMYFUNCTION("GOOGLETRANSLATE(A20576, ""de"", ""en"")"),"macdonald")</f>
        <v>macdonald</v>
      </c>
    </row>
    <row r="20577">
      <c r="A20577" s="1" t="s">
        <v>20576</v>
      </c>
      <c r="B20577" s="2" t="str">
        <f>IFERROR(__xludf.DUMMYFUNCTION("GOOGLETRANSLATE(A20577, ""de"", ""en"")"),"look after")</f>
        <v>look after</v>
      </c>
    </row>
    <row r="20578">
      <c r="A20578" s="1" t="s">
        <v>20577</v>
      </c>
      <c r="B20578" s="2" t="str">
        <f>IFERROR(__xludf.DUMMYFUNCTION("GOOGLETRANSLATE(A20578, ""de"", ""en"")"),"carrot")</f>
        <v>carrot</v>
      </c>
    </row>
    <row r="20579">
      <c r="A20579" s="1" t="s">
        <v>20578</v>
      </c>
      <c r="B20579" s="2" t="str">
        <f>IFERROR(__xludf.DUMMYFUNCTION("GOOGLETRANSLATE(A20579, ""de"", ""en"")"),"gypsy")</f>
        <v>gypsy</v>
      </c>
    </row>
    <row r="20580">
      <c r="A20580" s="1" t="s">
        <v>20579</v>
      </c>
      <c r="B20580" s="2" t="str">
        <f>IFERROR(__xludf.DUMMYFUNCTION("GOOGLETRANSLATE(A20580, ""de"", ""en"")"),"carburetor")</f>
        <v>carburetor</v>
      </c>
    </row>
    <row r="20581">
      <c r="A20581" s="1" t="s">
        <v>20580</v>
      </c>
      <c r="B20581" s="2" t="str">
        <f>IFERROR(__xludf.DUMMYFUNCTION("GOOGLETRANSLATE(A20581, ""de"", ""en"")"),"running around")</f>
        <v>running around</v>
      </c>
    </row>
    <row r="20582">
      <c r="A20582" s="1" t="s">
        <v>20581</v>
      </c>
      <c r="B20582" s="2" t="str">
        <f>IFERROR(__xludf.DUMMYFUNCTION("GOOGLETRANSLATE(A20582, ""de"", ""en"")"),"branches")</f>
        <v>branches</v>
      </c>
    </row>
    <row r="20583">
      <c r="A20583" s="1" t="s">
        <v>20582</v>
      </c>
      <c r="B20583" s="2" t="str">
        <f>IFERROR(__xludf.DUMMYFUNCTION("GOOGLETRANSLATE(A20583, ""de"", ""en"")"),"of Allah")</f>
        <v>of Allah</v>
      </c>
    </row>
    <row r="20584">
      <c r="A20584" s="1" t="s">
        <v>20583</v>
      </c>
      <c r="B20584" s="2" t="str">
        <f>IFERROR(__xludf.DUMMYFUNCTION("GOOGLETRANSLATE(A20584, ""de"", ""en"")"),"aimee")</f>
        <v>aimee</v>
      </c>
    </row>
    <row r="20585">
      <c r="A20585" s="1" t="s">
        <v>20584</v>
      </c>
      <c r="B20585" s="2" t="str">
        <f>IFERROR(__xludf.DUMMYFUNCTION("GOOGLETRANSLATE(A20585, ""de"", ""en"")"),"Ignacio")</f>
        <v>Ignacio</v>
      </c>
    </row>
    <row r="20586">
      <c r="A20586" s="1" t="s">
        <v>20585</v>
      </c>
      <c r="B20586" s="2" t="str">
        <f>IFERROR(__xludf.DUMMYFUNCTION("GOOGLETRANSLATE(A20586, ""de"", ""en"")"),"commercial")</f>
        <v>commercial</v>
      </c>
    </row>
    <row r="20587">
      <c r="A20587" s="1" t="s">
        <v>20586</v>
      </c>
      <c r="B20587" s="2" t="str">
        <f>IFERROR(__xludf.DUMMYFUNCTION("GOOGLETRANSLATE(A20587, ""de"", ""en"")"),"bao")</f>
        <v>bao</v>
      </c>
    </row>
    <row r="20588">
      <c r="A20588" s="1" t="s">
        <v>20587</v>
      </c>
      <c r="B20588" s="2" t="str">
        <f>IFERROR(__xludf.DUMMYFUNCTION("GOOGLETRANSLATE(A20588, ""de"", ""en"")"),"random")</f>
        <v>random</v>
      </c>
    </row>
    <row r="20589">
      <c r="A20589" s="1" t="s">
        <v>20588</v>
      </c>
      <c r="B20589" s="2" t="str">
        <f>IFERROR(__xludf.DUMMYFUNCTION("GOOGLETRANSLATE(A20589, ""de"", ""en"")"),"shameful")</f>
        <v>shameful</v>
      </c>
    </row>
    <row r="20590">
      <c r="A20590" s="1" t="s">
        <v>20589</v>
      </c>
      <c r="B20590" s="2" t="str">
        <f>IFERROR(__xludf.DUMMYFUNCTION("GOOGLETRANSLATE(A20590, ""de"", ""en"")"),"bloom")</f>
        <v>bloom</v>
      </c>
    </row>
    <row r="20591">
      <c r="A20591" s="1" t="s">
        <v>20590</v>
      </c>
      <c r="B20591" s="2" t="str">
        <f>IFERROR(__xludf.DUMMYFUNCTION("GOOGLETRANSLATE(A20591, ""de"", ""en"")"),"child prodigy")</f>
        <v>child prodigy</v>
      </c>
    </row>
    <row r="20592">
      <c r="A20592" s="1" t="s">
        <v>20591</v>
      </c>
      <c r="B20592" s="2" t="str">
        <f>IFERROR(__xludf.DUMMYFUNCTION("GOOGLETRANSLATE(A20592, ""de"", ""en"")"),"distribute")</f>
        <v>distribute</v>
      </c>
    </row>
    <row r="20593">
      <c r="A20593" s="1" t="s">
        <v>20592</v>
      </c>
      <c r="B20593" s="2" t="str">
        <f>IFERROR(__xludf.DUMMYFUNCTION("GOOGLETRANSLATE(A20593, ""de"", ""en"")"),"pluck")</f>
        <v>pluck</v>
      </c>
    </row>
    <row r="20594">
      <c r="A20594" s="1" t="s">
        <v>20593</v>
      </c>
      <c r="B20594" s="2" t="str">
        <f>IFERROR(__xludf.DUMMYFUNCTION("GOOGLETRANSLATE(A20594, ""de"", ""en"")"),"Alba")</f>
        <v>Alba</v>
      </c>
    </row>
    <row r="20595">
      <c r="A20595" s="1" t="s">
        <v>20594</v>
      </c>
      <c r="B20595" s="2" t="str">
        <f>IFERROR(__xludf.DUMMYFUNCTION("GOOGLETRANSLATE(A20595, ""de"", ""en"")"),"got into it")</f>
        <v>got into it</v>
      </c>
    </row>
    <row r="20596">
      <c r="A20596" s="1" t="s">
        <v>20595</v>
      </c>
      <c r="B20596" s="2" t="str">
        <f>IFERROR(__xludf.DUMMYFUNCTION("GOOGLETRANSLATE(A20596, ""de"", ""en"")"),"present")</f>
        <v>present</v>
      </c>
    </row>
    <row r="20597">
      <c r="A20597" s="1" t="s">
        <v>20596</v>
      </c>
      <c r="B20597" s="2" t="str">
        <f>IFERROR(__xludf.DUMMYFUNCTION("GOOGLETRANSLATE(A20597, ""de"", ""en"")"),"landlady")</f>
        <v>landlady</v>
      </c>
    </row>
    <row r="20598">
      <c r="A20598" s="1" t="s">
        <v>20597</v>
      </c>
      <c r="B20598" s="2" t="str">
        <f>IFERROR(__xludf.DUMMYFUNCTION("GOOGLETRANSLATE(A20598, ""de"", ""en"")"),"heard")</f>
        <v>heard</v>
      </c>
    </row>
    <row r="20599">
      <c r="A20599" s="1" t="s">
        <v>20598</v>
      </c>
      <c r="B20599" s="2" t="str">
        <f>IFERROR(__xludf.DUMMYFUNCTION("GOOGLETRANSLATE(A20599, ""de"", ""en"")"),"stoned")</f>
        <v>stoned</v>
      </c>
    </row>
    <row r="20600">
      <c r="A20600" s="1" t="s">
        <v>20599</v>
      </c>
      <c r="B20600" s="2" t="str">
        <f>IFERROR(__xludf.DUMMYFUNCTION("GOOGLETRANSLATE(A20600, ""de"", ""en"")"),"laboratories")</f>
        <v>laboratories</v>
      </c>
    </row>
    <row r="20601">
      <c r="A20601" s="1" t="s">
        <v>20600</v>
      </c>
      <c r="B20601" s="2" t="str">
        <f>IFERROR(__xludf.DUMMYFUNCTION("GOOGLETRANSLATE(A20601, ""de"", ""en"")"),"dropped")</f>
        <v>dropped</v>
      </c>
    </row>
    <row r="20602">
      <c r="A20602" s="1" t="s">
        <v>20601</v>
      </c>
      <c r="B20602" s="2" t="str">
        <f>IFERROR(__xludf.DUMMYFUNCTION("GOOGLETRANSLATE(A20602, ""de"", ""en"")"),"einar")</f>
        <v>einar</v>
      </c>
    </row>
    <row r="20603">
      <c r="A20603" s="1" t="s">
        <v>20602</v>
      </c>
      <c r="B20603" s="2" t="str">
        <f>IFERROR(__xludf.DUMMYFUNCTION("GOOGLETRANSLATE(A20603, ""de"", ""en"")"),"Dorian")</f>
        <v>Dorian</v>
      </c>
    </row>
    <row r="20604">
      <c r="A20604" s="1" t="s">
        <v>20603</v>
      </c>
      <c r="B20604" s="2" t="str">
        <f>IFERROR(__xludf.DUMMYFUNCTION("GOOGLETRANSLATE(A20604, ""de"", ""en"")"),"NATO")</f>
        <v>NATO</v>
      </c>
    </row>
    <row r="20605">
      <c r="A20605" s="1" t="s">
        <v>20604</v>
      </c>
      <c r="B20605" s="2" t="str">
        <f>IFERROR(__xludf.DUMMYFUNCTION("GOOGLETRANSLATE(A20605, ""de"", ""en"")"),"cut out")</f>
        <v>cut out</v>
      </c>
    </row>
    <row r="20606">
      <c r="A20606" s="1" t="s">
        <v>20605</v>
      </c>
      <c r="B20606" s="2" t="str">
        <f>IFERROR(__xludf.DUMMYFUNCTION("GOOGLETRANSLATE(A20606, ""de"", ""en"")"),"heritage")</f>
        <v>heritage</v>
      </c>
    </row>
    <row r="20607">
      <c r="A20607" s="1" t="s">
        <v>20606</v>
      </c>
      <c r="B20607" s="2" t="str">
        <f>IFERROR(__xludf.DUMMYFUNCTION("GOOGLETRANSLATE(A20607, ""de"", ""en"")"),"drug")</f>
        <v>drug</v>
      </c>
    </row>
    <row r="20608">
      <c r="A20608" s="1" t="s">
        <v>20607</v>
      </c>
      <c r="B20608" s="2" t="str">
        <f>IFERROR(__xludf.DUMMYFUNCTION("GOOGLETRANSLATE(A20608, ""de"", ""en"")"),"based")</f>
        <v>based</v>
      </c>
    </row>
    <row r="20609">
      <c r="A20609" s="1" t="s">
        <v>20608</v>
      </c>
      <c r="B20609" s="2" t="str">
        <f>IFERROR(__xludf.DUMMYFUNCTION("GOOGLETRANSLATE(A20609, ""de"", ""en"")"),"precautions")</f>
        <v>precautions</v>
      </c>
    </row>
    <row r="20610">
      <c r="A20610" s="1" t="s">
        <v>20609</v>
      </c>
      <c r="B20610" s="2" t="str">
        <f>IFERROR(__xludf.DUMMYFUNCTION("GOOGLETRANSLATE(A20610, ""de"", ""en"")"),"liang")</f>
        <v>liang</v>
      </c>
    </row>
    <row r="20611">
      <c r="A20611" s="1" t="s">
        <v>20610</v>
      </c>
      <c r="B20611" s="2" t="str">
        <f>IFERROR(__xludf.DUMMYFUNCTION("GOOGLETRANSLATE(A20611, ""de"", ""en"")"),"pious")</f>
        <v>pious</v>
      </c>
    </row>
    <row r="20612">
      <c r="A20612" s="1" t="s">
        <v>20611</v>
      </c>
      <c r="B20612" s="2" t="str">
        <f>IFERROR(__xludf.DUMMYFUNCTION("GOOGLETRANSLATE(A20612, ""de"", ""en"")"),"aneurysm")</f>
        <v>aneurysm</v>
      </c>
    </row>
    <row r="20613">
      <c r="A20613" s="1" t="s">
        <v>20612</v>
      </c>
      <c r="B20613" s="2" t="str">
        <f>IFERROR(__xludf.DUMMYFUNCTION("GOOGLETRANSLATE(A20613, ""de"", ""en"")"),"cnn")</f>
        <v>cnn</v>
      </c>
    </row>
    <row r="20614">
      <c r="A20614" s="1" t="s">
        <v>20613</v>
      </c>
      <c r="B20614" s="2" t="str">
        <f>IFERROR(__xludf.DUMMYFUNCTION("GOOGLETRANSLATE(A20614, ""de"", ""en"")"),"dishonest")</f>
        <v>dishonest</v>
      </c>
    </row>
    <row r="20615">
      <c r="A20615" s="1" t="s">
        <v>20614</v>
      </c>
      <c r="B20615" s="2" t="str">
        <f>IFERROR(__xludf.DUMMYFUNCTION("GOOGLETRANSLATE(A20615, ""de"", ""en"")"),"more peaceful")</f>
        <v>more peaceful</v>
      </c>
    </row>
    <row r="20616">
      <c r="A20616" s="1" t="s">
        <v>20615</v>
      </c>
      <c r="B20616" s="2" t="str">
        <f>IFERROR(__xludf.DUMMYFUNCTION("GOOGLETRANSLATE(A20616, ""de"", ""en"")"),"joss")</f>
        <v>joss</v>
      </c>
    </row>
    <row r="20617">
      <c r="A20617" s="1" t="s">
        <v>20616</v>
      </c>
      <c r="B20617" s="2" t="str">
        <f>IFERROR(__xludf.DUMMYFUNCTION("GOOGLETRANSLATE(A20617, ""de"", ""en"")"),"looking")</f>
        <v>looking</v>
      </c>
    </row>
    <row r="20618">
      <c r="A20618" s="1" t="s">
        <v>20617</v>
      </c>
      <c r="B20618" s="2" t="str">
        <f>IFERROR(__xludf.DUMMYFUNCTION("GOOGLETRANSLATE(A20618, ""de"", ""en"")"),"microscope")</f>
        <v>microscope</v>
      </c>
    </row>
    <row r="20619">
      <c r="A20619" s="1" t="s">
        <v>20618</v>
      </c>
      <c r="B20619" s="2" t="str">
        <f>IFERROR(__xludf.DUMMYFUNCTION("GOOGLETRANSLATE(A20619, ""de"", ""en"")"),"calculation")</f>
        <v>calculation</v>
      </c>
    </row>
    <row r="20620">
      <c r="A20620" s="1" t="s">
        <v>20619</v>
      </c>
      <c r="B20620" s="2" t="str">
        <f>IFERROR(__xludf.DUMMYFUNCTION("GOOGLETRANSLATE(A20620, ""de"", ""en"")"),"crutches")</f>
        <v>crutches</v>
      </c>
    </row>
    <row r="20621">
      <c r="A20621" s="1" t="s">
        <v>20620</v>
      </c>
      <c r="B20621" s="2" t="str">
        <f>IFERROR(__xludf.DUMMYFUNCTION("GOOGLETRANSLATE(A20621, ""de"", ""en"")"),"idiom")</f>
        <v>idiom</v>
      </c>
    </row>
    <row r="20622">
      <c r="A20622" s="1" t="s">
        <v>20621</v>
      </c>
      <c r="B20622" s="2" t="str">
        <f>IFERROR(__xludf.DUMMYFUNCTION("GOOGLETRANSLATE(A20622, ""de"", ""en"")"),"irresponsible")</f>
        <v>irresponsible</v>
      </c>
    </row>
    <row r="20623">
      <c r="A20623" s="1" t="s">
        <v>20622</v>
      </c>
      <c r="B20623" s="2" t="str">
        <f>IFERROR(__xludf.DUMMYFUNCTION("GOOGLETRANSLATE(A20623, ""de"", ""en"")"),"judge")</f>
        <v>judge</v>
      </c>
    </row>
    <row r="20624">
      <c r="A20624" s="1" t="s">
        <v>20623</v>
      </c>
      <c r="B20624" s="2" t="str">
        <f>IFERROR(__xludf.DUMMYFUNCTION("GOOGLETRANSLATE(A20624, ""de"", ""en"")"),"triple")</f>
        <v>triple</v>
      </c>
    </row>
    <row r="20625">
      <c r="A20625" s="1" t="s">
        <v>20624</v>
      </c>
      <c r="B20625" s="2" t="str">
        <f>IFERROR(__xludf.DUMMYFUNCTION("GOOGLETRANSLATE(A20625, ""de"", ""en"")"),"give an order")</f>
        <v>give an order</v>
      </c>
    </row>
    <row r="20626">
      <c r="A20626" s="1" t="s">
        <v>20625</v>
      </c>
      <c r="B20626" s="2" t="str">
        <f>IFERROR(__xludf.DUMMYFUNCTION("GOOGLETRANSLATE(A20626, ""de"", ""en"")"),"entertains")</f>
        <v>entertains</v>
      </c>
    </row>
    <row r="20627">
      <c r="A20627" s="1" t="s">
        <v>20626</v>
      </c>
      <c r="B20627" s="2" t="str">
        <f>IFERROR(__xludf.DUMMYFUNCTION("GOOGLETRANSLATE(A20627, ""de"", ""en"")"),"enigmatic")</f>
        <v>enigmatic</v>
      </c>
    </row>
    <row r="20628">
      <c r="A20628" s="1" t="s">
        <v>20627</v>
      </c>
      <c r="B20628" s="2" t="str">
        <f>IFERROR(__xludf.DUMMYFUNCTION("GOOGLETRANSLATE(A20628, ""de"", ""en"")"),"appreciation")</f>
        <v>appreciation</v>
      </c>
    </row>
    <row r="20629">
      <c r="A20629" s="1" t="s">
        <v>20628</v>
      </c>
      <c r="B20629" s="2" t="str">
        <f>IFERROR(__xludf.DUMMYFUNCTION("GOOGLETRANSLATE(A20629, ""de"", ""en"")"),"lousy")</f>
        <v>lousy</v>
      </c>
    </row>
    <row r="20630">
      <c r="A20630" s="1" t="s">
        <v>20629</v>
      </c>
      <c r="B20630" s="2" t="str">
        <f>IFERROR(__xludf.DUMMYFUNCTION("GOOGLETRANSLATE(A20630, ""de"", ""en"")"),"misunderstandings")</f>
        <v>misunderstandings</v>
      </c>
    </row>
    <row r="20631">
      <c r="A20631" s="1" t="s">
        <v>20630</v>
      </c>
      <c r="B20631" s="2" t="str">
        <f>IFERROR(__xludf.DUMMYFUNCTION("GOOGLETRANSLATE(A20631, ""de"", ""en"")"),"go away")</f>
        <v>go away</v>
      </c>
    </row>
    <row r="20632">
      <c r="A20632" s="1" t="s">
        <v>20631</v>
      </c>
      <c r="B20632" s="2" t="str">
        <f>IFERROR(__xludf.DUMMYFUNCTION("GOOGLETRANSLATE(A20632, ""de"", ""en"")"),"made up")</f>
        <v>made up</v>
      </c>
    </row>
    <row r="20633">
      <c r="A20633" s="1" t="s">
        <v>20632</v>
      </c>
      <c r="B20633" s="2" t="str">
        <f>IFERROR(__xludf.DUMMYFUNCTION("GOOGLETRANSLATE(A20633, ""de"", ""en"")"),"district attorney")</f>
        <v>district attorney</v>
      </c>
    </row>
    <row r="20634">
      <c r="A20634" s="1" t="s">
        <v>20633</v>
      </c>
      <c r="B20634" s="2" t="str">
        <f>IFERROR(__xludf.DUMMYFUNCTION("GOOGLETRANSLATE(A20634, ""de"", ""en"")"),"ATMs")</f>
        <v>ATMs</v>
      </c>
    </row>
    <row r="20635">
      <c r="A20635" s="1" t="s">
        <v>20634</v>
      </c>
      <c r="B20635" s="2" t="str">
        <f>IFERROR(__xludf.DUMMYFUNCTION("GOOGLETRANSLATE(A20635, ""de"", ""en"")"),"behaved")</f>
        <v>behaved</v>
      </c>
    </row>
    <row r="20636">
      <c r="A20636" s="1" t="s">
        <v>20635</v>
      </c>
      <c r="B20636" s="2" t="str">
        <f>IFERROR(__xludf.DUMMYFUNCTION("GOOGLETRANSLATE(A20636, ""de"", ""en"")"),"infiltrated")</f>
        <v>infiltrated</v>
      </c>
    </row>
    <row r="20637">
      <c r="A20637" s="1" t="s">
        <v>20636</v>
      </c>
      <c r="B20637" s="2" t="str">
        <f>IFERROR(__xludf.DUMMYFUNCTION("GOOGLETRANSLATE(A20637, ""de"", ""en"")"),"Kati")</f>
        <v>Kati</v>
      </c>
    </row>
    <row r="20638">
      <c r="A20638" s="1" t="s">
        <v>20637</v>
      </c>
      <c r="B20638" s="2" t="str">
        <f>IFERROR(__xludf.DUMMYFUNCTION("GOOGLETRANSLATE(A20638, ""de"", ""en"")"),"babble")</f>
        <v>babble</v>
      </c>
    </row>
    <row r="20639">
      <c r="A20639" s="1" t="s">
        <v>20638</v>
      </c>
      <c r="B20639" s="2" t="str">
        <f>IFERROR(__xludf.DUMMYFUNCTION("GOOGLETRANSLATE(A20639, ""de"", ""en"")"),"nurse")</f>
        <v>nurse</v>
      </c>
    </row>
    <row r="20640">
      <c r="A20640" s="1" t="s">
        <v>20639</v>
      </c>
      <c r="B20640" s="2" t="str">
        <f>IFERROR(__xludf.DUMMYFUNCTION("GOOGLETRANSLATE(A20640, ""de"", ""en"")"),"rascal")</f>
        <v>rascal</v>
      </c>
    </row>
    <row r="20641">
      <c r="A20641" s="1" t="s">
        <v>20640</v>
      </c>
      <c r="B20641" s="2" t="str">
        <f>IFERROR(__xludf.DUMMYFUNCTION("GOOGLETRANSLATE(A20641, ""de"", ""en"")"),"ji")</f>
        <v>ji</v>
      </c>
    </row>
    <row r="20642">
      <c r="A20642" s="1" t="s">
        <v>20641</v>
      </c>
      <c r="B20642" s="2" t="str">
        <f>IFERROR(__xludf.DUMMYFUNCTION("GOOGLETRANSLATE(A20642, ""de"", ""en"")"),"learned")</f>
        <v>learned</v>
      </c>
    </row>
    <row r="20643">
      <c r="A20643" s="1" t="s">
        <v>20642</v>
      </c>
      <c r="B20643" s="2" t="str">
        <f>IFERROR(__xludf.DUMMYFUNCTION("GOOGLETRANSLATE(A20643, ""de"", ""en"")"),"cheung")</f>
        <v>cheung</v>
      </c>
    </row>
    <row r="20644">
      <c r="A20644" s="1" t="s">
        <v>20643</v>
      </c>
      <c r="B20644" s="2" t="str">
        <f>IFERROR(__xludf.DUMMYFUNCTION("GOOGLETRANSLATE(A20644, ""de"", ""en"")"),"include")</f>
        <v>include</v>
      </c>
    </row>
    <row r="20645">
      <c r="A20645" s="1" t="s">
        <v>20644</v>
      </c>
      <c r="B20645" s="2" t="str">
        <f>IFERROR(__xludf.DUMMYFUNCTION("GOOGLETRANSLATE(A20645, ""de"", ""en"")"),"effects")</f>
        <v>effects</v>
      </c>
    </row>
    <row r="20646">
      <c r="A20646" s="1" t="s">
        <v>20645</v>
      </c>
      <c r="B20646" s="2" t="str">
        <f>IFERROR(__xludf.DUMMYFUNCTION("GOOGLETRANSLATE(A20646, ""de"", ""en"")"),"settled in")</f>
        <v>settled in</v>
      </c>
    </row>
    <row r="20647">
      <c r="A20647" s="1" t="s">
        <v>20646</v>
      </c>
      <c r="B20647" s="2" t="str">
        <f>IFERROR(__xludf.DUMMYFUNCTION("GOOGLETRANSLATE(A20647, ""de"", ""en"")"),"calder")</f>
        <v>calder</v>
      </c>
    </row>
    <row r="20648">
      <c r="A20648" s="1" t="s">
        <v>20647</v>
      </c>
      <c r="B20648" s="2" t="str">
        <f>IFERROR(__xludf.DUMMYFUNCTION("GOOGLETRANSLATE(A20648, ""de"", ""en"")"),"vandalism")</f>
        <v>vandalism</v>
      </c>
    </row>
    <row r="20649">
      <c r="A20649" s="1" t="s">
        <v>20648</v>
      </c>
      <c r="B20649" s="2" t="str">
        <f>IFERROR(__xludf.DUMMYFUNCTION("GOOGLETRANSLATE(A20649, ""de"", ""en"")"),"the other way around")</f>
        <v>the other way around</v>
      </c>
    </row>
    <row r="20650">
      <c r="A20650" s="1" t="s">
        <v>20649</v>
      </c>
      <c r="B20650" s="2" t="str">
        <f>IFERROR(__xludf.DUMMYFUNCTION("GOOGLETRANSLATE(A20650, ""de"", ""en"")"),"party")</f>
        <v>party</v>
      </c>
    </row>
    <row r="20651">
      <c r="A20651" s="1" t="s">
        <v>20650</v>
      </c>
      <c r="B20651" s="2" t="str">
        <f>IFERROR(__xludf.DUMMYFUNCTION("GOOGLETRANSLATE(A20651, ""de"", ""en"")"),"spray")</f>
        <v>spray</v>
      </c>
    </row>
    <row r="20652">
      <c r="A20652" s="1" t="s">
        <v>20651</v>
      </c>
      <c r="B20652" s="2" t="str">
        <f>IFERROR(__xludf.DUMMYFUNCTION("GOOGLETRANSLATE(A20652, ""de"", ""en"")"),"kappa")</f>
        <v>kappa</v>
      </c>
    </row>
    <row r="20653">
      <c r="A20653" s="1" t="s">
        <v>20652</v>
      </c>
      <c r="B20653" s="2" t="str">
        <f>IFERROR(__xludf.DUMMYFUNCTION("GOOGLETRANSLATE(A20653, ""de"", ""en"")"),"brand new")</f>
        <v>brand new</v>
      </c>
    </row>
    <row r="20654">
      <c r="A20654" s="1" t="s">
        <v>20653</v>
      </c>
      <c r="B20654" s="2" t="str">
        <f>IFERROR(__xludf.DUMMYFUNCTION("GOOGLETRANSLATE(A20654, ""de"", ""en"")"),"hearse")</f>
        <v>hearse</v>
      </c>
    </row>
    <row r="20655">
      <c r="A20655" s="1" t="s">
        <v>20654</v>
      </c>
      <c r="B20655" s="2" t="str">
        <f>IFERROR(__xludf.DUMMYFUNCTION("GOOGLETRANSLATE(A20655, ""de"", ""en"")"),"car horn")</f>
        <v>car horn</v>
      </c>
    </row>
    <row r="20656">
      <c r="A20656" s="1" t="s">
        <v>20655</v>
      </c>
      <c r="B20656" s="2" t="str">
        <f>IFERROR(__xludf.DUMMYFUNCTION("GOOGLETRANSLATE(A20656, ""de"", ""en"")"),"hear")</f>
        <v>hear</v>
      </c>
    </row>
    <row r="20657">
      <c r="A20657" s="1" t="s">
        <v>20656</v>
      </c>
      <c r="B20657" s="2" t="str">
        <f>IFERROR(__xludf.DUMMYFUNCTION("GOOGLETRANSLATE(A20657, ""de"", ""en"")"),"is present")</f>
        <v>is present</v>
      </c>
    </row>
    <row r="20658">
      <c r="A20658" s="1" t="s">
        <v>20657</v>
      </c>
      <c r="B20658" s="2" t="str">
        <f>IFERROR(__xludf.DUMMYFUNCTION("GOOGLETRANSLATE(A20658, ""de"", ""en"")"),"ducky")</f>
        <v>ducky</v>
      </c>
    </row>
    <row r="20659">
      <c r="A20659" s="1" t="s">
        <v>20658</v>
      </c>
      <c r="B20659" s="2" t="str">
        <f>IFERROR(__xludf.DUMMYFUNCTION("GOOGLETRANSLATE(A20659, ""de"", ""en"")"),"Bajoran")</f>
        <v>Bajoran</v>
      </c>
    </row>
    <row r="20660">
      <c r="A20660" s="1" t="s">
        <v>20659</v>
      </c>
      <c r="B20660" s="2" t="str">
        <f>IFERROR(__xludf.DUMMYFUNCTION("GOOGLETRANSLATE(A20660, ""de"", ""en"")"),"inspect")</f>
        <v>inspect</v>
      </c>
    </row>
    <row r="20661">
      <c r="A20661" s="1" t="s">
        <v>20660</v>
      </c>
      <c r="B20661" s="2" t="str">
        <f>IFERROR(__xludf.DUMMYFUNCTION("GOOGLETRANSLATE(A20661, ""de"", ""en"")"),"camper")</f>
        <v>camper</v>
      </c>
    </row>
    <row r="20662">
      <c r="A20662" s="1" t="s">
        <v>20661</v>
      </c>
      <c r="B20662" s="2" t="str">
        <f>IFERROR(__xludf.DUMMYFUNCTION("GOOGLETRANSLATE(A20662, ""de"", ""en"")"),"more heavenly")</f>
        <v>more heavenly</v>
      </c>
    </row>
    <row r="20663">
      <c r="A20663" s="1" t="s">
        <v>20662</v>
      </c>
      <c r="B20663" s="2" t="str">
        <f>IFERROR(__xludf.DUMMYFUNCTION("GOOGLETRANSLATE(A20663, ""de"", ""en"")"),"butterfly")</f>
        <v>butterfly</v>
      </c>
    </row>
    <row r="20664">
      <c r="A20664" s="1" t="s">
        <v>20663</v>
      </c>
      <c r="B20664" s="2" t="str">
        <f>IFERROR(__xludf.DUMMYFUNCTION("GOOGLETRANSLATE(A20664, ""de"", ""en"")"),"wallpaper")</f>
        <v>wallpaper</v>
      </c>
    </row>
    <row r="20665">
      <c r="A20665" s="1" t="s">
        <v>20664</v>
      </c>
      <c r="B20665" s="2" t="str">
        <f>IFERROR(__xludf.DUMMYFUNCTION("GOOGLETRANSLATE(A20665, ""de"", ""en"")"),"connell")</f>
        <v>connell</v>
      </c>
    </row>
    <row r="20666">
      <c r="A20666" s="1" t="s">
        <v>20665</v>
      </c>
      <c r="B20666" s="2" t="str">
        <f>IFERROR(__xludf.DUMMYFUNCTION("GOOGLETRANSLATE(A20666, ""de"", ""en"")"),"hasan")</f>
        <v>hasan</v>
      </c>
    </row>
    <row r="20667">
      <c r="A20667" s="1" t="s">
        <v>20666</v>
      </c>
      <c r="B20667" s="2" t="str">
        <f>IFERROR(__xludf.DUMMYFUNCTION("GOOGLETRANSLATE(A20667, ""de"", ""en"")"),"saddam")</f>
        <v>saddam</v>
      </c>
    </row>
    <row r="20668">
      <c r="A20668" s="1" t="s">
        <v>20667</v>
      </c>
      <c r="B20668" s="2" t="str">
        <f>IFERROR(__xludf.DUMMYFUNCTION("GOOGLETRANSLATE(A20668, ""de"", ""en"")"),"driscoll")</f>
        <v>driscoll</v>
      </c>
    </row>
    <row r="20669">
      <c r="A20669" s="1" t="s">
        <v>20668</v>
      </c>
      <c r="B20669" s="2" t="str">
        <f>IFERROR(__xludf.DUMMYFUNCTION("GOOGLETRANSLATE(A20669, ""de"", ""en"")"),"palm trees")</f>
        <v>palm trees</v>
      </c>
    </row>
    <row r="20670">
      <c r="A20670" s="1" t="s">
        <v>20669</v>
      </c>
      <c r="B20670" s="2" t="str">
        <f>IFERROR(__xludf.DUMMYFUNCTION("GOOGLETRANSLATE(A20670, ""de"", ""en"")"),"kip")</f>
        <v>kip</v>
      </c>
    </row>
    <row r="20671">
      <c r="A20671" s="1" t="s">
        <v>20670</v>
      </c>
      <c r="B20671" s="2" t="str">
        <f>IFERROR(__xludf.DUMMYFUNCTION("GOOGLETRANSLATE(A20671, ""de"", ""en"")"),"revelation")</f>
        <v>revelation</v>
      </c>
    </row>
    <row r="20672">
      <c r="A20672" s="1" t="s">
        <v>20671</v>
      </c>
      <c r="B20672" s="2" t="str">
        <f>IFERROR(__xludf.DUMMYFUNCTION("GOOGLETRANSLATE(A20672, ""de"", ""en"")"),"fontaine")</f>
        <v>fontaine</v>
      </c>
    </row>
    <row r="20673">
      <c r="A20673" s="1" t="s">
        <v>20672</v>
      </c>
      <c r="B20673" s="2" t="str">
        <f>IFERROR(__xludf.DUMMYFUNCTION("GOOGLETRANSLATE(A20673, ""de"", ""en"")"),"brought together")</f>
        <v>brought together</v>
      </c>
    </row>
    <row r="20674">
      <c r="A20674" s="1" t="s">
        <v>20673</v>
      </c>
      <c r="B20674" s="2" t="str">
        <f>IFERROR(__xludf.DUMMYFUNCTION("GOOGLETRANSLATE(A20674, ""de"", ""en"")"),"strippers")</f>
        <v>strippers</v>
      </c>
    </row>
    <row r="20675">
      <c r="A20675" s="1" t="s">
        <v>20674</v>
      </c>
      <c r="B20675" s="2" t="str">
        <f>IFERROR(__xludf.DUMMYFUNCTION("GOOGLETRANSLATE(A20675, ""de"", ""en"")"),"stir")</f>
        <v>stir</v>
      </c>
    </row>
    <row r="20676">
      <c r="A20676" s="1" t="s">
        <v>20675</v>
      </c>
      <c r="B20676" s="2" t="str">
        <f>IFERROR(__xludf.DUMMYFUNCTION("GOOGLETRANSLATE(A20676, ""de"", ""en"")"),"flows")</f>
        <v>flows</v>
      </c>
    </row>
    <row r="20677">
      <c r="A20677" s="1" t="s">
        <v>20676</v>
      </c>
      <c r="B20677" s="2" t="str">
        <f>IFERROR(__xludf.DUMMYFUNCTION("GOOGLETRANSLATE(A20677, ""de"", ""en"")"),"Rumpelstiltskin")</f>
        <v>Rumpelstiltskin</v>
      </c>
    </row>
    <row r="20678">
      <c r="A20678" s="1" t="s">
        <v>20677</v>
      </c>
      <c r="B20678" s="2" t="str">
        <f>IFERROR(__xludf.DUMMYFUNCTION("GOOGLETRANSLATE(A20678, ""de"", ""en"")"),"triple")</f>
        <v>triple</v>
      </c>
    </row>
    <row r="20679">
      <c r="A20679" s="1" t="s">
        <v>20678</v>
      </c>
      <c r="B20679" s="2" t="str">
        <f>IFERROR(__xludf.DUMMYFUNCTION("GOOGLETRANSLATE(A20679, ""de"", ""en"")"),"endured")</f>
        <v>endured</v>
      </c>
    </row>
    <row r="20680">
      <c r="A20680" s="1" t="s">
        <v>20679</v>
      </c>
      <c r="B20680" s="2" t="str">
        <f>IFERROR(__xludf.DUMMYFUNCTION("GOOGLETRANSLATE(A20680, ""de"", ""en"")"),"Renata")</f>
        <v>Renata</v>
      </c>
    </row>
    <row r="20681">
      <c r="A20681" s="1" t="s">
        <v>20680</v>
      </c>
      <c r="B20681" s="2" t="str">
        <f>IFERROR(__xludf.DUMMYFUNCTION("GOOGLETRANSLATE(A20681, ""de"", ""en"")"),"Goldberg")</f>
        <v>Goldberg</v>
      </c>
    </row>
    <row r="20682">
      <c r="A20682" s="1" t="s">
        <v>20681</v>
      </c>
      <c r="B20682" s="2" t="str">
        <f>IFERROR(__xludf.DUMMYFUNCTION("GOOGLETRANSLATE(A20682, ""de"", ""en"")"),"Gaulle")</f>
        <v>Gaulle</v>
      </c>
    </row>
    <row r="20683">
      <c r="A20683" s="1" t="s">
        <v>20682</v>
      </c>
      <c r="B20683" s="2" t="str">
        <f>IFERROR(__xludf.DUMMYFUNCTION("GOOGLETRANSLATE(A20683, ""de"", ""en"")"),"alone")</f>
        <v>alone</v>
      </c>
    </row>
    <row r="20684">
      <c r="A20684" s="1" t="s">
        <v>20683</v>
      </c>
      <c r="B20684" s="2" t="str">
        <f>IFERROR(__xludf.DUMMYFUNCTION("GOOGLETRANSLATE(A20684, ""de"", ""en"")"),"cooks")</f>
        <v>cooks</v>
      </c>
    </row>
    <row r="20685">
      <c r="A20685" s="1" t="s">
        <v>20684</v>
      </c>
      <c r="B20685" s="2" t="str">
        <f>IFERROR(__xludf.DUMMYFUNCTION("GOOGLETRANSLATE(A20685, ""de"", ""en"")"),"bessie")</f>
        <v>bessie</v>
      </c>
    </row>
    <row r="20686">
      <c r="A20686" s="1" t="s">
        <v>20685</v>
      </c>
      <c r="B20686" s="2" t="str">
        <f>IFERROR(__xludf.DUMMYFUNCTION("GOOGLETRANSLATE(A20686, ""de"", ""en"")"),"ballerina")</f>
        <v>ballerina</v>
      </c>
    </row>
    <row r="20687">
      <c r="A20687" s="1" t="s">
        <v>20686</v>
      </c>
      <c r="B20687" s="2" t="str">
        <f>IFERROR(__xludf.DUMMYFUNCTION("GOOGLETRANSLATE(A20687, ""de"", ""en"")"),"johnsons")</f>
        <v>johnsons</v>
      </c>
    </row>
    <row r="20688">
      <c r="A20688" s="1" t="s">
        <v>20687</v>
      </c>
      <c r="B20688" s="2" t="str">
        <f>IFERROR(__xludf.DUMMYFUNCTION("GOOGLETRANSLATE(A20688, ""de"", ""en"")"),"crowned")</f>
        <v>crowned</v>
      </c>
    </row>
    <row r="20689">
      <c r="A20689" s="1" t="s">
        <v>20688</v>
      </c>
      <c r="B20689" s="2" t="str">
        <f>IFERROR(__xludf.DUMMYFUNCTION("GOOGLETRANSLATE(A20689, ""de"", ""en"")"),"hairdresser")</f>
        <v>hairdresser</v>
      </c>
    </row>
    <row r="20690">
      <c r="A20690" s="1" t="s">
        <v>20689</v>
      </c>
      <c r="B20690" s="2" t="str">
        <f>IFERROR(__xludf.DUMMYFUNCTION("GOOGLETRANSLATE(A20690, ""de"", ""en"")"),"landry")</f>
        <v>landry</v>
      </c>
    </row>
    <row r="20691">
      <c r="A20691" s="1" t="s">
        <v>20690</v>
      </c>
      <c r="B20691" s="2" t="str">
        <f>IFERROR(__xludf.DUMMYFUNCTION("GOOGLETRANSLATE(A20691, ""de"", ""en"")"),"devices")</f>
        <v>devices</v>
      </c>
    </row>
    <row r="20692">
      <c r="A20692" s="1" t="s">
        <v>20691</v>
      </c>
      <c r="B20692" s="2" t="str">
        <f>IFERROR(__xludf.DUMMYFUNCTION("GOOGLETRANSLATE(A20692, ""de"", ""en"")"),"marquise")</f>
        <v>marquise</v>
      </c>
    </row>
    <row r="20693">
      <c r="A20693" s="1" t="s">
        <v>20692</v>
      </c>
      <c r="B20693" s="2" t="str">
        <f>IFERROR(__xludf.DUMMYFUNCTION("GOOGLETRANSLATE(A20693, ""de"", ""en"")"),"coarse")</f>
        <v>coarse</v>
      </c>
    </row>
    <row r="20694">
      <c r="A20694" s="1" t="s">
        <v>20693</v>
      </c>
      <c r="B20694" s="2" t="str">
        <f>IFERROR(__xludf.DUMMYFUNCTION("GOOGLETRANSLATE(A20694, ""de"", ""en"")"),"massive")</f>
        <v>massive</v>
      </c>
    </row>
    <row r="20695">
      <c r="A20695" s="1" t="s">
        <v>20694</v>
      </c>
      <c r="B20695" s="2" t="str">
        <f>IFERROR(__xludf.DUMMYFUNCTION("GOOGLETRANSLATE(A20695, ""de"", ""en"")"),"doesn't matter")</f>
        <v>doesn't matter</v>
      </c>
    </row>
    <row r="20696">
      <c r="A20696" s="1" t="s">
        <v>20695</v>
      </c>
      <c r="B20696" s="2" t="str">
        <f>IFERROR(__xludf.DUMMYFUNCTION("GOOGLETRANSLATE(A20696, ""de"", ""en"")"),"goodbye")</f>
        <v>goodbye</v>
      </c>
    </row>
    <row r="20697">
      <c r="A20697" s="1" t="s">
        <v>20696</v>
      </c>
      <c r="B20697" s="2" t="str">
        <f>IFERROR(__xludf.DUMMYFUNCTION("GOOGLETRANSLATE(A20697, ""de"", ""en"")"),"to represent")</f>
        <v>to represent</v>
      </c>
    </row>
    <row r="20698">
      <c r="A20698" s="1" t="s">
        <v>20697</v>
      </c>
      <c r="B20698" s="2" t="str">
        <f>IFERROR(__xludf.DUMMYFUNCTION("GOOGLETRANSLATE(A20698, ""de"", ""en"")"),"opened")</f>
        <v>opened</v>
      </c>
    </row>
    <row r="20699">
      <c r="A20699" s="1" t="s">
        <v>20698</v>
      </c>
      <c r="B20699" s="2" t="str">
        <f>IFERROR(__xludf.DUMMYFUNCTION("GOOGLETRANSLATE(A20699, ""de"", ""en"")"),"future")</f>
        <v>future</v>
      </c>
    </row>
    <row r="20700">
      <c r="A20700" s="1" t="s">
        <v>20699</v>
      </c>
      <c r="B20700" s="2" t="str">
        <f>IFERROR(__xludf.DUMMYFUNCTION("GOOGLETRANSLATE(A20700, ""de"", ""en"")"),"worship")</f>
        <v>worship</v>
      </c>
    </row>
    <row r="20701">
      <c r="A20701" s="1" t="s">
        <v>20700</v>
      </c>
      <c r="B20701" s="2" t="str">
        <f>IFERROR(__xludf.DUMMYFUNCTION("GOOGLETRANSLATE(A20701, ""de"", ""en"")"),"bodyguards")</f>
        <v>bodyguards</v>
      </c>
    </row>
    <row r="20702">
      <c r="A20702" s="1" t="s">
        <v>20701</v>
      </c>
      <c r="B20702" s="2" t="str">
        <f>IFERROR(__xludf.DUMMYFUNCTION("GOOGLETRANSLATE(A20702, ""de"", ""en"")"),"likeness")</f>
        <v>likeness</v>
      </c>
    </row>
    <row r="20703">
      <c r="A20703" s="1" t="s">
        <v>20702</v>
      </c>
      <c r="B20703" s="2" t="str">
        <f>IFERROR(__xludf.DUMMYFUNCTION("GOOGLETRANSLATE(A20703, ""de"", ""en"")"),"subsides")</f>
        <v>subsides</v>
      </c>
    </row>
    <row r="20704">
      <c r="A20704" s="1" t="s">
        <v>20703</v>
      </c>
      <c r="B20704" s="2" t="str">
        <f>IFERROR(__xludf.DUMMYFUNCTION("GOOGLETRANSLATE(A20704, ""de"", ""en"")"),"Clarkson")</f>
        <v>Clarkson</v>
      </c>
    </row>
    <row r="20705">
      <c r="A20705" s="1" t="s">
        <v>20704</v>
      </c>
      <c r="B20705" s="2" t="str">
        <f>IFERROR(__xludf.DUMMYFUNCTION("GOOGLETRANSLATE(A20705, ""de"", ""en"")"),"stumbled")</f>
        <v>stumbled</v>
      </c>
    </row>
    <row r="20706">
      <c r="A20706" s="1" t="s">
        <v>20705</v>
      </c>
      <c r="B20706" s="2" t="str">
        <f>IFERROR(__xludf.DUMMYFUNCTION("GOOGLETRANSLATE(A20706, ""de"", ""en"")"),"courthouse")</f>
        <v>courthouse</v>
      </c>
    </row>
    <row r="20707">
      <c r="A20707" s="1" t="s">
        <v>20706</v>
      </c>
      <c r="B20707" s="2" t="str">
        <f>IFERROR(__xludf.DUMMYFUNCTION("GOOGLETRANSLATE(A20707, ""de"", ""en"")"),"tried")</f>
        <v>tried</v>
      </c>
    </row>
    <row r="20708">
      <c r="A20708" s="1" t="s">
        <v>20707</v>
      </c>
      <c r="B20708" s="2" t="str">
        <f>IFERROR(__xludf.DUMMYFUNCTION("GOOGLETRANSLATE(A20708, ""de"", ""en"")"),"visiting time")</f>
        <v>visiting time</v>
      </c>
    </row>
    <row r="20709">
      <c r="A20709" s="1" t="s">
        <v>20708</v>
      </c>
      <c r="B20709" s="2" t="str">
        <f>IFERROR(__xludf.DUMMYFUNCTION("GOOGLETRANSLATE(A20709, ""de"", ""en"")"),"appointment")</f>
        <v>appointment</v>
      </c>
    </row>
    <row r="20710">
      <c r="A20710" s="1" t="s">
        <v>20709</v>
      </c>
      <c r="B20710" s="2" t="str">
        <f>IFERROR(__xludf.DUMMYFUNCTION("GOOGLETRANSLATE(A20710, ""de"", ""en"")"),"taken out")</f>
        <v>taken out</v>
      </c>
    </row>
    <row r="20711">
      <c r="A20711" s="1" t="s">
        <v>20710</v>
      </c>
      <c r="B20711" s="2" t="str">
        <f>IFERROR(__xludf.DUMMYFUNCTION("GOOGLETRANSLATE(A20711, ""de"", ""en"")"),"strong")</f>
        <v>strong</v>
      </c>
    </row>
    <row r="20712">
      <c r="A20712" s="1" t="s">
        <v>20711</v>
      </c>
      <c r="B20712" s="2" t="str">
        <f>IFERROR(__xludf.DUMMYFUNCTION("GOOGLETRANSLATE(A20712, ""de"", ""en"")"),"Klingon")</f>
        <v>Klingon</v>
      </c>
    </row>
    <row r="20713">
      <c r="A20713" s="1" t="s">
        <v>20712</v>
      </c>
      <c r="B20713" s="2" t="str">
        <f>IFERROR(__xludf.DUMMYFUNCTION("GOOGLETRANSLATE(A20713, ""de"", ""en"")"),"fast")</f>
        <v>fast</v>
      </c>
    </row>
    <row r="20714">
      <c r="A20714" s="1" t="s">
        <v>20713</v>
      </c>
      <c r="B20714" s="2" t="str">
        <f>IFERROR(__xludf.DUMMYFUNCTION("GOOGLETRANSLATE(A20714, ""de"", ""en"")"),"claims")</f>
        <v>claims</v>
      </c>
    </row>
    <row r="20715">
      <c r="A20715" s="1" t="s">
        <v>20714</v>
      </c>
      <c r="B20715" s="2" t="str">
        <f>IFERROR(__xludf.DUMMYFUNCTION("GOOGLETRANSLATE(A20715, ""de"", ""en"")"),"penitentiary")</f>
        <v>penitentiary</v>
      </c>
    </row>
    <row r="20716">
      <c r="A20716" s="1" t="s">
        <v>20715</v>
      </c>
      <c r="B20716" s="2" t="str">
        <f>IFERROR(__xludf.DUMMYFUNCTION("GOOGLETRANSLATE(A20716, ""de"", ""en"")"),"administer")</f>
        <v>administer</v>
      </c>
    </row>
    <row r="20717">
      <c r="A20717" s="1" t="s">
        <v>20716</v>
      </c>
      <c r="B20717" s="2" t="str">
        <f>IFERROR(__xludf.DUMMYFUNCTION("GOOGLETRANSLATE(A20717, ""de"", ""en"")"),"law enforcement")</f>
        <v>law enforcement</v>
      </c>
    </row>
    <row r="20718">
      <c r="A20718" s="1" t="s">
        <v>20717</v>
      </c>
      <c r="B20718" s="2" t="str">
        <f>IFERROR(__xludf.DUMMYFUNCTION("GOOGLETRANSLATE(A20718, ""de"", ""en"")"),"glow")</f>
        <v>glow</v>
      </c>
    </row>
    <row r="20719">
      <c r="A20719" s="1" t="s">
        <v>20718</v>
      </c>
      <c r="B20719" s="2" t="str">
        <f>IFERROR(__xludf.DUMMYFUNCTION("GOOGLETRANSLATE(A20719, ""de"", ""en"")"),"shots")</f>
        <v>shots</v>
      </c>
    </row>
    <row r="20720">
      <c r="A20720" s="1" t="s">
        <v>20719</v>
      </c>
      <c r="B20720" s="2" t="str">
        <f>IFERROR(__xludf.DUMMYFUNCTION("GOOGLETRANSLATE(A20720, ""de"", ""en"")"),"terminator")</f>
        <v>terminator</v>
      </c>
    </row>
    <row r="20721">
      <c r="A20721" s="1" t="s">
        <v>20720</v>
      </c>
      <c r="B20721" s="2" t="str">
        <f>IFERROR(__xludf.DUMMYFUNCTION("GOOGLETRANSLATE(A20721, ""de"", ""en"")"),"millionaires")</f>
        <v>millionaires</v>
      </c>
    </row>
    <row r="20722">
      <c r="A20722" s="1" t="s">
        <v>20721</v>
      </c>
      <c r="B20722" s="2" t="str">
        <f>IFERROR(__xludf.DUMMYFUNCTION("GOOGLETRANSLATE(A20722, ""de"", ""en"")"),"characters")</f>
        <v>characters</v>
      </c>
    </row>
    <row r="20723">
      <c r="A20723" s="1" t="s">
        <v>20722</v>
      </c>
      <c r="B20723" s="2" t="str">
        <f>IFERROR(__xludf.DUMMYFUNCTION("GOOGLETRANSLATE(A20723, ""de"", ""en"")"),"perfectly healthy")</f>
        <v>perfectly healthy</v>
      </c>
    </row>
    <row r="20724">
      <c r="A20724" s="1" t="s">
        <v>20723</v>
      </c>
      <c r="B20724" s="2" t="str">
        <f>IFERROR(__xludf.DUMMYFUNCTION("GOOGLETRANSLATE(A20724, ""de"", ""en"")"),"helpless")</f>
        <v>helpless</v>
      </c>
    </row>
    <row r="20725">
      <c r="A20725" s="1" t="s">
        <v>20724</v>
      </c>
      <c r="B20725" s="2" t="str">
        <f>IFERROR(__xludf.DUMMYFUNCTION("GOOGLETRANSLATE(A20725, ""de"", ""en"")"),"traveled")</f>
        <v>traveled</v>
      </c>
    </row>
    <row r="20726">
      <c r="A20726" s="1" t="s">
        <v>20725</v>
      </c>
      <c r="B20726" s="2" t="str">
        <f>IFERROR(__xludf.DUMMYFUNCTION("GOOGLETRANSLATE(A20726, ""de"", ""en"")"),"Cleopatra")</f>
        <v>Cleopatra</v>
      </c>
    </row>
    <row r="20727">
      <c r="A20727" s="1" t="s">
        <v>20726</v>
      </c>
      <c r="B20727" s="2" t="str">
        <f>IFERROR(__xludf.DUMMYFUNCTION("GOOGLETRANSLATE(A20727, ""de"", ""en"")"),"filler")</f>
        <v>filler</v>
      </c>
    </row>
    <row r="20728">
      <c r="A20728" s="1" t="s">
        <v>20727</v>
      </c>
      <c r="B20728" s="2" t="str">
        <f>IFERROR(__xludf.DUMMYFUNCTION("GOOGLETRANSLATE(A20728, ""de"", ""en"")"),"movie stars")</f>
        <v>movie stars</v>
      </c>
    </row>
    <row r="20729">
      <c r="A20729" s="1" t="s">
        <v>20728</v>
      </c>
      <c r="B20729" s="2" t="str">
        <f>IFERROR(__xludf.DUMMYFUNCTION("GOOGLETRANSLATE(A20729, ""de"", ""en"")"),"lifelong")</f>
        <v>lifelong</v>
      </c>
    </row>
    <row r="20730">
      <c r="A20730" s="1" t="s">
        <v>20729</v>
      </c>
      <c r="B20730" s="2" t="str">
        <f>IFERROR(__xludf.DUMMYFUNCTION("GOOGLETRANSLATE(A20730, ""de"", ""en"")"),"fails")</f>
        <v>fails</v>
      </c>
    </row>
    <row r="20731">
      <c r="A20731" s="1" t="s">
        <v>20730</v>
      </c>
      <c r="B20731" s="2" t="str">
        <f>IFERROR(__xludf.DUMMYFUNCTION("GOOGLETRANSLATE(A20731, ""de"", ""en"")"),"classmate")</f>
        <v>classmate</v>
      </c>
    </row>
    <row r="20732">
      <c r="A20732" s="1" t="s">
        <v>20731</v>
      </c>
      <c r="B20732" s="2" t="str">
        <f>IFERROR(__xludf.DUMMYFUNCTION("GOOGLETRANSLATE(A20732, ""de"", ""en"")"),"sensitive")</f>
        <v>sensitive</v>
      </c>
    </row>
    <row r="20733">
      <c r="A20733" s="1" t="s">
        <v>20732</v>
      </c>
      <c r="B20733" s="2" t="str">
        <f>IFERROR(__xludf.DUMMYFUNCTION("GOOGLETRANSLATE(A20733, ""de"", ""en"")"),"exchange")</f>
        <v>exchange</v>
      </c>
    </row>
    <row r="20734">
      <c r="A20734" s="1" t="s">
        <v>20733</v>
      </c>
      <c r="B20734" s="2" t="str">
        <f>IFERROR(__xludf.DUMMYFUNCTION("GOOGLETRANSLATE(A20734, ""de"", ""en"")"),"devilish")</f>
        <v>devilish</v>
      </c>
    </row>
    <row r="20735">
      <c r="A20735" s="1" t="s">
        <v>20734</v>
      </c>
      <c r="B20735" s="2" t="str">
        <f>IFERROR(__xludf.DUMMYFUNCTION("GOOGLETRANSLATE(A20735, ""de"", ""en"")"),"tube")</f>
        <v>tube</v>
      </c>
    </row>
    <row r="20736">
      <c r="A20736" s="1" t="s">
        <v>20735</v>
      </c>
      <c r="B20736" s="2" t="str">
        <f>IFERROR(__xludf.DUMMYFUNCTION("GOOGLETRANSLATE(A20736, ""de"", ""en"")"),"salsa")</f>
        <v>salsa</v>
      </c>
    </row>
    <row r="20737">
      <c r="A20737" s="1" t="s">
        <v>20736</v>
      </c>
      <c r="B20737" s="2" t="str">
        <f>IFERROR(__xludf.DUMMYFUNCTION("GOOGLETRANSLATE(A20737, ""de"", ""en"")"),"ivory")</f>
        <v>ivory</v>
      </c>
    </row>
    <row r="20738">
      <c r="A20738" s="1" t="s">
        <v>20737</v>
      </c>
      <c r="B20738" s="2" t="str">
        <f>IFERROR(__xludf.DUMMYFUNCTION("GOOGLETRANSLATE(A20738, ""de"", ""en"")"),"fury")</f>
        <v>fury</v>
      </c>
    </row>
    <row r="20739">
      <c r="A20739" s="1" t="s">
        <v>20738</v>
      </c>
      <c r="B20739" s="2" t="str">
        <f>IFERROR(__xludf.DUMMYFUNCTION("GOOGLETRANSLATE(A20739, ""de"", ""en"")"),"excess")</f>
        <v>excess</v>
      </c>
    </row>
    <row r="20740">
      <c r="A20740" s="1" t="s">
        <v>20739</v>
      </c>
      <c r="B20740" s="2" t="str">
        <f>IFERROR(__xludf.DUMMYFUNCTION("GOOGLETRANSLATE(A20740, ""de"", ""en"")"),"Marias")</f>
        <v>Marias</v>
      </c>
    </row>
    <row r="20741">
      <c r="A20741" s="1" t="s">
        <v>20740</v>
      </c>
      <c r="B20741" s="2" t="str">
        <f>IFERROR(__xludf.DUMMYFUNCTION("GOOGLETRANSLATE(A20741, ""de"", ""en"")"),"reassurance")</f>
        <v>reassurance</v>
      </c>
    </row>
    <row r="20742">
      <c r="A20742" s="1" t="s">
        <v>20741</v>
      </c>
      <c r="B20742" s="2" t="str">
        <f>IFERROR(__xludf.DUMMYFUNCTION("GOOGLETRANSLATE(A20742, ""de"", ""en"")"),"start")</f>
        <v>start</v>
      </c>
    </row>
    <row r="20743">
      <c r="A20743" s="1" t="s">
        <v>20742</v>
      </c>
      <c r="B20743" s="2" t="str">
        <f>IFERROR(__xludf.DUMMYFUNCTION("GOOGLETRANSLATE(A20743, ""de"", ""en"")"),"medina")</f>
        <v>medina</v>
      </c>
    </row>
    <row r="20744">
      <c r="A20744" s="1" t="s">
        <v>20743</v>
      </c>
      <c r="B20744" s="2" t="str">
        <f>IFERROR(__xludf.DUMMYFUNCTION("GOOGLETRANSLATE(A20744, ""de"", ""en"")"),"infatuated")</f>
        <v>infatuated</v>
      </c>
    </row>
    <row r="20745">
      <c r="A20745" s="1" t="s">
        <v>20744</v>
      </c>
      <c r="B20745" s="2" t="str">
        <f>IFERROR(__xludf.DUMMYFUNCTION("GOOGLETRANSLATE(A20745, ""de"", ""en"")"),"all")</f>
        <v>all</v>
      </c>
    </row>
    <row r="20746">
      <c r="A20746" s="1" t="s">
        <v>20745</v>
      </c>
      <c r="B20746" s="2" t="str">
        <f>IFERROR(__xludf.DUMMYFUNCTION("GOOGLETRANSLATE(A20746, ""de"", ""en"")"),"amos")</f>
        <v>amos</v>
      </c>
    </row>
    <row r="20747">
      <c r="A20747" s="1" t="s">
        <v>20746</v>
      </c>
      <c r="B20747" s="2" t="str">
        <f>IFERROR(__xludf.DUMMYFUNCTION("GOOGLETRANSLATE(A20747, ""de"", ""en"")"),"meteor")</f>
        <v>meteor</v>
      </c>
    </row>
    <row r="20748">
      <c r="A20748" s="1" t="s">
        <v>20747</v>
      </c>
      <c r="B20748" s="2" t="str">
        <f>IFERROR(__xludf.DUMMYFUNCTION("GOOGLETRANSLATE(A20748, ""de"", ""en"")"),"pure")</f>
        <v>pure</v>
      </c>
    </row>
    <row r="20749">
      <c r="A20749" s="1" t="s">
        <v>20748</v>
      </c>
      <c r="B20749" s="2" t="str">
        <f>IFERROR(__xludf.DUMMYFUNCTION("GOOGLETRANSLATE(A20749, ""de"", ""en"")"),"christmas party")</f>
        <v>christmas party</v>
      </c>
    </row>
    <row r="20750">
      <c r="A20750" s="1" t="s">
        <v>20749</v>
      </c>
      <c r="B20750" s="2" t="str">
        <f>IFERROR(__xludf.DUMMYFUNCTION("GOOGLETRANSLATE(A20750, ""de"", ""en"")"),"bank robbery")</f>
        <v>bank robbery</v>
      </c>
    </row>
    <row r="20751">
      <c r="A20751" s="1" t="s">
        <v>20750</v>
      </c>
      <c r="B20751" s="2" t="str">
        <f>IFERROR(__xludf.DUMMYFUNCTION("GOOGLETRANSLATE(A20751, ""de"", ""en"")"),"planned")</f>
        <v>planned</v>
      </c>
    </row>
    <row r="20752">
      <c r="A20752" s="1" t="s">
        <v>20751</v>
      </c>
      <c r="B20752" s="2" t="str">
        <f>IFERROR(__xludf.DUMMYFUNCTION("GOOGLETRANSLATE(A20752, ""de"", ""en"")"),"extreme")</f>
        <v>extreme</v>
      </c>
    </row>
    <row r="20753">
      <c r="A20753" s="1" t="s">
        <v>20752</v>
      </c>
      <c r="B20753" s="2" t="str">
        <f>IFERROR(__xludf.DUMMYFUNCTION("GOOGLETRANSLATE(A20753, ""de"", ""en"")"),"fail")</f>
        <v>fail</v>
      </c>
    </row>
    <row r="20754">
      <c r="A20754" s="1" t="s">
        <v>20753</v>
      </c>
      <c r="B20754" s="2" t="str">
        <f>IFERROR(__xludf.DUMMYFUNCTION("GOOGLETRANSLATE(A20754, ""de"", ""en"")"),"disfigured")</f>
        <v>disfigured</v>
      </c>
    </row>
    <row r="20755">
      <c r="A20755" s="1" t="s">
        <v>20754</v>
      </c>
      <c r="B20755" s="2" t="str">
        <f>IFERROR(__xludf.DUMMYFUNCTION("GOOGLETRANSLATE(A20755, ""de"", ""en"")"),"IP address")</f>
        <v>IP address</v>
      </c>
    </row>
    <row r="20756">
      <c r="A20756" s="1" t="s">
        <v>20755</v>
      </c>
      <c r="B20756" s="2" t="str">
        <f>IFERROR(__xludf.DUMMYFUNCTION("GOOGLETRANSLATE(A20756, ""de"", ""en"")"),"pee")</f>
        <v>pee</v>
      </c>
    </row>
    <row r="20757">
      <c r="A20757" s="1" t="s">
        <v>20756</v>
      </c>
      <c r="B20757" s="2" t="str">
        <f>IFERROR(__xludf.DUMMYFUNCTION("GOOGLETRANSLATE(A20757, ""de"", ""en"")"),"winter fur")</f>
        <v>winter fur</v>
      </c>
    </row>
    <row r="20758">
      <c r="A20758" s="1" t="s">
        <v>20757</v>
      </c>
      <c r="B20758" s="2" t="str">
        <f>IFERROR(__xludf.DUMMYFUNCTION("GOOGLETRANSLATE(A20758, ""de"", ""en"")"),"foster family")</f>
        <v>foster family</v>
      </c>
    </row>
    <row r="20759">
      <c r="A20759" s="1" t="s">
        <v>20758</v>
      </c>
      <c r="B20759" s="2" t="str">
        <f>IFERROR(__xludf.DUMMYFUNCTION("GOOGLETRANSLATE(A20759, ""de"", ""en"")"),"recruit")</f>
        <v>recruit</v>
      </c>
    </row>
    <row r="20760">
      <c r="A20760" s="1" t="s">
        <v>20759</v>
      </c>
      <c r="B20760" s="2" t="str">
        <f>IFERROR(__xludf.DUMMYFUNCTION("GOOGLETRANSLATE(A20760, ""de"", ""en"")"),"editor-in-chief")</f>
        <v>editor-in-chief</v>
      </c>
    </row>
    <row r="20761">
      <c r="A20761" s="1" t="s">
        <v>20760</v>
      </c>
      <c r="B20761" s="2" t="str">
        <f>IFERROR(__xludf.DUMMYFUNCTION("GOOGLETRANSLATE(A20761, ""de"", ""en"")"),"summarized")</f>
        <v>summarized</v>
      </c>
    </row>
    <row r="20762">
      <c r="A20762" s="1" t="s">
        <v>20761</v>
      </c>
      <c r="B20762" s="2" t="str">
        <f>IFERROR(__xludf.DUMMYFUNCTION("GOOGLETRANSLATE(A20762, ""de"", ""en"")"),"Goldie")</f>
        <v>Goldie</v>
      </c>
    </row>
    <row r="20763">
      <c r="A20763" s="1" t="s">
        <v>20762</v>
      </c>
      <c r="B20763" s="2" t="str">
        <f>IFERROR(__xludf.DUMMYFUNCTION("GOOGLETRANSLATE(A20763, ""de"", ""en"")"),"olson")</f>
        <v>olson</v>
      </c>
    </row>
    <row r="20764">
      <c r="A20764" s="1" t="s">
        <v>20763</v>
      </c>
      <c r="B20764" s="2" t="str">
        <f>IFERROR(__xludf.DUMMYFUNCTION("GOOGLETRANSLATE(A20764, ""de"", ""en"")"),"lawyer")</f>
        <v>lawyer</v>
      </c>
    </row>
    <row r="20765">
      <c r="A20765" s="1" t="s">
        <v>20764</v>
      </c>
      <c r="B20765" s="2" t="str">
        <f>IFERROR(__xludf.DUMMYFUNCTION("GOOGLETRANSLATE(A20765, ""de"", ""en"")"),"race")</f>
        <v>race</v>
      </c>
    </row>
    <row r="20766">
      <c r="A20766" s="1" t="s">
        <v>20765</v>
      </c>
      <c r="B20766" s="2" t="str">
        <f>IFERROR(__xludf.DUMMYFUNCTION("GOOGLETRANSLATE(A20766, ""de"", ""en"")"),"molesley")</f>
        <v>molesley</v>
      </c>
    </row>
    <row r="20767">
      <c r="A20767" s="1" t="s">
        <v>20766</v>
      </c>
      <c r="B20767" s="2" t="str">
        <f>IFERROR(__xludf.DUMMYFUNCTION("GOOGLETRANSLATE(A20767, ""de"", ""en"")"),"chamber")</f>
        <v>chamber</v>
      </c>
    </row>
    <row r="20768">
      <c r="A20768" s="1" t="s">
        <v>20767</v>
      </c>
      <c r="B20768" s="2" t="str">
        <f>IFERROR(__xludf.DUMMYFUNCTION("GOOGLETRANSLATE(A20768, ""de"", ""en"")"),"ringtone")</f>
        <v>ringtone</v>
      </c>
    </row>
    <row r="20769">
      <c r="A20769" s="1" t="s">
        <v>20768</v>
      </c>
      <c r="B20769" s="2" t="str">
        <f>IFERROR(__xludf.DUMMYFUNCTION("GOOGLETRANSLATE(A20769, ""de"", ""en"")"),"harmless")</f>
        <v>harmless</v>
      </c>
    </row>
    <row r="20770">
      <c r="A20770" s="1" t="s">
        <v>20769</v>
      </c>
      <c r="B20770" s="2" t="str">
        <f>IFERROR(__xludf.DUMMYFUNCTION("GOOGLETRANSLATE(A20770, ""de"", ""en"")"),"contacts")</f>
        <v>contacts</v>
      </c>
    </row>
    <row r="20771">
      <c r="A20771" s="1" t="s">
        <v>20770</v>
      </c>
      <c r="B20771" s="2" t="str">
        <f>IFERROR(__xludf.DUMMYFUNCTION("GOOGLETRANSLATE(A20771, ""de"", ""en"")"),"leaky")</f>
        <v>leaky</v>
      </c>
    </row>
    <row r="20772">
      <c r="A20772" s="1" t="s">
        <v>20771</v>
      </c>
      <c r="B20772" s="2" t="str">
        <f>IFERROR(__xludf.DUMMYFUNCTION("GOOGLETRANSLATE(A20772, ""de"", ""en"")"),"temporally")</f>
        <v>temporally</v>
      </c>
    </row>
    <row r="20773">
      <c r="A20773" s="1" t="s">
        <v>20772</v>
      </c>
      <c r="B20773" s="2" t="str">
        <f>IFERROR(__xludf.DUMMYFUNCTION("GOOGLETRANSLATE(A20773, ""de"", ""en"")"),"sneak")</f>
        <v>sneak</v>
      </c>
    </row>
    <row r="20774">
      <c r="A20774" s="1" t="s">
        <v>20773</v>
      </c>
      <c r="B20774" s="2" t="str">
        <f>IFERROR(__xludf.DUMMYFUNCTION("GOOGLETRANSLATE(A20774, ""de"", ""en"")"),"Soviet")</f>
        <v>Soviet</v>
      </c>
    </row>
    <row r="20775">
      <c r="A20775" s="1" t="s">
        <v>20774</v>
      </c>
      <c r="B20775" s="2" t="str">
        <f>IFERROR(__xludf.DUMMYFUNCTION("GOOGLETRANSLATE(A20775, ""de"", ""en"")"),"colorful")</f>
        <v>colorful</v>
      </c>
    </row>
    <row r="20776">
      <c r="A20776" s="1" t="s">
        <v>20775</v>
      </c>
      <c r="B20776" s="2" t="str">
        <f>IFERROR(__xludf.DUMMYFUNCTION("GOOGLETRANSLATE(A20776, ""de"", ""en"")"),"Karla")</f>
        <v>Karla</v>
      </c>
    </row>
    <row r="20777">
      <c r="A20777" s="1" t="s">
        <v>20776</v>
      </c>
      <c r="B20777" s="2" t="str">
        <f>IFERROR(__xludf.DUMMYFUNCTION("GOOGLETRANSLATE(A20777, ""de"", ""en"")"),"yesss")</f>
        <v>yesss</v>
      </c>
    </row>
    <row r="20778">
      <c r="A20778" s="1" t="s">
        <v>20777</v>
      </c>
      <c r="B20778" s="2" t="str">
        <f>IFERROR(__xludf.DUMMYFUNCTION("GOOGLETRANSLATE(A20778, ""de"", ""en"")"),"razor")</f>
        <v>razor</v>
      </c>
    </row>
    <row r="20779">
      <c r="A20779" s="1" t="s">
        <v>20778</v>
      </c>
      <c r="B20779" s="2" t="str">
        <f>IFERROR(__xludf.DUMMYFUNCTION("GOOGLETRANSLATE(A20779, ""de"", ""en"")"),"hygiene")</f>
        <v>hygiene</v>
      </c>
    </row>
    <row r="20780">
      <c r="A20780" s="1" t="s">
        <v>20779</v>
      </c>
      <c r="B20780" s="2" t="str">
        <f>IFERROR(__xludf.DUMMYFUNCTION("GOOGLETRANSLATE(A20780, ""de"", ""en"")"),"prevent")</f>
        <v>prevent</v>
      </c>
    </row>
    <row r="20781">
      <c r="A20781" s="1" t="s">
        <v>20780</v>
      </c>
      <c r="B20781" s="2" t="str">
        <f>IFERROR(__xludf.DUMMYFUNCTION("GOOGLETRANSLATE(A20781, ""de"", ""en"")"),"parental home")</f>
        <v>parental home</v>
      </c>
    </row>
    <row r="20782">
      <c r="A20782" s="1" t="s">
        <v>20781</v>
      </c>
      <c r="B20782" s="2" t="str">
        <f>IFERROR(__xludf.DUMMYFUNCTION("GOOGLETRANSLATE(A20782, ""de"", ""en"")"),"alyssa")</f>
        <v>alyssa</v>
      </c>
    </row>
    <row r="20783">
      <c r="A20783" s="1" t="s">
        <v>20782</v>
      </c>
      <c r="B20783" s="2" t="str">
        <f>IFERROR(__xludf.DUMMYFUNCTION("GOOGLETRANSLATE(A20783, ""de"", ""en"")"),"booked in")</f>
        <v>booked in</v>
      </c>
    </row>
    <row r="20784">
      <c r="A20784" s="1" t="s">
        <v>20783</v>
      </c>
      <c r="B20784" s="2" t="str">
        <f>IFERROR(__xludf.DUMMYFUNCTION("GOOGLETRANSLATE(A20784, ""de"", ""en"")"),"gravel")</f>
        <v>gravel</v>
      </c>
    </row>
    <row r="20785">
      <c r="A20785" s="1" t="s">
        <v>20784</v>
      </c>
      <c r="B20785" s="2" t="str">
        <f>IFERROR(__xludf.DUMMYFUNCTION("GOOGLETRANSLATE(A20785, ""de"", ""en"")"),"longer")</f>
        <v>longer</v>
      </c>
    </row>
    <row r="20786">
      <c r="A20786" s="1" t="s">
        <v>20785</v>
      </c>
      <c r="B20786" s="2" t="str">
        <f>IFERROR(__xludf.DUMMYFUNCTION("GOOGLETRANSLATE(A20786, ""de"", ""en"")"),"live through")</f>
        <v>live through</v>
      </c>
    </row>
    <row r="20787">
      <c r="A20787" s="1" t="s">
        <v>20786</v>
      </c>
      <c r="B20787" s="2" t="str">
        <f>IFERROR(__xludf.DUMMYFUNCTION("GOOGLETRANSLATE(A20787, ""de"", ""en"")"),"sit up")</f>
        <v>sit up</v>
      </c>
    </row>
    <row r="20788">
      <c r="A20788" s="1" t="s">
        <v>20787</v>
      </c>
      <c r="B20788" s="2" t="str">
        <f>IFERROR(__xludf.DUMMYFUNCTION("GOOGLETRANSLATE(A20788, ""de"", ""en"")"),"to turn around")</f>
        <v>to turn around</v>
      </c>
    </row>
    <row r="20789">
      <c r="A20789" s="1" t="s">
        <v>20788</v>
      </c>
      <c r="B20789" s="2" t="str">
        <f>IFERROR(__xludf.DUMMYFUNCTION("GOOGLETRANSLATE(A20789, ""de"", ""en"")"),"pah")</f>
        <v>pah</v>
      </c>
    </row>
    <row r="20790">
      <c r="A20790" s="1" t="s">
        <v>20789</v>
      </c>
      <c r="B20790" s="2" t="str">
        <f>IFERROR(__xludf.DUMMYFUNCTION("GOOGLETRANSLATE(A20790, ""de"", ""en"")"),"seized")</f>
        <v>seized</v>
      </c>
    </row>
    <row r="20791">
      <c r="A20791" s="1" t="s">
        <v>20790</v>
      </c>
      <c r="B20791" s="2" t="str">
        <f>IFERROR(__xludf.DUMMYFUNCTION("GOOGLETRANSLATE(A20791, ""de"", ""en"")"),"image surface")</f>
        <v>image surface</v>
      </c>
    </row>
    <row r="20792">
      <c r="A20792" s="1" t="s">
        <v>20791</v>
      </c>
      <c r="B20792" s="2" t="str">
        <f>IFERROR(__xludf.DUMMYFUNCTION("GOOGLETRANSLATE(A20792, ""de"", ""en"")"),"favorite song")</f>
        <v>favorite song</v>
      </c>
    </row>
    <row r="20793">
      <c r="A20793" s="1" t="s">
        <v>20792</v>
      </c>
      <c r="B20793" s="2" t="str">
        <f>IFERROR(__xludf.DUMMYFUNCTION("GOOGLETRANSLATE(A20793, ""de"", ""en"")"),"trustworthy")</f>
        <v>trustworthy</v>
      </c>
    </row>
    <row r="20794">
      <c r="A20794" s="1" t="s">
        <v>20793</v>
      </c>
      <c r="B20794" s="2" t="str">
        <f>IFERROR(__xludf.DUMMYFUNCTION("GOOGLETRANSLATE(A20794, ""de"", ""en"")"),"hobbes")</f>
        <v>hobbes</v>
      </c>
    </row>
    <row r="20795">
      <c r="A20795" s="1" t="s">
        <v>20794</v>
      </c>
      <c r="B20795" s="2" t="str">
        <f>IFERROR(__xludf.DUMMYFUNCTION("GOOGLETRANSLATE(A20795, ""de"", ""en"")"),"babysitter")</f>
        <v>babysitter</v>
      </c>
    </row>
    <row r="20796">
      <c r="A20796" s="1" t="s">
        <v>20795</v>
      </c>
      <c r="B20796" s="2" t="str">
        <f>IFERROR(__xludf.DUMMYFUNCTION("GOOGLETRANSLATE(A20796, ""de"", ""en"")"),"godfrey")</f>
        <v>godfrey</v>
      </c>
    </row>
    <row r="20797">
      <c r="A20797" s="1" t="s">
        <v>20796</v>
      </c>
      <c r="B20797" s="2" t="str">
        <f>IFERROR(__xludf.DUMMYFUNCTION("GOOGLETRANSLATE(A20797, ""de"", ""en"")"),"well-being")</f>
        <v>well-being</v>
      </c>
    </row>
    <row r="20798">
      <c r="A20798" s="1" t="s">
        <v>20797</v>
      </c>
      <c r="B20798" s="2" t="str">
        <f>IFERROR(__xludf.DUMMYFUNCTION("GOOGLETRANSLATE(A20798, ""de"", ""en"")"),"swept")</f>
        <v>swept</v>
      </c>
    </row>
    <row r="20799">
      <c r="A20799" s="1" t="s">
        <v>20798</v>
      </c>
      <c r="B20799" s="2" t="str">
        <f>IFERROR(__xludf.DUMMYFUNCTION("GOOGLETRANSLATE(A20799, ""de"", ""en"")"),"magnificent")</f>
        <v>magnificent</v>
      </c>
    </row>
    <row r="20800">
      <c r="A20800" s="1" t="s">
        <v>20799</v>
      </c>
      <c r="B20800" s="2" t="str">
        <f>IFERROR(__xludf.DUMMYFUNCTION("GOOGLETRANSLATE(A20800, ""de"", ""en"")"),"ensemble")</f>
        <v>ensemble</v>
      </c>
    </row>
    <row r="20801">
      <c r="A20801" s="1" t="s">
        <v>20800</v>
      </c>
      <c r="B20801" s="2" t="str">
        <f>IFERROR(__xludf.DUMMYFUNCTION("GOOGLETRANSLATE(A20801, ""de"", ""en"")"),"job interview")</f>
        <v>job interview</v>
      </c>
    </row>
    <row r="20802">
      <c r="A20802" s="1" t="s">
        <v>20801</v>
      </c>
      <c r="B20802" s="2" t="str">
        <f>IFERROR(__xludf.DUMMYFUNCTION("GOOGLETRANSLATE(A20802, ""de"", ""en"")"),"departure")</f>
        <v>departure</v>
      </c>
    </row>
    <row r="20803">
      <c r="A20803" s="1" t="s">
        <v>20802</v>
      </c>
      <c r="B20803" s="2" t="str">
        <f>IFERROR(__xludf.DUMMYFUNCTION("GOOGLETRANSLATE(A20803, ""de"", ""en"")"),"sleepyhead")</f>
        <v>sleepyhead</v>
      </c>
    </row>
    <row r="20804">
      <c r="A20804" s="1" t="s">
        <v>20803</v>
      </c>
      <c r="B20804" s="2" t="str">
        <f>IFERROR(__xludf.DUMMYFUNCTION("GOOGLETRANSLATE(A20804, ""de"", ""en"")"),"go off")</f>
        <v>go off</v>
      </c>
    </row>
    <row r="20805">
      <c r="A20805" s="1" t="s">
        <v>20804</v>
      </c>
      <c r="B20805" s="2" t="str">
        <f>IFERROR(__xludf.DUMMYFUNCTION("GOOGLETRANSLATE(A20805, ""de"", ""en"")"),"hetty")</f>
        <v>hetty</v>
      </c>
    </row>
    <row r="20806">
      <c r="A20806" s="1" t="s">
        <v>20805</v>
      </c>
      <c r="B20806" s="2" t="str">
        <f>IFERROR(__xludf.DUMMYFUNCTION("GOOGLETRANSLATE(A20806, ""de"", ""en"")"),"ignorance")</f>
        <v>ignorance</v>
      </c>
    </row>
    <row r="20807">
      <c r="A20807" s="1" t="s">
        <v>20806</v>
      </c>
      <c r="B20807" s="2" t="str">
        <f>IFERROR(__xludf.DUMMYFUNCTION("GOOGLETRANSLATE(A20807, ""de"", ""en"")"),"official")</f>
        <v>official</v>
      </c>
    </row>
    <row r="20808">
      <c r="A20808" s="1" t="s">
        <v>20807</v>
      </c>
      <c r="B20808" s="2" t="str">
        <f>IFERROR(__xludf.DUMMYFUNCTION("GOOGLETRANSLATE(A20808, ""de"", ""en"")"),"senile")</f>
        <v>senile</v>
      </c>
    </row>
    <row r="20809">
      <c r="A20809" s="1" t="s">
        <v>20808</v>
      </c>
      <c r="B20809" s="2" t="str">
        <f>IFERROR(__xludf.DUMMYFUNCTION("GOOGLETRANSLATE(A20809, ""de"", ""en"")"),"neglect")</f>
        <v>neglect</v>
      </c>
    </row>
    <row r="20810">
      <c r="A20810" s="1" t="s">
        <v>20809</v>
      </c>
      <c r="B20810" s="2" t="str">
        <f>IFERROR(__xludf.DUMMYFUNCTION("GOOGLETRANSLATE(A20810, ""de"", ""en"")"),"judge")</f>
        <v>judge</v>
      </c>
    </row>
    <row r="20811">
      <c r="A20811" s="1" t="s">
        <v>20810</v>
      </c>
      <c r="B20811" s="2" t="str">
        <f>IFERROR(__xludf.DUMMYFUNCTION("GOOGLETRANSLATE(A20811, ""de"", ""en"")"),"holidays")</f>
        <v>holidays</v>
      </c>
    </row>
    <row r="20812">
      <c r="A20812" s="1" t="s">
        <v>20811</v>
      </c>
      <c r="B20812" s="2" t="str">
        <f>IFERROR(__xludf.DUMMYFUNCTION("GOOGLETRANSLATE(A20812, ""de"", ""en"")"),"doctorate")</f>
        <v>doctorate</v>
      </c>
    </row>
    <row r="20813">
      <c r="A20813" s="1" t="s">
        <v>20812</v>
      </c>
      <c r="B20813" s="2" t="str">
        <f>IFERROR(__xludf.DUMMYFUNCTION("GOOGLETRANSLATE(A20813, ""de"", ""en"")"),"pd")</f>
        <v>pd</v>
      </c>
    </row>
    <row r="20814">
      <c r="A20814" s="1" t="s">
        <v>20813</v>
      </c>
      <c r="B20814" s="2" t="str">
        <f>IFERROR(__xludf.DUMMYFUNCTION("GOOGLETRANSLATE(A20814, ""de"", ""en"")"),"greenhorn")</f>
        <v>greenhorn</v>
      </c>
    </row>
    <row r="20815">
      <c r="A20815" s="1" t="s">
        <v>20814</v>
      </c>
      <c r="B20815" s="2" t="str">
        <f>IFERROR(__xludf.DUMMYFUNCTION("GOOGLETRANSLATE(A20815, ""de"", ""en"")"),"endure")</f>
        <v>endure</v>
      </c>
    </row>
    <row r="20816">
      <c r="A20816" s="1" t="s">
        <v>20815</v>
      </c>
      <c r="B20816" s="2" t="str">
        <f>IFERROR(__xludf.DUMMYFUNCTION("GOOGLETRANSLATE(A20816, ""de"", ""en"")"),"conspired")</f>
        <v>conspired</v>
      </c>
    </row>
    <row r="20817">
      <c r="A20817" s="1" t="s">
        <v>20816</v>
      </c>
      <c r="B20817" s="2" t="str">
        <f>IFERROR(__xludf.DUMMYFUNCTION("GOOGLETRANSLATE(A20817, ""de"", ""en"")"),"sense of self-esteem")</f>
        <v>sense of self-esteem</v>
      </c>
    </row>
    <row r="20818">
      <c r="A20818" s="1" t="s">
        <v>20817</v>
      </c>
      <c r="B20818" s="2" t="str">
        <f>IFERROR(__xludf.DUMMYFUNCTION("GOOGLETRANSLATE(A20818, ""de"", ""en"")"),"transgressed")</f>
        <v>transgressed</v>
      </c>
    </row>
    <row r="20819">
      <c r="A20819" s="1" t="s">
        <v>20818</v>
      </c>
      <c r="B20819" s="2" t="str">
        <f>IFERROR(__xludf.DUMMYFUNCTION("GOOGLETRANSLATE(A20819, ""de"", ""en"")"),"cholera")</f>
        <v>cholera</v>
      </c>
    </row>
    <row r="20820">
      <c r="A20820" s="1" t="s">
        <v>20819</v>
      </c>
      <c r="B20820" s="2" t="str">
        <f>IFERROR(__xludf.DUMMYFUNCTION("GOOGLETRANSLATE(A20820, ""de"", ""en"")"),"school time")</f>
        <v>school time</v>
      </c>
    </row>
    <row r="20821">
      <c r="A20821" s="1" t="s">
        <v>20820</v>
      </c>
      <c r="B20821" s="2" t="str">
        <f>IFERROR(__xludf.DUMMYFUNCTION("GOOGLETRANSLATE(A20821, ""de"", ""en"")"),"shana")</f>
        <v>shana</v>
      </c>
    </row>
    <row r="20822">
      <c r="A20822" s="1" t="s">
        <v>20821</v>
      </c>
      <c r="B20822" s="2" t="str">
        <f>IFERROR(__xludf.DUMMYFUNCTION("GOOGLETRANSLATE(A20822, ""de"", ""en"")"),"rhett")</f>
        <v>rhett</v>
      </c>
    </row>
    <row r="20823">
      <c r="A20823" s="1" t="s">
        <v>20822</v>
      </c>
      <c r="B20823" s="2" t="str">
        <f>IFERROR(__xludf.DUMMYFUNCTION("GOOGLETRANSLATE(A20823, ""de"", ""en"")"),"defeated")</f>
        <v>defeated</v>
      </c>
    </row>
    <row r="20824">
      <c r="A20824" s="1" t="s">
        <v>20823</v>
      </c>
      <c r="B20824" s="2" t="str">
        <f>IFERROR(__xludf.DUMMYFUNCTION("GOOGLETRANSLATE(A20824, ""de"", ""en"")"),"food")</f>
        <v>food</v>
      </c>
    </row>
    <row r="20825">
      <c r="A20825" s="1" t="s">
        <v>20824</v>
      </c>
      <c r="B20825" s="2" t="str">
        <f>IFERROR(__xludf.DUMMYFUNCTION("GOOGLETRANSLATE(A20825, ""de"", ""en"")"),"scroll")</f>
        <v>scroll</v>
      </c>
    </row>
    <row r="20826">
      <c r="A20826" s="1" t="s">
        <v>20825</v>
      </c>
      <c r="B20826" s="2" t="str">
        <f>IFERROR(__xludf.DUMMYFUNCTION("GOOGLETRANSLATE(A20826, ""de"", ""en"")"),"intus")</f>
        <v>intus</v>
      </c>
    </row>
    <row r="20827">
      <c r="A20827" s="1" t="s">
        <v>20826</v>
      </c>
      <c r="B20827" s="2" t="str">
        <f>IFERROR(__xludf.DUMMYFUNCTION("GOOGLETRANSLATE(A20827, ""de"", ""en"")"),"Bono")</f>
        <v>Bono</v>
      </c>
    </row>
    <row r="20828">
      <c r="A20828" s="1" t="s">
        <v>20827</v>
      </c>
      <c r="B20828" s="2" t="str">
        <f>IFERROR(__xludf.DUMMYFUNCTION("GOOGLETRANSLATE(A20828, ""de"", ""en"")"),"violet")</f>
        <v>violet</v>
      </c>
    </row>
    <row r="20829">
      <c r="A20829" s="1" t="s">
        <v>20828</v>
      </c>
      <c r="B20829" s="2" t="str">
        <f>IFERROR(__xludf.DUMMYFUNCTION("GOOGLETRANSLATE(A20829, ""de"", ""en"")"),"escorted")</f>
        <v>escorted</v>
      </c>
    </row>
    <row r="20830">
      <c r="A20830" s="1" t="s">
        <v>20829</v>
      </c>
      <c r="B20830" s="2" t="str">
        <f>IFERROR(__xludf.DUMMYFUNCTION("GOOGLETRANSLATE(A20830, ""de"", ""en"")"),"aeryn")</f>
        <v>aeryn</v>
      </c>
    </row>
    <row r="20831">
      <c r="A20831" s="1" t="s">
        <v>20830</v>
      </c>
      <c r="B20831" s="2" t="str">
        <f>IFERROR(__xludf.DUMMYFUNCTION("GOOGLETRANSLATE(A20831, ""de"", ""en"")"),"intervention")</f>
        <v>intervention</v>
      </c>
    </row>
    <row r="20832">
      <c r="A20832" s="1" t="s">
        <v>20831</v>
      </c>
      <c r="B20832" s="2" t="str">
        <f>IFERROR(__xludf.DUMMYFUNCTION("GOOGLETRANSLATE(A20832, ""de"", ""en"")"),"proud")</f>
        <v>proud</v>
      </c>
    </row>
    <row r="20833">
      <c r="A20833" s="1" t="s">
        <v>20832</v>
      </c>
      <c r="B20833" s="2" t="str">
        <f>IFERROR(__xludf.DUMMYFUNCTION("GOOGLETRANSLATE(A20833, ""de"", ""en"")"),"staging")</f>
        <v>staging</v>
      </c>
    </row>
    <row r="20834">
      <c r="A20834" s="1" t="s">
        <v>20833</v>
      </c>
      <c r="B20834" s="2" t="str">
        <f>IFERROR(__xludf.DUMMYFUNCTION("GOOGLETRANSLATE(A20834, ""de"", ""en"")"),"automatic")</f>
        <v>automatic</v>
      </c>
    </row>
    <row r="20835">
      <c r="A20835" s="1" t="s">
        <v>20834</v>
      </c>
      <c r="B20835" s="2" t="str">
        <f>IFERROR(__xludf.DUMMYFUNCTION("GOOGLETRANSLATE(A20835, ""de"", ""en"")"),"evaluated")</f>
        <v>evaluated</v>
      </c>
    </row>
    <row r="20836">
      <c r="A20836" s="1" t="s">
        <v>20835</v>
      </c>
      <c r="B20836" s="2" t="str">
        <f>IFERROR(__xludf.DUMMYFUNCTION("GOOGLETRANSLATE(A20836, ""de"", ""en"")"),"ridley")</f>
        <v>ridley</v>
      </c>
    </row>
    <row r="20837">
      <c r="A20837" s="1" t="s">
        <v>20836</v>
      </c>
      <c r="B20837" s="2" t="str">
        <f>IFERROR(__xludf.DUMMYFUNCTION("GOOGLETRANSLATE(A20837, ""de"", ""en"")"),"bedsheet")</f>
        <v>bedsheet</v>
      </c>
    </row>
    <row r="20838">
      <c r="A20838" s="1" t="s">
        <v>20837</v>
      </c>
      <c r="B20838" s="2" t="str">
        <f>IFERROR(__xludf.DUMMYFUNCTION("GOOGLETRANSLATE(A20838, ""de"", ""en"")"),"Johnnie")</f>
        <v>Johnnie</v>
      </c>
    </row>
    <row r="20839">
      <c r="A20839" s="1" t="s">
        <v>20838</v>
      </c>
      <c r="B20839" s="2" t="str">
        <f>IFERROR(__xludf.DUMMYFUNCTION("GOOGLETRANSLATE(A20839, ""de"", ""en"")"),"knut")</f>
        <v>knut</v>
      </c>
    </row>
    <row r="20840">
      <c r="A20840" s="1" t="s">
        <v>20839</v>
      </c>
      <c r="B20840" s="2" t="str">
        <f>IFERROR(__xludf.DUMMYFUNCTION("GOOGLETRANSLATE(A20840, ""de"", ""en"")"),"actresses")</f>
        <v>actresses</v>
      </c>
    </row>
    <row r="20841">
      <c r="A20841" s="1" t="s">
        <v>20840</v>
      </c>
      <c r="B20841" s="2" t="str">
        <f>IFERROR(__xludf.DUMMYFUNCTION("GOOGLETRANSLATE(A20841, ""de"", ""en"")"),"sleeping bag")</f>
        <v>sleeping bag</v>
      </c>
    </row>
    <row r="20842">
      <c r="A20842" s="1" t="s">
        <v>20841</v>
      </c>
      <c r="B20842" s="2" t="str">
        <f>IFERROR(__xludf.DUMMYFUNCTION("GOOGLETRANSLATE(A20842, ""de"", ""en"")"),"tow truck")</f>
        <v>tow truck</v>
      </c>
    </row>
    <row r="20843">
      <c r="A20843" s="1" t="s">
        <v>20842</v>
      </c>
      <c r="B20843" s="2" t="str">
        <f>IFERROR(__xludf.DUMMYFUNCTION("GOOGLETRANSLATE(A20843, ""de"", ""en"")"),"sleepy")</f>
        <v>sleepy</v>
      </c>
    </row>
    <row r="20844">
      <c r="A20844" s="1" t="s">
        <v>20843</v>
      </c>
      <c r="B20844" s="2" t="str">
        <f>IFERROR(__xludf.DUMMYFUNCTION("GOOGLETRANSLATE(A20844, ""de"", ""en"")"),"fading")</f>
        <v>fading</v>
      </c>
    </row>
    <row r="20845">
      <c r="A20845" s="1" t="s">
        <v>20844</v>
      </c>
      <c r="B20845" s="2" t="str">
        <f>IFERROR(__xludf.DUMMYFUNCTION("GOOGLETRANSLATE(A20845, ""de"", ""en"")"),"wait")</f>
        <v>wait</v>
      </c>
    </row>
    <row r="20846">
      <c r="A20846" s="1" t="s">
        <v>20845</v>
      </c>
      <c r="B20846" s="2" t="str">
        <f>IFERROR(__xludf.DUMMYFUNCTION("GOOGLETRANSLATE(A20846, ""de"", ""en"")"),"self-talk")</f>
        <v>self-talk</v>
      </c>
    </row>
    <row r="20847">
      <c r="A20847" s="1" t="s">
        <v>20846</v>
      </c>
      <c r="B20847" s="2" t="str">
        <f>IFERROR(__xludf.DUMMYFUNCTION("GOOGLETRANSLATE(A20847, ""de"", ""en"")"),"drug dealer")</f>
        <v>drug dealer</v>
      </c>
    </row>
    <row r="20848">
      <c r="A20848" s="1" t="s">
        <v>20847</v>
      </c>
      <c r="B20848" s="2" t="str">
        <f>IFERROR(__xludf.DUMMYFUNCTION("GOOGLETRANSLATE(A20848, ""de"", ""en"")"),"Mayfield")</f>
        <v>Mayfield</v>
      </c>
    </row>
    <row r="20849">
      <c r="A20849" s="1" t="s">
        <v>20848</v>
      </c>
      <c r="B20849" s="2" t="str">
        <f>IFERROR(__xludf.DUMMYFUNCTION("GOOGLETRANSLATE(A20849, ""de"", ""en"")"),"Stockton")</f>
        <v>Stockton</v>
      </c>
    </row>
    <row r="20850">
      <c r="A20850" s="1" t="s">
        <v>20849</v>
      </c>
      <c r="B20850" s="2" t="str">
        <f>IFERROR(__xludf.DUMMYFUNCTION("GOOGLETRANSLATE(A20850, ""de"", ""en"")"),"arrests")</f>
        <v>arrests</v>
      </c>
    </row>
    <row r="20851">
      <c r="A20851" s="1" t="s">
        <v>20850</v>
      </c>
      <c r="B20851" s="2" t="str">
        <f>IFERROR(__xludf.DUMMYFUNCTION("GOOGLETRANSLATE(A20851, ""de"", ""en"")"),"lock")</f>
        <v>lock</v>
      </c>
    </row>
    <row r="20852">
      <c r="A20852" s="1" t="s">
        <v>20851</v>
      </c>
      <c r="B20852" s="2" t="str">
        <f>IFERROR(__xludf.DUMMYFUNCTION("GOOGLETRANSLATE(A20852, ""de"", ""en"")"),"bey")</f>
        <v>bey</v>
      </c>
    </row>
    <row r="20853">
      <c r="A20853" s="1" t="s">
        <v>20852</v>
      </c>
      <c r="B20853" s="2" t="str">
        <f>IFERROR(__xludf.DUMMYFUNCTION("GOOGLETRANSLATE(A20853, ""de"", ""en"")"),"happy")</f>
        <v>happy</v>
      </c>
    </row>
    <row r="20854">
      <c r="A20854" s="1" t="s">
        <v>20853</v>
      </c>
      <c r="B20854" s="2" t="str">
        <f>IFERROR(__xludf.DUMMYFUNCTION("GOOGLETRANSLATE(A20854, ""de"", ""en"")"),"boor")</f>
        <v>boor</v>
      </c>
    </row>
    <row r="20855">
      <c r="A20855" s="1" t="s">
        <v>20854</v>
      </c>
      <c r="B20855" s="2" t="str">
        <f>IFERROR(__xludf.DUMMYFUNCTION("GOOGLETRANSLATE(A20855, ""de"", ""en"")"),"chimney")</f>
        <v>chimney</v>
      </c>
    </row>
    <row r="20856">
      <c r="A20856" s="1" t="s">
        <v>20855</v>
      </c>
      <c r="B20856" s="2" t="str">
        <f>IFERROR(__xludf.DUMMYFUNCTION("GOOGLETRANSLATE(A20856, ""de"", ""en"")"),"inventory")</f>
        <v>inventory</v>
      </c>
    </row>
    <row r="20857">
      <c r="A20857" s="1" t="s">
        <v>20856</v>
      </c>
      <c r="B20857" s="2" t="str">
        <f>IFERROR(__xludf.DUMMYFUNCTION("GOOGLETRANSLATE(A20857, ""de"", ""en"")"),"Beaumont")</f>
        <v>Beaumont</v>
      </c>
    </row>
    <row r="20858">
      <c r="A20858" s="1" t="s">
        <v>20857</v>
      </c>
      <c r="B20858" s="2" t="str">
        <f>IFERROR(__xludf.DUMMYFUNCTION("GOOGLETRANSLATE(A20858, ""de"", ""en"")"),"recommends")</f>
        <v>recommends</v>
      </c>
    </row>
    <row r="20859">
      <c r="A20859" s="1" t="s">
        <v>20858</v>
      </c>
      <c r="B20859" s="2" t="str">
        <f>IFERROR(__xludf.DUMMYFUNCTION("GOOGLETRANSLATE(A20859, ""de"", ""en"")"),"reflex")</f>
        <v>reflex</v>
      </c>
    </row>
    <row r="20860">
      <c r="A20860" s="1" t="s">
        <v>20859</v>
      </c>
      <c r="B20860" s="2" t="str">
        <f>IFERROR(__xludf.DUMMYFUNCTION("GOOGLETRANSLATE(A20860, ""de"", ""en"")"),"is-")</f>
        <v>is-</v>
      </c>
    </row>
    <row r="20861">
      <c r="A20861" s="1" t="s">
        <v>20860</v>
      </c>
      <c r="B20861" s="2" t="str">
        <f>IFERROR(__xludf.DUMMYFUNCTION("GOOGLETRANSLATE(A20861, ""de"", ""en"")"),"shabby")</f>
        <v>shabby</v>
      </c>
    </row>
    <row r="20862">
      <c r="A20862" s="1" t="s">
        <v>20861</v>
      </c>
      <c r="B20862" s="2" t="str">
        <f>IFERROR(__xludf.DUMMYFUNCTION("GOOGLETRANSLATE(A20862, ""de"", ""en"")"),"insult you")</f>
        <v>insult you</v>
      </c>
    </row>
    <row r="20863">
      <c r="A20863" s="1" t="s">
        <v>20862</v>
      </c>
      <c r="B20863" s="2" t="str">
        <f>IFERROR(__xludf.DUMMYFUNCTION("GOOGLETRANSLATE(A20863, ""de"", ""en"")"),"implants")</f>
        <v>implants</v>
      </c>
    </row>
    <row r="20864">
      <c r="A20864" s="1" t="s">
        <v>20863</v>
      </c>
      <c r="B20864" s="2" t="str">
        <f>IFERROR(__xludf.DUMMYFUNCTION("GOOGLETRANSLATE(A20864, ""de"", ""en"")"),"front yard")</f>
        <v>front yard</v>
      </c>
    </row>
    <row r="20865">
      <c r="A20865" s="1" t="s">
        <v>20864</v>
      </c>
      <c r="B20865" s="2" t="str">
        <f>IFERROR(__xludf.DUMMYFUNCTION("GOOGLETRANSLATE(A20865, ""de"", ""en"")"),"Cambodia")</f>
        <v>Cambodia</v>
      </c>
    </row>
    <row r="20866">
      <c r="A20866" s="1" t="s">
        <v>20865</v>
      </c>
      <c r="B20866" s="2" t="str">
        <f>IFERROR(__xludf.DUMMYFUNCTION("GOOGLETRANSLATE(A20866, ""de"", ""en"")"),"cork")</f>
        <v>cork</v>
      </c>
    </row>
    <row r="20867">
      <c r="A20867" s="1" t="s">
        <v>20866</v>
      </c>
      <c r="B20867" s="2" t="str">
        <f>IFERROR(__xludf.DUMMYFUNCTION("GOOGLETRANSLATE(A20867, ""de"", ""en"")"),"public")</f>
        <v>public</v>
      </c>
    </row>
    <row r="20868">
      <c r="A20868" s="1" t="s">
        <v>20867</v>
      </c>
      <c r="B20868" s="2" t="str">
        <f>IFERROR(__xludf.DUMMYFUNCTION("GOOGLETRANSLATE(A20868, ""de"", ""en"")"),"smoked")</f>
        <v>smoked</v>
      </c>
    </row>
    <row r="20869">
      <c r="A20869" s="1" t="s">
        <v>20868</v>
      </c>
      <c r="B20869" s="2" t="str">
        <f>IFERROR(__xludf.DUMMYFUNCTION("GOOGLETRANSLATE(A20869, ""de"", ""en"")"),"us now")</f>
        <v>us now</v>
      </c>
    </row>
    <row r="20870">
      <c r="A20870" s="1" t="s">
        <v>20869</v>
      </c>
      <c r="B20870" s="2" t="str">
        <f>IFERROR(__xludf.DUMMYFUNCTION("GOOGLETRANSLATE(A20870, ""de"", ""en"")"),"poisoning")</f>
        <v>poisoning</v>
      </c>
    </row>
    <row r="20871">
      <c r="A20871" s="1" t="s">
        <v>20870</v>
      </c>
      <c r="B20871" s="2" t="str">
        <f>IFERROR(__xludf.DUMMYFUNCTION("GOOGLETRANSLATE(A20871, ""de"", ""en"")"),"Halliwell")</f>
        <v>Halliwell</v>
      </c>
    </row>
    <row r="20872">
      <c r="A20872" s="1" t="s">
        <v>20871</v>
      </c>
      <c r="B20872" s="2" t="str">
        <f>IFERROR(__xludf.DUMMYFUNCTION("GOOGLETRANSLATE(A20872, ""de"", ""en"")"),"more tragic")</f>
        <v>more tragic</v>
      </c>
    </row>
    <row r="20873">
      <c r="A20873" s="1" t="s">
        <v>20872</v>
      </c>
      <c r="B20873" s="2" t="str">
        <f>IFERROR(__xludf.DUMMYFUNCTION("GOOGLETRANSLATE(A20873, ""de"", ""en"")"),"paralysis")</f>
        <v>paralysis</v>
      </c>
    </row>
    <row r="20874">
      <c r="A20874" s="1" t="s">
        <v>20873</v>
      </c>
      <c r="B20874" s="2" t="str">
        <f>IFERROR(__xludf.DUMMYFUNCTION("GOOGLETRANSLATE(A20874, ""de"", ""en"")"),"barclay")</f>
        <v>barclay</v>
      </c>
    </row>
    <row r="20875">
      <c r="A20875" s="1" t="s">
        <v>20874</v>
      </c>
      <c r="B20875" s="2" t="str">
        <f>IFERROR(__xludf.DUMMYFUNCTION("GOOGLETRANSLATE(A20875, ""de"", ""en"")"),"annabel")</f>
        <v>annabel</v>
      </c>
    </row>
    <row r="20876">
      <c r="A20876" s="1" t="s">
        <v>20875</v>
      </c>
      <c r="B20876" s="2" t="str">
        <f>IFERROR(__xludf.DUMMYFUNCTION("GOOGLETRANSLATE(A20876, ""de"", ""en"")"),"identified")</f>
        <v>identified</v>
      </c>
    </row>
    <row r="20877">
      <c r="A20877" s="1" t="s">
        <v>20876</v>
      </c>
      <c r="B20877" s="2" t="str">
        <f>IFERROR(__xludf.DUMMYFUNCTION("GOOGLETRANSLATE(A20877, ""de"", ""en"")"),"cem")</f>
        <v>cem</v>
      </c>
    </row>
    <row r="20878">
      <c r="A20878" s="1" t="s">
        <v>20877</v>
      </c>
      <c r="B20878" s="2" t="str">
        <f>IFERROR(__xludf.DUMMYFUNCTION("GOOGLETRANSLATE(A20878, ""de"", ""en"")"),"ignited")</f>
        <v>ignited</v>
      </c>
    </row>
    <row r="20879">
      <c r="A20879" s="1" t="s">
        <v>20878</v>
      </c>
      <c r="B20879" s="2" t="str">
        <f>IFERROR(__xludf.DUMMYFUNCTION("GOOGLETRANSLATE(A20879, ""de"", ""en"")"),"Laura")</f>
        <v>Laura</v>
      </c>
    </row>
    <row r="20880">
      <c r="A20880" s="1" t="s">
        <v>20879</v>
      </c>
      <c r="B20880" s="2" t="str">
        <f>IFERROR(__xludf.DUMMYFUNCTION("GOOGLETRANSLATE(A20880, ""de"", ""en"")"),"buttocks")</f>
        <v>buttocks</v>
      </c>
    </row>
    <row r="20881">
      <c r="A20881" s="1" t="s">
        <v>20880</v>
      </c>
      <c r="B20881" s="2" t="str">
        <f>IFERROR(__xludf.DUMMYFUNCTION("GOOGLETRANSLATE(A20881, ""de"", ""en"")"),"bends")</f>
        <v>bends</v>
      </c>
    </row>
    <row r="20882">
      <c r="A20882" s="1" t="s">
        <v>20881</v>
      </c>
      <c r="B20882" s="2" t="str">
        <f>IFERROR(__xludf.DUMMYFUNCTION("GOOGLETRANSLATE(A20882, ""de"", ""en"")"),"tracks")</f>
        <v>tracks</v>
      </c>
    </row>
    <row r="20883">
      <c r="A20883" s="1" t="s">
        <v>20882</v>
      </c>
      <c r="B20883" s="2" t="str">
        <f>IFERROR(__xludf.DUMMYFUNCTION("GOOGLETRANSLATE(A20883, ""de"", ""en"")"),"impregnate")</f>
        <v>impregnate</v>
      </c>
    </row>
    <row r="20884">
      <c r="A20884" s="1" t="s">
        <v>20883</v>
      </c>
      <c r="B20884" s="2" t="str">
        <f>IFERROR(__xludf.DUMMYFUNCTION("GOOGLETRANSLATE(A20884, ""de"", ""en"")"),"Attila")</f>
        <v>Attila</v>
      </c>
    </row>
    <row r="20885">
      <c r="A20885" s="1" t="s">
        <v>20884</v>
      </c>
      <c r="B20885" s="2" t="str">
        <f>IFERROR(__xludf.DUMMYFUNCTION("GOOGLETRANSLATE(A20885, ""de"", ""en"")"),"Murtaugh")</f>
        <v>Murtaugh</v>
      </c>
    </row>
    <row r="20886">
      <c r="A20886" s="1" t="s">
        <v>20885</v>
      </c>
      <c r="B20886" s="2" t="str">
        <f>IFERROR(__xludf.DUMMYFUNCTION("GOOGLETRANSLATE(A20886, ""de"", ""en"")"),"feel")</f>
        <v>feel</v>
      </c>
    </row>
    <row r="20887">
      <c r="A20887" s="1" t="s">
        <v>20886</v>
      </c>
      <c r="B20887" s="2" t="str">
        <f>IFERROR(__xludf.DUMMYFUNCTION("GOOGLETRANSLATE(A20887, ""de"", ""en"")"),"private jet")</f>
        <v>private jet</v>
      </c>
    </row>
    <row r="20888">
      <c r="A20888" s="1" t="s">
        <v>20887</v>
      </c>
      <c r="B20888" s="2" t="str">
        <f>IFERROR(__xludf.DUMMYFUNCTION("GOOGLETRANSLATE(A20888, ""de"", ""en"")"),"police chief")</f>
        <v>police chief</v>
      </c>
    </row>
    <row r="20889">
      <c r="A20889" s="1" t="s">
        <v>20888</v>
      </c>
      <c r="B20889" s="2" t="str">
        <f>IFERROR(__xludf.DUMMYFUNCTION("GOOGLETRANSLATE(A20889, ""de"", ""en"")"),"capitulate")</f>
        <v>capitulate</v>
      </c>
    </row>
    <row r="20890">
      <c r="A20890" s="1" t="s">
        <v>20889</v>
      </c>
      <c r="B20890" s="2" t="str">
        <f>IFERROR(__xludf.DUMMYFUNCTION("GOOGLETRANSLATE(A20890, ""de"", ""en"")"),"ck")</f>
        <v>ck</v>
      </c>
    </row>
    <row r="20891">
      <c r="A20891" s="1" t="s">
        <v>20890</v>
      </c>
      <c r="B20891" s="2" t="str">
        <f>IFERROR(__xludf.DUMMYFUNCTION("GOOGLETRANSLATE(A20891, ""de"", ""en"")"),"Hemingway")</f>
        <v>Hemingway</v>
      </c>
    </row>
    <row r="20892">
      <c r="A20892" s="1" t="s">
        <v>20891</v>
      </c>
      <c r="B20892" s="2" t="str">
        <f>IFERROR(__xludf.DUMMYFUNCTION("GOOGLETRANSLATE(A20892, ""de"", ""en"")"),"Guatemala")</f>
        <v>Guatemala</v>
      </c>
    </row>
    <row r="20893">
      <c r="A20893" s="1" t="s">
        <v>20892</v>
      </c>
      <c r="B20893" s="2" t="str">
        <f>IFERROR(__xludf.DUMMYFUNCTION("GOOGLETRANSLATE(A20893, ""de"", ""en"")"),"saliva")</f>
        <v>saliva</v>
      </c>
    </row>
    <row r="20894">
      <c r="A20894" s="1" t="s">
        <v>20893</v>
      </c>
      <c r="B20894" s="2" t="str">
        <f>IFERROR(__xludf.DUMMYFUNCTION("GOOGLETRANSLATE(A20894, ""de"", ""en"")"),"radical")</f>
        <v>radical</v>
      </c>
    </row>
    <row r="20895">
      <c r="A20895" s="1" t="s">
        <v>20894</v>
      </c>
      <c r="B20895" s="2" t="str">
        <f>IFERROR(__xludf.DUMMYFUNCTION("GOOGLETRANSLATE(A20895, ""de"", ""en"")"),"imitate")</f>
        <v>imitate</v>
      </c>
    </row>
    <row r="20896">
      <c r="A20896" s="1" t="s">
        <v>20895</v>
      </c>
      <c r="B20896" s="2" t="str">
        <f>IFERROR(__xludf.DUMMYFUNCTION("GOOGLETRANSLATE(A20896, ""de"", ""en"")"),"annual")</f>
        <v>annual</v>
      </c>
    </row>
    <row r="20897">
      <c r="A20897" s="1" t="s">
        <v>20896</v>
      </c>
      <c r="B20897" s="2" t="str">
        <f>IFERROR(__xludf.DUMMYFUNCTION("GOOGLETRANSLATE(A20897, ""de"", ""en"")"),"emir")</f>
        <v>emir</v>
      </c>
    </row>
    <row r="20898">
      <c r="A20898" s="1" t="s">
        <v>20897</v>
      </c>
      <c r="B20898" s="2" t="str">
        <f>IFERROR(__xludf.DUMMYFUNCTION("GOOGLETRANSLATE(A20898, ""de"", ""en"")"),"ulcer")</f>
        <v>ulcer</v>
      </c>
    </row>
    <row r="20899">
      <c r="A20899" s="1" t="s">
        <v>20898</v>
      </c>
      <c r="B20899" s="2" t="str">
        <f>IFERROR(__xludf.DUMMYFUNCTION("GOOGLETRANSLATE(A20899, ""de"", ""en"")"),"conscientious")</f>
        <v>conscientious</v>
      </c>
    </row>
    <row r="20900">
      <c r="A20900" s="1" t="s">
        <v>20899</v>
      </c>
      <c r="B20900" s="2" t="str">
        <f>IFERROR(__xludf.DUMMYFUNCTION("GOOGLETRANSLATE(A20900, ""de"", ""en"")"),"organized")</f>
        <v>organized</v>
      </c>
    </row>
    <row r="20901">
      <c r="A20901" s="1" t="s">
        <v>20900</v>
      </c>
      <c r="B20901" s="2" t="str">
        <f>IFERROR(__xludf.DUMMYFUNCTION("GOOGLETRANSLATE(A20901, ""de"", ""en"")"),"living")</f>
        <v>living</v>
      </c>
    </row>
    <row r="20902">
      <c r="A20902" s="1" t="s">
        <v>20901</v>
      </c>
      <c r="B20902" s="2" t="str">
        <f>IFERROR(__xludf.DUMMYFUNCTION("GOOGLETRANSLATE(A20902, ""de"", ""en"")"),"weights")</f>
        <v>weights</v>
      </c>
    </row>
    <row r="20903">
      <c r="A20903" s="1" t="s">
        <v>20902</v>
      </c>
      <c r="B20903" s="2" t="str">
        <f>IFERROR(__xludf.DUMMYFUNCTION("GOOGLETRANSLATE(A20903, ""de"", ""en"")"),"late")</f>
        <v>late</v>
      </c>
    </row>
    <row r="20904">
      <c r="A20904" s="1" t="s">
        <v>20903</v>
      </c>
      <c r="B20904" s="2" t="str">
        <f>IFERROR(__xludf.DUMMYFUNCTION("GOOGLETRANSLATE(A20904, ""de"", ""en"")"),"chairs")</f>
        <v>chairs</v>
      </c>
    </row>
    <row r="20905">
      <c r="A20905" s="1" t="s">
        <v>20904</v>
      </c>
      <c r="B20905" s="2" t="str">
        <f>IFERROR(__xludf.DUMMYFUNCTION("GOOGLETRANSLATE(A20905, ""de"", ""en"")"),"Nicaragua")</f>
        <v>Nicaragua</v>
      </c>
    </row>
    <row r="20906">
      <c r="A20906" s="1" t="s">
        <v>20905</v>
      </c>
      <c r="B20906" s="2" t="str">
        <f>IFERROR(__xludf.DUMMYFUNCTION("GOOGLETRANSLATE(A20906, ""de"", ""en"")"),"tape")</f>
        <v>tape</v>
      </c>
    </row>
    <row r="20907">
      <c r="A20907" s="1" t="s">
        <v>20906</v>
      </c>
      <c r="B20907" s="2" t="str">
        <f>IFERROR(__xludf.DUMMYFUNCTION("GOOGLETRANSLATE(A20907, ""de"", ""en"")"),"get to know")</f>
        <v>get to know</v>
      </c>
    </row>
    <row r="20908">
      <c r="A20908" s="1" t="s">
        <v>20907</v>
      </c>
      <c r="B20908" s="2" t="str">
        <f>IFERROR(__xludf.DUMMYFUNCTION("GOOGLETRANSLATE(A20908, ""de"", ""en"")"),"to make out")</f>
        <v>to make out</v>
      </c>
    </row>
    <row r="20909">
      <c r="A20909" s="1" t="s">
        <v>20908</v>
      </c>
      <c r="B20909" s="2" t="str">
        <f>IFERROR(__xludf.DUMMYFUNCTION("GOOGLETRANSLATE(A20909, ""de"", ""en"")"),"butcher")</f>
        <v>butcher</v>
      </c>
    </row>
    <row r="20910">
      <c r="A20910" s="1" t="s">
        <v>20909</v>
      </c>
      <c r="B20910" s="2" t="str">
        <f>IFERROR(__xludf.DUMMYFUNCTION("GOOGLETRANSLATE(A20910, ""de"", ""en"")"),"pose")</f>
        <v>pose</v>
      </c>
    </row>
    <row r="20911">
      <c r="A20911" s="1" t="s">
        <v>20910</v>
      </c>
      <c r="B20911" s="2" t="str">
        <f>IFERROR(__xludf.DUMMYFUNCTION("GOOGLETRANSLATE(A20911, ""de"", ""en"")"),"telepathy")</f>
        <v>telepathy</v>
      </c>
    </row>
    <row r="20912">
      <c r="A20912" s="1" t="s">
        <v>20911</v>
      </c>
      <c r="B20912" s="2" t="str">
        <f>IFERROR(__xludf.DUMMYFUNCTION("GOOGLETRANSLATE(A20912, ""de"", ""en"")"),"gone wrong")</f>
        <v>gone wrong</v>
      </c>
    </row>
    <row r="20913">
      <c r="A20913" s="1" t="s">
        <v>20912</v>
      </c>
      <c r="B20913" s="2" t="str">
        <f>IFERROR(__xludf.DUMMYFUNCTION("GOOGLETRANSLATE(A20913, ""de"", ""en"")"),"curve")</f>
        <v>curve</v>
      </c>
    </row>
    <row r="20914">
      <c r="A20914" s="1" t="s">
        <v>20913</v>
      </c>
      <c r="B20914" s="2" t="str">
        <f>IFERROR(__xludf.DUMMYFUNCTION("GOOGLETRANSLATE(A20914, ""de"", ""en"")"),"troublemaker")</f>
        <v>troublemaker</v>
      </c>
    </row>
    <row r="20915">
      <c r="A20915" s="1" t="s">
        <v>20914</v>
      </c>
      <c r="B20915" s="2" t="str">
        <f>IFERROR(__xludf.DUMMYFUNCTION("GOOGLETRANSLATE(A20915, ""de"", ""en"")"),"whipped cream")</f>
        <v>whipped cream</v>
      </c>
    </row>
    <row r="20916">
      <c r="A20916" s="1" t="s">
        <v>20915</v>
      </c>
      <c r="B20916" s="2" t="str">
        <f>IFERROR(__xludf.DUMMYFUNCTION("GOOGLETRANSLATE(A20916, ""de"", ""en"")"),"cincinnati")</f>
        <v>cincinnati</v>
      </c>
    </row>
    <row r="20917">
      <c r="A20917" s="1" t="s">
        <v>20916</v>
      </c>
      <c r="B20917" s="2" t="str">
        <f>IFERROR(__xludf.DUMMYFUNCTION("GOOGLETRANSLATE(A20917, ""de"", ""en"")"),"schizophrenia")</f>
        <v>schizophrenia</v>
      </c>
    </row>
    <row r="20918">
      <c r="A20918" s="1" t="s">
        <v>20917</v>
      </c>
      <c r="B20918" s="2" t="str">
        <f>IFERROR(__xludf.DUMMYFUNCTION("GOOGLETRANSLATE(A20918, ""de"", ""en"")"),"Arabic")</f>
        <v>Arabic</v>
      </c>
    </row>
    <row r="20919">
      <c r="A20919" s="1" t="s">
        <v>20918</v>
      </c>
      <c r="B20919" s="2" t="str">
        <f>IFERROR(__xludf.DUMMYFUNCTION("GOOGLETRANSLATE(A20919, ""de"", ""en"")"),"washes")</f>
        <v>washes</v>
      </c>
    </row>
    <row r="20920">
      <c r="A20920" s="1" t="s">
        <v>20919</v>
      </c>
      <c r="B20920" s="2" t="str">
        <f>IFERROR(__xludf.DUMMYFUNCTION("GOOGLETRANSLATE(A20920, ""de"", ""en"")"),"fist")</f>
        <v>fist</v>
      </c>
    </row>
    <row r="20921">
      <c r="A20921" s="1" t="s">
        <v>20920</v>
      </c>
      <c r="B20921" s="2" t="str">
        <f>IFERROR(__xludf.DUMMYFUNCTION("GOOGLETRANSLATE(A20921, ""de"", ""en"")"),"states")</f>
        <v>states</v>
      </c>
    </row>
    <row r="20922">
      <c r="A20922" s="1" t="s">
        <v>20921</v>
      </c>
      <c r="B20922" s="2" t="str">
        <f>IFERROR(__xludf.DUMMYFUNCTION("GOOGLETRANSLATE(A20922, ""de"", ""en"")"),"mannoman")</f>
        <v>mannoman</v>
      </c>
    </row>
    <row r="20923">
      <c r="A20923" s="1" t="s">
        <v>20922</v>
      </c>
      <c r="B20923" s="2" t="str">
        <f>IFERROR(__xludf.DUMMYFUNCTION("GOOGLETRANSLATE(A20923, ""de"", ""en"")"),"jockey")</f>
        <v>jockey</v>
      </c>
    </row>
    <row r="20924">
      <c r="A20924" s="1" t="s">
        <v>20923</v>
      </c>
      <c r="B20924" s="2" t="str">
        <f>IFERROR(__xludf.DUMMYFUNCTION("GOOGLETRANSLATE(A20924, ""de"", ""en"")"),"stronger")</f>
        <v>stronger</v>
      </c>
    </row>
    <row r="20925">
      <c r="A20925" s="1" t="s">
        <v>20924</v>
      </c>
      <c r="B20925" s="2" t="str">
        <f>IFERROR(__xludf.DUMMYFUNCTION("GOOGLETRANSLATE(A20925, ""de"", ""en"")"),"such")</f>
        <v>such</v>
      </c>
    </row>
    <row r="20926">
      <c r="A20926" s="1" t="s">
        <v>20925</v>
      </c>
      <c r="B20926" s="2" t="str">
        <f>IFERROR(__xludf.DUMMYFUNCTION("GOOGLETRANSLATE(A20926, ""de"", ""en"")"),"codename")</f>
        <v>codename</v>
      </c>
    </row>
    <row r="20927">
      <c r="A20927" s="1" t="s">
        <v>20926</v>
      </c>
      <c r="B20927" s="2" t="str">
        <f>IFERROR(__xludf.DUMMYFUNCTION("GOOGLETRANSLATE(A20927, ""de"", ""en"")"),"muted")</f>
        <v>muted</v>
      </c>
    </row>
    <row r="20928">
      <c r="A20928" s="1" t="s">
        <v>20927</v>
      </c>
      <c r="B20928" s="2" t="str">
        <f>IFERROR(__xludf.DUMMYFUNCTION("GOOGLETRANSLATE(A20928, ""de"", ""en"")"),"endures")</f>
        <v>endures</v>
      </c>
    </row>
    <row r="20929">
      <c r="A20929" s="1" t="s">
        <v>20928</v>
      </c>
      <c r="B20929" s="2" t="str">
        <f>IFERROR(__xludf.DUMMYFUNCTION("GOOGLETRANSLATE(A20929, ""de"", ""en"")"),"popular")</f>
        <v>popular</v>
      </c>
    </row>
    <row r="20930">
      <c r="A20930" s="1" t="s">
        <v>20929</v>
      </c>
      <c r="B20930" s="2" t="str">
        <f>IFERROR(__xludf.DUMMYFUNCTION("GOOGLETRANSLATE(A20930, ""de"", ""en"")"),"Monday morning")</f>
        <v>Monday morning</v>
      </c>
    </row>
    <row r="20931">
      <c r="A20931" s="1" t="s">
        <v>20930</v>
      </c>
      <c r="B20931" s="2" t="str">
        <f>IFERROR(__xludf.DUMMYFUNCTION("GOOGLETRANSLATE(A20931, ""de"", ""en"")"),"owes")</f>
        <v>owes</v>
      </c>
    </row>
    <row r="20932">
      <c r="A20932" s="1" t="s">
        <v>20931</v>
      </c>
      <c r="B20932" s="2" t="str">
        <f>IFERROR(__xludf.DUMMYFUNCTION("GOOGLETRANSLATE(A20932, ""de"", ""en"")"),"filling")</f>
        <v>filling</v>
      </c>
    </row>
    <row r="20933">
      <c r="A20933" s="1" t="s">
        <v>20932</v>
      </c>
      <c r="B20933" s="2" t="str">
        <f>IFERROR(__xludf.DUMMYFUNCTION("GOOGLETRANSLATE(A20933, ""de"", ""en"")"),"bela")</f>
        <v>bela</v>
      </c>
    </row>
    <row r="20934">
      <c r="A20934" s="1" t="s">
        <v>20933</v>
      </c>
      <c r="B20934" s="2" t="str">
        <f>IFERROR(__xludf.DUMMYFUNCTION("GOOGLETRANSLATE(A20934, ""de"", ""en"")"),"muhammad")</f>
        <v>muhammad</v>
      </c>
    </row>
    <row r="20935">
      <c r="A20935" s="1" t="s">
        <v>20934</v>
      </c>
      <c r="B20935" s="2" t="str">
        <f>IFERROR(__xludf.DUMMYFUNCTION("GOOGLETRANSLATE(A20935, ""de"", ""en"")"),"deviation")</f>
        <v>deviation</v>
      </c>
    </row>
    <row r="20936">
      <c r="A20936" s="1" t="s">
        <v>20935</v>
      </c>
      <c r="B20936" s="2" t="str">
        <f>IFERROR(__xludf.DUMMYFUNCTION("GOOGLETRANSLATE(A20936, ""de"", ""en"")"),"to throw away")</f>
        <v>to throw away</v>
      </c>
    </row>
    <row r="20937">
      <c r="A20937" s="1" t="s">
        <v>20936</v>
      </c>
      <c r="B20937" s="2" t="str">
        <f>IFERROR(__xludf.DUMMYFUNCTION("GOOGLETRANSLATE(A20937, ""de"", ""en"")"),"more popular")</f>
        <v>more popular</v>
      </c>
    </row>
    <row r="20938">
      <c r="A20938" s="1" t="s">
        <v>20937</v>
      </c>
      <c r="B20938" s="2" t="str">
        <f>IFERROR(__xludf.DUMMYFUNCTION("GOOGLETRANSLATE(A20938, ""de"", ""en"")"),"hoffman")</f>
        <v>hoffman</v>
      </c>
    </row>
    <row r="20939">
      <c r="A20939" s="1" t="s">
        <v>20938</v>
      </c>
      <c r="B20939" s="2" t="str">
        <f>IFERROR(__xludf.DUMMYFUNCTION("GOOGLETRANSLATE(A20939, ""de"", ""en"")"),"connected")</f>
        <v>connected</v>
      </c>
    </row>
    <row r="20940">
      <c r="A20940" s="1" t="s">
        <v>20939</v>
      </c>
      <c r="B20940" s="2" t="str">
        <f>IFERROR(__xludf.DUMMYFUNCTION("GOOGLETRANSLATE(A20940, ""de"", ""en"")"),"sensitive")</f>
        <v>sensitive</v>
      </c>
    </row>
    <row r="20941">
      <c r="A20941" s="1" t="s">
        <v>20940</v>
      </c>
      <c r="B20941" s="2" t="str">
        <f>IFERROR(__xludf.DUMMYFUNCTION("GOOGLETRANSLATE(A20941, ""de"", ""en"")"),"effective")</f>
        <v>effective</v>
      </c>
    </row>
    <row r="20942">
      <c r="A20942" s="1" t="s">
        <v>20941</v>
      </c>
      <c r="B20942" s="2" t="str">
        <f>IFERROR(__xludf.DUMMYFUNCTION("GOOGLETRANSLATE(A20942, ""de"", ""en"")"),"leave behind")</f>
        <v>leave behind</v>
      </c>
    </row>
    <row r="20943">
      <c r="A20943" s="1" t="s">
        <v>20942</v>
      </c>
      <c r="B20943" s="2" t="str">
        <f>IFERROR(__xludf.DUMMYFUNCTION("GOOGLETRANSLATE(A20943, ""de"", ""en"")"),"college")</f>
        <v>college</v>
      </c>
    </row>
    <row r="20944">
      <c r="A20944" s="1" t="s">
        <v>20943</v>
      </c>
      <c r="B20944" s="2" t="str">
        <f>IFERROR(__xludf.DUMMYFUNCTION("GOOGLETRANSLATE(A20944, ""de"", ""en"")"),"bartholomew")</f>
        <v>bartholomew</v>
      </c>
    </row>
    <row r="20945">
      <c r="A20945" s="1" t="s">
        <v>20944</v>
      </c>
      <c r="B20945" s="2" t="str">
        <f>IFERROR(__xludf.DUMMYFUNCTION("GOOGLETRANSLATE(A20945, ""de"", ""en"")"),"historical")</f>
        <v>historical</v>
      </c>
    </row>
    <row r="20946">
      <c r="A20946" s="1" t="s">
        <v>20945</v>
      </c>
      <c r="B20946" s="2" t="str">
        <f>IFERROR(__xludf.DUMMYFUNCTION("GOOGLETRANSLATE(A20946, ""de"", ""en"")"),"ranger")</f>
        <v>ranger</v>
      </c>
    </row>
    <row r="20947">
      <c r="A20947" s="1" t="s">
        <v>20946</v>
      </c>
      <c r="B20947" s="2" t="str">
        <f>IFERROR(__xludf.DUMMYFUNCTION("GOOGLETRANSLATE(A20947, ""de"", ""en"")"),"low")</f>
        <v>low</v>
      </c>
    </row>
    <row r="20948">
      <c r="A20948" s="1" t="s">
        <v>20947</v>
      </c>
      <c r="B20948" s="2" t="str">
        <f>IFERROR(__xludf.DUMMYFUNCTION("GOOGLETRANSLATE(A20948, ""de"", ""en"")"),"security reasons")</f>
        <v>security reasons</v>
      </c>
    </row>
    <row r="20949">
      <c r="A20949" s="1" t="s">
        <v>20948</v>
      </c>
      <c r="B20949" s="2" t="str">
        <f>IFERROR(__xludf.DUMMYFUNCTION("GOOGLETRANSLATE(A20949, ""de"", ""en"")"),"patmore")</f>
        <v>patmore</v>
      </c>
    </row>
    <row r="20950">
      <c r="A20950" s="1" t="s">
        <v>20949</v>
      </c>
      <c r="B20950" s="2" t="str">
        <f>IFERROR(__xludf.DUMMYFUNCTION("GOOGLETRANSLATE(A20950, ""de"", ""en"")"),"prefect")</f>
        <v>prefect</v>
      </c>
    </row>
    <row r="20951">
      <c r="A20951" s="1" t="s">
        <v>20950</v>
      </c>
      <c r="B20951" s="2" t="str">
        <f>IFERROR(__xludf.DUMMYFUNCTION("GOOGLETRANSLATE(A20951, ""de"", ""en"")"),"pun")</f>
        <v>pun</v>
      </c>
    </row>
    <row r="20952">
      <c r="A20952" s="1" t="s">
        <v>20951</v>
      </c>
      <c r="B20952" s="2" t="str">
        <f>IFERROR(__xludf.DUMMYFUNCTION("GOOGLETRANSLATE(A20952, ""de"", ""en"")"),"squeeze")</f>
        <v>squeeze</v>
      </c>
    </row>
    <row r="20953">
      <c r="A20953" s="1" t="s">
        <v>20952</v>
      </c>
      <c r="B20953" s="2" t="str">
        <f>IFERROR(__xludf.DUMMYFUNCTION("GOOGLETRANSLATE(A20953, ""de"", ""en"")"),"terra")</f>
        <v>terra</v>
      </c>
    </row>
    <row r="20954">
      <c r="A20954" s="1" t="s">
        <v>20953</v>
      </c>
      <c r="B20954" s="2" t="str">
        <f>IFERROR(__xludf.DUMMYFUNCTION("GOOGLETRANSLATE(A20954, ""de"", ""en"")"),"alva")</f>
        <v>alva</v>
      </c>
    </row>
    <row r="20955">
      <c r="A20955" s="1" t="s">
        <v>20954</v>
      </c>
      <c r="B20955" s="2" t="str">
        <f>IFERROR(__xludf.DUMMYFUNCTION("GOOGLETRANSLATE(A20955, ""de"", ""en"")"),"demanded")</f>
        <v>demanded</v>
      </c>
    </row>
    <row r="20956">
      <c r="A20956" s="1" t="s">
        <v>20955</v>
      </c>
      <c r="B20956" s="2" t="str">
        <f>IFERROR(__xludf.DUMMYFUNCTION("GOOGLETRANSLATE(A20956, ""de"", ""en"")"),"afterwards")</f>
        <v>afterwards</v>
      </c>
    </row>
    <row r="20957">
      <c r="A20957" s="1" t="s">
        <v>20956</v>
      </c>
      <c r="B20957" s="2" t="str">
        <f>IFERROR(__xludf.DUMMYFUNCTION("GOOGLETRANSLATE(A20957, ""de"", ""en"")"),"chase")</f>
        <v>chase</v>
      </c>
    </row>
    <row r="20958">
      <c r="A20958" s="1" t="s">
        <v>20957</v>
      </c>
      <c r="B20958" s="2" t="str">
        <f>IFERROR(__xludf.DUMMYFUNCTION("GOOGLETRANSLATE(A20958, ""de"", ""en"")"),"let through")</f>
        <v>let through</v>
      </c>
    </row>
    <row r="20959">
      <c r="A20959" s="1" t="s">
        <v>20958</v>
      </c>
      <c r="B20959" s="2" t="str">
        <f>IFERROR(__xludf.DUMMYFUNCTION("GOOGLETRANSLATE(A20959, ""de"", ""en"")"),"know")</f>
        <v>know</v>
      </c>
    </row>
    <row r="20960">
      <c r="A20960" s="1" t="s">
        <v>20959</v>
      </c>
      <c r="B20960" s="2" t="str">
        <f>IFERROR(__xludf.DUMMYFUNCTION("GOOGLETRANSLATE(A20960, ""de"", ""en"")"),"cotton candy")</f>
        <v>cotton candy</v>
      </c>
    </row>
    <row r="20961">
      <c r="A20961" s="1" t="s">
        <v>20960</v>
      </c>
      <c r="B20961" s="2" t="str">
        <f>IFERROR(__xludf.DUMMYFUNCTION("GOOGLETRANSLATE(A20961, ""de"", ""en"")"),"came back")</f>
        <v>came back</v>
      </c>
    </row>
    <row r="20962">
      <c r="A20962" s="1" t="s">
        <v>20961</v>
      </c>
      <c r="B20962" s="2" t="str">
        <f>IFERROR(__xludf.DUMMYFUNCTION("GOOGLETRANSLATE(A20962, ""de"", ""en"")"),"admits")</f>
        <v>admits</v>
      </c>
    </row>
    <row r="20963">
      <c r="A20963" s="1" t="s">
        <v>20962</v>
      </c>
      <c r="B20963" s="2" t="str">
        <f>IFERROR(__xludf.DUMMYFUNCTION("GOOGLETRANSLATE(A20963, ""de"", ""en"")"),"cao")</f>
        <v>cao</v>
      </c>
    </row>
    <row r="20964">
      <c r="A20964" s="1" t="s">
        <v>20963</v>
      </c>
      <c r="B20964" s="2" t="str">
        <f>IFERROR(__xludf.DUMMYFUNCTION("GOOGLETRANSLATE(A20964, ""de"", ""en"")"),"humble")</f>
        <v>humble</v>
      </c>
    </row>
    <row r="20965">
      <c r="A20965" s="1" t="s">
        <v>20964</v>
      </c>
      <c r="B20965" s="2" t="str">
        <f>IFERROR(__xludf.DUMMYFUNCTION("GOOGLETRANSLATE(A20965, ""de"", ""en"")"),"saw")</f>
        <v>saw</v>
      </c>
    </row>
    <row r="20966">
      <c r="A20966" s="1" t="s">
        <v>20965</v>
      </c>
      <c r="B20966" s="2" t="str">
        <f>IFERROR(__xludf.DUMMYFUNCTION("GOOGLETRANSLATE(A20966, ""de"", ""en"")"),"composer")</f>
        <v>composer</v>
      </c>
    </row>
    <row r="20967">
      <c r="A20967" s="1" t="s">
        <v>20966</v>
      </c>
      <c r="B20967" s="2" t="str">
        <f>IFERROR(__xludf.DUMMYFUNCTION("GOOGLETRANSLATE(A20967, ""de"", ""en"")"),"most famous")</f>
        <v>most famous</v>
      </c>
    </row>
    <row r="20968">
      <c r="A20968" s="1" t="s">
        <v>20967</v>
      </c>
      <c r="B20968" s="2" t="str">
        <f>IFERROR(__xludf.DUMMYFUNCTION("GOOGLETRANSLATE(A20968, ""de"", ""en"")"),"more emotional")</f>
        <v>more emotional</v>
      </c>
    </row>
    <row r="20969">
      <c r="A20969" s="1" t="s">
        <v>20968</v>
      </c>
      <c r="B20969" s="2" t="str">
        <f>IFERROR(__xludf.DUMMYFUNCTION("GOOGLETRANSLATE(A20969, ""de"", ""en"")"),"shake")</f>
        <v>shake</v>
      </c>
    </row>
    <row r="20970">
      <c r="A20970" s="1" t="s">
        <v>20969</v>
      </c>
      <c r="B20970" s="2" t="str">
        <f>IFERROR(__xludf.DUMMYFUNCTION("GOOGLETRANSLATE(A20970, ""de"", ""en"")"),"daedalus")</f>
        <v>daedalus</v>
      </c>
    </row>
    <row r="20971">
      <c r="A20971" s="1" t="s">
        <v>20970</v>
      </c>
      <c r="B20971" s="2" t="str">
        <f>IFERROR(__xludf.DUMMYFUNCTION("GOOGLETRANSLATE(A20971, ""de"", ""en"")"),"snob")</f>
        <v>snob</v>
      </c>
    </row>
    <row r="20972">
      <c r="A20972" s="1" t="s">
        <v>20971</v>
      </c>
      <c r="B20972" s="2" t="str">
        <f>IFERROR(__xludf.DUMMYFUNCTION("GOOGLETRANSLATE(A20972, ""de"", ""en"")"),"tae")</f>
        <v>tae</v>
      </c>
    </row>
    <row r="20973">
      <c r="A20973" s="1" t="s">
        <v>20972</v>
      </c>
      <c r="B20973" s="2" t="str">
        <f>IFERROR(__xludf.DUMMYFUNCTION("GOOGLETRANSLATE(A20973, ""de"", ""en"")"),"came back")</f>
        <v>came back</v>
      </c>
    </row>
    <row r="20974">
      <c r="A20974" s="1" t="s">
        <v>20973</v>
      </c>
      <c r="B20974" s="2" t="str">
        <f>IFERROR(__xludf.DUMMYFUNCTION("GOOGLETRANSLATE(A20974, ""de"", ""en"")"),"Grover")</f>
        <v>Grover</v>
      </c>
    </row>
    <row r="20975">
      <c r="A20975" s="1" t="s">
        <v>20974</v>
      </c>
      <c r="B20975" s="2" t="str">
        <f>IFERROR(__xludf.DUMMYFUNCTION("GOOGLETRANSLATE(A20975, ""de"", ""en"")"),"lifeboat")</f>
        <v>lifeboat</v>
      </c>
    </row>
    <row r="20976">
      <c r="A20976" s="1" t="s">
        <v>20975</v>
      </c>
      <c r="B20976" s="2" t="str">
        <f>IFERROR(__xludf.DUMMYFUNCTION("GOOGLETRANSLATE(A20976, ""de"", ""en"")"),"Levi")</f>
        <v>Levi</v>
      </c>
    </row>
    <row r="20977">
      <c r="A20977" s="1" t="s">
        <v>20976</v>
      </c>
      <c r="B20977" s="2" t="str">
        <f>IFERROR(__xludf.DUMMYFUNCTION("GOOGLETRANSLATE(A20977, ""de"", ""en"")"),"politicians")</f>
        <v>politicians</v>
      </c>
    </row>
    <row r="20978">
      <c r="A20978" s="1" t="s">
        <v>20977</v>
      </c>
      <c r="B20978" s="2" t="str">
        <f>IFERROR(__xludf.DUMMYFUNCTION("GOOGLETRANSLATE(A20978, ""de"", ""en"")"),"splash")</f>
        <v>splash</v>
      </c>
    </row>
    <row r="20979">
      <c r="A20979" s="1" t="s">
        <v>20978</v>
      </c>
      <c r="B20979" s="2" t="str">
        <f>IFERROR(__xludf.DUMMYFUNCTION("GOOGLETRANSLATE(A20979, ""de"", ""en"")"),"upcoming")</f>
        <v>upcoming</v>
      </c>
    </row>
    <row r="20980">
      <c r="A20980" s="1" t="s">
        <v>20979</v>
      </c>
      <c r="B20980" s="2" t="str">
        <f>IFERROR(__xludf.DUMMYFUNCTION("GOOGLETRANSLATE(A20980, ""de"", ""en"")"),"blasphemy")</f>
        <v>blasphemy</v>
      </c>
    </row>
    <row r="20981">
      <c r="A20981" s="1" t="s">
        <v>20980</v>
      </c>
      <c r="B20981" s="2" t="str">
        <f>IFERROR(__xludf.DUMMYFUNCTION("GOOGLETRANSLATE(A20981, ""de"", ""en"")"),"squid")</f>
        <v>squid</v>
      </c>
    </row>
    <row r="20982">
      <c r="A20982" s="1" t="s">
        <v>20981</v>
      </c>
      <c r="B20982" s="2" t="str">
        <f>IFERROR(__xludf.DUMMYFUNCTION("GOOGLETRANSLATE(A20982, ""de"", ""en"")"),"rocket")</f>
        <v>rocket</v>
      </c>
    </row>
    <row r="20983">
      <c r="A20983" s="1" t="s">
        <v>20982</v>
      </c>
      <c r="B20983" s="2" t="str">
        <f>IFERROR(__xludf.DUMMYFUNCTION("GOOGLETRANSLATE(A20983, ""de"", ""en"")"),"not at all")</f>
        <v>not at all</v>
      </c>
    </row>
    <row r="20984">
      <c r="A20984" s="1" t="s">
        <v>20983</v>
      </c>
      <c r="B20984" s="2" t="str">
        <f>IFERROR(__xludf.DUMMYFUNCTION("GOOGLETRANSLATE(A20984, ""de"", ""en"")"),"curtains")</f>
        <v>curtains</v>
      </c>
    </row>
    <row r="20985">
      <c r="A20985" s="1" t="s">
        <v>20984</v>
      </c>
      <c r="B20985" s="2" t="str">
        <f>IFERROR(__xludf.DUMMYFUNCTION("GOOGLETRANSLATE(A20985, ""de"", ""en"")"),"look around")</f>
        <v>look around</v>
      </c>
    </row>
    <row r="20986">
      <c r="A20986" s="1" t="s">
        <v>20985</v>
      </c>
      <c r="B20986" s="2" t="str">
        <f>IFERROR(__xludf.DUMMYFUNCTION("GOOGLETRANSLATE(A20986, ""de"", ""en"")"),"web")</f>
        <v>web</v>
      </c>
    </row>
    <row r="20987">
      <c r="A20987" s="1" t="s">
        <v>20986</v>
      </c>
      <c r="B20987" s="2" t="str">
        <f>IFERROR(__xludf.DUMMYFUNCTION("GOOGLETRANSLATE(A20987, ""de"", ""en"")"),"direction")</f>
        <v>direction</v>
      </c>
    </row>
    <row r="20988">
      <c r="A20988" s="1" t="s">
        <v>20987</v>
      </c>
      <c r="B20988" s="2" t="str">
        <f>IFERROR(__xludf.DUMMYFUNCTION("GOOGLETRANSLATE(A20988, ""de"", ""en"")"),"intimate")</f>
        <v>intimate</v>
      </c>
    </row>
    <row r="20989">
      <c r="A20989" s="1" t="s">
        <v>20988</v>
      </c>
      <c r="B20989" s="2" t="str">
        <f>IFERROR(__xludf.DUMMYFUNCTION("GOOGLETRANSLATE(A20989, ""de"", ""en"")"),"unforgettable")</f>
        <v>unforgettable</v>
      </c>
    </row>
    <row r="20990">
      <c r="A20990" s="1" t="s">
        <v>20989</v>
      </c>
      <c r="B20990" s="2" t="str">
        <f>IFERROR(__xludf.DUMMYFUNCTION("GOOGLETRANSLATE(A20990, ""de"", ""en"")"),"pears")</f>
        <v>pears</v>
      </c>
    </row>
    <row r="20991">
      <c r="A20991" s="1" t="s">
        <v>20990</v>
      </c>
      <c r="B20991" s="2" t="str">
        <f>IFERROR(__xludf.DUMMYFUNCTION("GOOGLETRANSLATE(A20991, ""de"", ""en"")"),"beech")</f>
        <v>beech</v>
      </c>
    </row>
    <row r="20992">
      <c r="A20992" s="1" t="s">
        <v>20991</v>
      </c>
      <c r="B20992" s="2" t="str">
        <f>IFERROR(__xludf.DUMMYFUNCTION("GOOGLETRANSLATE(A20992, ""de"", ""en"")"),"beer")</f>
        <v>beer</v>
      </c>
    </row>
    <row r="20993">
      <c r="A20993" s="1" t="s">
        <v>20992</v>
      </c>
      <c r="B20993" s="2" t="str">
        <f>IFERROR(__xludf.DUMMYFUNCTION("GOOGLETRANSLATE(A20993, ""de"", ""en"")"),"healer")</f>
        <v>healer</v>
      </c>
    </row>
    <row r="20994">
      <c r="A20994" s="1" t="s">
        <v>20993</v>
      </c>
      <c r="B20994" s="2" t="str">
        <f>IFERROR(__xludf.DUMMYFUNCTION("GOOGLETRANSLATE(A20994, ""de"", ""en"")"),"sin")</f>
        <v>sin</v>
      </c>
    </row>
    <row r="20995">
      <c r="A20995" s="1" t="s">
        <v>20994</v>
      </c>
      <c r="B20995" s="2" t="str">
        <f>IFERROR(__xludf.DUMMYFUNCTION("GOOGLETRANSLATE(A20995, ""de"", ""en"")"),"grant")</f>
        <v>grant</v>
      </c>
    </row>
    <row r="20996">
      <c r="A20996" s="1" t="s">
        <v>20995</v>
      </c>
      <c r="B20996" s="2" t="str">
        <f>IFERROR(__xludf.DUMMYFUNCTION("GOOGLETRANSLATE(A20996, ""de"", ""en"")"),"basement")</f>
        <v>basement</v>
      </c>
    </row>
    <row r="20997">
      <c r="A20997" s="1" t="s">
        <v>20996</v>
      </c>
      <c r="B20997" s="2" t="str">
        <f>IFERROR(__xludf.DUMMYFUNCTION("GOOGLETRANSLATE(A20997, ""de"", ""en"")"),"medicine man")</f>
        <v>medicine man</v>
      </c>
    </row>
    <row r="20998">
      <c r="A20998" s="1" t="s">
        <v>20997</v>
      </c>
      <c r="B20998" s="2" t="str">
        <f>IFERROR(__xludf.DUMMYFUNCTION("GOOGLETRANSLATE(A20998, ""de"", ""en"")"),"friends")</f>
        <v>friends</v>
      </c>
    </row>
    <row r="20999">
      <c r="A20999" s="1" t="s">
        <v>20998</v>
      </c>
      <c r="B20999" s="2" t="str">
        <f>IFERROR(__xludf.DUMMYFUNCTION("GOOGLETRANSLATE(A20999, ""de"", ""en"")"),"to talk out")</f>
        <v>to talk out</v>
      </c>
    </row>
    <row r="21000">
      <c r="A21000" s="1" t="s">
        <v>20999</v>
      </c>
      <c r="B21000" s="2" t="str">
        <f>IFERROR(__xludf.DUMMYFUNCTION("GOOGLETRANSLATE(A21000, ""de"", ""en"")"),"buckle")</f>
        <v>buckle</v>
      </c>
    </row>
    <row r="21001">
      <c r="A21001" s="1" t="s">
        <v>21000</v>
      </c>
      <c r="B21001" s="2" t="str">
        <f>IFERROR(__xludf.DUMMYFUNCTION("GOOGLETRANSLATE(A21001, ""de"", ""en"")"),"controlled")</f>
        <v>controlled</v>
      </c>
    </row>
    <row r="21002">
      <c r="A21002" s="1" t="s">
        <v>21001</v>
      </c>
      <c r="B21002" s="2" t="str">
        <f>IFERROR(__xludf.DUMMYFUNCTION("GOOGLETRANSLATE(A21002, ""de"", ""en"")"),"fries")</f>
        <v>fries</v>
      </c>
    </row>
    <row r="21003">
      <c r="A21003" s="1" t="s">
        <v>21002</v>
      </c>
      <c r="B21003" s="2" t="str">
        <f>IFERROR(__xludf.DUMMYFUNCTION("GOOGLETRANSLATE(A21003, ""de"", ""en"")"),"sketches")</f>
        <v>sketches</v>
      </c>
    </row>
    <row r="21004">
      <c r="A21004" s="1" t="s">
        <v>21003</v>
      </c>
      <c r="B21004" s="2" t="str">
        <f>IFERROR(__xludf.DUMMYFUNCTION("GOOGLETRANSLATE(A21004, ""de"", ""en"")"),"jimmy's")</f>
        <v>jimmy's</v>
      </c>
    </row>
    <row r="21005">
      <c r="A21005" s="1" t="s">
        <v>21004</v>
      </c>
      <c r="B21005" s="2" t="str">
        <f>IFERROR(__xludf.DUMMYFUNCTION("GOOGLETRANSLATE(A21005, ""de"", ""en"")"),"skipped")</f>
        <v>skipped</v>
      </c>
    </row>
    <row r="21006">
      <c r="A21006" s="1" t="s">
        <v>21005</v>
      </c>
      <c r="B21006" s="2" t="str">
        <f>IFERROR(__xludf.DUMMYFUNCTION("GOOGLETRANSLATE(A21006, ""de"", ""en"")"),"darn")</f>
        <v>darn</v>
      </c>
    </row>
    <row r="21007">
      <c r="A21007" s="1" t="s">
        <v>21006</v>
      </c>
      <c r="B21007" s="2" t="str">
        <f>IFERROR(__xludf.DUMMYFUNCTION("GOOGLETRANSLATE(A21007, ""de"", ""en"")"),"regent")</f>
        <v>regent</v>
      </c>
    </row>
    <row r="21008">
      <c r="A21008" s="1" t="s">
        <v>21007</v>
      </c>
      <c r="B21008" s="2" t="str">
        <f>IFERROR(__xludf.DUMMYFUNCTION("GOOGLETRANSLATE(A21008, ""de"", ""en"")"),"hadley")</f>
        <v>hadley</v>
      </c>
    </row>
    <row r="21009">
      <c r="A21009" s="1" t="s">
        <v>21008</v>
      </c>
      <c r="B21009" s="2" t="str">
        <f>IFERROR(__xludf.DUMMYFUNCTION("GOOGLETRANSLATE(A21009, ""de"", ""en"")"),"Cartman")</f>
        <v>Cartman</v>
      </c>
    </row>
    <row r="21010">
      <c r="A21010" s="1" t="s">
        <v>21009</v>
      </c>
      <c r="B21010" s="2" t="str">
        <f>IFERROR(__xludf.DUMMYFUNCTION("GOOGLETRANSLATE(A21010, ""de"", ""en"")"),"encrypted")</f>
        <v>encrypted</v>
      </c>
    </row>
    <row r="21011">
      <c r="A21011" s="1" t="s">
        <v>21010</v>
      </c>
      <c r="B21011" s="2" t="str">
        <f>IFERROR(__xludf.DUMMYFUNCTION("GOOGLETRANSLATE(A21011, ""de"", ""en"")"),"darling")</f>
        <v>darling</v>
      </c>
    </row>
    <row r="21012">
      <c r="A21012" s="1" t="s">
        <v>21011</v>
      </c>
      <c r="B21012" s="2" t="str">
        <f>IFERROR(__xludf.DUMMYFUNCTION("GOOGLETRANSLATE(A21012, ""de"", ""en"")"),"django")</f>
        <v>django</v>
      </c>
    </row>
    <row r="21013">
      <c r="A21013" s="1" t="s">
        <v>21012</v>
      </c>
      <c r="B21013" s="2" t="str">
        <f>IFERROR(__xludf.DUMMYFUNCTION("GOOGLETRANSLATE(A21013, ""de"", ""en"")"),"mud")</f>
        <v>mud</v>
      </c>
    </row>
    <row r="21014">
      <c r="A21014" s="1" t="s">
        <v>21013</v>
      </c>
      <c r="B21014" s="2" t="str">
        <f>IFERROR(__xludf.DUMMYFUNCTION("GOOGLETRANSLATE(A21014, ""de"", ""en"")"),"ports")</f>
        <v>ports</v>
      </c>
    </row>
    <row r="21015">
      <c r="A21015" s="1" t="s">
        <v>21014</v>
      </c>
      <c r="B21015" s="2" t="str">
        <f>IFERROR(__xludf.DUMMYFUNCTION("GOOGLETRANSLATE(A21015, ""de"", ""en"")"),"locomotive")</f>
        <v>locomotive</v>
      </c>
    </row>
    <row r="21016">
      <c r="A21016" s="1" t="s">
        <v>21015</v>
      </c>
      <c r="B21016" s="2" t="str">
        <f>IFERROR(__xludf.DUMMYFUNCTION("GOOGLETRANSLATE(A21016, ""de"", ""en"")"),"happy")</f>
        <v>happy</v>
      </c>
    </row>
    <row r="21017">
      <c r="A21017" s="1" t="s">
        <v>21016</v>
      </c>
      <c r="B21017" s="2" t="str">
        <f>IFERROR(__xludf.DUMMYFUNCTION("GOOGLETRANSLATE(A21017, ""de"", ""en"")"),"experienced")</f>
        <v>experienced</v>
      </c>
    </row>
    <row r="21018">
      <c r="A21018" s="1" t="s">
        <v>21017</v>
      </c>
      <c r="B21018" s="2" t="str">
        <f>IFERROR(__xludf.DUMMYFUNCTION("GOOGLETRANSLATE(A21018, ""de"", ""en"")"),"singles")</f>
        <v>singles</v>
      </c>
    </row>
    <row r="21019">
      <c r="A21019" s="1" t="s">
        <v>21018</v>
      </c>
      <c r="B21019" s="2" t="str">
        <f>IFERROR(__xludf.DUMMYFUNCTION("GOOGLETRANSLATE(A21019, ""de"", ""en"")"),"temporary")</f>
        <v>temporary</v>
      </c>
    </row>
    <row r="21020">
      <c r="A21020" s="1" t="s">
        <v>21019</v>
      </c>
      <c r="B21020" s="2" t="str">
        <f>IFERROR(__xludf.DUMMYFUNCTION("GOOGLETRANSLATE(A21020, ""de"", ""en"")"),"structures")</f>
        <v>structures</v>
      </c>
    </row>
    <row r="21021">
      <c r="A21021" s="1" t="s">
        <v>21020</v>
      </c>
      <c r="B21021" s="2" t="str">
        <f>IFERROR(__xludf.DUMMYFUNCTION("GOOGLETRANSLATE(A21021, ""de"", ""en"")"),"Zen")</f>
        <v>Zen</v>
      </c>
    </row>
    <row r="21022">
      <c r="A21022" s="1" t="s">
        <v>21021</v>
      </c>
      <c r="B21022" s="2" t="str">
        <f>IFERROR(__xludf.DUMMYFUNCTION("GOOGLETRANSLATE(A21022, ""de"", ""en"")"),"hybrid")</f>
        <v>hybrid</v>
      </c>
    </row>
    <row r="21023">
      <c r="A21023" s="1" t="s">
        <v>21022</v>
      </c>
      <c r="B21023" s="2" t="str">
        <f>IFERROR(__xludf.DUMMYFUNCTION("GOOGLETRANSLATE(A21023, ""de"", ""en"")"),"jumped")</f>
        <v>jumped</v>
      </c>
    </row>
    <row r="21024">
      <c r="A21024" s="1" t="s">
        <v>21023</v>
      </c>
      <c r="B21024" s="2" t="str">
        <f>IFERROR(__xludf.DUMMYFUNCTION("GOOGLETRANSLATE(A21024, ""de"", ""en"")"),"voss")</f>
        <v>voss</v>
      </c>
    </row>
    <row r="21025">
      <c r="A21025" s="1" t="s">
        <v>21024</v>
      </c>
      <c r="B21025" s="2" t="str">
        <f>IFERROR(__xludf.DUMMYFUNCTION("GOOGLETRANSLATE(A21025, ""de"", ""en"")"),"format")</f>
        <v>format</v>
      </c>
    </row>
    <row r="21026">
      <c r="A21026" s="1" t="s">
        <v>21025</v>
      </c>
      <c r="B21026" s="2" t="str">
        <f>IFERROR(__xludf.DUMMYFUNCTION("GOOGLETRANSLATE(A21026, ""de"", ""en"")"),"emmet")</f>
        <v>emmet</v>
      </c>
    </row>
    <row r="21027">
      <c r="A21027" s="1" t="s">
        <v>21026</v>
      </c>
      <c r="B21027" s="2" t="str">
        <f>IFERROR(__xludf.DUMMYFUNCTION("GOOGLETRANSLATE(A21027, ""de"", ""en"")"),"pick up")</f>
        <v>pick up</v>
      </c>
    </row>
    <row r="21028">
      <c r="A21028" s="1" t="s">
        <v>21027</v>
      </c>
      <c r="B21028" s="2" t="str">
        <f>IFERROR(__xludf.DUMMYFUNCTION("GOOGLETRANSLATE(A21028, ""de"", ""en"")"),"dull")</f>
        <v>dull</v>
      </c>
    </row>
    <row r="21029">
      <c r="A21029" s="1" t="s">
        <v>21028</v>
      </c>
      <c r="B21029" s="2" t="str">
        <f>IFERROR(__xludf.DUMMYFUNCTION("GOOGLETRANSLATE(A21029, ""de"", ""en"")"),"floors")</f>
        <v>floors</v>
      </c>
    </row>
    <row r="21030">
      <c r="A21030" s="1" t="s">
        <v>21029</v>
      </c>
      <c r="B21030" s="2" t="str">
        <f>IFERROR(__xludf.DUMMYFUNCTION("GOOGLETRANSLATE(A21030, ""de"", ""en"")"),"most popular")</f>
        <v>most popular</v>
      </c>
    </row>
    <row r="21031">
      <c r="A21031" s="1" t="s">
        <v>21030</v>
      </c>
      <c r="B21031" s="2" t="str">
        <f>IFERROR(__xludf.DUMMYFUNCTION("GOOGLETRANSLATE(A21031, ""de"", ""en"")"),"central")</f>
        <v>central</v>
      </c>
    </row>
    <row r="21032">
      <c r="A21032" s="1" t="s">
        <v>21031</v>
      </c>
      <c r="B21032" s="2" t="str">
        <f>IFERROR(__xludf.DUMMYFUNCTION("GOOGLETRANSLATE(A21032, ""de"", ""en"")"),"petition")</f>
        <v>petition</v>
      </c>
    </row>
    <row r="21033">
      <c r="A21033" s="1" t="s">
        <v>21032</v>
      </c>
      <c r="B21033" s="2" t="str">
        <f>IFERROR(__xludf.DUMMYFUNCTION("GOOGLETRANSLATE(A21033, ""de"", ""en"")"),"Silvio")</f>
        <v>Silvio</v>
      </c>
    </row>
    <row r="21034">
      <c r="A21034" s="1" t="s">
        <v>21033</v>
      </c>
      <c r="B21034" s="2" t="str">
        <f>IFERROR(__xludf.DUMMYFUNCTION("GOOGLETRANSLATE(A21034, ""de"", ""en"")"),"pure")</f>
        <v>pure</v>
      </c>
    </row>
    <row r="21035">
      <c r="A21035" s="1" t="s">
        <v>21034</v>
      </c>
      <c r="B21035" s="2" t="str">
        <f>IFERROR(__xludf.DUMMYFUNCTION("GOOGLETRANSLATE(A21035, ""de"", ""en"")"),"said")</f>
        <v>said</v>
      </c>
    </row>
    <row r="21036">
      <c r="A21036" s="1" t="s">
        <v>21035</v>
      </c>
      <c r="B21036" s="2" t="str">
        <f>IFERROR(__xludf.DUMMYFUNCTION("GOOGLETRANSLATE(A21036, ""de"", ""en"")"),"commissioned")</f>
        <v>commissioned</v>
      </c>
    </row>
    <row r="21037">
      <c r="A21037" s="1" t="s">
        <v>21036</v>
      </c>
      <c r="B21037" s="2" t="str">
        <f>IFERROR(__xludf.DUMMYFUNCTION("GOOGLETRANSLATE(A21037, ""de"", ""en"")"),"monitor")</f>
        <v>monitor</v>
      </c>
    </row>
    <row r="21038">
      <c r="A21038" s="1" t="s">
        <v>21037</v>
      </c>
      <c r="B21038" s="2" t="str">
        <f>IFERROR(__xludf.DUMMYFUNCTION("GOOGLETRANSLATE(A21038, ""de"", ""en"")"),"choose")</f>
        <v>choose</v>
      </c>
    </row>
    <row r="21039">
      <c r="A21039" s="1" t="s">
        <v>21038</v>
      </c>
      <c r="B21039" s="2" t="str">
        <f>IFERROR(__xludf.DUMMYFUNCTION("GOOGLETRANSLATE(A21039, ""de"", ""en"")"),"Leipzig")</f>
        <v>Leipzig</v>
      </c>
    </row>
    <row r="21040">
      <c r="A21040" s="1" t="s">
        <v>21039</v>
      </c>
      <c r="B21040" s="2" t="str">
        <f>IFERROR(__xludf.DUMMYFUNCTION("GOOGLETRANSLATE(A21040, ""de"", ""en"")"),"lifetimes")</f>
        <v>lifetimes</v>
      </c>
    </row>
    <row r="21041">
      <c r="A21041" s="1" t="s">
        <v>21040</v>
      </c>
      <c r="B21041" s="2" t="str">
        <f>IFERROR(__xludf.DUMMYFUNCTION("GOOGLETRANSLATE(A21041, ""de"", ""en"")"),"Danube")</f>
        <v>Danube</v>
      </c>
    </row>
    <row r="21042">
      <c r="A21042" s="1" t="s">
        <v>21041</v>
      </c>
      <c r="B21042" s="2" t="str">
        <f>IFERROR(__xludf.DUMMYFUNCTION("GOOGLETRANSLATE(A21042, ""de"", ""en"")"),"interviewed")</f>
        <v>interviewed</v>
      </c>
    </row>
    <row r="21043">
      <c r="A21043" s="1" t="s">
        <v>21042</v>
      </c>
      <c r="B21043" s="2" t="str">
        <f>IFERROR(__xludf.DUMMYFUNCTION("GOOGLETRANSLATE(A21043, ""de"", ""en"")"),"nipples")</f>
        <v>nipples</v>
      </c>
    </row>
    <row r="21044">
      <c r="A21044" s="1" t="s">
        <v>21043</v>
      </c>
      <c r="B21044" s="2" t="str">
        <f>IFERROR(__xludf.DUMMYFUNCTION("GOOGLETRANSLATE(A21044, ""de"", ""en"")"),"security cameras")</f>
        <v>security cameras</v>
      </c>
    </row>
    <row r="21045">
      <c r="A21045" s="1" t="s">
        <v>21044</v>
      </c>
      <c r="B21045" s="2" t="str">
        <f>IFERROR(__xludf.DUMMYFUNCTION("GOOGLETRANSLATE(A21045, ""de"", ""en"")"),"separate")</f>
        <v>separate</v>
      </c>
    </row>
    <row r="21046">
      <c r="A21046" s="1" t="s">
        <v>21045</v>
      </c>
      <c r="B21046" s="2" t="str">
        <f>IFERROR(__xludf.DUMMYFUNCTION("GOOGLETRANSLATE(A21046, ""de"", ""en"")"),"chevalier")</f>
        <v>chevalier</v>
      </c>
    </row>
    <row r="21047">
      <c r="A21047" s="1" t="s">
        <v>21046</v>
      </c>
      <c r="B21047" s="2" t="str">
        <f>IFERROR(__xludf.DUMMYFUNCTION("GOOGLETRANSLATE(A21047, ""de"", ""en"")"),"frustration")</f>
        <v>frustration</v>
      </c>
    </row>
    <row r="21048">
      <c r="A21048" s="1" t="s">
        <v>21047</v>
      </c>
      <c r="B21048" s="2" t="str">
        <f>IFERROR(__xludf.DUMMYFUNCTION("GOOGLETRANSLATE(A21048, ""de"", ""en"")"),"sound")</f>
        <v>sound</v>
      </c>
    </row>
    <row r="21049">
      <c r="A21049" s="1" t="s">
        <v>21048</v>
      </c>
      <c r="B21049" s="2" t="str">
        <f>IFERROR(__xludf.DUMMYFUNCTION("GOOGLETRANSLATE(A21049, ""de"", ""en"")"),"die")</f>
        <v>die</v>
      </c>
    </row>
    <row r="21050">
      <c r="A21050" s="1" t="s">
        <v>21049</v>
      </c>
      <c r="B21050" s="2" t="str">
        <f>IFERROR(__xludf.DUMMYFUNCTION("GOOGLETRANSLATE(A21050, ""de"", ""en"")"),"climbed")</f>
        <v>climbed</v>
      </c>
    </row>
    <row r="21051">
      <c r="A21051" s="1" t="s">
        <v>21050</v>
      </c>
      <c r="B21051" s="2" t="str">
        <f>IFERROR(__xludf.DUMMYFUNCTION("GOOGLETRANSLATE(A21051, ""de"", ""en"")"),"camillo")</f>
        <v>camillo</v>
      </c>
    </row>
    <row r="21052">
      <c r="A21052" s="1" t="s">
        <v>21051</v>
      </c>
      <c r="B21052" s="2" t="str">
        <f>IFERROR(__xludf.DUMMYFUNCTION("GOOGLETRANSLATE(A21052, ""de"", ""en"")"),"sip")</f>
        <v>sip</v>
      </c>
    </row>
    <row r="21053">
      <c r="A21053" s="1" t="s">
        <v>21052</v>
      </c>
      <c r="B21053" s="2" t="str">
        <f>IFERROR(__xludf.DUMMYFUNCTION("GOOGLETRANSLATE(A21053, ""de"", ""en"")"),"fly away")</f>
        <v>fly away</v>
      </c>
    </row>
    <row r="21054">
      <c r="A21054" s="1" t="s">
        <v>21053</v>
      </c>
      <c r="B21054" s="2" t="str">
        <f>IFERROR(__xludf.DUMMYFUNCTION("GOOGLETRANSLATE(A21054, ""de"", ""en"")"),"Hansel")</f>
        <v>Hansel</v>
      </c>
    </row>
    <row r="21055">
      <c r="A21055" s="1" t="s">
        <v>21054</v>
      </c>
      <c r="B21055" s="2" t="str">
        <f>IFERROR(__xludf.DUMMYFUNCTION("GOOGLETRANSLATE(A21055, ""de"", ""en"")"),"radicals")</f>
        <v>radicals</v>
      </c>
    </row>
    <row r="21056">
      <c r="A21056" s="1" t="s">
        <v>21055</v>
      </c>
      <c r="B21056" s="2" t="str">
        <f>IFERROR(__xludf.DUMMYFUNCTION("GOOGLETRANSLATE(A21056, ""de"", ""en"")"),"honey")</f>
        <v>honey</v>
      </c>
    </row>
    <row r="21057">
      <c r="A21057" s="1" t="s">
        <v>21056</v>
      </c>
      <c r="B21057" s="2" t="str">
        <f>IFERROR(__xludf.DUMMYFUNCTION("GOOGLETRANSLATE(A21057, ""de"", ""en"")"),"two")</f>
        <v>two</v>
      </c>
    </row>
    <row r="21058">
      <c r="A21058" s="1" t="s">
        <v>21057</v>
      </c>
      <c r="B21058" s="2" t="str">
        <f>IFERROR(__xludf.DUMMYFUNCTION("GOOGLETRANSLATE(A21058, ""de"", ""en"")"),"benny")</f>
        <v>benny</v>
      </c>
    </row>
    <row r="21059">
      <c r="A21059" s="1" t="s">
        <v>21058</v>
      </c>
      <c r="B21059" s="2" t="str">
        <f>IFERROR(__xludf.DUMMYFUNCTION("GOOGLETRANSLATE(A21059, ""de"", ""en"")"),"ric")</f>
        <v>ric</v>
      </c>
    </row>
    <row r="21060">
      <c r="A21060" s="1" t="s">
        <v>21059</v>
      </c>
      <c r="B21060" s="2" t="str">
        <f>IFERROR(__xludf.DUMMYFUNCTION("GOOGLETRANSLATE(A21060, ""de"", ""en"")"),"future")</f>
        <v>future</v>
      </c>
    </row>
    <row r="21061">
      <c r="A21061" s="1" t="s">
        <v>21060</v>
      </c>
      <c r="B21061" s="2" t="str">
        <f>IFERROR(__xludf.DUMMYFUNCTION("GOOGLETRANSLATE(A21061, ""de"", ""en"")"),"more appropriate")</f>
        <v>more appropriate</v>
      </c>
    </row>
    <row r="21062">
      <c r="A21062" s="1" t="s">
        <v>21061</v>
      </c>
      <c r="B21062" s="2" t="str">
        <f>IFERROR(__xludf.DUMMYFUNCTION("GOOGLETRANSLATE(A21062, ""de"", ""en"")"),"shuttles")</f>
        <v>shuttles</v>
      </c>
    </row>
    <row r="21063">
      <c r="A21063" s="1" t="s">
        <v>21062</v>
      </c>
      <c r="B21063" s="2" t="str">
        <f>IFERROR(__xludf.DUMMYFUNCTION("GOOGLETRANSLATE(A21063, ""de"", ""en"")"),"same")</f>
        <v>same</v>
      </c>
    </row>
    <row r="21064">
      <c r="A21064" s="1" t="s">
        <v>21063</v>
      </c>
      <c r="B21064" s="2" t="str">
        <f>IFERROR(__xludf.DUMMYFUNCTION("GOOGLETRANSLATE(A21064, ""de"", ""en"")"),"Parsons")</f>
        <v>Parsons</v>
      </c>
    </row>
    <row r="21065">
      <c r="A21065" s="1" t="s">
        <v>21064</v>
      </c>
      <c r="B21065" s="2" t="str">
        <f>IFERROR(__xludf.DUMMYFUNCTION("GOOGLETRANSLATE(A21065, ""de"", ""en"")"),"entertainment")</f>
        <v>entertainment</v>
      </c>
    </row>
    <row r="21066">
      <c r="A21066" s="1" t="s">
        <v>21065</v>
      </c>
      <c r="B21066" s="2" t="str">
        <f>IFERROR(__xludf.DUMMYFUNCTION("GOOGLETRANSLATE(A21066, ""de"", ""en"")"),"spread")</f>
        <v>spread</v>
      </c>
    </row>
    <row r="21067">
      <c r="A21067" s="1" t="s">
        <v>21066</v>
      </c>
      <c r="B21067" s="2" t="str">
        <f>IFERROR(__xludf.DUMMYFUNCTION("GOOGLETRANSLATE(A21067, ""de"", ""en"")"),"nickel")</f>
        <v>nickel</v>
      </c>
    </row>
    <row r="21068">
      <c r="A21068" s="1" t="s">
        <v>21067</v>
      </c>
      <c r="B21068" s="2" t="str">
        <f>IFERROR(__xludf.DUMMYFUNCTION("GOOGLETRANSLATE(A21068, ""de"", ""en"")"),"demonstrated")</f>
        <v>demonstrated</v>
      </c>
    </row>
    <row r="21069">
      <c r="A21069" s="1" t="s">
        <v>21068</v>
      </c>
      <c r="B21069" s="2" t="str">
        <f>IFERROR(__xludf.DUMMYFUNCTION("GOOGLETRANSLATE(A21069, ""de"", ""en"")"),"delegation")</f>
        <v>delegation</v>
      </c>
    </row>
    <row r="21070">
      <c r="A21070" s="1" t="s">
        <v>21069</v>
      </c>
      <c r="B21070" s="2" t="str">
        <f>IFERROR(__xludf.DUMMYFUNCTION("GOOGLETRANSLATE(A21070, ""de"", ""en"")"),"ongoing")</f>
        <v>ongoing</v>
      </c>
    </row>
    <row r="21071">
      <c r="A21071" s="1" t="s">
        <v>21070</v>
      </c>
      <c r="B21071" s="2" t="str">
        <f>IFERROR(__xludf.DUMMYFUNCTION("GOOGLETRANSLATE(A21071, ""de"", ""en"")"),"ignorance")</f>
        <v>ignorance</v>
      </c>
    </row>
    <row r="21072">
      <c r="A21072" s="1" t="s">
        <v>21071</v>
      </c>
      <c r="B21072" s="2" t="str">
        <f>IFERROR(__xludf.DUMMYFUNCTION("GOOGLETRANSLATE(A21072, ""de"", ""en"")"),"Christmas")</f>
        <v>Christmas</v>
      </c>
    </row>
    <row r="21073">
      <c r="A21073" s="1" t="s">
        <v>21072</v>
      </c>
      <c r="B21073" s="2" t="str">
        <f>IFERROR(__xludf.DUMMYFUNCTION("GOOGLETRANSLATE(A21073, ""de"", ""en"")"),"eloise")</f>
        <v>eloise</v>
      </c>
    </row>
    <row r="21074">
      <c r="A21074" s="1" t="s">
        <v>21073</v>
      </c>
      <c r="B21074" s="2" t="str">
        <f>IFERROR(__xludf.DUMMYFUNCTION("GOOGLETRANSLATE(A21074, ""de"", ""en"")"),"tired")</f>
        <v>tired</v>
      </c>
    </row>
    <row r="21075">
      <c r="A21075" s="1" t="s">
        <v>21074</v>
      </c>
      <c r="B21075" s="2" t="str">
        <f>IFERROR(__xludf.DUMMYFUNCTION("GOOGLETRANSLATE(A21075, ""de"", ""en"")"),"Rizzo")</f>
        <v>Rizzo</v>
      </c>
    </row>
    <row r="21076">
      <c r="A21076" s="1" t="s">
        <v>21075</v>
      </c>
      <c r="B21076" s="2" t="str">
        <f>IFERROR(__xludf.DUMMYFUNCTION("GOOGLETRANSLATE(A21076, ""de"", ""en"")"),"patron")</f>
        <v>patron</v>
      </c>
    </row>
    <row r="21077">
      <c r="A21077" s="1" t="s">
        <v>21076</v>
      </c>
      <c r="B21077" s="2" t="str">
        <f>IFERROR(__xludf.DUMMYFUNCTION("GOOGLETRANSLATE(A21077, ""de"", ""en"")"),"trademark")</f>
        <v>trademark</v>
      </c>
    </row>
    <row r="21078">
      <c r="A21078" s="1" t="s">
        <v>21077</v>
      </c>
      <c r="B21078" s="2" t="str">
        <f>IFERROR(__xludf.DUMMYFUNCTION("GOOGLETRANSLATE(A21078, ""de"", ""en"")"),"repeated")</f>
        <v>repeated</v>
      </c>
    </row>
    <row r="21079">
      <c r="A21079" s="1" t="s">
        <v>21078</v>
      </c>
      <c r="B21079" s="2" t="str">
        <f>IFERROR(__xludf.DUMMYFUNCTION("GOOGLETRANSLATE(A21079, ""de"", ""en"")"),"please")</f>
        <v>please</v>
      </c>
    </row>
    <row r="21080">
      <c r="A21080" s="1" t="s">
        <v>21079</v>
      </c>
      <c r="B21080" s="2" t="str">
        <f>IFERROR(__xludf.DUMMYFUNCTION("GOOGLETRANSLATE(A21080, ""de"", ""en"")"),"while")</f>
        <v>while</v>
      </c>
    </row>
    <row r="21081">
      <c r="A21081" s="1" t="s">
        <v>21080</v>
      </c>
      <c r="B21081" s="2" t="str">
        <f>IFERROR(__xludf.DUMMYFUNCTION("GOOGLETRANSLATE(A21081, ""de"", ""en"")"),"sentry")</f>
        <v>sentry</v>
      </c>
    </row>
    <row r="21082">
      <c r="A21082" s="1" t="s">
        <v>21081</v>
      </c>
      <c r="B21082" s="2" t="str">
        <f>IFERROR(__xludf.DUMMYFUNCTION("GOOGLETRANSLATE(A21082, ""de"", ""en"")"),"special unit")</f>
        <v>special unit</v>
      </c>
    </row>
    <row r="21083">
      <c r="A21083" s="1" t="s">
        <v>21082</v>
      </c>
      <c r="B21083" s="2" t="str">
        <f>IFERROR(__xludf.DUMMYFUNCTION("GOOGLETRANSLATE(A21083, ""de"", ""en"")"),"linger")</f>
        <v>linger</v>
      </c>
    </row>
    <row r="21084">
      <c r="A21084" s="1" t="s">
        <v>21083</v>
      </c>
      <c r="B21084" s="2" t="str">
        <f>IFERROR(__xludf.DUMMYFUNCTION("GOOGLETRANSLATE(A21084, ""de"", ""en"")"),"mute")</f>
        <v>mute</v>
      </c>
    </row>
    <row r="21085">
      <c r="A21085" s="1" t="s">
        <v>21084</v>
      </c>
      <c r="B21085" s="2" t="str">
        <f>IFERROR(__xludf.DUMMYFUNCTION("GOOGLETRANSLATE(A21085, ""de"", ""en"")"),"portions")</f>
        <v>portions</v>
      </c>
    </row>
    <row r="21086">
      <c r="A21086" s="1" t="s">
        <v>21085</v>
      </c>
      <c r="B21086" s="2" t="str">
        <f>IFERROR(__xludf.DUMMYFUNCTION("GOOGLETRANSLATE(A21086, ""de"", ""en"")"),"renovation")</f>
        <v>renovation</v>
      </c>
    </row>
    <row r="21087">
      <c r="A21087" s="1" t="s">
        <v>21086</v>
      </c>
      <c r="B21087" s="2" t="str">
        <f>IFERROR(__xludf.DUMMYFUNCTION("GOOGLETRANSLATE(A21087, ""de"", ""en"")"),"motivate")</f>
        <v>motivate</v>
      </c>
    </row>
    <row r="21088">
      <c r="A21088" s="1" t="s">
        <v>21087</v>
      </c>
      <c r="B21088" s="2" t="str">
        <f>IFERROR(__xludf.DUMMYFUNCTION("GOOGLETRANSLATE(A21088, ""de"", ""en"")"),"imposed")</f>
        <v>imposed</v>
      </c>
    </row>
    <row r="21089">
      <c r="A21089" s="1" t="s">
        <v>21088</v>
      </c>
      <c r="B21089" s="2" t="str">
        <f>IFERROR(__xludf.DUMMYFUNCTION("GOOGLETRANSLATE(A21089, ""de"", ""en"")"),"Kirsten")</f>
        <v>Kirsten</v>
      </c>
    </row>
    <row r="21090">
      <c r="A21090" s="1" t="s">
        <v>21089</v>
      </c>
      <c r="B21090" s="2" t="str">
        <f>IFERROR(__xludf.DUMMYFUNCTION("GOOGLETRANSLATE(A21090, ""de"", ""en"")"),"heartburn")</f>
        <v>heartburn</v>
      </c>
    </row>
    <row r="21091">
      <c r="A21091" s="1" t="s">
        <v>21090</v>
      </c>
      <c r="B21091" s="2" t="str">
        <f>IFERROR(__xludf.DUMMYFUNCTION("GOOGLETRANSLATE(A21091, ""de"", ""en"")"),"request")</f>
        <v>request</v>
      </c>
    </row>
    <row r="21092">
      <c r="A21092" s="1" t="s">
        <v>21091</v>
      </c>
      <c r="B21092" s="2" t="str">
        <f>IFERROR(__xludf.DUMMYFUNCTION("GOOGLETRANSLATE(A21092, ""de"", ""en"")"),"bliss")</f>
        <v>bliss</v>
      </c>
    </row>
    <row r="21093">
      <c r="A21093" s="1" t="s">
        <v>21092</v>
      </c>
      <c r="B21093" s="2" t="str">
        <f>IFERROR(__xludf.DUMMYFUNCTION("GOOGLETRANSLATE(A21093, ""de"", ""en"")"),"derrick")</f>
        <v>derrick</v>
      </c>
    </row>
    <row r="21094">
      <c r="A21094" s="1" t="s">
        <v>21093</v>
      </c>
      <c r="B21094" s="2" t="str">
        <f>IFERROR(__xludf.DUMMYFUNCTION("GOOGLETRANSLATE(A21094, ""de"", ""en"")"),"balance")</f>
        <v>balance</v>
      </c>
    </row>
    <row r="21095">
      <c r="A21095" s="1" t="s">
        <v>21094</v>
      </c>
      <c r="B21095" s="2" t="str">
        <f>IFERROR(__xludf.DUMMYFUNCTION("GOOGLETRANSLATE(A21095, ""de"", ""en"")"),"kill")</f>
        <v>kill</v>
      </c>
    </row>
    <row r="21096">
      <c r="A21096" s="1" t="s">
        <v>21095</v>
      </c>
      <c r="B21096" s="2" t="str">
        <f>IFERROR(__xludf.DUMMYFUNCTION("GOOGLETRANSLATE(A21096, ""de"", ""en"")"),"beat")</f>
        <v>beat</v>
      </c>
    </row>
    <row r="21097">
      <c r="A21097" s="1" t="s">
        <v>21096</v>
      </c>
      <c r="B21097" s="2" t="str">
        <f>IFERROR(__xludf.DUMMYFUNCTION("GOOGLETRANSLATE(A21097, ""de"", ""en"")"),"Bobbi")</f>
        <v>Bobbi</v>
      </c>
    </row>
    <row r="21098">
      <c r="A21098" s="1" t="s">
        <v>21097</v>
      </c>
      <c r="B21098" s="2" t="str">
        <f>IFERROR(__xludf.DUMMYFUNCTION("GOOGLETRANSLATE(A21098, ""de"", ""en"")"),"usher")</f>
        <v>usher</v>
      </c>
    </row>
    <row r="21099">
      <c r="A21099" s="1" t="s">
        <v>21098</v>
      </c>
      <c r="B21099" s="2" t="str">
        <f>IFERROR(__xludf.DUMMYFUNCTION("GOOGLETRANSLATE(A21099, ""de"", ""en"")"),"deepest")</f>
        <v>deepest</v>
      </c>
    </row>
    <row r="21100">
      <c r="A21100" s="1" t="s">
        <v>21099</v>
      </c>
      <c r="B21100" s="2" t="str">
        <f>IFERROR(__xludf.DUMMYFUNCTION("GOOGLETRANSLATE(A21100, ""de"", ""en"")"),"difficult")</f>
        <v>difficult</v>
      </c>
    </row>
    <row r="21101">
      <c r="A21101" s="1" t="s">
        <v>21100</v>
      </c>
      <c r="B21101" s="2" t="str">
        <f>IFERROR(__xludf.DUMMYFUNCTION("GOOGLETRANSLATE(A21101, ""de"", ""en"")"),"rin")</f>
        <v>rin</v>
      </c>
    </row>
    <row r="21102">
      <c r="A21102" s="1" t="s">
        <v>21101</v>
      </c>
      <c r="B21102" s="2" t="str">
        <f>IFERROR(__xludf.DUMMYFUNCTION("GOOGLETRANSLATE(A21102, ""de"", ""en"")"),"Claes")</f>
        <v>Claes</v>
      </c>
    </row>
    <row r="21103">
      <c r="A21103" s="1" t="s">
        <v>21102</v>
      </c>
      <c r="B21103" s="2" t="str">
        <f>IFERROR(__xludf.DUMMYFUNCTION("GOOGLETRANSLATE(A21103, ""de"", ""en"")"),"crawled")</f>
        <v>crawled</v>
      </c>
    </row>
    <row r="21104">
      <c r="A21104" s="1" t="s">
        <v>21103</v>
      </c>
      <c r="B21104" s="2" t="str">
        <f>IFERROR(__xludf.DUMMYFUNCTION("GOOGLETRANSLATE(A21104, ""de"", ""en"")"),"feared")</f>
        <v>feared</v>
      </c>
    </row>
    <row r="21105">
      <c r="A21105" s="1" t="s">
        <v>21104</v>
      </c>
      <c r="B21105" s="2" t="str">
        <f>IFERROR(__xludf.DUMMYFUNCTION("GOOGLETRANSLATE(A21105, ""de"", ""en"")"),"ki")</f>
        <v>ki</v>
      </c>
    </row>
    <row r="21106">
      <c r="A21106" s="1" t="s">
        <v>21105</v>
      </c>
      <c r="B21106" s="2" t="str">
        <f>IFERROR(__xludf.DUMMYFUNCTION("GOOGLETRANSLATE(A21106, ""de"", ""en"")"),"module")</f>
        <v>module</v>
      </c>
    </row>
    <row r="21107">
      <c r="A21107" s="1" t="s">
        <v>21106</v>
      </c>
      <c r="B21107" s="2" t="str">
        <f>IFERROR(__xludf.DUMMYFUNCTION("GOOGLETRANSLATE(A21107, ""de"", ""en"")"),"crest")</f>
        <v>crest</v>
      </c>
    </row>
    <row r="21108">
      <c r="A21108" s="1" t="s">
        <v>21107</v>
      </c>
      <c r="B21108" s="2" t="str">
        <f>IFERROR(__xludf.DUMMYFUNCTION("GOOGLETRANSLATE(A21108, ""de"", ""en"")"),"speed of light")</f>
        <v>speed of light</v>
      </c>
    </row>
    <row r="21109">
      <c r="A21109" s="1" t="s">
        <v>21108</v>
      </c>
      <c r="B21109" s="2" t="str">
        <f>IFERROR(__xludf.DUMMYFUNCTION("GOOGLETRANSLATE(A21109, ""de"", ""en"")"),"district")</f>
        <v>district</v>
      </c>
    </row>
    <row r="21110">
      <c r="A21110" s="1" t="s">
        <v>21109</v>
      </c>
      <c r="B21110" s="2" t="str">
        <f>IFERROR(__xludf.DUMMYFUNCTION("GOOGLETRANSLATE(A21110, ""de"", ""en"")"),"married")</f>
        <v>married</v>
      </c>
    </row>
    <row r="21111">
      <c r="A21111" s="1" t="s">
        <v>21110</v>
      </c>
      <c r="B21111" s="2" t="str">
        <f>IFERROR(__xludf.DUMMYFUNCTION("GOOGLETRANSLATE(A21111, ""de"", ""en"")"),"chilton")</f>
        <v>chilton</v>
      </c>
    </row>
    <row r="21112">
      <c r="A21112" s="1" t="s">
        <v>21111</v>
      </c>
      <c r="B21112" s="2" t="str">
        <f>IFERROR(__xludf.DUMMYFUNCTION("GOOGLETRANSLATE(A21112, ""de"", ""en"")"),"oak")</f>
        <v>oak</v>
      </c>
    </row>
    <row r="21113">
      <c r="A21113" s="1" t="s">
        <v>21112</v>
      </c>
      <c r="B21113" s="2" t="str">
        <f>IFERROR(__xludf.DUMMYFUNCTION("GOOGLETRANSLATE(A21113, ""de"", ""en"")"),"cocky")</f>
        <v>cocky</v>
      </c>
    </row>
    <row r="21114">
      <c r="A21114" s="1" t="s">
        <v>21113</v>
      </c>
      <c r="B21114" s="2" t="str">
        <f>IFERROR(__xludf.DUMMYFUNCTION("GOOGLETRANSLATE(A21114, ""de"", ""en"")"),"tofu")</f>
        <v>tofu</v>
      </c>
    </row>
    <row r="21115">
      <c r="A21115" s="1" t="s">
        <v>21114</v>
      </c>
      <c r="B21115" s="2" t="str">
        <f>IFERROR(__xludf.DUMMYFUNCTION("GOOGLETRANSLATE(A21115, ""de"", ""en"")"),"to address")</f>
        <v>to address</v>
      </c>
    </row>
    <row r="21116">
      <c r="A21116" s="1" t="s">
        <v>21115</v>
      </c>
      <c r="B21116" s="2" t="str">
        <f>IFERROR(__xludf.DUMMYFUNCTION("GOOGLETRANSLATE(A21116, ""de"", ""en"")"),"neutral ones")</f>
        <v>neutral ones</v>
      </c>
    </row>
    <row r="21117">
      <c r="A21117" s="1" t="s">
        <v>21116</v>
      </c>
      <c r="B21117" s="2" t="str">
        <f>IFERROR(__xludf.DUMMYFUNCTION("GOOGLETRANSLATE(A21117, ""de"", ""en"")"),"crybaby")</f>
        <v>crybaby</v>
      </c>
    </row>
    <row r="21118">
      <c r="A21118" s="1" t="s">
        <v>21117</v>
      </c>
      <c r="B21118" s="2" t="str">
        <f>IFERROR(__xludf.DUMMYFUNCTION("GOOGLETRANSLATE(A21118, ""de"", ""en"")"),"mossad")</f>
        <v>mossad</v>
      </c>
    </row>
    <row r="21119">
      <c r="A21119" s="1" t="s">
        <v>21118</v>
      </c>
      <c r="B21119" s="2" t="str">
        <f>IFERROR(__xludf.DUMMYFUNCTION("GOOGLETRANSLATE(A21119, ""de"", ""en"")"),"entitled")</f>
        <v>entitled</v>
      </c>
    </row>
    <row r="21120">
      <c r="A21120" s="1" t="s">
        <v>21119</v>
      </c>
      <c r="B21120" s="2" t="str">
        <f>IFERROR(__xludf.DUMMYFUNCTION("GOOGLETRANSLATE(A21120, ""de"", ""en"")"),"Clifton")</f>
        <v>Clifton</v>
      </c>
    </row>
    <row r="21121">
      <c r="A21121" s="1" t="s">
        <v>21120</v>
      </c>
      <c r="B21121" s="2" t="str">
        <f>IFERROR(__xludf.DUMMYFUNCTION("GOOGLETRANSLATE(A21121, ""de"", ""en"")"),"Polish")</f>
        <v>Polish</v>
      </c>
    </row>
    <row r="21122">
      <c r="A21122" s="1" t="s">
        <v>21121</v>
      </c>
      <c r="B21122" s="2" t="str">
        <f>IFERROR(__xludf.DUMMYFUNCTION("GOOGLETRANSLATE(A21122, ""de"", ""en"")"),"stubborn")</f>
        <v>stubborn</v>
      </c>
    </row>
    <row r="21123">
      <c r="A21123" s="1" t="s">
        <v>21122</v>
      </c>
      <c r="B21123" s="2" t="str">
        <f>IFERROR(__xludf.DUMMYFUNCTION("GOOGLETRANSLATE(A21123, ""de"", ""en"")"),"maid of honor")</f>
        <v>maid of honor</v>
      </c>
    </row>
    <row r="21124">
      <c r="A21124" s="1" t="s">
        <v>21123</v>
      </c>
      <c r="B21124" s="2" t="str">
        <f>IFERROR(__xludf.DUMMYFUNCTION("GOOGLETRANSLATE(A21124, ""de"", ""en"")"),"northern")</f>
        <v>northern</v>
      </c>
    </row>
    <row r="21125">
      <c r="A21125" s="1" t="s">
        <v>21124</v>
      </c>
      <c r="B21125" s="2" t="str">
        <f>IFERROR(__xludf.DUMMYFUNCTION("GOOGLETRANSLATE(A21125, ""de"", ""en"")"),"two hundred")</f>
        <v>two hundred</v>
      </c>
    </row>
    <row r="21126">
      <c r="A21126" s="1" t="s">
        <v>21125</v>
      </c>
      <c r="B21126" s="2" t="str">
        <f>IFERROR(__xludf.DUMMYFUNCTION("GOOGLETRANSLATE(A21126, ""de"", ""en"")"),"nitrogen")</f>
        <v>nitrogen</v>
      </c>
    </row>
    <row r="21127">
      <c r="A21127" s="1" t="s">
        <v>21126</v>
      </c>
      <c r="B21127" s="2" t="str">
        <f>IFERROR(__xludf.DUMMYFUNCTION("GOOGLETRANSLATE(A21127, ""de"", ""en"")"),"flash")</f>
        <v>flash</v>
      </c>
    </row>
    <row r="21128">
      <c r="A21128" s="1" t="s">
        <v>21127</v>
      </c>
      <c r="B21128" s="2" t="str">
        <f>IFERROR(__xludf.DUMMYFUNCTION("GOOGLETRANSLATE(A21128, ""de"", ""en"")"),"Roxanne")</f>
        <v>Roxanne</v>
      </c>
    </row>
    <row r="21129">
      <c r="A21129" s="1" t="s">
        <v>21128</v>
      </c>
      <c r="B21129" s="2" t="str">
        <f>IFERROR(__xludf.DUMMYFUNCTION("GOOGLETRANSLATE(A21129, ""de"", ""en"")"),"room")</f>
        <v>room</v>
      </c>
    </row>
    <row r="21130">
      <c r="A21130" s="1" t="s">
        <v>21129</v>
      </c>
      <c r="B21130" s="2" t="str">
        <f>IFERROR(__xludf.DUMMYFUNCTION("GOOGLETRANSLATE(A21130, ""de"", ""en"")"),"infected")</f>
        <v>infected</v>
      </c>
    </row>
    <row r="21131">
      <c r="A21131" s="1" t="s">
        <v>21130</v>
      </c>
      <c r="B21131" s="2" t="str">
        <f>IFERROR(__xludf.DUMMYFUNCTION("GOOGLETRANSLATE(A21131, ""de"", ""en"")"),"chevron")</f>
        <v>chevron</v>
      </c>
    </row>
    <row r="21132">
      <c r="A21132" s="1" t="s">
        <v>21131</v>
      </c>
      <c r="B21132" s="2" t="str">
        <f>IFERROR(__xludf.DUMMYFUNCTION("GOOGLETRANSLATE(A21132, ""de"", ""en"")"),"Katya")</f>
        <v>Katya</v>
      </c>
    </row>
    <row r="21133">
      <c r="A21133" s="1" t="s">
        <v>21132</v>
      </c>
      <c r="B21133" s="2" t="str">
        <f>IFERROR(__xludf.DUMMYFUNCTION("GOOGLETRANSLATE(A21133, ""de"", ""en"")"),"dre")</f>
        <v>dre</v>
      </c>
    </row>
    <row r="21134">
      <c r="A21134" s="1" t="s">
        <v>21133</v>
      </c>
      <c r="B21134" s="2" t="str">
        <f>IFERROR(__xludf.DUMMYFUNCTION("GOOGLETRANSLATE(A21134, ""de"", ""en"")"),"dwayne")</f>
        <v>dwayne</v>
      </c>
    </row>
    <row r="21135">
      <c r="A21135" s="1" t="s">
        <v>21134</v>
      </c>
      <c r="B21135" s="2" t="str">
        <f>IFERROR(__xludf.DUMMYFUNCTION("GOOGLETRANSLATE(A21135, ""de"", ""en"")"),"smurf")</f>
        <v>smurf</v>
      </c>
    </row>
    <row r="21136">
      <c r="A21136" s="1" t="s">
        <v>21135</v>
      </c>
      <c r="B21136" s="2" t="str">
        <f>IFERROR(__xludf.DUMMYFUNCTION("GOOGLETRANSLATE(A21136, ""de"", ""en"")"),"federal police")</f>
        <v>federal police</v>
      </c>
    </row>
    <row r="21137">
      <c r="A21137" s="1" t="s">
        <v>21136</v>
      </c>
      <c r="B21137" s="2" t="str">
        <f>IFERROR(__xludf.DUMMYFUNCTION("GOOGLETRANSLATE(A21137, ""de"", ""en"")"),"proved")</f>
        <v>proved</v>
      </c>
    </row>
    <row r="21138">
      <c r="A21138" s="1" t="s">
        <v>21137</v>
      </c>
      <c r="B21138" s="2" t="str">
        <f>IFERROR(__xludf.DUMMYFUNCTION("GOOGLETRANSLATE(A21138, ""de"", ""en"")"),"bred")</f>
        <v>bred</v>
      </c>
    </row>
    <row r="21139">
      <c r="A21139" s="1" t="s">
        <v>21138</v>
      </c>
      <c r="B21139" s="2" t="str">
        <f>IFERROR(__xludf.DUMMYFUNCTION("GOOGLETRANSLATE(A21139, ""de"", ""en"")"),"impose")</f>
        <v>impose</v>
      </c>
    </row>
    <row r="21140">
      <c r="A21140" s="1" t="s">
        <v>21139</v>
      </c>
      <c r="B21140" s="2" t="str">
        <f>IFERROR(__xludf.DUMMYFUNCTION("GOOGLETRANSLATE(A21140, ""de"", ""en"")"),"clues")</f>
        <v>clues</v>
      </c>
    </row>
    <row r="21141">
      <c r="A21141" s="1" t="s">
        <v>21140</v>
      </c>
      <c r="B21141" s="2" t="str">
        <f>IFERROR(__xludf.DUMMYFUNCTION("GOOGLETRANSLATE(A21141, ""de"", ""en"")"),"about this")</f>
        <v>about this</v>
      </c>
    </row>
    <row r="21142">
      <c r="A21142" s="1" t="s">
        <v>21141</v>
      </c>
      <c r="B21142" s="2" t="str">
        <f>IFERROR(__xludf.DUMMYFUNCTION("GOOGLETRANSLATE(A21142, ""de"", ""en"")"),"rejects")</f>
        <v>rejects</v>
      </c>
    </row>
    <row r="21143">
      <c r="A21143" s="1" t="s">
        <v>21142</v>
      </c>
      <c r="B21143" s="2" t="str">
        <f>IFERROR(__xludf.DUMMYFUNCTION("GOOGLETRANSLATE(A21143, ""de"", ""en"")"),"pass")</f>
        <v>pass</v>
      </c>
    </row>
    <row r="21144">
      <c r="A21144" s="1" t="s">
        <v>21143</v>
      </c>
      <c r="B21144" s="2" t="str">
        <f>IFERROR(__xludf.DUMMYFUNCTION("GOOGLETRANSLATE(A21144, ""de"", ""en"")"),"Cecile")</f>
        <v>Cecile</v>
      </c>
    </row>
    <row r="21145">
      <c r="A21145" s="1" t="s">
        <v>21144</v>
      </c>
      <c r="B21145" s="2" t="str">
        <f>IFERROR(__xludf.DUMMYFUNCTION("GOOGLETRANSLATE(A21145, ""de"", ""en"")"),"owls")</f>
        <v>owls</v>
      </c>
    </row>
    <row r="21146">
      <c r="A21146" s="1" t="s">
        <v>21145</v>
      </c>
      <c r="B21146" s="2" t="str">
        <f>IFERROR(__xludf.DUMMYFUNCTION("GOOGLETRANSLATE(A21146, ""de"", ""en"")"),"spices")</f>
        <v>spices</v>
      </c>
    </row>
    <row r="21147">
      <c r="A21147" s="1" t="s">
        <v>21146</v>
      </c>
      <c r="B21147" s="2" t="str">
        <f>IFERROR(__xludf.DUMMYFUNCTION("GOOGLETRANSLATE(A21147, ""de"", ""en"")"),"versions")</f>
        <v>versions</v>
      </c>
    </row>
    <row r="21148">
      <c r="A21148" s="1" t="s">
        <v>21147</v>
      </c>
      <c r="B21148" s="2" t="str">
        <f>IFERROR(__xludf.DUMMYFUNCTION("GOOGLETRANSLATE(A21148, ""de"", ""en"")"),"ready to start")</f>
        <v>ready to start</v>
      </c>
    </row>
    <row r="21149">
      <c r="A21149" s="1" t="s">
        <v>21148</v>
      </c>
      <c r="B21149" s="2" t="str">
        <f>IFERROR(__xludf.DUMMYFUNCTION("GOOGLETRANSLATE(A21149, ""de"", ""en"")"),"coffee machine")</f>
        <v>coffee machine</v>
      </c>
    </row>
    <row r="21150">
      <c r="A21150" s="1" t="s">
        <v>21149</v>
      </c>
      <c r="B21150" s="2" t="str">
        <f>IFERROR(__xludf.DUMMYFUNCTION("GOOGLETRANSLATE(A21150, ""de"", ""en"")"),"rests")</f>
        <v>rests</v>
      </c>
    </row>
    <row r="21151">
      <c r="A21151" s="1" t="s">
        <v>21150</v>
      </c>
      <c r="B21151" s="2" t="str">
        <f>IFERROR(__xludf.DUMMYFUNCTION("GOOGLETRANSLATE(A21151, ""de"", ""en"")"),"georgetown")</f>
        <v>georgetown</v>
      </c>
    </row>
    <row r="21152">
      <c r="A21152" s="1" t="s">
        <v>21151</v>
      </c>
      <c r="B21152" s="2" t="str">
        <f>IFERROR(__xludf.DUMMYFUNCTION("GOOGLETRANSLATE(A21152, ""de"", ""en"")"),"hobson")</f>
        <v>hobson</v>
      </c>
    </row>
    <row r="21153">
      <c r="A21153" s="1" t="s">
        <v>21152</v>
      </c>
      <c r="B21153" s="2" t="str">
        <f>IFERROR(__xludf.DUMMYFUNCTION("GOOGLETRANSLATE(A21153, ""de"", ""en"")"),"country road")</f>
        <v>country road</v>
      </c>
    </row>
    <row r="21154">
      <c r="A21154" s="1" t="s">
        <v>21153</v>
      </c>
      <c r="B21154" s="2" t="str">
        <f>IFERROR(__xludf.DUMMYFUNCTION("GOOGLETRANSLATE(A21154, ""de"", ""en"")"),"hospital")</f>
        <v>hospital</v>
      </c>
    </row>
    <row r="21155">
      <c r="A21155" s="1" t="s">
        <v>21154</v>
      </c>
      <c r="B21155" s="2" t="str">
        <f>IFERROR(__xludf.DUMMYFUNCTION("GOOGLETRANSLATE(A21155, ""de"", ""en"")"),"verbena")</f>
        <v>verbena</v>
      </c>
    </row>
    <row r="21156">
      <c r="A21156" s="1" t="s">
        <v>21155</v>
      </c>
      <c r="B21156" s="2" t="str">
        <f>IFERROR(__xludf.DUMMYFUNCTION("GOOGLETRANSLATE(A21156, ""de"", ""en"")"),"thunder")</f>
        <v>thunder</v>
      </c>
    </row>
    <row r="21157">
      <c r="A21157" s="1" t="s">
        <v>21156</v>
      </c>
      <c r="B21157" s="2" t="str">
        <f>IFERROR(__xludf.DUMMYFUNCTION("GOOGLETRANSLATE(A21157, ""de"", ""en"")"),"Elin")</f>
        <v>Elin</v>
      </c>
    </row>
    <row r="21158">
      <c r="A21158" s="1" t="s">
        <v>21157</v>
      </c>
      <c r="B21158" s="2" t="str">
        <f>IFERROR(__xludf.DUMMYFUNCTION("GOOGLETRANSLATE(A21158, ""de"", ""en"")"),"sweetness")</f>
        <v>sweetness</v>
      </c>
    </row>
    <row r="21159">
      <c r="A21159" s="1" t="s">
        <v>21158</v>
      </c>
      <c r="B21159" s="2" t="str">
        <f>IFERROR(__xludf.DUMMYFUNCTION("GOOGLETRANSLATE(A21159, ""de"", ""en"")"),"current")</f>
        <v>current</v>
      </c>
    </row>
    <row r="21160">
      <c r="A21160" s="1" t="s">
        <v>21159</v>
      </c>
      <c r="B21160" s="2" t="str">
        <f>IFERROR(__xludf.DUMMYFUNCTION("GOOGLETRANSLATE(A21160, ""de"", ""en"")"),"monthly")</f>
        <v>monthly</v>
      </c>
    </row>
    <row r="21161">
      <c r="A21161" s="1" t="s">
        <v>21160</v>
      </c>
      <c r="B21161" s="2" t="str">
        <f>IFERROR(__xludf.DUMMYFUNCTION("GOOGLETRANSLATE(A21161, ""de"", ""en"")"),"Cordy")</f>
        <v>Cordy</v>
      </c>
    </row>
    <row r="21162">
      <c r="A21162" s="1" t="s">
        <v>21161</v>
      </c>
      <c r="B21162" s="2" t="str">
        <f>IFERROR(__xludf.DUMMYFUNCTION("GOOGLETRANSLATE(A21162, ""de"", ""en"")"),"Arabia")</f>
        <v>Arabia</v>
      </c>
    </row>
    <row r="21163">
      <c r="A21163" s="1" t="s">
        <v>21162</v>
      </c>
      <c r="B21163" s="2" t="str">
        <f>IFERROR(__xludf.DUMMYFUNCTION("GOOGLETRANSLATE(A21163, ""de"", ""en"")"),"indefinite")</f>
        <v>indefinite</v>
      </c>
    </row>
    <row r="21164">
      <c r="A21164" s="1" t="s">
        <v>21163</v>
      </c>
      <c r="B21164" s="2" t="str">
        <f>IFERROR(__xludf.DUMMYFUNCTION("GOOGLETRANSLATE(A21164, ""de"", ""en"")"),"fitch")</f>
        <v>fitch</v>
      </c>
    </row>
    <row r="21165">
      <c r="A21165" s="1" t="s">
        <v>21164</v>
      </c>
      <c r="B21165" s="2" t="str">
        <f>IFERROR(__xludf.DUMMYFUNCTION("GOOGLETRANSLATE(A21165, ""de"", ""en"")"),"mathematician")</f>
        <v>mathematician</v>
      </c>
    </row>
    <row r="21166">
      <c r="A21166" s="1" t="s">
        <v>21165</v>
      </c>
      <c r="B21166" s="2" t="str">
        <f>IFERROR(__xludf.DUMMYFUNCTION("GOOGLETRANSLATE(A21166, ""de"", ""en"")"),"machinations")</f>
        <v>machinations</v>
      </c>
    </row>
    <row r="21167">
      <c r="A21167" s="1" t="s">
        <v>21166</v>
      </c>
      <c r="B21167" s="2" t="str">
        <f>IFERROR(__xludf.DUMMYFUNCTION("GOOGLETRANSLATE(A21167, ""de"", ""en"")"),"responsible")</f>
        <v>responsible</v>
      </c>
    </row>
    <row r="21168">
      <c r="A21168" s="1" t="s">
        <v>21167</v>
      </c>
      <c r="B21168" s="2" t="str">
        <f>IFERROR(__xludf.DUMMYFUNCTION("GOOGLETRANSLATE(A21168, ""de"", ""en"")"),"pathetic")</f>
        <v>pathetic</v>
      </c>
    </row>
    <row r="21169">
      <c r="A21169" s="1" t="s">
        <v>21168</v>
      </c>
      <c r="B21169" s="2" t="str">
        <f>IFERROR(__xludf.DUMMYFUNCTION("GOOGLETRANSLATE(A21169, ""de"", ""en"")"),"stoned")</f>
        <v>stoned</v>
      </c>
    </row>
    <row r="21170">
      <c r="A21170" s="1" t="s">
        <v>21169</v>
      </c>
      <c r="B21170" s="2" t="str">
        <f>IFERROR(__xludf.DUMMYFUNCTION("GOOGLETRANSLATE(A21170, ""de"", ""en"")"),"homeless person")</f>
        <v>homeless person</v>
      </c>
    </row>
    <row r="21171">
      <c r="A21171" s="1" t="s">
        <v>21170</v>
      </c>
      <c r="B21171" s="2" t="str">
        <f>IFERROR(__xludf.DUMMYFUNCTION("GOOGLETRANSLATE(A21171, ""de"", ""en"")"),"Anthony")</f>
        <v>Anthony</v>
      </c>
    </row>
    <row r="21172">
      <c r="A21172" s="1" t="s">
        <v>21171</v>
      </c>
      <c r="B21172" s="2" t="str">
        <f>IFERROR(__xludf.DUMMYFUNCTION("GOOGLETRANSLATE(A21172, ""de"", ""en"")"),"alibi")</f>
        <v>alibi</v>
      </c>
    </row>
    <row r="21173">
      <c r="A21173" s="1" t="s">
        <v>21172</v>
      </c>
      <c r="B21173" s="2" t="str">
        <f>IFERROR(__xludf.DUMMYFUNCTION("GOOGLETRANSLATE(A21173, ""de"", ""en"")"),"devilish")</f>
        <v>devilish</v>
      </c>
    </row>
    <row r="21174">
      <c r="A21174" s="1" t="s">
        <v>21173</v>
      </c>
      <c r="B21174" s="2" t="str">
        <f>IFERROR(__xludf.DUMMYFUNCTION("GOOGLETRANSLATE(A21174, ""de"", ""en"")"),"try")</f>
        <v>try</v>
      </c>
    </row>
    <row r="21175">
      <c r="A21175" s="1" t="s">
        <v>21174</v>
      </c>
      <c r="B21175" s="2" t="str">
        <f>IFERROR(__xludf.DUMMYFUNCTION("GOOGLETRANSLATE(A21175, ""de"", ""en"")"),"punish")</f>
        <v>punish</v>
      </c>
    </row>
    <row r="21176">
      <c r="A21176" s="1" t="s">
        <v>21175</v>
      </c>
      <c r="B21176" s="2" t="str">
        <f>IFERROR(__xludf.DUMMYFUNCTION("GOOGLETRANSLATE(A21176, ""de"", ""en"")"),"denies")</f>
        <v>denies</v>
      </c>
    </row>
    <row r="21177">
      <c r="A21177" s="1" t="s">
        <v>21176</v>
      </c>
      <c r="B21177" s="2" t="str">
        <f>IFERROR(__xludf.DUMMYFUNCTION("GOOGLETRANSLATE(A21177, ""de"", ""en"")"),"michaela")</f>
        <v>michaela</v>
      </c>
    </row>
    <row r="21178">
      <c r="A21178" s="1" t="s">
        <v>21177</v>
      </c>
      <c r="B21178" s="2" t="str">
        <f>IFERROR(__xludf.DUMMYFUNCTION("GOOGLETRANSLATE(A21178, ""de"", ""en"")"),"chiefs")</f>
        <v>chiefs</v>
      </c>
    </row>
    <row r="21179">
      <c r="A21179" s="1" t="s">
        <v>21178</v>
      </c>
      <c r="B21179" s="2" t="str">
        <f>IFERROR(__xludf.DUMMYFUNCTION("GOOGLETRANSLATE(A21179, ""de"", ""en"")"),"winery")</f>
        <v>winery</v>
      </c>
    </row>
    <row r="21180">
      <c r="A21180" s="1" t="s">
        <v>21179</v>
      </c>
      <c r="B21180" s="2" t="str">
        <f>IFERROR(__xludf.DUMMYFUNCTION("GOOGLETRANSLATE(A21180, ""de"", ""en"")"),"spiritual")</f>
        <v>spiritual</v>
      </c>
    </row>
    <row r="21181">
      <c r="A21181" s="1" t="s">
        <v>21180</v>
      </c>
      <c r="B21181" s="2" t="str">
        <f>IFERROR(__xludf.DUMMYFUNCTION("GOOGLETRANSLATE(A21181, ""de"", ""en"")"),"Schubert")</f>
        <v>Schubert</v>
      </c>
    </row>
    <row r="21182">
      <c r="A21182" s="1" t="s">
        <v>21181</v>
      </c>
      <c r="B21182" s="2" t="str">
        <f>IFERROR(__xludf.DUMMYFUNCTION("GOOGLETRANSLATE(A21182, ""de"", ""en"")"),"rubs")</f>
        <v>rubs</v>
      </c>
    </row>
    <row r="21183">
      <c r="A21183" s="1" t="s">
        <v>21182</v>
      </c>
      <c r="B21183" s="2" t="str">
        <f>IFERROR(__xludf.DUMMYFUNCTION("GOOGLETRANSLATE(A21183, ""de"", ""en"")"),"unprotected")</f>
        <v>unprotected</v>
      </c>
    </row>
    <row r="21184">
      <c r="A21184" s="1" t="s">
        <v>21183</v>
      </c>
      <c r="B21184" s="2" t="str">
        <f>IFERROR(__xludf.DUMMYFUNCTION("GOOGLETRANSLATE(A21184, ""de"", ""en"")"),"adaptation")</f>
        <v>adaptation</v>
      </c>
    </row>
    <row r="21185">
      <c r="A21185" s="1" t="s">
        <v>21184</v>
      </c>
      <c r="B21185" s="2" t="str">
        <f>IFERROR(__xludf.DUMMYFUNCTION("GOOGLETRANSLATE(A21185, ""de"", ""en"")"),"tension")</f>
        <v>tension</v>
      </c>
    </row>
    <row r="21186">
      <c r="A21186" s="1" t="s">
        <v>21185</v>
      </c>
      <c r="B21186" s="2" t="str">
        <f>IFERROR(__xludf.DUMMYFUNCTION("GOOGLETRANSLATE(A21186, ""de"", ""en"")"),"Ha-Ha")</f>
        <v>Ha-Ha</v>
      </c>
    </row>
    <row r="21187">
      <c r="A21187" s="1" t="s">
        <v>21186</v>
      </c>
      <c r="B21187" s="2" t="str">
        <f>IFERROR(__xludf.DUMMYFUNCTION("GOOGLETRANSLATE(A21187, ""de"", ""en"")"),"fence")</f>
        <v>fence</v>
      </c>
    </row>
    <row r="21188">
      <c r="A21188" s="1" t="s">
        <v>21187</v>
      </c>
      <c r="B21188" s="2" t="str">
        <f>IFERROR(__xludf.DUMMYFUNCTION("GOOGLETRANSLATE(A21188, ""de"", ""en"")"),"we s")</f>
        <v>we s</v>
      </c>
    </row>
    <row r="21189">
      <c r="A21189" s="1" t="s">
        <v>21188</v>
      </c>
      <c r="B21189" s="2" t="str">
        <f>IFERROR(__xludf.DUMMYFUNCTION("GOOGLETRANSLATE(A21189, ""de"", ""en"")"),"shen")</f>
        <v>shen</v>
      </c>
    </row>
    <row r="21190">
      <c r="A21190" s="1" t="s">
        <v>21189</v>
      </c>
      <c r="B21190" s="2" t="str">
        <f>IFERROR(__xludf.DUMMYFUNCTION("GOOGLETRANSLATE(A21190, ""de"", ""en"")"),"crossbow")</f>
        <v>crossbow</v>
      </c>
    </row>
    <row r="21191">
      <c r="A21191" s="1" t="s">
        <v>21190</v>
      </c>
      <c r="B21191" s="2" t="str">
        <f>IFERROR(__xludf.DUMMYFUNCTION("GOOGLETRANSLATE(A21191, ""de"", ""en"")"),"disgusting")</f>
        <v>disgusting</v>
      </c>
    </row>
    <row r="21192">
      <c r="A21192" s="1" t="s">
        <v>21191</v>
      </c>
      <c r="B21192" s="2" t="str">
        <f>IFERROR(__xludf.DUMMYFUNCTION("GOOGLETRANSLATE(A21192, ""de"", ""en"")"),"aggressive")</f>
        <v>aggressive</v>
      </c>
    </row>
    <row r="21193">
      <c r="A21193" s="1" t="s">
        <v>21192</v>
      </c>
      <c r="B21193" s="2" t="str">
        <f>IFERROR(__xludf.DUMMYFUNCTION("GOOGLETRANSLATE(A21193, ""de"", ""en"")"),"tomorrow")</f>
        <v>tomorrow</v>
      </c>
    </row>
    <row r="21194">
      <c r="A21194" s="1" t="s">
        <v>21193</v>
      </c>
      <c r="B21194" s="2" t="str">
        <f>IFERROR(__xludf.DUMMYFUNCTION("GOOGLETRANSLATE(A21194, ""de"", ""en"")"),"bugs")</f>
        <v>bugs</v>
      </c>
    </row>
    <row r="21195">
      <c r="A21195" s="1" t="s">
        <v>21194</v>
      </c>
      <c r="B21195" s="2" t="str">
        <f>IFERROR(__xludf.DUMMYFUNCTION("GOOGLETRANSLATE(A21195, ""de"", ""en"")"),"scary")</f>
        <v>scary</v>
      </c>
    </row>
    <row r="21196">
      <c r="A21196" s="1" t="s">
        <v>21195</v>
      </c>
      <c r="B21196" s="2" t="str">
        <f>IFERROR(__xludf.DUMMYFUNCTION("GOOGLETRANSLATE(A21196, ""de"", ""en"")"),"document")</f>
        <v>document</v>
      </c>
    </row>
    <row r="21197">
      <c r="A21197" s="1" t="s">
        <v>21196</v>
      </c>
      <c r="B21197" s="2" t="str">
        <f>IFERROR(__xludf.DUMMYFUNCTION("GOOGLETRANSLATE(A21197, ""de"", ""en"")"),"car theft")</f>
        <v>car theft</v>
      </c>
    </row>
    <row r="21198">
      <c r="A21198" s="1" t="s">
        <v>21197</v>
      </c>
      <c r="B21198" s="2" t="str">
        <f>IFERROR(__xludf.DUMMYFUNCTION("GOOGLETRANSLATE(A21198, ""de"", ""en"")"),"skitter")</f>
        <v>skitter</v>
      </c>
    </row>
    <row r="21199">
      <c r="A21199" s="1" t="s">
        <v>21198</v>
      </c>
      <c r="B21199" s="2" t="str">
        <f>IFERROR(__xludf.DUMMYFUNCTION("GOOGLETRANSLATE(A21199, ""de"", ""en"")"),"rest")</f>
        <v>rest</v>
      </c>
    </row>
    <row r="21200">
      <c r="A21200" s="1" t="s">
        <v>21199</v>
      </c>
      <c r="B21200" s="2" t="str">
        <f>IFERROR(__xludf.DUMMYFUNCTION("GOOGLETRANSLATE(A21200, ""de"", ""en"")"),"limbs")</f>
        <v>limbs</v>
      </c>
    </row>
    <row r="21201">
      <c r="A21201" s="1" t="s">
        <v>21200</v>
      </c>
      <c r="B21201" s="2" t="str">
        <f>IFERROR(__xludf.DUMMYFUNCTION("GOOGLETRANSLATE(A21201, ""de"", ""en"")"),"reported")</f>
        <v>reported</v>
      </c>
    </row>
    <row r="21202">
      <c r="A21202" s="1" t="s">
        <v>21201</v>
      </c>
      <c r="B21202" s="2" t="str">
        <f>IFERROR(__xludf.DUMMYFUNCTION("GOOGLETRANSLATE(A21202, ""de"", ""en"")"),"aii")</f>
        <v>aii</v>
      </c>
    </row>
    <row r="21203">
      <c r="A21203" s="1" t="s">
        <v>21202</v>
      </c>
      <c r="B21203" s="2" t="str">
        <f>IFERROR(__xludf.DUMMYFUNCTION("GOOGLETRANSLATE(A21203, ""de"", ""en"")"),"spat")</f>
        <v>spat</v>
      </c>
    </row>
    <row r="21204">
      <c r="A21204" s="1" t="s">
        <v>21203</v>
      </c>
      <c r="B21204" s="2" t="str">
        <f>IFERROR(__xludf.DUMMYFUNCTION("GOOGLETRANSLATE(A21204, ""de"", ""en"")"),"narn")</f>
        <v>narn</v>
      </c>
    </row>
    <row r="21205">
      <c r="A21205" s="1" t="s">
        <v>21204</v>
      </c>
      <c r="B21205" s="2" t="str">
        <f>IFERROR(__xludf.DUMMYFUNCTION("GOOGLETRANSLATE(A21205, ""de"", ""en"")"),"walking around")</f>
        <v>walking around</v>
      </c>
    </row>
    <row r="21206">
      <c r="A21206" s="1" t="s">
        <v>21205</v>
      </c>
      <c r="B21206" s="2" t="str">
        <f>IFERROR(__xludf.DUMMYFUNCTION("GOOGLETRANSLATE(A21206, ""de"", ""en"")"),"free")</f>
        <v>free</v>
      </c>
    </row>
    <row r="21207">
      <c r="A21207" s="1" t="s">
        <v>21206</v>
      </c>
      <c r="B21207" s="2" t="str">
        <f>IFERROR(__xludf.DUMMYFUNCTION("GOOGLETRANSLATE(A21207, ""de"", ""en"")"),"cages")</f>
        <v>cages</v>
      </c>
    </row>
    <row r="21208">
      <c r="A21208" s="1" t="s">
        <v>21207</v>
      </c>
      <c r="B21208" s="2" t="str">
        <f>IFERROR(__xludf.DUMMYFUNCTION("GOOGLETRANSLATE(A21208, ""de"", ""en"")"),"Maud")</f>
        <v>Maud</v>
      </c>
    </row>
    <row r="21209">
      <c r="A21209" s="1" t="s">
        <v>21208</v>
      </c>
      <c r="B21209" s="2" t="str">
        <f>IFERROR(__xludf.DUMMYFUNCTION("GOOGLETRANSLATE(A21209, ""de"", ""en"")"),"entrance door")</f>
        <v>entrance door</v>
      </c>
    </row>
    <row r="21210">
      <c r="A21210" s="1" t="s">
        <v>21209</v>
      </c>
      <c r="B21210" s="2" t="str">
        <f>IFERROR(__xludf.DUMMYFUNCTION("GOOGLETRANSLATE(A21210, ""de"", ""en"")"),"refer")</f>
        <v>refer</v>
      </c>
    </row>
    <row r="21211">
      <c r="A21211" s="1" t="s">
        <v>21210</v>
      </c>
      <c r="B21211" s="2" t="str">
        <f>IFERROR(__xludf.DUMMYFUNCTION("GOOGLETRANSLATE(A21211, ""de"", ""en"")"),"is running")</f>
        <v>is running</v>
      </c>
    </row>
    <row r="21212">
      <c r="A21212" s="1" t="s">
        <v>21211</v>
      </c>
      <c r="B21212" s="2" t="str">
        <f>IFERROR(__xludf.DUMMYFUNCTION("GOOGLETRANSLATE(A21212, ""de"", ""en"")"),"infarction")</f>
        <v>infarction</v>
      </c>
    </row>
    <row r="21213">
      <c r="A21213" s="1" t="s">
        <v>21212</v>
      </c>
      <c r="B21213" s="2" t="str">
        <f>IFERROR(__xludf.DUMMYFUNCTION("GOOGLETRANSLATE(A21213, ""de"", ""en"")"),"chick")</f>
        <v>chick</v>
      </c>
    </row>
    <row r="21214">
      <c r="A21214" s="1" t="s">
        <v>21213</v>
      </c>
      <c r="B21214" s="2" t="str">
        <f>IFERROR(__xludf.DUMMYFUNCTION("GOOGLETRANSLATE(A21214, ""de"", ""en"")"),"broken")</f>
        <v>broken</v>
      </c>
    </row>
    <row r="21215">
      <c r="A21215" s="1" t="s">
        <v>21214</v>
      </c>
      <c r="B21215" s="2" t="str">
        <f>IFERROR(__xludf.DUMMYFUNCTION("GOOGLETRANSLATE(A21215, ""de"", ""en"")"),"Nicola")</f>
        <v>Nicola</v>
      </c>
    </row>
    <row r="21216">
      <c r="A21216" s="1" t="s">
        <v>21215</v>
      </c>
      <c r="B21216" s="2" t="str">
        <f>IFERROR(__xludf.DUMMYFUNCTION("GOOGLETRANSLATE(A21216, ""de"", ""en"")"),"tear down")</f>
        <v>tear down</v>
      </c>
    </row>
    <row r="21217">
      <c r="A21217" s="1" t="s">
        <v>21216</v>
      </c>
      <c r="B21217" s="2" t="str">
        <f>IFERROR(__xludf.DUMMYFUNCTION("GOOGLETRANSLATE(A21217, ""de"", ""en"")"),"housewives")</f>
        <v>housewives</v>
      </c>
    </row>
    <row r="21218">
      <c r="A21218" s="1" t="s">
        <v>21217</v>
      </c>
      <c r="B21218" s="2" t="str">
        <f>IFERROR(__xludf.DUMMYFUNCTION("GOOGLETRANSLATE(A21218, ""de"", ""en"")"),"seal")</f>
        <v>seal</v>
      </c>
    </row>
    <row r="21219">
      <c r="A21219" s="1" t="s">
        <v>21218</v>
      </c>
      <c r="B21219" s="2" t="str">
        <f>IFERROR(__xludf.DUMMYFUNCTION("GOOGLETRANSLATE(A21219, ""de"", ""en"")"),"executed")</f>
        <v>executed</v>
      </c>
    </row>
    <row r="21220">
      <c r="A21220" s="1" t="s">
        <v>21219</v>
      </c>
      <c r="B21220" s="2" t="str">
        <f>IFERROR(__xludf.DUMMYFUNCTION("GOOGLETRANSLATE(A21220, ""de"", ""en"")"),"delete")</f>
        <v>delete</v>
      </c>
    </row>
    <row r="21221">
      <c r="A21221" s="1" t="s">
        <v>21220</v>
      </c>
      <c r="B21221" s="2" t="str">
        <f>IFERROR(__xludf.DUMMYFUNCTION("GOOGLETRANSLATE(A21221, ""de"", ""en"")"),"detective agency")</f>
        <v>detective agency</v>
      </c>
    </row>
    <row r="21222">
      <c r="A21222" s="1" t="s">
        <v>21221</v>
      </c>
      <c r="B21222" s="2" t="str">
        <f>IFERROR(__xludf.DUMMYFUNCTION("GOOGLETRANSLATE(A21222, ""de"", ""en"")"),"merle")</f>
        <v>merle</v>
      </c>
    </row>
    <row r="21223">
      <c r="A21223" s="1" t="s">
        <v>21222</v>
      </c>
      <c r="B21223" s="2" t="str">
        <f>IFERROR(__xludf.DUMMYFUNCTION("GOOGLETRANSLATE(A21223, ""de"", ""en"")"),"plagues")</f>
        <v>plagues</v>
      </c>
    </row>
    <row r="21224">
      <c r="A21224" s="1" t="s">
        <v>21223</v>
      </c>
      <c r="B21224" s="2" t="str">
        <f>IFERROR(__xludf.DUMMYFUNCTION("GOOGLETRANSLATE(A21224, ""de"", ""en"")"),"avon")</f>
        <v>avon</v>
      </c>
    </row>
    <row r="21225">
      <c r="A21225" s="1" t="s">
        <v>21224</v>
      </c>
      <c r="B21225" s="2" t="str">
        <f>IFERROR(__xludf.DUMMYFUNCTION("GOOGLETRANSLATE(A21225, ""de"", ""en"")"),"egoism")</f>
        <v>egoism</v>
      </c>
    </row>
    <row r="21226">
      <c r="A21226" s="1" t="s">
        <v>21225</v>
      </c>
      <c r="B21226" s="2" t="str">
        <f>IFERROR(__xludf.DUMMYFUNCTION("GOOGLETRANSLATE(A21226, ""de"", ""en"")"),"spread out")</f>
        <v>spread out</v>
      </c>
    </row>
    <row r="21227">
      <c r="A21227" s="1" t="s">
        <v>21226</v>
      </c>
      <c r="B21227" s="2" t="str">
        <f>IFERROR(__xludf.DUMMYFUNCTION("GOOGLETRANSLATE(A21227, ""de"", ""en"")"),"Stephane")</f>
        <v>Stephane</v>
      </c>
    </row>
    <row r="21228">
      <c r="A21228" s="1" t="s">
        <v>21227</v>
      </c>
      <c r="B21228" s="2" t="str">
        <f>IFERROR(__xludf.DUMMYFUNCTION("GOOGLETRANSLATE(A21228, ""de"", ""en"")"),"refuse")</f>
        <v>refuse</v>
      </c>
    </row>
    <row r="21229">
      <c r="A21229" s="1" t="s">
        <v>21228</v>
      </c>
      <c r="B21229" s="2" t="str">
        <f>IFERROR(__xludf.DUMMYFUNCTION("GOOGLETRANSLATE(A21229, ""de"", ""en"")"),"shock")</f>
        <v>shock</v>
      </c>
    </row>
    <row r="21230">
      <c r="A21230" s="1" t="s">
        <v>21229</v>
      </c>
      <c r="B21230" s="2" t="str">
        <f>IFERROR(__xludf.DUMMYFUNCTION("GOOGLETRANSLATE(A21230, ""de"", ""en"")"),"intensity")</f>
        <v>intensity</v>
      </c>
    </row>
    <row r="21231">
      <c r="A21231" s="1" t="s">
        <v>21230</v>
      </c>
      <c r="B21231" s="2" t="str">
        <f>IFERROR(__xludf.DUMMYFUNCTION("GOOGLETRANSLATE(A21231, ""de"", ""en"")"),"stack")</f>
        <v>stack</v>
      </c>
    </row>
    <row r="21232">
      <c r="A21232" s="1" t="s">
        <v>21231</v>
      </c>
      <c r="B21232" s="2" t="str">
        <f>IFERROR(__xludf.DUMMYFUNCTION("GOOGLETRANSLATE(A21232, ""de"", ""en"")"),"mostly")</f>
        <v>mostly</v>
      </c>
    </row>
    <row r="21233">
      <c r="A21233" s="1" t="s">
        <v>21232</v>
      </c>
      <c r="B21233" s="2" t="str">
        <f>IFERROR(__xludf.DUMMYFUNCTION("GOOGLETRANSLATE(A21233, ""de"", ""en"")"),"leave")</f>
        <v>leave</v>
      </c>
    </row>
    <row r="21234">
      <c r="A21234" s="1" t="s">
        <v>21233</v>
      </c>
      <c r="B21234" s="2" t="str">
        <f>IFERROR(__xludf.DUMMYFUNCTION("GOOGLETRANSLATE(A21234, ""de"", ""en"")"),"fatter")</f>
        <v>fatter</v>
      </c>
    </row>
    <row r="21235">
      <c r="A21235" s="1" t="s">
        <v>21234</v>
      </c>
      <c r="B21235" s="2" t="str">
        <f>IFERROR(__xludf.DUMMYFUNCTION("GOOGLETRANSLATE(A21235, ""de"", ""en"")"),"honest")</f>
        <v>honest</v>
      </c>
    </row>
    <row r="21236">
      <c r="A21236" s="1" t="s">
        <v>21235</v>
      </c>
      <c r="B21236" s="2" t="str">
        <f>IFERROR(__xludf.DUMMYFUNCTION("GOOGLETRANSLATE(A21236, ""de"", ""en"")"),"serve")</f>
        <v>serve</v>
      </c>
    </row>
    <row r="21237">
      <c r="A21237" s="1" t="s">
        <v>21236</v>
      </c>
      <c r="B21237" s="2" t="str">
        <f>IFERROR(__xludf.DUMMYFUNCTION("GOOGLETRANSLATE(A21237, ""de"", ""en"")"),"cultural")</f>
        <v>cultural</v>
      </c>
    </row>
    <row r="21238">
      <c r="A21238" s="1" t="s">
        <v>21237</v>
      </c>
      <c r="B21238" s="2" t="str">
        <f>IFERROR(__xludf.DUMMYFUNCTION("GOOGLETRANSLATE(A21238, ""de"", ""en"")"),"Kenya")</f>
        <v>Kenya</v>
      </c>
    </row>
    <row r="21239">
      <c r="A21239" s="1" t="s">
        <v>21238</v>
      </c>
      <c r="B21239" s="2" t="str">
        <f>IFERROR(__xludf.DUMMYFUNCTION("GOOGLETRANSLATE(A21239, ""de"", ""en"")"),"carlson")</f>
        <v>carlson</v>
      </c>
    </row>
    <row r="21240">
      <c r="A21240" s="1" t="s">
        <v>21239</v>
      </c>
      <c r="B21240" s="2" t="str">
        <f>IFERROR(__xludf.DUMMYFUNCTION("GOOGLETRANSLATE(A21240, ""de"", ""en"")"),"to get in")</f>
        <v>to get in</v>
      </c>
    </row>
    <row r="21241">
      <c r="A21241" s="1" t="s">
        <v>21240</v>
      </c>
      <c r="B21241" s="2" t="str">
        <f>IFERROR(__xludf.DUMMYFUNCTION("GOOGLETRANSLATE(A21241, ""de"", ""en"")"),"Mahoney")</f>
        <v>Mahoney</v>
      </c>
    </row>
    <row r="21242">
      <c r="A21242" s="1" t="s">
        <v>21241</v>
      </c>
      <c r="B21242" s="2" t="str">
        <f>IFERROR(__xludf.DUMMYFUNCTION("GOOGLETRANSLATE(A21242, ""de"", ""en"")"),"doubt")</f>
        <v>doubt</v>
      </c>
    </row>
    <row r="21243">
      <c r="A21243" s="1" t="s">
        <v>21242</v>
      </c>
      <c r="B21243" s="2" t="str">
        <f>IFERROR(__xludf.DUMMYFUNCTION("GOOGLETRANSLATE(A21243, ""de"", ""en"")"),"secret agent")</f>
        <v>secret agent</v>
      </c>
    </row>
    <row r="21244">
      <c r="A21244" s="1" t="s">
        <v>21243</v>
      </c>
      <c r="B21244" s="2" t="str">
        <f>IFERROR(__xludf.DUMMYFUNCTION("GOOGLETRANSLATE(A21244, ""de"", ""en"")"),"aida")</f>
        <v>aida</v>
      </c>
    </row>
    <row r="21245">
      <c r="A21245" s="1" t="s">
        <v>21244</v>
      </c>
      <c r="B21245" s="2" t="str">
        <f>IFERROR(__xludf.DUMMYFUNCTION("GOOGLETRANSLATE(A21245, ""de"", ""en"")"),"denture")</f>
        <v>denture</v>
      </c>
    </row>
    <row r="21246">
      <c r="A21246" s="1" t="s">
        <v>21245</v>
      </c>
      <c r="B21246" s="2" t="str">
        <f>IFERROR(__xludf.DUMMYFUNCTION("GOOGLETRANSLATE(A21246, ""de"", ""en"")"),"dictatorship")</f>
        <v>dictatorship</v>
      </c>
    </row>
    <row r="21247">
      <c r="A21247" s="1" t="s">
        <v>21246</v>
      </c>
      <c r="B21247" s="2" t="str">
        <f>IFERROR(__xludf.DUMMYFUNCTION("GOOGLETRANSLATE(A21247, ""de"", ""en"")"),"squeamish")</f>
        <v>squeamish</v>
      </c>
    </row>
    <row r="21248">
      <c r="A21248" s="1" t="s">
        <v>21247</v>
      </c>
      <c r="B21248" s="2" t="str">
        <f>IFERROR(__xludf.DUMMYFUNCTION("GOOGLETRANSLATE(A21248, ""de"", ""en"")"),"urban")</f>
        <v>urban</v>
      </c>
    </row>
    <row r="21249">
      <c r="A21249" s="1" t="s">
        <v>21248</v>
      </c>
      <c r="B21249" s="2" t="str">
        <f>IFERROR(__xludf.DUMMYFUNCTION("GOOGLETRANSLATE(A21249, ""de"", ""en"")"),"video camera")</f>
        <v>video camera</v>
      </c>
    </row>
    <row r="21250">
      <c r="A21250" s="1" t="s">
        <v>21249</v>
      </c>
      <c r="B21250" s="2" t="str">
        <f>IFERROR(__xludf.DUMMYFUNCTION("GOOGLETRANSLATE(A21250, ""de"", ""en"")"),"stab")</f>
        <v>stab</v>
      </c>
    </row>
    <row r="21251">
      <c r="A21251" s="1" t="s">
        <v>21250</v>
      </c>
      <c r="B21251" s="2" t="str">
        <f>IFERROR(__xludf.DUMMYFUNCTION("GOOGLETRANSLATE(A21251, ""de"", ""en"")"),"symbolized")</f>
        <v>symbolized</v>
      </c>
    </row>
    <row r="21252">
      <c r="A21252" s="1" t="s">
        <v>21251</v>
      </c>
      <c r="B21252" s="2" t="str">
        <f>IFERROR(__xludf.DUMMYFUNCTION("GOOGLETRANSLATE(A21252, ""de"", ""en"")"),"holloway")</f>
        <v>holloway</v>
      </c>
    </row>
    <row r="21253">
      <c r="A21253" s="1" t="s">
        <v>21252</v>
      </c>
      <c r="B21253" s="2" t="str">
        <f>IFERROR(__xludf.DUMMYFUNCTION("GOOGLETRANSLATE(A21253, ""de"", ""en"")"),"raptor")</f>
        <v>raptor</v>
      </c>
    </row>
    <row r="21254">
      <c r="A21254" s="1" t="s">
        <v>21253</v>
      </c>
      <c r="B21254" s="2" t="str">
        <f>IFERROR(__xludf.DUMMYFUNCTION("GOOGLETRANSLATE(A21254, ""de"", ""en"")"),"shit")</f>
        <v>shit</v>
      </c>
    </row>
    <row r="21255">
      <c r="A21255" s="1" t="s">
        <v>21254</v>
      </c>
      <c r="B21255" s="2" t="str">
        <f>IFERROR(__xludf.DUMMYFUNCTION("GOOGLETRANSLATE(A21255, ""de"", ""en"")"),"Arkansas")</f>
        <v>Arkansas</v>
      </c>
    </row>
    <row r="21256">
      <c r="A21256" s="1" t="s">
        <v>21255</v>
      </c>
      <c r="B21256" s="2" t="str">
        <f>IFERROR(__xludf.DUMMYFUNCTION("GOOGLETRANSLATE(A21256, ""de"", ""en"")"),"police officer")</f>
        <v>police officer</v>
      </c>
    </row>
    <row r="21257">
      <c r="A21257" s="1" t="s">
        <v>21256</v>
      </c>
      <c r="B21257" s="2" t="str">
        <f>IFERROR(__xludf.DUMMYFUNCTION("GOOGLETRANSLATE(A21257, ""de"", ""en"")"),"used")</f>
        <v>used</v>
      </c>
    </row>
    <row r="21258">
      <c r="A21258" s="1" t="s">
        <v>21257</v>
      </c>
      <c r="B21258" s="2" t="str">
        <f>IFERROR(__xludf.DUMMYFUNCTION("GOOGLETRANSLATE(A21258, ""de"", ""en"")"),"transmitter")</f>
        <v>transmitter</v>
      </c>
    </row>
    <row r="21259">
      <c r="A21259" s="1" t="s">
        <v>21258</v>
      </c>
      <c r="B21259" s="2" t="str">
        <f>IFERROR(__xludf.DUMMYFUNCTION("GOOGLETRANSLATE(A21259, ""de"", ""en"")"),"good for nothing")</f>
        <v>good for nothing</v>
      </c>
    </row>
    <row r="21260">
      <c r="A21260" s="1" t="s">
        <v>21259</v>
      </c>
      <c r="B21260" s="2" t="str">
        <f>IFERROR(__xludf.DUMMYFUNCTION("GOOGLETRANSLATE(A21260, ""de"", ""en"")"),"thorn")</f>
        <v>thorn</v>
      </c>
    </row>
    <row r="21261">
      <c r="A21261" s="1" t="s">
        <v>21260</v>
      </c>
      <c r="B21261" s="2" t="str">
        <f>IFERROR(__xludf.DUMMYFUNCTION("GOOGLETRANSLATE(A21261, ""de"", ""en"")"),"speedy")</f>
        <v>speedy</v>
      </c>
    </row>
    <row r="21262">
      <c r="A21262" s="1" t="s">
        <v>21261</v>
      </c>
      <c r="B21262" s="2" t="str">
        <f>IFERROR(__xludf.DUMMYFUNCTION("GOOGLETRANSLATE(A21262, ""de"", ""en"")"),"Jurgen")</f>
        <v>Jurgen</v>
      </c>
    </row>
    <row r="21263">
      <c r="A21263" s="1" t="s">
        <v>21262</v>
      </c>
      <c r="B21263" s="2" t="str">
        <f>IFERROR(__xludf.DUMMYFUNCTION("GOOGLETRANSLATE(A21263, ""de"", ""en"")"),"revive")</f>
        <v>revive</v>
      </c>
    </row>
    <row r="21264">
      <c r="A21264" s="1" t="s">
        <v>21263</v>
      </c>
      <c r="B21264" s="2" t="str">
        <f>IFERROR(__xludf.DUMMYFUNCTION("GOOGLETRANSLATE(A21264, ""de"", ""en"")"),"ness")</f>
        <v>ness</v>
      </c>
    </row>
    <row r="21265">
      <c r="A21265" s="1" t="s">
        <v>21264</v>
      </c>
      <c r="B21265" s="2" t="str">
        <f>IFERROR(__xludf.DUMMYFUNCTION("GOOGLETRANSLATE(A21265, ""de"", ""en"")"),"superiors")</f>
        <v>superiors</v>
      </c>
    </row>
    <row r="21266">
      <c r="A21266" s="1" t="s">
        <v>21265</v>
      </c>
      <c r="B21266" s="2" t="str">
        <f>IFERROR(__xludf.DUMMYFUNCTION("GOOGLETRANSLATE(A21266, ""de"", ""en"")"),"benefit")</f>
        <v>benefit</v>
      </c>
    </row>
    <row r="21267">
      <c r="A21267" s="1" t="s">
        <v>21266</v>
      </c>
      <c r="B21267" s="2" t="str">
        <f>IFERROR(__xludf.DUMMYFUNCTION("GOOGLETRANSLATE(A21267, ""de"", ""en"")"),"satisfactory")</f>
        <v>satisfactory</v>
      </c>
    </row>
    <row r="21268">
      <c r="A21268" s="1" t="s">
        <v>21267</v>
      </c>
      <c r="B21268" s="2" t="str">
        <f>IFERROR(__xludf.DUMMYFUNCTION("GOOGLETRANSLATE(A21268, ""de"", ""en"")"),"trade")</f>
        <v>trade</v>
      </c>
    </row>
    <row r="21269">
      <c r="A21269" s="1" t="s">
        <v>21268</v>
      </c>
      <c r="B21269" s="2" t="str">
        <f>IFERROR(__xludf.DUMMYFUNCTION("GOOGLETRANSLATE(A21269, ""de"", ""en"")"),"subject to")</f>
        <v>subject to</v>
      </c>
    </row>
    <row r="21270">
      <c r="A21270" s="1" t="s">
        <v>21269</v>
      </c>
      <c r="B21270" s="2" t="str">
        <f>IFERROR(__xludf.DUMMYFUNCTION("GOOGLETRANSLATE(A21270, ""de"", ""en"")"),"burn off")</f>
        <v>burn off</v>
      </c>
    </row>
    <row r="21271">
      <c r="A21271" s="1" t="s">
        <v>21270</v>
      </c>
      <c r="B21271" s="2" t="str">
        <f>IFERROR(__xludf.DUMMYFUNCTION("GOOGLETRANSLATE(A21271, ""de"", ""en"")"),"disappeared ones")</f>
        <v>disappeared ones</v>
      </c>
    </row>
    <row r="21272">
      <c r="A21272" s="1" t="s">
        <v>21271</v>
      </c>
      <c r="B21272" s="2" t="str">
        <f>IFERROR(__xludf.DUMMYFUNCTION("GOOGLETRANSLATE(A21272, ""de"", ""en"")"),"eh")</f>
        <v>eh</v>
      </c>
    </row>
    <row r="21273">
      <c r="A21273" s="1" t="s">
        <v>21272</v>
      </c>
      <c r="B21273" s="2" t="str">
        <f>IFERROR(__xludf.DUMMYFUNCTION("GOOGLETRANSLATE(A21273, ""de"", ""en"")"),"reconciled")</f>
        <v>reconciled</v>
      </c>
    </row>
    <row r="21274">
      <c r="A21274" s="1" t="s">
        <v>21273</v>
      </c>
      <c r="B21274" s="2" t="str">
        <f>IFERROR(__xludf.DUMMYFUNCTION("GOOGLETRANSLATE(A21274, ""de"", ""en"")"),"chatted")</f>
        <v>chatted</v>
      </c>
    </row>
    <row r="21275">
      <c r="A21275" s="1" t="s">
        <v>21274</v>
      </c>
      <c r="B21275" s="2" t="str">
        <f>IFERROR(__xludf.DUMMYFUNCTION("GOOGLETRANSLATE(A21275, ""de"", ""en"")"),"find")</f>
        <v>find</v>
      </c>
    </row>
    <row r="21276">
      <c r="A21276" s="1" t="s">
        <v>21275</v>
      </c>
      <c r="B21276" s="2" t="str">
        <f>IFERROR(__xludf.DUMMYFUNCTION("GOOGLETRANSLATE(A21276, ""de"", ""en"")"),"turns on")</f>
        <v>turns on</v>
      </c>
    </row>
    <row r="21277">
      <c r="A21277" s="1" t="s">
        <v>21276</v>
      </c>
      <c r="B21277" s="2" t="str">
        <f>IFERROR(__xludf.DUMMYFUNCTION("GOOGLETRANSLATE(A21277, ""de"", ""en"")"),"traces of blood")</f>
        <v>traces of blood</v>
      </c>
    </row>
    <row r="21278">
      <c r="A21278" s="1" t="s">
        <v>21277</v>
      </c>
      <c r="B21278" s="2" t="str">
        <f>IFERROR(__xludf.DUMMYFUNCTION("GOOGLETRANSLATE(A21278, ""de"", ""en"")"),"disadvantages")</f>
        <v>disadvantages</v>
      </c>
    </row>
    <row r="21279">
      <c r="A21279" s="1" t="s">
        <v>21278</v>
      </c>
      <c r="B21279" s="2" t="str">
        <f>IFERROR(__xludf.DUMMYFUNCTION("GOOGLETRANSLATE(A21279, ""de"", ""en"")"),"rey")</f>
        <v>rey</v>
      </c>
    </row>
    <row r="21280">
      <c r="A21280" s="1" t="s">
        <v>21279</v>
      </c>
      <c r="B21280" s="2" t="str">
        <f>IFERROR(__xludf.DUMMYFUNCTION("GOOGLETRANSLATE(A21280, ""de"", ""en"")"),"hen")</f>
        <v>hen</v>
      </c>
    </row>
    <row r="21281">
      <c r="A21281" s="1" t="s">
        <v>21280</v>
      </c>
      <c r="B21281" s="2" t="str">
        <f>IFERROR(__xludf.DUMMYFUNCTION("GOOGLETRANSLATE(A21281, ""de"", ""en"")"),"instincts")</f>
        <v>instincts</v>
      </c>
    </row>
    <row r="21282">
      <c r="A21282" s="1" t="s">
        <v>21281</v>
      </c>
      <c r="B21282" s="2" t="str">
        <f>IFERROR(__xludf.DUMMYFUNCTION("GOOGLETRANSLATE(A21282, ""de"", ""en"")"),"opponent")</f>
        <v>opponent</v>
      </c>
    </row>
    <row r="21283">
      <c r="A21283" s="1" t="s">
        <v>21282</v>
      </c>
      <c r="B21283" s="2" t="str">
        <f>IFERROR(__xludf.DUMMYFUNCTION("GOOGLETRANSLATE(A21283, ""de"", ""en"")"),"search warrant")</f>
        <v>search warrant</v>
      </c>
    </row>
    <row r="21284">
      <c r="A21284" s="1" t="s">
        <v>21283</v>
      </c>
      <c r="B21284" s="2" t="str">
        <f>IFERROR(__xludf.DUMMYFUNCTION("GOOGLETRANSLATE(A21284, ""de"", ""en"")"),"sublime")</f>
        <v>sublime</v>
      </c>
    </row>
    <row r="21285">
      <c r="A21285" s="1" t="s">
        <v>21284</v>
      </c>
      <c r="B21285" s="2" t="str">
        <f>IFERROR(__xludf.DUMMYFUNCTION("GOOGLETRANSLATE(A21285, ""de"", ""en"")"),"henceforth")</f>
        <v>henceforth</v>
      </c>
    </row>
    <row r="21286">
      <c r="A21286" s="1" t="s">
        <v>21285</v>
      </c>
      <c r="B21286" s="2" t="str">
        <f>IFERROR(__xludf.DUMMYFUNCTION("GOOGLETRANSLATE(A21286, ""de"", ""en"")"),"tad")</f>
        <v>tad</v>
      </c>
    </row>
    <row r="21287">
      <c r="A21287" s="1" t="s">
        <v>21286</v>
      </c>
      <c r="B21287" s="2" t="str">
        <f>IFERROR(__xludf.DUMMYFUNCTION("GOOGLETRANSLATE(A21287, ""de"", ""en"")"),"babs")</f>
        <v>babs</v>
      </c>
    </row>
    <row r="21288">
      <c r="A21288" s="1" t="s">
        <v>21287</v>
      </c>
      <c r="B21288" s="2" t="str">
        <f>IFERROR(__xludf.DUMMYFUNCTION("GOOGLETRANSLATE(A21288, ""de"", ""en"")"),"hatun")</f>
        <v>hatun</v>
      </c>
    </row>
    <row r="21289">
      <c r="A21289" s="1" t="s">
        <v>21288</v>
      </c>
      <c r="B21289" s="2" t="str">
        <f>IFERROR(__xludf.DUMMYFUNCTION("GOOGLETRANSLATE(A21289, ""de"", ""en"")"),"syndrome")</f>
        <v>syndrome</v>
      </c>
    </row>
    <row r="21290">
      <c r="A21290" s="1" t="s">
        <v>21289</v>
      </c>
      <c r="B21290" s="2" t="str">
        <f>IFERROR(__xludf.DUMMYFUNCTION("GOOGLETRANSLATE(A21290, ""de"", ""en"")"),"nap")</f>
        <v>nap</v>
      </c>
    </row>
    <row r="21291">
      <c r="A21291" s="1" t="s">
        <v>21290</v>
      </c>
      <c r="B21291" s="2" t="str">
        <f>IFERROR(__xludf.DUMMYFUNCTION("GOOGLETRANSLATE(A21291, ""de"", ""en"")"),"pangs of conscience")</f>
        <v>pangs of conscience</v>
      </c>
    </row>
    <row r="21292">
      <c r="A21292" s="1" t="s">
        <v>21291</v>
      </c>
      <c r="B21292" s="2" t="str">
        <f>IFERROR(__xludf.DUMMYFUNCTION("GOOGLETRANSLATE(A21292, ""de"", ""en"")"),"hundred thousand")</f>
        <v>hundred thousand</v>
      </c>
    </row>
    <row r="21293">
      <c r="A21293" s="1" t="s">
        <v>21292</v>
      </c>
      <c r="B21293" s="2" t="str">
        <f>IFERROR(__xludf.DUMMYFUNCTION("GOOGLETRANSLATE(A21293, ""de"", ""en"")"),"idiotic")</f>
        <v>idiotic</v>
      </c>
    </row>
    <row r="21294">
      <c r="A21294" s="1" t="s">
        <v>21293</v>
      </c>
      <c r="B21294" s="2" t="str">
        <f>IFERROR(__xludf.DUMMYFUNCTION("GOOGLETRANSLATE(A21294, ""de"", ""en"")"),"breastfed")</f>
        <v>breastfed</v>
      </c>
    </row>
    <row r="21295">
      <c r="A21295" s="1" t="s">
        <v>21294</v>
      </c>
      <c r="B21295" s="2" t="str">
        <f>IFERROR(__xludf.DUMMYFUNCTION("GOOGLETRANSLATE(A21295, ""de"", ""en"")"),"tansy")</f>
        <v>tansy</v>
      </c>
    </row>
    <row r="21296">
      <c r="A21296" s="1" t="s">
        <v>21295</v>
      </c>
      <c r="B21296" s="2" t="str">
        <f>IFERROR(__xludf.DUMMYFUNCTION("GOOGLETRANSLATE(A21296, ""de"", ""en"")"),"scatter")</f>
        <v>scatter</v>
      </c>
    </row>
    <row r="21297">
      <c r="A21297" s="1" t="s">
        <v>21296</v>
      </c>
      <c r="B21297" s="2" t="str">
        <f>IFERROR(__xludf.DUMMYFUNCTION("GOOGLETRANSLATE(A21297, ""de"", ""en"")"),"fit together")</f>
        <v>fit together</v>
      </c>
    </row>
    <row r="21298">
      <c r="A21298" s="1" t="s">
        <v>21297</v>
      </c>
      <c r="B21298" s="2" t="str">
        <f>IFERROR(__xludf.DUMMYFUNCTION("GOOGLETRANSLATE(A21298, ""de"", ""en"")"),"suicide attempt")</f>
        <v>suicide attempt</v>
      </c>
    </row>
    <row r="21299">
      <c r="A21299" s="1" t="s">
        <v>21298</v>
      </c>
      <c r="B21299" s="2" t="str">
        <f>IFERROR(__xludf.DUMMYFUNCTION("GOOGLETRANSLATE(A21299, ""de"", ""en"")"),"clarice")</f>
        <v>clarice</v>
      </c>
    </row>
    <row r="21300">
      <c r="A21300" s="1" t="s">
        <v>21299</v>
      </c>
      <c r="B21300" s="2" t="str">
        <f>IFERROR(__xludf.DUMMYFUNCTION("GOOGLETRANSLATE(A21300, ""de"", ""en"")"),"glee")</f>
        <v>glee</v>
      </c>
    </row>
    <row r="21301">
      <c r="A21301" s="1" t="s">
        <v>21300</v>
      </c>
      <c r="B21301" s="2" t="str">
        <f>IFERROR(__xludf.DUMMYFUNCTION("GOOGLETRANSLATE(A21301, ""de"", ""en"")"),"ahmad")</f>
        <v>ahmad</v>
      </c>
    </row>
    <row r="21302">
      <c r="A21302" s="1" t="s">
        <v>21301</v>
      </c>
      <c r="B21302" s="2" t="str">
        <f>IFERROR(__xludf.DUMMYFUNCTION("GOOGLETRANSLATE(A21302, ""de"", ""en"")"),"slipped out")</f>
        <v>slipped out</v>
      </c>
    </row>
    <row r="21303">
      <c r="A21303" s="1" t="s">
        <v>21302</v>
      </c>
      <c r="B21303" s="2" t="str">
        <f>IFERROR(__xludf.DUMMYFUNCTION("GOOGLETRANSLATE(A21303, ""de"", ""en"")"),"replaced")</f>
        <v>replaced</v>
      </c>
    </row>
    <row r="21304">
      <c r="A21304" s="1" t="s">
        <v>21303</v>
      </c>
      <c r="B21304" s="2" t="str">
        <f>IFERROR(__xludf.DUMMYFUNCTION("GOOGLETRANSLATE(A21304, ""de"", ""en"")"),"aa")</f>
        <v>aa</v>
      </c>
    </row>
    <row r="21305">
      <c r="A21305" s="1" t="s">
        <v>21304</v>
      </c>
      <c r="B21305" s="2" t="str">
        <f>IFERROR(__xludf.DUMMYFUNCTION("GOOGLETRANSLATE(A21305, ""de"", ""en"")"),"amore")</f>
        <v>amore</v>
      </c>
    </row>
    <row r="21306">
      <c r="A21306" s="1" t="s">
        <v>21305</v>
      </c>
      <c r="B21306" s="2" t="str">
        <f>IFERROR(__xludf.DUMMYFUNCTION("GOOGLETRANSLATE(A21306, ""de"", ""en"")"),"x-rays")</f>
        <v>x-rays</v>
      </c>
    </row>
    <row r="21307">
      <c r="A21307" s="1" t="s">
        <v>21306</v>
      </c>
      <c r="B21307" s="2" t="str">
        <f>IFERROR(__xludf.DUMMYFUNCTION("GOOGLETRANSLATE(A21307, ""de"", ""en"")"),"dislocated")</f>
        <v>dislocated</v>
      </c>
    </row>
    <row r="21308">
      <c r="A21308" s="1" t="s">
        <v>21307</v>
      </c>
      <c r="B21308" s="2" t="str">
        <f>IFERROR(__xludf.DUMMYFUNCTION("GOOGLETRANSLATE(A21308, ""de"", ""en"")"),"Vancouver")</f>
        <v>Vancouver</v>
      </c>
    </row>
    <row r="21309">
      <c r="A21309" s="1" t="s">
        <v>21308</v>
      </c>
      <c r="B21309" s="2" t="str">
        <f>IFERROR(__xludf.DUMMYFUNCTION("GOOGLETRANSLATE(A21309, ""de"", ""en"")"),"undesirable")</f>
        <v>undesirable</v>
      </c>
    </row>
    <row r="21310">
      <c r="A21310" s="1" t="s">
        <v>21309</v>
      </c>
      <c r="B21310" s="2" t="str">
        <f>IFERROR(__xludf.DUMMYFUNCTION("GOOGLETRANSLATE(A21310, ""de"", ""en"")"),"popeye")</f>
        <v>popeye</v>
      </c>
    </row>
    <row r="21311">
      <c r="A21311" s="1" t="s">
        <v>21310</v>
      </c>
      <c r="B21311" s="2" t="str">
        <f>IFERROR(__xludf.DUMMYFUNCTION("GOOGLETRANSLATE(A21311, ""de"", ""en"")"),"small talk")</f>
        <v>small talk</v>
      </c>
    </row>
    <row r="21312">
      <c r="A21312" s="1" t="s">
        <v>21311</v>
      </c>
      <c r="B21312" s="2" t="str">
        <f>IFERROR(__xludf.DUMMYFUNCTION("GOOGLETRANSLATE(A21312, ""de"", ""en"")"),"inhumans")</f>
        <v>inhumans</v>
      </c>
    </row>
    <row r="21313">
      <c r="A21313" s="1" t="s">
        <v>21312</v>
      </c>
      <c r="B21313" s="2" t="str">
        <f>IFERROR(__xludf.DUMMYFUNCTION("GOOGLETRANSLATE(A21313, ""de"", ""en"")"),"hodge")</f>
        <v>hodge</v>
      </c>
    </row>
    <row r="21314">
      <c r="A21314" s="1" t="s">
        <v>21313</v>
      </c>
      <c r="B21314" s="2" t="str">
        <f>IFERROR(__xludf.DUMMYFUNCTION("GOOGLETRANSLATE(A21314, ""de"", ""en"")"),"defeats")</f>
        <v>defeats</v>
      </c>
    </row>
    <row r="21315">
      <c r="A21315" s="1" t="s">
        <v>21314</v>
      </c>
      <c r="B21315" s="2" t="str">
        <f>IFERROR(__xludf.DUMMYFUNCTION("GOOGLETRANSLATE(A21315, ""de"", ""en"")"),"Latinum")</f>
        <v>Latinum</v>
      </c>
    </row>
    <row r="21316">
      <c r="A21316" s="1" t="s">
        <v>21315</v>
      </c>
      <c r="B21316" s="2" t="str">
        <f>IFERROR(__xludf.DUMMYFUNCTION("GOOGLETRANSLATE(A21316, ""de"", ""en"")"),"burrito")</f>
        <v>burrito</v>
      </c>
    </row>
    <row r="21317">
      <c r="A21317" s="1" t="s">
        <v>21316</v>
      </c>
      <c r="B21317" s="2" t="str">
        <f>IFERROR(__xludf.DUMMYFUNCTION("GOOGLETRANSLATE(A21317, ""de"", ""en"")"),"soulmates")</f>
        <v>soulmates</v>
      </c>
    </row>
    <row r="21318">
      <c r="A21318" s="1" t="s">
        <v>21317</v>
      </c>
      <c r="B21318" s="2" t="str">
        <f>IFERROR(__xludf.DUMMYFUNCTION("GOOGLETRANSLATE(A21318, ""de"", ""en"")"),"trespassing")</f>
        <v>trespassing</v>
      </c>
    </row>
    <row r="21319">
      <c r="A21319" s="1" t="s">
        <v>21318</v>
      </c>
      <c r="B21319" s="2" t="str">
        <f>IFERROR(__xludf.DUMMYFUNCTION("GOOGLETRANSLATE(A21319, ""de"", ""en"")"),"coup")</f>
        <v>coup</v>
      </c>
    </row>
    <row r="21320">
      <c r="A21320" s="1" t="s">
        <v>21319</v>
      </c>
      <c r="B21320" s="2" t="str">
        <f>IFERROR(__xludf.DUMMYFUNCTION("GOOGLETRANSLATE(A21320, ""de"", ""en"")"),"serling")</f>
        <v>serling</v>
      </c>
    </row>
    <row r="21321">
      <c r="A21321" s="1" t="s">
        <v>21320</v>
      </c>
      <c r="B21321" s="2" t="str">
        <f>IFERROR(__xludf.DUMMYFUNCTION("GOOGLETRANSLATE(A21321, ""de"", ""en"")"),"tao")</f>
        <v>tao</v>
      </c>
    </row>
    <row r="21322">
      <c r="A21322" s="1" t="s">
        <v>21321</v>
      </c>
      <c r="B21322" s="2" t="str">
        <f>IFERROR(__xludf.DUMMYFUNCTION("GOOGLETRANSLATE(A21322, ""de"", ""en"")"),"hugs")</f>
        <v>hugs</v>
      </c>
    </row>
    <row r="21323">
      <c r="A21323" s="1" t="s">
        <v>21322</v>
      </c>
      <c r="B21323" s="2" t="str">
        <f>IFERROR(__xludf.DUMMYFUNCTION("GOOGLETRANSLATE(A21323, ""de"", ""en"")"),"states")</f>
        <v>states</v>
      </c>
    </row>
    <row r="21324">
      <c r="A21324" s="1" t="s">
        <v>21323</v>
      </c>
      <c r="B21324" s="2" t="str">
        <f>IFERROR(__xludf.DUMMYFUNCTION("GOOGLETRANSLATE(A21324, ""de"", ""en"")"),"pavilion")</f>
        <v>pavilion</v>
      </c>
    </row>
    <row r="21325">
      <c r="A21325" s="1" t="s">
        <v>21324</v>
      </c>
      <c r="B21325" s="2" t="str">
        <f>IFERROR(__xludf.DUMMYFUNCTION("GOOGLETRANSLATE(A21325, ""de"", ""en"")"),"get lost")</f>
        <v>get lost</v>
      </c>
    </row>
    <row r="21326">
      <c r="A21326" s="1" t="s">
        <v>21325</v>
      </c>
      <c r="B21326" s="2" t="str">
        <f>IFERROR(__xludf.DUMMYFUNCTION("GOOGLETRANSLATE(A21326, ""de"", ""en"")"),"annual")</f>
        <v>annual</v>
      </c>
    </row>
    <row r="21327">
      <c r="A21327" s="1" t="s">
        <v>21326</v>
      </c>
      <c r="B21327" s="2" t="str">
        <f>IFERROR(__xludf.DUMMYFUNCTION("GOOGLETRANSLATE(A21327, ""de"", ""en"")"),"willing")</f>
        <v>willing</v>
      </c>
    </row>
    <row r="21328">
      <c r="A21328" s="1" t="s">
        <v>21327</v>
      </c>
      <c r="B21328" s="2" t="str">
        <f>IFERROR(__xludf.DUMMYFUNCTION("GOOGLETRANSLATE(A21328, ""de"", ""en"")"),"stock market regulator")</f>
        <v>stock market regulator</v>
      </c>
    </row>
    <row r="21329">
      <c r="A21329" s="1" t="s">
        <v>21328</v>
      </c>
      <c r="B21329" s="2" t="str">
        <f>IFERROR(__xludf.DUMMYFUNCTION("GOOGLETRANSLATE(A21329, ""de"", ""en"")"),"good.")</f>
        <v>good.</v>
      </c>
    </row>
    <row r="21330">
      <c r="A21330" s="1" t="s">
        <v>21329</v>
      </c>
      <c r="B21330" s="2" t="str">
        <f>IFERROR(__xludf.DUMMYFUNCTION("GOOGLETRANSLATE(A21330, ""de"", ""en"")"),"yusuf")</f>
        <v>yusuf</v>
      </c>
    </row>
    <row r="21331">
      <c r="A21331" s="1" t="s">
        <v>21330</v>
      </c>
      <c r="B21331" s="2" t="str">
        <f>IFERROR(__xludf.DUMMYFUNCTION("GOOGLETRANSLATE(A21331, ""de"", ""en"")"),"Italian")</f>
        <v>Italian</v>
      </c>
    </row>
    <row r="21332">
      <c r="A21332" s="1" t="s">
        <v>21331</v>
      </c>
      <c r="B21332" s="2" t="str">
        <f>IFERROR(__xludf.DUMMYFUNCTION("GOOGLETRANSLATE(A21332, ""de"", ""en"")"),"blame")</f>
        <v>blame</v>
      </c>
    </row>
    <row r="21333">
      <c r="A21333" s="1" t="s">
        <v>21332</v>
      </c>
      <c r="B21333" s="2" t="str">
        <f>IFERROR(__xludf.DUMMYFUNCTION("GOOGLETRANSLATE(A21333, ""de"", ""en"")"),"strapped in")</f>
        <v>strapped in</v>
      </c>
    </row>
    <row r="21334">
      <c r="A21334" s="1" t="s">
        <v>21333</v>
      </c>
      <c r="B21334" s="2" t="str">
        <f>IFERROR(__xludf.DUMMYFUNCTION("GOOGLETRANSLATE(A21334, ""de"", ""en"")"),"sioux")</f>
        <v>sioux</v>
      </c>
    </row>
    <row r="21335">
      <c r="A21335" s="1" t="s">
        <v>21334</v>
      </c>
      <c r="B21335" s="2" t="str">
        <f>IFERROR(__xludf.DUMMYFUNCTION("GOOGLETRANSLATE(A21335, ""de"", ""en"")"),"sawmill")</f>
        <v>sawmill</v>
      </c>
    </row>
    <row r="21336">
      <c r="A21336" s="1" t="s">
        <v>21335</v>
      </c>
      <c r="B21336" s="2" t="str">
        <f>IFERROR(__xludf.DUMMYFUNCTION("GOOGLETRANSLATE(A21336, ""de"", ""en"")"),"bettina")</f>
        <v>bettina</v>
      </c>
    </row>
    <row r="21337">
      <c r="A21337" s="1" t="s">
        <v>21336</v>
      </c>
      <c r="B21337" s="2" t="str">
        <f>IFERROR(__xludf.DUMMYFUNCTION("GOOGLETRANSLATE(A21337, ""de"", ""en"")"),"limited")</f>
        <v>limited</v>
      </c>
    </row>
    <row r="21338">
      <c r="A21338" s="1" t="s">
        <v>21337</v>
      </c>
      <c r="B21338" s="2" t="str">
        <f>IFERROR(__xludf.DUMMYFUNCTION("GOOGLETRANSLATE(A21338, ""de"", ""en"")"),"be together")</f>
        <v>be together</v>
      </c>
    </row>
    <row r="21339">
      <c r="A21339" s="1" t="s">
        <v>21338</v>
      </c>
      <c r="B21339" s="2" t="str">
        <f>IFERROR(__xludf.DUMMYFUNCTION("GOOGLETRANSLATE(A21339, ""de"", ""en"")"),"physical")</f>
        <v>physical</v>
      </c>
    </row>
    <row r="21340">
      <c r="A21340" s="1" t="s">
        <v>21339</v>
      </c>
      <c r="B21340" s="2" t="str">
        <f>IFERROR(__xludf.DUMMYFUNCTION("GOOGLETRANSLATE(A21340, ""de"", ""en"")"),"communist")</f>
        <v>communist</v>
      </c>
    </row>
    <row r="21341">
      <c r="A21341" s="1" t="s">
        <v>21340</v>
      </c>
      <c r="B21341" s="2" t="str">
        <f>IFERROR(__xludf.DUMMYFUNCTION("GOOGLETRANSLATE(A21341, ""de"", ""en"")"),"Sabbath")</f>
        <v>Sabbath</v>
      </c>
    </row>
    <row r="21342">
      <c r="A21342" s="1" t="s">
        <v>21341</v>
      </c>
      <c r="B21342" s="2" t="str">
        <f>IFERROR(__xludf.DUMMYFUNCTION("GOOGLETRANSLATE(A21342, ""de"", ""en"")"),"jokes")</f>
        <v>jokes</v>
      </c>
    </row>
    <row r="21343">
      <c r="A21343" s="1" t="s">
        <v>21342</v>
      </c>
      <c r="B21343" s="2" t="str">
        <f>IFERROR(__xludf.DUMMYFUNCTION("GOOGLETRANSLATE(A21343, ""de"", ""en"")"),"abdomen")</f>
        <v>abdomen</v>
      </c>
    </row>
    <row r="21344">
      <c r="A21344" s="1" t="s">
        <v>21343</v>
      </c>
      <c r="B21344" s="2" t="str">
        <f>IFERROR(__xludf.DUMMYFUNCTION("GOOGLETRANSLATE(A21344, ""de"", ""en"")"),"pepper spray")</f>
        <v>pepper spray</v>
      </c>
    </row>
    <row r="21345">
      <c r="A21345" s="1" t="s">
        <v>21344</v>
      </c>
      <c r="B21345" s="2" t="str">
        <f>IFERROR(__xludf.DUMMYFUNCTION("GOOGLETRANSLATE(A21345, ""de"", ""en"")"),"reciprocity")</f>
        <v>reciprocity</v>
      </c>
    </row>
    <row r="21346">
      <c r="A21346" s="1" t="s">
        <v>21345</v>
      </c>
      <c r="B21346" s="2" t="str">
        <f>IFERROR(__xludf.DUMMYFUNCTION("GOOGLETRANSLATE(A21346, ""de"", ""en"")"),"boy")</f>
        <v>boy</v>
      </c>
    </row>
    <row r="21347">
      <c r="A21347" s="1" t="s">
        <v>21346</v>
      </c>
      <c r="B21347" s="2" t="str">
        <f>IFERROR(__xludf.DUMMYFUNCTION("GOOGLETRANSLATE(A21347, ""de"", ""en"")"),"bestseller")</f>
        <v>bestseller</v>
      </c>
    </row>
    <row r="21348">
      <c r="A21348" s="1" t="s">
        <v>21347</v>
      </c>
      <c r="B21348" s="2" t="str">
        <f>IFERROR(__xludf.DUMMYFUNCTION("GOOGLETRANSLATE(A21348, ""de"", ""en"")"),"ready")</f>
        <v>ready</v>
      </c>
    </row>
    <row r="21349">
      <c r="A21349" s="1" t="s">
        <v>21348</v>
      </c>
      <c r="B21349" s="2" t="str">
        <f>IFERROR(__xludf.DUMMYFUNCTION("GOOGLETRANSLATE(A21349, ""de"", ""en"")"),"park")</f>
        <v>park</v>
      </c>
    </row>
    <row r="21350">
      <c r="A21350" s="1" t="s">
        <v>21349</v>
      </c>
      <c r="B21350" s="2" t="str">
        <f>IFERROR(__xludf.DUMMYFUNCTION("GOOGLETRANSLATE(A21350, ""de"", ""en"")"),"gaia")</f>
        <v>gaia</v>
      </c>
    </row>
    <row r="21351">
      <c r="A21351" s="1" t="s">
        <v>21350</v>
      </c>
      <c r="B21351" s="2" t="str">
        <f>IFERROR(__xludf.DUMMYFUNCTION("GOOGLETRANSLATE(A21351, ""de"", ""en"")"),"allow")</f>
        <v>allow</v>
      </c>
    </row>
    <row r="21352">
      <c r="A21352" s="1" t="s">
        <v>21351</v>
      </c>
      <c r="B21352" s="2" t="str">
        <f>IFERROR(__xludf.DUMMYFUNCTION("GOOGLETRANSLATE(A21352, ""de"", ""en"")"),"sneaky")</f>
        <v>sneaky</v>
      </c>
    </row>
    <row r="21353">
      <c r="A21353" s="1" t="s">
        <v>21352</v>
      </c>
      <c r="B21353" s="2" t="str">
        <f>IFERROR(__xludf.DUMMYFUNCTION("GOOGLETRANSLATE(A21353, ""de"", ""en"")"),"interrupt")</f>
        <v>interrupt</v>
      </c>
    </row>
    <row r="21354">
      <c r="A21354" s="1" t="s">
        <v>21353</v>
      </c>
      <c r="B21354" s="2" t="str">
        <f>IFERROR(__xludf.DUMMYFUNCTION("GOOGLETRANSLATE(A21354, ""de"", ""en"")"),"post")</f>
        <v>post</v>
      </c>
    </row>
    <row r="21355">
      <c r="A21355" s="1" t="s">
        <v>21354</v>
      </c>
      <c r="B21355" s="2" t="str">
        <f>IFERROR(__xludf.DUMMYFUNCTION("GOOGLETRANSLATE(A21355, ""de"", ""en"")"),"Gertrude")</f>
        <v>Gertrude</v>
      </c>
    </row>
    <row r="21356">
      <c r="A21356" s="1" t="s">
        <v>21355</v>
      </c>
      <c r="B21356" s="2" t="str">
        <f>IFERROR(__xludf.DUMMYFUNCTION("GOOGLETRANSLATE(A21356, ""de"", ""en"")"),"disgusting")</f>
        <v>disgusting</v>
      </c>
    </row>
    <row r="21357">
      <c r="A21357" s="1" t="s">
        <v>21356</v>
      </c>
      <c r="B21357" s="2" t="str">
        <f>IFERROR(__xludf.DUMMYFUNCTION("GOOGLETRANSLATE(A21357, ""de"", ""en"")"),"roge")</f>
        <v>roge</v>
      </c>
    </row>
    <row r="21358">
      <c r="A21358" s="1" t="s">
        <v>21357</v>
      </c>
      <c r="B21358" s="2" t="str">
        <f>IFERROR(__xludf.DUMMYFUNCTION("GOOGLETRANSLATE(A21358, ""de"", ""en"")"),"Columbus")</f>
        <v>Columbus</v>
      </c>
    </row>
    <row r="21359">
      <c r="A21359" s="1" t="s">
        <v>21358</v>
      </c>
      <c r="B21359" s="2" t="str">
        <f>IFERROR(__xludf.DUMMYFUNCTION("GOOGLETRANSLATE(A21359, ""de"", ""en"")"),"words")</f>
        <v>words</v>
      </c>
    </row>
    <row r="21360">
      <c r="A21360" s="1" t="s">
        <v>21359</v>
      </c>
      <c r="B21360" s="2" t="str">
        <f>IFERROR(__xludf.DUMMYFUNCTION("GOOGLETRANSLATE(A21360, ""de"", ""en"")"),"choppy")</f>
        <v>choppy</v>
      </c>
    </row>
    <row r="21361">
      <c r="A21361" s="1" t="s">
        <v>21360</v>
      </c>
      <c r="B21361" s="2" t="str">
        <f>IFERROR(__xludf.DUMMYFUNCTION("GOOGLETRANSLATE(A21361, ""de"", ""en"")"),"thrown")</f>
        <v>thrown</v>
      </c>
    </row>
    <row r="21362">
      <c r="A21362" s="1" t="s">
        <v>21361</v>
      </c>
      <c r="B21362" s="2" t="str">
        <f>IFERROR(__xludf.DUMMYFUNCTION("GOOGLETRANSLATE(A21362, ""de"", ""en"")"),"holocaust")</f>
        <v>holocaust</v>
      </c>
    </row>
    <row r="21363">
      <c r="A21363" s="1" t="s">
        <v>21362</v>
      </c>
      <c r="B21363" s="2" t="str">
        <f>IFERROR(__xludf.DUMMYFUNCTION("GOOGLETRANSLATE(A21363, ""de"", ""en"")"),"blessed")</f>
        <v>blessed</v>
      </c>
    </row>
    <row r="21364">
      <c r="A21364" s="1" t="s">
        <v>21363</v>
      </c>
      <c r="B21364" s="2" t="str">
        <f>IFERROR(__xludf.DUMMYFUNCTION("GOOGLETRANSLATE(A21364, ""de"", ""en"")"),"warriors")</f>
        <v>warriors</v>
      </c>
    </row>
    <row r="21365">
      <c r="A21365" s="1" t="s">
        <v>21364</v>
      </c>
      <c r="B21365" s="2" t="str">
        <f>IFERROR(__xludf.DUMMYFUNCTION("GOOGLETRANSLATE(A21365, ""de"", ""en"")"),"atwood")</f>
        <v>atwood</v>
      </c>
    </row>
    <row r="21366">
      <c r="A21366" s="1" t="s">
        <v>21365</v>
      </c>
      <c r="B21366" s="2" t="str">
        <f>IFERROR(__xludf.DUMMYFUNCTION("GOOGLETRANSLATE(A21366, ""de"", ""en"")"),"united")</f>
        <v>united</v>
      </c>
    </row>
    <row r="21367">
      <c r="A21367" s="1" t="s">
        <v>21366</v>
      </c>
      <c r="B21367" s="2" t="str">
        <f>IFERROR(__xludf.DUMMYFUNCTION("GOOGLETRANSLATE(A21367, ""de"", ""en"")"),"strum")</f>
        <v>strum</v>
      </c>
    </row>
    <row r="21368">
      <c r="A21368" s="1" t="s">
        <v>21367</v>
      </c>
      <c r="B21368" s="2" t="str">
        <f>IFERROR(__xludf.DUMMYFUNCTION("GOOGLETRANSLATE(A21368, ""de"", ""en"")"),"suitable")</f>
        <v>suitable</v>
      </c>
    </row>
    <row r="21369">
      <c r="A21369" s="1" t="s">
        <v>21368</v>
      </c>
      <c r="B21369" s="2" t="str">
        <f>IFERROR(__xludf.DUMMYFUNCTION("GOOGLETRANSLATE(A21369, ""de"", ""en"")"),"unconsciously")</f>
        <v>unconsciously</v>
      </c>
    </row>
    <row r="21370">
      <c r="A21370" s="1" t="s">
        <v>21369</v>
      </c>
      <c r="B21370" s="2" t="str">
        <f>IFERROR(__xludf.DUMMYFUNCTION("GOOGLETRANSLATE(A21370, ""de"", ""en"")"),"washed")</f>
        <v>washed</v>
      </c>
    </row>
    <row r="21371">
      <c r="A21371" s="1" t="s">
        <v>21370</v>
      </c>
      <c r="B21371" s="2" t="str">
        <f>IFERROR(__xludf.DUMMYFUNCTION("GOOGLETRANSLATE(A21371, ""de"", ""en"")"),"solve")</f>
        <v>solve</v>
      </c>
    </row>
    <row r="21372">
      <c r="A21372" s="1" t="s">
        <v>21371</v>
      </c>
      <c r="B21372" s="2" t="str">
        <f>IFERROR(__xludf.DUMMYFUNCTION("GOOGLETRANSLATE(A21372, ""de"", ""en"")"),"airline")</f>
        <v>airline</v>
      </c>
    </row>
    <row r="21373">
      <c r="A21373" s="1" t="s">
        <v>21372</v>
      </c>
      <c r="B21373" s="2" t="str">
        <f>IFERROR(__xludf.DUMMYFUNCTION("GOOGLETRANSLATE(A21373, ""de"", ""en"")"),"clair")</f>
        <v>clair</v>
      </c>
    </row>
    <row r="21374">
      <c r="A21374" s="1" t="s">
        <v>21373</v>
      </c>
      <c r="B21374" s="2" t="str">
        <f>IFERROR(__xludf.DUMMYFUNCTION("GOOGLETRANSLATE(A21374, ""de"", ""en"")"),"gene")</f>
        <v>gene</v>
      </c>
    </row>
    <row r="21375">
      <c r="A21375" s="1" t="s">
        <v>21374</v>
      </c>
      <c r="B21375" s="2" t="str">
        <f>IFERROR(__xludf.DUMMYFUNCTION("GOOGLETRANSLATE(A21375, ""de"", ""en"")"),"hera")</f>
        <v>hera</v>
      </c>
    </row>
    <row r="21376">
      <c r="A21376" s="1" t="s">
        <v>21375</v>
      </c>
      <c r="B21376" s="2" t="str">
        <f>IFERROR(__xludf.DUMMYFUNCTION("GOOGLETRANSLATE(A21376, ""de"", ""en"")"),"to catch up")</f>
        <v>to catch up</v>
      </c>
    </row>
    <row r="21377">
      <c r="A21377" s="1" t="s">
        <v>21376</v>
      </c>
      <c r="B21377" s="2" t="str">
        <f>IFERROR(__xludf.DUMMYFUNCTION("GOOGLETRANSLATE(A21377, ""de"", ""en"")"),"life support")</f>
        <v>life support</v>
      </c>
    </row>
    <row r="21378">
      <c r="A21378" s="1" t="s">
        <v>21377</v>
      </c>
      <c r="B21378" s="2" t="str">
        <f>IFERROR(__xludf.DUMMYFUNCTION("GOOGLETRANSLATE(A21378, ""de"", ""en"")"),"blaze")</f>
        <v>blaze</v>
      </c>
    </row>
    <row r="21379">
      <c r="A21379" s="1" t="s">
        <v>21378</v>
      </c>
      <c r="B21379" s="2" t="str">
        <f>IFERROR(__xludf.DUMMYFUNCTION("GOOGLETRANSLATE(A21379, ""de"", ""en"")"),"appropriate")</f>
        <v>appropriate</v>
      </c>
    </row>
    <row r="21380">
      <c r="A21380" s="1" t="s">
        <v>21379</v>
      </c>
      <c r="B21380" s="2" t="str">
        <f>IFERROR(__xludf.DUMMYFUNCTION("GOOGLETRANSLATE(A21380, ""de"", ""en"")"),"begs")</f>
        <v>begs</v>
      </c>
    </row>
    <row r="21381">
      <c r="A21381" s="1" t="s">
        <v>21380</v>
      </c>
      <c r="B21381" s="2" t="str">
        <f>IFERROR(__xludf.DUMMYFUNCTION("GOOGLETRANSLATE(A21381, ""de"", ""en"")"),"term of office")</f>
        <v>term of office</v>
      </c>
    </row>
    <row r="21382">
      <c r="A21382" s="1" t="s">
        <v>21381</v>
      </c>
      <c r="B21382" s="2" t="str">
        <f>IFERROR(__xludf.DUMMYFUNCTION("GOOGLETRANSLATE(A21382, ""de"", ""en"")"),"finally")</f>
        <v>finally</v>
      </c>
    </row>
    <row r="21383">
      <c r="A21383" s="1" t="s">
        <v>21382</v>
      </c>
      <c r="B21383" s="2" t="str">
        <f>IFERROR(__xludf.DUMMYFUNCTION("GOOGLETRANSLATE(A21383, ""de"", ""en"")"),"celebrated")</f>
        <v>celebrated</v>
      </c>
    </row>
    <row r="21384">
      <c r="A21384" s="1" t="s">
        <v>21383</v>
      </c>
      <c r="B21384" s="2" t="str">
        <f>IFERROR(__xludf.DUMMYFUNCTION("GOOGLETRANSLATE(A21384, ""de"", ""en"")"),"monterey")</f>
        <v>monterey</v>
      </c>
    </row>
    <row r="21385">
      <c r="A21385" s="1" t="s">
        <v>21384</v>
      </c>
      <c r="B21385" s="2" t="str">
        <f>IFERROR(__xludf.DUMMYFUNCTION("GOOGLETRANSLATE(A21385, ""de"", ""en"")"),"impact")</f>
        <v>impact</v>
      </c>
    </row>
    <row r="21386">
      <c r="A21386" s="1" t="s">
        <v>21385</v>
      </c>
      <c r="B21386" s="2" t="str">
        <f>IFERROR(__xludf.DUMMYFUNCTION("GOOGLETRANSLATE(A21386, ""de"", ""en"")"),"raccoons")</f>
        <v>raccoons</v>
      </c>
    </row>
    <row r="21387">
      <c r="A21387" s="1" t="s">
        <v>21386</v>
      </c>
      <c r="B21387" s="2" t="str">
        <f>IFERROR(__xludf.DUMMYFUNCTION("GOOGLETRANSLATE(A21387, ""de"", ""en"")"),"steward")</f>
        <v>steward</v>
      </c>
    </row>
    <row r="21388">
      <c r="A21388" s="1" t="s">
        <v>21387</v>
      </c>
      <c r="B21388" s="2" t="str">
        <f>IFERROR(__xludf.DUMMYFUNCTION("GOOGLETRANSLATE(A21388, ""de"", ""en"")"),"fei")</f>
        <v>fei</v>
      </c>
    </row>
    <row r="21389">
      <c r="A21389" s="1" t="s">
        <v>21388</v>
      </c>
      <c r="B21389" s="2" t="str">
        <f>IFERROR(__xludf.DUMMYFUNCTION("GOOGLETRANSLATE(A21389, ""de"", ""en"")"),"Jeanie")</f>
        <v>Jeanie</v>
      </c>
    </row>
    <row r="21390">
      <c r="A21390" s="1" t="s">
        <v>21389</v>
      </c>
      <c r="B21390" s="2" t="str">
        <f>IFERROR(__xludf.DUMMYFUNCTION("GOOGLETRANSLATE(A21390, ""de"", ""en"")"),"hope")</f>
        <v>hope</v>
      </c>
    </row>
    <row r="21391">
      <c r="A21391" s="1" t="s">
        <v>21390</v>
      </c>
      <c r="B21391" s="2" t="str">
        <f>IFERROR(__xludf.DUMMYFUNCTION("GOOGLETRANSLATE(A21391, ""de"", ""en"")"),"iv.")</f>
        <v>iv.</v>
      </c>
    </row>
    <row r="21392">
      <c r="A21392" s="1" t="s">
        <v>21391</v>
      </c>
      <c r="B21392" s="2" t="str">
        <f>IFERROR(__xludf.DUMMYFUNCTION("GOOGLETRANSLATE(A21392, ""de"", ""en"")"),"tavern")</f>
        <v>tavern</v>
      </c>
    </row>
    <row r="21393">
      <c r="A21393" s="1" t="s">
        <v>21392</v>
      </c>
      <c r="B21393" s="2" t="str">
        <f>IFERROR(__xludf.DUMMYFUNCTION("GOOGLETRANSLATE(A21393, ""de"", ""en"")"),"pay tribute")</f>
        <v>pay tribute</v>
      </c>
    </row>
    <row r="21394">
      <c r="A21394" s="1" t="s">
        <v>21393</v>
      </c>
      <c r="B21394" s="2" t="str">
        <f>IFERROR(__xludf.DUMMYFUNCTION("GOOGLETRANSLATE(A21394, ""de"", ""en"")"),"strangled")</f>
        <v>strangled</v>
      </c>
    </row>
    <row r="21395">
      <c r="A21395" s="1" t="s">
        <v>21394</v>
      </c>
      <c r="B21395" s="2" t="str">
        <f>IFERROR(__xludf.DUMMYFUNCTION("GOOGLETRANSLATE(A21395, ""de"", ""en"")"),"Elisa")</f>
        <v>Elisa</v>
      </c>
    </row>
    <row r="21396">
      <c r="A21396" s="1" t="s">
        <v>21395</v>
      </c>
      <c r="B21396" s="2" t="str">
        <f>IFERROR(__xludf.DUMMYFUNCTION("GOOGLETRANSLATE(A21396, ""de"", ""en"")"),"Honolulu")</f>
        <v>Honolulu</v>
      </c>
    </row>
    <row r="21397">
      <c r="A21397" s="1" t="s">
        <v>21396</v>
      </c>
      <c r="B21397" s="2" t="str">
        <f>IFERROR(__xludf.DUMMYFUNCTION("GOOGLETRANSLATE(A21397, ""de"", ""en"")"),"served")</f>
        <v>served</v>
      </c>
    </row>
    <row r="21398">
      <c r="A21398" s="1" t="s">
        <v>21397</v>
      </c>
      <c r="B21398" s="2" t="str">
        <f>IFERROR(__xludf.DUMMYFUNCTION("GOOGLETRANSLATE(A21398, ""de"", ""en"")"),"DOS")</f>
        <v>DOS</v>
      </c>
    </row>
    <row r="21399">
      <c r="A21399" s="1" t="s">
        <v>21398</v>
      </c>
      <c r="B21399" s="2" t="str">
        <f>IFERROR(__xludf.DUMMYFUNCTION("GOOGLETRANSLATE(A21399, ""de"", ""en"")"),"charity")</f>
        <v>charity</v>
      </c>
    </row>
    <row r="21400">
      <c r="A21400" s="1" t="s">
        <v>21399</v>
      </c>
      <c r="B21400" s="2" t="str">
        <f>IFERROR(__xludf.DUMMYFUNCTION("GOOGLETRANSLATE(A21400, ""de"", ""en"")"),"moments")</f>
        <v>moments</v>
      </c>
    </row>
    <row r="21401">
      <c r="A21401" s="1" t="s">
        <v>21400</v>
      </c>
      <c r="B21401" s="2" t="str">
        <f>IFERROR(__xludf.DUMMYFUNCTION("GOOGLETRANSLATE(A21401, ""de"", ""en"")"),"schillinger")</f>
        <v>schillinger</v>
      </c>
    </row>
    <row r="21402">
      <c r="A21402" s="1" t="s">
        <v>21401</v>
      </c>
      <c r="B21402" s="2" t="str">
        <f>IFERROR(__xludf.DUMMYFUNCTION("GOOGLETRANSLATE(A21402, ""de"", ""en"")"),"pagan")</f>
        <v>pagan</v>
      </c>
    </row>
    <row r="21403">
      <c r="A21403" s="1" t="s">
        <v>21402</v>
      </c>
      <c r="B21403" s="2" t="str">
        <f>IFERROR(__xludf.DUMMYFUNCTION("GOOGLETRANSLATE(A21403, ""de"", ""en"")"),"ashamed")</f>
        <v>ashamed</v>
      </c>
    </row>
    <row r="21404">
      <c r="A21404" s="1" t="s">
        <v>21403</v>
      </c>
      <c r="B21404" s="2" t="str">
        <f>IFERROR(__xludf.DUMMYFUNCTION("GOOGLETRANSLATE(A21404, ""de"", ""en"")"),"scratched")</f>
        <v>scratched</v>
      </c>
    </row>
    <row r="21405">
      <c r="A21405" s="1" t="s">
        <v>21404</v>
      </c>
      <c r="B21405" s="2" t="str">
        <f>IFERROR(__xludf.DUMMYFUNCTION("GOOGLETRANSLATE(A21405, ""de"", ""en"")"),"Eisenhower")</f>
        <v>Eisenhower</v>
      </c>
    </row>
    <row r="21406">
      <c r="A21406" s="1" t="s">
        <v>21405</v>
      </c>
      <c r="B21406" s="2" t="str">
        <f>IFERROR(__xludf.DUMMYFUNCTION("GOOGLETRANSLATE(A21406, ""de"", ""en"")"),"mice")</f>
        <v>mice</v>
      </c>
    </row>
    <row r="21407">
      <c r="A21407" s="1" t="s">
        <v>21406</v>
      </c>
      <c r="B21407" s="2" t="str">
        <f>IFERROR(__xludf.DUMMYFUNCTION("GOOGLETRANSLATE(A21407, ""de"", ""en"")"),"social welfare office")</f>
        <v>social welfare office</v>
      </c>
    </row>
    <row r="21408">
      <c r="A21408" s="1" t="s">
        <v>21407</v>
      </c>
      <c r="B21408" s="2" t="str">
        <f>IFERROR(__xludf.DUMMYFUNCTION("GOOGLETRANSLATE(A21408, ""de"", ""en"")"),"croak")</f>
        <v>croak</v>
      </c>
    </row>
    <row r="21409">
      <c r="A21409" s="1" t="s">
        <v>21408</v>
      </c>
      <c r="B21409" s="2" t="str">
        <f>IFERROR(__xludf.DUMMYFUNCTION("GOOGLETRANSLATE(A21409, ""de"", ""en"")"),"clave")</f>
        <v>clave</v>
      </c>
    </row>
    <row r="21410">
      <c r="A21410" s="1" t="s">
        <v>21409</v>
      </c>
      <c r="B21410" s="2" t="str">
        <f>IFERROR(__xludf.DUMMYFUNCTION("GOOGLETRANSLATE(A21410, ""de"", ""en"")"),"arrange")</f>
        <v>arrange</v>
      </c>
    </row>
    <row r="21411">
      <c r="A21411" s="1" t="s">
        <v>21410</v>
      </c>
      <c r="B21411" s="2" t="str">
        <f>IFERROR(__xludf.DUMMYFUNCTION("GOOGLETRANSLATE(A21411, ""de"", ""en"")"),"white")</f>
        <v>white</v>
      </c>
    </row>
    <row r="21412">
      <c r="A21412" s="1" t="s">
        <v>21411</v>
      </c>
      <c r="B21412" s="2" t="str">
        <f>IFERROR(__xludf.DUMMYFUNCTION("GOOGLETRANSLATE(A21412, ""de"", ""en"")"),"reduced")</f>
        <v>reduced</v>
      </c>
    </row>
    <row r="21413">
      <c r="A21413" s="1" t="s">
        <v>21412</v>
      </c>
      <c r="B21413" s="2" t="str">
        <f>IFERROR(__xludf.DUMMYFUNCTION("GOOGLETRANSLATE(A21413, ""de"", ""en"")"),"loony bin")</f>
        <v>loony bin</v>
      </c>
    </row>
    <row r="21414">
      <c r="A21414" s="1" t="s">
        <v>21413</v>
      </c>
      <c r="B21414" s="2" t="str">
        <f>IFERROR(__xludf.DUMMYFUNCTION("GOOGLETRANSLATE(A21414, ""de"", ""en"")"),"tosh")</f>
        <v>tosh</v>
      </c>
    </row>
    <row r="21415">
      <c r="A21415" s="1" t="s">
        <v>21414</v>
      </c>
      <c r="B21415" s="2" t="str">
        <f>IFERROR(__xludf.DUMMYFUNCTION("GOOGLETRANSLATE(A21415, ""de"", ""en"")"),"coffee")</f>
        <v>coffee</v>
      </c>
    </row>
    <row r="21416">
      <c r="A21416" s="1" t="s">
        <v>21415</v>
      </c>
      <c r="B21416" s="2" t="str">
        <f>IFERROR(__xludf.DUMMYFUNCTION("GOOGLETRANSLATE(A21416, ""de"", ""en"")"),"quarter")</f>
        <v>quarter</v>
      </c>
    </row>
    <row r="21417">
      <c r="A21417" s="1" t="s">
        <v>21416</v>
      </c>
      <c r="B21417" s="2" t="str">
        <f>IFERROR(__xludf.DUMMYFUNCTION("GOOGLETRANSLATE(A21417, ""de"", ""en"")"),"follow")</f>
        <v>follow</v>
      </c>
    </row>
    <row r="21418">
      <c r="A21418" s="1" t="s">
        <v>21417</v>
      </c>
      <c r="B21418" s="2" t="str">
        <f>IFERROR(__xludf.DUMMYFUNCTION("GOOGLETRANSLATE(A21418, ""de"", ""en"")"),"horse")</f>
        <v>horse</v>
      </c>
    </row>
    <row r="21419">
      <c r="A21419" s="1" t="s">
        <v>21418</v>
      </c>
      <c r="B21419" s="2" t="str">
        <f>IFERROR(__xludf.DUMMYFUNCTION("GOOGLETRANSLATE(A21419, ""de"", ""en"")"),"remained silent")</f>
        <v>remained silent</v>
      </c>
    </row>
    <row r="21420">
      <c r="A21420" s="1" t="s">
        <v>21419</v>
      </c>
      <c r="B21420" s="2" t="str">
        <f>IFERROR(__xludf.DUMMYFUNCTION("GOOGLETRANSLATE(A21420, ""de"", ""en"")"),"qui")</f>
        <v>qui</v>
      </c>
    </row>
    <row r="21421">
      <c r="A21421" s="1" t="s">
        <v>21420</v>
      </c>
      <c r="B21421" s="2" t="str">
        <f>IFERROR(__xludf.DUMMYFUNCTION("GOOGLETRANSLATE(A21421, ""de"", ""en"")"),"safari")</f>
        <v>safari</v>
      </c>
    </row>
    <row r="21422">
      <c r="A21422" s="1" t="s">
        <v>21421</v>
      </c>
      <c r="B21422" s="2" t="str">
        <f>IFERROR(__xludf.DUMMYFUNCTION("GOOGLETRANSLATE(A21422, ""de"", ""en"")"),"dead tired")</f>
        <v>dead tired</v>
      </c>
    </row>
    <row r="21423">
      <c r="A21423" s="1" t="s">
        <v>21422</v>
      </c>
      <c r="B21423" s="2" t="str">
        <f>IFERROR(__xludf.DUMMYFUNCTION("GOOGLETRANSLATE(A21423, ""de"", ""en"")"),"doctor")</f>
        <v>doctor</v>
      </c>
    </row>
    <row r="21424">
      <c r="A21424" s="1" t="s">
        <v>21423</v>
      </c>
      <c r="B21424" s="2" t="str">
        <f>IFERROR(__xludf.DUMMYFUNCTION("GOOGLETRANSLATE(A21424, ""de"", ""en"")"),"included")</f>
        <v>included</v>
      </c>
    </row>
    <row r="21425">
      <c r="A21425" s="1" t="s">
        <v>21424</v>
      </c>
      <c r="B21425" s="2" t="str">
        <f>IFERROR(__xludf.DUMMYFUNCTION("GOOGLETRANSLATE(A21425, ""de"", ""en"")"),"full time")</f>
        <v>full time</v>
      </c>
    </row>
    <row r="21426">
      <c r="A21426" s="1" t="s">
        <v>21425</v>
      </c>
      <c r="B21426" s="2" t="str">
        <f>IFERROR(__xludf.DUMMYFUNCTION("GOOGLETRANSLATE(A21426, ""de"", ""en"")"),"Saturn")</f>
        <v>Saturn</v>
      </c>
    </row>
    <row r="21427">
      <c r="A21427" s="1" t="s">
        <v>21426</v>
      </c>
      <c r="B21427" s="2" t="str">
        <f>IFERROR(__xludf.DUMMYFUNCTION("GOOGLETRANSLATE(A21427, ""de"", ""en"")"),"rafe")</f>
        <v>rafe</v>
      </c>
    </row>
    <row r="21428">
      <c r="A21428" s="1" t="s">
        <v>21427</v>
      </c>
      <c r="B21428" s="2" t="str">
        <f>IFERROR(__xludf.DUMMYFUNCTION("GOOGLETRANSLATE(A21428, ""de"", ""en"")"),"bane")</f>
        <v>bane</v>
      </c>
    </row>
    <row r="21429">
      <c r="A21429" s="1" t="s">
        <v>21428</v>
      </c>
      <c r="B21429" s="2" t="str">
        <f>IFERROR(__xludf.DUMMYFUNCTION("GOOGLETRANSLATE(A21429, ""de"", ""en"")"),"touch")</f>
        <v>touch</v>
      </c>
    </row>
    <row r="21430">
      <c r="A21430" s="1" t="s">
        <v>21429</v>
      </c>
      <c r="B21430" s="2" t="str">
        <f>IFERROR(__xludf.DUMMYFUNCTION("GOOGLETRANSLATE(A21430, ""de"", ""en"")"),"lock away")</f>
        <v>lock away</v>
      </c>
    </row>
    <row r="21431">
      <c r="A21431" s="1" t="s">
        <v>21430</v>
      </c>
      <c r="B21431" s="2" t="str">
        <f>IFERROR(__xludf.DUMMYFUNCTION("GOOGLETRANSLATE(A21431, ""de"", ""en"")"),"janes")</f>
        <v>janes</v>
      </c>
    </row>
    <row r="21432">
      <c r="A21432" s="1" t="s">
        <v>21431</v>
      </c>
      <c r="B21432" s="2" t="str">
        <f>IFERROR(__xludf.DUMMYFUNCTION("GOOGLETRANSLATE(A21432, ""de"", ""en"")"),"guard dog")</f>
        <v>guard dog</v>
      </c>
    </row>
    <row r="21433">
      <c r="A21433" s="1" t="s">
        <v>21432</v>
      </c>
      <c r="B21433" s="2" t="str">
        <f>IFERROR(__xludf.DUMMYFUNCTION("GOOGLETRANSLATE(A21433, ""de"", ""en"")"),"preschool")</f>
        <v>preschool</v>
      </c>
    </row>
    <row r="21434">
      <c r="A21434" s="1" t="s">
        <v>21433</v>
      </c>
      <c r="B21434" s="2" t="str">
        <f>IFERROR(__xludf.DUMMYFUNCTION("GOOGLETRANSLATE(A21434, ""de"", ""en"")"),"horne")</f>
        <v>horne</v>
      </c>
    </row>
    <row r="21435">
      <c r="A21435" s="1" t="s">
        <v>21434</v>
      </c>
      <c r="B21435" s="2" t="str">
        <f>IFERROR(__xludf.DUMMYFUNCTION("GOOGLETRANSLATE(A21435, ""de"", ""en"")"),"married couple")</f>
        <v>married couple</v>
      </c>
    </row>
    <row r="21436">
      <c r="A21436" s="1" t="s">
        <v>21435</v>
      </c>
      <c r="B21436" s="2" t="str">
        <f>IFERROR(__xludf.DUMMYFUNCTION("GOOGLETRANSLATE(A21436, ""de"", ""en"")"),"cry")</f>
        <v>cry</v>
      </c>
    </row>
    <row r="21437">
      <c r="A21437" s="1" t="s">
        <v>21436</v>
      </c>
      <c r="B21437" s="2" t="str">
        <f>IFERROR(__xludf.DUMMYFUNCTION("GOOGLETRANSLATE(A21437, ""de"", ""en"")"),"begged")</f>
        <v>begged</v>
      </c>
    </row>
    <row r="21438">
      <c r="A21438" s="1" t="s">
        <v>21437</v>
      </c>
      <c r="B21438" s="2" t="str">
        <f>IFERROR(__xludf.DUMMYFUNCTION("GOOGLETRANSLATE(A21438, ""de"", ""en"")"),"objection")</f>
        <v>objection</v>
      </c>
    </row>
    <row r="21439">
      <c r="A21439" s="1" t="s">
        <v>21438</v>
      </c>
      <c r="B21439" s="2" t="str">
        <f>IFERROR(__xludf.DUMMYFUNCTION("GOOGLETRANSLATE(A21439, ""de"", ""en"")"),"woo")</f>
        <v>woo</v>
      </c>
    </row>
    <row r="21440">
      <c r="A21440" s="1" t="s">
        <v>21439</v>
      </c>
      <c r="B21440" s="2" t="str">
        <f>IFERROR(__xludf.DUMMYFUNCTION("GOOGLETRANSLATE(A21440, ""de"", ""en"")"),"argue")</f>
        <v>argue</v>
      </c>
    </row>
    <row r="21441">
      <c r="A21441" s="1" t="s">
        <v>21440</v>
      </c>
      <c r="B21441" s="2" t="str">
        <f>IFERROR(__xludf.DUMMYFUNCTION("GOOGLETRANSLATE(A21441, ""de"", ""en"")"),"called on the phone")</f>
        <v>called on the phone</v>
      </c>
    </row>
    <row r="21442">
      <c r="A21442" s="1" t="s">
        <v>21441</v>
      </c>
      <c r="B21442" s="2" t="str">
        <f>IFERROR(__xludf.DUMMYFUNCTION("GOOGLETRANSLATE(A21442, ""de"", ""en"")"),"aroma")</f>
        <v>aroma</v>
      </c>
    </row>
    <row r="21443">
      <c r="A21443" s="1" t="s">
        <v>21442</v>
      </c>
      <c r="B21443" s="2" t="str">
        <f>IFERROR(__xludf.DUMMYFUNCTION("GOOGLETRANSLATE(A21443, ""de"", ""en"")"),"Geller")</f>
        <v>Geller</v>
      </c>
    </row>
    <row r="21444">
      <c r="A21444" s="1" t="s">
        <v>21443</v>
      </c>
      <c r="B21444" s="2" t="str">
        <f>IFERROR(__xludf.DUMMYFUNCTION("GOOGLETRANSLATE(A21444, ""de"", ""en"")"),"chirp")</f>
        <v>chirp</v>
      </c>
    </row>
    <row r="21445">
      <c r="A21445" s="1" t="s">
        <v>21444</v>
      </c>
      <c r="B21445" s="2" t="str">
        <f>IFERROR(__xludf.DUMMYFUNCTION("GOOGLETRANSLATE(A21445, ""de"", ""en"")"),"predicted")</f>
        <v>predicted</v>
      </c>
    </row>
    <row r="21446">
      <c r="A21446" s="1" t="s">
        <v>21445</v>
      </c>
      <c r="B21446" s="2" t="str">
        <f>IFERROR(__xludf.DUMMYFUNCTION("GOOGLETRANSLATE(A21446, ""de"", ""en"")"),"Protestants")</f>
        <v>Protestants</v>
      </c>
    </row>
    <row r="21447">
      <c r="A21447" s="1" t="s">
        <v>21446</v>
      </c>
      <c r="B21447" s="2" t="str">
        <f>IFERROR(__xludf.DUMMYFUNCTION("GOOGLETRANSLATE(A21447, ""de"", ""en"")"),"measles")</f>
        <v>measles</v>
      </c>
    </row>
    <row r="21448">
      <c r="A21448" s="1" t="s">
        <v>21447</v>
      </c>
      <c r="B21448" s="2" t="str">
        <f>IFERROR(__xludf.DUMMYFUNCTION("GOOGLETRANSLATE(A21448, ""de"", ""en"")"),"gardens")</f>
        <v>gardens</v>
      </c>
    </row>
    <row r="21449">
      <c r="A21449" s="1" t="s">
        <v>21448</v>
      </c>
      <c r="B21449" s="2" t="str">
        <f>IFERROR(__xludf.DUMMYFUNCTION("GOOGLETRANSLATE(A21449, ""de"", ""en"")"),"lion")</f>
        <v>lion</v>
      </c>
    </row>
    <row r="21450">
      <c r="A21450" s="1" t="s">
        <v>21449</v>
      </c>
      <c r="B21450" s="2" t="str">
        <f>IFERROR(__xludf.DUMMYFUNCTION("GOOGLETRANSLATE(A21450, ""de"", ""en"")"),"stab wounds")</f>
        <v>stab wounds</v>
      </c>
    </row>
    <row r="21451">
      <c r="A21451" s="1" t="s">
        <v>21450</v>
      </c>
      <c r="B21451" s="2" t="str">
        <f>IFERROR(__xludf.DUMMYFUNCTION("GOOGLETRANSLATE(A21451, ""de"", ""en"")"),"hiroshi")</f>
        <v>hiroshi</v>
      </c>
    </row>
    <row r="21452">
      <c r="A21452" s="1" t="s">
        <v>21451</v>
      </c>
      <c r="B21452" s="2" t="str">
        <f>IFERROR(__xludf.DUMMYFUNCTION("GOOGLETRANSLATE(A21452, ""de"", ""en"")"),"strawberry")</f>
        <v>strawberry</v>
      </c>
    </row>
    <row r="21453">
      <c r="A21453" s="1" t="s">
        <v>21452</v>
      </c>
      <c r="B21453" s="2" t="str">
        <f>IFERROR(__xludf.DUMMYFUNCTION("GOOGLETRANSLATE(A21453, ""de"", ""en"")"),"marshalls")</f>
        <v>marshalls</v>
      </c>
    </row>
    <row r="21454">
      <c r="A21454" s="1" t="s">
        <v>21453</v>
      </c>
      <c r="B21454" s="2" t="str">
        <f>IFERROR(__xludf.DUMMYFUNCTION("GOOGLETRANSLATE(A21454, ""de"", ""en"")"),"insult")</f>
        <v>insult</v>
      </c>
    </row>
    <row r="21455">
      <c r="A21455" s="1" t="s">
        <v>21454</v>
      </c>
      <c r="B21455" s="2" t="str">
        <f>IFERROR(__xludf.DUMMYFUNCTION("GOOGLETRANSLATE(A21455, ""de"", ""en"")"),"chatter")</f>
        <v>chatter</v>
      </c>
    </row>
    <row r="21456">
      <c r="A21456" s="1" t="s">
        <v>21455</v>
      </c>
      <c r="B21456" s="2" t="str">
        <f>IFERROR(__xludf.DUMMYFUNCTION("GOOGLETRANSLATE(A21456, ""de"", ""en"")"),"copperfield")</f>
        <v>copperfield</v>
      </c>
    </row>
    <row r="21457">
      <c r="A21457" s="1" t="s">
        <v>21456</v>
      </c>
      <c r="B21457" s="2" t="str">
        <f>IFERROR(__xludf.DUMMYFUNCTION("GOOGLETRANSLATE(A21457, ""de"", ""en"")"),"driving")</f>
        <v>driving</v>
      </c>
    </row>
    <row r="21458">
      <c r="A21458" s="1" t="s">
        <v>21457</v>
      </c>
      <c r="B21458" s="2" t="str">
        <f>IFERROR(__xludf.DUMMYFUNCTION("GOOGLETRANSLATE(A21458, ""de"", ""en"")"),"or")</f>
        <v>or</v>
      </c>
    </row>
    <row r="21459">
      <c r="A21459" s="1" t="s">
        <v>21458</v>
      </c>
      <c r="B21459" s="2" t="str">
        <f>IFERROR(__xludf.DUMMYFUNCTION("GOOGLETRANSLATE(A21459, ""de"", ""en"")"),"maliciously")</f>
        <v>maliciously</v>
      </c>
    </row>
    <row r="21460">
      <c r="A21460" s="1" t="s">
        <v>21459</v>
      </c>
      <c r="B21460" s="2" t="str">
        <f>IFERROR(__xludf.DUMMYFUNCTION("GOOGLETRANSLATE(A21460, ""de"", ""en"")"),"Moritz")</f>
        <v>Moritz</v>
      </c>
    </row>
    <row r="21461">
      <c r="A21461" s="1" t="s">
        <v>21460</v>
      </c>
      <c r="B21461" s="2" t="str">
        <f>IFERROR(__xludf.DUMMYFUNCTION("GOOGLETRANSLATE(A21461, ""de"", ""en"")"),"takes off")</f>
        <v>takes off</v>
      </c>
    </row>
    <row r="21462">
      <c r="A21462" s="1" t="s">
        <v>21461</v>
      </c>
      <c r="B21462" s="2" t="str">
        <f>IFERROR(__xludf.DUMMYFUNCTION("GOOGLETRANSLATE(A21462, ""de"", ""en"")"),"bliss")</f>
        <v>bliss</v>
      </c>
    </row>
    <row r="21463">
      <c r="A21463" s="1" t="s">
        <v>21462</v>
      </c>
      <c r="B21463" s="2" t="str">
        <f>IFERROR(__xludf.DUMMYFUNCTION("GOOGLETRANSLATE(A21463, ""de"", ""en"")"),"mix")</f>
        <v>mix</v>
      </c>
    </row>
    <row r="21464">
      <c r="A21464" s="1" t="s">
        <v>21463</v>
      </c>
      <c r="B21464" s="2" t="str">
        <f>IFERROR(__xludf.DUMMYFUNCTION("GOOGLETRANSLATE(A21464, ""de"", ""en"")"),"more historical")</f>
        <v>more historical</v>
      </c>
    </row>
    <row r="21465">
      <c r="A21465" s="1" t="s">
        <v>21464</v>
      </c>
      <c r="B21465" s="2" t="str">
        <f>IFERROR(__xludf.DUMMYFUNCTION("GOOGLETRANSLATE(A21465, ""de"", ""en"")"),"Swedish")</f>
        <v>Swedish</v>
      </c>
    </row>
    <row r="21466">
      <c r="A21466" s="1" t="s">
        <v>21465</v>
      </c>
      <c r="B21466" s="2" t="str">
        <f>IFERROR(__xludf.DUMMYFUNCTION("GOOGLETRANSLATE(A21466, ""de"", ""en"")"),"disqualified")</f>
        <v>disqualified</v>
      </c>
    </row>
    <row r="21467">
      <c r="A21467" s="1" t="s">
        <v>21466</v>
      </c>
      <c r="B21467" s="2" t="str">
        <f>IFERROR(__xludf.DUMMYFUNCTION("GOOGLETRANSLATE(A21467, ""de"", ""en"")"),"manager")</f>
        <v>manager</v>
      </c>
    </row>
    <row r="21468">
      <c r="A21468" s="1" t="s">
        <v>21467</v>
      </c>
      <c r="B21468" s="2" t="str">
        <f>IFERROR(__xludf.DUMMYFUNCTION("GOOGLETRANSLATE(A21468, ""de"", ""en"")"),"insomnia")</f>
        <v>insomnia</v>
      </c>
    </row>
    <row r="21469">
      <c r="A21469" s="1" t="s">
        <v>21468</v>
      </c>
      <c r="B21469" s="2" t="str">
        <f>IFERROR(__xludf.DUMMYFUNCTION("GOOGLETRANSLATE(A21469, ""de"", ""en"")"),"take a bite")</f>
        <v>take a bite</v>
      </c>
    </row>
    <row r="21470">
      <c r="A21470" s="1" t="s">
        <v>21469</v>
      </c>
      <c r="B21470" s="2" t="str">
        <f>IFERROR(__xludf.DUMMYFUNCTION("GOOGLETRANSLATE(A21470, ""de"", ""en"")"),"weekly")</f>
        <v>weekly</v>
      </c>
    </row>
    <row r="21471">
      <c r="A21471" s="1" t="s">
        <v>21470</v>
      </c>
      <c r="B21471" s="2" t="str">
        <f>IFERROR(__xludf.DUMMYFUNCTION("GOOGLETRANSLATE(A21471, ""de"", ""en"")"),"addresses")</f>
        <v>addresses</v>
      </c>
    </row>
    <row r="21472">
      <c r="A21472" s="1" t="s">
        <v>21471</v>
      </c>
      <c r="B21472" s="2" t="str">
        <f>IFERROR(__xludf.DUMMYFUNCTION("GOOGLETRANSLATE(A21472, ""de"", ""en"")"),"sharona")</f>
        <v>sharona</v>
      </c>
    </row>
    <row r="21473">
      <c r="A21473" s="1" t="s">
        <v>21472</v>
      </c>
      <c r="B21473" s="2" t="str">
        <f>IFERROR(__xludf.DUMMYFUNCTION("GOOGLETRANSLATE(A21473, ""de"", ""en"")"),"tea")</f>
        <v>tea</v>
      </c>
    </row>
    <row r="21474">
      <c r="A21474" s="1" t="s">
        <v>21473</v>
      </c>
      <c r="B21474" s="2" t="str">
        <f>IFERROR(__xludf.DUMMYFUNCTION("GOOGLETRANSLATE(A21474, ""de"", ""en"")"),"dona")</f>
        <v>dona</v>
      </c>
    </row>
    <row r="21475">
      <c r="A21475" s="1" t="s">
        <v>21474</v>
      </c>
      <c r="B21475" s="2" t="str">
        <f>IFERROR(__xludf.DUMMYFUNCTION("GOOGLETRANSLATE(A21475, ""de"", ""en"")"),"outside team")</f>
        <v>outside team</v>
      </c>
    </row>
    <row r="21476">
      <c r="A21476" s="1" t="s">
        <v>21475</v>
      </c>
      <c r="B21476" s="2" t="str">
        <f>IFERROR(__xludf.DUMMYFUNCTION("GOOGLETRANSLATE(A21476, ""de"", ""en"")"),"pour")</f>
        <v>pour</v>
      </c>
    </row>
    <row r="21477">
      <c r="A21477" s="1" t="s">
        <v>21476</v>
      </c>
      <c r="B21477" s="2" t="str">
        <f>IFERROR(__xludf.DUMMYFUNCTION("GOOGLETRANSLATE(A21477, ""de"", ""en"")"),"flowers")</f>
        <v>flowers</v>
      </c>
    </row>
    <row r="21478">
      <c r="A21478" s="1" t="s">
        <v>21477</v>
      </c>
      <c r="B21478" s="2" t="str">
        <f>IFERROR(__xludf.DUMMYFUNCTION("GOOGLETRANSLATE(A21478, ""de"", ""en"")"),"fighter")</f>
        <v>fighter</v>
      </c>
    </row>
    <row r="21479">
      <c r="A21479" s="1" t="s">
        <v>21478</v>
      </c>
      <c r="B21479" s="2" t="str">
        <f>IFERROR(__xludf.DUMMYFUNCTION("GOOGLETRANSLATE(A21479, ""de"", ""en"")"),"room number")</f>
        <v>room number</v>
      </c>
    </row>
    <row r="21480">
      <c r="A21480" s="1" t="s">
        <v>21479</v>
      </c>
      <c r="B21480" s="2" t="str">
        <f>IFERROR(__xludf.DUMMYFUNCTION("GOOGLETRANSLATE(A21480, ""de"", ""en"")"),"castor")</f>
        <v>castor</v>
      </c>
    </row>
    <row r="21481">
      <c r="A21481" s="1" t="s">
        <v>21480</v>
      </c>
      <c r="B21481" s="2" t="str">
        <f>IFERROR(__xludf.DUMMYFUNCTION("GOOGLETRANSLATE(A21481, ""de"", ""en"")"),"chief physician")</f>
        <v>chief physician</v>
      </c>
    </row>
    <row r="21482">
      <c r="A21482" s="1" t="s">
        <v>21481</v>
      </c>
      <c r="B21482" s="2" t="str">
        <f>IFERROR(__xludf.DUMMYFUNCTION("GOOGLETRANSLATE(A21482, ""de"", ""en"")"),"vacuum")</f>
        <v>vacuum</v>
      </c>
    </row>
    <row r="21483">
      <c r="A21483" s="1" t="s">
        <v>21482</v>
      </c>
      <c r="B21483" s="2" t="str">
        <f>IFERROR(__xludf.DUMMYFUNCTION("GOOGLETRANSLATE(A21483, ""de"", ""en"")"),"bret")</f>
        <v>bret</v>
      </c>
    </row>
    <row r="21484">
      <c r="A21484" s="1" t="s">
        <v>21483</v>
      </c>
      <c r="B21484" s="2" t="str">
        <f>IFERROR(__xludf.DUMMYFUNCTION("GOOGLETRANSLATE(A21484, ""de"", ""en"")"),"took over")</f>
        <v>took over</v>
      </c>
    </row>
    <row r="21485">
      <c r="A21485" s="1" t="s">
        <v>21484</v>
      </c>
      <c r="B21485" s="2" t="str">
        <f>IFERROR(__xludf.DUMMYFUNCTION("GOOGLETRANSLATE(A21485, ""de"", ""en"")"),"alternately")</f>
        <v>alternately</v>
      </c>
    </row>
    <row r="21486">
      <c r="A21486" s="1" t="s">
        <v>21485</v>
      </c>
      <c r="B21486" s="2" t="str">
        <f>IFERROR(__xludf.DUMMYFUNCTION("GOOGLETRANSLATE(A21486, ""de"", ""en"")"),"nothing at all")</f>
        <v>nothing at all</v>
      </c>
    </row>
    <row r="21487">
      <c r="A21487" s="1" t="s">
        <v>21486</v>
      </c>
      <c r="B21487" s="2" t="str">
        <f>IFERROR(__xludf.DUMMYFUNCTION("GOOGLETRANSLATE(A21487, ""de"", ""en"")"),"henceforth")</f>
        <v>henceforth</v>
      </c>
    </row>
    <row r="21488">
      <c r="A21488" s="1" t="s">
        <v>21487</v>
      </c>
      <c r="B21488" s="2" t="str">
        <f>IFERROR(__xludf.DUMMYFUNCTION("GOOGLETRANSLATE(A21488, ""de"", ""en"")"),"sow")</f>
        <v>sow</v>
      </c>
    </row>
    <row r="21489">
      <c r="A21489" s="1" t="s">
        <v>21488</v>
      </c>
      <c r="B21489" s="2" t="str">
        <f>IFERROR(__xludf.DUMMYFUNCTION("GOOGLETRANSLATE(A21489, ""de"", ""en"")"),"clothed")</f>
        <v>clothed</v>
      </c>
    </row>
    <row r="21490">
      <c r="A21490" s="1" t="s">
        <v>21489</v>
      </c>
      <c r="B21490" s="2" t="str">
        <f>IFERROR(__xludf.DUMMYFUNCTION("GOOGLETRANSLATE(A21490, ""de"", ""en"")"),"whispered")</f>
        <v>whispered</v>
      </c>
    </row>
    <row r="21491">
      <c r="A21491" s="1" t="s">
        <v>21490</v>
      </c>
      <c r="B21491" s="2" t="str">
        <f>IFERROR(__xludf.DUMMYFUNCTION("GOOGLETRANSLATE(A21491, ""de"", ""en"")"),"mockery")</f>
        <v>mockery</v>
      </c>
    </row>
    <row r="21492">
      <c r="A21492" s="1" t="s">
        <v>21491</v>
      </c>
      <c r="B21492" s="2" t="str">
        <f>IFERROR(__xludf.DUMMYFUNCTION("GOOGLETRANSLATE(A21492, ""de"", ""en"")"),"drovers")</f>
        <v>drovers</v>
      </c>
    </row>
    <row r="21493">
      <c r="A21493" s="1" t="s">
        <v>21492</v>
      </c>
      <c r="B21493" s="2" t="str">
        <f>IFERROR(__xludf.DUMMYFUNCTION("GOOGLETRANSLATE(A21493, ""de"", ""en"")"),"metal")</f>
        <v>metal</v>
      </c>
    </row>
    <row r="21494">
      <c r="A21494" s="1" t="s">
        <v>21493</v>
      </c>
      <c r="B21494" s="2" t="str">
        <f>IFERROR(__xludf.DUMMYFUNCTION("GOOGLETRANSLATE(A21494, ""de"", ""en"")"),"damaged")</f>
        <v>damaged</v>
      </c>
    </row>
    <row r="21495">
      <c r="A21495" s="1" t="s">
        <v>21494</v>
      </c>
      <c r="B21495" s="2" t="str">
        <f>IFERROR(__xludf.DUMMYFUNCTION("GOOGLETRANSLATE(A21495, ""de"", ""en"")"),"memme")</f>
        <v>memme</v>
      </c>
    </row>
    <row r="21496">
      <c r="A21496" s="1" t="s">
        <v>21495</v>
      </c>
      <c r="B21496" s="2" t="str">
        <f>IFERROR(__xludf.DUMMYFUNCTION("GOOGLETRANSLATE(A21496, ""de"", ""en"")"),"wrestling")</f>
        <v>wrestling</v>
      </c>
    </row>
    <row r="21497">
      <c r="A21497" s="1" t="s">
        <v>21496</v>
      </c>
      <c r="B21497" s="2" t="str">
        <f>IFERROR(__xludf.DUMMYFUNCTION("GOOGLETRANSLATE(A21497, ""de"", ""en"")"),"organic")</f>
        <v>organic</v>
      </c>
    </row>
    <row r="21498">
      <c r="A21498" s="1" t="s">
        <v>21497</v>
      </c>
      <c r="B21498" s="2" t="str">
        <f>IFERROR(__xludf.DUMMYFUNCTION("GOOGLETRANSLATE(A21498, ""de"", ""en"")"),"bens")</f>
        <v>bens</v>
      </c>
    </row>
    <row r="21499">
      <c r="A21499" s="1" t="s">
        <v>21498</v>
      </c>
      <c r="B21499" s="2" t="str">
        <f>IFERROR(__xludf.DUMMYFUNCTION("GOOGLETRANSLATE(A21499, ""de"", ""en"")"),"enid")</f>
        <v>enid</v>
      </c>
    </row>
    <row r="21500">
      <c r="A21500" s="1" t="s">
        <v>21499</v>
      </c>
      <c r="B21500" s="2" t="str">
        <f>IFERROR(__xludf.DUMMYFUNCTION("GOOGLETRANSLATE(A21500, ""de"", ""en"")"),"ocean")</f>
        <v>ocean</v>
      </c>
    </row>
    <row r="21501">
      <c r="A21501" s="1" t="s">
        <v>21500</v>
      </c>
      <c r="B21501" s="2" t="str">
        <f>IFERROR(__xludf.DUMMYFUNCTION("GOOGLETRANSLATE(A21501, ""de"", ""en"")"),"measured")</f>
        <v>measured</v>
      </c>
    </row>
    <row r="21502">
      <c r="A21502" s="1" t="s">
        <v>21501</v>
      </c>
      <c r="B21502" s="2" t="str">
        <f>IFERROR(__xludf.DUMMYFUNCTION("GOOGLETRANSLATE(A21502, ""de"", ""en"")"),"dependency")</f>
        <v>dependency</v>
      </c>
    </row>
    <row r="21503">
      <c r="A21503" s="1" t="s">
        <v>21502</v>
      </c>
      <c r="B21503" s="2" t="str">
        <f>IFERROR(__xludf.DUMMYFUNCTION("GOOGLETRANSLATE(A21503, ""de"", ""en"")"),"web")</f>
        <v>web</v>
      </c>
    </row>
    <row r="21504">
      <c r="A21504" s="1" t="s">
        <v>21503</v>
      </c>
      <c r="B21504" s="2" t="str">
        <f>IFERROR(__xludf.DUMMYFUNCTION("GOOGLETRANSLATE(A21504, ""de"", ""en"")"),"back")</f>
        <v>back</v>
      </c>
    </row>
    <row r="21505">
      <c r="A21505" s="1" t="s">
        <v>21504</v>
      </c>
      <c r="B21505" s="2" t="str">
        <f>IFERROR(__xludf.DUMMYFUNCTION("GOOGLETRANSLATE(A21505, ""de"", ""en"")"),"more useful")</f>
        <v>more useful</v>
      </c>
    </row>
    <row r="21506">
      <c r="A21506" s="1" t="s">
        <v>21505</v>
      </c>
      <c r="B21506" s="2" t="str">
        <f>IFERROR(__xludf.DUMMYFUNCTION("GOOGLETRANSLATE(A21506, ""de"", ""en"")"),"villages")</f>
        <v>villages</v>
      </c>
    </row>
    <row r="21507">
      <c r="A21507" s="1" t="s">
        <v>21506</v>
      </c>
      <c r="B21507" s="2" t="str">
        <f>IFERROR(__xludf.DUMMYFUNCTION("GOOGLETRANSLATE(A21507, ""de"", ""en"")"),"cactus")</f>
        <v>cactus</v>
      </c>
    </row>
    <row r="21508">
      <c r="A21508" s="1" t="s">
        <v>21507</v>
      </c>
      <c r="B21508" s="2" t="str">
        <f>IFERROR(__xludf.DUMMYFUNCTION("GOOGLETRANSLATE(A21508, ""de"", ""en"")"),"clear away")</f>
        <v>clear away</v>
      </c>
    </row>
    <row r="21509">
      <c r="A21509" s="1" t="s">
        <v>21508</v>
      </c>
      <c r="B21509" s="2" t="str">
        <f>IFERROR(__xludf.DUMMYFUNCTION("GOOGLETRANSLATE(A21509, ""de"", ""en"")"),"crooked")</f>
        <v>crooked</v>
      </c>
    </row>
    <row r="21510">
      <c r="A21510" s="1" t="s">
        <v>21509</v>
      </c>
      <c r="B21510" s="2" t="str">
        <f>IFERROR(__xludf.DUMMYFUNCTION("GOOGLETRANSLATE(A21510, ""de"", ""en"")"),"min.")</f>
        <v>min.</v>
      </c>
    </row>
    <row r="21511">
      <c r="A21511" s="1" t="s">
        <v>21510</v>
      </c>
      <c r="B21511" s="2" t="str">
        <f>IFERROR(__xludf.DUMMYFUNCTION("GOOGLETRANSLATE(A21511, ""de"", ""en"")"),"ruin")</f>
        <v>ruin</v>
      </c>
    </row>
    <row r="21512">
      <c r="A21512" s="1" t="s">
        <v>21511</v>
      </c>
      <c r="B21512" s="2" t="str">
        <f>IFERROR(__xludf.DUMMYFUNCTION("GOOGLETRANSLATE(A21512, ""de"", ""en"")"),"mowing")</f>
        <v>mowing</v>
      </c>
    </row>
    <row r="21513">
      <c r="A21513" s="1" t="s">
        <v>21512</v>
      </c>
      <c r="B21513" s="2" t="str">
        <f>IFERROR(__xludf.DUMMYFUNCTION("GOOGLETRANSLATE(A21513, ""de"", ""en"")"),"soho")</f>
        <v>soho</v>
      </c>
    </row>
    <row r="21514">
      <c r="A21514" s="1" t="s">
        <v>21513</v>
      </c>
      <c r="B21514" s="2" t="str">
        <f>IFERROR(__xludf.DUMMYFUNCTION("GOOGLETRANSLATE(A21514, ""de"", ""en"")"),"bolt")</f>
        <v>bolt</v>
      </c>
    </row>
    <row r="21515">
      <c r="A21515" s="1" t="s">
        <v>21514</v>
      </c>
      <c r="B21515" s="2" t="str">
        <f>IFERROR(__xludf.DUMMYFUNCTION("GOOGLETRANSLATE(A21515, ""de"", ""en"")"),"intercom")</f>
        <v>intercom</v>
      </c>
    </row>
    <row r="21516">
      <c r="A21516" s="1" t="s">
        <v>21515</v>
      </c>
      <c r="B21516" s="2" t="str">
        <f>IFERROR(__xludf.DUMMYFUNCTION("GOOGLETRANSLATE(A21516, ""de"", ""en"")"),"to object")</f>
        <v>to object</v>
      </c>
    </row>
    <row r="21517">
      <c r="A21517" s="1" t="s">
        <v>21516</v>
      </c>
      <c r="B21517" s="2" t="str">
        <f>IFERROR(__xludf.DUMMYFUNCTION("GOOGLETRANSLATE(A21517, ""de"", ""en"")"),"crushed")</f>
        <v>crushed</v>
      </c>
    </row>
    <row r="21518">
      <c r="A21518" s="1" t="s">
        <v>21517</v>
      </c>
      <c r="B21518" s="2" t="str">
        <f>IFERROR(__xludf.DUMMYFUNCTION("GOOGLETRANSLATE(A21518, ""de"", ""en"")"),"horoscope")</f>
        <v>horoscope</v>
      </c>
    </row>
    <row r="21519">
      <c r="A21519" s="1" t="s">
        <v>21518</v>
      </c>
      <c r="B21519" s="2" t="str">
        <f>IFERROR(__xludf.DUMMYFUNCTION("GOOGLETRANSLATE(A21519, ""de"", ""en"")"),"feel")</f>
        <v>feel</v>
      </c>
    </row>
    <row r="21520">
      <c r="A21520" s="1" t="s">
        <v>21519</v>
      </c>
      <c r="B21520" s="2" t="str">
        <f>IFERROR(__xludf.DUMMYFUNCTION("GOOGLETRANSLATE(A21520, ""de"", ""en"")"),"meow")</f>
        <v>meow</v>
      </c>
    </row>
    <row r="21521">
      <c r="A21521" s="1" t="s">
        <v>21520</v>
      </c>
      <c r="B21521" s="2" t="str">
        <f>IFERROR(__xludf.DUMMYFUNCTION("GOOGLETRANSLATE(A21521, ""de"", ""en"")"),"irma")</f>
        <v>irma</v>
      </c>
    </row>
    <row r="21522">
      <c r="A21522" s="1" t="s">
        <v>21521</v>
      </c>
      <c r="B21522" s="2" t="str">
        <f>IFERROR(__xludf.DUMMYFUNCTION("GOOGLETRANSLATE(A21522, ""de"", ""en"")"),"skateboard")</f>
        <v>skateboard</v>
      </c>
    </row>
    <row r="21523">
      <c r="A21523" s="1" t="s">
        <v>21522</v>
      </c>
      <c r="B21523" s="2" t="str">
        <f>IFERROR(__xludf.DUMMYFUNCTION("GOOGLETRANSLATE(A21523, ""de"", ""en"")"),"arteries")</f>
        <v>arteries</v>
      </c>
    </row>
    <row r="21524">
      <c r="A21524" s="1" t="s">
        <v>21523</v>
      </c>
      <c r="B21524" s="2" t="str">
        <f>IFERROR(__xludf.DUMMYFUNCTION("GOOGLETRANSLATE(A21524, ""de"", ""en"")"),"request")</f>
        <v>request</v>
      </c>
    </row>
    <row r="21525">
      <c r="A21525" s="1" t="s">
        <v>21524</v>
      </c>
      <c r="B21525" s="2" t="str">
        <f>IFERROR(__xludf.DUMMYFUNCTION("GOOGLETRANSLATE(A21525, ""de"", ""en"")"),"ole")</f>
        <v>ole</v>
      </c>
    </row>
    <row r="21526">
      <c r="A21526" s="1" t="s">
        <v>21525</v>
      </c>
      <c r="B21526" s="2" t="str">
        <f>IFERROR(__xludf.DUMMYFUNCTION("GOOGLETRANSLATE(A21526, ""de"", ""en"")"),"birkhoff")</f>
        <v>birkhoff</v>
      </c>
    </row>
    <row r="21527">
      <c r="A21527" s="1" t="s">
        <v>21526</v>
      </c>
      <c r="B21527" s="2" t="str">
        <f>IFERROR(__xludf.DUMMYFUNCTION("GOOGLETRANSLATE(A21527, ""de"", ""en"")"),"growls")</f>
        <v>growls</v>
      </c>
    </row>
    <row r="21528">
      <c r="A21528" s="1" t="s">
        <v>21527</v>
      </c>
      <c r="B21528" s="2" t="str">
        <f>IFERROR(__xludf.DUMMYFUNCTION("GOOGLETRANSLATE(A21528, ""de"", ""en"")"),"kindly")</f>
        <v>kindly</v>
      </c>
    </row>
    <row r="21529">
      <c r="A21529" s="1" t="s">
        <v>21528</v>
      </c>
      <c r="B21529" s="2" t="str">
        <f>IFERROR(__xludf.DUMMYFUNCTION("GOOGLETRANSLATE(A21529, ""de"", ""en"")"),"erotic")</f>
        <v>erotic</v>
      </c>
    </row>
    <row r="21530">
      <c r="A21530" s="1" t="s">
        <v>21529</v>
      </c>
      <c r="B21530" s="2" t="str">
        <f>IFERROR(__xludf.DUMMYFUNCTION("GOOGLETRANSLATE(A21530, ""de"", ""en"")"),"intelligent")</f>
        <v>intelligent</v>
      </c>
    </row>
    <row r="21531">
      <c r="A21531" s="1" t="s">
        <v>21530</v>
      </c>
      <c r="B21531" s="2" t="str">
        <f>IFERROR(__xludf.DUMMYFUNCTION("GOOGLETRANSLATE(A21531, ""de"", ""en"")"),"alaikum")</f>
        <v>alaikum</v>
      </c>
    </row>
    <row r="21532">
      <c r="A21532" s="1" t="s">
        <v>21531</v>
      </c>
      <c r="B21532" s="2" t="str">
        <f>IFERROR(__xludf.DUMMYFUNCTION("GOOGLETRANSLATE(A21532, ""de"", ""en"")"),"costello")</f>
        <v>costello</v>
      </c>
    </row>
    <row r="21533">
      <c r="A21533" s="1" t="s">
        <v>21532</v>
      </c>
      <c r="B21533" s="2" t="str">
        <f>IFERROR(__xludf.DUMMYFUNCTION("GOOGLETRANSLATE(A21533, ""de"", ""en"")"),"more broken")</f>
        <v>more broken</v>
      </c>
    </row>
    <row r="21534">
      <c r="A21534" s="1" t="s">
        <v>21533</v>
      </c>
      <c r="B21534" s="2" t="str">
        <f>IFERROR(__xludf.DUMMYFUNCTION("GOOGLETRANSLATE(A21534, ""de"", ""en"")"),"purple")</f>
        <v>purple</v>
      </c>
    </row>
    <row r="21535">
      <c r="A21535" s="1" t="s">
        <v>21534</v>
      </c>
      <c r="B21535" s="2" t="str">
        <f>IFERROR(__xludf.DUMMYFUNCTION("GOOGLETRANSLATE(A21535, ""de"", ""en"")"),"raised")</f>
        <v>raised</v>
      </c>
    </row>
    <row r="21536">
      <c r="A21536" s="1" t="s">
        <v>21535</v>
      </c>
      <c r="B21536" s="2" t="str">
        <f>IFERROR(__xludf.DUMMYFUNCTION("GOOGLETRANSLATE(A21536, ""de"", ""en"")"),"rare")</f>
        <v>rare</v>
      </c>
    </row>
    <row r="21537">
      <c r="A21537" s="1" t="s">
        <v>21536</v>
      </c>
      <c r="B21537" s="2" t="str">
        <f>IFERROR(__xludf.DUMMYFUNCTION("GOOGLETRANSLATE(A21537, ""de"", ""en"")"),"remain")</f>
        <v>remain</v>
      </c>
    </row>
    <row r="21538">
      <c r="A21538" s="1" t="s">
        <v>21537</v>
      </c>
      <c r="B21538" s="2" t="str">
        <f>IFERROR(__xludf.DUMMYFUNCTION("GOOGLETRANSLATE(A21538, ""de"", ""en"")"),"concepts")</f>
        <v>concepts</v>
      </c>
    </row>
    <row r="21539">
      <c r="A21539" s="1" t="s">
        <v>21538</v>
      </c>
      <c r="B21539" s="2" t="str">
        <f>IFERROR(__xludf.DUMMYFUNCTION("GOOGLETRANSLATE(A21539, ""de"", ""en"")"),"electromagnetic")</f>
        <v>electromagnetic</v>
      </c>
    </row>
    <row r="21540">
      <c r="A21540" s="1" t="s">
        <v>21539</v>
      </c>
      <c r="B21540" s="2" t="str">
        <f>IFERROR(__xludf.DUMMYFUNCTION("GOOGLETRANSLATE(A21540, ""de"", ""en"")"),"slip-up")</f>
        <v>slip-up</v>
      </c>
    </row>
    <row r="21541">
      <c r="A21541" s="1" t="s">
        <v>21540</v>
      </c>
      <c r="B21541" s="2" t="str">
        <f>IFERROR(__xludf.DUMMYFUNCTION("GOOGLETRANSLATE(A21541, ""de"", ""en"")"),"bad")</f>
        <v>bad</v>
      </c>
    </row>
    <row r="21542">
      <c r="A21542" s="1" t="s">
        <v>21541</v>
      </c>
      <c r="B21542" s="2" t="str">
        <f>IFERROR(__xludf.DUMMYFUNCTION("GOOGLETRANSLATE(A21542, ""de"", ""en"")"),"agenda")</f>
        <v>agenda</v>
      </c>
    </row>
    <row r="21543">
      <c r="A21543" s="1" t="s">
        <v>21542</v>
      </c>
      <c r="B21543" s="2" t="str">
        <f>IFERROR(__xludf.DUMMYFUNCTION("GOOGLETRANSLATE(A21543, ""de"", ""en"")"),"separated")</f>
        <v>separated</v>
      </c>
    </row>
    <row r="21544">
      <c r="A21544" s="1" t="s">
        <v>21543</v>
      </c>
      <c r="B21544" s="2" t="str">
        <f>IFERROR(__xludf.DUMMYFUNCTION("GOOGLETRANSLATE(A21544, ""de"", ""en"")"),"perfect")</f>
        <v>perfect</v>
      </c>
    </row>
    <row r="21545">
      <c r="A21545" s="1" t="s">
        <v>21544</v>
      </c>
      <c r="B21545" s="2" t="str">
        <f>IFERROR(__xludf.DUMMYFUNCTION("GOOGLETRANSLATE(A21545, ""de"", ""en"")"),"English")</f>
        <v>English</v>
      </c>
    </row>
    <row r="21546">
      <c r="A21546" s="1" t="s">
        <v>21545</v>
      </c>
      <c r="B21546" s="2" t="str">
        <f>IFERROR(__xludf.DUMMYFUNCTION("GOOGLETRANSLATE(A21546, ""de"", ""en"")"),"forum")</f>
        <v>forum</v>
      </c>
    </row>
    <row r="21547">
      <c r="A21547" s="1" t="s">
        <v>21546</v>
      </c>
      <c r="B21547" s="2" t="str">
        <f>IFERROR(__xludf.DUMMYFUNCTION("GOOGLETRANSLATE(A21547, ""de"", ""en"")"),"to stay here")</f>
        <v>to stay here</v>
      </c>
    </row>
    <row r="21548">
      <c r="A21548" s="1" t="s">
        <v>21547</v>
      </c>
      <c r="B21548" s="2" t="str">
        <f>IFERROR(__xludf.DUMMYFUNCTION("GOOGLETRANSLATE(A21548, ""de"", ""en"")"),"to harm")</f>
        <v>to harm</v>
      </c>
    </row>
    <row r="21549">
      <c r="A21549" s="1" t="s">
        <v>21548</v>
      </c>
      <c r="B21549" s="2" t="str">
        <f>IFERROR(__xludf.DUMMYFUNCTION("GOOGLETRANSLATE(A21549, ""de"", ""en"")"),"quo")</f>
        <v>quo</v>
      </c>
    </row>
    <row r="21550">
      <c r="A21550" s="1" t="s">
        <v>21549</v>
      </c>
      <c r="B21550" s="2" t="str">
        <f>IFERROR(__xludf.DUMMYFUNCTION("GOOGLETRANSLATE(A21550, ""de"", ""en"")"),"last")</f>
        <v>last</v>
      </c>
    </row>
    <row r="21551">
      <c r="A21551" s="1" t="s">
        <v>21550</v>
      </c>
      <c r="B21551" s="2" t="str">
        <f>IFERROR(__xludf.DUMMYFUNCTION("GOOGLETRANSLATE(A21551, ""de"", ""en"")"),"shows up")</f>
        <v>shows up</v>
      </c>
    </row>
    <row r="21552">
      <c r="A21552" s="1" t="s">
        <v>21551</v>
      </c>
      <c r="B21552" s="2" t="str">
        <f>IFERROR(__xludf.DUMMYFUNCTION("GOOGLETRANSLATE(A21552, ""de"", ""en"")"),"fathom")</f>
        <v>fathom</v>
      </c>
    </row>
    <row r="21553">
      <c r="A21553" s="1" t="s">
        <v>21552</v>
      </c>
      <c r="B21553" s="2" t="str">
        <f>IFERROR(__xludf.DUMMYFUNCTION("GOOGLETRANSLATE(A21553, ""de"", ""en"")"),"floss")</f>
        <v>floss</v>
      </c>
    </row>
    <row r="21554">
      <c r="A21554" s="1" t="s">
        <v>21553</v>
      </c>
      <c r="B21554" s="2" t="str">
        <f>IFERROR(__xludf.DUMMYFUNCTION("GOOGLETRANSLATE(A21554, ""de"", ""en"")"),"fires")</f>
        <v>fires</v>
      </c>
    </row>
    <row r="21555">
      <c r="A21555" s="1" t="s">
        <v>21554</v>
      </c>
      <c r="B21555" s="2" t="str">
        <f>IFERROR(__xludf.DUMMYFUNCTION("GOOGLETRANSLATE(A21555, ""de"", ""en"")"),"Japanese")</f>
        <v>Japanese</v>
      </c>
    </row>
    <row r="21556">
      <c r="A21556" s="1" t="s">
        <v>21555</v>
      </c>
      <c r="B21556" s="2" t="str">
        <f>IFERROR(__xludf.DUMMYFUNCTION("GOOGLETRANSLATE(A21556, ""de"", ""en"")"),"digits")</f>
        <v>digits</v>
      </c>
    </row>
    <row r="21557">
      <c r="A21557" s="1" t="s">
        <v>21556</v>
      </c>
      <c r="B21557" s="2" t="str">
        <f>IFERROR(__xludf.DUMMYFUNCTION("GOOGLETRANSLATE(A21557, ""de"", ""en"")"),"dolphin")</f>
        <v>dolphin</v>
      </c>
    </row>
    <row r="21558">
      <c r="A21558" s="1" t="s">
        <v>21557</v>
      </c>
      <c r="B21558" s="2" t="str">
        <f>IFERROR(__xludf.DUMMYFUNCTION("GOOGLETRANSLATE(A21558, ""de"", ""en"")"),"had to")</f>
        <v>had to</v>
      </c>
    </row>
    <row r="21559">
      <c r="A21559" s="1" t="s">
        <v>21558</v>
      </c>
      <c r="B21559" s="2" t="str">
        <f>IFERROR(__xludf.DUMMYFUNCTION("GOOGLETRANSLATE(A21559, ""de"", ""en"")"),"twenties")</f>
        <v>twenties</v>
      </c>
    </row>
    <row r="21560">
      <c r="A21560" s="1" t="s">
        <v>21559</v>
      </c>
      <c r="B21560" s="2" t="str">
        <f>IFERROR(__xludf.DUMMYFUNCTION("GOOGLETRANSLATE(A21560, ""de"", ""en"")"),"loosen up")</f>
        <v>loosen up</v>
      </c>
    </row>
    <row r="21561">
      <c r="A21561" s="1" t="s">
        <v>21560</v>
      </c>
      <c r="B21561" s="2" t="str">
        <f>IFERROR(__xludf.DUMMYFUNCTION("GOOGLETRANSLATE(A21561, ""de"", ""en"")"),"composed")</f>
        <v>composed</v>
      </c>
    </row>
    <row r="21562">
      <c r="A21562" s="1" t="s">
        <v>21561</v>
      </c>
      <c r="B21562" s="2" t="str">
        <f>IFERROR(__xludf.DUMMYFUNCTION("GOOGLETRANSLATE(A21562, ""de"", ""en"")"),"ipad")</f>
        <v>ipad</v>
      </c>
    </row>
    <row r="21563">
      <c r="A21563" s="1" t="s">
        <v>21562</v>
      </c>
      <c r="B21563" s="2" t="str">
        <f>IFERROR(__xludf.DUMMYFUNCTION("GOOGLETRANSLATE(A21563, ""de"", ""en"")"),"lens")</f>
        <v>lens</v>
      </c>
    </row>
    <row r="21564">
      <c r="A21564" s="1" t="s">
        <v>21563</v>
      </c>
      <c r="B21564" s="2" t="str">
        <f>IFERROR(__xludf.DUMMYFUNCTION("GOOGLETRANSLATE(A21564, ""de"", ""en"")"),"viewed")</f>
        <v>viewed</v>
      </c>
    </row>
    <row r="21565">
      <c r="A21565" s="1" t="s">
        <v>21564</v>
      </c>
      <c r="B21565" s="2" t="str">
        <f>IFERROR(__xludf.DUMMYFUNCTION("GOOGLETRANSLATE(A21565, ""de"", ""en"")"),"deputy")</f>
        <v>deputy</v>
      </c>
    </row>
    <row r="21566">
      <c r="A21566" s="1" t="s">
        <v>21565</v>
      </c>
      <c r="B21566" s="2" t="str">
        <f>IFERROR(__xludf.DUMMYFUNCTION("GOOGLETRANSLATE(A21566, ""de"", ""en"")"),"weighed")</f>
        <v>weighed</v>
      </c>
    </row>
    <row r="21567">
      <c r="A21567" s="1" t="s">
        <v>21566</v>
      </c>
      <c r="B21567" s="2" t="str">
        <f>IFERROR(__xludf.DUMMYFUNCTION("GOOGLETRANSLATE(A21567, ""de"", ""en"")"),"watched TV")</f>
        <v>watched TV</v>
      </c>
    </row>
    <row r="21568">
      <c r="A21568" s="1" t="s">
        <v>21567</v>
      </c>
      <c r="B21568" s="2" t="str">
        <f>IFERROR(__xludf.DUMMYFUNCTION("GOOGLETRANSLATE(A21568, ""de"", ""en"")"),"more precise")</f>
        <v>more precise</v>
      </c>
    </row>
    <row r="21569">
      <c r="A21569" s="1" t="s">
        <v>21568</v>
      </c>
      <c r="B21569" s="2" t="str">
        <f>IFERROR(__xludf.DUMMYFUNCTION("GOOGLETRANSLATE(A21569, ""de"", ""en"")"),"venerable")</f>
        <v>venerable</v>
      </c>
    </row>
    <row r="21570">
      <c r="A21570" s="1" t="s">
        <v>21569</v>
      </c>
      <c r="B21570" s="2" t="str">
        <f>IFERROR(__xludf.DUMMYFUNCTION("GOOGLETRANSLATE(A21570, ""de"", ""en"")"),"ak")</f>
        <v>ak</v>
      </c>
    </row>
    <row r="21571">
      <c r="A21571" s="1" t="s">
        <v>21570</v>
      </c>
      <c r="B21571" s="2" t="str">
        <f>IFERROR(__xludf.DUMMYFUNCTION("GOOGLETRANSLATE(A21571, ""de"", ""en"")"),"intellect")</f>
        <v>intellect</v>
      </c>
    </row>
    <row r="21572">
      <c r="A21572" s="1" t="s">
        <v>21571</v>
      </c>
      <c r="B21572" s="2" t="str">
        <f>IFERROR(__xludf.DUMMYFUNCTION("GOOGLETRANSLATE(A21572, ""de"", ""en"")"),"knitted")</f>
        <v>knitted</v>
      </c>
    </row>
    <row r="21573">
      <c r="A21573" s="1" t="s">
        <v>21572</v>
      </c>
      <c r="B21573" s="2" t="str">
        <f>IFERROR(__xludf.DUMMYFUNCTION("GOOGLETRANSLATE(A21573, ""de"", ""en"")"),"more naked")</f>
        <v>more naked</v>
      </c>
    </row>
    <row r="21574">
      <c r="A21574" s="1" t="s">
        <v>21573</v>
      </c>
      <c r="B21574" s="2" t="str">
        <f>IFERROR(__xludf.DUMMYFUNCTION("GOOGLETRANSLATE(A21574, ""de"", ""en"")"),"flatters")</f>
        <v>flatters</v>
      </c>
    </row>
    <row r="21575">
      <c r="A21575" s="1" t="s">
        <v>21574</v>
      </c>
      <c r="B21575" s="2" t="str">
        <f>IFERROR(__xludf.DUMMYFUNCTION("GOOGLETRANSLATE(A21575, ""de"", ""en"")"),"smokey")</f>
        <v>smokey</v>
      </c>
    </row>
    <row r="21576">
      <c r="A21576" s="1" t="s">
        <v>21575</v>
      </c>
      <c r="B21576" s="2" t="str">
        <f>IFERROR(__xludf.DUMMYFUNCTION("GOOGLETRANSLATE(A21576, ""de"", ""en"")"),"dinner time")</f>
        <v>dinner time</v>
      </c>
    </row>
    <row r="21577">
      <c r="A21577" s="1" t="s">
        <v>21576</v>
      </c>
      <c r="B21577" s="2" t="str">
        <f>IFERROR(__xludf.DUMMYFUNCTION("GOOGLETRANSLATE(A21577, ""de"", ""en"")"),"covered up")</f>
        <v>covered up</v>
      </c>
    </row>
    <row r="21578">
      <c r="A21578" s="1" t="s">
        <v>21577</v>
      </c>
      <c r="B21578" s="2" t="str">
        <f>IFERROR(__xludf.DUMMYFUNCTION("GOOGLETRANSLATE(A21578, ""de"", ""en"")"),"another")</f>
        <v>another</v>
      </c>
    </row>
    <row r="21579">
      <c r="A21579" s="1" t="s">
        <v>21578</v>
      </c>
      <c r="B21579" s="2" t="str">
        <f>IFERROR(__xludf.DUMMYFUNCTION("GOOGLETRANSLATE(A21579, ""de"", ""en"")"),"black")</f>
        <v>black</v>
      </c>
    </row>
    <row r="21580">
      <c r="A21580" s="1" t="s">
        <v>21579</v>
      </c>
      <c r="B21580" s="2" t="str">
        <f>IFERROR(__xludf.DUMMYFUNCTION("GOOGLETRANSLATE(A21580, ""de"", ""en"")"),"cannes")</f>
        <v>cannes</v>
      </c>
    </row>
    <row r="21581">
      <c r="A21581" s="1" t="s">
        <v>21580</v>
      </c>
      <c r="B21581" s="2" t="str">
        <f>IFERROR(__xludf.DUMMYFUNCTION("GOOGLETRANSLATE(A21581, ""de"", ""en"")"),"construction work")</f>
        <v>construction work</v>
      </c>
    </row>
    <row r="21582">
      <c r="A21582" s="1" t="s">
        <v>21581</v>
      </c>
      <c r="B21582" s="2" t="str">
        <f>IFERROR(__xludf.DUMMYFUNCTION("GOOGLETRANSLATE(A21582, ""de"", ""en"")"),"insane")</f>
        <v>insane</v>
      </c>
    </row>
    <row r="21583">
      <c r="A21583" s="1" t="s">
        <v>21582</v>
      </c>
      <c r="B21583" s="2" t="str">
        <f>IFERROR(__xludf.DUMMYFUNCTION("GOOGLETRANSLATE(A21583, ""de"", ""en"")"),"hindered")</f>
        <v>hindered</v>
      </c>
    </row>
    <row r="21584">
      <c r="A21584" s="1" t="s">
        <v>21583</v>
      </c>
      <c r="B21584" s="2" t="str">
        <f>IFERROR(__xludf.DUMMYFUNCTION("GOOGLETRANSLATE(A21584, ""de"", ""en"")"),"cid")</f>
        <v>cid</v>
      </c>
    </row>
    <row r="21585">
      <c r="A21585" s="1" t="s">
        <v>21584</v>
      </c>
      <c r="B21585" s="2" t="str">
        <f>IFERROR(__xludf.DUMMYFUNCTION("GOOGLETRANSLATE(A21585, ""de"", ""en"")"),"wexler")</f>
        <v>wexler</v>
      </c>
    </row>
    <row r="21586">
      <c r="A21586" s="1" t="s">
        <v>21585</v>
      </c>
      <c r="B21586" s="2" t="str">
        <f>IFERROR(__xludf.DUMMYFUNCTION("GOOGLETRANSLATE(A21586, ""de"", ""en"")"),"crassus")</f>
        <v>crassus</v>
      </c>
    </row>
    <row r="21587">
      <c r="A21587" s="1" t="s">
        <v>21586</v>
      </c>
      <c r="B21587" s="2" t="str">
        <f>IFERROR(__xludf.DUMMYFUNCTION("GOOGLETRANSLATE(A21587, ""de"", ""en"")"),"antibody")</f>
        <v>antibody</v>
      </c>
    </row>
    <row r="21588">
      <c r="A21588" s="1" t="s">
        <v>21587</v>
      </c>
      <c r="B21588" s="2" t="str">
        <f>IFERROR(__xludf.DUMMYFUNCTION("GOOGLETRANSLATE(A21588, ""de"", ""en"")"),"positions")</f>
        <v>positions</v>
      </c>
    </row>
    <row r="21589">
      <c r="A21589" s="1" t="s">
        <v>21588</v>
      </c>
      <c r="B21589" s="2" t="str">
        <f>IFERROR(__xludf.DUMMYFUNCTION("GOOGLETRANSLATE(A21589, ""de"", ""en"")"),"living")</f>
        <v>living</v>
      </c>
    </row>
    <row r="21590">
      <c r="A21590" s="1" t="s">
        <v>21589</v>
      </c>
      <c r="B21590" s="2" t="str">
        <f>IFERROR(__xludf.DUMMYFUNCTION("GOOGLETRANSLATE(A21590, ""de"", ""en"")"),"subject to")</f>
        <v>subject to</v>
      </c>
    </row>
    <row r="21591">
      <c r="A21591" s="1" t="s">
        <v>21590</v>
      </c>
      <c r="B21591" s="2" t="str">
        <f>IFERROR(__xludf.DUMMYFUNCTION("GOOGLETRANSLATE(A21591, ""de"", ""en"")"),"omitted")</f>
        <v>omitted</v>
      </c>
    </row>
    <row r="21592">
      <c r="A21592" s="1" t="s">
        <v>21591</v>
      </c>
      <c r="B21592" s="2" t="str">
        <f>IFERROR(__xludf.DUMMYFUNCTION("GOOGLETRANSLATE(A21592, ""de"", ""en"")"),"camden")</f>
        <v>camden</v>
      </c>
    </row>
    <row r="21593">
      <c r="A21593" s="1" t="s">
        <v>21592</v>
      </c>
      <c r="B21593" s="2" t="str">
        <f>IFERROR(__xludf.DUMMYFUNCTION("GOOGLETRANSLATE(A21593, ""de"", ""en"")"),"Nile")</f>
        <v>Nile</v>
      </c>
    </row>
    <row r="21594">
      <c r="A21594" s="1" t="s">
        <v>21593</v>
      </c>
      <c r="B21594" s="2" t="str">
        <f>IFERROR(__xludf.DUMMYFUNCTION("GOOGLETRANSLATE(A21594, ""de"", ""en"")"),"got through")</f>
        <v>got through</v>
      </c>
    </row>
    <row r="21595">
      <c r="A21595" s="1" t="s">
        <v>21594</v>
      </c>
      <c r="B21595" s="2" t="str">
        <f>IFERROR(__xludf.DUMMYFUNCTION("GOOGLETRANSLATE(A21595, ""de"", ""en"")"),"experienced")</f>
        <v>experienced</v>
      </c>
    </row>
    <row r="21596">
      <c r="A21596" s="1" t="s">
        <v>21595</v>
      </c>
      <c r="B21596" s="2" t="str">
        <f>IFERROR(__xludf.DUMMYFUNCTION("GOOGLETRANSLATE(A21596, ""de"", ""en"")"),"lasts")</f>
        <v>lasts</v>
      </c>
    </row>
    <row r="21597">
      <c r="A21597" s="1" t="s">
        <v>21596</v>
      </c>
      <c r="B21597" s="2" t="str">
        <f>IFERROR(__xludf.DUMMYFUNCTION("GOOGLETRANSLATE(A21597, ""de"", ""en"")"),"metallic")</f>
        <v>metallic</v>
      </c>
    </row>
    <row r="21598">
      <c r="A21598" s="1" t="s">
        <v>21597</v>
      </c>
      <c r="B21598" s="2" t="str">
        <f>IFERROR(__xludf.DUMMYFUNCTION("GOOGLETRANSLATE(A21598, ""de"", ""en"")"),"sent")</f>
        <v>sent</v>
      </c>
    </row>
    <row r="21599">
      <c r="A21599" s="1" t="s">
        <v>21598</v>
      </c>
      <c r="B21599" s="2" t="str">
        <f>IFERROR(__xludf.DUMMYFUNCTION("GOOGLETRANSLATE(A21599, ""de"", ""en"")"),"managed")</f>
        <v>managed</v>
      </c>
    </row>
    <row r="21600">
      <c r="A21600" s="1" t="s">
        <v>21599</v>
      </c>
      <c r="B21600" s="2" t="str">
        <f>IFERROR(__xludf.DUMMYFUNCTION("GOOGLETRANSLATE(A21600, ""de"", ""en"")"),"to hang out")</f>
        <v>to hang out</v>
      </c>
    </row>
    <row r="21601">
      <c r="A21601" s="1" t="s">
        <v>21600</v>
      </c>
      <c r="B21601" s="2" t="str">
        <f>IFERROR(__xludf.DUMMYFUNCTION("GOOGLETRANSLATE(A21601, ""de"", ""en"")"),"associations")</f>
        <v>associations</v>
      </c>
    </row>
    <row r="21602">
      <c r="A21602" s="1" t="s">
        <v>21601</v>
      </c>
      <c r="B21602" s="2" t="str">
        <f>IFERROR(__xludf.DUMMYFUNCTION("GOOGLETRANSLATE(A21602, ""de"", ""en"")"),"pritchard")</f>
        <v>pritchard</v>
      </c>
    </row>
    <row r="21603">
      <c r="A21603" s="1" t="s">
        <v>21602</v>
      </c>
      <c r="B21603" s="2" t="str">
        <f>IFERROR(__xludf.DUMMYFUNCTION("GOOGLETRANSLATE(A21603, ""de"", ""en"")"),"Florian")</f>
        <v>Florian</v>
      </c>
    </row>
    <row r="21604">
      <c r="A21604" s="1" t="s">
        <v>21603</v>
      </c>
      <c r="B21604" s="2" t="str">
        <f>IFERROR(__xludf.DUMMYFUNCTION("GOOGLETRANSLATE(A21604, ""de"", ""en"")"),"strip club")</f>
        <v>strip club</v>
      </c>
    </row>
    <row r="21605">
      <c r="A21605" s="1" t="s">
        <v>21604</v>
      </c>
      <c r="B21605" s="2" t="str">
        <f>IFERROR(__xludf.DUMMYFUNCTION("GOOGLETRANSLATE(A21605, ""de"", ""en"")"),"underestimate")</f>
        <v>underestimate</v>
      </c>
    </row>
    <row r="21606">
      <c r="A21606" s="1" t="s">
        <v>21605</v>
      </c>
      <c r="B21606" s="2" t="str">
        <f>IFERROR(__xludf.DUMMYFUNCTION("GOOGLETRANSLATE(A21606, ""de"", ""en"")"),"servants")</f>
        <v>servants</v>
      </c>
    </row>
    <row r="21607">
      <c r="A21607" s="1" t="s">
        <v>21606</v>
      </c>
      <c r="B21607" s="2" t="str">
        <f>IFERROR(__xludf.DUMMYFUNCTION("GOOGLETRANSLATE(A21607, ""de"", ""en"")"),"creates")</f>
        <v>creates</v>
      </c>
    </row>
    <row r="21608">
      <c r="A21608" s="1" t="s">
        <v>21607</v>
      </c>
      <c r="B21608" s="2" t="str">
        <f>IFERROR(__xludf.DUMMYFUNCTION("GOOGLETRANSLATE(A21608, ""de"", ""en"")"),"amour")</f>
        <v>amour</v>
      </c>
    </row>
    <row r="21609">
      <c r="A21609" s="1" t="s">
        <v>21608</v>
      </c>
      <c r="B21609" s="2" t="str">
        <f>IFERROR(__xludf.DUMMYFUNCTION("GOOGLETRANSLATE(A21609, ""de"", ""en"")"),"rule")</f>
        <v>rule</v>
      </c>
    </row>
    <row r="21610">
      <c r="A21610" s="1" t="s">
        <v>21609</v>
      </c>
      <c r="B21610" s="2" t="str">
        <f>IFERROR(__xludf.DUMMYFUNCTION("GOOGLETRANSLATE(A21610, ""de"", ""en"")"),"lowry")</f>
        <v>lowry</v>
      </c>
    </row>
    <row r="21611">
      <c r="A21611" s="1" t="s">
        <v>21610</v>
      </c>
      <c r="B21611" s="2" t="str">
        <f>IFERROR(__xludf.DUMMYFUNCTION("GOOGLETRANSLATE(A21611, ""de"", ""en"")"),"composition")</f>
        <v>composition</v>
      </c>
    </row>
    <row r="21612">
      <c r="A21612" s="1" t="s">
        <v>21611</v>
      </c>
      <c r="B21612" s="2" t="str">
        <f>IFERROR(__xludf.DUMMYFUNCTION("GOOGLETRANSLATE(A21612, ""de"", ""en"")"),"ulterior motives")</f>
        <v>ulterior motives</v>
      </c>
    </row>
    <row r="21613">
      <c r="A21613" s="1" t="s">
        <v>21612</v>
      </c>
      <c r="B21613" s="2" t="str">
        <f>IFERROR(__xludf.DUMMYFUNCTION("GOOGLETRANSLATE(A21613, ""de"", ""en"")"),"intellectual")</f>
        <v>intellectual</v>
      </c>
    </row>
    <row r="21614">
      <c r="A21614" s="1" t="s">
        <v>21613</v>
      </c>
      <c r="B21614" s="2" t="str">
        <f>IFERROR(__xludf.DUMMYFUNCTION("GOOGLETRANSLATE(A21614, ""de"", ""en"")"),"decorate")</f>
        <v>decorate</v>
      </c>
    </row>
    <row r="21615">
      <c r="A21615" s="1" t="s">
        <v>21614</v>
      </c>
      <c r="B21615" s="2" t="str">
        <f>IFERROR(__xludf.DUMMYFUNCTION("GOOGLETRANSLATE(A21615, ""de"", ""en"")"),"brandi")</f>
        <v>brandi</v>
      </c>
    </row>
    <row r="21616">
      <c r="A21616" s="1" t="s">
        <v>21615</v>
      </c>
      <c r="B21616" s="2" t="str">
        <f>IFERROR(__xludf.DUMMYFUNCTION("GOOGLETRANSLATE(A21616, ""de"", ""en"")"),"more religious")</f>
        <v>more religious</v>
      </c>
    </row>
    <row r="21617">
      <c r="A21617" s="1" t="s">
        <v>21616</v>
      </c>
      <c r="B21617" s="2" t="str">
        <f>IFERROR(__xludf.DUMMYFUNCTION("GOOGLETRANSLATE(A21617, ""de"", ""en"")"),"minority")</f>
        <v>minority</v>
      </c>
    </row>
    <row r="21618">
      <c r="A21618" s="1" t="s">
        <v>21617</v>
      </c>
      <c r="B21618" s="2" t="str">
        <f>IFERROR(__xludf.DUMMYFUNCTION("GOOGLETRANSLATE(A21618, ""de"", ""en"")"),"strong")</f>
        <v>strong</v>
      </c>
    </row>
    <row r="21619">
      <c r="A21619" s="1" t="s">
        <v>21618</v>
      </c>
      <c r="B21619" s="2" t="str">
        <f>IFERROR(__xludf.DUMMYFUNCTION("GOOGLETRANSLATE(A21619, ""de"", ""en"")"),"string")</f>
        <v>string</v>
      </c>
    </row>
    <row r="21620">
      <c r="A21620" s="1" t="s">
        <v>21619</v>
      </c>
      <c r="B21620" s="2" t="str">
        <f>IFERROR(__xludf.DUMMYFUNCTION("GOOGLETRANSLATE(A21620, ""de"", ""en"")"),"requirement")</f>
        <v>requirement</v>
      </c>
    </row>
    <row r="21621">
      <c r="A21621" s="1" t="s">
        <v>21620</v>
      </c>
      <c r="B21621" s="2" t="str">
        <f>IFERROR(__xludf.DUMMYFUNCTION("GOOGLETRANSLATE(A21621, ""de"", ""en"")"),"Ruthie")</f>
        <v>Ruthie</v>
      </c>
    </row>
    <row r="21622">
      <c r="A21622" s="1" t="s">
        <v>21621</v>
      </c>
      <c r="B21622" s="2" t="str">
        <f>IFERROR(__xludf.DUMMYFUNCTION("GOOGLETRANSLATE(A21622, ""de"", ""en"")"),"zoff")</f>
        <v>zoff</v>
      </c>
    </row>
    <row r="21623">
      <c r="A21623" s="1" t="s">
        <v>21622</v>
      </c>
      <c r="B21623" s="2" t="str">
        <f>IFERROR(__xludf.DUMMYFUNCTION("GOOGLETRANSLATE(A21623, ""de"", ""en"")"),"shore")</f>
        <v>shore</v>
      </c>
    </row>
    <row r="21624">
      <c r="A21624" s="1" t="s">
        <v>21623</v>
      </c>
      <c r="B21624" s="2" t="str">
        <f>IFERROR(__xludf.DUMMYFUNCTION("GOOGLETRANSLATE(A21624, ""de"", ""en"")"),"monster")</f>
        <v>monster</v>
      </c>
    </row>
    <row r="21625">
      <c r="A21625" s="1" t="s">
        <v>21624</v>
      </c>
      <c r="B21625" s="2" t="str">
        <f>IFERROR(__xludf.DUMMYFUNCTION("GOOGLETRANSLATE(A21625, ""de"", ""en"")"),"deposited")</f>
        <v>deposited</v>
      </c>
    </row>
    <row r="21626">
      <c r="A21626" s="1" t="s">
        <v>21625</v>
      </c>
      <c r="B21626" s="2" t="str">
        <f>IFERROR(__xludf.DUMMYFUNCTION("GOOGLETRANSLATE(A21626, ""de"", ""en"")"),"came together")</f>
        <v>came together</v>
      </c>
    </row>
    <row r="21627">
      <c r="A21627" s="1" t="s">
        <v>21626</v>
      </c>
      <c r="B21627" s="2" t="str">
        <f>IFERROR(__xludf.DUMMYFUNCTION("GOOGLETRANSLATE(A21627, ""de"", ""en"")"),"gone")</f>
        <v>gone</v>
      </c>
    </row>
    <row r="21628">
      <c r="A21628" s="1" t="s">
        <v>21627</v>
      </c>
      <c r="B21628" s="2" t="str">
        <f>IFERROR(__xludf.DUMMYFUNCTION("GOOGLETRANSLATE(A21628, ""de"", ""en"")"),"mans")</f>
        <v>mans</v>
      </c>
    </row>
    <row r="21629">
      <c r="A21629" s="1" t="s">
        <v>21628</v>
      </c>
      <c r="B21629" s="2" t="str">
        <f>IFERROR(__xludf.DUMMYFUNCTION("GOOGLETRANSLATE(A21629, ""de"", ""en"")"),"buckles")</f>
        <v>buckles</v>
      </c>
    </row>
    <row r="21630">
      <c r="A21630" s="1" t="s">
        <v>21629</v>
      </c>
      <c r="B21630" s="2" t="str">
        <f>IFERROR(__xludf.DUMMYFUNCTION("GOOGLETRANSLATE(A21630, ""de"", ""en"")"),"teen")</f>
        <v>teen</v>
      </c>
    </row>
    <row r="21631">
      <c r="A21631" s="1" t="s">
        <v>21630</v>
      </c>
      <c r="B21631" s="2" t="str">
        <f>IFERROR(__xludf.DUMMYFUNCTION("GOOGLETRANSLATE(A21631, ""de"", ""en"")"),"facial recognition")</f>
        <v>facial recognition</v>
      </c>
    </row>
    <row r="21632">
      <c r="A21632" s="1" t="s">
        <v>21631</v>
      </c>
      <c r="B21632" s="2" t="str">
        <f>IFERROR(__xludf.DUMMYFUNCTION("GOOGLETRANSLATE(A21632, ""de"", ""en"")"),"time travel")</f>
        <v>time travel</v>
      </c>
    </row>
    <row r="21633">
      <c r="A21633" s="1" t="s">
        <v>21632</v>
      </c>
      <c r="B21633" s="2" t="str">
        <f>IFERROR(__xludf.DUMMYFUNCTION("GOOGLETRANSLATE(A21633, ""de"", ""en"")"),"justified")</f>
        <v>justified</v>
      </c>
    </row>
    <row r="21634">
      <c r="A21634" s="1" t="s">
        <v>21633</v>
      </c>
      <c r="B21634" s="2" t="str">
        <f>IFERROR(__xludf.DUMMYFUNCTION("GOOGLETRANSLATE(A21634, ""de"", ""en"")"),"striped")</f>
        <v>striped</v>
      </c>
    </row>
    <row r="21635">
      <c r="A21635" s="1" t="s">
        <v>21634</v>
      </c>
      <c r="B21635" s="2" t="str">
        <f>IFERROR(__xludf.DUMMYFUNCTION("GOOGLETRANSLATE(A21635, ""de"", ""en"")"),"rourke")</f>
        <v>rourke</v>
      </c>
    </row>
    <row r="21636">
      <c r="A21636" s="1" t="s">
        <v>21635</v>
      </c>
      <c r="B21636" s="2" t="str">
        <f>IFERROR(__xludf.DUMMYFUNCTION("GOOGLETRANSLATE(A21636, ""de"", ""en"")"),"uncertainty")</f>
        <v>uncertainty</v>
      </c>
    </row>
    <row r="21637">
      <c r="A21637" s="1" t="s">
        <v>21636</v>
      </c>
      <c r="B21637" s="2" t="str">
        <f>IFERROR(__xludf.DUMMYFUNCTION("GOOGLETRANSLATE(A21637, ""de"", ""en"")"),"to hold back")</f>
        <v>to hold back</v>
      </c>
    </row>
    <row r="21638">
      <c r="A21638" s="1" t="s">
        <v>21637</v>
      </c>
      <c r="B21638" s="2" t="str">
        <f>IFERROR(__xludf.DUMMYFUNCTION("GOOGLETRANSLATE(A21638, ""de"", ""en"")"),"present")</f>
        <v>present</v>
      </c>
    </row>
    <row r="21639">
      <c r="A21639" s="1" t="s">
        <v>21638</v>
      </c>
      <c r="B21639" s="2" t="str">
        <f>IFERROR(__xludf.DUMMYFUNCTION("GOOGLETRANSLATE(A21639, ""de"", ""en"")"),"harp")</f>
        <v>harp</v>
      </c>
    </row>
    <row r="21640">
      <c r="A21640" s="1" t="s">
        <v>21639</v>
      </c>
      <c r="B21640" s="2" t="str">
        <f>IFERROR(__xludf.DUMMYFUNCTION("GOOGLETRANSLATE(A21640, ""de"", ""en"")"),"concentrate")</f>
        <v>concentrate</v>
      </c>
    </row>
    <row r="21641">
      <c r="A21641" s="1" t="s">
        <v>21640</v>
      </c>
      <c r="B21641" s="2" t="str">
        <f>IFERROR(__xludf.DUMMYFUNCTION("GOOGLETRANSLATE(A21641, ""de"", ""en"")"),"pieces of gold")</f>
        <v>pieces of gold</v>
      </c>
    </row>
    <row r="21642">
      <c r="A21642" s="1" t="s">
        <v>21641</v>
      </c>
      <c r="B21642" s="2" t="str">
        <f>IFERROR(__xludf.DUMMYFUNCTION("GOOGLETRANSLATE(A21642, ""de"", ""en"")"),"macker")</f>
        <v>macker</v>
      </c>
    </row>
    <row r="21643">
      <c r="A21643" s="1" t="s">
        <v>21642</v>
      </c>
      <c r="B21643" s="2" t="str">
        <f>IFERROR(__xludf.DUMMYFUNCTION("GOOGLETRANSLATE(A21643, ""de"", ""en"")"),"tap")</f>
        <v>tap</v>
      </c>
    </row>
    <row r="21644">
      <c r="A21644" s="1" t="s">
        <v>21643</v>
      </c>
      <c r="B21644" s="2" t="str">
        <f>IFERROR(__xludf.DUMMYFUNCTION("GOOGLETRANSLATE(A21644, ""de"", ""en"")"),"legitimate")</f>
        <v>legitimate</v>
      </c>
    </row>
    <row r="21645">
      <c r="A21645" s="1" t="s">
        <v>21644</v>
      </c>
      <c r="B21645" s="2" t="str">
        <f>IFERROR(__xludf.DUMMYFUNCTION("GOOGLETRANSLATE(A21645, ""de"", ""en"")"),"to go through")</f>
        <v>to go through</v>
      </c>
    </row>
    <row r="21646">
      <c r="A21646" s="1" t="s">
        <v>21645</v>
      </c>
      <c r="B21646" s="2" t="str">
        <f>IFERROR(__xludf.DUMMYFUNCTION("GOOGLETRANSLATE(A21646, ""de"", ""en"")"),"you need")</f>
        <v>you need</v>
      </c>
    </row>
    <row r="21647">
      <c r="A21647" s="1" t="s">
        <v>21646</v>
      </c>
      <c r="B21647" s="2" t="str">
        <f>IFERROR(__xludf.DUMMYFUNCTION("GOOGLETRANSLATE(A21647, ""de"", ""en"")"),"doctors")</f>
        <v>doctors</v>
      </c>
    </row>
    <row r="21648">
      <c r="A21648" s="1" t="s">
        <v>21647</v>
      </c>
      <c r="B21648" s="2" t="str">
        <f>IFERROR(__xludf.DUMMYFUNCTION("GOOGLETRANSLATE(A21648, ""de"", ""en"")"),"more effective")</f>
        <v>more effective</v>
      </c>
    </row>
    <row r="21649">
      <c r="A21649" s="1" t="s">
        <v>21648</v>
      </c>
      <c r="B21649" s="2" t="str">
        <f>IFERROR(__xludf.DUMMYFUNCTION("GOOGLETRANSLATE(A21649, ""de"", ""en"")"),"came down")</f>
        <v>came down</v>
      </c>
    </row>
    <row r="21650">
      <c r="A21650" s="1" t="s">
        <v>21649</v>
      </c>
      <c r="B21650" s="2" t="str">
        <f>IFERROR(__xludf.DUMMYFUNCTION("GOOGLETRANSLATE(A21650, ""de"", ""en"")"),"bring here")</f>
        <v>bring here</v>
      </c>
    </row>
    <row r="21651">
      <c r="A21651" s="1" t="s">
        <v>21650</v>
      </c>
      <c r="B21651" s="2" t="str">
        <f>IFERROR(__xludf.DUMMYFUNCTION("GOOGLETRANSLATE(A21651, ""de"", ""en"")"),"violin")</f>
        <v>violin</v>
      </c>
    </row>
    <row r="21652">
      <c r="A21652" s="1" t="s">
        <v>21651</v>
      </c>
      <c r="B21652" s="2" t="str">
        <f>IFERROR(__xludf.DUMMYFUNCTION("GOOGLETRANSLATE(A21652, ""de"", ""en"")"),"future")</f>
        <v>future</v>
      </c>
    </row>
    <row r="21653">
      <c r="A21653" s="1" t="s">
        <v>21652</v>
      </c>
      <c r="B21653" s="2" t="str">
        <f>IFERROR(__xludf.DUMMYFUNCTION("GOOGLETRANSLATE(A21653, ""de"", ""en"")"),"falls")</f>
        <v>falls</v>
      </c>
    </row>
    <row r="21654">
      <c r="A21654" s="1" t="s">
        <v>21653</v>
      </c>
      <c r="B21654" s="2" t="str">
        <f>IFERROR(__xludf.DUMMYFUNCTION("GOOGLETRANSLATE(A21654, ""de"", ""en"")"),"devereaux")</f>
        <v>devereaux</v>
      </c>
    </row>
    <row r="21655">
      <c r="A21655" s="1" t="s">
        <v>21654</v>
      </c>
      <c r="B21655" s="2" t="str">
        <f>IFERROR(__xludf.DUMMYFUNCTION("GOOGLETRANSLATE(A21655, ""de"", ""en"")"),"continued")</f>
        <v>continued</v>
      </c>
    </row>
    <row r="21656">
      <c r="A21656" s="1" t="s">
        <v>21655</v>
      </c>
      <c r="B21656" s="2" t="str">
        <f>IFERROR(__xludf.DUMMYFUNCTION("GOOGLETRANSLATE(A21656, ""de"", ""en"")"),"recep")</f>
        <v>recep</v>
      </c>
    </row>
    <row r="21657">
      <c r="A21657" s="1" t="s">
        <v>21656</v>
      </c>
      <c r="B21657" s="2" t="str">
        <f>IFERROR(__xludf.DUMMYFUNCTION("GOOGLETRANSLATE(A21657, ""de"", ""en"")"),"Raja")</f>
        <v>Raja</v>
      </c>
    </row>
    <row r="21658">
      <c r="A21658" s="1" t="s">
        <v>21657</v>
      </c>
      <c r="B21658" s="2" t="str">
        <f>IFERROR(__xludf.DUMMYFUNCTION("GOOGLETRANSLATE(A21658, ""de"", ""en"")"),"gone")</f>
        <v>gone</v>
      </c>
    </row>
    <row r="21659">
      <c r="A21659" s="1" t="s">
        <v>21658</v>
      </c>
      <c r="B21659" s="2" t="str">
        <f>IFERROR(__xludf.DUMMYFUNCTION("GOOGLETRANSLATE(A21659, ""de"", ""en"")"),"hide")</f>
        <v>hide</v>
      </c>
    </row>
    <row r="21660">
      <c r="A21660" s="1" t="s">
        <v>21659</v>
      </c>
      <c r="B21660" s="2" t="str">
        <f>IFERROR(__xludf.DUMMYFUNCTION("GOOGLETRANSLATE(A21660, ""de"", ""en"")"),"approve")</f>
        <v>approve</v>
      </c>
    </row>
    <row r="21661">
      <c r="A21661" s="1" t="s">
        <v>21660</v>
      </c>
      <c r="B21661" s="2" t="str">
        <f>IFERROR(__xludf.DUMMYFUNCTION("GOOGLETRANSLATE(A21661, ""de"", ""en"")"),"war hero")</f>
        <v>war hero</v>
      </c>
    </row>
    <row r="21662">
      <c r="A21662" s="1" t="s">
        <v>21661</v>
      </c>
      <c r="B21662" s="2" t="str">
        <f>IFERROR(__xludf.DUMMYFUNCTION("GOOGLETRANSLATE(A21662, ""de"", ""en"")"),"minister")</f>
        <v>minister</v>
      </c>
    </row>
    <row r="21663">
      <c r="A21663" s="1" t="s">
        <v>21662</v>
      </c>
      <c r="B21663" s="2" t="str">
        <f>IFERROR(__xludf.DUMMYFUNCTION("GOOGLETRANSLATE(A21663, ""de"", ""en"")"),"phone prefix")</f>
        <v>phone prefix</v>
      </c>
    </row>
    <row r="21664">
      <c r="A21664" s="1" t="s">
        <v>21663</v>
      </c>
      <c r="B21664" s="2" t="str">
        <f>IFERROR(__xludf.DUMMYFUNCTION("GOOGLETRANSLATE(A21664, ""de"", ""en"")"),"conqueror")</f>
        <v>conqueror</v>
      </c>
    </row>
    <row r="21665">
      <c r="A21665" s="1" t="s">
        <v>21664</v>
      </c>
      <c r="B21665" s="2" t="str">
        <f>IFERROR(__xludf.DUMMYFUNCTION("GOOGLETRANSLATE(A21665, ""de"", ""en"")"),"seduction")</f>
        <v>seduction</v>
      </c>
    </row>
    <row r="21666">
      <c r="A21666" s="1" t="s">
        <v>21665</v>
      </c>
      <c r="B21666" s="2" t="str">
        <f>IFERROR(__xludf.DUMMYFUNCTION("GOOGLETRANSLATE(A21666, ""de"", ""en"")"),"throw away")</f>
        <v>throw away</v>
      </c>
    </row>
    <row r="21667">
      <c r="A21667" s="1" t="s">
        <v>21666</v>
      </c>
      <c r="B21667" s="2" t="str">
        <f>IFERROR(__xludf.DUMMYFUNCTION("GOOGLETRANSLATE(A21667, ""de"", ""en"")"),"star.")</f>
        <v>star.</v>
      </c>
    </row>
    <row r="21668">
      <c r="A21668" s="1" t="s">
        <v>21667</v>
      </c>
      <c r="B21668" s="2" t="str">
        <f>IFERROR(__xludf.DUMMYFUNCTION("GOOGLETRANSLATE(A21668, ""de"", ""en"")"),"high command")</f>
        <v>high command</v>
      </c>
    </row>
    <row r="21669">
      <c r="A21669" s="1" t="s">
        <v>21668</v>
      </c>
      <c r="B21669" s="2" t="str">
        <f>IFERROR(__xludf.DUMMYFUNCTION("GOOGLETRANSLATE(A21669, ""de"", ""en"")"),"agreed")</f>
        <v>agreed</v>
      </c>
    </row>
    <row r="21670">
      <c r="A21670" s="1" t="s">
        <v>21669</v>
      </c>
      <c r="B21670" s="2" t="str">
        <f>IFERROR(__xludf.DUMMYFUNCTION("GOOGLETRANSLATE(A21670, ""de"", ""en"")"),"fucked up")</f>
        <v>fucked up</v>
      </c>
    </row>
    <row r="21671">
      <c r="A21671" s="1" t="s">
        <v>21670</v>
      </c>
      <c r="B21671" s="2" t="str">
        <f>IFERROR(__xludf.DUMMYFUNCTION("GOOGLETRANSLATE(A21671, ""de"", ""en"")"),"chief inspector")</f>
        <v>chief inspector</v>
      </c>
    </row>
    <row r="21672">
      <c r="A21672" s="1" t="s">
        <v>21671</v>
      </c>
      <c r="B21672" s="2" t="str">
        <f>IFERROR(__xludf.DUMMYFUNCTION("GOOGLETRANSLATE(A21672, ""de"", ""en"")"),"cell block")</f>
        <v>cell block</v>
      </c>
    </row>
    <row r="21673">
      <c r="A21673" s="1" t="s">
        <v>21672</v>
      </c>
      <c r="B21673" s="2" t="str">
        <f>IFERROR(__xludf.DUMMYFUNCTION("GOOGLETRANSLATE(A21673, ""de"", ""en"")"),"filled")</f>
        <v>filled</v>
      </c>
    </row>
    <row r="21674">
      <c r="A21674" s="1" t="s">
        <v>21673</v>
      </c>
      <c r="B21674" s="2" t="str">
        <f>IFERROR(__xludf.DUMMYFUNCTION("GOOGLETRANSLATE(A21674, ""de"", ""en"")"),"butcher")</f>
        <v>butcher</v>
      </c>
    </row>
    <row r="21675">
      <c r="A21675" s="1" t="s">
        <v>21674</v>
      </c>
      <c r="B21675" s="2" t="str">
        <f>IFERROR(__xludf.DUMMYFUNCTION("GOOGLETRANSLATE(A21675, ""de"", ""en"")"),"umbilical cord")</f>
        <v>umbilical cord</v>
      </c>
    </row>
    <row r="21676">
      <c r="A21676" s="1" t="s">
        <v>21675</v>
      </c>
      <c r="B21676" s="2" t="str">
        <f>IFERROR(__xludf.DUMMYFUNCTION("GOOGLETRANSLATE(A21676, ""de"", ""en"")"),"critical")</f>
        <v>critical</v>
      </c>
    </row>
    <row r="21677">
      <c r="A21677" s="1" t="s">
        <v>21676</v>
      </c>
      <c r="B21677" s="2" t="str">
        <f>IFERROR(__xludf.DUMMYFUNCTION("GOOGLETRANSLATE(A21677, ""de"", ""en"")"),"jing")</f>
        <v>jing</v>
      </c>
    </row>
    <row r="21678">
      <c r="A21678" s="1" t="s">
        <v>21677</v>
      </c>
      <c r="B21678" s="2" t="str">
        <f>IFERROR(__xludf.DUMMYFUNCTION("GOOGLETRANSLATE(A21678, ""de"", ""en"")"),"unpleasant")</f>
        <v>unpleasant</v>
      </c>
    </row>
    <row r="21679">
      <c r="A21679" s="1" t="s">
        <v>21678</v>
      </c>
      <c r="B21679" s="2" t="str">
        <f>IFERROR(__xludf.DUMMYFUNCTION("GOOGLETRANSLATE(A21679, ""de"", ""en"")"),"permanent")</f>
        <v>permanent</v>
      </c>
    </row>
    <row r="21680">
      <c r="A21680" s="1" t="s">
        <v>21679</v>
      </c>
      <c r="B21680" s="2" t="str">
        <f>IFERROR(__xludf.DUMMYFUNCTION("GOOGLETRANSLATE(A21680, ""de"", ""en"")"),"rivets")</f>
        <v>rivets</v>
      </c>
    </row>
    <row r="21681">
      <c r="A21681" s="1" t="s">
        <v>21680</v>
      </c>
      <c r="B21681" s="2" t="str">
        <f>IFERROR(__xludf.DUMMYFUNCTION("GOOGLETRANSLATE(A21681, ""de"", ""en"")"),"discretion")</f>
        <v>discretion</v>
      </c>
    </row>
    <row r="21682">
      <c r="A21682" s="1" t="s">
        <v>21681</v>
      </c>
      <c r="B21682" s="2" t="str">
        <f>IFERROR(__xludf.DUMMYFUNCTION("GOOGLETRANSLATE(A21682, ""de"", ""en"")"),"jesses")</f>
        <v>jesses</v>
      </c>
    </row>
    <row r="21683">
      <c r="A21683" s="1" t="s">
        <v>21682</v>
      </c>
      <c r="B21683" s="2" t="str">
        <f>IFERROR(__xludf.DUMMYFUNCTION("GOOGLETRANSLATE(A21683, ""de"", ""en"")"),"tit")</f>
        <v>tit</v>
      </c>
    </row>
    <row r="21684">
      <c r="A21684" s="1" t="s">
        <v>21683</v>
      </c>
      <c r="B21684" s="2" t="str">
        <f>IFERROR(__xludf.DUMMYFUNCTION("GOOGLETRANSLATE(A21684, ""de"", ""en"")"),"expire")</f>
        <v>expire</v>
      </c>
    </row>
    <row r="21685">
      <c r="A21685" s="1" t="s">
        <v>21684</v>
      </c>
      <c r="B21685" s="2" t="str">
        <f>IFERROR(__xludf.DUMMYFUNCTION("GOOGLETRANSLATE(A21685, ""de"", ""en"")"),"inherits")</f>
        <v>inherits</v>
      </c>
    </row>
    <row r="21686">
      <c r="A21686" s="1" t="s">
        <v>21685</v>
      </c>
      <c r="B21686" s="2" t="str">
        <f>IFERROR(__xludf.DUMMYFUNCTION("GOOGLETRANSLATE(A21686, ""de"", ""en"")"),"ohhh")</f>
        <v>ohhh</v>
      </c>
    </row>
    <row r="21687">
      <c r="A21687" s="1" t="s">
        <v>21686</v>
      </c>
      <c r="B21687" s="2" t="str">
        <f>IFERROR(__xludf.DUMMYFUNCTION("GOOGLETRANSLATE(A21687, ""de"", ""en"")"),"infiltrated")</f>
        <v>infiltrated</v>
      </c>
    </row>
    <row r="21688">
      <c r="A21688" s="1" t="s">
        <v>21687</v>
      </c>
      <c r="B21688" s="2" t="str">
        <f>IFERROR(__xludf.DUMMYFUNCTION("GOOGLETRANSLATE(A21688, ""de"", ""en"")"),"takes away")</f>
        <v>takes away</v>
      </c>
    </row>
    <row r="21689">
      <c r="A21689" s="1" t="s">
        <v>21688</v>
      </c>
      <c r="B21689" s="2" t="str">
        <f>IFERROR(__xludf.DUMMYFUNCTION("GOOGLETRANSLATE(A21689, ""de"", ""en"")"),"visit")</f>
        <v>visit</v>
      </c>
    </row>
    <row r="21690">
      <c r="A21690" s="1" t="s">
        <v>21689</v>
      </c>
      <c r="B21690" s="2" t="str">
        <f>IFERROR(__xludf.DUMMYFUNCTION("GOOGLETRANSLATE(A21690, ""de"", ""en"")"),"provocation")</f>
        <v>provocation</v>
      </c>
    </row>
    <row r="21691">
      <c r="A21691" s="1" t="s">
        <v>21690</v>
      </c>
      <c r="B21691" s="2" t="str">
        <f>IFERROR(__xludf.DUMMYFUNCTION("GOOGLETRANSLATE(A21691, ""de"", ""en"")"),"brats")</f>
        <v>brats</v>
      </c>
    </row>
    <row r="21692">
      <c r="A21692" s="1" t="s">
        <v>21691</v>
      </c>
      <c r="B21692" s="2" t="str">
        <f>IFERROR(__xludf.DUMMYFUNCTION("GOOGLETRANSLATE(A21692, ""de"", ""en"")"),"more special")</f>
        <v>more special</v>
      </c>
    </row>
    <row r="21693">
      <c r="A21693" s="1" t="s">
        <v>21692</v>
      </c>
      <c r="B21693" s="2" t="str">
        <f>IFERROR(__xludf.DUMMYFUNCTION("GOOGLETRANSLATE(A21693, ""de"", ""en"")"),"darlings")</f>
        <v>darlings</v>
      </c>
    </row>
    <row r="21694">
      <c r="A21694" s="1" t="s">
        <v>21693</v>
      </c>
      <c r="B21694" s="2" t="str">
        <f>IFERROR(__xludf.DUMMYFUNCTION("GOOGLETRANSLATE(A21694, ""de"", ""en"")"),"warming")</f>
        <v>warming</v>
      </c>
    </row>
    <row r="21695">
      <c r="A21695" s="1" t="s">
        <v>21694</v>
      </c>
      <c r="B21695" s="2" t="str">
        <f>IFERROR(__xludf.DUMMYFUNCTION("GOOGLETRANSLATE(A21695, ""de"", ""en"")"),"Waller")</f>
        <v>Waller</v>
      </c>
    </row>
    <row r="21696">
      <c r="A21696" s="1" t="s">
        <v>21695</v>
      </c>
      <c r="B21696" s="2" t="str">
        <f>IFERROR(__xludf.DUMMYFUNCTION("GOOGLETRANSLATE(A21696, ""de"", ""en"")"),"minister of justice")</f>
        <v>minister of justice</v>
      </c>
    </row>
    <row r="21697">
      <c r="A21697" s="1" t="s">
        <v>21696</v>
      </c>
      <c r="B21697" s="2" t="str">
        <f>IFERROR(__xludf.DUMMYFUNCTION("GOOGLETRANSLATE(A21697, ""de"", ""en"")"),"sandals")</f>
        <v>sandals</v>
      </c>
    </row>
    <row r="21698">
      <c r="A21698" s="1" t="s">
        <v>21697</v>
      </c>
      <c r="B21698" s="2" t="str">
        <f>IFERROR(__xludf.DUMMYFUNCTION("GOOGLETRANSLATE(A21698, ""de"", ""en"")"),"returned")</f>
        <v>returned</v>
      </c>
    </row>
    <row r="21699">
      <c r="A21699" s="1" t="s">
        <v>21698</v>
      </c>
      <c r="B21699" s="2" t="str">
        <f>IFERROR(__xludf.DUMMYFUNCTION("GOOGLETRANSLATE(A21699, ""de"", ""en"")"),"pull in")</f>
        <v>pull in</v>
      </c>
    </row>
    <row r="21700">
      <c r="A21700" s="1" t="s">
        <v>21699</v>
      </c>
      <c r="B21700" s="2" t="str">
        <f>IFERROR(__xludf.DUMMYFUNCTION("GOOGLETRANSLATE(A21700, ""de"", ""en"")"),"yves")</f>
        <v>yves</v>
      </c>
    </row>
    <row r="21701">
      <c r="A21701" s="1" t="s">
        <v>21700</v>
      </c>
      <c r="B21701" s="2" t="str">
        <f>IFERROR(__xludf.DUMMYFUNCTION("GOOGLETRANSLATE(A21701, ""de"", ""en"")"),"double")</f>
        <v>double</v>
      </c>
    </row>
    <row r="21702">
      <c r="A21702" s="1" t="s">
        <v>21701</v>
      </c>
      <c r="B21702" s="2" t="str">
        <f>IFERROR(__xludf.DUMMYFUNCTION("GOOGLETRANSLATE(A21702, ""de"", ""en"")"),"parasitic")</f>
        <v>parasitic</v>
      </c>
    </row>
    <row r="21703">
      <c r="A21703" s="1" t="s">
        <v>21702</v>
      </c>
      <c r="B21703" s="2" t="str">
        <f>IFERROR(__xludf.DUMMYFUNCTION("GOOGLETRANSLATE(A21703, ""de"", ""en"")"),"frida")</f>
        <v>frida</v>
      </c>
    </row>
    <row r="21704">
      <c r="A21704" s="1" t="s">
        <v>21703</v>
      </c>
      <c r="B21704" s="2" t="str">
        <f>IFERROR(__xludf.DUMMYFUNCTION("GOOGLETRANSLATE(A21704, ""de"", ""en"")"),"en masse")</f>
        <v>en masse</v>
      </c>
    </row>
    <row r="21705">
      <c r="A21705" s="1" t="s">
        <v>21704</v>
      </c>
      <c r="B21705" s="2" t="str">
        <f>IFERROR(__xludf.DUMMYFUNCTION("GOOGLETRANSLATE(A21705, ""de"", ""en"")"),"to pretend")</f>
        <v>to pretend</v>
      </c>
    </row>
    <row r="21706">
      <c r="A21706" s="1" t="s">
        <v>21705</v>
      </c>
      <c r="B21706" s="2" t="str">
        <f>IFERROR(__xludf.DUMMYFUNCTION("GOOGLETRANSLATE(A21706, ""de"", ""en"")"),"bohannon")</f>
        <v>bohannon</v>
      </c>
    </row>
    <row r="21707">
      <c r="A21707" s="1" t="s">
        <v>21706</v>
      </c>
      <c r="B21707" s="2" t="str">
        <f>IFERROR(__xludf.DUMMYFUNCTION("GOOGLETRANSLATE(A21707, ""de"", ""en"")"),"cochran")</f>
        <v>cochran</v>
      </c>
    </row>
    <row r="21708">
      <c r="A21708" s="1" t="s">
        <v>21707</v>
      </c>
      <c r="B21708" s="2" t="str">
        <f>IFERROR(__xludf.DUMMYFUNCTION("GOOGLETRANSLATE(A21708, ""de"", ""en"")"),"show business")</f>
        <v>show business</v>
      </c>
    </row>
    <row r="21709">
      <c r="A21709" s="1" t="s">
        <v>21708</v>
      </c>
      <c r="B21709" s="2" t="str">
        <f>IFERROR(__xludf.DUMMYFUNCTION("GOOGLETRANSLATE(A21709, ""de"", ""en"")"),"amanda")</f>
        <v>amanda</v>
      </c>
    </row>
    <row r="21710">
      <c r="A21710" s="1" t="s">
        <v>21709</v>
      </c>
      <c r="B21710" s="2" t="str">
        <f>IFERROR(__xludf.DUMMYFUNCTION("GOOGLETRANSLATE(A21710, ""de"", ""en"")"),"Fredrik")</f>
        <v>Fredrik</v>
      </c>
    </row>
    <row r="21711">
      <c r="A21711" s="1" t="s">
        <v>21710</v>
      </c>
      <c r="B21711" s="2" t="str">
        <f>IFERROR(__xludf.DUMMYFUNCTION("GOOGLETRANSLATE(A21711, ""de"", ""en"")"),"uploaded")</f>
        <v>uploaded</v>
      </c>
    </row>
    <row r="21712">
      <c r="A21712" s="1" t="s">
        <v>21711</v>
      </c>
      <c r="B21712" s="2" t="str">
        <f>IFERROR(__xludf.DUMMYFUNCTION("GOOGLETRANSLATE(A21712, ""de"", ""en"")"),"feast")</f>
        <v>feast</v>
      </c>
    </row>
    <row r="21713">
      <c r="A21713" s="1" t="s">
        <v>21712</v>
      </c>
      <c r="B21713" s="2" t="str">
        <f>IFERROR(__xludf.DUMMYFUNCTION("GOOGLETRANSLATE(A21713, ""de"", ""en"")"),"shortened")</f>
        <v>shortened</v>
      </c>
    </row>
    <row r="21714">
      <c r="A21714" s="1" t="s">
        <v>21713</v>
      </c>
      <c r="B21714" s="2" t="str">
        <f>IFERROR(__xludf.DUMMYFUNCTION("GOOGLETRANSLATE(A21714, ""de"", ""en"")"),"amusement park")</f>
        <v>amusement park</v>
      </c>
    </row>
    <row r="21715">
      <c r="A21715" s="1" t="s">
        <v>21714</v>
      </c>
      <c r="B21715" s="2" t="str">
        <f>IFERROR(__xludf.DUMMYFUNCTION("GOOGLETRANSLATE(A21715, ""de"", ""en"")"),"designed")</f>
        <v>designed</v>
      </c>
    </row>
    <row r="21716">
      <c r="A21716" s="1" t="s">
        <v>21715</v>
      </c>
      <c r="B21716" s="2" t="str">
        <f>IFERROR(__xludf.DUMMYFUNCTION("GOOGLETRANSLATE(A21716, ""de"", ""en"")"),"hardison")</f>
        <v>hardison</v>
      </c>
    </row>
    <row r="21717">
      <c r="A21717" s="1" t="s">
        <v>21716</v>
      </c>
      <c r="B21717" s="2" t="str">
        <f>IFERROR(__xludf.DUMMYFUNCTION("GOOGLETRANSLATE(A21717, ""de"", ""en"")"),"impetus")</f>
        <v>impetus</v>
      </c>
    </row>
    <row r="21718">
      <c r="A21718" s="1" t="s">
        <v>21717</v>
      </c>
      <c r="B21718" s="2" t="str">
        <f>IFERROR(__xludf.DUMMYFUNCTION("GOOGLETRANSLATE(A21718, ""de"", ""en"")"),"generators")</f>
        <v>generators</v>
      </c>
    </row>
    <row r="21719">
      <c r="A21719" s="1" t="s">
        <v>21718</v>
      </c>
      <c r="B21719" s="2" t="str">
        <f>IFERROR(__xludf.DUMMYFUNCTION("GOOGLETRANSLATE(A21719, ""de"", ""en"")"),"mobile phone")</f>
        <v>mobile phone</v>
      </c>
    </row>
    <row r="21720">
      <c r="A21720" s="1" t="s">
        <v>21719</v>
      </c>
      <c r="B21720" s="2" t="str">
        <f>IFERROR(__xludf.DUMMYFUNCTION("GOOGLETRANSLATE(A21720, ""de"", ""en"")"),"Gustavo")</f>
        <v>Gustavo</v>
      </c>
    </row>
    <row r="21721">
      <c r="A21721" s="1" t="s">
        <v>21720</v>
      </c>
      <c r="B21721" s="2" t="str">
        <f>IFERROR(__xludf.DUMMYFUNCTION("GOOGLETRANSLATE(A21721, ""de"", ""en"")"),"consented")</f>
        <v>consented</v>
      </c>
    </row>
    <row r="21722">
      <c r="A21722" s="1" t="s">
        <v>21721</v>
      </c>
      <c r="B21722" s="2" t="str">
        <f>IFERROR(__xludf.DUMMYFUNCTION("GOOGLETRANSLATE(A21722, ""de"", ""en"")"),"sailors")</f>
        <v>sailors</v>
      </c>
    </row>
    <row r="21723">
      <c r="A21723" s="1" t="s">
        <v>21722</v>
      </c>
      <c r="B21723" s="2" t="str">
        <f>IFERROR(__xludf.DUMMYFUNCTION("GOOGLETRANSLATE(A21723, ""de"", ""en"")"),"saturation")</f>
        <v>saturation</v>
      </c>
    </row>
    <row r="21724">
      <c r="A21724" s="1" t="s">
        <v>21723</v>
      </c>
      <c r="B21724" s="2" t="str">
        <f>IFERROR(__xludf.DUMMYFUNCTION("GOOGLETRANSLATE(A21724, ""de"", ""en"")"),"shake")</f>
        <v>shake</v>
      </c>
    </row>
    <row r="21725">
      <c r="A21725" s="1" t="s">
        <v>21724</v>
      </c>
      <c r="B21725" s="2" t="str">
        <f>IFERROR(__xludf.DUMMYFUNCTION("GOOGLETRANSLATE(A21725, ""de"", ""en"")"),"go out")</f>
        <v>go out</v>
      </c>
    </row>
    <row r="21726">
      <c r="A21726" s="1" t="s">
        <v>21725</v>
      </c>
      <c r="B21726" s="2" t="str">
        <f>IFERROR(__xludf.DUMMYFUNCTION("GOOGLETRANSLATE(A21726, ""de"", ""en"")"),"local")</f>
        <v>local</v>
      </c>
    </row>
    <row r="21727">
      <c r="A21727" s="1" t="s">
        <v>21726</v>
      </c>
      <c r="B21727" s="2" t="str">
        <f>IFERROR(__xludf.DUMMYFUNCTION("GOOGLETRANSLATE(A21727, ""de"", ""en"")"),"result")</f>
        <v>result</v>
      </c>
    </row>
    <row r="21728">
      <c r="A21728" s="1" t="s">
        <v>21727</v>
      </c>
      <c r="B21728" s="2" t="str">
        <f>IFERROR(__xludf.DUMMYFUNCTION("GOOGLETRANSLATE(A21728, ""de"", ""en"")"),"malicious")</f>
        <v>malicious</v>
      </c>
    </row>
    <row r="21729">
      <c r="A21729" s="1" t="s">
        <v>21728</v>
      </c>
      <c r="B21729" s="2" t="str">
        <f>IFERROR(__xludf.DUMMYFUNCTION("GOOGLETRANSLATE(A21729, ""de"", ""en"")"),"bang")</f>
        <v>bang</v>
      </c>
    </row>
    <row r="21730">
      <c r="A21730" s="1" t="s">
        <v>21729</v>
      </c>
      <c r="B21730" s="2" t="str">
        <f>IFERROR(__xludf.DUMMYFUNCTION("GOOGLETRANSLATE(A21730, ""de"", ""en"")"),"Orpheus")</f>
        <v>Orpheus</v>
      </c>
    </row>
    <row r="21731">
      <c r="A21731" s="1" t="s">
        <v>21730</v>
      </c>
      <c r="B21731" s="2" t="str">
        <f>IFERROR(__xludf.DUMMYFUNCTION("GOOGLETRANSLATE(A21731, ""de"", ""en"")"),"to dissolve")</f>
        <v>to dissolve</v>
      </c>
    </row>
    <row r="21732">
      <c r="A21732" s="1" t="s">
        <v>21731</v>
      </c>
      <c r="B21732" s="2" t="str">
        <f>IFERROR(__xludf.DUMMYFUNCTION("GOOGLETRANSLATE(A21732, ""de"", ""en"")"),"amplifier")</f>
        <v>amplifier</v>
      </c>
    </row>
    <row r="21733">
      <c r="A21733" s="1" t="s">
        <v>21732</v>
      </c>
      <c r="B21733" s="2" t="str">
        <f>IFERROR(__xludf.DUMMYFUNCTION("GOOGLETRANSLATE(A21733, ""de"", ""en"")"),"changing room")</f>
        <v>changing room</v>
      </c>
    </row>
    <row r="21734">
      <c r="A21734" s="1" t="s">
        <v>21733</v>
      </c>
      <c r="B21734" s="2" t="str">
        <f>IFERROR(__xludf.DUMMYFUNCTION("GOOGLETRANSLATE(A21734, ""de"", ""en"")"),"puzzles")</f>
        <v>puzzles</v>
      </c>
    </row>
    <row r="21735">
      <c r="A21735" s="1" t="s">
        <v>21734</v>
      </c>
      <c r="B21735" s="2" t="str">
        <f>IFERROR(__xludf.DUMMYFUNCTION("GOOGLETRANSLATE(A21735, ""de"", ""en"")"),"stuffy")</f>
        <v>stuffy</v>
      </c>
    </row>
    <row r="21736">
      <c r="A21736" s="1" t="s">
        <v>21735</v>
      </c>
      <c r="B21736" s="2" t="str">
        <f>IFERROR(__xludf.DUMMYFUNCTION("GOOGLETRANSLATE(A21736, ""de"", ""en"")"),"sparrow")</f>
        <v>sparrow</v>
      </c>
    </row>
    <row r="21737">
      <c r="A21737" s="1" t="s">
        <v>21736</v>
      </c>
      <c r="B21737" s="2" t="str">
        <f>IFERROR(__xludf.DUMMYFUNCTION("GOOGLETRANSLATE(A21737, ""de"", ""en"")"),"more generous")</f>
        <v>more generous</v>
      </c>
    </row>
    <row r="21738">
      <c r="A21738" s="1" t="s">
        <v>21737</v>
      </c>
      <c r="B21738" s="2" t="str">
        <f>IFERROR(__xludf.DUMMYFUNCTION("GOOGLETRANSLATE(A21738, ""de"", ""en"")"),"spelled")</f>
        <v>spelled</v>
      </c>
    </row>
    <row r="21739">
      <c r="A21739" s="1" t="s">
        <v>21738</v>
      </c>
      <c r="B21739" s="2" t="str">
        <f>IFERROR(__xludf.DUMMYFUNCTION("GOOGLETRANSLATE(A21739, ""de"", ""en"")"),"infiltrate")</f>
        <v>infiltrate</v>
      </c>
    </row>
    <row r="21740">
      <c r="A21740" s="1" t="s">
        <v>21739</v>
      </c>
      <c r="B21740" s="2" t="str">
        <f>IFERROR(__xludf.DUMMYFUNCTION("GOOGLETRANSLATE(A21740, ""de"", ""en"")"),"Gaga")</f>
        <v>Gaga</v>
      </c>
    </row>
    <row r="21741">
      <c r="A21741" s="1" t="s">
        <v>21740</v>
      </c>
      <c r="B21741" s="2" t="str">
        <f>IFERROR(__xludf.DUMMYFUNCTION("GOOGLETRANSLATE(A21741, ""de"", ""en"")"),"witness")</f>
        <v>witness</v>
      </c>
    </row>
    <row r="21742">
      <c r="A21742" s="1" t="s">
        <v>21741</v>
      </c>
      <c r="B21742" s="2" t="str">
        <f>IFERROR(__xludf.DUMMYFUNCTION("GOOGLETRANSLATE(A21742, ""de"", ""en"")"),"supervisory board")</f>
        <v>supervisory board</v>
      </c>
    </row>
    <row r="21743">
      <c r="A21743" s="1" t="s">
        <v>21742</v>
      </c>
      <c r="B21743" s="2" t="str">
        <f>IFERROR(__xludf.DUMMYFUNCTION("GOOGLETRANSLATE(A21743, ""de"", ""en"")"),"salt water")</f>
        <v>salt water</v>
      </c>
    </row>
    <row r="21744">
      <c r="A21744" s="1" t="s">
        <v>21743</v>
      </c>
      <c r="B21744" s="2" t="str">
        <f>IFERROR(__xludf.DUMMYFUNCTION("GOOGLETRANSLATE(A21744, ""de"", ""en"")"),"matheson")</f>
        <v>matheson</v>
      </c>
    </row>
    <row r="21745">
      <c r="A21745" s="1" t="s">
        <v>21744</v>
      </c>
      <c r="B21745" s="2" t="str">
        <f>IFERROR(__xludf.DUMMYFUNCTION("GOOGLETRANSLATE(A21745, ""de"", ""en"")"),"colleges")</f>
        <v>colleges</v>
      </c>
    </row>
    <row r="21746">
      <c r="A21746" s="1" t="s">
        <v>21745</v>
      </c>
      <c r="B21746" s="2" t="str">
        <f>IFERROR(__xludf.DUMMYFUNCTION("GOOGLETRANSLATE(A21746, ""de"", ""en"")"),"sana")</f>
        <v>sana</v>
      </c>
    </row>
    <row r="21747">
      <c r="A21747" s="1" t="s">
        <v>21746</v>
      </c>
      <c r="B21747" s="2" t="str">
        <f>IFERROR(__xludf.DUMMYFUNCTION("GOOGLETRANSLATE(A21747, ""de"", ""en"")"),"ralph")</f>
        <v>ralph</v>
      </c>
    </row>
    <row r="21748">
      <c r="A21748" s="1" t="s">
        <v>21747</v>
      </c>
      <c r="B21748" s="2" t="str">
        <f>IFERROR(__xludf.DUMMYFUNCTION("GOOGLETRANSLATE(A21748, ""de"", ""en"")"),"rave")</f>
        <v>rave</v>
      </c>
    </row>
    <row r="21749">
      <c r="A21749" s="1" t="s">
        <v>21748</v>
      </c>
      <c r="B21749" s="2" t="str">
        <f>IFERROR(__xludf.DUMMYFUNCTION("GOOGLETRANSLATE(A21749, ""de"", ""en"")"),"escort")</f>
        <v>escort</v>
      </c>
    </row>
    <row r="21750">
      <c r="A21750" s="1" t="s">
        <v>21749</v>
      </c>
      <c r="B21750" s="2" t="str">
        <f>IFERROR(__xludf.DUMMYFUNCTION("GOOGLETRANSLATE(A21750, ""de"", ""en"")"),"duh")</f>
        <v>duh</v>
      </c>
    </row>
    <row r="21751">
      <c r="A21751" s="1" t="s">
        <v>21750</v>
      </c>
      <c r="B21751" s="2" t="str">
        <f>IFERROR(__xludf.DUMMYFUNCTION("GOOGLETRANSLATE(A21751, ""de"", ""en"")"),"standing")</f>
        <v>standing</v>
      </c>
    </row>
    <row r="21752">
      <c r="A21752" s="1" t="s">
        <v>21751</v>
      </c>
      <c r="B21752" s="2" t="str">
        <f>IFERROR(__xludf.DUMMYFUNCTION("GOOGLETRANSLATE(A21752, ""de"", ""en"")"),"pile of scrap")</f>
        <v>pile of scrap</v>
      </c>
    </row>
    <row r="21753">
      <c r="A21753" s="1" t="s">
        <v>21752</v>
      </c>
      <c r="B21753" s="2" t="str">
        <f>IFERROR(__xludf.DUMMYFUNCTION("GOOGLETRANSLATE(A21753, ""de"", ""en"")"),"snow")</f>
        <v>snow</v>
      </c>
    </row>
    <row r="21754">
      <c r="A21754" s="1" t="s">
        <v>21753</v>
      </c>
      <c r="B21754" s="2" t="str">
        <f>IFERROR(__xludf.DUMMYFUNCTION("GOOGLETRANSLATE(A21754, ""de"", ""en"")"),"jersey")</f>
        <v>jersey</v>
      </c>
    </row>
    <row r="21755">
      <c r="A21755" s="1" t="s">
        <v>21754</v>
      </c>
      <c r="B21755" s="2" t="str">
        <f>IFERROR(__xludf.DUMMYFUNCTION("GOOGLETRANSLATE(A21755, ""de"", ""en"")"),"see")</f>
        <v>see</v>
      </c>
    </row>
    <row r="21756">
      <c r="A21756" s="1" t="s">
        <v>21755</v>
      </c>
      <c r="B21756" s="2" t="str">
        <f>IFERROR(__xludf.DUMMYFUNCTION("GOOGLETRANSLATE(A21756, ""de"", ""en"")"),"most gracious")</f>
        <v>most gracious</v>
      </c>
    </row>
    <row r="21757">
      <c r="A21757" s="1" t="s">
        <v>21756</v>
      </c>
      <c r="B21757" s="2" t="str">
        <f>IFERROR(__xludf.DUMMYFUNCTION("GOOGLETRANSLATE(A21757, ""de"", ""en"")"),"autographs")</f>
        <v>autographs</v>
      </c>
    </row>
    <row r="21758">
      <c r="A21758" s="1" t="s">
        <v>21757</v>
      </c>
      <c r="B21758" s="2" t="str">
        <f>IFERROR(__xludf.DUMMYFUNCTION("GOOGLETRANSLATE(A21758, ""de"", ""en"")"),"to challenge")</f>
        <v>to challenge</v>
      </c>
    </row>
    <row r="21759">
      <c r="A21759" s="1" t="s">
        <v>21758</v>
      </c>
      <c r="B21759" s="2" t="str">
        <f>IFERROR(__xludf.DUMMYFUNCTION("GOOGLETRANSLATE(A21759, ""de"", ""en"")"),"feeling")</f>
        <v>feeling</v>
      </c>
    </row>
    <row r="21760">
      <c r="A21760" s="1" t="s">
        <v>21759</v>
      </c>
      <c r="B21760" s="2" t="str">
        <f>IFERROR(__xludf.DUMMYFUNCTION("GOOGLETRANSLATE(A21760, ""de"", ""en"")"),"suspension")</f>
        <v>suspension</v>
      </c>
    </row>
    <row r="21761">
      <c r="A21761" s="1" t="s">
        <v>21760</v>
      </c>
      <c r="B21761" s="2" t="str">
        <f>IFERROR(__xludf.DUMMYFUNCTION("GOOGLETRANSLATE(A21761, ""de"", ""en"")"),"loads")</f>
        <v>loads</v>
      </c>
    </row>
    <row r="21762">
      <c r="A21762" s="1" t="s">
        <v>21761</v>
      </c>
      <c r="B21762" s="2" t="str">
        <f>IFERROR(__xludf.DUMMYFUNCTION("GOOGLETRANSLATE(A21762, ""de"", ""en"")"),"engine")</f>
        <v>engine</v>
      </c>
    </row>
    <row r="21763">
      <c r="A21763" s="1" t="s">
        <v>21762</v>
      </c>
      <c r="B21763" s="2" t="str">
        <f>IFERROR(__xludf.DUMMYFUNCTION("GOOGLETRANSLATE(A21763, ""de"", ""en"")"),"sold")</f>
        <v>sold</v>
      </c>
    </row>
    <row r="21764">
      <c r="A21764" s="1" t="s">
        <v>21763</v>
      </c>
      <c r="B21764" s="2" t="str">
        <f>IFERROR(__xludf.DUMMYFUNCTION("GOOGLETRANSLATE(A21764, ""de"", ""en"")"),"Bowen")</f>
        <v>Bowen</v>
      </c>
    </row>
    <row r="21765">
      <c r="A21765" s="1" t="s">
        <v>21764</v>
      </c>
      <c r="B21765" s="2" t="str">
        <f>IFERROR(__xludf.DUMMYFUNCTION("GOOGLETRANSLATE(A21765, ""de"", ""en"")"),"kidnapping")</f>
        <v>kidnapping</v>
      </c>
    </row>
    <row r="21766">
      <c r="A21766" s="1" t="s">
        <v>21765</v>
      </c>
      <c r="B21766" s="2" t="str">
        <f>IFERROR(__xludf.DUMMYFUNCTION("GOOGLETRANSLATE(A21766, ""de"", ""en"")"),"maintenance")</f>
        <v>maintenance</v>
      </c>
    </row>
    <row r="21767">
      <c r="A21767" s="1" t="s">
        <v>21766</v>
      </c>
      <c r="B21767" s="2" t="str">
        <f>IFERROR(__xludf.DUMMYFUNCTION("GOOGLETRANSLATE(A21767, ""de"", ""en"")"),"final")</f>
        <v>final</v>
      </c>
    </row>
    <row r="21768">
      <c r="A21768" s="1" t="s">
        <v>21767</v>
      </c>
      <c r="B21768" s="2" t="str">
        <f>IFERROR(__xludf.DUMMYFUNCTION("GOOGLETRANSLATE(A21768, ""de"", ""en"")"),"masked")</f>
        <v>masked</v>
      </c>
    </row>
    <row r="21769">
      <c r="A21769" s="1" t="s">
        <v>21768</v>
      </c>
      <c r="B21769" s="2" t="str">
        <f>IFERROR(__xludf.DUMMYFUNCTION("GOOGLETRANSLATE(A21769, ""de"", ""en"")"),"lazybones")</f>
        <v>lazybones</v>
      </c>
    </row>
    <row r="21770">
      <c r="A21770" s="1" t="s">
        <v>21769</v>
      </c>
      <c r="B21770" s="2" t="str">
        <f>IFERROR(__xludf.DUMMYFUNCTION("GOOGLETRANSLATE(A21770, ""de"", ""en"")"),"have fun")</f>
        <v>have fun</v>
      </c>
    </row>
    <row r="21771">
      <c r="A21771" s="1" t="s">
        <v>21770</v>
      </c>
      <c r="B21771" s="2" t="str">
        <f>IFERROR(__xludf.DUMMYFUNCTION("GOOGLETRANSLATE(A21771, ""de"", ""en"")"),"watered")</f>
        <v>watered</v>
      </c>
    </row>
    <row r="21772">
      <c r="A21772" s="1" t="s">
        <v>21771</v>
      </c>
      <c r="B21772" s="2" t="str">
        <f>IFERROR(__xludf.DUMMYFUNCTION("GOOGLETRANSLATE(A21772, ""de"", ""en"")"),"Katia")</f>
        <v>Katia</v>
      </c>
    </row>
    <row r="21773">
      <c r="A21773" s="1" t="s">
        <v>21772</v>
      </c>
      <c r="B21773" s="2" t="str">
        <f>IFERROR(__xludf.DUMMYFUNCTION("GOOGLETRANSLATE(A21773, ""de"", ""en"")"),"marisa")</f>
        <v>marisa</v>
      </c>
    </row>
    <row r="21774">
      <c r="A21774" s="1" t="s">
        <v>21773</v>
      </c>
      <c r="B21774" s="2" t="str">
        <f>IFERROR(__xludf.DUMMYFUNCTION("GOOGLETRANSLATE(A21774, ""de"", ""en"")"),"bellheim")</f>
        <v>bellheim</v>
      </c>
    </row>
    <row r="21775">
      <c r="A21775" s="1" t="s">
        <v>21774</v>
      </c>
      <c r="B21775" s="2" t="str">
        <f>IFERROR(__xludf.DUMMYFUNCTION("GOOGLETRANSLATE(A21775, ""de"", ""en"")"),"composed")</f>
        <v>composed</v>
      </c>
    </row>
    <row r="21776">
      <c r="A21776" s="1" t="s">
        <v>21775</v>
      </c>
      <c r="B21776" s="2" t="str">
        <f>IFERROR(__xludf.DUMMYFUNCTION("GOOGLETRANSLATE(A21776, ""de"", ""en"")"),"surfer")</f>
        <v>surfer</v>
      </c>
    </row>
    <row r="21777">
      <c r="A21777" s="1" t="s">
        <v>21776</v>
      </c>
      <c r="B21777" s="2" t="str">
        <f>IFERROR(__xludf.DUMMYFUNCTION("GOOGLETRANSLATE(A21777, ""de"", ""en"")"),"to wait and see")</f>
        <v>to wait and see</v>
      </c>
    </row>
    <row r="21778">
      <c r="A21778" s="1" t="s">
        <v>21777</v>
      </c>
      <c r="B21778" s="2" t="str">
        <f>IFERROR(__xludf.DUMMYFUNCTION("GOOGLETRANSLATE(A21778, ""de"", ""en"")"),"suitable")</f>
        <v>suitable</v>
      </c>
    </row>
    <row r="21779">
      <c r="A21779" s="1" t="s">
        <v>21778</v>
      </c>
      <c r="B21779" s="2" t="str">
        <f>IFERROR(__xludf.DUMMYFUNCTION("GOOGLETRANSLATE(A21779, ""de"", ""en"")"),"foresee")</f>
        <v>foresee</v>
      </c>
    </row>
    <row r="21780">
      <c r="A21780" s="1" t="s">
        <v>21779</v>
      </c>
      <c r="B21780" s="2" t="str">
        <f>IFERROR(__xludf.DUMMYFUNCTION("GOOGLETRANSLATE(A21780, ""de"", ""en"")"),"dwindles")</f>
        <v>dwindles</v>
      </c>
    </row>
    <row r="21781">
      <c r="A21781" s="1" t="s">
        <v>21780</v>
      </c>
      <c r="B21781" s="2" t="str">
        <f>IFERROR(__xludf.DUMMYFUNCTION("GOOGLETRANSLATE(A21781, ""de"", ""en"")"),"look at")</f>
        <v>look at</v>
      </c>
    </row>
    <row r="21782">
      <c r="A21782" s="1" t="s">
        <v>21781</v>
      </c>
      <c r="B21782" s="2" t="str">
        <f>IFERROR(__xludf.DUMMYFUNCTION("GOOGLETRANSLATE(A21782, ""de"", ""en"")"),"kitty")</f>
        <v>kitty</v>
      </c>
    </row>
    <row r="21783">
      <c r="A21783" s="1" t="s">
        <v>21782</v>
      </c>
      <c r="B21783" s="2" t="str">
        <f>IFERROR(__xludf.DUMMYFUNCTION("GOOGLETRANSLATE(A21783, ""de"", ""en"")"),"collapse")</f>
        <v>collapse</v>
      </c>
    </row>
    <row r="21784">
      <c r="A21784" s="1" t="s">
        <v>21783</v>
      </c>
      <c r="B21784" s="2" t="str">
        <f>IFERROR(__xludf.DUMMYFUNCTION("GOOGLETRANSLATE(A21784, ""de"", ""en"")"),"blocks")</f>
        <v>blocks</v>
      </c>
    </row>
    <row r="21785">
      <c r="A21785" s="1" t="s">
        <v>21784</v>
      </c>
      <c r="B21785" s="2" t="str">
        <f>IFERROR(__xludf.DUMMYFUNCTION("GOOGLETRANSLATE(A21785, ""de"", ""en"")"),"adore")</f>
        <v>adore</v>
      </c>
    </row>
    <row r="21786">
      <c r="A21786" s="1" t="s">
        <v>21785</v>
      </c>
      <c r="B21786" s="2" t="str">
        <f>IFERROR(__xludf.DUMMYFUNCTION("GOOGLETRANSLATE(A21786, ""de"", ""en"")"),"flo")</f>
        <v>flo</v>
      </c>
    </row>
    <row r="21787">
      <c r="A21787" s="1" t="s">
        <v>21786</v>
      </c>
      <c r="B21787" s="2" t="str">
        <f>IFERROR(__xludf.DUMMYFUNCTION("GOOGLETRANSLATE(A21787, ""de"", ""en"")"),"spread")</f>
        <v>spread</v>
      </c>
    </row>
    <row r="21788">
      <c r="A21788" s="1" t="s">
        <v>21787</v>
      </c>
      <c r="B21788" s="2" t="str">
        <f>IFERROR(__xludf.DUMMYFUNCTION("GOOGLETRANSLATE(A21788, ""de"", ""en"")"),"lizard")</f>
        <v>lizard</v>
      </c>
    </row>
    <row r="21789">
      <c r="A21789" s="1" t="s">
        <v>21788</v>
      </c>
      <c r="B21789" s="2" t="str">
        <f>IFERROR(__xludf.DUMMYFUNCTION("GOOGLETRANSLATE(A21789, ""de"", ""en"")"),"rays")</f>
        <v>rays</v>
      </c>
    </row>
    <row r="21790">
      <c r="A21790" s="1" t="s">
        <v>21789</v>
      </c>
      <c r="B21790" s="2" t="str">
        <f>IFERROR(__xludf.DUMMYFUNCTION("GOOGLETRANSLATE(A21790, ""de"", ""en"")"),"cover up")</f>
        <v>cover up</v>
      </c>
    </row>
    <row r="21791">
      <c r="A21791" s="1" t="s">
        <v>21790</v>
      </c>
      <c r="B21791" s="2" t="str">
        <f>IFERROR(__xludf.DUMMYFUNCTION("GOOGLETRANSLATE(A21791, ""de"", ""en"")"),"comes away")</f>
        <v>comes away</v>
      </c>
    </row>
    <row r="21792">
      <c r="A21792" s="1" t="s">
        <v>21791</v>
      </c>
      <c r="B21792" s="2" t="str">
        <f>IFERROR(__xludf.DUMMYFUNCTION("GOOGLETRANSLATE(A21792, ""de"", ""en"")"),"carry out")</f>
        <v>carry out</v>
      </c>
    </row>
    <row r="21793">
      <c r="A21793" s="1" t="s">
        <v>21792</v>
      </c>
      <c r="B21793" s="2" t="str">
        <f>IFERROR(__xludf.DUMMYFUNCTION("GOOGLETRANSLATE(A21793, ""de"", ""en"")"),"defected")</f>
        <v>defected</v>
      </c>
    </row>
    <row r="21794">
      <c r="A21794" s="1" t="s">
        <v>21793</v>
      </c>
      <c r="B21794" s="2" t="str">
        <f>IFERROR(__xludf.DUMMYFUNCTION("GOOGLETRANSLATE(A21794, ""de"", ""en"")"),"leak through")</f>
        <v>leak through</v>
      </c>
    </row>
    <row r="21795">
      <c r="A21795" s="1" t="s">
        <v>21794</v>
      </c>
      <c r="B21795" s="2" t="str">
        <f>IFERROR(__xludf.DUMMYFUNCTION("GOOGLETRANSLATE(A21795, ""de"", ""en"")"),"harmful")</f>
        <v>harmful</v>
      </c>
    </row>
    <row r="21796">
      <c r="A21796" s="1" t="s">
        <v>21795</v>
      </c>
      <c r="B21796" s="2" t="str">
        <f>IFERROR(__xludf.DUMMYFUNCTION("GOOGLETRANSLATE(A21796, ""de"", ""en"")"),"behave")</f>
        <v>behave</v>
      </c>
    </row>
    <row r="21797">
      <c r="A21797" s="1" t="s">
        <v>21796</v>
      </c>
      <c r="B21797" s="2" t="str">
        <f>IFERROR(__xludf.DUMMYFUNCTION("GOOGLETRANSLATE(A21797, ""de"", ""en"")"),"ever")</f>
        <v>ever</v>
      </c>
    </row>
    <row r="21798">
      <c r="A21798" s="1" t="s">
        <v>21797</v>
      </c>
      <c r="B21798" s="2" t="str">
        <f>IFERROR(__xludf.DUMMYFUNCTION("GOOGLETRANSLATE(A21798, ""de"", ""en"")"),"forewarn")</f>
        <v>forewarn</v>
      </c>
    </row>
    <row r="21799">
      <c r="A21799" s="1" t="s">
        <v>21798</v>
      </c>
      <c r="B21799" s="2" t="str">
        <f>IFERROR(__xludf.DUMMYFUNCTION("GOOGLETRANSLATE(A21799, ""de"", ""en"")"),"cheerleader")</f>
        <v>cheerleader</v>
      </c>
    </row>
    <row r="21800">
      <c r="A21800" s="1" t="s">
        <v>21799</v>
      </c>
      <c r="B21800" s="2" t="str">
        <f>IFERROR(__xludf.DUMMYFUNCTION("GOOGLETRANSLATE(A21800, ""de"", ""en"")"),"average")</f>
        <v>average</v>
      </c>
    </row>
    <row r="21801">
      <c r="A21801" s="1" t="s">
        <v>21800</v>
      </c>
      <c r="B21801" s="2" t="str">
        <f>IFERROR(__xludf.DUMMYFUNCTION("GOOGLETRANSLATE(A21801, ""de"", ""en"")"),"carrier")</f>
        <v>carrier</v>
      </c>
    </row>
    <row r="21802">
      <c r="A21802" s="1" t="s">
        <v>21801</v>
      </c>
      <c r="B21802" s="2" t="str">
        <f>IFERROR(__xludf.DUMMYFUNCTION("GOOGLETRANSLATE(A21802, ""de"", ""en"")"),"flores")</f>
        <v>flores</v>
      </c>
    </row>
    <row r="21803">
      <c r="A21803" s="1" t="s">
        <v>21802</v>
      </c>
      <c r="B21803" s="2" t="str">
        <f>IFERROR(__xludf.DUMMYFUNCTION("GOOGLETRANSLATE(A21803, ""de"", ""en"")"),"offender")</f>
        <v>offender</v>
      </c>
    </row>
    <row r="21804">
      <c r="A21804" s="1" t="s">
        <v>21803</v>
      </c>
      <c r="B21804" s="2" t="str">
        <f>IFERROR(__xludf.DUMMYFUNCTION("GOOGLETRANSLATE(A21804, ""de"", ""en"")"),"knew")</f>
        <v>knew</v>
      </c>
    </row>
    <row r="21805">
      <c r="A21805" s="1" t="s">
        <v>21804</v>
      </c>
      <c r="B21805" s="2" t="str">
        <f>IFERROR(__xludf.DUMMYFUNCTION("GOOGLETRANSLATE(A21805, ""de"", ""en"")"),"Amazon")</f>
        <v>Amazon</v>
      </c>
    </row>
    <row r="21806">
      <c r="A21806" s="1" t="s">
        <v>21805</v>
      </c>
      <c r="B21806" s="2" t="str">
        <f>IFERROR(__xludf.DUMMYFUNCTION("GOOGLETRANSLATE(A21806, ""de"", ""en"")"),"bailiff")</f>
        <v>bailiff</v>
      </c>
    </row>
    <row r="21807">
      <c r="A21807" s="1" t="s">
        <v>21806</v>
      </c>
      <c r="B21807" s="2" t="str">
        <f>IFERROR(__xludf.DUMMYFUNCTION("GOOGLETRANSLATE(A21807, ""de"", ""en"")"),"concrete")</f>
        <v>concrete</v>
      </c>
    </row>
    <row r="21808">
      <c r="A21808" s="1" t="s">
        <v>21807</v>
      </c>
      <c r="B21808" s="2" t="str">
        <f>IFERROR(__xludf.DUMMYFUNCTION("GOOGLETRANSLATE(A21808, ""de"", ""en"")"),"wider")</f>
        <v>wider</v>
      </c>
    </row>
    <row r="21809">
      <c r="A21809" s="1" t="s">
        <v>21808</v>
      </c>
      <c r="B21809" s="2" t="str">
        <f>IFERROR(__xludf.DUMMYFUNCTION("GOOGLETRANSLATE(A21809, ""de"", ""en"")"),"mata")</f>
        <v>mata</v>
      </c>
    </row>
    <row r="21810">
      <c r="A21810" s="1" t="s">
        <v>21809</v>
      </c>
      <c r="B21810" s="2" t="str">
        <f>IFERROR(__xludf.DUMMYFUNCTION("GOOGLETRANSLATE(A21810, ""de"", ""en"")"),"magic trick")</f>
        <v>magic trick</v>
      </c>
    </row>
    <row r="21811">
      <c r="A21811" s="1" t="s">
        <v>21810</v>
      </c>
      <c r="B21811" s="2" t="str">
        <f>IFERROR(__xludf.DUMMYFUNCTION("GOOGLETRANSLATE(A21811, ""de"", ""en"")"),"unemployment")</f>
        <v>unemployment</v>
      </c>
    </row>
    <row r="21812">
      <c r="A21812" s="1" t="s">
        <v>21811</v>
      </c>
      <c r="B21812" s="2" t="str">
        <f>IFERROR(__xludf.DUMMYFUNCTION("GOOGLETRANSLATE(A21812, ""de"", ""en"")"),"holy water")</f>
        <v>holy water</v>
      </c>
    </row>
    <row r="21813">
      <c r="A21813" s="1" t="s">
        <v>21812</v>
      </c>
      <c r="B21813" s="2" t="str">
        <f>IFERROR(__xludf.DUMMYFUNCTION("GOOGLETRANSLATE(A21813, ""de"", ""en"")"),"dies")</f>
        <v>dies</v>
      </c>
    </row>
    <row r="21814">
      <c r="A21814" s="1" t="s">
        <v>21813</v>
      </c>
      <c r="B21814" s="2" t="str">
        <f>IFERROR(__xludf.DUMMYFUNCTION("GOOGLETRANSLATE(A21814, ""de"", ""en"")"),"willpower")</f>
        <v>willpower</v>
      </c>
    </row>
    <row r="21815">
      <c r="A21815" s="1" t="s">
        <v>21814</v>
      </c>
      <c r="B21815" s="2" t="str">
        <f>IFERROR(__xludf.DUMMYFUNCTION("GOOGLETRANSLATE(A21815, ""de"", ""en"")"),"causes")</f>
        <v>causes</v>
      </c>
    </row>
    <row r="21816">
      <c r="A21816" s="1" t="s">
        <v>21815</v>
      </c>
      <c r="B21816" s="2" t="str">
        <f>IFERROR(__xludf.DUMMYFUNCTION("GOOGLETRANSLATE(A21816, ""de"", ""en"")"),"tame")</f>
        <v>tame</v>
      </c>
    </row>
    <row r="21817">
      <c r="A21817" s="1" t="s">
        <v>21816</v>
      </c>
      <c r="B21817" s="2" t="str">
        <f>IFERROR(__xludf.DUMMYFUNCTION("GOOGLETRANSLATE(A21817, ""de"", ""en"")"),"bartlett")</f>
        <v>bartlett</v>
      </c>
    </row>
    <row r="21818">
      <c r="A21818" s="1" t="s">
        <v>21817</v>
      </c>
      <c r="B21818" s="2" t="str">
        <f>IFERROR(__xludf.DUMMYFUNCTION("GOOGLETRANSLATE(A21818, ""de"", ""en"")"),"sticky")</f>
        <v>sticky</v>
      </c>
    </row>
    <row r="21819">
      <c r="A21819" s="1" t="s">
        <v>21818</v>
      </c>
      <c r="B21819" s="2" t="str">
        <f>IFERROR(__xludf.DUMMYFUNCTION("GOOGLETRANSLATE(A21819, ""de"", ""en"")"),"drive around")</f>
        <v>drive around</v>
      </c>
    </row>
    <row r="21820">
      <c r="A21820" s="1" t="s">
        <v>21819</v>
      </c>
      <c r="B21820" s="2" t="str">
        <f>IFERROR(__xludf.DUMMYFUNCTION("GOOGLETRANSLATE(A21820, ""de"", ""en"")"),"settle")</f>
        <v>settle</v>
      </c>
    </row>
    <row r="21821">
      <c r="A21821" s="1" t="s">
        <v>21820</v>
      </c>
      <c r="B21821" s="2" t="str">
        <f>IFERROR(__xludf.DUMMYFUNCTION("GOOGLETRANSLATE(A21821, ""de"", ""en"")"),"bleed out")</f>
        <v>bleed out</v>
      </c>
    </row>
    <row r="21822">
      <c r="A21822" s="1" t="s">
        <v>21821</v>
      </c>
      <c r="B21822" s="2" t="str">
        <f>IFERROR(__xludf.DUMMYFUNCTION("GOOGLETRANSLATE(A21822, ""de"", ""en"")"),"records")</f>
        <v>records</v>
      </c>
    </row>
    <row r="21823">
      <c r="A21823" s="1" t="s">
        <v>21822</v>
      </c>
      <c r="B21823" s="2" t="str">
        <f>IFERROR(__xludf.DUMMYFUNCTION("GOOGLETRANSLATE(A21823, ""de"", ""en"")"),"from")</f>
        <v>from</v>
      </c>
    </row>
    <row r="21824">
      <c r="A21824" s="1" t="s">
        <v>21823</v>
      </c>
      <c r="B21824" s="2" t="str">
        <f>IFERROR(__xludf.DUMMYFUNCTION("GOOGLETRANSLATE(A21824, ""de"", ""en"")"),"little words")</f>
        <v>little words</v>
      </c>
    </row>
    <row r="21825">
      <c r="A21825" s="1" t="s">
        <v>21824</v>
      </c>
      <c r="B21825" s="2" t="str">
        <f>IFERROR(__xludf.DUMMYFUNCTION("GOOGLETRANSLATE(A21825, ""de"", ""en"")"),"Faber")</f>
        <v>Faber</v>
      </c>
    </row>
    <row r="21826">
      <c r="A21826" s="1" t="s">
        <v>21825</v>
      </c>
      <c r="B21826" s="2" t="str">
        <f>IFERROR(__xludf.DUMMYFUNCTION("GOOGLETRANSLATE(A21826, ""de"", ""en"")"),"useless")</f>
        <v>useless</v>
      </c>
    </row>
    <row r="21827">
      <c r="A21827" s="1" t="s">
        <v>21826</v>
      </c>
      <c r="B21827" s="2" t="str">
        <f>IFERROR(__xludf.DUMMYFUNCTION("GOOGLETRANSLATE(A21827, ""de"", ""en"")"),"decreases")</f>
        <v>decreases</v>
      </c>
    </row>
    <row r="21828">
      <c r="A21828" s="1" t="s">
        <v>21827</v>
      </c>
      <c r="B21828" s="2" t="str">
        <f>IFERROR(__xludf.DUMMYFUNCTION("GOOGLETRANSLATE(A21828, ""de"", ""en"")"),"very first")</f>
        <v>very first</v>
      </c>
    </row>
    <row r="21829">
      <c r="A21829" s="1" t="s">
        <v>21828</v>
      </c>
      <c r="B21829" s="2" t="str">
        <f>IFERROR(__xludf.DUMMYFUNCTION("GOOGLETRANSLATE(A21829, ""de"", ""en"")"),"long term")</f>
        <v>long term</v>
      </c>
    </row>
    <row r="21830">
      <c r="A21830" s="1" t="s">
        <v>21829</v>
      </c>
      <c r="B21830" s="2" t="str">
        <f>IFERROR(__xludf.DUMMYFUNCTION("GOOGLETRANSLATE(A21830, ""de"", ""en"")"),"Kessler")</f>
        <v>Kessler</v>
      </c>
    </row>
    <row r="21831">
      <c r="A21831" s="1" t="s">
        <v>21830</v>
      </c>
      <c r="B21831" s="2" t="str">
        <f>IFERROR(__xludf.DUMMYFUNCTION("GOOGLETRANSLATE(A21831, ""de"", ""en"")"),"pipeline")</f>
        <v>pipeline</v>
      </c>
    </row>
    <row r="21832">
      <c r="A21832" s="1" t="s">
        <v>21831</v>
      </c>
      <c r="B21832" s="2" t="str">
        <f>IFERROR(__xludf.DUMMYFUNCTION("GOOGLETRANSLATE(A21832, ""de"", ""en"")"),"preached")</f>
        <v>preached</v>
      </c>
    </row>
    <row r="21833">
      <c r="A21833" s="1" t="s">
        <v>21832</v>
      </c>
      <c r="B21833" s="2" t="str">
        <f>IFERROR(__xludf.DUMMYFUNCTION("GOOGLETRANSLATE(A21833, ""de"", ""en"")"),"beats")</f>
        <v>beats</v>
      </c>
    </row>
    <row r="21834">
      <c r="A21834" s="1" t="s">
        <v>21833</v>
      </c>
      <c r="B21834" s="2" t="str">
        <f>IFERROR(__xludf.DUMMYFUNCTION("GOOGLETRANSLATE(A21834, ""de"", ""en"")"),"taler")</f>
        <v>taler</v>
      </c>
    </row>
    <row r="21835">
      <c r="A21835" s="1" t="s">
        <v>21834</v>
      </c>
      <c r="B21835" s="2" t="str">
        <f>IFERROR(__xludf.DUMMYFUNCTION("GOOGLETRANSLATE(A21835, ""de"", ""en"")"),"thermometer")</f>
        <v>thermometer</v>
      </c>
    </row>
    <row r="21836">
      <c r="A21836" s="1" t="s">
        <v>21835</v>
      </c>
      <c r="B21836" s="2" t="str">
        <f>IFERROR(__xludf.DUMMYFUNCTION("GOOGLETRANSLATE(A21836, ""de"", ""en"")"),"payroll")</f>
        <v>payroll</v>
      </c>
    </row>
    <row r="21837">
      <c r="A21837" s="1" t="s">
        <v>21836</v>
      </c>
      <c r="B21837" s="2" t="str">
        <f>IFERROR(__xludf.DUMMYFUNCTION("GOOGLETRANSLATE(A21837, ""de"", ""en"")"),"firewood")</f>
        <v>firewood</v>
      </c>
    </row>
    <row r="21838">
      <c r="A21838" s="1" t="s">
        <v>21837</v>
      </c>
      <c r="B21838" s="2" t="str">
        <f>IFERROR(__xludf.DUMMYFUNCTION("GOOGLETRANSLATE(A21838, ""de"", ""en"")"),"volcanic")</f>
        <v>volcanic</v>
      </c>
    </row>
    <row r="21839">
      <c r="A21839" s="1" t="s">
        <v>21838</v>
      </c>
      <c r="B21839" s="2" t="str">
        <f>IFERROR(__xludf.DUMMYFUNCTION("GOOGLETRANSLATE(A21839, ""de"", ""en"")"),"craziest")</f>
        <v>craziest</v>
      </c>
    </row>
    <row r="21840">
      <c r="A21840" s="1" t="s">
        <v>21839</v>
      </c>
      <c r="B21840" s="2" t="str">
        <f>IFERROR(__xludf.DUMMYFUNCTION("GOOGLETRANSLATE(A21840, ""de"", ""en"")"),"j.p.")</f>
        <v>j.p.</v>
      </c>
    </row>
    <row r="21841">
      <c r="A21841" s="1" t="s">
        <v>21840</v>
      </c>
      <c r="B21841" s="2" t="str">
        <f>IFERROR(__xludf.DUMMYFUNCTION("GOOGLETRANSLATE(A21841, ""de"", ""en"")"),"amniotic sac")</f>
        <v>amniotic sac</v>
      </c>
    </row>
    <row r="21842">
      <c r="A21842" s="1" t="s">
        <v>21841</v>
      </c>
      <c r="B21842" s="2" t="str">
        <f>IFERROR(__xludf.DUMMYFUNCTION("GOOGLETRANSLATE(A21842, ""de"", ""en"")"),"defenseless")</f>
        <v>defenseless</v>
      </c>
    </row>
    <row r="21843">
      <c r="A21843" s="1" t="s">
        <v>21842</v>
      </c>
      <c r="B21843" s="2" t="str">
        <f>IFERROR(__xludf.DUMMYFUNCTION("GOOGLETRANSLATE(A21843, ""de"", ""en"")"),"national anthem")</f>
        <v>national anthem</v>
      </c>
    </row>
    <row r="21844">
      <c r="A21844" s="1" t="s">
        <v>21843</v>
      </c>
      <c r="B21844" s="2" t="str">
        <f>IFERROR(__xludf.DUMMYFUNCTION("GOOGLETRANSLATE(A21844, ""de"", ""en"")"),"mccabe")</f>
        <v>mccabe</v>
      </c>
    </row>
    <row r="21845">
      <c r="A21845" s="1" t="s">
        <v>21844</v>
      </c>
      <c r="B21845" s="2" t="str">
        <f>IFERROR(__xludf.DUMMYFUNCTION("GOOGLETRANSLATE(A21845, ""de"", ""en"")"),"were allowed")</f>
        <v>were allowed</v>
      </c>
    </row>
    <row r="21846">
      <c r="A21846" s="1" t="s">
        <v>21845</v>
      </c>
      <c r="B21846" s="2" t="str">
        <f>IFERROR(__xludf.DUMMYFUNCTION("GOOGLETRANSLATE(A21846, ""de"", ""en"")"),"bonds")</f>
        <v>bonds</v>
      </c>
    </row>
    <row r="21847">
      <c r="A21847" s="1" t="s">
        <v>21846</v>
      </c>
      <c r="B21847" s="2" t="str">
        <f>IFERROR(__xludf.DUMMYFUNCTION("GOOGLETRANSLATE(A21847, ""de"", ""en"")"),"quarter")</f>
        <v>quarter</v>
      </c>
    </row>
    <row r="21848">
      <c r="A21848" s="1" t="s">
        <v>21847</v>
      </c>
      <c r="B21848" s="2" t="str">
        <f>IFERROR(__xludf.DUMMYFUNCTION("GOOGLETRANSLATE(A21848, ""de"", ""en"")"),"kitchen")</f>
        <v>kitchen</v>
      </c>
    </row>
    <row r="21849">
      <c r="A21849" s="1" t="s">
        <v>21848</v>
      </c>
      <c r="B21849" s="2" t="str">
        <f>IFERROR(__xludf.DUMMYFUNCTION("GOOGLETRANSLATE(A21849, ""de"", ""en"")"),"tidbit")</f>
        <v>tidbit</v>
      </c>
    </row>
    <row r="21850">
      <c r="A21850" s="1" t="s">
        <v>21849</v>
      </c>
      <c r="B21850" s="2" t="str">
        <f>IFERROR(__xludf.DUMMYFUNCTION("GOOGLETRANSLATE(A21850, ""de"", ""en"")"),"popular")</f>
        <v>popular</v>
      </c>
    </row>
    <row r="21851">
      <c r="A21851" s="1" t="s">
        <v>21850</v>
      </c>
      <c r="B21851" s="2" t="str">
        <f>IFERROR(__xludf.DUMMYFUNCTION("GOOGLETRANSLATE(A21851, ""de"", ""en"")"),"guru")</f>
        <v>guru</v>
      </c>
    </row>
    <row r="21852">
      <c r="A21852" s="1" t="s">
        <v>21851</v>
      </c>
      <c r="B21852" s="2" t="str">
        <f>IFERROR(__xludf.DUMMYFUNCTION("GOOGLETRANSLATE(A21852, ""de"", ""en"")"),"rommel")</f>
        <v>rommel</v>
      </c>
    </row>
    <row r="21853">
      <c r="A21853" s="1" t="s">
        <v>21852</v>
      </c>
      <c r="B21853" s="2" t="str">
        <f>IFERROR(__xludf.DUMMYFUNCTION("GOOGLETRANSLATE(A21853, ""de"", ""en"")"),"independent")</f>
        <v>independent</v>
      </c>
    </row>
    <row r="21854">
      <c r="A21854" s="1" t="s">
        <v>21853</v>
      </c>
      <c r="B21854" s="2" t="str">
        <f>IFERROR(__xludf.DUMMYFUNCTION("GOOGLETRANSLATE(A21854, ""de"", ""en"")"),"real")</f>
        <v>real</v>
      </c>
    </row>
    <row r="21855">
      <c r="A21855" s="1" t="s">
        <v>21854</v>
      </c>
      <c r="B21855" s="2" t="str">
        <f>IFERROR(__xludf.DUMMYFUNCTION("GOOGLETRANSLATE(A21855, ""de"", ""en"")"),"hated")</f>
        <v>hated</v>
      </c>
    </row>
    <row r="21856">
      <c r="A21856" s="1" t="s">
        <v>21855</v>
      </c>
      <c r="B21856" s="2" t="str">
        <f>IFERROR(__xludf.DUMMYFUNCTION("GOOGLETRANSLATE(A21856, ""de"", ""en"")"),"put away")</f>
        <v>put away</v>
      </c>
    </row>
    <row r="21857">
      <c r="A21857" s="1" t="s">
        <v>21856</v>
      </c>
      <c r="B21857" s="2" t="str">
        <f>IFERROR(__xludf.DUMMYFUNCTION("GOOGLETRANSLATE(A21857, ""de"", ""en"")"),"clinical")</f>
        <v>clinical</v>
      </c>
    </row>
    <row r="21858">
      <c r="A21858" s="1" t="s">
        <v>21857</v>
      </c>
      <c r="B21858" s="2" t="str">
        <f>IFERROR(__xludf.DUMMYFUNCTION("GOOGLETRANSLATE(A21858, ""de"", ""en"")"),"see")</f>
        <v>see</v>
      </c>
    </row>
    <row r="21859">
      <c r="A21859" s="1" t="s">
        <v>21858</v>
      </c>
      <c r="B21859" s="2" t="str">
        <f>IFERROR(__xludf.DUMMYFUNCTION("GOOGLETRANSLATE(A21859, ""de"", ""en"")"),"Isles")</f>
        <v>Isles</v>
      </c>
    </row>
    <row r="21860">
      <c r="A21860" s="1" t="s">
        <v>21859</v>
      </c>
      <c r="B21860" s="2" t="str">
        <f>IFERROR(__xludf.DUMMYFUNCTION("GOOGLETRANSLATE(A21860, ""de"", ""en"")"),"merrick")</f>
        <v>merrick</v>
      </c>
    </row>
    <row r="21861">
      <c r="A21861" s="1" t="s">
        <v>21860</v>
      </c>
      <c r="B21861" s="2" t="str">
        <f>IFERROR(__xludf.DUMMYFUNCTION("GOOGLETRANSLATE(A21861, ""de"", ""en"")"),"eyelash")</f>
        <v>eyelash</v>
      </c>
    </row>
    <row r="21862">
      <c r="A21862" s="1" t="s">
        <v>21861</v>
      </c>
      <c r="B21862" s="2" t="str">
        <f>IFERROR(__xludf.DUMMYFUNCTION("GOOGLETRANSLATE(A21862, ""de"", ""en"")"),"moreau")</f>
        <v>moreau</v>
      </c>
    </row>
    <row r="21863">
      <c r="A21863" s="1" t="s">
        <v>21862</v>
      </c>
      <c r="B21863" s="2" t="str">
        <f>IFERROR(__xludf.DUMMYFUNCTION("GOOGLETRANSLATE(A21863, ""de"", ""en"")"),"minimal")</f>
        <v>minimal</v>
      </c>
    </row>
    <row r="21864">
      <c r="A21864" s="1" t="s">
        <v>21863</v>
      </c>
      <c r="B21864" s="2" t="str">
        <f>IFERROR(__xludf.DUMMYFUNCTION("GOOGLETRANSLATE(A21864, ""de"", ""en"")"),"homeland security")</f>
        <v>homeland security</v>
      </c>
    </row>
    <row r="21865">
      <c r="A21865" s="1" t="s">
        <v>21864</v>
      </c>
      <c r="B21865" s="2" t="str">
        <f>IFERROR(__xludf.DUMMYFUNCTION("GOOGLETRANSLATE(A21865, ""de"", ""en"")"),"keep running")</f>
        <v>keep running</v>
      </c>
    </row>
    <row r="21866">
      <c r="A21866" s="1" t="s">
        <v>21865</v>
      </c>
      <c r="B21866" s="2" t="str">
        <f>IFERROR(__xludf.DUMMYFUNCTION("GOOGLETRANSLATE(A21866, ""de"", ""en"")"),"partisans")</f>
        <v>partisans</v>
      </c>
    </row>
    <row r="21867">
      <c r="A21867" s="1" t="s">
        <v>21866</v>
      </c>
      <c r="B21867" s="2" t="str">
        <f>IFERROR(__xludf.DUMMYFUNCTION("GOOGLETRANSLATE(A21867, ""de"", ""en"")"),"Ibrahim")</f>
        <v>Ibrahim</v>
      </c>
    </row>
    <row r="21868">
      <c r="A21868" s="1" t="s">
        <v>21867</v>
      </c>
      <c r="B21868" s="2" t="str">
        <f>IFERROR(__xludf.DUMMYFUNCTION("GOOGLETRANSLATE(A21868, ""de"", ""en"")"),"bourne")</f>
        <v>bourne</v>
      </c>
    </row>
    <row r="21869">
      <c r="A21869" s="1" t="s">
        <v>21868</v>
      </c>
      <c r="B21869" s="2" t="str">
        <f>IFERROR(__xludf.DUMMYFUNCTION("GOOGLETRANSLATE(A21869, ""de"", ""en"")"),"crap cattle")</f>
        <v>crap cattle</v>
      </c>
    </row>
    <row r="21870">
      <c r="A21870" s="1" t="s">
        <v>21869</v>
      </c>
      <c r="B21870" s="2" t="str">
        <f>IFERROR(__xludf.DUMMYFUNCTION("GOOGLETRANSLATE(A21870, ""de"", ""en"")"),"lundy")</f>
        <v>lundy</v>
      </c>
    </row>
    <row r="21871">
      <c r="A21871" s="1" t="s">
        <v>21870</v>
      </c>
      <c r="B21871" s="2" t="str">
        <f>IFERROR(__xludf.DUMMYFUNCTION("GOOGLETRANSLATE(A21871, ""de"", ""en"")"),"kalinda")</f>
        <v>kalinda</v>
      </c>
    </row>
    <row r="21872">
      <c r="A21872" s="1" t="s">
        <v>21871</v>
      </c>
      <c r="B21872" s="2" t="str">
        <f>IFERROR(__xludf.DUMMYFUNCTION("GOOGLETRANSLATE(A21872, ""de"", ""en"")"),"Cylon")</f>
        <v>Cylon</v>
      </c>
    </row>
    <row r="21873">
      <c r="A21873" s="1" t="s">
        <v>21872</v>
      </c>
      <c r="B21873" s="2" t="str">
        <f>IFERROR(__xludf.DUMMYFUNCTION("GOOGLETRANSLATE(A21873, ""de"", ""en"")"),"intellectual")</f>
        <v>intellectual</v>
      </c>
    </row>
    <row r="21874">
      <c r="A21874" s="1" t="s">
        <v>21873</v>
      </c>
      <c r="B21874" s="2" t="str">
        <f>IFERROR(__xludf.DUMMYFUNCTION("GOOGLETRANSLATE(A21874, ""de"", ""en"")"),"generous")</f>
        <v>generous</v>
      </c>
    </row>
    <row r="21875">
      <c r="A21875" s="1" t="s">
        <v>21874</v>
      </c>
      <c r="B21875" s="2" t="str">
        <f>IFERROR(__xludf.DUMMYFUNCTION("GOOGLETRANSLATE(A21875, ""de"", ""en"")"),"huge mistake")</f>
        <v>huge mistake</v>
      </c>
    </row>
    <row r="21876">
      <c r="A21876" s="1" t="s">
        <v>21875</v>
      </c>
      <c r="B21876" s="2" t="str">
        <f>IFERROR(__xludf.DUMMYFUNCTION("GOOGLETRANSLATE(A21876, ""de"", ""en"")"),"ulrich")</f>
        <v>ulrich</v>
      </c>
    </row>
    <row r="21877">
      <c r="A21877" s="1" t="s">
        <v>21876</v>
      </c>
      <c r="B21877" s="2" t="str">
        <f>IFERROR(__xludf.DUMMYFUNCTION("GOOGLETRANSLATE(A21877, ""de"", ""en"")"),"paw")</f>
        <v>paw</v>
      </c>
    </row>
    <row r="21878">
      <c r="A21878" s="1" t="s">
        <v>21877</v>
      </c>
      <c r="B21878" s="2" t="str">
        <f>IFERROR(__xludf.DUMMYFUNCTION("GOOGLETRANSLATE(A21878, ""de"", ""en"")"),"noble")</f>
        <v>noble</v>
      </c>
    </row>
    <row r="21879">
      <c r="A21879" s="1" t="s">
        <v>21878</v>
      </c>
      <c r="B21879" s="2" t="str">
        <f>IFERROR(__xludf.DUMMYFUNCTION("GOOGLETRANSLATE(A21879, ""de"", ""en"")"),"symbolic")</f>
        <v>symbolic</v>
      </c>
    </row>
    <row r="21880">
      <c r="A21880" s="1" t="s">
        <v>21879</v>
      </c>
      <c r="B21880" s="2" t="str">
        <f>IFERROR(__xludf.DUMMYFUNCTION("GOOGLETRANSLATE(A21880, ""de"", ""en"")"),"infamous")</f>
        <v>infamous</v>
      </c>
    </row>
    <row r="21881">
      <c r="A21881" s="1" t="s">
        <v>21880</v>
      </c>
      <c r="B21881" s="2" t="str">
        <f>IFERROR(__xludf.DUMMYFUNCTION("GOOGLETRANSLATE(A21881, ""de"", ""en"")"),"sucks")</f>
        <v>sucks</v>
      </c>
    </row>
    <row r="21882">
      <c r="A21882" s="1" t="s">
        <v>21881</v>
      </c>
      <c r="B21882" s="2" t="str">
        <f>IFERROR(__xludf.DUMMYFUNCTION("GOOGLETRANSLATE(A21882, ""de"", ""en"")"),"rub")</f>
        <v>rub</v>
      </c>
    </row>
    <row r="21883">
      <c r="A21883" s="1" t="s">
        <v>21882</v>
      </c>
      <c r="B21883" s="2" t="str">
        <f>IFERROR(__xludf.DUMMYFUNCTION("GOOGLETRANSLATE(A21883, ""de"", ""en"")"),"divine")</f>
        <v>divine</v>
      </c>
    </row>
    <row r="21884">
      <c r="A21884" s="1" t="s">
        <v>21883</v>
      </c>
      <c r="B21884" s="2" t="str">
        <f>IFERROR(__xludf.DUMMYFUNCTION("GOOGLETRANSLATE(A21884, ""de"", ""en"")"),"Rome")</f>
        <v>Rome</v>
      </c>
    </row>
    <row r="21885">
      <c r="A21885" s="1" t="s">
        <v>21884</v>
      </c>
      <c r="B21885" s="2" t="str">
        <f>IFERROR(__xludf.DUMMYFUNCTION("GOOGLETRANSLATE(A21885, ""de"", ""en"")"),"asleep")</f>
        <v>asleep</v>
      </c>
    </row>
    <row r="21886">
      <c r="A21886" s="1" t="s">
        <v>21885</v>
      </c>
      <c r="B21886" s="2" t="str">
        <f>IFERROR(__xludf.DUMMYFUNCTION("GOOGLETRANSLATE(A21886, ""de"", ""en"")"),"take with you")</f>
        <v>take with you</v>
      </c>
    </row>
    <row r="21887">
      <c r="A21887" s="1" t="s">
        <v>21886</v>
      </c>
      <c r="B21887" s="2" t="str">
        <f>IFERROR(__xludf.DUMMYFUNCTION("GOOGLETRANSLATE(A21887, ""de"", ""en"")"),"suck off")</f>
        <v>suck off</v>
      </c>
    </row>
    <row r="21888">
      <c r="A21888" s="1" t="s">
        <v>21887</v>
      </c>
      <c r="B21888" s="2" t="str">
        <f>IFERROR(__xludf.DUMMYFUNCTION("GOOGLETRANSLATE(A21888, ""de"", ""en"")"),"basic")</f>
        <v>basic</v>
      </c>
    </row>
    <row r="21889">
      <c r="A21889" s="1" t="s">
        <v>21888</v>
      </c>
      <c r="B21889" s="2" t="str">
        <f>IFERROR(__xludf.DUMMYFUNCTION("GOOGLETRANSLATE(A21889, ""de"", ""en"")"),"under investigation")</f>
        <v>under investigation</v>
      </c>
    </row>
    <row r="21890">
      <c r="A21890" s="1" t="s">
        <v>21889</v>
      </c>
      <c r="B21890" s="2" t="str">
        <f>IFERROR(__xludf.DUMMYFUNCTION("GOOGLETRANSLATE(A21890, ""de"", ""en"")"),"texted")</f>
        <v>texted</v>
      </c>
    </row>
    <row r="21891">
      <c r="A21891" s="1" t="s">
        <v>21890</v>
      </c>
      <c r="B21891" s="2" t="str">
        <f>IFERROR(__xludf.DUMMYFUNCTION("GOOGLETRANSLATE(A21891, ""de"", ""en"")"),"jacksons")</f>
        <v>jacksons</v>
      </c>
    </row>
    <row r="21892">
      <c r="A21892" s="1" t="s">
        <v>21891</v>
      </c>
      <c r="B21892" s="2" t="str">
        <f>IFERROR(__xludf.DUMMYFUNCTION("GOOGLETRANSLATE(A21892, ""de"", ""en"")"),"sharper")</f>
        <v>sharper</v>
      </c>
    </row>
    <row r="21893">
      <c r="A21893" s="1" t="s">
        <v>21892</v>
      </c>
      <c r="B21893" s="2" t="str">
        <f>IFERROR(__xludf.DUMMYFUNCTION("GOOGLETRANSLATE(A21893, ""de"", ""en"")"),"mixed")</f>
        <v>mixed</v>
      </c>
    </row>
    <row r="21894">
      <c r="A21894" s="1" t="s">
        <v>21893</v>
      </c>
      <c r="B21894" s="2" t="str">
        <f>IFERROR(__xludf.DUMMYFUNCTION("GOOGLETRANSLATE(A21894, ""de"", ""en"")"),"gave in")</f>
        <v>gave in</v>
      </c>
    </row>
    <row r="21895">
      <c r="A21895" s="1" t="s">
        <v>21894</v>
      </c>
      <c r="B21895" s="2" t="str">
        <f>IFERROR(__xludf.DUMMYFUNCTION("GOOGLETRANSLATE(A21895, ""de"", ""en"")"),"classic")</f>
        <v>classic</v>
      </c>
    </row>
    <row r="21896">
      <c r="A21896" s="1" t="s">
        <v>21895</v>
      </c>
      <c r="B21896" s="2" t="str">
        <f>IFERROR(__xludf.DUMMYFUNCTION("GOOGLETRANSLATE(A21896, ""de"", ""en"")"),"slap")</f>
        <v>slap</v>
      </c>
    </row>
    <row r="21897">
      <c r="A21897" s="1" t="s">
        <v>21896</v>
      </c>
      <c r="B21897" s="2" t="str">
        <f>IFERROR(__xludf.DUMMYFUNCTION("GOOGLETRANSLATE(A21897, ""de"", ""en"")"),"wake")</f>
        <v>wake</v>
      </c>
    </row>
    <row r="21898">
      <c r="A21898" s="1" t="s">
        <v>21897</v>
      </c>
      <c r="B21898" s="2" t="str">
        <f>IFERROR(__xludf.DUMMYFUNCTION("GOOGLETRANSLATE(A21898, ""de"", ""en"")"),"dreams")</f>
        <v>dreams</v>
      </c>
    </row>
    <row r="21899">
      <c r="A21899" s="1" t="s">
        <v>21898</v>
      </c>
      <c r="B21899" s="2" t="str">
        <f>IFERROR(__xludf.DUMMYFUNCTION("GOOGLETRANSLATE(A21899, ""de"", ""en"")"),"sneaked")</f>
        <v>sneaked</v>
      </c>
    </row>
    <row r="21900">
      <c r="A21900" s="1" t="s">
        <v>21899</v>
      </c>
      <c r="B21900" s="2" t="str">
        <f>IFERROR(__xludf.DUMMYFUNCTION("GOOGLETRANSLATE(A21900, ""de"", ""en"")"),"played out")</f>
        <v>played out</v>
      </c>
    </row>
    <row r="21901">
      <c r="A21901" s="1" t="s">
        <v>21900</v>
      </c>
      <c r="B21901" s="2" t="str">
        <f>IFERROR(__xludf.DUMMYFUNCTION("GOOGLETRANSLATE(A21901, ""de"", ""en"")"),"uncertain")</f>
        <v>uncertain</v>
      </c>
    </row>
    <row r="21902">
      <c r="A21902" s="1" t="s">
        <v>21901</v>
      </c>
      <c r="B21902" s="2" t="str">
        <f>IFERROR(__xludf.DUMMYFUNCTION("GOOGLETRANSLATE(A21902, ""de"", ""en"")"),"sweeper")</f>
        <v>sweeper</v>
      </c>
    </row>
    <row r="21903">
      <c r="A21903" s="1" t="s">
        <v>21902</v>
      </c>
      <c r="B21903" s="2" t="str">
        <f>IFERROR(__xludf.DUMMYFUNCTION("GOOGLETRANSLATE(A21903, ""de"", ""en"")"),"external")</f>
        <v>external</v>
      </c>
    </row>
    <row r="21904">
      <c r="A21904" s="1" t="s">
        <v>21903</v>
      </c>
      <c r="B21904" s="2" t="str">
        <f>IFERROR(__xludf.DUMMYFUNCTION("GOOGLETRANSLATE(A21904, ""de"", ""en"")"),"Giuseppe")</f>
        <v>Giuseppe</v>
      </c>
    </row>
    <row r="21905">
      <c r="A21905" s="1" t="s">
        <v>21904</v>
      </c>
      <c r="B21905" s="2" t="str">
        <f>IFERROR(__xludf.DUMMYFUNCTION("GOOGLETRANSLATE(A21905, ""de"", ""en"")"),"main actor")</f>
        <v>main actor</v>
      </c>
    </row>
    <row r="21906">
      <c r="A21906" s="1" t="s">
        <v>21905</v>
      </c>
      <c r="B21906" s="2" t="str">
        <f>IFERROR(__xludf.DUMMYFUNCTION("GOOGLETRANSLATE(A21906, ""de"", ""en"")"),"impatience")</f>
        <v>impatience</v>
      </c>
    </row>
    <row r="21907">
      <c r="A21907" s="1" t="s">
        <v>21906</v>
      </c>
      <c r="B21907" s="2" t="str">
        <f>IFERROR(__xludf.DUMMYFUNCTION("GOOGLETRANSLATE(A21907, ""de"", ""en"")"),"smoother")</f>
        <v>smoother</v>
      </c>
    </row>
    <row r="21908">
      <c r="A21908" s="1" t="s">
        <v>21907</v>
      </c>
      <c r="B21908" s="2" t="str">
        <f>IFERROR(__xludf.DUMMYFUNCTION("GOOGLETRANSLATE(A21908, ""de"", ""en"")"),"lovely")</f>
        <v>lovely</v>
      </c>
    </row>
    <row r="21909">
      <c r="A21909" s="1" t="s">
        <v>21908</v>
      </c>
      <c r="B21909" s="2" t="str">
        <f>IFERROR(__xludf.DUMMYFUNCTION("GOOGLETRANSLATE(A21909, ""de"", ""en"")"),"redding")</f>
        <v>redding</v>
      </c>
    </row>
    <row r="21910">
      <c r="A21910" s="1" t="s">
        <v>21909</v>
      </c>
      <c r="B21910" s="2" t="str">
        <f>IFERROR(__xludf.DUMMYFUNCTION("GOOGLETRANSLATE(A21910, ""de"", ""en"")"),"Chekov")</f>
        <v>Chekov</v>
      </c>
    </row>
    <row r="21911">
      <c r="A21911" s="1" t="s">
        <v>21910</v>
      </c>
      <c r="B21911" s="2" t="str">
        <f>IFERROR(__xludf.DUMMYFUNCTION("GOOGLETRANSLATE(A21911, ""de"", ""en"")"),"spreads")</f>
        <v>spreads</v>
      </c>
    </row>
    <row r="21912">
      <c r="A21912" s="1" t="s">
        <v>21911</v>
      </c>
      <c r="B21912" s="2" t="str">
        <f>IFERROR(__xludf.DUMMYFUNCTION("GOOGLETRANSLATE(A21912, ""de"", ""en"")"),"breaking news")</f>
        <v>breaking news</v>
      </c>
    </row>
    <row r="21913">
      <c r="A21913" s="1" t="s">
        <v>21912</v>
      </c>
      <c r="B21913" s="2" t="str">
        <f>IFERROR(__xludf.DUMMYFUNCTION("GOOGLETRANSLATE(A21913, ""de"", ""en"")"),"human rights")</f>
        <v>human rights</v>
      </c>
    </row>
    <row r="21914">
      <c r="A21914" s="1" t="s">
        <v>21913</v>
      </c>
      <c r="B21914" s="2" t="str">
        <f>IFERROR(__xludf.DUMMYFUNCTION("GOOGLETRANSLATE(A21914, ""de"", ""en"")"),"eradicated")</f>
        <v>eradicated</v>
      </c>
    </row>
    <row r="21915">
      <c r="A21915" s="1" t="s">
        <v>21914</v>
      </c>
      <c r="B21915" s="2" t="str">
        <f>IFERROR(__xludf.DUMMYFUNCTION("GOOGLETRANSLATE(A21915, ""de"", ""en"")"),"morsels")</f>
        <v>morsels</v>
      </c>
    </row>
    <row r="21916">
      <c r="A21916" s="1" t="s">
        <v>21915</v>
      </c>
      <c r="B21916" s="2" t="str">
        <f>IFERROR(__xludf.DUMMYFUNCTION("GOOGLETRANSLATE(A21916, ""de"", ""en"")"),"craziness")</f>
        <v>craziness</v>
      </c>
    </row>
    <row r="21917">
      <c r="A21917" s="1" t="s">
        <v>21916</v>
      </c>
      <c r="B21917" s="2" t="str">
        <f>IFERROR(__xludf.DUMMYFUNCTION("GOOGLETRANSLATE(A21917, ""de"", ""en"")"),"sneaky ones")</f>
        <v>sneaky ones</v>
      </c>
    </row>
    <row r="21918">
      <c r="A21918" s="1" t="s">
        <v>21917</v>
      </c>
      <c r="B21918" s="2" t="str">
        <f>IFERROR(__xludf.DUMMYFUNCTION("GOOGLETRANSLATE(A21918, ""de"", ""en"")"),"hard of hearing")</f>
        <v>hard of hearing</v>
      </c>
    </row>
    <row r="21919">
      <c r="A21919" s="1" t="s">
        <v>21918</v>
      </c>
      <c r="B21919" s="2" t="str">
        <f>IFERROR(__xludf.DUMMYFUNCTION("GOOGLETRANSLATE(A21919, ""de"", ""en"")"),"chemical")</f>
        <v>chemical</v>
      </c>
    </row>
    <row r="21920">
      <c r="A21920" s="1" t="s">
        <v>21919</v>
      </c>
      <c r="B21920" s="2" t="str">
        <f>IFERROR(__xludf.DUMMYFUNCTION("GOOGLETRANSLATE(A21920, ""de"", ""en"")"),"music box")</f>
        <v>music box</v>
      </c>
    </row>
    <row r="21921">
      <c r="A21921" s="1" t="s">
        <v>21920</v>
      </c>
      <c r="B21921" s="2" t="str">
        <f>IFERROR(__xludf.DUMMYFUNCTION("GOOGLETRANSLATE(A21921, ""de"", ""en"")"),"on top of each other")</f>
        <v>on top of each other</v>
      </c>
    </row>
    <row r="21922">
      <c r="A21922" s="1" t="s">
        <v>21921</v>
      </c>
      <c r="B21922" s="2" t="str">
        <f>IFERROR(__xludf.DUMMYFUNCTION("GOOGLETRANSLATE(A21922, ""de"", ""en"")"),"letter of recommendation")</f>
        <v>letter of recommendation</v>
      </c>
    </row>
    <row r="21923">
      <c r="A21923" s="1" t="s">
        <v>21922</v>
      </c>
      <c r="B21923" s="2" t="str">
        <f>IFERROR(__xludf.DUMMYFUNCTION("GOOGLETRANSLATE(A21923, ""de"", ""en"")"),"more desperate")</f>
        <v>more desperate</v>
      </c>
    </row>
    <row r="21924">
      <c r="A21924" s="1" t="s">
        <v>21923</v>
      </c>
      <c r="B21924" s="2" t="str">
        <f>IFERROR(__xludf.DUMMYFUNCTION("GOOGLETRANSLATE(A21924, ""de"", ""en"")"),"malia")</f>
        <v>malia</v>
      </c>
    </row>
    <row r="21925">
      <c r="A21925" s="1" t="s">
        <v>21924</v>
      </c>
      <c r="B21925" s="2" t="str">
        <f>IFERROR(__xludf.DUMMYFUNCTION("GOOGLETRANSLATE(A21925, ""de"", ""en"")"),"timely")</f>
        <v>timely</v>
      </c>
    </row>
    <row r="21926">
      <c r="A21926" s="1" t="s">
        <v>21925</v>
      </c>
      <c r="B21926" s="2" t="str">
        <f>IFERROR(__xludf.DUMMYFUNCTION("GOOGLETRANSLATE(A21926, ""de"", ""en"")"),"Gilligan")</f>
        <v>Gilligan</v>
      </c>
    </row>
    <row r="21927">
      <c r="A21927" s="1" t="s">
        <v>21926</v>
      </c>
      <c r="B21927" s="2" t="str">
        <f>IFERROR(__xludf.DUMMYFUNCTION("GOOGLETRANSLATE(A21927, ""de"", ""en"")"),"surrender")</f>
        <v>surrender</v>
      </c>
    </row>
    <row r="21928">
      <c r="A21928" s="1" t="s">
        <v>21927</v>
      </c>
      <c r="B21928" s="2" t="str">
        <f>IFERROR(__xludf.DUMMYFUNCTION("GOOGLETRANSLATE(A21928, ""de"", ""en"")"),"abhaust")</f>
        <v>abhaust</v>
      </c>
    </row>
    <row r="21929">
      <c r="A21929" s="1" t="s">
        <v>21928</v>
      </c>
      <c r="B21929" s="2" t="str">
        <f>IFERROR(__xludf.DUMMYFUNCTION("GOOGLETRANSLATE(A21929, ""de"", ""en"")"),"legal")</f>
        <v>legal</v>
      </c>
    </row>
    <row r="21930">
      <c r="A21930" s="1" t="s">
        <v>21929</v>
      </c>
      <c r="B21930" s="2" t="str">
        <f>IFERROR(__xludf.DUMMYFUNCTION("GOOGLETRANSLATE(A21930, ""de"", ""en"")"),"walks")</f>
        <v>walks</v>
      </c>
    </row>
    <row r="21931">
      <c r="A21931" s="1" t="s">
        <v>21930</v>
      </c>
      <c r="B21931" s="2" t="str">
        <f>IFERROR(__xludf.DUMMYFUNCTION("GOOGLETRANSLATE(A21931, ""de"", ""en"")"),"colors")</f>
        <v>colors</v>
      </c>
    </row>
    <row r="21932">
      <c r="A21932" s="1" t="s">
        <v>21931</v>
      </c>
      <c r="B21932" s="2" t="str">
        <f>IFERROR(__xludf.DUMMYFUNCTION("GOOGLETRANSLATE(A21932, ""de"", ""en"")"),"statistical")</f>
        <v>statistical</v>
      </c>
    </row>
    <row r="21933">
      <c r="A21933" s="1" t="s">
        <v>21932</v>
      </c>
      <c r="B21933" s="2" t="str">
        <f>IFERROR(__xludf.DUMMYFUNCTION("GOOGLETRANSLATE(A21933, ""de"", ""en"")"),"slime")</f>
        <v>slime</v>
      </c>
    </row>
    <row r="21934">
      <c r="A21934" s="1" t="s">
        <v>21933</v>
      </c>
      <c r="B21934" s="2" t="str">
        <f>IFERROR(__xludf.DUMMYFUNCTION("GOOGLETRANSLATE(A21934, ""de"", ""en"")"),"to break up")</f>
        <v>to break up</v>
      </c>
    </row>
    <row r="21935">
      <c r="A21935" s="1" t="s">
        <v>21934</v>
      </c>
      <c r="B21935" s="2" t="str">
        <f>IFERROR(__xludf.DUMMYFUNCTION("GOOGLETRANSLATE(A21935, ""de"", ""en"")"),"leather jacket")</f>
        <v>leather jacket</v>
      </c>
    </row>
    <row r="21936">
      <c r="A21936" s="1" t="s">
        <v>21935</v>
      </c>
      <c r="B21936" s="2" t="str">
        <f>IFERROR(__xludf.DUMMYFUNCTION("GOOGLETRANSLATE(A21936, ""de"", ""en"")"),"lunchtime")</f>
        <v>lunchtime</v>
      </c>
    </row>
    <row r="21937">
      <c r="A21937" s="1" t="s">
        <v>21936</v>
      </c>
      <c r="B21937" s="2" t="str">
        <f>IFERROR(__xludf.DUMMYFUNCTION("GOOGLETRANSLATE(A21937, ""de"", ""en"")"),"zero tolerance")</f>
        <v>zero tolerance</v>
      </c>
    </row>
    <row r="21938">
      <c r="A21938" s="1" t="s">
        <v>21937</v>
      </c>
      <c r="B21938" s="2" t="str">
        <f>IFERROR(__xludf.DUMMYFUNCTION("GOOGLETRANSLATE(A21938, ""de"", ""en"")"),"volume")</f>
        <v>volume</v>
      </c>
    </row>
    <row r="21939">
      <c r="A21939" s="1" t="s">
        <v>21938</v>
      </c>
      <c r="B21939" s="2" t="str">
        <f>IFERROR(__xludf.DUMMYFUNCTION("GOOGLETRANSLATE(A21939, ""de"", ""en"")"),"tiring")</f>
        <v>tiring</v>
      </c>
    </row>
    <row r="21940">
      <c r="A21940" s="1" t="s">
        <v>21939</v>
      </c>
      <c r="B21940" s="2" t="str">
        <f>IFERROR(__xludf.DUMMYFUNCTION("GOOGLETRANSLATE(A21940, ""de"", ""en"")"),"congratulates")</f>
        <v>congratulates</v>
      </c>
    </row>
    <row r="21941">
      <c r="A21941" s="1" t="s">
        <v>21940</v>
      </c>
      <c r="B21941" s="2" t="str">
        <f>IFERROR(__xludf.DUMMYFUNCTION("GOOGLETRANSLATE(A21941, ""de"", ""en"")"),"chickenpox")</f>
        <v>chickenpox</v>
      </c>
    </row>
    <row r="21942">
      <c r="A21942" s="1" t="s">
        <v>21941</v>
      </c>
      <c r="B21942" s="2" t="str">
        <f>IFERROR(__xludf.DUMMYFUNCTION("GOOGLETRANSLATE(A21942, ""de"", ""en"")"),"shooting star")</f>
        <v>shooting star</v>
      </c>
    </row>
    <row r="21943">
      <c r="A21943" s="1" t="s">
        <v>21942</v>
      </c>
      <c r="B21943" s="2" t="str">
        <f>IFERROR(__xludf.DUMMYFUNCTION("GOOGLETRANSLATE(A21943, ""de"", ""en"")"),"bigfoot")</f>
        <v>bigfoot</v>
      </c>
    </row>
    <row r="21944">
      <c r="A21944" s="1" t="s">
        <v>21943</v>
      </c>
      <c r="B21944" s="2" t="str">
        <f>IFERROR(__xludf.DUMMYFUNCTION("GOOGLETRANSLATE(A21944, ""de"", ""en"")"),"chateau")</f>
        <v>chateau</v>
      </c>
    </row>
    <row r="21945">
      <c r="A21945" s="1" t="s">
        <v>21944</v>
      </c>
      <c r="B21945" s="2" t="str">
        <f>IFERROR(__xludf.DUMMYFUNCTION("GOOGLETRANSLATE(A21945, ""de"", ""en"")"),"mailbox")</f>
        <v>mailbox</v>
      </c>
    </row>
    <row r="21946">
      <c r="A21946" s="1" t="s">
        <v>21945</v>
      </c>
      <c r="B21946" s="2" t="str">
        <f>IFERROR(__xludf.DUMMYFUNCTION("GOOGLETRANSLATE(A21946, ""de"", ""en"")"),"expires")</f>
        <v>expires</v>
      </c>
    </row>
    <row r="21947">
      <c r="A21947" s="1" t="s">
        <v>21946</v>
      </c>
      <c r="B21947" s="2" t="str">
        <f>IFERROR(__xludf.DUMMYFUNCTION("GOOGLETRANSLATE(A21947, ""de"", ""en"")"),"switched")</f>
        <v>switched</v>
      </c>
    </row>
    <row r="21948">
      <c r="A21948" s="1" t="s">
        <v>21947</v>
      </c>
      <c r="B21948" s="2" t="str">
        <f>IFERROR(__xludf.DUMMYFUNCTION("GOOGLETRANSLATE(A21948, ""de"", ""en"")"),"sluice")</f>
        <v>sluice</v>
      </c>
    </row>
    <row r="21949">
      <c r="A21949" s="1" t="s">
        <v>21948</v>
      </c>
      <c r="B21949" s="2" t="str">
        <f>IFERROR(__xludf.DUMMYFUNCTION("GOOGLETRANSLATE(A21949, ""de"", ""en"")"),"smoothness")</f>
        <v>smoothness</v>
      </c>
    </row>
    <row r="21950">
      <c r="A21950" s="1" t="s">
        <v>21949</v>
      </c>
      <c r="B21950" s="2" t="str">
        <f>IFERROR(__xludf.DUMMYFUNCTION("GOOGLETRANSLATE(A21950, ""de"", ""en"")"),"coming")</f>
        <v>coming</v>
      </c>
    </row>
    <row r="21951">
      <c r="A21951" s="1" t="s">
        <v>21950</v>
      </c>
      <c r="B21951" s="2" t="str">
        <f>IFERROR(__xludf.DUMMYFUNCTION("GOOGLETRANSLATE(A21951, ""de"", ""en"")"),"Lavinia")</f>
        <v>Lavinia</v>
      </c>
    </row>
    <row r="21952">
      <c r="A21952" s="1" t="s">
        <v>21951</v>
      </c>
      <c r="B21952" s="2" t="str">
        <f>IFERROR(__xludf.DUMMYFUNCTION("GOOGLETRANSLATE(A21952, ""de"", ""en"")"),"hon")</f>
        <v>hon</v>
      </c>
    </row>
    <row r="21953">
      <c r="A21953" s="1" t="s">
        <v>21952</v>
      </c>
      <c r="B21953" s="2" t="str">
        <f>IFERROR(__xludf.DUMMYFUNCTION("GOOGLETRANSLATE(A21953, ""de"", ""en"")"),"joffrey")</f>
        <v>joffrey</v>
      </c>
    </row>
    <row r="21954">
      <c r="A21954" s="1" t="s">
        <v>21953</v>
      </c>
      <c r="B21954" s="2" t="str">
        <f>IFERROR(__xludf.DUMMYFUNCTION("GOOGLETRANSLATE(A21954, ""de"", ""en"")"),"feds")</f>
        <v>feds</v>
      </c>
    </row>
    <row r="21955">
      <c r="A21955" s="1" t="s">
        <v>21954</v>
      </c>
      <c r="B21955" s="2" t="str">
        <f>IFERROR(__xludf.DUMMYFUNCTION("GOOGLETRANSLATE(A21955, ""de"", ""en"")"),"Hildy")</f>
        <v>Hildy</v>
      </c>
    </row>
    <row r="21956">
      <c r="A21956" s="1" t="s">
        <v>21955</v>
      </c>
      <c r="B21956" s="2" t="str">
        <f>IFERROR(__xludf.DUMMYFUNCTION("GOOGLETRANSLATE(A21956, ""de"", ""en"")"),"millers")</f>
        <v>millers</v>
      </c>
    </row>
    <row r="21957">
      <c r="A21957" s="1" t="s">
        <v>21956</v>
      </c>
      <c r="B21957" s="2" t="str">
        <f>IFERROR(__xludf.DUMMYFUNCTION("GOOGLETRANSLATE(A21957, ""de"", ""en"")"),"id")</f>
        <v>id</v>
      </c>
    </row>
    <row r="21958">
      <c r="A21958" s="1" t="s">
        <v>21957</v>
      </c>
      <c r="B21958" s="2" t="str">
        <f>IFERROR(__xludf.DUMMYFUNCTION("GOOGLETRANSLATE(A21958, ""de"", ""en"")"),"processes")</f>
        <v>processes</v>
      </c>
    </row>
    <row r="21959">
      <c r="A21959" s="1" t="s">
        <v>21958</v>
      </c>
      <c r="B21959" s="2" t="str">
        <f>IFERROR(__xludf.DUMMYFUNCTION("GOOGLETRANSLATE(A21959, ""de"", ""en"")"),"ABC")</f>
        <v>ABC</v>
      </c>
    </row>
    <row r="21960">
      <c r="A21960" s="1" t="s">
        <v>21959</v>
      </c>
      <c r="B21960" s="2" t="str">
        <f>IFERROR(__xludf.DUMMYFUNCTION("GOOGLETRANSLATE(A21960, ""de"", ""en"")"),"poured")</f>
        <v>poured</v>
      </c>
    </row>
    <row r="21961">
      <c r="A21961" s="1" t="s">
        <v>21960</v>
      </c>
      <c r="B21961" s="2" t="str">
        <f>IFERROR(__xludf.DUMMYFUNCTION("GOOGLETRANSLATE(A21961, ""de"", ""en"")"),"delicious")</f>
        <v>delicious</v>
      </c>
    </row>
    <row r="21962">
      <c r="A21962" s="1" t="s">
        <v>21961</v>
      </c>
      <c r="B21962" s="2" t="str">
        <f>IFERROR(__xludf.DUMMYFUNCTION("GOOGLETRANSLATE(A21962, ""de"", ""en"")"),"needed")</f>
        <v>needed</v>
      </c>
    </row>
    <row r="21963">
      <c r="A21963" s="1" t="s">
        <v>21962</v>
      </c>
      <c r="B21963" s="2" t="str">
        <f>IFERROR(__xludf.DUMMYFUNCTION("GOOGLETRANSLATE(A21963, ""de"", ""en"")"),"states")</f>
        <v>states</v>
      </c>
    </row>
    <row r="21964">
      <c r="A21964" s="1" t="s">
        <v>21963</v>
      </c>
      <c r="B21964" s="2" t="str">
        <f>IFERROR(__xludf.DUMMYFUNCTION("GOOGLETRANSLATE(A21964, ""de"", ""en"")"),"later")</f>
        <v>later</v>
      </c>
    </row>
    <row r="21965">
      <c r="A21965" s="1" t="s">
        <v>21964</v>
      </c>
      <c r="B21965" s="2" t="str">
        <f>IFERROR(__xludf.DUMMYFUNCTION("GOOGLETRANSLATE(A21965, ""de"", ""en"")"),"record player")</f>
        <v>record player</v>
      </c>
    </row>
    <row r="21966">
      <c r="A21966" s="1" t="s">
        <v>21965</v>
      </c>
      <c r="B21966" s="2" t="str">
        <f>IFERROR(__xludf.DUMMYFUNCTION("GOOGLETRANSLATE(A21966, ""de"", ""en"")"),"to find again")</f>
        <v>to find again</v>
      </c>
    </row>
    <row r="21967">
      <c r="A21967" s="1" t="s">
        <v>21966</v>
      </c>
      <c r="B21967" s="2" t="str">
        <f>IFERROR(__xludf.DUMMYFUNCTION("GOOGLETRANSLATE(A21967, ""de"", ""en"")"),"gonorrhea")</f>
        <v>gonorrhea</v>
      </c>
    </row>
    <row r="21968">
      <c r="A21968" s="1" t="s">
        <v>21967</v>
      </c>
      <c r="B21968" s="2" t="str">
        <f>IFERROR(__xludf.DUMMYFUNCTION("GOOGLETRANSLATE(A21968, ""de"", ""en"")"),"significant")</f>
        <v>significant</v>
      </c>
    </row>
    <row r="21969">
      <c r="A21969" s="1" t="s">
        <v>21968</v>
      </c>
      <c r="B21969" s="2" t="str">
        <f>IFERROR(__xludf.DUMMYFUNCTION("GOOGLETRANSLATE(A21969, ""de"", ""en"")"),"Secretary of State")</f>
        <v>Secretary of State</v>
      </c>
    </row>
    <row r="21970">
      <c r="A21970" s="1" t="s">
        <v>21969</v>
      </c>
      <c r="B21970" s="2" t="str">
        <f>IFERROR(__xludf.DUMMYFUNCTION("GOOGLETRANSLATE(A21970, ""de"", ""en"")"),"rest")</f>
        <v>rest</v>
      </c>
    </row>
    <row r="21971">
      <c r="A21971" s="1" t="s">
        <v>21970</v>
      </c>
      <c r="B21971" s="2" t="str">
        <f>IFERROR(__xludf.DUMMYFUNCTION("GOOGLETRANSLATE(A21971, ""de"", ""en"")"),"dementia")</f>
        <v>dementia</v>
      </c>
    </row>
    <row r="21972">
      <c r="A21972" s="1" t="s">
        <v>21971</v>
      </c>
      <c r="B21972" s="2" t="str">
        <f>IFERROR(__xludf.DUMMYFUNCTION("GOOGLETRANSLATE(A21972, ""de"", ""en"")"),"waiting time")</f>
        <v>waiting time</v>
      </c>
    </row>
    <row r="21973">
      <c r="A21973" s="1" t="s">
        <v>21972</v>
      </c>
      <c r="B21973" s="2" t="str">
        <f>IFERROR(__xludf.DUMMYFUNCTION("GOOGLETRANSLATE(A21973, ""de"", ""en"")"),"name tag")</f>
        <v>name tag</v>
      </c>
    </row>
    <row r="21974">
      <c r="A21974" s="1" t="s">
        <v>21973</v>
      </c>
      <c r="B21974" s="2" t="str">
        <f>IFERROR(__xludf.DUMMYFUNCTION("GOOGLETRANSLATE(A21974, ""de"", ""en"")"),"psychosis")</f>
        <v>psychosis</v>
      </c>
    </row>
    <row r="21975">
      <c r="A21975" s="1" t="s">
        <v>21974</v>
      </c>
      <c r="B21975" s="2" t="str">
        <f>IFERROR(__xludf.DUMMYFUNCTION("GOOGLETRANSLATE(A21975, ""de"", ""en"")"),"slurs")</f>
        <v>slurs</v>
      </c>
    </row>
    <row r="21976">
      <c r="A21976" s="1" t="s">
        <v>21975</v>
      </c>
      <c r="B21976" s="2" t="str">
        <f>IFERROR(__xludf.DUMMYFUNCTION("GOOGLETRANSLATE(A21976, ""de"", ""en"")"),"flemming")</f>
        <v>flemming</v>
      </c>
    </row>
    <row r="21977">
      <c r="A21977" s="1" t="s">
        <v>21976</v>
      </c>
      <c r="B21977" s="2" t="str">
        <f>IFERROR(__xludf.DUMMYFUNCTION("GOOGLETRANSLATE(A21977, ""de"", ""en"")"),"worsen")</f>
        <v>worsen</v>
      </c>
    </row>
    <row r="21978">
      <c r="A21978" s="1" t="s">
        <v>21977</v>
      </c>
      <c r="B21978" s="2" t="str">
        <f>IFERROR(__xludf.DUMMYFUNCTION("GOOGLETRANSLATE(A21978, ""de"", ""en"")"),"crust")</f>
        <v>crust</v>
      </c>
    </row>
    <row r="21979">
      <c r="A21979" s="1" t="s">
        <v>21978</v>
      </c>
      <c r="B21979" s="2" t="str">
        <f>IFERROR(__xludf.DUMMYFUNCTION("GOOGLETRANSLATE(A21979, ""de"", ""en"")"),"blood samples")</f>
        <v>blood samples</v>
      </c>
    </row>
    <row r="21980">
      <c r="A21980" s="1" t="s">
        <v>21979</v>
      </c>
      <c r="B21980" s="2" t="str">
        <f>IFERROR(__xludf.DUMMYFUNCTION("GOOGLETRANSLATE(A21980, ""de"", ""en"")"),"guerrero")</f>
        <v>guerrero</v>
      </c>
    </row>
    <row r="21981">
      <c r="A21981" s="1" t="s">
        <v>21980</v>
      </c>
      <c r="B21981" s="2" t="str">
        <f>IFERROR(__xludf.DUMMYFUNCTION("GOOGLETRANSLATE(A21981, ""de"", ""en"")"),"blinker")</f>
        <v>blinker</v>
      </c>
    </row>
    <row r="21982">
      <c r="A21982" s="1" t="s">
        <v>21981</v>
      </c>
      <c r="B21982" s="2" t="str">
        <f>IFERROR(__xludf.DUMMYFUNCTION("GOOGLETRANSLATE(A21982, ""de"", ""en"")"),"alk")</f>
        <v>alk</v>
      </c>
    </row>
    <row r="21983">
      <c r="A21983" s="1" t="s">
        <v>21982</v>
      </c>
      <c r="B21983" s="2" t="str">
        <f>IFERROR(__xludf.DUMMYFUNCTION("GOOGLETRANSLATE(A21983, ""de"", ""en"")"),"this year")</f>
        <v>this year</v>
      </c>
    </row>
    <row r="21984">
      <c r="A21984" s="1" t="s">
        <v>21983</v>
      </c>
      <c r="B21984" s="2" t="str">
        <f>IFERROR(__xludf.DUMMYFUNCTION("GOOGLETRANSLATE(A21984, ""de"", ""en"")"),"fell in love")</f>
        <v>fell in love</v>
      </c>
    </row>
    <row r="21985">
      <c r="A21985" s="1" t="s">
        <v>21984</v>
      </c>
      <c r="B21985" s="2" t="str">
        <f>IFERROR(__xludf.DUMMYFUNCTION("GOOGLETRANSLATE(A21985, ""de"", ""en"")"),"Yemen")</f>
        <v>Yemen</v>
      </c>
    </row>
    <row r="21986">
      <c r="A21986" s="1" t="s">
        <v>21985</v>
      </c>
      <c r="B21986" s="2" t="str">
        <f>IFERROR(__xludf.DUMMYFUNCTION("GOOGLETRANSLATE(A21986, ""de"", ""en"")"),"propeller")</f>
        <v>propeller</v>
      </c>
    </row>
    <row r="21987">
      <c r="A21987" s="1" t="s">
        <v>21986</v>
      </c>
      <c r="B21987" s="2" t="str">
        <f>IFERROR(__xludf.DUMMYFUNCTION("GOOGLETRANSLATE(A21987, ""de"", ""en"")"),"to cancel")</f>
        <v>to cancel</v>
      </c>
    </row>
    <row r="21988">
      <c r="A21988" s="1" t="s">
        <v>21987</v>
      </c>
      <c r="B21988" s="2" t="str">
        <f>IFERROR(__xludf.DUMMYFUNCTION("GOOGLETRANSLATE(A21988, ""de"", ""en"")"),"donate")</f>
        <v>donate</v>
      </c>
    </row>
    <row r="21989">
      <c r="A21989" s="1" t="s">
        <v>21988</v>
      </c>
      <c r="B21989" s="2" t="str">
        <f>IFERROR(__xludf.DUMMYFUNCTION("GOOGLETRANSLATE(A21989, ""de"", ""en"")"),"flatten")</f>
        <v>flatten</v>
      </c>
    </row>
    <row r="21990">
      <c r="A21990" s="1" t="s">
        <v>21989</v>
      </c>
      <c r="B21990" s="2" t="str">
        <f>IFERROR(__xludf.DUMMYFUNCTION("GOOGLETRANSLATE(A21990, ""de"", ""en"")"),"examine")</f>
        <v>examine</v>
      </c>
    </row>
    <row r="21991">
      <c r="A21991" s="1" t="s">
        <v>21990</v>
      </c>
      <c r="B21991" s="2" t="str">
        <f>IFERROR(__xludf.DUMMYFUNCTION("GOOGLETRANSLATE(A21991, ""de"", ""en"")"),"up")</f>
        <v>up</v>
      </c>
    </row>
    <row r="21992">
      <c r="A21992" s="1" t="s">
        <v>21991</v>
      </c>
      <c r="B21992" s="2" t="str">
        <f>IFERROR(__xludf.DUMMYFUNCTION("GOOGLETRANSLATE(A21992, ""de"", ""en"")"),"Santino")</f>
        <v>Santino</v>
      </c>
    </row>
    <row r="21993">
      <c r="A21993" s="1" t="s">
        <v>21992</v>
      </c>
      <c r="B21993" s="2" t="str">
        <f>IFERROR(__xludf.DUMMYFUNCTION("GOOGLETRANSLATE(A21993, ""de"", ""en"")"),"garza")</f>
        <v>garza</v>
      </c>
    </row>
    <row r="21994">
      <c r="A21994" s="1" t="s">
        <v>21993</v>
      </c>
      <c r="B21994" s="2" t="str">
        <f>IFERROR(__xludf.DUMMYFUNCTION("GOOGLETRANSLATE(A21994, ""de"", ""en"")"),"more modest")</f>
        <v>more modest</v>
      </c>
    </row>
    <row r="21995">
      <c r="A21995" s="1" t="s">
        <v>21994</v>
      </c>
      <c r="B21995" s="2" t="str">
        <f>IFERROR(__xludf.DUMMYFUNCTION("GOOGLETRANSLATE(A21995, ""de"", ""en"")"),"supports")</f>
        <v>supports</v>
      </c>
    </row>
    <row r="21996">
      <c r="A21996" s="1" t="s">
        <v>21995</v>
      </c>
      <c r="B21996" s="2" t="str">
        <f>IFERROR(__xludf.DUMMYFUNCTION("GOOGLETRANSLATE(A21996, ""de"", ""en"")"),"food poisoning")</f>
        <v>food poisoning</v>
      </c>
    </row>
    <row r="21997">
      <c r="A21997" s="1" t="s">
        <v>21996</v>
      </c>
      <c r="B21997" s="2" t="str">
        <f>IFERROR(__xludf.DUMMYFUNCTION("GOOGLETRANSLATE(A21997, ""de"", ""en"")"),"Canadian")</f>
        <v>Canadian</v>
      </c>
    </row>
    <row r="21998">
      <c r="A21998" s="1" t="s">
        <v>21997</v>
      </c>
      <c r="B21998" s="2" t="str">
        <f>IFERROR(__xludf.DUMMYFUNCTION("GOOGLETRANSLATE(A21998, ""de"", ""en"")"),"Orient")</f>
        <v>Orient</v>
      </c>
    </row>
    <row r="21999">
      <c r="A21999" s="1" t="s">
        <v>21998</v>
      </c>
      <c r="B21999" s="2" t="str">
        <f>IFERROR(__xludf.DUMMYFUNCTION("GOOGLETRANSLATE(A21999, ""de"", ""en"")"),"vice president")</f>
        <v>vice president</v>
      </c>
    </row>
    <row r="22000">
      <c r="A22000" s="1" t="s">
        <v>21999</v>
      </c>
      <c r="B22000" s="2" t="str">
        <f>IFERROR(__xludf.DUMMYFUNCTION("GOOGLETRANSLATE(A22000, ""de"", ""en"")"),"networks")</f>
        <v>networks</v>
      </c>
    </row>
    <row r="22001">
      <c r="A22001" s="1" t="s">
        <v>22000</v>
      </c>
      <c r="B22001" s="2" t="str">
        <f>IFERROR(__xludf.DUMMYFUNCTION("GOOGLETRANSLATE(A22001, ""de"", ""en"")"),"kept here")</f>
        <v>kept here</v>
      </c>
    </row>
    <row r="22002">
      <c r="A22002" s="1" t="s">
        <v>22001</v>
      </c>
      <c r="B22002" s="2" t="str">
        <f>IFERROR(__xludf.DUMMYFUNCTION("GOOGLETRANSLATE(A22002, ""de"", ""en"")"),"understaffed")</f>
        <v>understaffed</v>
      </c>
    </row>
    <row r="22003">
      <c r="A22003" s="1" t="s">
        <v>22002</v>
      </c>
      <c r="B22003" s="2" t="str">
        <f>IFERROR(__xludf.DUMMYFUNCTION("GOOGLETRANSLATE(A22003, ""de"", ""en"")"),"flesh")</f>
        <v>flesh</v>
      </c>
    </row>
    <row r="22004">
      <c r="A22004" s="1" t="s">
        <v>22003</v>
      </c>
      <c r="B22004" s="2" t="str">
        <f>IFERROR(__xludf.DUMMYFUNCTION("GOOGLETRANSLATE(A22004, ""de"", ""en"")"),"risked")</f>
        <v>risked</v>
      </c>
    </row>
    <row r="22005">
      <c r="A22005" s="1" t="s">
        <v>22004</v>
      </c>
      <c r="B22005" s="2" t="str">
        <f>IFERROR(__xludf.DUMMYFUNCTION("GOOGLETRANSLATE(A22005, ""de"", ""en"")"),"formerly")</f>
        <v>formerly</v>
      </c>
    </row>
    <row r="22006">
      <c r="A22006" s="1" t="s">
        <v>22005</v>
      </c>
      <c r="B22006" s="2" t="str">
        <f>IFERROR(__xludf.DUMMYFUNCTION("GOOGLETRANSLATE(A22006, ""de"", ""en"")"),"to shout at")</f>
        <v>to shout at</v>
      </c>
    </row>
    <row r="22007">
      <c r="A22007" s="1" t="s">
        <v>22006</v>
      </c>
      <c r="B22007" s="2" t="str">
        <f>IFERROR(__xludf.DUMMYFUNCTION("GOOGLETRANSLATE(A22007, ""de"", ""en"")"),"rail")</f>
        <v>rail</v>
      </c>
    </row>
    <row r="22008">
      <c r="A22008" s="1" t="s">
        <v>22007</v>
      </c>
      <c r="B22008" s="2" t="str">
        <f>IFERROR(__xludf.DUMMYFUNCTION("GOOGLETRANSLATE(A22008, ""de"", ""en"")"),"vogue")</f>
        <v>vogue</v>
      </c>
    </row>
    <row r="22009">
      <c r="A22009" s="1" t="s">
        <v>22008</v>
      </c>
      <c r="B22009" s="2" t="str">
        <f>IFERROR(__xludf.DUMMYFUNCTION("GOOGLETRANSLATE(A22009, ""de"", ""en"")"),"take apart")</f>
        <v>take apart</v>
      </c>
    </row>
    <row r="22010">
      <c r="A22010" s="1" t="s">
        <v>22009</v>
      </c>
      <c r="B22010" s="2" t="str">
        <f>IFERROR(__xludf.DUMMYFUNCTION("GOOGLETRANSLATE(A22010, ""de"", ""en"")"),"cruise")</f>
        <v>cruise</v>
      </c>
    </row>
    <row r="22011">
      <c r="A22011" s="1" t="s">
        <v>22010</v>
      </c>
      <c r="B22011" s="2" t="str">
        <f>IFERROR(__xludf.DUMMYFUNCTION("GOOGLETRANSLATE(A22011, ""de"", ""en"")"),"merry")</f>
        <v>merry</v>
      </c>
    </row>
    <row r="22012">
      <c r="A22012" s="1" t="s">
        <v>22011</v>
      </c>
      <c r="B22012" s="2" t="str">
        <f>IFERROR(__xludf.DUMMYFUNCTION("GOOGLETRANSLATE(A22012, ""de"", ""en"")"),"Selena")</f>
        <v>Selena</v>
      </c>
    </row>
    <row r="22013">
      <c r="A22013" s="1" t="s">
        <v>22012</v>
      </c>
      <c r="B22013" s="2" t="str">
        <f>IFERROR(__xludf.DUMMYFUNCTION("GOOGLETRANSLATE(A22013, ""de"", ""en"")"),"to move in")</f>
        <v>to move in</v>
      </c>
    </row>
    <row r="22014">
      <c r="A22014" s="1" t="s">
        <v>22013</v>
      </c>
      <c r="B22014" s="2" t="str">
        <f>IFERROR(__xludf.DUMMYFUNCTION("GOOGLETRANSLATE(A22014, ""de"", ""en"")"),"trumpets")</f>
        <v>trumpets</v>
      </c>
    </row>
    <row r="22015">
      <c r="A22015" s="1" t="s">
        <v>22014</v>
      </c>
      <c r="B22015" s="2" t="str">
        <f>IFERROR(__xludf.DUMMYFUNCTION("GOOGLETRANSLATE(A22015, ""de"", ""en"")"),"shootings")</f>
        <v>shootings</v>
      </c>
    </row>
    <row r="22016">
      <c r="A22016" s="1" t="s">
        <v>22015</v>
      </c>
      <c r="B22016" s="2" t="str">
        <f>IFERROR(__xludf.DUMMYFUNCTION("GOOGLETRANSLATE(A22016, ""de"", ""en"")"),"una")</f>
        <v>una</v>
      </c>
    </row>
    <row r="22017">
      <c r="A22017" s="1" t="s">
        <v>22016</v>
      </c>
      <c r="B22017" s="2" t="str">
        <f>IFERROR(__xludf.DUMMYFUNCTION("GOOGLETRANSLATE(A22017, ""de"", ""en"")"),"victory")</f>
        <v>victory</v>
      </c>
    </row>
    <row r="22018">
      <c r="A22018" s="1" t="s">
        <v>22017</v>
      </c>
      <c r="B22018" s="2" t="str">
        <f>IFERROR(__xludf.DUMMYFUNCTION("GOOGLETRANSLATE(A22018, ""de"", ""en"")"),"bellows")</f>
        <v>bellows</v>
      </c>
    </row>
    <row r="22019">
      <c r="A22019" s="1" t="s">
        <v>22018</v>
      </c>
      <c r="B22019" s="2" t="str">
        <f>IFERROR(__xludf.DUMMYFUNCTION("GOOGLETRANSLATE(A22019, ""de"", ""en"")"),"index finger")</f>
        <v>index finger</v>
      </c>
    </row>
    <row r="22020">
      <c r="A22020" s="1" t="s">
        <v>22019</v>
      </c>
      <c r="B22020" s="2" t="str">
        <f>IFERROR(__xludf.DUMMYFUNCTION("GOOGLETRANSLATE(A22020, ""de"", ""en"")"),"subordinate")</f>
        <v>subordinate</v>
      </c>
    </row>
    <row r="22021">
      <c r="A22021" s="1" t="s">
        <v>22020</v>
      </c>
      <c r="B22021" s="2" t="str">
        <f>IFERROR(__xludf.DUMMYFUNCTION("GOOGLETRANSLATE(A22021, ""de"", ""en"")"),"waffle")</f>
        <v>waffle</v>
      </c>
    </row>
    <row r="22022">
      <c r="A22022" s="1" t="s">
        <v>22021</v>
      </c>
      <c r="B22022" s="2" t="str">
        <f>IFERROR(__xludf.DUMMYFUNCTION("GOOGLETRANSLATE(A22022, ""de"", ""en"")"),"panic attack")</f>
        <v>panic attack</v>
      </c>
    </row>
    <row r="22023">
      <c r="A22023" s="1" t="s">
        <v>22022</v>
      </c>
      <c r="B22023" s="2" t="str">
        <f>IFERROR(__xludf.DUMMYFUNCTION("GOOGLETRANSLATE(A22023, ""de"", ""en"")"),"cremated")</f>
        <v>cremated</v>
      </c>
    </row>
    <row r="22024">
      <c r="A22024" s="1" t="s">
        <v>22023</v>
      </c>
      <c r="B22024" s="2" t="str">
        <f>IFERROR(__xludf.DUMMYFUNCTION("GOOGLETRANSLATE(A22024, ""de"", ""en"")"),"without a fight")</f>
        <v>without a fight</v>
      </c>
    </row>
    <row r="22025">
      <c r="A22025" s="1" t="s">
        <v>22024</v>
      </c>
      <c r="B22025" s="2" t="str">
        <f>IFERROR(__xludf.DUMMYFUNCTION("GOOGLETRANSLATE(A22025, ""de"", ""en"")"),"Geneva")</f>
        <v>Geneva</v>
      </c>
    </row>
    <row r="22026">
      <c r="A22026" s="1" t="s">
        <v>22025</v>
      </c>
      <c r="B22026" s="2" t="str">
        <f>IFERROR(__xludf.DUMMYFUNCTION("GOOGLETRANSLATE(A22026, ""de"", ""en"")"),"kato")</f>
        <v>kato</v>
      </c>
    </row>
    <row r="22027">
      <c r="A22027" s="1" t="s">
        <v>22026</v>
      </c>
      <c r="B22027" s="2" t="str">
        <f>IFERROR(__xludf.DUMMYFUNCTION("GOOGLETRANSLATE(A22027, ""de"", ""en"")"),"forensic")</f>
        <v>forensic</v>
      </c>
    </row>
    <row r="22028">
      <c r="A22028" s="1" t="s">
        <v>22027</v>
      </c>
      <c r="B22028" s="2" t="str">
        <f>IFERROR(__xludf.DUMMYFUNCTION("GOOGLETRANSLATE(A22028, ""de"", ""en"")"),"indestructible")</f>
        <v>indestructible</v>
      </c>
    </row>
    <row r="22029">
      <c r="A22029" s="1" t="s">
        <v>22028</v>
      </c>
      <c r="B22029" s="2" t="str">
        <f>IFERROR(__xludf.DUMMYFUNCTION("GOOGLETRANSLATE(A22029, ""de"", ""en"")"),"witnessed")</f>
        <v>witnessed</v>
      </c>
    </row>
    <row r="22030">
      <c r="A22030" s="1" t="s">
        <v>22029</v>
      </c>
      <c r="B22030" s="2" t="str">
        <f>IFERROR(__xludf.DUMMYFUNCTION("GOOGLETRANSLATE(A22030, ""de"", ""en"")"),"children's home")</f>
        <v>children's home</v>
      </c>
    </row>
    <row r="22031">
      <c r="A22031" s="1" t="s">
        <v>22030</v>
      </c>
      <c r="B22031" s="2" t="str">
        <f>IFERROR(__xludf.DUMMYFUNCTION("GOOGLETRANSLATE(A22031, ""de"", ""en"")"),"tyrell")</f>
        <v>tyrell</v>
      </c>
    </row>
    <row r="22032">
      <c r="A22032" s="1" t="s">
        <v>22031</v>
      </c>
      <c r="B22032" s="2" t="str">
        <f>IFERROR(__xludf.DUMMYFUNCTION("GOOGLETRANSLATE(A22032, ""de"", ""en"")"),"Bethlehem")</f>
        <v>Bethlehem</v>
      </c>
    </row>
    <row r="22033">
      <c r="A22033" s="1" t="s">
        <v>22032</v>
      </c>
      <c r="B22033" s="2" t="str">
        <f>IFERROR(__xludf.DUMMYFUNCTION("GOOGLETRANSLATE(A22033, ""de"", ""en"")"),"defenseless")</f>
        <v>defenseless</v>
      </c>
    </row>
    <row r="22034">
      <c r="A22034" s="1" t="s">
        <v>22033</v>
      </c>
      <c r="B22034" s="2" t="str">
        <f>IFERROR(__xludf.DUMMYFUNCTION("GOOGLETRANSLATE(A22034, ""de"", ""en"")"),"technical")</f>
        <v>technical</v>
      </c>
    </row>
    <row r="22035">
      <c r="A22035" s="1" t="s">
        <v>22034</v>
      </c>
      <c r="B22035" s="2" t="str">
        <f>IFERROR(__xludf.DUMMYFUNCTION("GOOGLETRANSLATE(A22035, ""de"", ""en"")"),"trend")</f>
        <v>trend</v>
      </c>
    </row>
    <row r="22036">
      <c r="A22036" s="1" t="s">
        <v>22035</v>
      </c>
      <c r="B22036" s="2" t="str">
        <f>IFERROR(__xludf.DUMMYFUNCTION("GOOGLETRANSLATE(A22036, ""de"", ""en"")"),"see")</f>
        <v>see</v>
      </c>
    </row>
    <row r="22037">
      <c r="A22037" s="1" t="s">
        <v>22036</v>
      </c>
      <c r="B22037" s="2" t="str">
        <f>IFERROR(__xludf.DUMMYFUNCTION("GOOGLETRANSLATE(A22037, ""de"", ""en"")"),"feared")</f>
        <v>feared</v>
      </c>
    </row>
    <row r="22038">
      <c r="A22038" s="1" t="s">
        <v>22037</v>
      </c>
      <c r="B22038" s="2" t="str">
        <f>IFERROR(__xludf.DUMMYFUNCTION("GOOGLETRANSLATE(A22038, ""de"", ""en"")"),"uhura")</f>
        <v>uhura</v>
      </c>
    </row>
    <row r="22039">
      <c r="A22039" s="1" t="s">
        <v>22038</v>
      </c>
      <c r="B22039" s="2" t="str">
        <f>IFERROR(__xludf.DUMMYFUNCTION("GOOGLETRANSLATE(A22039, ""de"", ""en"")"),"decided")</f>
        <v>decided</v>
      </c>
    </row>
    <row r="22040">
      <c r="A22040" s="1" t="s">
        <v>22039</v>
      </c>
      <c r="B22040" s="2" t="str">
        <f>IFERROR(__xludf.DUMMYFUNCTION("GOOGLETRANSLATE(A22040, ""de"", ""en"")"),"professional")</f>
        <v>professional</v>
      </c>
    </row>
    <row r="22041">
      <c r="A22041" s="1" t="s">
        <v>22040</v>
      </c>
      <c r="B22041" s="2" t="str">
        <f>IFERROR(__xludf.DUMMYFUNCTION("GOOGLETRANSLATE(A22041, ""de"", ""en"")"),"mother's day")</f>
        <v>mother's day</v>
      </c>
    </row>
    <row r="22042">
      <c r="A22042" s="1" t="s">
        <v>22041</v>
      </c>
      <c r="B22042" s="2" t="str">
        <f>IFERROR(__xludf.DUMMYFUNCTION("GOOGLETRANSLATE(A22042, ""de"", ""en"")"),"organ music")</f>
        <v>organ music</v>
      </c>
    </row>
    <row r="22043">
      <c r="A22043" s="1" t="s">
        <v>22042</v>
      </c>
      <c r="B22043" s="2" t="str">
        <f>IFERROR(__xludf.DUMMYFUNCTION("GOOGLETRANSLATE(A22043, ""de"", ""en"")"),"shareholders")</f>
        <v>shareholders</v>
      </c>
    </row>
    <row r="22044">
      <c r="A22044" s="1" t="s">
        <v>22043</v>
      </c>
      <c r="B22044" s="2" t="str">
        <f>IFERROR(__xludf.DUMMYFUNCTION("GOOGLETRANSLATE(A22044, ""de"", ""en"")"),"Arthur")</f>
        <v>Arthur</v>
      </c>
    </row>
    <row r="22045">
      <c r="A22045" s="1" t="s">
        <v>22044</v>
      </c>
      <c r="B22045" s="2" t="str">
        <f>IFERROR(__xludf.DUMMYFUNCTION("GOOGLETRANSLATE(A22045, ""de"", ""en"")"),"dodged")</f>
        <v>dodged</v>
      </c>
    </row>
    <row r="22046">
      <c r="A22046" s="1" t="s">
        <v>22045</v>
      </c>
      <c r="B22046" s="2" t="str">
        <f>IFERROR(__xludf.DUMMYFUNCTION("GOOGLETRANSLATE(A22046, ""de"", ""en"")"),"adebisi")</f>
        <v>adebisi</v>
      </c>
    </row>
    <row r="22047">
      <c r="A22047" s="1" t="s">
        <v>22046</v>
      </c>
      <c r="B22047" s="2" t="str">
        <f>IFERROR(__xludf.DUMMYFUNCTION("GOOGLETRANSLATE(A22047, ""de"", ""en"")"),"gotta")</f>
        <v>gotta</v>
      </c>
    </row>
    <row r="22048">
      <c r="A22048" s="1" t="s">
        <v>22047</v>
      </c>
      <c r="B22048" s="2" t="str">
        <f>IFERROR(__xludf.DUMMYFUNCTION("GOOGLETRANSLATE(A22048, ""de"", ""en"")"),"minefield")</f>
        <v>minefield</v>
      </c>
    </row>
    <row r="22049">
      <c r="A22049" s="1" t="s">
        <v>22048</v>
      </c>
      <c r="B22049" s="2" t="str">
        <f>IFERROR(__xludf.DUMMYFUNCTION("GOOGLETRANSLATE(A22049, ""de"", ""en"")"),"elected")</f>
        <v>elected</v>
      </c>
    </row>
    <row r="22050">
      <c r="A22050" s="1" t="s">
        <v>22049</v>
      </c>
      <c r="B22050" s="2" t="str">
        <f>IFERROR(__xludf.DUMMYFUNCTION("GOOGLETRANSLATE(A22050, ""de"", ""en"")"),"kilogram")</f>
        <v>kilogram</v>
      </c>
    </row>
    <row r="22051">
      <c r="A22051" s="1" t="s">
        <v>22050</v>
      </c>
      <c r="B22051" s="2" t="str">
        <f>IFERROR(__xludf.DUMMYFUNCTION("GOOGLETRANSLATE(A22051, ""de"", ""en"")"),"paragraph")</f>
        <v>paragraph</v>
      </c>
    </row>
    <row r="22052">
      <c r="A22052" s="1" t="s">
        <v>22051</v>
      </c>
      <c r="B22052" s="2" t="str">
        <f>IFERROR(__xludf.DUMMYFUNCTION("GOOGLETRANSLATE(A22052, ""de"", ""en"")"),"irrational")</f>
        <v>irrational</v>
      </c>
    </row>
    <row r="22053">
      <c r="A22053" s="1" t="s">
        <v>22052</v>
      </c>
      <c r="B22053" s="2" t="str">
        <f>IFERROR(__xludf.DUMMYFUNCTION("GOOGLETRANSLATE(A22053, ""de"", ""en"")"),"school leaving certificate")</f>
        <v>school leaving certificate</v>
      </c>
    </row>
    <row r="22054">
      <c r="A22054" s="1" t="s">
        <v>22053</v>
      </c>
      <c r="B22054" s="2" t="str">
        <f>IFERROR(__xludf.DUMMYFUNCTION("GOOGLETRANSLATE(A22054, ""de"", ""en"")"),"Eureka")</f>
        <v>Eureka</v>
      </c>
    </row>
    <row r="22055">
      <c r="A22055" s="1" t="s">
        <v>22054</v>
      </c>
      <c r="B22055" s="2" t="str">
        <f>IFERROR(__xludf.DUMMYFUNCTION("GOOGLETRANSLATE(A22055, ""de"", ""en"")"),"resulted")</f>
        <v>resulted</v>
      </c>
    </row>
    <row r="22056">
      <c r="A22056" s="1" t="s">
        <v>22055</v>
      </c>
      <c r="B22056" s="2" t="str">
        <f>IFERROR(__xludf.DUMMYFUNCTION("GOOGLETRANSLATE(A22056, ""de"", ""en"")"),"ziggy")</f>
        <v>ziggy</v>
      </c>
    </row>
    <row r="22057">
      <c r="A22057" s="1" t="s">
        <v>22056</v>
      </c>
      <c r="B22057" s="2" t="str">
        <f>IFERROR(__xludf.DUMMYFUNCTION("GOOGLETRANSLATE(A22057, ""de"", ""en"")"),"sylar")</f>
        <v>sylar</v>
      </c>
    </row>
    <row r="22058">
      <c r="A22058" s="1" t="s">
        <v>22057</v>
      </c>
      <c r="B22058" s="2" t="str">
        <f>IFERROR(__xludf.DUMMYFUNCTION("GOOGLETRANSLATE(A22058, ""de"", ""en"")"),"tied down")</f>
        <v>tied down</v>
      </c>
    </row>
    <row r="22059">
      <c r="A22059" s="1" t="s">
        <v>22058</v>
      </c>
      <c r="B22059" s="2" t="str">
        <f>IFERROR(__xludf.DUMMYFUNCTION("GOOGLETRANSLATE(A22059, ""de"", ""en"")"),"gul")</f>
        <v>gul</v>
      </c>
    </row>
    <row r="22060">
      <c r="A22060" s="1" t="s">
        <v>22059</v>
      </c>
      <c r="B22060" s="2" t="str">
        <f>IFERROR(__xludf.DUMMYFUNCTION("GOOGLETRANSLATE(A22060, ""de"", ""en"")"),"quickly")</f>
        <v>quickly</v>
      </c>
    </row>
    <row r="22061">
      <c r="A22061" s="1" t="s">
        <v>22060</v>
      </c>
      <c r="B22061" s="2" t="str">
        <f>IFERROR(__xludf.DUMMYFUNCTION("GOOGLETRANSLATE(A22061, ""de"", ""en"")"),"high treason")</f>
        <v>high treason</v>
      </c>
    </row>
    <row r="22062">
      <c r="A22062" s="1" t="s">
        <v>22061</v>
      </c>
      <c r="B22062" s="2" t="str">
        <f>IFERROR(__xludf.DUMMYFUNCTION("GOOGLETRANSLATE(A22062, ""de"", ""en"")"),"floated")</f>
        <v>floated</v>
      </c>
    </row>
    <row r="22063">
      <c r="A22063" s="1" t="s">
        <v>22062</v>
      </c>
      <c r="B22063" s="2" t="str">
        <f>IFERROR(__xludf.DUMMYFUNCTION("GOOGLETRANSLATE(A22063, ""de"", ""en"")"),"rope")</f>
        <v>rope</v>
      </c>
    </row>
    <row r="22064">
      <c r="A22064" s="1" t="s">
        <v>22063</v>
      </c>
      <c r="B22064" s="2" t="str">
        <f>IFERROR(__xludf.DUMMYFUNCTION("GOOGLETRANSLATE(A22064, ""de"", ""en"")"),"strip")</f>
        <v>strip</v>
      </c>
    </row>
    <row r="22065">
      <c r="A22065" s="1" t="s">
        <v>22064</v>
      </c>
      <c r="B22065" s="2" t="str">
        <f>IFERROR(__xludf.DUMMYFUNCTION("GOOGLETRANSLATE(A22065, ""de"", ""en"")"),"broccoli")</f>
        <v>broccoli</v>
      </c>
    </row>
    <row r="22066">
      <c r="A22066" s="1" t="s">
        <v>22065</v>
      </c>
      <c r="B22066" s="2" t="str">
        <f>IFERROR(__xludf.DUMMYFUNCTION("GOOGLETRANSLATE(A22066, ""de"", ""en"")"),"ozzie")</f>
        <v>ozzie</v>
      </c>
    </row>
    <row r="22067">
      <c r="A22067" s="1" t="s">
        <v>22066</v>
      </c>
      <c r="B22067" s="2" t="str">
        <f>IFERROR(__xludf.DUMMYFUNCTION("GOOGLETRANSLATE(A22067, ""de"", ""en"")"),"salty")</f>
        <v>salty</v>
      </c>
    </row>
    <row r="22068">
      <c r="A22068" s="1" t="s">
        <v>22067</v>
      </c>
      <c r="B22068" s="2" t="str">
        <f>IFERROR(__xludf.DUMMYFUNCTION("GOOGLETRANSLATE(A22068, ""de"", ""en"")"),"foyer")</f>
        <v>foyer</v>
      </c>
    </row>
    <row r="22069">
      <c r="A22069" s="1" t="s">
        <v>22068</v>
      </c>
      <c r="B22069" s="2" t="str">
        <f>IFERROR(__xludf.DUMMYFUNCTION("GOOGLETRANSLATE(A22069, ""de"", ""en"")"),"celebrate")</f>
        <v>celebrate</v>
      </c>
    </row>
    <row r="22070">
      <c r="A22070" s="1" t="s">
        <v>22069</v>
      </c>
      <c r="B22070" s="2" t="str">
        <f>IFERROR(__xludf.DUMMYFUNCTION("GOOGLETRANSLATE(A22070, ""de"", ""en"")"),"Italian")</f>
        <v>Italian</v>
      </c>
    </row>
    <row r="22071">
      <c r="A22071" s="1" t="s">
        <v>22070</v>
      </c>
      <c r="B22071" s="2" t="str">
        <f>IFERROR(__xludf.DUMMYFUNCTION("GOOGLETRANSLATE(A22071, ""de"", ""en"")"),"changed")</f>
        <v>changed</v>
      </c>
    </row>
    <row r="22072">
      <c r="A22072" s="1" t="s">
        <v>22071</v>
      </c>
      <c r="B22072" s="2" t="str">
        <f>IFERROR(__xludf.DUMMYFUNCTION("GOOGLETRANSLATE(A22072, ""de"", ""en"")"),"clan")</f>
        <v>clan</v>
      </c>
    </row>
    <row r="22073">
      <c r="A22073" s="1" t="s">
        <v>22072</v>
      </c>
      <c r="B22073" s="2" t="str">
        <f>IFERROR(__xludf.DUMMYFUNCTION("GOOGLETRANSLATE(A22073, ""de"", ""en"")"),"untraceable")</f>
        <v>untraceable</v>
      </c>
    </row>
    <row r="22074">
      <c r="A22074" s="1" t="s">
        <v>22073</v>
      </c>
      <c r="B22074" s="2" t="str">
        <f>IFERROR(__xludf.DUMMYFUNCTION("GOOGLETRANSLATE(A22074, ""de"", ""en"")"),"scarce")</f>
        <v>scarce</v>
      </c>
    </row>
    <row r="22075">
      <c r="A22075" s="1" t="s">
        <v>22074</v>
      </c>
      <c r="B22075" s="2" t="str">
        <f>IFERROR(__xludf.DUMMYFUNCTION("GOOGLETRANSLATE(A22075, ""de"", ""en"")"),"flash off")</f>
        <v>flash off</v>
      </c>
    </row>
    <row r="22076">
      <c r="A22076" s="1" t="s">
        <v>22075</v>
      </c>
      <c r="B22076" s="2" t="str">
        <f>IFERROR(__xludf.DUMMYFUNCTION("GOOGLETRANSLATE(A22076, ""de"", ""en"")"),"uhh")</f>
        <v>uhh</v>
      </c>
    </row>
    <row r="22077">
      <c r="A22077" s="1" t="s">
        <v>22076</v>
      </c>
      <c r="B22077" s="2" t="str">
        <f>IFERROR(__xludf.DUMMYFUNCTION("GOOGLETRANSLATE(A22077, ""de"", ""en"")"),"bride and groom")</f>
        <v>bride and groom</v>
      </c>
    </row>
    <row r="22078">
      <c r="A22078" s="1" t="s">
        <v>22077</v>
      </c>
      <c r="B22078" s="2" t="str">
        <f>IFERROR(__xludf.DUMMYFUNCTION("GOOGLETRANSLATE(A22078, ""de"", ""en"")"),"veteran")</f>
        <v>veteran</v>
      </c>
    </row>
    <row r="22079">
      <c r="A22079" s="1" t="s">
        <v>22078</v>
      </c>
      <c r="B22079" s="2" t="str">
        <f>IFERROR(__xludf.DUMMYFUNCTION("GOOGLETRANSLATE(A22079, ""de"", ""en"")"),"escalated")</f>
        <v>escalated</v>
      </c>
    </row>
    <row r="22080">
      <c r="A22080" s="1" t="s">
        <v>22079</v>
      </c>
      <c r="B22080" s="2" t="str">
        <f>IFERROR(__xludf.DUMMYFUNCTION("GOOGLETRANSLATE(A22080, ""de"", ""en"")"),"conversation")</f>
        <v>conversation</v>
      </c>
    </row>
    <row r="22081">
      <c r="A22081" s="1" t="s">
        <v>22080</v>
      </c>
      <c r="B22081" s="2" t="str">
        <f>IFERROR(__xludf.DUMMYFUNCTION("GOOGLETRANSLATE(A22081, ""de"", ""en"")"),"to win back")</f>
        <v>to win back</v>
      </c>
    </row>
    <row r="22082">
      <c r="A22082" s="1" t="s">
        <v>22081</v>
      </c>
      <c r="B22082" s="2" t="str">
        <f>IFERROR(__xludf.DUMMYFUNCTION("GOOGLETRANSLATE(A22082, ""de"", ""en"")"),"nail polish")</f>
        <v>nail polish</v>
      </c>
    </row>
    <row r="22083">
      <c r="A22083" s="1" t="s">
        <v>22082</v>
      </c>
      <c r="B22083" s="2" t="str">
        <f>IFERROR(__xludf.DUMMYFUNCTION("GOOGLETRANSLATE(A22083, ""de"", ""en"")"),"burn")</f>
        <v>burn</v>
      </c>
    </row>
    <row r="22084">
      <c r="A22084" s="1" t="s">
        <v>22083</v>
      </c>
      <c r="B22084" s="2" t="str">
        <f>IFERROR(__xludf.DUMMYFUNCTION("GOOGLETRANSLATE(A22084, ""de"", ""en"")"),"tenth")</f>
        <v>tenth</v>
      </c>
    </row>
    <row r="22085">
      <c r="A22085" s="1" t="s">
        <v>22084</v>
      </c>
      <c r="B22085" s="2" t="str">
        <f>IFERROR(__xludf.DUMMYFUNCTION("GOOGLETRANSLATE(A22085, ""de"", ""en"")"),"colton")</f>
        <v>colton</v>
      </c>
    </row>
    <row r="22086">
      <c r="A22086" s="1" t="s">
        <v>22085</v>
      </c>
      <c r="B22086" s="2" t="str">
        <f>IFERROR(__xludf.DUMMYFUNCTION("GOOGLETRANSLATE(A22086, ""de"", ""en"")"),"crimes")</f>
        <v>crimes</v>
      </c>
    </row>
    <row r="22087">
      <c r="A22087" s="1" t="s">
        <v>22086</v>
      </c>
      <c r="B22087" s="2" t="str">
        <f>IFERROR(__xludf.DUMMYFUNCTION("GOOGLETRANSLATE(A22087, ""de"", ""en"")"),"sies")</f>
        <v>sies</v>
      </c>
    </row>
    <row r="22088">
      <c r="A22088" s="1" t="s">
        <v>22087</v>
      </c>
      <c r="B22088" s="2" t="str">
        <f>IFERROR(__xludf.DUMMYFUNCTION("GOOGLETRANSLATE(A22088, ""de"", ""en"")"),"majid")</f>
        <v>majid</v>
      </c>
    </row>
    <row r="22089">
      <c r="A22089" s="1" t="s">
        <v>22088</v>
      </c>
      <c r="B22089" s="2" t="str">
        <f>IFERROR(__xludf.DUMMYFUNCTION("GOOGLETRANSLATE(A22089, ""de"", ""en"")"),"caputo")</f>
        <v>caputo</v>
      </c>
    </row>
    <row r="22090">
      <c r="A22090" s="1" t="s">
        <v>22089</v>
      </c>
      <c r="B22090" s="2" t="str">
        <f>IFERROR(__xludf.DUMMYFUNCTION("GOOGLETRANSLATE(A22090, ""de"", ""en"")"),"clutter")</f>
        <v>clutter</v>
      </c>
    </row>
    <row r="22091">
      <c r="A22091" s="1" t="s">
        <v>22090</v>
      </c>
      <c r="B22091" s="2" t="str">
        <f>IFERROR(__xludf.DUMMYFUNCTION("GOOGLETRANSLATE(A22091, ""de"", ""en"")"),"inga")</f>
        <v>inga</v>
      </c>
    </row>
    <row r="22092">
      <c r="A22092" s="1" t="s">
        <v>22091</v>
      </c>
      <c r="B22092" s="2" t="str">
        <f>IFERROR(__xludf.DUMMYFUNCTION("GOOGLETRANSLATE(A22092, ""de"", ""en"")"),"shall")</f>
        <v>shall</v>
      </c>
    </row>
    <row r="22093">
      <c r="A22093" s="1" t="s">
        <v>22092</v>
      </c>
      <c r="B22093" s="2" t="str">
        <f>IFERROR(__xludf.DUMMYFUNCTION("GOOGLETRANSLATE(A22093, ""de"", ""en"")"),"lelouch")</f>
        <v>lelouch</v>
      </c>
    </row>
    <row r="22094">
      <c r="A22094" s="1" t="s">
        <v>22093</v>
      </c>
      <c r="B22094" s="2" t="str">
        <f>IFERROR(__xludf.DUMMYFUNCTION("GOOGLETRANSLATE(A22094, ""de"", ""en"")"),"intense")</f>
        <v>intense</v>
      </c>
    </row>
    <row r="22095">
      <c r="A22095" s="1" t="s">
        <v>22094</v>
      </c>
      <c r="B22095" s="2" t="str">
        <f>IFERROR(__xludf.DUMMYFUNCTION("GOOGLETRANSLATE(A22095, ""de"", ""en"")"),"wipes")</f>
        <v>wipes</v>
      </c>
    </row>
    <row r="22096">
      <c r="A22096" s="1" t="s">
        <v>22095</v>
      </c>
      <c r="B22096" s="2" t="str">
        <f>IFERROR(__xludf.DUMMYFUNCTION("GOOGLETRANSLATE(A22096, ""de"", ""en"")"),"fresh meat")</f>
        <v>fresh meat</v>
      </c>
    </row>
    <row r="22097">
      <c r="A22097" s="1" t="s">
        <v>22096</v>
      </c>
      <c r="B22097" s="2" t="str">
        <f>IFERROR(__xludf.DUMMYFUNCTION("GOOGLETRANSLATE(A22097, ""de"", ""en"")"),"digger")</f>
        <v>digger</v>
      </c>
    </row>
    <row r="22098">
      <c r="A22098" s="1" t="s">
        <v>22097</v>
      </c>
      <c r="B22098" s="2" t="str">
        <f>IFERROR(__xludf.DUMMYFUNCTION("GOOGLETRANSLATE(A22098, ""de"", ""en"")"),"proteins")</f>
        <v>proteins</v>
      </c>
    </row>
    <row r="22099">
      <c r="A22099" s="1" t="s">
        <v>22098</v>
      </c>
      <c r="B22099" s="2" t="str">
        <f>IFERROR(__xludf.DUMMYFUNCTION("GOOGLETRANSLATE(A22099, ""de"", ""en"")"),"stork")</f>
        <v>stork</v>
      </c>
    </row>
    <row r="22100">
      <c r="A22100" s="1" t="s">
        <v>22099</v>
      </c>
      <c r="B22100" s="2" t="str">
        <f>IFERROR(__xludf.DUMMYFUNCTION("GOOGLETRANSLATE(A22100, ""de"", ""en"")"),"zodiac sign")</f>
        <v>zodiac sign</v>
      </c>
    </row>
    <row r="22101">
      <c r="A22101" s="1" t="s">
        <v>22100</v>
      </c>
      <c r="B22101" s="2" t="str">
        <f>IFERROR(__xludf.DUMMYFUNCTION("GOOGLETRANSLATE(A22101, ""de"", ""en"")"),"terrorized")</f>
        <v>terrorized</v>
      </c>
    </row>
    <row r="22102">
      <c r="A22102" s="1" t="s">
        <v>22101</v>
      </c>
      <c r="B22102" s="2" t="str">
        <f>IFERROR(__xludf.DUMMYFUNCTION("GOOGLETRANSLATE(A22102, ""de"", ""en"")"),"marthe")</f>
        <v>marthe</v>
      </c>
    </row>
    <row r="22103">
      <c r="A22103" s="1" t="s">
        <v>22102</v>
      </c>
      <c r="B22103" s="2" t="str">
        <f>IFERROR(__xludf.DUMMYFUNCTION("GOOGLETRANSLATE(A22103, ""de"", ""en"")"),"bridges")</f>
        <v>bridges</v>
      </c>
    </row>
    <row r="22104">
      <c r="A22104" s="1" t="s">
        <v>22103</v>
      </c>
      <c r="B22104" s="2" t="str">
        <f>IFERROR(__xludf.DUMMYFUNCTION("GOOGLETRANSLATE(A22104, ""de"", ""en"")"),"elsie")</f>
        <v>elsie</v>
      </c>
    </row>
    <row r="22105">
      <c r="A22105" s="1" t="s">
        <v>22104</v>
      </c>
      <c r="B22105" s="2" t="str">
        <f>IFERROR(__xludf.DUMMYFUNCTION("GOOGLETRANSLATE(A22105, ""de"", ""en"")"),"ruiz")</f>
        <v>ruiz</v>
      </c>
    </row>
    <row r="22106">
      <c r="A22106" s="1" t="s">
        <v>22105</v>
      </c>
      <c r="B22106" s="2" t="str">
        <f>IFERROR(__xludf.DUMMYFUNCTION("GOOGLETRANSLATE(A22106, ""de"", ""en"")"),"clear")</f>
        <v>clear</v>
      </c>
    </row>
    <row r="22107">
      <c r="A22107" s="1" t="s">
        <v>22106</v>
      </c>
      <c r="B22107" s="2" t="str">
        <f>IFERROR(__xludf.DUMMYFUNCTION("GOOGLETRANSLATE(A22107, ""de"", ""en"")"),"bulletproof")</f>
        <v>bulletproof</v>
      </c>
    </row>
    <row r="22108">
      <c r="A22108" s="1" t="s">
        <v>22107</v>
      </c>
      <c r="B22108" s="2" t="str">
        <f>IFERROR(__xludf.DUMMYFUNCTION("GOOGLETRANSLATE(A22108, ""de"", ""en"")"),"classmates")</f>
        <v>classmates</v>
      </c>
    </row>
    <row r="22109">
      <c r="A22109" s="1" t="s">
        <v>22108</v>
      </c>
      <c r="B22109" s="2" t="str">
        <f>IFERROR(__xludf.DUMMYFUNCTION("GOOGLETRANSLATE(A22109, ""de"", ""en"")"),"manson")</f>
        <v>manson</v>
      </c>
    </row>
    <row r="22110">
      <c r="A22110" s="1" t="s">
        <v>22109</v>
      </c>
      <c r="B22110" s="2" t="str">
        <f>IFERROR(__xludf.DUMMYFUNCTION("GOOGLETRANSLATE(A22110, ""de"", ""en"")"),"c4")</f>
        <v>c4</v>
      </c>
    </row>
    <row r="22111">
      <c r="A22111" s="1" t="s">
        <v>22110</v>
      </c>
      <c r="B22111" s="2" t="str">
        <f>IFERROR(__xludf.DUMMYFUNCTION("GOOGLETRANSLATE(A22111, ""de"", ""en"")"),"preview")</f>
        <v>preview</v>
      </c>
    </row>
    <row r="22112">
      <c r="A22112" s="1" t="s">
        <v>22111</v>
      </c>
      <c r="B22112" s="2" t="str">
        <f>IFERROR(__xludf.DUMMYFUNCTION("GOOGLETRANSLATE(A22112, ""de"", ""en"")"),"burn")</f>
        <v>burn</v>
      </c>
    </row>
    <row r="22113">
      <c r="A22113" s="1" t="s">
        <v>22112</v>
      </c>
      <c r="B22113" s="2" t="str">
        <f>IFERROR(__xludf.DUMMYFUNCTION("GOOGLETRANSLATE(A22113, ""de"", ""en"")"),"meet")</f>
        <v>meet</v>
      </c>
    </row>
    <row r="22114">
      <c r="A22114" s="1" t="s">
        <v>22113</v>
      </c>
      <c r="B22114" s="2" t="str">
        <f>IFERROR(__xludf.DUMMYFUNCTION("GOOGLETRANSLATE(A22114, ""de"", ""en"")"),"pile up")</f>
        <v>pile up</v>
      </c>
    </row>
    <row r="22115">
      <c r="A22115" s="1" t="s">
        <v>22114</v>
      </c>
      <c r="B22115" s="2" t="str">
        <f>IFERROR(__xludf.DUMMYFUNCTION("GOOGLETRANSLATE(A22115, ""de"", ""en"")"),"steam")</f>
        <v>steam</v>
      </c>
    </row>
    <row r="22116">
      <c r="A22116" s="1" t="s">
        <v>22115</v>
      </c>
      <c r="B22116" s="2" t="str">
        <f>IFERROR(__xludf.DUMMYFUNCTION("GOOGLETRANSLATE(A22116, ""de"", ""en"")"),"defile")</f>
        <v>defile</v>
      </c>
    </row>
    <row r="22117">
      <c r="A22117" s="1" t="s">
        <v>22116</v>
      </c>
      <c r="B22117" s="2" t="str">
        <f>IFERROR(__xludf.DUMMYFUNCTION("GOOGLETRANSLATE(A22117, ""de"", ""en"")"),"risa")</f>
        <v>risa</v>
      </c>
    </row>
    <row r="22118">
      <c r="A22118" s="1" t="s">
        <v>22117</v>
      </c>
      <c r="B22118" s="2" t="str">
        <f>IFERROR(__xludf.DUMMYFUNCTION("GOOGLETRANSLATE(A22118, ""de"", ""en"")"),"signed")</f>
        <v>signed</v>
      </c>
    </row>
    <row r="22119">
      <c r="A22119" s="1" t="s">
        <v>22118</v>
      </c>
      <c r="B22119" s="2" t="str">
        <f>IFERROR(__xludf.DUMMYFUNCTION("GOOGLETRANSLATE(A22119, ""de"", ""en"")"),"to implement")</f>
        <v>to implement</v>
      </c>
    </row>
    <row r="22120">
      <c r="A22120" s="1" t="s">
        <v>22119</v>
      </c>
      <c r="B22120" s="2" t="str">
        <f>IFERROR(__xludf.DUMMYFUNCTION("GOOGLETRANSLATE(A22120, ""de"", ""en"")"),"podium")</f>
        <v>podium</v>
      </c>
    </row>
    <row r="22121">
      <c r="A22121" s="1" t="s">
        <v>22120</v>
      </c>
      <c r="B22121" s="2" t="str">
        <f>IFERROR(__xludf.DUMMYFUNCTION("GOOGLETRANSLATE(A22121, ""de"", ""en"")"),"clovis")</f>
        <v>clovis</v>
      </c>
    </row>
    <row r="22122">
      <c r="A22122" s="1" t="s">
        <v>22121</v>
      </c>
      <c r="B22122" s="2" t="str">
        <f>IFERROR(__xludf.DUMMYFUNCTION("GOOGLETRANSLATE(A22122, ""de"", ""en"")"),"margaux")</f>
        <v>margaux</v>
      </c>
    </row>
    <row r="22123">
      <c r="A22123" s="1" t="s">
        <v>22122</v>
      </c>
      <c r="B22123" s="2" t="str">
        <f>IFERROR(__xludf.DUMMYFUNCTION("GOOGLETRANSLATE(A22123, ""de"", ""en"")"),"outermost")</f>
        <v>outermost</v>
      </c>
    </row>
    <row r="22124">
      <c r="A22124" s="1" t="s">
        <v>22123</v>
      </c>
      <c r="B22124" s="2" t="str">
        <f>IFERROR(__xludf.DUMMYFUNCTION("GOOGLETRANSLATE(A22124, ""de"", ""en"")"),"to leave behind")</f>
        <v>to leave behind</v>
      </c>
    </row>
    <row r="22125">
      <c r="A22125" s="1" t="s">
        <v>22124</v>
      </c>
      <c r="B22125" s="2" t="str">
        <f>IFERROR(__xludf.DUMMYFUNCTION("GOOGLETRANSLATE(A22125, ""de"", ""en"")"),"change")</f>
        <v>change</v>
      </c>
    </row>
    <row r="22126">
      <c r="A22126" s="1" t="s">
        <v>22125</v>
      </c>
      <c r="B22126" s="2" t="str">
        <f>IFERROR(__xludf.DUMMYFUNCTION("GOOGLETRANSLATE(A22126, ""de"", ""en"")"),"results")</f>
        <v>results</v>
      </c>
    </row>
    <row r="22127">
      <c r="A22127" s="1" t="s">
        <v>22126</v>
      </c>
      <c r="B22127" s="2" t="str">
        <f>IFERROR(__xludf.DUMMYFUNCTION("GOOGLETRANSLATE(A22127, ""de"", ""en"")"),"boring")</f>
        <v>boring</v>
      </c>
    </row>
    <row r="22128">
      <c r="A22128" s="1" t="s">
        <v>22127</v>
      </c>
      <c r="B22128" s="2" t="str">
        <f>IFERROR(__xludf.DUMMYFUNCTION("GOOGLETRANSLATE(A22128, ""de"", ""en"")"),"Goethe")</f>
        <v>Goethe</v>
      </c>
    </row>
    <row r="22129">
      <c r="A22129" s="1" t="s">
        <v>22128</v>
      </c>
      <c r="B22129" s="2" t="str">
        <f>IFERROR(__xludf.DUMMYFUNCTION("GOOGLETRANSLATE(A22129, ""de"", ""en"")"),"wow")</f>
        <v>wow</v>
      </c>
    </row>
    <row r="22130">
      <c r="A22130" s="1" t="s">
        <v>22129</v>
      </c>
      <c r="B22130" s="2" t="str">
        <f>IFERROR(__xludf.DUMMYFUNCTION("GOOGLETRANSLATE(A22130, ""de"", ""en"")"),"undertake")</f>
        <v>undertake</v>
      </c>
    </row>
    <row r="22131">
      <c r="A22131" s="1" t="s">
        <v>22130</v>
      </c>
      <c r="B22131" s="2" t="str">
        <f>IFERROR(__xludf.DUMMYFUNCTION("GOOGLETRANSLATE(A22131, ""de"", ""en"")"),"overrun")</f>
        <v>overrun</v>
      </c>
    </row>
    <row r="22132">
      <c r="A22132" s="1" t="s">
        <v>22131</v>
      </c>
      <c r="B22132" s="2" t="str">
        <f>IFERROR(__xludf.DUMMYFUNCTION("GOOGLETRANSLATE(A22132, ""de"", ""en"")"),"hysteria")</f>
        <v>hysteria</v>
      </c>
    </row>
    <row r="22133">
      <c r="A22133" s="1" t="s">
        <v>22132</v>
      </c>
      <c r="B22133" s="2" t="str">
        <f>IFERROR(__xludf.DUMMYFUNCTION("GOOGLETRANSLATE(A22133, ""de"", ""en"")"),"plays")</f>
        <v>plays</v>
      </c>
    </row>
    <row r="22134">
      <c r="A22134" s="1" t="s">
        <v>22133</v>
      </c>
      <c r="B22134" s="2" t="str">
        <f>IFERROR(__xludf.DUMMYFUNCTION("GOOGLETRANSLATE(A22134, ""de"", ""en"")"),"without")</f>
        <v>without</v>
      </c>
    </row>
    <row r="22135">
      <c r="A22135" s="1" t="s">
        <v>22134</v>
      </c>
      <c r="B22135" s="2" t="str">
        <f>IFERROR(__xludf.DUMMYFUNCTION("GOOGLETRANSLATE(A22135, ""de"", ""en"")"),"steal")</f>
        <v>steal</v>
      </c>
    </row>
    <row r="22136">
      <c r="A22136" s="1" t="s">
        <v>22135</v>
      </c>
      <c r="B22136" s="2" t="str">
        <f>IFERROR(__xludf.DUMMYFUNCTION("GOOGLETRANSLATE(A22136, ""de"", ""en"")"),"human soul")</f>
        <v>human soul</v>
      </c>
    </row>
    <row r="22137">
      <c r="A22137" s="1" t="s">
        <v>22136</v>
      </c>
      <c r="B22137" s="2" t="str">
        <f>IFERROR(__xludf.DUMMYFUNCTION("GOOGLETRANSLATE(A22137, ""de"", ""en"")"),"moving")</f>
        <v>moving</v>
      </c>
    </row>
    <row r="22138">
      <c r="A22138" s="1" t="s">
        <v>22137</v>
      </c>
      <c r="B22138" s="2" t="str">
        <f>IFERROR(__xludf.DUMMYFUNCTION("GOOGLETRANSLATE(A22138, ""de"", ""en"")"),"consequence")</f>
        <v>consequence</v>
      </c>
    </row>
    <row r="22139">
      <c r="A22139" s="1" t="s">
        <v>22138</v>
      </c>
      <c r="B22139" s="2" t="str">
        <f>IFERROR(__xludf.DUMMYFUNCTION("GOOGLETRANSLATE(A22139, ""de"", ""en"")"),"excited")</f>
        <v>excited</v>
      </c>
    </row>
    <row r="22140">
      <c r="A22140" s="1" t="s">
        <v>22139</v>
      </c>
      <c r="B22140" s="2" t="str">
        <f>IFERROR(__xludf.DUMMYFUNCTION("GOOGLETRANSLATE(A22140, ""de"", ""en"")"),"fuses")</f>
        <v>fuses</v>
      </c>
    </row>
    <row r="22141">
      <c r="A22141" s="1" t="s">
        <v>22140</v>
      </c>
      <c r="B22141" s="2" t="str">
        <f>IFERROR(__xludf.DUMMYFUNCTION("GOOGLETRANSLATE(A22141, ""de"", ""en"")"),"nonetheless")</f>
        <v>nonetheless</v>
      </c>
    </row>
    <row r="22142">
      <c r="A22142" s="1" t="s">
        <v>22141</v>
      </c>
      <c r="B22142" s="2" t="str">
        <f>IFERROR(__xludf.DUMMYFUNCTION("GOOGLETRANSLATE(A22142, ""de"", ""en"")"),"tig")</f>
        <v>tig</v>
      </c>
    </row>
    <row r="22143">
      <c r="A22143" s="1" t="s">
        <v>22142</v>
      </c>
      <c r="B22143" s="2" t="str">
        <f>IFERROR(__xludf.DUMMYFUNCTION("GOOGLETRANSLATE(A22143, ""de"", ""en"")"),"inventory")</f>
        <v>inventory</v>
      </c>
    </row>
    <row r="22144">
      <c r="A22144" s="1" t="s">
        <v>22143</v>
      </c>
      <c r="B22144" s="2" t="str">
        <f>IFERROR(__xludf.DUMMYFUNCTION("GOOGLETRANSLATE(A22144, ""de"", ""en"")"),"signpost")</f>
        <v>signpost</v>
      </c>
    </row>
    <row r="22145">
      <c r="A22145" s="1" t="s">
        <v>22144</v>
      </c>
      <c r="B22145" s="2" t="str">
        <f>IFERROR(__xludf.DUMMYFUNCTION("GOOGLETRANSLATE(A22145, ""de"", ""en"")"),"confidence")</f>
        <v>confidence</v>
      </c>
    </row>
    <row r="22146">
      <c r="A22146" s="1" t="s">
        <v>22145</v>
      </c>
      <c r="B22146" s="2" t="str">
        <f>IFERROR(__xludf.DUMMYFUNCTION("GOOGLETRANSLATE(A22146, ""de"", ""en"")"),"sensible")</f>
        <v>sensible</v>
      </c>
    </row>
    <row r="22147">
      <c r="A22147" s="1" t="s">
        <v>22146</v>
      </c>
      <c r="B22147" s="2" t="str">
        <f>IFERROR(__xludf.DUMMYFUNCTION("GOOGLETRANSLATE(A22147, ""de"", ""en"")"),"hidden ones")</f>
        <v>hidden ones</v>
      </c>
    </row>
    <row r="22148">
      <c r="A22148" s="1" t="s">
        <v>22147</v>
      </c>
      <c r="B22148" s="2" t="str">
        <f>IFERROR(__xludf.DUMMYFUNCTION("GOOGLETRANSLATE(A22148, ""de"", ""en"")"),"scientists")</f>
        <v>scientists</v>
      </c>
    </row>
    <row r="22149">
      <c r="A22149" s="1" t="s">
        <v>22148</v>
      </c>
      <c r="B22149" s="2" t="str">
        <f>IFERROR(__xludf.DUMMYFUNCTION("GOOGLETRANSLATE(A22149, ""de"", ""en"")"),"to fall asleep")</f>
        <v>to fall asleep</v>
      </c>
    </row>
    <row r="22150">
      <c r="A22150" s="1" t="s">
        <v>22149</v>
      </c>
      <c r="B22150" s="2" t="str">
        <f>IFERROR(__xludf.DUMMYFUNCTION("GOOGLETRANSLATE(A22150, ""de"", ""en"")"),"kareem")</f>
        <v>kareem</v>
      </c>
    </row>
    <row r="22151">
      <c r="A22151" s="1" t="s">
        <v>22150</v>
      </c>
      <c r="B22151" s="2" t="str">
        <f>IFERROR(__xludf.DUMMYFUNCTION("GOOGLETRANSLATE(A22151, ""de"", ""en"")"),"comment")</f>
        <v>comment</v>
      </c>
    </row>
    <row r="22152">
      <c r="A22152" s="1" t="s">
        <v>22151</v>
      </c>
      <c r="B22152" s="2" t="str">
        <f>IFERROR(__xludf.DUMMYFUNCTION("GOOGLETRANSLATE(A22152, ""de"", ""en"")"),"incompetent")</f>
        <v>incompetent</v>
      </c>
    </row>
    <row r="22153">
      <c r="A22153" s="1" t="s">
        <v>22152</v>
      </c>
      <c r="B22153" s="2" t="str">
        <f>IFERROR(__xludf.DUMMYFUNCTION("GOOGLETRANSLATE(A22153, ""de"", ""en"")"),"tattoo")</f>
        <v>tattoo</v>
      </c>
    </row>
    <row r="22154">
      <c r="A22154" s="1" t="s">
        <v>22153</v>
      </c>
      <c r="B22154" s="2" t="str">
        <f>IFERROR(__xludf.DUMMYFUNCTION("GOOGLETRANSLATE(A22154, ""de"", ""en"")"),"tigers")</f>
        <v>tigers</v>
      </c>
    </row>
    <row r="22155">
      <c r="A22155" s="1" t="s">
        <v>22154</v>
      </c>
      <c r="B22155" s="2" t="str">
        <f>IFERROR(__xludf.DUMMYFUNCTION("GOOGLETRANSLATE(A22155, ""de"", ""en"")"),"mets")</f>
        <v>mets</v>
      </c>
    </row>
    <row r="22156">
      <c r="A22156" s="1" t="s">
        <v>22155</v>
      </c>
      <c r="B22156" s="2" t="str">
        <f>IFERROR(__xludf.DUMMYFUNCTION("GOOGLETRANSLATE(A22156, ""de"", ""en"")"),"sluggish")</f>
        <v>sluggish</v>
      </c>
    </row>
    <row r="22157">
      <c r="A22157" s="1" t="s">
        <v>22156</v>
      </c>
      <c r="B22157" s="2" t="str">
        <f>IFERROR(__xludf.DUMMYFUNCTION("GOOGLETRANSLATE(A22157, ""de"", ""en"")"),"physical")</f>
        <v>physical</v>
      </c>
    </row>
    <row r="22158">
      <c r="A22158" s="1" t="s">
        <v>22157</v>
      </c>
      <c r="B22158" s="2" t="str">
        <f>IFERROR(__xludf.DUMMYFUNCTION("GOOGLETRANSLATE(A22158, ""de"", ""en"")"),"turn on")</f>
        <v>turn on</v>
      </c>
    </row>
    <row r="22159">
      <c r="A22159" s="1" t="s">
        <v>22158</v>
      </c>
      <c r="B22159" s="2" t="str">
        <f>IFERROR(__xludf.DUMMYFUNCTION("GOOGLETRANSLATE(A22159, ""de"", ""en"")"),"needs")</f>
        <v>needs</v>
      </c>
    </row>
    <row r="22160">
      <c r="A22160" s="1" t="s">
        <v>22159</v>
      </c>
      <c r="B22160" s="2" t="str">
        <f>IFERROR(__xludf.DUMMYFUNCTION("GOOGLETRANSLATE(A22160, ""de"", ""en"")"),"tattoos")</f>
        <v>tattoos</v>
      </c>
    </row>
    <row r="22161">
      <c r="A22161" s="1" t="s">
        <v>22160</v>
      </c>
      <c r="B22161" s="2" t="str">
        <f>IFERROR(__xludf.DUMMYFUNCTION("GOOGLETRANSLATE(A22161, ""de"", ""en"")"),"more mature")</f>
        <v>more mature</v>
      </c>
    </row>
    <row r="22162">
      <c r="A22162" s="1" t="s">
        <v>22161</v>
      </c>
      <c r="B22162" s="2" t="str">
        <f>IFERROR(__xludf.DUMMYFUNCTION("GOOGLETRANSLATE(A22162, ""de"", ""en"")"),"royal")</f>
        <v>royal</v>
      </c>
    </row>
    <row r="22163">
      <c r="A22163" s="1" t="s">
        <v>22162</v>
      </c>
      <c r="B22163" s="2" t="str">
        <f>IFERROR(__xludf.DUMMYFUNCTION("GOOGLETRANSLATE(A22163, ""de"", ""en"")"),"wink")</f>
        <v>wink</v>
      </c>
    </row>
    <row r="22164">
      <c r="A22164" s="1" t="s">
        <v>22163</v>
      </c>
      <c r="B22164" s="2" t="str">
        <f>IFERROR(__xludf.DUMMYFUNCTION("GOOGLETRANSLATE(A22164, ""de"", ""en"")"),"football game")</f>
        <v>football game</v>
      </c>
    </row>
    <row r="22165">
      <c r="A22165" s="1" t="s">
        <v>22164</v>
      </c>
      <c r="B22165" s="2" t="str">
        <f>IFERROR(__xludf.DUMMYFUNCTION("GOOGLETRANSLATE(A22165, ""de"", ""en"")"),"hamid")</f>
        <v>hamid</v>
      </c>
    </row>
    <row r="22166">
      <c r="A22166" s="1" t="s">
        <v>22165</v>
      </c>
      <c r="B22166" s="2" t="str">
        <f>IFERROR(__xludf.DUMMYFUNCTION("GOOGLETRANSLATE(A22166, ""de"", ""en"")"),"leaves")</f>
        <v>leaves</v>
      </c>
    </row>
    <row r="22167">
      <c r="A22167" s="1" t="s">
        <v>22166</v>
      </c>
      <c r="B22167" s="2" t="str">
        <f>IFERROR(__xludf.DUMMYFUNCTION("GOOGLETRANSLATE(A22167, ""de"", ""en"")"),"dix")</f>
        <v>dix</v>
      </c>
    </row>
    <row r="22168">
      <c r="A22168" s="1" t="s">
        <v>22167</v>
      </c>
      <c r="B22168" s="2" t="str">
        <f>IFERROR(__xludf.DUMMYFUNCTION("GOOGLETRANSLATE(A22168, ""de"", ""en"")"),"reeves")</f>
        <v>reeves</v>
      </c>
    </row>
    <row r="22169">
      <c r="A22169" s="1" t="s">
        <v>22168</v>
      </c>
      <c r="B22169" s="2" t="str">
        <f>IFERROR(__xludf.DUMMYFUNCTION("GOOGLETRANSLATE(A22169, ""de"", ""en"")"),"flip")</f>
        <v>flip</v>
      </c>
    </row>
    <row r="22170">
      <c r="A22170" s="1" t="s">
        <v>22169</v>
      </c>
      <c r="B22170" s="2" t="str">
        <f>IFERROR(__xludf.DUMMYFUNCTION("GOOGLETRANSLATE(A22170, ""de"", ""en"")"),"August")</f>
        <v>August</v>
      </c>
    </row>
    <row r="22171">
      <c r="A22171" s="1" t="s">
        <v>22170</v>
      </c>
      <c r="B22171" s="2" t="str">
        <f>IFERROR(__xludf.DUMMYFUNCTION("GOOGLETRANSLATE(A22171, ""de"", ""en"")"),"civilized")</f>
        <v>civilized</v>
      </c>
    </row>
    <row r="22172">
      <c r="A22172" s="1" t="s">
        <v>22171</v>
      </c>
      <c r="B22172" s="2" t="str">
        <f>IFERROR(__xludf.DUMMYFUNCTION("GOOGLETRANSLATE(A22172, ""de"", ""en"")"),"robe")</f>
        <v>robe</v>
      </c>
    </row>
    <row r="22173">
      <c r="A22173" s="1" t="s">
        <v>22172</v>
      </c>
      <c r="B22173" s="2" t="str">
        <f>IFERROR(__xludf.DUMMYFUNCTION("GOOGLETRANSLATE(A22173, ""de"", ""en"")"),"fraud")</f>
        <v>fraud</v>
      </c>
    </row>
    <row r="22174">
      <c r="A22174" s="1" t="s">
        <v>22173</v>
      </c>
      <c r="B22174" s="2" t="str">
        <f>IFERROR(__xludf.DUMMYFUNCTION("GOOGLETRANSLATE(A22174, ""de"", ""en"")"),"increase")</f>
        <v>increase</v>
      </c>
    </row>
    <row r="22175">
      <c r="A22175" s="1" t="s">
        <v>22174</v>
      </c>
      <c r="B22175" s="2" t="str">
        <f>IFERROR(__xludf.DUMMYFUNCTION("GOOGLETRANSLATE(A22175, ""de"", ""en"")"),"associated")</f>
        <v>associated</v>
      </c>
    </row>
    <row r="22176">
      <c r="A22176" s="1" t="s">
        <v>22175</v>
      </c>
      <c r="B22176" s="2" t="str">
        <f>IFERROR(__xludf.DUMMYFUNCTION("GOOGLETRANSLATE(A22176, ""de"", ""en"")"),"far")</f>
        <v>far</v>
      </c>
    </row>
    <row r="22177">
      <c r="A22177" s="1" t="s">
        <v>22176</v>
      </c>
      <c r="B22177" s="2" t="str">
        <f>IFERROR(__xludf.DUMMYFUNCTION("GOOGLETRANSLATE(A22177, ""de"", ""en"")"),"Clement")</f>
        <v>Clement</v>
      </c>
    </row>
    <row r="22178">
      <c r="A22178" s="1" t="s">
        <v>22177</v>
      </c>
      <c r="B22178" s="2" t="str">
        <f>IFERROR(__xludf.DUMMYFUNCTION("GOOGLETRANSLATE(A22178, ""de"", ""en"")"),"boutique")</f>
        <v>boutique</v>
      </c>
    </row>
    <row r="22179">
      <c r="A22179" s="1" t="s">
        <v>22178</v>
      </c>
      <c r="B22179" s="2" t="str">
        <f>IFERROR(__xludf.DUMMYFUNCTION("GOOGLETRANSLATE(A22179, ""de"", ""en"")"),"lying ones")</f>
        <v>lying ones</v>
      </c>
    </row>
    <row r="22180">
      <c r="A22180" s="1" t="s">
        <v>22179</v>
      </c>
      <c r="B22180" s="2" t="str">
        <f>IFERROR(__xludf.DUMMYFUNCTION("GOOGLETRANSLATE(A22180, ""de"", ""en"")"),"entry ticket")</f>
        <v>entry ticket</v>
      </c>
    </row>
    <row r="22181">
      <c r="A22181" s="1" t="s">
        <v>22180</v>
      </c>
      <c r="B22181" s="2" t="str">
        <f>IFERROR(__xludf.DUMMYFUNCTION("GOOGLETRANSLATE(A22181, ""de"", ""en"")"),"braxton")</f>
        <v>braxton</v>
      </c>
    </row>
    <row r="22182">
      <c r="A22182" s="1" t="s">
        <v>22181</v>
      </c>
      <c r="B22182" s="2" t="str">
        <f>IFERROR(__xludf.DUMMYFUNCTION("GOOGLETRANSLATE(A22182, ""de"", ""en"")"),"have")</f>
        <v>have</v>
      </c>
    </row>
    <row r="22183">
      <c r="A22183" s="1" t="s">
        <v>22182</v>
      </c>
      <c r="B22183" s="2" t="str">
        <f>IFERROR(__xludf.DUMMYFUNCTION("GOOGLETRANSLATE(A22183, ""de"", ""en"")"),"murder victim")</f>
        <v>murder victim</v>
      </c>
    </row>
    <row r="22184">
      <c r="A22184" s="1" t="s">
        <v>22183</v>
      </c>
      <c r="B22184" s="2" t="str">
        <f>IFERROR(__xludf.DUMMYFUNCTION("GOOGLETRANSLATE(A22184, ""de"", ""en"")"),"Lombard")</f>
        <v>Lombard</v>
      </c>
    </row>
    <row r="22185">
      <c r="A22185" s="1" t="s">
        <v>22184</v>
      </c>
      <c r="B22185" s="2" t="str">
        <f>IFERROR(__xludf.DUMMYFUNCTION("GOOGLETRANSLATE(A22185, ""de"", ""en"")"),"asa")</f>
        <v>asa</v>
      </c>
    </row>
    <row r="22186">
      <c r="A22186" s="1" t="s">
        <v>22185</v>
      </c>
      <c r="B22186" s="2" t="str">
        <f>IFERROR(__xludf.DUMMYFUNCTION("GOOGLETRANSLATE(A22186, ""de"", ""en"")"),"eaten")</f>
        <v>eaten</v>
      </c>
    </row>
    <row r="22187">
      <c r="A22187" s="1" t="s">
        <v>22186</v>
      </c>
      <c r="B22187" s="2" t="str">
        <f>IFERROR(__xludf.DUMMYFUNCTION("GOOGLETRANSLATE(A22187, ""de"", ""en"")"),"largest")</f>
        <v>largest</v>
      </c>
    </row>
    <row r="22188">
      <c r="A22188" s="1" t="s">
        <v>22187</v>
      </c>
      <c r="B22188" s="2" t="str">
        <f>IFERROR(__xludf.DUMMYFUNCTION("GOOGLETRANSLATE(A22188, ""de"", ""en"")"),"mercury")</f>
        <v>mercury</v>
      </c>
    </row>
    <row r="22189">
      <c r="A22189" s="1" t="s">
        <v>22188</v>
      </c>
      <c r="B22189" s="2" t="str">
        <f>IFERROR(__xludf.DUMMYFUNCTION("GOOGLETRANSLATE(A22189, ""de"", ""en"")"),"to hire")</f>
        <v>to hire</v>
      </c>
    </row>
    <row r="22190">
      <c r="A22190" s="1" t="s">
        <v>22189</v>
      </c>
      <c r="B22190" s="2" t="str">
        <f>IFERROR(__xludf.DUMMYFUNCTION("GOOGLETRANSLATE(A22190, ""de"", ""en"")"),"delighted")</f>
        <v>delighted</v>
      </c>
    </row>
    <row r="22191">
      <c r="A22191" s="1" t="s">
        <v>22190</v>
      </c>
      <c r="B22191" s="2" t="str">
        <f>IFERROR(__xludf.DUMMYFUNCTION("GOOGLETRANSLATE(A22191, ""de"", ""en"")"),"pancakes")</f>
        <v>pancakes</v>
      </c>
    </row>
    <row r="22192">
      <c r="A22192" s="1" t="s">
        <v>22191</v>
      </c>
      <c r="B22192" s="2" t="str">
        <f>IFERROR(__xludf.DUMMYFUNCTION("GOOGLETRANSLATE(A22192, ""de"", ""en"")"),"duet")</f>
        <v>duet</v>
      </c>
    </row>
    <row r="22193">
      <c r="A22193" s="1" t="s">
        <v>22192</v>
      </c>
      <c r="B22193" s="2" t="str">
        <f>IFERROR(__xludf.DUMMYFUNCTION("GOOGLETRANSLATE(A22193, ""de"", ""en"")"),"younger")</f>
        <v>younger</v>
      </c>
    </row>
    <row r="22194">
      <c r="A22194" s="1" t="s">
        <v>22193</v>
      </c>
      <c r="B22194" s="2" t="str">
        <f>IFERROR(__xludf.DUMMYFUNCTION("GOOGLETRANSLATE(A22194, ""de"", ""en"")"),"to visit")</f>
        <v>to visit</v>
      </c>
    </row>
    <row r="22195">
      <c r="A22195" s="1" t="s">
        <v>22194</v>
      </c>
      <c r="B22195" s="2" t="str">
        <f>IFERROR(__xludf.DUMMYFUNCTION("GOOGLETRANSLATE(A22195, ""de"", ""en"")"),"digital")</f>
        <v>digital</v>
      </c>
    </row>
    <row r="22196">
      <c r="A22196" s="1" t="s">
        <v>22195</v>
      </c>
      <c r="B22196" s="2" t="str">
        <f>IFERROR(__xludf.DUMMYFUNCTION("GOOGLETRANSLATE(A22196, ""de"", ""en"")"),"flutes")</f>
        <v>flutes</v>
      </c>
    </row>
    <row r="22197">
      <c r="A22197" s="1" t="s">
        <v>22196</v>
      </c>
      <c r="B22197" s="2" t="str">
        <f>IFERROR(__xludf.DUMMYFUNCTION("GOOGLETRANSLATE(A22197, ""de"", ""en"")"),"marla")</f>
        <v>marla</v>
      </c>
    </row>
    <row r="22198">
      <c r="A22198" s="1" t="s">
        <v>22197</v>
      </c>
      <c r="B22198" s="2" t="str">
        <f>IFERROR(__xludf.DUMMYFUNCTION("GOOGLETRANSLATE(A22198, ""de"", ""en"")"),"occupied")</f>
        <v>occupied</v>
      </c>
    </row>
    <row r="22199">
      <c r="A22199" s="1" t="s">
        <v>22198</v>
      </c>
      <c r="B22199" s="2" t="str">
        <f>IFERROR(__xludf.DUMMYFUNCTION("GOOGLETRANSLATE(A22199, ""de"", ""en"")"),"hungry")</f>
        <v>hungry</v>
      </c>
    </row>
    <row r="22200">
      <c r="A22200" s="1" t="s">
        <v>22199</v>
      </c>
      <c r="B22200" s="2" t="str">
        <f>IFERROR(__xludf.DUMMYFUNCTION("GOOGLETRANSLATE(A22200, ""de"", ""en"")"),"rach")</f>
        <v>rach</v>
      </c>
    </row>
    <row r="22201">
      <c r="A22201" s="1" t="s">
        <v>22200</v>
      </c>
      <c r="B22201" s="2" t="str">
        <f>IFERROR(__xludf.DUMMYFUNCTION("GOOGLETRANSLATE(A22201, ""de"", ""en"")"),"celebrities")</f>
        <v>celebrities</v>
      </c>
    </row>
    <row r="22202">
      <c r="A22202" s="1" t="s">
        <v>22201</v>
      </c>
      <c r="B22202" s="2" t="str">
        <f>IFERROR(__xludf.DUMMYFUNCTION("GOOGLETRANSLATE(A22202, ""de"", ""en"")"),"aldo")</f>
        <v>aldo</v>
      </c>
    </row>
    <row r="22203">
      <c r="A22203" s="1" t="s">
        <v>22202</v>
      </c>
      <c r="B22203" s="2" t="str">
        <f>IFERROR(__xludf.DUMMYFUNCTION("GOOGLETRANSLATE(A22203, ""de"", ""en"")"),"redeemed")</f>
        <v>redeemed</v>
      </c>
    </row>
    <row r="22204">
      <c r="A22204" s="1" t="s">
        <v>22203</v>
      </c>
      <c r="B22204" s="2" t="str">
        <f>IFERROR(__xludf.DUMMYFUNCTION("GOOGLETRANSLATE(A22204, ""de"", ""en"")"),"Hitchcock")</f>
        <v>Hitchcock</v>
      </c>
    </row>
    <row r="22205">
      <c r="A22205" s="1" t="s">
        <v>22204</v>
      </c>
      <c r="B22205" s="2" t="str">
        <f>IFERROR(__xludf.DUMMYFUNCTION("GOOGLETRANSLATE(A22205, ""de"", ""en"")"),"namaste")</f>
        <v>namaste</v>
      </c>
    </row>
    <row r="22206">
      <c r="A22206" s="1" t="s">
        <v>22205</v>
      </c>
      <c r="B22206" s="2" t="str">
        <f>IFERROR(__xludf.DUMMYFUNCTION("GOOGLETRANSLATE(A22206, ""de"", ""en"")"),"Rousseau")</f>
        <v>Rousseau</v>
      </c>
    </row>
    <row r="22207">
      <c r="A22207" s="1" t="s">
        <v>22206</v>
      </c>
      <c r="B22207" s="2" t="str">
        <f>IFERROR(__xludf.DUMMYFUNCTION("GOOGLETRANSLATE(A22207, ""de"", ""en"")"),"organisms")</f>
        <v>organisms</v>
      </c>
    </row>
    <row r="22208">
      <c r="A22208" s="1" t="s">
        <v>22207</v>
      </c>
      <c r="B22208" s="2" t="str">
        <f>IFERROR(__xludf.DUMMYFUNCTION("GOOGLETRANSLATE(A22208, ""de"", ""en"")"),"j.b.")</f>
        <v>j.b.</v>
      </c>
    </row>
    <row r="22209">
      <c r="A22209" s="1" t="s">
        <v>22208</v>
      </c>
      <c r="B22209" s="2" t="str">
        <f>IFERROR(__xludf.DUMMYFUNCTION("GOOGLETRANSLATE(A22209, ""de"", ""en"")"),"sunburn")</f>
        <v>sunburn</v>
      </c>
    </row>
    <row r="22210">
      <c r="A22210" s="1" t="s">
        <v>22209</v>
      </c>
      <c r="B22210" s="2" t="str">
        <f>IFERROR(__xludf.DUMMYFUNCTION("GOOGLETRANSLATE(A22210, ""de"", ""en"")"),"investigate")</f>
        <v>investigate</v>
      </c>
    </row>
    <row r="22211">
      <c r="A22211" s="1" t="s">
        <v>22210</v>
      </c>
      <c r="B22211" s="2" t="str">
        <f>IFERROR(__xludf.DUMMYFUNCTION("GOOGLETRANSLATE(A22211, ""de"", ""en"")"),"kingsley")</f>
        <v>kingsley</v>
      </c>
    </row>
    <row r="22212">
      <c r="A22212" s="1" t="s">
        <v>22211</v>
      </c>
      <c r="B22212" s="2" t="str">
        <f>IFERROR(__xludf.DUMMYFUNCTION("GOOGLETRANSLATE(A22212, ""de"", ""en"")"),"Brit")</f>
        <v>Brit</v>
      </c>
    </row>
    <row r="22213">
      <c r="A22213" s="1" t="s">
        <v>22212</v>
      </c>
      <c r="B22213" s="2" t="str">
        <f>IFERROR(__xludf.DUMMYFUNCTION("GOOGLETRANSLATE(A22213, ""de"", ""en"")"),"social security number")</f>
        <v>social security number</v>
      </c>
    </row>
    <row r="22214">
      <c r="A22214" s="1" t="s">
        <v>22213</v>
      </c>
      <c r="B22214" s="2" t="str">
        <f>IFERROR(__xludf.DUMMYFUNCTION("GOOGLETRANSLATE(A22214, ""de"", ""en"")"),"inn")</f>
        <v>inn</v>
      </c>
    </row>
    <row r="22215">
      <c r="A22215" s="1" t="s">
        <v>22214</v>
      </c>
      <c r="B22215" s="2" t="str">
        <f>IFERROR(__xludf.DUMMYFUNCTION("GOOGLETRANSLATE(A22215, ""de"", ""en"")"),"dicey")</f>
        <v>dicey</v>
      </c>
    </row>
    <row r="22216">
      <c r="A22216" s="1" t="s">
        <v>22215</v>
      </c>
      <c r="B22216" s="2" t="str">
        <f>IFERROR(__xludf.DUMMYFUNCTION("GOOGLETRANSLATE(A22216, ""de"", ""en"")"),"batista")</f>
        <v>batista</v>
      </c>
    </row>
    <row r="22217">
      <c r="A22217" s="1" t="s">
        <v>22216</v>
      </c>
      <c r="B22217" s="2" t="str">
        <f>IFERROR(__xludf.DUMMYFUNCTION("GOOGLETRANSLATE(A22217, ""de"", ""en"")"),"ruin")</f>
        <v>ruin</v>
      </c>
    </row>
    <row r="22218">
      <c r="A22218" s="1" t="s">
        <v>22217</v>
      </c>
      <c r="B22218" s="2" t="str">
        <f>IFERROR(__xludf.DUMMYFUNCTION("GOOGLETRANSLATE(A22218, ""de"", ""en"")"),"squirt")</f>
        <v>squirt</v>
      </c>
    </row>
    <row r="22219">
      <c r="A22219" s="1" t="s">
        <v>22218</v>
      </c>
      <c r="B22219" s="2" t="str">
        <f>IFERROR(__xludf.DUMMYFUNCTION("GOOGLETRANSLATE(A22219, ""de"", ""en"")"),"now")</f>
        <v>now</v>
      </c>
    </row>
    <row r="22220">
      <c r="A22220" s="1" t="s">
        <v>22219</v>
      </c>
      <c r="B22220" s="2" t="str">
        <f>IFERROR(__xludf.DUMMYFUNCTION("GOOGLETRANSLATE(A22220, ""de"", ""en"")"),"legal proceedings")</f>
        <v>legal proceedings</v>
      </c>
    </row>
    <row r="22221">
      <c r="A22221" s="1" t="s">
        <v>22220</v>
      </c>
      <c r="B22221" s="2" t="str">
        <f>IFERROR(__xludf.DUMMYFUNCTION("GOOGLETRANSLATE(A22221, ""de"", ""en"")"),"received")</f>
        <v>received</v>
      </c>
    </row>
    <row r="22222">
      <c r="A22222" s="1" t="s">
        <v>22221</v>
      </c>
      <c r="B22222" s="2" t="str">
        <f>IFERROR(__xludf.DUMMYFUNCTION("GOOGLETRANSLATE(A22222, ""de"", ""en"")"),"absurd")</f>
        <v>absurd</v>
      </c>
    </row>
    <row r="22223">
      <c r="A22223" s="1" t="s">
        <v>22222</v>
      </c>
      <c r="B22223" s="2" t="str">
        <f>IFERROR(__xludf.DUMMYFUNCTION("GOOGLETRANSLATE(A22223, ""de"", ""en"")"),"love letter")</f>
        <v>love letter</v>
      </c>
    </row>
    <row r="22224">
      <c r="A22224" s="1" t="s">
        <v>22223</v>
      </c>
      <c r="B22224" s="2" t="str">
        <f>IFERROR(__xludf.DUMMYFUNCTION("GOOGLETRANSLATE(A22224, ""de"", ""en"")"),"mycroft")</f>
        <v>mycroft</v>
      </c>
    </row>
    <row r="22225">
      <c r="A22225" s="1" t="s">
        <v>22224</v>
      </c>
      <c r="B22225" s="2" t="str">
        <f>IFERROR(__xludf.DUMMYFUNCTION("GOOGLETRANSLATE(A22225, ""de"", ""en"")"),"sheep")</f>
        <v>sheep</v>
      </c>
    </row>
    <row r="22226">
      <c r="A22226" s="1" t="s">
        <v>22225</v>
      </c>
      <c r="B22226" s="2" t="str">
        <f>IFERROR(__xludf.DUMMYFUNCTION("GOOGLETRANSLATE(A22226, ""de"", ""en"")"),"vow")</f>
        <v>vow</v>
      </c>
    </row>
    <row r="22227">
      <c r="A22227" s="1" t="s">
        <v>22226</v>
      </c>
      <c r="B22227" s="2" t="str">
        <f>IFERROR(__xludf.DUMMYFUNCTION("GOOGLETRANSLATE(A22227, ""de"", ""en"")"),"oppressed")</f>
        <v>oppressed</v>
      </c>
    </row>
    <row r="22228">
      <c r="A22228" s="1" t="s">
        <v>22227</v>
      </c>
      <c r="B22228" s="2" t="str">
        <f>IFERROR(__xludf.DUMMYFUNCTION("GOOGLETRANSLATE(A22228, ""de"", ""en"")"),"measured")</f>
        <v>measured</v>
      </c>
    </row>
    <row r="22229">
      <c r="A22229" s="1" t="s">
        <v>22228</v>
      </c>
      <c r="B22229" s="2" t="str">
        <f>IFERROR(__xludf.DUMMYFUNCTION("GOOGLETRANSLATE(A22229, ""de"", ""en"")"),"gender")</f>
        <v>gender</v>
      </c>
    </row>
    <row r="22230">
      <c r="A22230" s="1" t="s">
        <v>22229</v>
      </c>
      <c r="B22230" s="2" t="str">
        <f>IFERROR(__xludf.DUMMYFUNCTION("GOOGLETRANSLATE(A22230, ""de"", ""en"")"),"grandstand")</f>
        <v>grandstand</v>
      </c>
    </row>
    <row r="22231">
      <c r="A22231" s="1" t="s">
        <v>22230</v>
      </c>
      <c r="B22231" s="2" t="str">
        <f>IFERROR(__xludf.DUMMYFUNCTION("GOOGLETRANSLATE(A22231, ""de"", ""en"")"),"distorted")</f>
        <v>distorted</v>
      </c>
    </row>
    <row r="22232">
      <c r="A22232" s="1" t="s">
        <v>22231</v>
      </c>
      <c r="B22232" s="2" t="str">
        <f>IFERROR(__xludf.DUMMYFUNCTION("GOOGLETRANSLATE(A22232, ""de"", ""en"")"),"kiosk")</f>
        <v>kiosk</v>
      </c>
    </row>
    <row r="22233">
      <c r="A22233" s="1" t="s">
        <v>22232</v>
      </c>
      <c r="B22233" s="2" t="str">
        <f>IFERROR(__xludf.DUMMYFUNCTION("GOOGLETRANSLATE(A22233, ""de"", ""en"")"),"root")</f>
        <v>root</v>
      </c>
    </row>
    <row r="22234">
      <c r="A22234" s="1" t="s">
        <v>22233</v>
      </c>
      <c r="B22234" s="2" t="str">
        <f>IFERROR(__xludf.DUMMYFUNCTION("GOOGLETRANSLATE(A22234, ""de"", ""en"")"),"energetic")</f>
        <v>energetic</v>
      </c>
    </row>
    <row r="22235">
      <c r="A22235" s="1" t="s">
        <v>22234</v>
      </c>
      <c r="B22235" s="2" t="str">
        <f>IFERROR(__xludf.DUMMYFUNCTION("GOOGLETRANSLATE(A22235, ""de"", ""en"")"),"plagued")</f>
        <v>plagued</v>
      </c>
    </row>
    <row r="22236">
      <c r="A22236" s="1" t="s">
        <v>22235</v>
      </c>
      <c r="B22236" s="2" t="str">
        <f>IFERROR(__xludf.DUMMYFUNCTION("GOOGLETRANSLATE(A22236, ""de"", ""en"")"),"row")</f>
        <v>row</v>
      </c>
    </row>
    <row r="22237">
      <c r="A22237" s="1" t="s">
        <v>22236</v>
      </c>
      <c r="B22237" s="2" t="str">
        <f>IFERROR(__xludf.DUMMYFUNCTION("GOOGLETRANSLATE(A22237, ""de"", ""en"")"),"correct")</f>
        <v>correct</v>
      </c>
    </row>
    <row r="22238">
      <c r="A22238" s="1" t="s">
        <v>22237</v>
      </c>
      <c r="B22238" s="2" t="str">
        <f>IFERROR(__xludf.DUMMYFUNCTION("GOOGLETRANSLATE(A22238, ""de"", ""en"")"),"magnets")</f>
        <v>magnets</v>
      </c>
    </row>
    <row r="22239">
      <c r="A22239" s="1" t="s">
        <v>22238</v>
      </c>
      <c r="B22239" s="2" t="str">
        <f>IFERROR(__xludf.DUMMYFUNCTION("GOOGLETRANSLATE(A22239, ""de"", ""en"")"),"got")</f>
        <v>got</v>
      </c>
    </row>
    <row r="22240">
      <c r="A22240" s="1" t="s">
        <v>22239</v>
      </c>
      <c r="B22240" s="2" t="str">
        <f>IFERROR(__xludf.DUMMYFUNCTION("GOOGLETRANSLATE(A22240, ""de"", ""en"")"),"abruptly")</f>
        <v>abruptly</v>
      </c>
    </row>
    <row r="22241">
      <c r="A22241" s="1" t="s">
        <v>22240</v>
      </c>
      <c r="B22241" s="2" t="str">
        <f>IFERROR(__xludf.DUMMYFUNCTION("GOOGLETRANSLATE(A22241, ""de"", ""en"")"),"tremendous")</f>
        <v>tremendous</v>
      </c>
    </row>
    <row r="22242">
      <c r="A22242" s="1" t="s">
        <v>22241</v>
      </c>
      <c r="B22242" s="2" t="str">
        <f>IFERROR(__xludf.DUMMYFUNCTION("GOOGLETRANSLATE(A22242, ""de"", ""en"")"),"brewer")</f>
        <v>brewer</v>
      </c>
    </row>
    <row r="22243">
      <c r="A22243" s="1" t="s">
        <v>22242</v>
      </c>
      <c r="B22243" s="2" t="str">
        <f>IFERROR(__xludf.DUMMYFUNCTION("GOOGLETRANSLATE(A22243, ""de"", ""en"")"),"radioactivity")</f>
        <v>radioactivity</v>
      </c>
    </row>
    <row r="22244">
      <c r="A22244" s="1" t="s">
        <v>22243</v>
      </c>
      <c r="B22244" s="2" t="str">
        <f>IFERROR(__xludf.DUMMYFUNCTION("GOOGLETRANSLATE(A22244, ""de"", ""en"")"),"regulation")</f>
        <v>regulation</v>
      </c>
    </row>
    <row r="22245">
      <c r="A22245" s="1" t="s">
        <v>22244</v>
      </c>
      <c r="B22245" s="2" t="str">
        <f>IFERROR(__xludf.DUMMYFUNCTION("GOOGLETRANSLATE(A22245, ""de"", ""en"")"),"Waldemar")</f>
        <v>Waldemar</v>
      </c>
    </row>
    <row r="22246">
      <c r="A22246" s="1" t="s">
        <v>22245</v>
      </c>
      <c r="B22246" s="2" t="str">
        <f>IFERROR(__xludf.DUMMYFUNCTION("GOOGLETRANSLATE(A22246, ""de"", ""en"")"),"chick")</f>
        <v>chick</v>
      </c>
    </row>
    <row r="22247">
      <c r="A22247" s="1" t="s">
        <v>22246</v>
      </c>
      <c r="B22247" s="2" t="str">
        <f>IFERROR(__xludf.DUMMYFUNCTION("GOOGLETRANSLATE(A22247, ""de"", ""en"")"),"southwest")</f>
        <v>southwest</v>
      </c>
    </row>
    <row r="22248">
      <c r="A22248" s="1" t="s">
        <v>22247</v>
      </c>
      <c r="B22248" s="2" t="str">
        <f>IFERROR(__xludf.DUMMYFUNCTION("GOOGLETRANSLATE(A22248, ""de"", ""en"")"),"consultant")</f>
        <v>consultant</v>
      </c>
    </row>
    <row r="22249">
      <c r="A22249" s="1" t="s">
        <v>22248</v>
      </c>
      <c r="B22249" s="2" t="str">
        <f>IFERROR(__xludf.DUMMYFUNCTION("GOOGLETRANSLATE(A22249, ""de"", ""en"")"),"assets")</f>
        <v>assets</v>
      </c>
    </row>
    <row r="22250">
      <c r="A22250" s="1" t="s">
        <v>22249</v>
      </c>
      <c r="B22250" s="2" t="str">
        <f>IFERROR(__xludf.DUMMYFUNCTION("GOOGLETRANSLATE(A22250, ""de"", ""en"")"),"payphone")</f>
        <v>payphone</v>
      </c>
    </row>
    <row r="22251">
      <c r="A22251" s="1" t="s">
        <v>22250</v>
      </c>
      <c r="B22251" s="2" t="str">
        <f>IFERROR(__xludf.DUMMYFUNCTION("GOOGLETRANSLATE(A22251, ""de"", ""en"")"),"guthrie")</f>
        <v>guthrie</v>
      </c>
    </row>
    <row r="22252">
      <c r="A22252" s="1" t="s">
        <v>22251</v>
      </c>
      <c r="B22252" s="2" t="str">
        <f>IFERROR(__xludf.DUMMYFUNCTION("GOOGLETRANSLATE(A22252, ""de"", ""en"")"),"broker")</f>
        <v>broker</v>
      </c>
    </row>
    <row r="22253">
      <c r="A22253" s="1" t="s">
        <v>22252</v>
      </c>
      <c r="B22253" s="2" t="str">
        <f>IFERROR(__xludf.DUMMYFUNCTION("GOOGLETRANSLATE(A22253, ""de"", ""en"")"),"transform")</f>
        <v>transform</v>
      </c>
    </row>
    <row r="22254">
      <c r="A22254" s="1" t="s">
        <v>22253</v>
      </c>
      <c r="B22254" s="2" t="str">
        <f>IFERROR(__xludf.DUMMYFUNCTION("GOOGLETRANSLATE(A22254, ""de"", ""en"")"),"weller")</f>
        <v>weller</v>
      </c>
    </row>
    <row r="22255">
      <c r="A22255" s="1" t="s">
        <v>22254</v>
      </c>
      <c r="B22255" s="2" t="str">
        <f>IFERROR(__xludf.DUMMYFUNCTION("GOOGLETRANSLATE(A22255, ""de"", ""en"")"),"sato")</f>
        <v>sato</v>
      </c>
    </row>
    <row r="22256">
      <c r="A22256" s="1" t="s">
        <v>22255</v>
      </c>
      <c r="B22256" s="2" t="str">
        <f>IFERROR(__xludf.DUMMYFUNCTION("GOOGLETRANSLATE(A22256, ""de"", ""en"")"),"chained")</f>
        <v>chained</v>
      </c>
    </row>
    <row r="22257">
      <c r="A22257" s="1" t="s">
        <v>22256</v>
      </c>
      <c r="B22257" s="2" t="str">
        <f>IFERROR(__xludf.DUMMYFUNCTION("GOOGLETRANSLATE(A22257, ""de"", ""en"")"),"lam")</f>
        <v>lam</v>
      </c>
    </row>
    <row r="22258">
      <c r="A22258" s="1" t="s">
        <v>22257</v>
      </c>
      <c r="B22258" s="2" t="str">
        <f>IFERROR(__xludf.DUMMYFUNCTION("GOOGLETRANSLATE(A22258, ""de"", ""en"")"),"incompetence")</f>
        <v>incompetence</v>
      </c>
    </row>
    <row r="22259">
      <c r="A22259" s="1" t="s">
        <v>22258</v>
      </c>
      <c r="B22259" s="2" t="str">
        <f>IFERROR(__xludf.DUMMYFUNCTION("GOOGLETRANSLATE(A22259, ""de"", ""en"")"),"escaped")</f>
        <v>escaped</v>
      </c>
    </row>
    <row r="22260">
      <c r="A22260" s="1" t="s">
        <v>22259</v>
      </c>
      <c r="B22260" s="2" t="str">
        <f>IFERROR(__xludf.DUMMYFUNCTION("GOOGLETRANSLATE(A22260, ""de"", ""en"")"),"applied")</f>
        <v>applied</v>
      </c>
    </row>
    <row r="22261">
      <c r="A22261" s="1" t="s">
        <v>22260</v>
      </c>
      <c r="B22261" s="2" t="str">
        <f>IFERROR(__xludf.DUMMYFUNCTION("GOOGLETRANSLATE(A22261, ""de"", ""en"")"),"Bern")</f>
        <v>Bern</v>
      </c>
    </row>
    <row r="22262">
      <c r="A22262" s="1" t="s">
        <v>22261</v>
      </c>
      <c r="B22262" s="2" t="str">
        <f>IFERROR(__xludf.DUMMYFUNCTION("GOOGLETRANSLATE(A22262, ""de"", ""en"")"),"reported")</f>
        <v>reported</v>
      </c>
    </row>
    <row r="22263">
      <c r="A22263" s="1" t="s">
        <v>22262</v>
      </c>
      <c r="B22263" s="2" t="str">
        <f>IFERROR(__xludf.DUMMYFUNCTION("GOOGLETRANSLATE(A22263, ""de"", ""en"")"),"aviv")</f>
        <v>aviv</v>
      </c>
    </row>
    <row r="22264">
      <c r="A22264" s="1" t="s">
        <v>22263</v>
      </c>
      <c r="B22264" s="2" t="str">
        <f>IFERROR(__xludf.DUMMYFUNCTION("GOOGLETRANSLATE(A22264, ""de"", ""en"")"),"glows")</f>
        <v>glows</v>
      </c>
    </row>
    <row r="22265">
      <c r="A22265" s="1" t="s">
        <v>22264</v>
      </c>
      <c r="B22265" s="2" t="str">
        <f>IFERROR(__xludf.DUMMYFUNCTION("GOOGLETRANSLATE(A22265, ""de"", ""en"")"),"fled")</f>
        <v>fled</v>
      </c>
    </row>
    <row r="22266">
      <c r="A22266" s="1" t="s">
        <v>22265</v>
      </c>
      <c r="B22266" s="2" t="str">
        <f>IFERROR(__xludf.DUMMYFUNCTION("GOOGLETRANSLATE(A22266, ""de"", ""en"")"),"security service")</f>
        <v>security service</v>
      </c>
    </row>
    <row r="22267">
      <c r="A22267" s="1" t="s">
        <v>22266</v>
      </c>
      <c r="B22267" s="2" t="str">
        <f>IFERROR(__xludf.DUMMYFUNCTION("GOOGLETRANSLATE(A22267, ""de"", ""en"")"),"shooting range")</f>
        <v>shooting range</v>
      </c>
    </row>
    <row r="22268">
      <c r="A22268" s="1" t="s">
        <v>22267</v>
      </c>
      <c r="B22268" s="2" t="str">
        <f>IFERROR(__xludf.DUMMYFUNCTION("GOOGLETRANSLATE(A22268, ""de"", ""en"")"),"intestines")</f>
        <v>intestines</v>
      </c>
    </row>
    <row r="22269">
      <c r="A22269" s="1" t="s">
        <v>22268</v>
      </c>
      <c r="B22269" s="2" t="str">
        <f>IFERROR(__xludf.DUMMYFUNCTION("GOOGLETRANSLATE(A22269, ""de"", ""en"")"),"creative")</f>
        <v>creative</v>
      </c>
    </row>
    <row r="22270">
      <c r="A22270" s="1" t="s">
        <v>22269</v>
      </c>
      <c r="B22270" s="2" t="str">
        <f>IFERROR(__xludf.DUMMYFUNCTION("GOOGLETRANSLATE(A22270, ""de"", ""en"")"),"Leia")</f>
        <v>Leia</v>
      </c>
    </row>
    <row r="22271">
      <c r="A22271" s="1" t="s">
        <v>22270</v>
      </c>
      <c r="B22271" s="2" t="str">
        <f>IFERROR(__xludf.DUMMYFUNCTION("GOOGLETRANSLATE(A22271, ""de"", ""en"")"),"shake")</f>
        <v>shake</v>
      </c>
    </row>
    <row r="22272">
      <c r="A22272" s="1" t="s">
        <v>22271</v>
      </c>
      <c r="B22272" s="2" t="str">
        <f>IFERROR(__xludf.DUMMYFUNCTION("GOOGLETRANSLATE(A22272, ""de"", ""en"")"),"hedge")</f>
        <v>hedge</v>
      </c>
    </row>
    <row r="22273">
      <c r="A22273" s="1" t="s">
        <v>22272</v>
      </c>
      <c r="B22273" s="2" t="str">
        <f>IFERROR(__xludf.DUMMYFUNCTION("GOOGLETRANSLATE(A22273, ""de"", ""en"")"),"max")</f>
        <v>max</v>
      </c>
    </row>
    <row r="22274">
      <c r="A22274" s="1" t="s">
        <v>22273</v>
      </c>
      <c r="B22274" s="2" t="str">
        <f>IFERROR(__xludf.DUMMYFUNCTION("GOOGLETRANSLATE(A22274, ""de"", ""en"")"),"London")</f>
        <v>London</v>
      </c>
    </row>
    <row r="22275">
      <c r="A22275" s="1" t="s">
        <v>22274</v>
      </c>
      <c r="B22275" s="2" t="str">
        <f>IFERROR(__xludf.DUMMYFUNCTION("GOOGLETRANSLATE(A22275, ""de"", ""en"")"),"vineyard")</f>
        <v>vineyard</v>
      </c>
    </row>
    <row r="22276">
      <c r="A22276" s="1" t="s">
        <v>22275</v>
      </c>
      <c r="B22276" s="2" t="str">
        <f>IFERROR(__xludf.DUMMYFUNCTION("GOOGLETRANSLATE(A22276, ""de"", ""en"")"),"fitness")</f>
        <v>fitness</v>
      </c>
    </row>
    <row r="22277">
      <c r="A22277" s="1" t="s">
        <v>22276</v>
      </c>
      <c r="B22277" s="2" t="str">
        <f>IFERROR(__xludf.DUMMYFUNCTION("GOOGLETRANSLATE(A22277, ""de"", ""en"")"),"Cinderella")</f>
        <v>Cinderella</v>
      </c>
    </row>
    <row r="22278">
      <c r="A22278" s="1" t="s">
        <v>22277</v>
      </c>
      <c r="B22278" s="2" t="str">
        <f>IFERROR(__xludf.DUMMYFUNCTION("GOOGLETRANSLATE(A22278, ""de"", ""en"")"),"void")</f>
        <v>void</v>
      </c>
    </row>
    <row r="22279">
      <c r="A22279" s="1" t="s">
        <v>22278</v>
      </c>
      <c r="B22279" s="2" t="str">
        <f>IFERROR(__xludf.DUMMYFUNCTION("GOOGLETRANSLATE(A22279, ""de"", ""en"")"),"warhead")</f>
        <v>warhead</v>
      </c>
    </row>
    <row r="22280">
      <c r="A22280" s="1" t="s">
        <v>22279</v>
      </c>
      <c r="B22280" s="2" t="str">
        <f>IFERROR(__xludf.DUMMYFUNCTION("GOOGLETRANSLATE(A22280, ""de"", ""en"")"),"more sensitive")</f>
        <v>more sensitive</v>
      </c>
    </row>
    <row r="22281">
      <c r="A22281" s="1" t="s">
        <v>22280</v>
      </c>
      <c r="B22281" s="2" t="str">
        <f>IFERROR(__xludf.DUMMYFUNCTION("GOOGLETRANSLATE(A22281, ""de"", ""en"")"),"report")</f>
        <v>report</v>
      </c>
    </row>
    <row r="22282">
      <c r="A22282" s="1" t="s">
        <v>22281</v>
      </c>
      <c r="B22282" s="2" t="str">
        <f>IFERROR(__xludf.DUMMYFUNCTION("GOOGLETRANSLATE(A22282, ""de"", ""en"")"),"chop off")</f>
        <v>chop off</v>
      </c>
    </row>
    <row r="22283">
      <c r="A22283" s="1" t="s">
        <v>22282</v>
      </c>
      <c r="B22283" s="2" t="str">
        <f>IFERROR(__xludf.DUMMYFUNCTION("GOOGLETRANSLATE(A22283, ""de"", ""en"")"),"blood cells")</f>
        <v>blood cells</v>
      </c>
    </row>
    <row r="22284">
      <c r="A22284" s="1" t="s">
        <v>22283</v>
      </c>
      <c r="B22284" s="2" t="str">
        <f>IFERROR(__xludf.DUMMYFUNCTION("GOOGLETRANSLATE(A22284, ""de"", ""en"")"),"reproduction")</f>
        <v>reproduction</v>
      </c>
    </row>
    <row r="22285">
      <c r="A22285" s="1" t="s">
        <v>22284</v>
      </c>
      <c r="B22285" s="2" t="str">
        <f>IFERROR(__xludf.DUMMYFUNCTION("GOOGLETRANSLATE(A22285, ""de"", ""en"")"),"casinos")</f>
        <v>casinos</v>
      </c>
    </row>
    <row r="22286">
      <c r="A22286" s="1" t="s">
        <v>22285</v>
      </c>
      <c r="B22286" s="2" t="str">
        <f>IFERROR(__xludf.DUMMYFUNCTION("GOOGLETRANSLATE(A22286, ""de"", ""en"")"),"nnen")</f>
        <v>nnen</v>
      </c>
    </row>
    <row r="22287">
      <c r="A22287" s="1" t="s">
        <v>22286</v>
      </c>
      <c r="B22287" s="2" t="str">
        <f>IFERROR(__xludf.DUMMYFUNCTION("GOOGLETRANSLATE(A22287, ""de"", ""en"")"),"interrogation room")</f>
        <v>interrogation room</v>
      </c>
    </row>
    <row r="22288">
      <c r="A22288" s="1" t="s">
        <v>22287</v>
      </c>
      <c r="B22288" s="2" t="str">
        <f>IFERROR(__xludf.DUMMYFUNCTION("GOOGLETRANSLATE(A22288, ""de"", ""en"")"),"respectively")</f>
        <v>respectively</v>
      </c>
    </row>
    <row r="22289">
      <c r="A22289" s="1" t="s">
        <v>22288</v>
      </c>
      <c r="B22289" s="2" t="str">
        <f>IFERROR(__xludf.DUMMYFUNCTION("GOOGLETRANSLATE(A22289, ""de"", ""en"")"),"bobby's")</f>
        <v>bobby's</v>
      </c>
    </row>
    <row r="22290">
      <c r="A22290" s="1" t="s">
        <v>22289</v>
      </c>
      <c r="B22290" s="2" t="str">
        <f>IFERROR(__xludf.DUMMYFUNCTION("GOOGLETRANSLATE(A22290, ""de"", ""en"")"),"sunny")</f>
        <v>sunny</v>
      </c>
    </row>
    <row r="22291">
      <c r="A22291" s="1" t="s">
        <v>22290</v>
      </c>
      <c r="B22291" s="2" t="str">
        <f>IFERROR(__xludf.DUMMYFUNCTION("GOOGLETRANSLATE(A22291, ""de"", ""en"")"),"bali")</f>
        <v>bali</v>
      </c>
    </row>
    <row r="22292">
      <c r="A22292" s="1" t="s">
        <v>22291</v>
      </c>
      <c r="B22292" s="2" t="str">
        <f>IFERROR(__xludf.DUMMYFUNCTION("GOOGLETRANSLATE(A22292, ""de"", ""en"")"),"return trip")</f>
        <v>return trip</v>
      </c>
    </row>
    <row r="22293">
      <c r="A22293" s="1" t="s">
        <v>22292</v>
      </c>
      <c r="B22293" s="2" t="str">
        <f>IFERROR(__xludf.DUMMYFUNCTION("GOOGLETRANSLATE(A22293, ""de"", ""en"")"),"castle")</f>
        <v>castle</v>
      </c>
    </row>
    <row r="22294">
      <c r="A22294" s="1" t="s">
        <v>22293</v>
      </c>
      <c r="B22294" s="2" t="str">
        <f>IFERROR(__xludf.DUMMYFUNCTION("GOOGLETRANSLATE(A22294, ""de"", ""en"")"),"lived through")</f>
        <v>lived through</v>
      </c>
    </row>
    <row r="22295">
      <c r="A22295" s="1" t="s">
        <v>22294</v>
      </c>
      <c r="B22295" s="2" t="str">
        <f>IFERROR(__xludf.DUMMYFUNCTION("GOOGLETRANSLATE(A22295, ""de"", ""en"")"),"harker")</f>
        <v>harker</v>
      </c>
    </row>
    <row r="22296">
      <c r="A22296" s="1" t="s">
        <v>22295</v>
      </c>
      <c r="B22296" s="2" t="str">
        <f>IFERROR(__xludf.DUMMYFUNCTION("GOOGLETRANSLATE(A22296, ""de"", ""en"")"),"go to sleep")</f>
        <v>go to sleep</v>
      </c>
    </row>
    <row r="22297">
      <c r="A22297" s="1" t="s">
        <v>22296</v>
      </c>
      <c r="B22297" s="2" t="str">
        <f>IFERROR(__xludf.DUMMYFUNCTION("GOOGLETRANSLATE(A22297, ""de"", ""en"")"),"whitehall")</f>
        <v>whitehall</v>
      </c>
    </row>
    <row r="22298">
      <c r="A22298" s="1" t="s">
        <v>22297</v>
      </c>
      <c r="B22298" s="2" t="str">
        <f>IFERROR(__xludf.DUMMYFUNCTION("GOOGLETRANSLATE(A22298, ""de"", ""en"")"),"broken")</f>
        <v>broken</v>
      </c>
    </row>
    <row r="22299">
      <c r="A22299" s="1" t="s">
        <v>22298</v>
      </c>
      <c r="B22299" s="2" t="str">
        <f>IFERROR(__xludf.DUMMYFUNCTION("GOOGLETRANSLATE(A22299, ""de"", ""en"")"),"pond")</f>
        <v>pond</v>
      </c>
    </row>
    <row r="22300">
      <c r="A22300" s="1" t="s">
        <v>22299</v>
      </c>
      <c r="B22300" s="2" t="str">
        <f>IFERROR(__xludf.DUMMYFUNCTION("GOOGLETRANSLATE(A22300, ""de"", ""en"")"),"moo")</f>
        <v>moo</v>
      </c>
    </row>
    <row r="22301">
      <c r="A22301" s="1" t="s">
        <v>22300</v>
      </c>
      <c r="B22301" s="2" t="str">
        <f>IFERROR(__xludf.DUMMYFUNCTION("GOOGLETRANSLATE(A22301, ""de"", ""en"")"),"activation")</f>
        <v>activation</v>
      </c>
    </row>
    <row r="22302">
      <c r="A22302" s="1" t="s">
        <v>22301</v>
      </c>
      <c r="B22302" s="2" t="str">
        <f>IFERROR(__xludf.DUMMYFUNCTION("GOOGLETRANSLATE(A22302, ""de"", ""en"")"),"competition")</f>
        <v>competition</v>
      </c>
    </row>
    <row r="22303">
      <c r="A22303" s="1" t="s">
        <v>22302</v>
      </c>
      <c r="B22303" s="2" t="str">
        <f>IFERROR(__xludf.DUMMYFUNCTION("GOOGLETRANSLATE(A22303, ""de"", ""en"")"),"worked out")</f>
        <v>worked out</v>
      </c>
    </row>
    <row r="22304">
      <c r="A22304" s="1" t="s">
        <v>22303</v>
      </c>
      <c r="B22304" s="2" t="str">
        <f>IFERROR(__xludf.DUMMYFUNCTION("GOOGLETRANSLATE(A22304, ""de"", ""en"")"),"weather")</f>
        <v>weather</v>
      </c>
    </row>
    <row r="22305">
      <c r="A22305" s="1" t="s">
        <v>22304</v>
      </c>
      <c r="B22305" s="2" t="str">
        <f>IFERROR(__xludf.DUMMYFUNCTION("GOOGLETRANSLATE(A22305, ""de"", ""en"")"),"move forward")</f>
        <v>move forward</v>
      </c>
    </row>
    <row r="22306">
      <c r="A22306" s="1" t="s">
        <v>22305</v>
      </c>
      <c r="B22306" s="2" t="str">
        <f>IFERROR(__xludf.DUMMYFUNCTION("GOOGLETRANSLATE(A22306, ""de"", ""en"")"),"deadline")</f>
        <v>deadline</v>
      </c>
    </row>
    <row r="22307">
      <c r="A22307" s="1" t="s">
        <v>22306</v>
      </c>
      <c r="B22307" s="2" t="str">
        <f>IFERROR(__xludf.DUMMYFUNCTION("GOOGLETRANSLATE(A22307, ""de"", ""en"")"),"find")</f>
        <v>find</v>
      </c>
    </row>
    <row r="22308">
      <c r="A22308" s="1" t="s">
        <v>22307</v>
      </c>
      <c r="B22308" s="2" t="str">
        <f>IFERROR(__xludf.DUMMYFUNCTION("GOOGLETRANSLATE(A22308, ""de"", ""en"")"),"cornelia")</f>
        <v>cornelia</v>
      </c>
    </row>
    <row r="22309">
      <c r="A22309" s="1" t="s">
        <v>22308</v>
      </c>
      <c r="B22309" s="2" t="str">
        <f>IFERROR(__xludf.DUMMYFUNCTION("GOOGLETRANSLATE(A22309, ""de"", ""en"")"),"clean up")</f>
        <v>clean up</v>
      </c>
    </row>
    <row r="22310">
      <c r="A22310" s="1" t="s">
        <v>22309</v>
      </c>
      <c r="B22310" s="2" t="str">
        <f>IFERROR(__xludf.DUMMYFUNCTION("GOOGLETRANSLATE(A22310, ""de"", ""en"")"),"laying")</f>
        <v>laying</v>
      </c>
    </row>
    <row r="22311">
      <c r="A22311" s="1" t="s">
        <v>22310</v>
      </c>
      <c r="B22311" s="2" t="str">
        <f>IFERROR(__xludf.DUMMYFUNCTION("GOOGLETRANSLATE(A22311, ""de"", ""en"")"),"fortune teller")</f>
        <v>fortune teller</v>
      </c>
    </row>
    <row r="22312">
      <c r="A22312" s="1" t="s">
        <v>22311</v>
      </c>
      <c r="B22312" s="2" t="str">
        <f>IFERROR(__xludf.DUMMYFUNCTION("GOOGLETRANSLATE(A22312, ""de"", ""en"")"),"gwendolyn")</f>
        <v>gwendolyn</v>
      </c>
    </row>
    <row r="22313">
      <c r="A22313" s="1" t="s">
        <v>22312</v>
      </c>
      <c r="B22313" s="2" t="str">
        <f>IFERROR(__xludf.DUMMYFUNCTION("GOOGLETRANSLATE(A22313, ""de"", ""en"")"),"naughty")</f>
        <v>naughty</v>
      </c>
    </row>
    <row r="22314">
      <c r="A22314" s="1" t="s">
        <v>22313</v>
      </c>
      <c r="B22314" s="2" t="str">
        <f>IFERROR(__xludf.DUMMYFUNCTION("GOOGLETRANSLATE(A22314, ""de"", ""en"")"),"place of birth")</f>
        <v>place of birth</v>
      </c>
    </row>
    <row r="22315">
      <c r="A22315" s="1" t="s">
        <v>22314</v>
      </c>
      <c r="B22315" s="2" t="str">
        <f>IFERROR(__xludf.DUMMYFUNCTION("GOOGLETRANSLATE(A22315, ""de"", ""en"")"),"immediate")</f>
        <v>immediate</v>
      </c>
    </row>
    <row r="22316">
      <c r="A22316" s="1" t="s">
        <v>22315</v>
      </c>
      <c r="B22316" s="2" t="str">
        <f>IFERROR(__xludf.DUMMYFUNCTION("GOOGLETRANSLATE(A22316, ""de"", ""en"")"),"chatterbox")</f>
        <v>chatterbox</v>
      </c>
    </row>
    <row r="22317">
      <c r="A22317" s="1" t="s">
        <v>22316</v>
      </c>
      <c r="B22317" s="2" t="str">
        <f>IFERROR(__xludf.DUMMYFUNCTION("GOOGLETRANSLATE(A22317, ""de"", ""en"")"),"leader")</f>
        <v>leader</v>
      </c>
    </row>
    <row r="22318">
      <c r="A22318" s="1" t="s">
        <v>22317</v>
      </c>
      <c r="B22318" s="2" t="str">
        <f>IFERROR(__xludf.DUMMYFUNCTION("GOOGLETRANSLATE(A22318, ""de"", ""en"")"),"kings")</f>
        <v>kings</v>
      </c>
    </row>
    <row r="22319">
      <c r="A22319" s="1" t="s">
        <v>22318</v>
      </c>
      <c r="B22319" s="2" t="str">
        <f>IFERROR(__xludf.DUMMYFUNCTION("GOOGLETRANSLATE(A22319, ""de"", ""en"")"),"knew")</f>
        <v>knew</v>
      </c>
    </row>
    <row r="22320">
      <c r="A22320" s="1" t="s">
        <v>22319</v>
      </c>
      <c r="B22320" s="2" t="str">
        <f>IFERROR(__xludf.DUMMYFUNCTION("GOOGLETRANSLATE(A22320, ""de"", ""en"")"),"alone")</f>
        <v>alone</v>
      </c>
    </row>
    <row r="22321">
      <c r="A22321" s="1" t="s">
        <v>22320</v>
      </c>
      <c r="B22321" s="2" t="str">
        <f>IFERROR(__xludf.DUMMYFUNCTION("GOOGLETRANSLATE(A22321, ""de"", ""en"")"),"phenomenal")</f>
        <v>phenomenal</v>
      </c>
    </row>
    <row r="22322">
      <c r="A22322" s="1" t="s">
        <v>22321</v>
      </c>
      <c r="B22322" s="2" t="str">
        <f>IFERROR(__xludf.DUMMYFUNCTION("GOOGLETRANSLATE(A22322, ""de"", ""en"")"),"keeler")</f>
        <v>keeler</v>
      </c>
    </row>
    <row r="22323">
      <c r="A22323" s="1" t="s">
        <v>22322</v>
      </c>
      <c r="B22323" s="2" t="str">
        <f>IFERROR(__xludf.DUMMYFUNCTION("GOOGLETRANSLATE(A22323, ""de"", ""en"")"),"ti")</f>
        <v>ti</v>
      </c>
    </row>
    <row r="22324">
      <c r="A22324" s="1" t="s">
        <v>22323</v>
      </c>
      <c r="B22324" s="2" t="str">
        <f>IFERROR(__xludf.DUMMYFUNCTION("GOOGLETRANSLATE(A22324, ""de"", ""en"")"),"medical record")</f>
        <v>medical record</v>
      </c>
    </row>
    <row r="22325">
      <c r="A22325" s="1" t="s">
        <v>22324</v>
      </c>
      <c r="B22325" s="2" t="str">
        <f>IFERROR(__xludf.DUMMYFUNCTION("GOOGLETRANSLATE(A22325, ""de"", ""en"")"),"dobey")</f>
        <v>dobey</v>
      </c>
    </row>
    <row r="22326">
      <c r="A22326" s="1" t="s">
        <v>22325</v>
      </c>
      <c r="B22326" s="2" t="str">
        <f>IFERROR(__xludf.DUMMYFUNCTION("GOOGLETRANSLATE(A22326, ""de"", ""en"")"),"swift")</f>
        <v>swift</v>
      </c>
    </row>
    <row r="22327">
      <c r="A22327" s="1" t="s">
        <v>22326</v>
      </c>
      <c r="B22327" s="2" t="str">
        <f>IFERROR(__xludf.DUMMYFUNCTION("GOOGLETRANSLATE(A22327, ""de"", ""en"")"),"45s")</f>
        <v>45s</v>
      </c>
    </row>
    <row r="22328">
      <c r="A22328" s="1" t="s">
        <v>22327</v>
      </c>
      <c r="B22328" s="2" t="str">
        <f>IFERROR(__xludf.DUMMYFUNCTION("GOOGLETRANSLATE(A22328, ""de"", ""en"")"),"puzzle")</f>
        <v>puzzle</v>
      </c>
    </row>
    <row r="22329">
      <c r="A22329" s="1" t="s">
        <v>22328</v>
      </c>
      <c r="B22329" s="2" t="str">
        <f>IFERROR(__xludf.DUMMYFUNCTION("GOOGLETRANSLATE(A22329, ""de"", ""en"")"),"winner")</f>
        <v>winner</v>
      </c>
    </row>
    <row r="22330">
      <c r="A22330" s="1" t="s">
        <v>22329</v>
      </c>
      <c r="B22330" s="2" t="str">
        <f>IFERROR(__xludf.DUMMYFUNCTION("GOOGLETRANSLATE(A22330, ""de"", ""en"")"),"wrought")</f>
        <v>wrought</v>
      </c>
    </row>
    <row r="22331">
      <c r="A22331" s="1" t="s">
        <v>22330</v>
      </c>
      <c r="B22331" s="2" t="str">
        <f>IFERROR(__xludf.DUMMYFUNCTION("GOOGLETRANSLATE(A22331, ""de"", ""en"")"),"seal")</f>
        <v>seal</v>
      </c>
    </row>
    <row r="22332">
      <c r="A22332" s="1" t="s">
        <v>22331</v>
      </c>
      <c r="B22332" s="2" t="str">
        <f>IFERROR(__xludf.DUMMYFUNCTION("GOOGLETRANSLATE(A22332, ""de"", ""en"")"),"slipped")</f>
        <v>slipped</v>
      </c>
    </row>
    <row r="22333">
      <c r="A22333" s="1" t="s">
        <v>22332</v>
      </c>
      <c r="B22333" s="2" t="str">
        <f>IFERROR(__xludf.DUMMYFUNCTION("GOOGLETRANSLATE(A22333, ""de"", ""en"")"),"systematically")</f>
        <v>systematically</v>
      </c>
    </row>
    <row r="22334">
      <c r="A22334" s="1" t="s">
        <v>22333</v>
      </c>
      <c r="B22334" s="2" t="str">
        <f>IFERROR(__xludf.DUMMYFUNCTION("GOOGLETRANSLATE(A22334, ""de"", ""en"")"),"descend")</f>
        <v>descend</v>
      </c>
    </row>
    <row r="22335">
      <c r="A22335" s="1" t="s">
        <v>22334</v>
      </c>
      <c r="B22335" s="2" t="str">
        <f>IFERROR(__xludf.DUMMYFUNCTION("GOOGLETRANSLATE(A22335, ""de"", ""en"")"),"to catch up")</f>
        <v>to catch up</v>
      </c>
    </row>
    <row r="22336">
      <c r="A22336" s="1" t="s">
        <v>22335</v>
      </c>
      <c r="B22336" s="2" t="str">
        <f>IFERROR(__xludf.DUMMYFUNCTION("GOOGLETRANSLATE(A22336, ""de"", ""en"")"),"xiao")</f>
        <v>xiao</v>
      </c>
    </row>
    <row r="22337">
      <c r="A22337" s="1" t="s">
        <v>22336</v>
      </c>
      <c r="B22337" s="2" t="str">
        <f>IFERROR(__xludf.DUMMYFUNCTION("GOOGLETRANSLATE(A22337, ""de"", ""en"")"),"lexington")</f>
        <v>lexington</v>
      </c>
    </row>
    <row r="22338">
      <c r="A22338" s="1" t="s">
        <v>22337</v>
      </c>
      <c r="B22338" s="2" t="str">
        <f>IFERROR(__xludf.DUMMYFUNCTION("GOOGLETRANSLATE(A22338, ""de"", ""en"")"),"joke character")</f>
        <v>joke character</v>
      </c>
    </row>
    <row r="22339">
      <c r="A22339" s="1" t="s">
        <v>22338</v>
      </c>
      <c r="B22339" s="2" t="str">
        <f>IFERROR(__xludf.DUMMYFUNCTION("GOOGLETRANSLATE(A22339, ""de"", ""en"")"),"put to sleep")</f>
        <v>put to sleep</v>
      </c>
    </row>
    <row r="22340">
      <c r="A22340" s="1" t="s">
        <v>22339</v>
      </c>
      <c r="B22340" s="2" t="str">
        <f>IFERROR(__xludf.DUMMYFUNCTION("GOOGLETRANSLATE(A22340, ""de"", ""en"")"),"discuss")</f>
        <v>discuss</v>
      </c>
    </row>
    <row r="22341">
      <c r="A22341" s="1" t="s">
        <v>22340</v>
      </c>
      <c r="B22341" s="2" t="str">
        <f>IFERROR(__xludf.DUMMYFUNCTION("GOOGLETRANSLATE(A22341, ""de"", ""en"")"),"exposed")</f>
        <v>exposed</v>
      </c>
    </row>
    <row r="22342">
      <c r="A22342" s="1" t="s">
        <v>22341</v>
      </c>
      <c r="B22342" s="2" t="str">
        <f>IFERROR(__xludf.DUMMYFUNCTION("GOOGLETRANSLATE(A22342, ""de"", ""en"")"),"pigsty")</f>
        <v>pigsty</v>
      </c>
    </row>
    <row r="22343">
      <c r="A22343" s="1" t="s">
        <v>22342</v>
      </c>
      <c r="B22343" s="2" t="str">
        <f>IFERROR(__xludf.DUMMYFUNCTION("GOOGLETRANSLATE(A22343, ""de"", ""en"")"),"auctioned")</f>
        <v>auctioned</v>
      </c>
    </row>
    <row r="22344">
      <c r="A22344" s="1" t="s">
        <v>22343</v>
      </c>
      <c r="B22344" s="2" t="str">
        <f>IFERROR(__xludf.DUMMYFUNCTION("GOOGLETRANSLATE(A22344, ""de"", ""en"")"),"tampa")</f>
        <v>tampa</v>
      </c>
    </row>
    <row r="22345">
      <c r="A22345" s="1" t="s">
        <v>22344</v>
      </c>
      <c r="B22345" s="2" t="str">
        <f>IFERROR(__xludf.DUMMYFUNCTION("GOOGLETRANSLATE(A22345, ""de"", ""en"")"),"scale")</f>
        <v>scale</v>
      </c>
    </row>
    <row r="22346">
      <c r="A22346" s="1" t="s">
        <v>22345</v>
      </c>
      <c r="B22346" s="2" t="str">
        <f>IFERROR(__xludf.DUMMYFUNCTION("GOOGLETRANSLATE(A22346, ""de"", ""en"")"),"deceased")</f>
        <v>deceased</v>
      </c>
    </row>
    <row r="22347">
      <c r="A22347" s="1" t="s">
        <v>22346</v>
      </c>
      <c r="B22347" s="2" t="str">
        <f>IFERROR(__xludf.DUMMYFUNCTION("GOOGLETRANSLATE(A22347, ""de"", ""en"")"),"workforce")</f>
        <v>workforce</v>
      </c>
    </row>
    <row r="22348">
      <c r="A22348" s="1" t="s">
        <v>22347</v>
      </c>
      <c r="B22348" s="2" t="str">
        <f>IFERROR(__xludf.DUMMYFUNCTION("GOOGLETRANSLATE(A22348, ""de"", ""en"")"),"finley")</f>
        <v>finley</v>
      </c>
    </row>
    <row r="22349">
      <c r="A22349" s="1" t="s">
        <v>22348</v>
      </c>
      <c r="B22349" s="2" t="str">
        <f>IFERROR(__xludf.DUMMYFUNCTION("GOOGLETRANSLATE(A22349, ""de"", ""en"")"),"argo")</f>
        <v>argo</v>
      </c>
    </row>
    <row r="22350">
      <c r="A22350" s="1" t="s">
        <v>22349</v>
      </c>
      <c r="B22350" s="2" t="str">
        <f>IFERROR(__xludf.DUMMYFUNCTION("GOOGLETRANSLATE(A22350, ""de"", ""en"")"),"sunnydale")</f>
        <v>sunnydale</v>
      </c>
    </row>
    <row r="22351">
      <c r="A22351" s="1" t="s">
        <v>22350</v>
      </c>
      <c r="B22351" s="2" t="str">
        <f>IFERROR(__xludf.DUMMYFUNCTION("GOOGLETRANSLATE(A22351, ""de"", ""en"")"),"horrible ones")</f>
        <v>horrible ones</v>
      </c>
    </row>
    <row r="22352">
      <c r="A22352" s="1" t="s">
        <v>22351</v>
      </c>
      <c r="B22352" s="2" t="str">
        <f>IFERROR(__xludf.DUMMYFUNCTION("GOOGLETRANSLATE(A22352, ""de"", ""en"")"),"charade")</f>
        <v>charade</v>
      </c>
    </row>
    <row r="22353">
      <c r="A22353" s="1" t="s">
        <v>22352</v>
      </c>
      <c r="B22353" s="2" t="str">
        <f>IFERROR(__xludf.DUMMYFUNCTION("GOOGLETRANSLATE(A22353, ""de"", ""en"")"),"carr")</f>
        <v>carr</v>
      </c>
    </row>
    <row r="22354">
      <c r="A22354" s="1" t="s">
        <v>22353</v>
      </c>
      <c r="B22354" s="2" t="str">
        <f>IFERROR(__xludf.DUMMYFUNCTION("GOOGLETRANSLATE(A22354, ""de"", ""en"")"),"to cut off")</f>
        <v>to cut off</v>
      </c>
    </row>
    <row r="22355">
      <c r="A22355" s="1" t="s">
        <v>22354</v>
      </c>
      <c r="B22355" s="2" t="str">
        <f>IFERROR(__xludf.DUMMYFUNCTION("GOOGLETRANSLATE(A22355, ""de"", ""en"")"),"brought down")</f>
        <v>brought down</v>
      </c>
    </row>
    <row r="22356">
      <c r="A22356" s="1" t="s">
        <v>22355</v>
      </c>
      <c r="B22356" s="2" t="str">
        <f>IFERROR(__xludf.DUMMYFUNCTION("GOOGLETRANSLATE(A22356, ""de"", ""en"")"),"body temperature")</f>
        <v>body temperature</v>
      </c>
    </row>
    <row r="22357">
      <c r="A22357" s="1" t="s">
        <v>22356</v>
      </c>
      <c r="B22357" s="2" t="str">
        <f>IFERROR(__xludf.DUMMYFUNCTION("GOOGLETRANSLATE(A22357, ""de"", ""en"")"),"concentrated")</f>
        <v>concentrated</v>
      </c>
    </row>
    <row r="22358">
      <c r="A22358" s="1" t="s">
        <v>22357</v>
      </c>
      <c r="B22358" s="2" t="str">
        <f>IFERROR(__xludf.DUMMYFUNCTION("GOOGLETRANSLATE(A22358, ""de"", ""en"")"),"leif")</f>
        <v>leif</v>
      </c>
    </row>
    <row r="22359">
      <c r="A22359" s="1" t="s">
        <v>22358</v>
      </c>
      <c r="B22359" s="2" t="str">
        <f>IFERROR(__xludf.DUMMYFUNCTION("GOOGLETRANSLATE(A22359, ""de"", ""en"")"),"drenton")</f>
        <v>drenton</v>
      </c>
    </row>
    <row r="22360">
      <c r="A22360" s="1" t="s">
        <v>22359</v>
      </c>
      <c r="B22360" s="2" t="str">
        <f>IFERROR(__xludf.DUMMYFUNCTION("GOOGLETRANSLATE(A22360, ""de"", ""en"")"),"privately owned")</f>
        <v>privately owned</v>
      </c>
    </row>
    <row r="22361">
      <c r="A22361" s="1" t="s">
        <v>22360</v>
      </c>
      <c r="B22361" s="2" t="str">
        <f>IFERROR(__xludf.DUMMYFUNCTION("GOOGLETRANSLATE(A22361, ""de"", ""en"")"),"totem")</f>
        <v>totem</v>
      </c>
    </row>
    <row r="22362">
      <c r="A22362" s="1" t="s">
        <v>22361</v>
      </c>
      <c r="B22362" s="2" t="str">
        <f>IFERROR(__xludf.DUMMYFUNCTION("GOOGLETRANSLATE(A22362, ""de"", ""en"")"),"understatement")</f>
        <v>understatement</v>
      </c>
    </row>
    <row r="22363">
      <c r="A22363" s="1" t="s">
        <v>22362</v>
      </c>
      <c r="B22363" s="2" t="str">
        <f>IFERROR(__xludf.DUMMYFUNCTION("GOOGLETRANSLATE(A22363, ""de"", ""en"")"),"belongs to it")</f>
        <v>belongs to it</v>
      </c>
    </row>
    <row r="22364">
      <c r="A22364" s="1" t="s">
        <v>22363</v>
      </c>
      <c r="B22364" s="2" t="str">
        <f>IFERROR(__xludf.DUMMYFUNCTION("GOOGLETRANSLATE(A22364, ""de"", ""en"")"),"deductions")</f>
        <v>deductions</v>
      </c>
    </row>
    <row r="22365">
      <c r="A22365" s="1" t="s">
        <v>22364</v>
      </c>
      <c r="B22365" s="2" t="str">
        <f>IFERROR(__xludf.DUMMYFUNCTION("GOOGLETRANSLATE(A22365, ""de"", ""en"")"),"bullet wounds")</f>
        <v>bullet wounds</v>
      </c>
    </row>
    <row r="22366">
      <c r="A22366" s="1" t="s">
        <v>22365</v>
      </c>
      <c r="B22366" s="2" t="str">
        <f>IFERROR(__xludf.DUMMYFUNCTION("GOOGLETRANSLATE(A22366, ""de"", ""en"")"),"crazy ones")</f>
        <v>crazy ones</v>
      </c>
    </row>
    <row r="22367">
      <c r="A22367" s="1" t="s">
        <v>22366</v>
      </c>
      <c r="B22367" s="2" t="str">
        <f>IFERROR(__xludf.DUMMYFUNCTION("GOOGLETRANSLATE(A22367, ""de"", ""en"")"),"lung cancer")</f>
        <v>lung cancer</v>
      </c>
    </row>
    <row r="22368">
      <c r="A22368" s="1" t="s">
        <v>22367</v>
      </c>
      <c r="B22368" s="2" t="str">
        <f>IFERROR(__xludf.DUMMYFUNCTION("GOOGLETRANSLATE(A22368, ""de"", ""en"")"),"apartments")</f>
        <v>apartments</v>
      </c>
    </row>
    <row r="22369">
      <c r="A22369" s="1" t="s">
        <v>22368</v>
      </c>
      <c r="B22369" s="2" t="str">
        <f>IFERROR(__xludf.DUMMYFUNCTION("GOOGLETRANSLATE(A22369, ""de"", ""en"")"),"glue")</f>
        <v>glue</v>
      </c>
    </row>
    <row r="22370">
      <c r="A22370" s="1" t="s">
        <v>22369</v>
      </c>
      <c r="B22370" s="2" t="str">
        <f>IFERROR(__xludf.DUMMYFUNCTION("GOOGLETRANSLATE(A22370, ""de"", ""en"")"),"contributions")</f>
        <v>contributions</v>
      </c>
    </row>
    <row r="22371">
      <c r="A22371" s="1" t="s">
        <v>22370</v>
      </c>
      <c r="B22371" s="2" t="str">
        <f>IFERROR(__xludf.DUMMYFUNCTION("GOOGLETRANSLATE(A22371, ""de"", ""en"")"),"courtesy")</f>
        <v>courtesy</v>
      </c>
    </row>
    <row r="22372">
      <c r="A22372" s="1" t="s">
        <v>22371</v>
      </c>
      <c r="B22372" s="2" t="str">
        <f>IFERROR(__xludf.DUMMYFUNCTION("GOOGLETRANSLATE(A22372, ""de"", ""en"")"),"bear")</f>
        <v>bear</v>
      </c>
    </row>
    <row r="22373">
      <c r="A22373" s="1" t="s">
        <v>22372</v>
      </c>
      <c r="B22373" s="2" t="str">
        <f>IFERROR(__xludf.DUMMYFUNCTION("GOOGLETRANSLATE(A22373, ""de"", ""en"")"),"offset")</f>
        <v>offset</v>
      </c>
    </row>
    <row r="22374">
      <c r="A22374" s="1" t="s">
        <v>22373</v>
      </c>
      <c r="B22374" s="2" t="str">
        <f>IFERROR(__xludf.DUMMYFUNCTION("GOOGLETRANSLATE(A22374, ""de"", ""en"")"),"raw")</f>
        <v>raw</v>
      </c>
    </row>
    <row r="22375">
      <c r="A22375" s="1" t="s">
        <v>22374</v>
      </c>
      <c r="B22375" s="2" t="str">
        <f>IFERROR(__xludf.DUMMYFUNCTION("GOOGLETRANSLATE(A22375, ""de"", ""en"")"),"stands up")</f>
        <v>stands up</v>
      </c>
    </row>
    <row r="22376">
      <c r="A22376" s="1" t="s">
        <v>22375</v>
      </c>
      <c r="B22376" s="2" t="str">
        <f>IFERROR(__xludf.DUMMYFUNCTION("GOOGLETRANSLATE(A22376, ""de"", ""en"")"),"mesa")</f>
        <v>mesa</v>
      </c>
    </row>
    <row r="22377">
      <c r="A22377" s="1" t="s">
        <v>22376</v>
      </c>
      <c r="B22377" s="2" t="str">
        <f>IFERROR(__xludf.DUMMYFUNCTION("GOOGLETRANSLATE(A22377, ""de"", ""en"")"),"raincoat")</f>
        <v>raincoat</v>
      </c>
    </row>
    <row r="22378">
      <c r="A22378" s="1" t="s">
        <v>22377</v>
      </c>
      <c r="B22378" s="2" t="str">
        <f>IFERROR(__xludf.DUMMYFUNCTION("GOOGLETRANSLATE(A22378, ""de"", ""en"")"),"incidents")</f>
        <v>incidents</v>
      </c>
    </row>
    <row r="22379">
      <c r="A22379" s="1" t="s">
        <v>22378</v>
      </c>
      <c r="B22379" s="2" t="str">
        <f>IFERROR(__xludf.DUMMYFUNCTION("GOOGLETRANSLATE(A22379, ""de"", ""en"")"),"jazz music")</f>
        <v>jazz music</v>
      </c>
    </row>
    <row r="22380">
      <c r="A22380" s="1" t="s">
        <v>22379</v>
      </c>
      <c r="B22380" s="2" t="str">
        <f>IFERROR(__xludf.DUMMYFUNCTION("GOOGLETRANSLATE(A22380, ""de"", ""en"")"),"arranged")</f>
        <v>arranged</v>
      </c>
    </row>
    <row r="22381">
      <c r="A22381" s="1" t="s">
        <v>22380</v>
      </c>
      <c r="B22381" s="2" t="str">
        <f>IFERROR(__xludf.DUMMYFUNCTION("GOOGLETRANSLATE(A22381, ""de"", ""en"")"),"father")</f>
        <v>father</v>
      </c>
    </row>
    <row r="22382">
      <c r="A22382" s="1" t="s">
        <v>22381</v>
      </c>
      <c r="B22382" s="2" t="str">
        <f>IFERROR(__xludf.DUMMYFUNCTION("GOOGLETRANSLATE(A22382, ""de"", ""en"")"),"suits")</f>
        <v>suits</v>
      </c>
    </row>
    <row r="22383">
      <c r="A22383" s="1" t="s">
        <v>22382</v>
      </c>
      <c r="B22383" s="2" t="str">
        <f>IFERROR(__xludf.DUMMYFUNCTION("GOOGLETRANSLATE(A22383, ""de"", ""en"")"),"charming")</f>
        <v>charming</v>
      </c>
    </row>
    <row r="22384">
      <c r="A22384" s="1" t="s">
        <v>22383</v>
      </c>
      <c r="B22384" s="2" t="str">
        <f>IFERROR(__xludf.DUMMYFUNCTION("GOOGLETRANSLATE(A22384, ""de"", ""en"")"),"apostle")</f>
        <v>apostle</v>
      </c>
    </row>
    <row r="22385">
      <c r="A22385" s="1" t="s">
        <v>22384</v>
      </c>
      <c r="B22385" s="2" t="str">
        <f>IFERROR(__xludf.DUMMYFUNCTION("GOOGLETRANSLATE(A22385, ""de"", ""en"")"),"infinity")</f>
        <v>infinity</v>
      </c>
    </row>
    <row r="22386">
      <c r="A22386" s="1" t="s">
        <v>22385</v>
      </c>
      <c r="B22386" s="2" t="str">
        <f>IFERROR(__xludf.DUMMYFUNCTION("GOOGLETRANSLATE(A22386, ""de"", ""en"")"),"funder")</f>
        <v>funder</v>
      </c>
    </row>
    <row r="22387">
      <c r="A22387" s="1" t="s">
        <v>22386</v>
      </c>
      <c r="B22387" s="2" t="str">
        <f>IFERROR(__xludf.DUMMYFUNCTION("GOOGLETRANSLATE(A22387, ""de"", ""en"")"),"biological")</f>
        <v>biological</v>
      </c>
    </row>
    <row r="22388">
      <c r="A22388" s="1" t="s">
        <v>22387</v>
      </c>
      <c r="B22388" s="2" t="str">
        <f>IFERROR(__xludf.DUMMYFUNCTION("GOOGLETRANSLATE(A22388, ""de"", ""en"")"),"Kelvin")</f>
        <v>Kelvin</v>
      </c>
    </row>
    <row r="22389">
      <c r="A22389" s="1" t="s">
        <v>22388</v>
      </c>
      <c r="B22389" s="2" t="str">
        <f>IFERROR(__xludf.DUMMYFUNCTION("GOOGLETRANSLATE(A22389, ""de"", ""en"")"),"synagogue")</f>
        <v>synagogue</v>
      </c>
    </row>
    <row r="22390">
      <c r="A22390" s="1" t="s">
        <v>22389</v>
      </c>
      <c r="B22390" s="2" t="str">
        <f>IFERROR(__xludf.DUMMYFUNCTION("GOOGLETRANSLATE(A22390, ""de"", ""en"")"),"shadowhunter")</f>
        <v>shadowhunter</v>
      </c>
    </row>
    <row r="22391">
      <c r="A22391" s="1" t="s">
        <v>22390</v>
      </c>
      <c r="B22391" s="2" t="str">
        <f>IFERROR(__xludf.DUMMYFUNCTION("GOOGLETRANSLATE(A22391, ""de"", ""en"")"),"stringer")</f>
        <v>stringer</v>
      </c>
    </row>
    <row r="22392">
      <c r="A22392" s="1" t="s">
        <v>22391</v>
      </c>
      <c r="B22392" s="2" t="str">
        <f>IFERROR(__xludf.DUMMYFUNCTION("GOOGLETRANSLATE(A22392, ""de"", ""en"")"),"blinds")</f>
        <v>blinds</v>
      </c>
    </row>
    <row r="22393">
      <c r="A22393" s="1" t="s">
        <v>22392</v>
      </c>
      <c r="B22393" s="2" t="str">
        <f>IFERROR(__xludf.DUMMYFUNCTION("GOOGLETRANSLATE(A22393, ""de"", ""en"")"),"inflammation")</f>
        <v>inflammation</v>
      </c>
    </row>
    <row r="22394">
      <c r="A22394" s="1" t="s">
        <v>22393</v>
      </c>
      <c r="B22394" s="2" t="str">
        <f>IFERROR(__xludf.DUMMYFUNCTION("GOOGLETRANSLATE(A22394, ""de"", ""en"")"),"exploration")</f>
        <v>exploration</v>
      </c>
    </row>
    <row r="22395">
      <c r="A22395" s="1" t="s">
        <v>22394</v>
      </c>
      <c r="B22395" s="2" t="str">
        <f>IFERROR(__xludf.DUMMYFUNCTION("GOOGLETRANSLATE(A22395, ""de"", ""en"")"),"infamous")</f>
        <v>infamous</v>
      </c>
    </row>
    <row r="22396">
      <c r="A22396" s="1" t="s">
        <v>22395</v>
      </c>
      <c r="B22396" s="2" t="str">
        <f>IFERROR(__xludf.DUMMYFUNCTION("GOOGLETRANSLATE(A22396, ""de"", ""en"")"),"cousins")</f>
        <v>cousins</v>
      </c>
    </row>
    <row r="22397">
      <c r="A22397" s="1" t="s">
        <v>22396</v>
      </c>
      <c r="B22397" s="2" t="str">
        <f>IFERROR(__xludf.DUMMYFUNCTION("GOOGLETRANSLATE(A22397, ""de"", ""en"")"),"corporations")</f>
        <v>corporations</v>
      </c>
    </row>
    <row r="22398">
      <c r="A22398" s="1" t="s">
        <v>22397</v>
      </c>
      <c r="B22398" s="2" t="str">
        <f>IFERROR(__xludf.DUMMYFUNCTION("GOOGLETRANSLATE(A22398, ""de"", ""en"")"),"saucer")</f>
        <v>saucer</v>
      </c>
    </row>
    <row r="22399">
      <c r="A22399" s="1" t="s">
        <v>22398</v>
      </c>
      <c r="B22399" s="2" t="str">
        <f>IFERROR(__xludf.DUMMYFUNCTION("GOOGLETRANSLATE(A22399, ""de"", ""en"")"),"schnitzel")</f>
        <v>schnitzel</v>
      </c>
    </row>
    <row r="22400">
      <c r="A22400" s="1" t="s">
        <v>22399</v>
      </c>
      <c r="B22400" s="2" t="str">
        <f>IFERROR(__xludf.DUMMYFUNCTION("GOOGLETRANSLATE(A22400, ""de"", ""en"")"),"failed")</f>
        <v>failed</v>
      </c>
    </row>
    <row r="22401">
      <c r="A22401" s="1" t="s">
        <v>22400</v>
      </c>
      <c r="B22401" s="2" t="str">
        <f>IFERROR(__xludf.DUMMYFUNCTION("GOOGLETRANSLATE(A22401, ""de"", ""en"")"),"buy")</f>
        <v>buy</v>
      </c>
    </row>
    <row r="22402">
      <c r="A22402" s="1" t="s">
        <v>22401</v>
      </c>
      <c r="B22402" s="2" t="str">
        <f>IFERROR(__xludf.DUMMYFUNCTION("GOOGLETRANSLATE(A22402, ""de"", ""en"")"),"gangsters")</f>
        <v>gangsters</v>
      </c>
    </row>
    <row r="22403">
      <c r="A22403" s="1" t="s">
        <v>22402</v>
      </c>
      <c r="B22403" s="2" t="str">
        <f>IFERROR(__xludf.DUMMYFUNCTION("GOOGLETRANSLATE(A22403, ""de"", ""en"")"),"briareos")</f>
        <v>briareos</v>
      </c>
    </row>
    <row r="22404">
      <c r="A22404" s="1" t="s">
        <v>22403</v>
      </c>
      <c r="B22404" s="2" t="str">
        <f>IFERROR(__xludf.DUMMYFUNCTION("GOOGLETRANSLATE(A22404, ""de"", ""en"")"),"son of a bitch")</f>
        <v>son of a bitch</v>
      </c>
    </row>
    <row r="22405">
      <c r="A22405" s="1" t="s">
        <v>22404</v>
      </c>
      <c r="B22405" s="2" t="str">
        <f>IFERROR(__xludf.DUMMYFUNCTION("GOOGLETRANSLATE(A22405, ""de"", ""en"")"),"stay there")</f>
        <v>stay there</v>
      </c>
    </row>
    <row r="22406">
      <c r="A22406" s="1" t="s">
        <v>22405</v>
      </c>
      <c r="B22406" s="2" t="str">
        <f>IFERROR(__xludf.DUMMYFUNCTION("GOOGLETRANSLATE(A22406, ""de"", ""en"")"),"ml")</f>
        <v>ml</v>
      </c>
    </row>
    <row r="22407">
      <c r="A22407" s="1" t="s">
        <v>22406</v>
      </c>
      <c r="B22407" s="2" t="str">
        <f>IFERROR(__xludf.DUMMYFUNCTION("GOOGLETRANSLATE(A22407, ""de"", ""en"")"),"on this")</f>
        <v>on this</v>
      </c>
    </row>
    <row r="22408">
      <c r="A22408" s="1" t="s">
        <v>22407</v>
      </c>
      <c r="B22408" s="2" t="str">
        <f>IFERROR(__xludf.DUMMYFUNCTION("GOOGLETRANSLATE(A22408, ""de"", ""en"")"),"Reichs")</f>
        <v>Reichs</v>
      </c>
    </row>
    <row r="22409">
      <c r="A22409" s="1" t="s">
        <v>22408</v>
      </c>
      <c r="B22409" s="2" t="str">
        <f>IFERROR(__xludf.DUMMYFUNCTION("GOOGLETRANSLATE(A22409, ""de"", ""en"")"),"easy as pie")</f>
        <v>easy as pie</v>
      </c>
    </row>
    <row r="22410">
      <c r="A22410" s="1" t="s">
        <v>22409</v>
      </c>
      <c r="B22410" s="2" t="str">
        <f>IFERROR(__xludf.DUMMYFUNCTION("GOOGLETRANSLATE(A22410, ""de"", ""en"")"),"atom")</f>
        <v>atom</v>
      </c>
    </row>
    <row r="22411">
      <c r="A22411" s="1" t="s">
        <v>22410</v>
      </c>
      <c r="B22411" s="2" t="str">
        <f>IFERROR(__xludf.DUMMYFUNCTION("GOOGLETRANSLATE(A22411, ""de"", ""en"")"),"admired")</f>
        <v>admired</v>
      </c>
    </row>
    <row r="22412">
      <c r="A22412" s="1" t="s">
        <v>22411</v>
      </c>
      <c r="B22412" s="2" t="str">
        <f>IFERROR(__xludf.DUMMYFUNCTION("GOOGLETRANSLATE(A22412, ""de"", ""en"")"),"harass")</f>
        <v>harass</v>
      </c>
    </row>
    <row r="22413">
      <c r="A22413" s="1" t="s">
        <v>22412</v>
      </c>
      <c r="B22413" s="2" t="str">
        <f>IFERROR(__xludf.DUMMYFUNCTION("GOOGLETRANSLATE(A22413, ""de"", ""en"")"),"unexpected")</f>
        <v>unexpected</v>
      </c>
    </row>
    <row r="22414">
      <c r="A22414" s="1" t="s">
        <v>22413</v>
      </c>
      <c r="B22414" s="2" t="str">
        <f>IFERROR(__xludf.DUMMYFUNCTION("GOOGLETRANSLATE(A22414, ""de"", ""en"")"),"thickheaded")</f>
        <v>thickheaded</v>
      </c>
    </row>
    <row r="22415">
      <c r="A22415" s="1" t="s">
        <v>22414</v>
      </c>
      <c r="B22415" s="2" t="str">
        <f>IFERROR(__xludf.DUMMYFUNCTION("GOOGLETRANSLATE(A22415, ""de"", ""en"")"),"wanted")</f>
        <v>wanted</v>
      </c>
    </row>
    <row r="22416">
      <c r="A22416" s="1" t="s">
        <v>22415</v>
      </c>
      <c r="B22416" s="2" t="str">
        <f>IFERROR(__xludf.DUMMYFUNCTION("GOOGLETRANSLATE(A22416, ""de"", ""en"")"),"ventura")</f>
        <v>ventura</v>
      </c>
    </row>
    <row r="22417">
      <c r="A22417" s="1" t="s">
        <v>22416</v>
      </c>
      <c r="B22417" s="2" t="str">
        <f>IFERROR(__xludf.DUMMYFUNCTION("GOOGLETRANSLATE(A22417, ""de"", ""en"")"),"hahaha")</f>
        <v>hahaha</v>
      </c>
    </row>
    <row r="22418">
      <c r="A22418" s="1" t="s">
        <v>22417</v>
      </c>
      <c r="B22418" s="2" t="str">
        <f>IFERROR(__xludf.DUMMYFUNCTION("GOOGLETRANSLATE(A22418, ""de"", ""en"")"),"hardware store")</f>
        <v>hardware store</v>
      </c>
    </row>
    <row r="22419">
      <c r="A22419" s="1" t="s">
        <v>22418</v>
      </c>
      <c r="B22419" s="2" t="str">
        <f>IFERROR(__xludf.DUMMYFUNCTION("GOOGLETRANSLATE(A22419, ""de"", ""en"")"),"blindness")</f>
        <v>blindness</v>
      </c>
    </row>
    <row r="22420">
      <c r="A22420" s="1" t="s">
        <v>22419</v>
      </c>
      <c r="B22420" s="2" t="str">
        <f>IFERROR(__xludf.DUMMYFUNCTION("GOOGLETRANSLATE(A22420, ""de"", ""en"")"),"melons")</f>
        <v>melons</v>
      </c>
    </row>
    <row r="22421">
      <c r="A22421" s="1" t="s">
        <v>22420</v>
      </c>
      <c r="B22421" s="2" t="str">
        <f>IFERROR(__xludf.DUMMYFUNCTION("GOOGLETRANSLATE(A22421, ""de"", ""en"")"),"herald")</f>
        <v>herald</v>
      </c>
    </row>
    <row r="22422">
      <c r="A22422" s="1" t="s">
        <v>22421</v>
      </c>
      <c r="B22422" s="2" t="str">
        <f>IFERROR(__xludf.DUMMYFUNCTION("GOOGLETRANSLATE(A22422, ""de"", ""en"")"),"more aggressive")</f>
        <v>more aggressive</v>
      </c>
    </row>
    <row r="22423">
      <c r="A22423" s="1" t="s">
        <v>22422</v>
      </c>
      <c r="B22423" s="2" t="str">
        <f>IFERROR(__xludf.DUMMYFUNCTION("GOOGLETRANSLATE(A22423, ""de"", ""en"")"),"drilled")</f>
        <v>drilled</v>
      </c>
    </row>
    <row r="22424">
      <c r="A22424" s="1" t="s">
        <v>22423</v>
      </c>
      <c r="B22424" s="2" t="str">
        <f>IFERROR(__xludf.DUMMYFUNCTION("GOOGLETRANSLATE(A22424, ""de"", ""en"")"),"sanctuary")</f>
        <v>sanctuary</v>
      </c>
    </row>
    <row r="22425">
      <c r="A22425" s="1" t="s">
        <v>22424</v>
      </c>
      <c r="B22425" s="2" t="str">
        <f>IFERROR(__xludf.DUMMYFUNCTION("GOOGLETRANSLATE(A22425, ""de"", ""en"")"),"Samaritan")</f>
        <v>Samaritan</v>
      </c>
    </row>
    <row r="22426">
      <c r="A22426" s="1" t="s">
        <v>22425</v>
      </c>
      <c r="B22426" s="2" t="str">
        <f>IFERROR(__xludf.DUMMYFUNCTION("GOOGLETRANSLATE(A22426, ""de"", ""en"")"),"Yay")</f>
        <v>Yay</v>
      </c>
    </row>
    <row r="22427">
      <c r="A22427" s="1" t="s">
        <v>22426</v>
      </c>
      <c r="B22427" s="2" t="str">
        <f>IFERROR(__xludf.DUMMYFUNCTION("GOOGLETRANSLATE(A22427, ""de"", ""en"")"),"enters")</f>
        <v>enters</v>
      </c>
    </row>
    <row r="22428">
      <c r="A22428" s="1" t="s">
        <v>22427</v>
      </c>
      <c r="B22428" s="2" t="str">
        <f>IFERROR(__xludf.DUMMYFUNCTION("GOOGLETRANSLATE(A22428, ""de"", ""en"")"),"inviolable")</f>
        <v>inviolable</v>
      </c>
    </row>
    <row r="22429">
      <c r="A22429" s="1" t="s">
        <v>22428</v>
      </c>
      <c r="B22429" s="2" t="str">
        <f>IFERROR(__xludf.DUMMYFUNCTION("GOOGLETRANSLATE(A22429, ""de"", ""en"")"),"come back")</f>
        <v>come back</v>
      </c>
    </row>
    <row r="22430">
      <c r="A22430" s="1" t="s">
        <v>22429</v>
      </c>
      <c r="B22430" s="2" t="str">
        <f>IFERROR(__xludf.DUMMYFUNCTION("GOOGLETRANSLATE(A22430, ""de"", ""en"")"),"echoes")</f>
        <v>echoes</v>
      </c>
    </row>
    <row r="22431">
      <c r="A22431" s="1" t="s">
        <v>22430</v>
      </c>
      <c r="B22431" s="2" t="str">
        <f>IFERROR(__xludf.DUMMYFUNCTION("GOOGLETRANSLATE(A22431, ""de"", ""en"")"),"bra")</f>
        <v>bra</v>
      </c>
    </row>
    <row r="22432">
      <c r="A22432" s="1" t="s">
        <v>22431</v>
      </c>
      <c r="B22432" s="2" t="str">
        <f>IFERROR(__xludf.DUMMYFUNCTION("GOOGLETRANSLATE(A22432, ""de"", ""en"")"),"swinging")</f>
        <v>swinging</v>
      </c>
    </row>
    <row r="22433">
      <c r="A22433" s="1" t="s">
        <v>22432</v>
      </c>
      <c r="B22433" s="2" t="str">
        <f>IFERROR(__xludf.DUMMYFUNCTION("GOOGLETRANSLATE(A22433, ""de"", ""en"")"),"Candice")</f>
        <v>Candice</v>
      </c>
    </row>
    <row r="22434">
      <c r="A22434" s="1" t="s">
        <v>22433</v>
      </c>
      <c r="B22434" s="2" t="str">
        <f>IFERROR(__xludf.DUMMYFUNCTION("GOOGLETRANSLATE(A22434, ""de"", ""en"")"),"almeida")</f>
        <v>almeida</v>
      </c>
    </row>
    <row r="22435">
      <c r="A22435" s="1" t="s">
        <v>22434</v>
      </c>
      <c r="B22435" s="2" t="str">
        <f>IFERROR(__xludf.DUMMYFUNCTION("GOOGLETRANSLATE(A22435, ""de"", ""en"")"),"slippers")</f>
        <v>slippers</v>
      </c>
    </row>
    <row r="22436">
      <c r="A22436" s="1" t="s">
        <v>22435</v>
      </c>
      <c r="B22436" s="2" t="str">
        <f>IFERROR(__xludf.DUMMYFUNCTION("GOOGLETRANSLATE(A22436, ""de"", ""en"")"),"frazier")</f>
        <v>frazier</v>
      </c>
    </row>
    <row r="22437">
      <c r="A22437" s="1" t="s">
        <v>22436</v>
      </c>
      <c r="B22437" s="2" t="str">
        <f>IFERROR(__xludf.DUMMYFUNCTION("GOOGLETRANSLATE(A22437, ""de"", ""en"")"),"wrists")</f>
        <v>wrists</v>
      </c>
    </row>
    <row r="22438">
      <c r="A22438" s="1" t="s">
        <v>22437</v>
      </c>
      <c r="B22438" s="2" t="str">
        <f>IFERROR(__xludf.DUMMYFUNCTION("GOOGLETRANSLATE(A22438, ""de"", ""en"")"),"concealed")</f>
        <v>concealed</v>
      </c>
    </row>
    <row r="22439">
      <c r="A22439" s="1" t="s">
        <v>22438</v>
      </c>
      <c r="B22439" s="2" t="str">
        <f>IFERROR(__xludf.DUMMYFUNCTION("GOOGLETRANSLATE(A22439, ""de"", ""en"")"),"short")</f>
        <v>short</v>
      </c>
    </row>
    <row r="22440">
      <c r="A22440" s="1" t="s">
        <v>22439</v>
      </c>
      <c r="B22440" s="2" t="str">
        <f>IFERROR(__xludf.DUMMYFUNCTION("GOOGLETRANSLATE(A22440, ""de"", ""en"")"),"devices")</f>
        <v>devices</v>
      </c>
    </row>
    <row r="22441">
      <c r="A22441" s="1" t="s">
        <v>22440</v>
      </c>
      <c r="B22441" s="2" t="str">
        <f>IFERROR(__xludf.DUMMYFUNCTION("GOOGLETRANSLATE(A22441, ""de"", ""en"")"),"more dramatic")</f>
        <v>more dramatic</v>
      </c>
    </row>
    <row r="22442">
      <c r="A22442" s="1" t="s">
        <v>22441</v>
      </c>
      <c r="B22442" s="2" t="str">
        <f>IFERROR(__xludf.DUMMYFUNCTION("GOOGLETRANSLATE(A22442, ""de"", ""en"")"),"frodo")</f>
        <v>frodo</v>
      </c>
    </row>
    <row r="22443">
      <c r="A22443" s="1" t="s">
        <v>22442</v>
      </c>
      <c r="B22443" s="2" t="str">
        <f>IFERROR(__xludf.DUMMYFUNCTION("GOOGLETRANSLATE(A22443, ""de"", ""en"")"),"youth")</f>
        <v>youth</v>
      </c>
    </row>
    <row r="22444">
      <c r="A22444" s="1" t="s">
        <v>22443</v>
      </c>
      <c r="B22444" s="2" t="str">
        <f>IFERROR(__xludf.DUMMYFUNCTION("GOOGLETRANSLATE(A22444, ""de"", ""en"")"),"snart")</f>
        <v>snart</v>
      </c>
    </row>
    <row r="22445">
      <c r="A22445" s="1" t="s">
        <v>22444</v>
      </c>
      <c r="B22445" s="2" t="str">
        <f>IFERROR(__xludf.DUMMYFUNCTION("GOOGLETRANSLATE(A22445, ""de"", ""en"")"),"criminal record")</f>
        <v>criminal record</v>
      </c>
    </row>
    <row r="22446">
      <c r="A22446" s="1" t="s">
        <v>22445</v>
      </c>
      <c r="B22446" s="2" t="str">
        <f>IFERROR(__xludf.DUMMYFUNCTION("GOOGLETRANSLATE(A22446, ""de"", ""en"")"),"businesswoman")</f>
        <v>businesswoman</v>
      </c>
    </row>
    <row r="22447">
      <c r="A22447" s="1" t="s">
        <v>22446</v>
      </c>
      <c r="B22447" s="2" t="str">
        <f>IFERROR(__xludf.DUMMYFUNCTION("GOOGLETRANSLATE(A22447, ""de"", ""en"")"),"toil")</f>
        <v>toil</v>
      </c>
    </row>
    <row r="22448">
      <c r="A22448" s="1" t="s">
        <v>22447</v>
      </c>
      <c r="B22448" s="2" t="str">
        <f>IFERROR(__xludf.DUMMYFUNCTION("GOOGLETRANSLATE(A22448, ""de"", ""en"")"),"Stalingrad")</f>
        <v>Stalingrad</v>
      </c>
    </row>
    <row r="22449">
      <c r="A22449" s="1" t="s">
        <v>22448</v>
      </c>
      <c r="B22449" s="2" t="str">
        <f>IFERROR(__xludf.DUMMYFUNCTION("GOOGLETRANSLATE(A22449, ""de"", ""en"")"),"cracked")</f>
        <v>cracked</v>
      </c>
    </row>
    <row r="22450">
      <c r="A22450" s="1" t="s">
        <v>22449</v>
      </c>
      <c r="B22450" s="2" t="str">
        <f>IFERROR(__xludf.DUMMYFUNCTION("GOOGLETRANSLATE(A22450, ""de"", ""en"")"),"metatron")</f>
        <v>metatron</v>
      </c>
    </row>
    <row r="22451">
      <c r="A22451" s="1" t="s">
        <v>22450</v>
      </c>
      <c r="B22451" s="2" t="str">
        <f>IFERROR(__xludf.DUMMYFUNCTION("GOOGLETRANSLATE(A22451, ""de"", ""en"")"),"known")</f>
        <v>known</v>
      </c>
    </row>
    <row r="22452">
      <c r="A22452" s="1" t="s">
        <v>22451</v>
      </c>
      <c r="B22452" s="2" t="str">
        <f>IFERROR(__xludf.DUMMYFUNCTION("GOOGLETRANSLATE(A22452, ""de"", ""en"")"),"persuaded")</f>
        <v>persuaded</v>
      </c>
    </row>
    <row r="22453">
      <c r="A22453" s="1" t="s">
        <v>22452</v>
      </c>
      <c r="B22453" s="2" t="str">
        <f>IFERROR(__xludf.DUMMYFUNCTION("GOOGLETRANSLATE(A22453, ""de"", ""en"")"),"free up")</f>
        <v>free up</v>
      </c>
    </row>
    <row r="22454">
      <c r="A22454" s="1" t="s">
        <v>22453</v>
      </c>
      <c r="B22454" s="2" t="str">
        <f>IFERROR(__xludf.DUMMYFUNCTION("GOOGLETRANSLATE(A22454, ""de"", ""en"")"),"verona")</f>
        <v>verona</v>
      </c>
    </row>
    <row r="22455">
      <c r="A22455" s="1" t="s">
        <v>22454</v>
      </c>
      <c r="B22455" s="2" t="str">
        <f>IFERROR(__xludf.DUMMYFUNCTION("GOOGLETRANSLATE(A22455, ""de"", ""en"")"),"to get through")</f>
        <v>to get through</v>
      </c>
    </row>
    <row r="22456">
      <c r="A22456" s="1" t="s">
        <v>22455</v>
      </c>
      <c r="B22456" s="2" t="str">
        <f>IFERROR(__xludf.DUMMYFUNCTION("GOOGLETRANSLATE(A22456, ""de"", ""en"")"),"toothpick")</f>
        <v>toothpick</v>
      </c>
    </row>
    <row r="22457">
      <c r="A22457" s="1" t="s">
        <v>22456</v>
      </c>
      <c r="B22457" s="2" t="str">
        <f>IFERROR(__xludf.DUMMYFUNCTION("GOOGLETRANSLATE(A22457, ""de"", ""en"")"),"under")</f>
        <v>under</v>
      </c>
    </row>
    <row r="22458">
      <c r="A22458" s="1" t="s">
        <v>22457</v>
      </c>
      <c r="B22458" s="2" t="str">
        <f>IFERROR(__xludf.DUMMYFUNCTION("GOOGLETRANSLATE(A22458, ""de"", ""en"")"),"double")</f>
        <v>double</v>
      </c>
    </row>
    <row r="22459">
      <c r="A22459" s="1" t="s">
        <v>22458</v>
      </c>
      <c r="B22459" s="2" t="str">
        <f>IFERROR(__xludf.DUMMYFUNCTION("GOOGLETRANSLATE(A22459, ""de"", ""en"")"),"madge")</f>
        <v>madge</v>
      </c>
    </row>
    <row r="22460">
      <c r="A22460" s="1" t="s">
        <v>22459</v>
      </c>
      <c r="B22460" s="2" t="str">
        <f>IFERROR(__xludf.DUMMYFUNCTION("GOOGLETRANSLATE(A22460, ""de"", ""en"")"),"swing")</f>
        <v>swing</v>
      </c>
    </row>
    <row r="22461">
      <c r="A22461" s="1" t="s">
        <v>22460</v>
      </c>
      <c r="B22461" s="2" t="str">
        <f>IFERROR(__xludf.DUMMYFUNCTION("GOOGLETRANSLATE(A22461, ""de"", ""en"")"),"bitten off")</f>
        <v>bitten off</v>
      </c>
    </row>
    <row r="22462">
      <c r="A22462" s="1" t="s">
        <v>22461</v>
      </c>
      <c r="B22462" s="2" t="str">
        <f>IFERROR(__xludf.DUMMYFUNCTION("GOOGLETRANSLATE(A22462, ""de"", ""en"")"),"district")</f>
        <v>district</v>
      </c>
    </row>
    <row r="22463">
      <c r="A22463" s="1" t="s">
        <v>22462</v>
      </c>
      <c r="B22463" s="2" t="str">
        <f>IFERROR(__xludf.DUMMYFUNCTION("GOOGLETRANSLATE(A22463, ""de"", ""en"")"),"poisons")</f>
        <v>poisons</v>
      </c>
    </row>
    <row r="22464">
      <c r="A22464" s="1" t="s">
        <v>22463</v>
      </c>
      <c r="B22464" s="2" t="str">
        <f>IFERROR(__xludf.DUMMYFUNCTION("GOOGLETRANSLATE(A22464, ""de"", ""en"")"),"ichabod")</f>
        <v>ichabod</v>
      </c>
    </row>
    <row r="22465">
      <c r="A22465" s="1" t="s">
        <v>22464</v>
      </c>
      <c r="B22465" s="2" t="str">
        <f>IFERROR(__xludf.DUMMYFUNCTION("GOOGLETRANSLATE(A22465, ""de"", ""en"")"),"emphasis")</f>
        <v>emphasis</v>
      </c>
    </row>
    <row r="22466">
      <c r="A22466" s="1" t="s">
        <v>22465</v>
      </c>
      <c r="B22466" s="2" t="str">
        <f>IFERROR(__xludf.DUMMYFUNCTION("GOOGLETRANSLATE(A22466, ""de"", ""en"")"),"urgent")</f>
        <v>urgent</v>
      </c>
    </row>
    <row r="22467">
      <c r="A22467" s="1" t="s">
        <v>22466</v>
      </c>
      <c r="B22467" s="2" t="str">
        <f>IFERROR(__xludf.DUMMYFUNCTION("GOOGLETRANSLATE(A22467, ""de"", ""en"")"),"volkoff")</f>
        <v>volkoff</v>
      </c>
    </row>
    <row r="22468">
      <c r="A22468" s="1" t="s">
        <v>22467</v>
      </c>
      <c r="B22468" s="2" t="str">
        <f>IFERROR(__xludf.DUMMYFUNCTION("GOOGLETRANSLATE(A22468, ""de"", ""en"")"),"sports hall")</f>
        <v>sports hall</v>
      </c>
    </row>
    <row r="22469">
      <c r="A22469" s="1" t="s">
        <v>22468</v>
      </c>
      <c r="B22469" s="2" t="str">
        <f>IFERROR(__xludf.DUMMYFUNCTION("GOOGLETRANSLATE(A22469, ""de"", ""en"")"),"SOS")</f>
        <v>SOS</v>
      </c>
    </row>
    <row r="22470">
      <c r="A22470" s="1" t="s">
        <v>22469</v>
      </c>
      <c r="B22470" s="2" t="str">
        <f>IFERROR(__xludf.DUMMYFUNCTION("GOOGLETRANSLATE(A22470, ""de"", ""en"")"),"takes over")</f>
        <v>takes over</v>
      </c>
    </row>
    <row r="22471">
      <c r="A22471" s="1" t="s">
        <v>22470</v>
      </c>
      <c r="B22471" s="2" t="str">
        <f>IFERROR(__xludf.DUMMYFUNCTION("GOOGLETRANSLATE(A22471, ""de"", ""en"")"),"copier")</f>
        <v>copier</v>
      </c>
    </row>
    <row r="22472">
      <c r="A22472" s="1" t="s">
        <v>22471</v>
      </c>
      <c r="B22472" s="2" t="str">
        <f>IFERROR(__xludf.DUMMYFUNCTION("GOOGLETRANSLATE(A22472, ""de"", ""en"")"),"disagreement")</f>
        <v>disagreement</v>
      </c>
    </row>
    <row r="22473">
      <c r="A22473" s="1" t="s">
        <v>22472</v>
      </c>
      <c r="B22473" s="2" t="str">
        <f>IFERROR(__xludf.DUMMYFUNCTION("GOOGLETRANSLATE(A22473, ""de"", ""en"")"),"dangle")</f>
        <v>dangle</v>
      </c>
    </row>
    <row r="22474">
      <c r="A22474" s="1" t="s">
        <v>22473</v>
      </c>
      <c r="B22474" s="2" t="str">
        <f>IFERROR(__xludf.DUMMYFUNCTION("GOOGLETRANSLATE(A22474, ""de"", ""en"")"),"picked up")</f>
        <v>picked up</v>
      </c>
    </row>
    <row r="22475">
      <c r="A22475" s="1" t="s">
        <v>22474</v>
      </c>
      <c r="B22475" s="2" t="str">
        <f>IFERROR(__xludf.DUMMYFUNCTION("GOOGLETRANSLATE(A22475, ""de"", ""en"")"),"sign")</f>
        <v>sign</v>
      </c>
    </row>
    <row r="22476">
      <c r="A22476" s="1" t="s">
        <v>22475</v>
      </c>
      <c r="B22476" s="2" t="str">
        <f>IFERROR(__xludf.DUMMYFUNCTION("GOOGLETRANSLATE(A22476, ""de"", ""en"")"),"operate")</f>
        <v>operate</v>
      </c>
    </row>
    <row r="22477">
      <c r="A22477" s="1" t="s">
        <v>22476</v>
      </c>
      <c r="B22477" s="2" t="str">
        <f>IFERROR(__xludf.DUMMYFUNCTION("GOOGLETRANSLATE(A22477, ""de"", ""en"")"),"explained")</f>
        <v>explained</v>
      </c>
    </row>
    <row r="22478">
      <c r="A22478" s="1" t="s">
        <v>22477</v>
      </c>
      <c r="B22478" s="2" t="str">
        <f>IFERROR(__xludf.DUMMYFUNCTION("GOOGLETRANSLATE(A22478, ""de"", ""en"")"),"stay overnight")</f>
        <v>stay overnight</v>
      </c>
    </row>
    <row r="22479">
      <c r="A22479" s="1" t="s">
        <v>22478</v>
      </c>
      <c r="B22479" s="2" t="str">
        <f>IFERROR(__xludf.DUMMYFUNCTION("GOOGLETRANSLATE(A22479, ""de"", ""en"")"),"turning point")</f>
        <v>turning point</v>
      </c>
    </row>
    <row r="22480">
      <c r="A22480" s="1" t="s">
        <v>22479</v>
      </c>
      <c r="B22480" s="2" t="str">
        <f>IFERROR(__xludf.DUMMYFUNCTION("GOOGLETRANSLATE(A22480, ""de"", ""en"")"),"connoisseur")</f>
        <v>connoisseur</v>
      </c>
    </row>
    <row r="22481">
      <c r="A22481" s="1" t="s">
        <v>22480</v>
      </c>
      <c r="B22481" s="2" t="str">
        <f>IFERROR(__xludf.DUMMYFUNCTION("GOOGLETRANSLATE(A22481, ""de"", ""en"")"),"escort")</f>
        <v>escort</v>
      </c>
    </row>
    <row r="22482">
      <c r="A22482" s="1" t="s">
        <v>22481</v>
      </c>
      <c r="B22482" s="2" t="str">
        <f>IFERROR(__xludf.DUMMYFUNCTION("GOOGLETRANSLATE(A22482, ""de"", ""en"")"),"befriended")</f>
        <v>befriended</v>
      </c>
    </row>
    <row r="22483">
      <c r="A22483" s="1" t="s">
        <v>22482</v>
      </c>
      <c r="B22483" s="2" t="str">
        <f>IFERROR(__xludf.DUMMYFUNCTION("GOOGLETRANSLATE(A22483, ""de"", ""en"")"),"medical studies")</f>
        <v>medical studies</v>
      </c>
    </row>
    <row r="22484">
      <c r="A22484" s="1" t="s">
        <v>22483</v>
      </c>
      <c r="B22484" s="2" t="str">
        <f>IFERROR(__xludf.DUMMYFUNCTION("GOOGLETRANSLATE(A22484, ""de"", ""en"")"),"half sister")</f>
        <v>half sister</v>
      </c>
    </row>
    <row r="22485">
      <c r="A22485" s="1" t="s">
        <v>22484</v>
      </c>
      <c r="B22485" s="2" t="str">
        <f>IFERROR(__xludf.DUMMYFUNCTION("GOOGLETRANSLATE(A22485, ""de"", ""en"")"),"practiced")</f>
        <v>practiced</v>
      </c>
    </row>
    <row r="22486">
      <c r="A22486" s="1" t="s">
        <v>22485</v>
      </c>
      <c r="B22486" s="2" t="str">
        <f>IFERROR(__xludf.DUMMYFUNCTION("GOOGLETRANSLATE(A22486, ""de"", ""en"")"),"phantom image")</f>
        <v>phantom image</v>
      </c>
    </row>
    <row r="22487">
      <c r="A22487" s="1" t="s">
        <v>22486</v>
      </c>
      <c r="B22487" s="2" t="str">
        <f>IFERROR(__xludf.DUMMYFUNCTION("GOOGLETRANSLATE(A22487, ""de"", ""en"")"),"functional")</f>
        <v>functional</v>
      </c>
    </row>
    <row r="22488">
      <c r="A22488" s="1" t="s">
        <v>22487</v>
      </c>
      <c r="B22488" s="2" t="str">
        <f>IFERROR(__xludf.DUMMYFUNCTION("GOOGLETRANSLATE(A22488, ""de"", ""en"")"),"catacombs")</f>
        <v>catacombs</v>
      </c>
    </row>
    <row r="22489">
      <c r="A22489" s="1" t="s">
        <v>22488</v>
      </c>
      <c r="B22489" s="2" t="str">
        <f>IFERROR(__xludf.DUMMYFUNCTION("GOOGLETRANSLATE(A22489, ""de"", ""en"")"),"smartest")</f>
        <v>smartest</v>
      </c>
    </row>
    <row r="22490">
      <c r="A22490" s="1" t="s">
        <v>22489</v>
      </c>
      <c r="B22490" s="2" t="str">
        <f>IFERROR(__xludf.DUMMYFUNCTION("GOOGLETRANSLATE(A22490, ""de"", ""en"")"),"dances")</f>
        <v>dances</v>
      </c>
    </row>
    <row r="22491">
      <c r="A22491" s="1" t="s">
        <v>22490</v>
      </c>
      <c r="B22491" s="2" t="str">
        <f>IFERROR(__xludf.DUMMYFUNCTION("GOOGLETRANSLATE(A22491, ""de"", ""en"")"),"use")</f>
        <v>use</v>
      </c>
    </row>
    <row r="22492">
      <c r="A22492" s="1" t="s">
        <v>22491</v>
      </c>
      <c r="B22492" s="2" t="str">
        <f>IFERROR(__xludf.DUMMYFUNCTION("GOOGLETRANSLATE(A22492, ""de"", ""en"")"),"working hours")</f>
        <v>working hours</v>
      </c>
    </row>
    <row r="22493">
      <c r="A22493" s="1" t="s">
        <v>22492</v>
      </c>
      <c r="B22493" s="2" t="str">
        <f>IFERROR(__xludf.DUMMYFUNCTION("GOOGLETRANSLATE(A22493, ""de"", ""en"")"),"kanbei")</f>
        <v>kanbei</v>
      </c>
    </row>
    <row r="22494">
      <c r="A22494" s="1" t="s">
        <v>22493</v>
      </c>
      <c r="B22494" s="2" t="str">
        <f>IFERROR(__xludf.DUMMYFUNCTION("GOOGLETRANSLATE(A22494, ""de"", ""en"")"),"national")</f>
        <v>national</v>
      </c>
    </row>
    <row r="22495">
      <c r="A22495" s="1" t="s">
        <v>22494</v>
      </c>
      <c r="B22495" s="2" t="str">
        <f>IFERROR(__xludf.DUMMYFUNCTION("GOOGLETRANSLATE(A22495, ""de"", ""en"")"),"clan")</f>
        <v>clan</v>
      </c>
    </row>
    <row r="22496">
      <c r="A22496" s="1" t="s">
        <v>22495</v>
      </c>
      <c r="B22496" s="2" t="str">
        <f>IFERROR(__xludf.DUMMYFUNCTION("GOOGLETRANSLATE(A22496, ""de"", ""en"")"),"arrange")</f>
        <v>arrange</v>
      </c>
    </row>
    <row r="22497">
      <c r="A22497" s="1" t="s">
        <v>22496</v>
      </c>
      <c r="B22497" s="2" t="str">
        <f>IFERROR(__xludf.DUMMYFUNCTION("GOOGLETRANSLATE(A22497, ""de"", ""en"")"),"justification")</f>
        <v>justification</v>
      </c>
    </row>
    <row r="22498">
      <c r="A22498" s="1" t="s">
        <v>22497</v>
      </c>
      <c r="B22498" s="2" t="str">
        <f>IFERROR(__xludf.DUMMYFUNCTION("GOOGLETRANSLATE(A22498, ""de"", ""en"")"),"at earliest")</f>
        <v>at earliest</v>
      </c>
    </row>
    <row r="22499">
      <c r="A22499" s="1" t="s">
        <v>22498</v>
      </c>
      <c r="B22499" s="2" t="str">
        <f>IFERROR(__xludf.DUMMYFUNCTION("GOOGLETRANSLATE(A22499, ""de"", ""en"")"),"reached")</f>
        <v>reached</v>
      </c>
    </row>
    <row r="22500">
      <c r="A22500" s="1" t="s">
        <v>22499</v>
      </c>
      <c r="B22500" s="2" t="str">
        <f>IFERROR(__xludf.DUMMYFUNCTION("GOOGLETRANSLATE(A22500, ""de"", ""en"")"),"most valuable")</f>
        <v>most valuable</v>
      </c>
    </row>
    <row r="22501">
      <c r="A22501" s="1" t="s">
        <v>22500</v>
      </c>
      <c r="B22501" s="2" t="str">
        <f>IFERROR(__xludf.DUMMYFUNCTION("GOOGLETRANSLATE(A22501, ""de"", ""en"")"),"Sachs")</f>
        <v>Sachs</v>
      </c>
    </row>
    <row r="22502">
      <c r="A22502" s="1" t="s">
        <v>22501</v>
      </c>
      <c r="B22502" s="2" t="str">
        <f>IFERROR(__xludf.DUMMYFUNCTION("GOOGLETRANSLATE(A22502, ""de"", ""en"")"),"smells")</f>
        <v>smells</v>
      </c>
    </row>
    <row r="22503">
      <c r="A22503" s="1" t="s">
        <v>22502</v>
      </c>
      <c r="B22503" s="2" t="str">
        <f>IFERROR(__xludf.DUMMYFUNCTION("GOOGLETRANSLATE(A22503, ""de"", ""en"")"),"takes")</f>
        <v>takes</v>
      </c>
    </row>
    <row r="22504">
      <c r="A22504" s="1" t="s">
        <v>22503</v>
      </c>
      <c r="B22504" s="2" t="str">
        <f>IFERROR(__xludf.DUMMYFUNCTION("GOOGLETRANSLATE(A22504, ""de"", ""en"")"),"grandmaster")</f>
        <v>grandmaster</v>
      </c>
    </row>
    <row r="22505">
      <c r="A22505" s="1" t="s">
        <v>22504</v>
      </c>
      <c r="B22505" s="2" t="str">
        <f>IFERROR(__xludf.DUMMYFUNCTION("GOOGLETRANSLATE(A22505, ""de"", ""en"")"),"arsenic")</f>
        <v>arsenic</v>
      </c>
    </row>
    <row r="22506">
      <c r="A22506" s="1" t="s">
        <v>22505</v>
      </c>
      <c r="B22506" s="2" t="str">
        <f>IFERROR(__xludf.DUMMYFUNCTION("GOOGLETRANSLATE(A22506, ""de"", ""en"")"),"attempted murder")</f>
        <v>attempted murder</v>
      </c>
    </row>
    <row r="22507">
      <c r="A22507" s="1" t="s">
        <v>22506</v>
      </c>
      <c r="B22507" s="2" t="str">
        <f>IFERROR(__xludf.DUMMYFUNCTION("GOOGLETRANSLATE(A22507, ""de"", ""en"")"),"barren")</f>
        <v>barren</v>
      </c>
    </row>
    <row r="22508">
      <c r="A22508" s="1" t="s">
        <v>22507</v>
      </c>
      <c r="B22508" s="2" t="str">
        <f>IFERROR(__xludf.DUMMYFUNCTION("GOOGLETRANSLATE(A22508, ""de"", ""en"")"),"thunders")</f>
        <v>thunders</v>
      </c>
    </row>
    <row r="22509">
      <c r="A22509" s="1" t="s">
        <v>22508</v>
      </c>
      <c r="B22509" s="2" t="str">
        <f>IFERROR(__xludf.DUMMYFUNCTION("GOOGLETRANSLATE(A22509, ""de"", ""en"")"),"symptoms")</f>
        <v>symptoms</v>
      </c>
    </row>
    <row r="22510">
      <c r="A22510" s="1" t="s">
        <v>22509</v>
      </c>
      <c r="B22510" s="2" t="str">
        <f>IFERROR(__xludf.DUMMYFUNCTION("GOOGLETRANSLATE(A22510, ""de"", ""en"")"),"more efficient")</f>
        <v>more efficient</v>
      </c>
    </row>
    <row r="22511">
      <c r="A22511" s="1" t="s">
        <v>22510</v>
      </c>
      <c r="B22511" s="2" t="str">
        <f>IFERROR(__xludf.DUMMYFUNCTION("GOOGLETRANSLATE(A22511, ""de"", ""en"")"),"Humbert")</f>
        <v>Humbert</v>
      </c>
    </row>
    <row r="22512">
      <c r="A22512" s="1" t="s">
        <v>22511</v>
      </c>
      <c r="B22512" s="2" t="str">
        <f>IFERROR(__xludf.DUMMYFUNCTION("GOOGLETRANSLATE(A22512, ""de"", ""en"")"),"from there")</f>
        <v>from there</v>
      </c>
    </row>
    <row r="22513">
      <c r="A22513" s="1" t="s">
        <v>22512</v>
      </c>
      <c r="B22513" s="2" t="str">
        <f>IFERROR(__xludf.DUMMYFUNCTION("GOOGLETRANSLATE(A22513, ""de"", ""en"")"),"open up")</f>
        <v>open up</v>
      </c>
    </row>
    <row r="22514">
      <c r="A22514" s="1" t="s">
        <v>22513</v>
      </c>
      <c r="B22514" s="2" t="str">
        <f>IFERROR(__xludf.DUMMYFUNCTION("GOOGLETRANSLATE(A22514, ""de"", ""en"")"),"sinks")</f>
        <v>sinks</v>
      </c>
    </row>
    <row r="22515">
      <c r="A22515" s="1" t="s">
        <v>22514</v>
      </c>
      <c r="B22515" s="2" t="str">
        <f>IFERROR(__xludf.DUMMYFUNCTION("GOOGLETRANSLATE(A22515, ""de"", ""en"")"),"tomorrow")</f>
        <v>tomorrow</v>
      </c>
    </row>
    <row r="22516">
      <c r="A22516" s="1" t="s">
        <v>22515</v>
      </c>
      <c r="B22516" s="2" t="str">
        <f>IFERROR(__xludf.DUMMYFUNCTION("GOOGLETRANSLATE(A22516, ""de"", ""en"")"),"energies")</f>
        <v>energies</v>
      </c>
    </row>
    <row r="22517">
      <c r="A22517" s="1" t="s">
        <v>22516</v>
      </c>
      <c r="B22517" s="2" t="str">
        <f>IFERROR(__xludf.DUMMYFUNCTION("GOOGLETRANSLATE(A22517, ""de"", ""en"")"),"sound")</f>
        <v>sound</v>
      </c>
    </row>
    <row r="22518">
      <c r="A22518" s="1" t="s">
        <v>22517</v>
      </c>
      <c r="B22518" s="2" t="str">
        <f>IFERROR(__xludf.DUMMYFUNCTION("GOOGLETRANSLATE(A22518, ""de"", ""en"")"),"impotent")</f>
        <v>impotent</v>
      </c>
    </row>
    <row r="22519">
      <c r="A22519" s="1" t="s">
        <v>22518</v>
      </c>
      <c r="B22519" s="2" t="str">
        <f>IFERROR(__xludf.DUMMYFUNCTION("GOOGLETRANSLATE(A22519, ""de"", ""en"")"),"police sirens")</f>
        <v>police sirens</v>
      </c>
    </row>
    <row r="22520">
      <c r="A22520" s="1" t="s">
        <v>22519</v>
      </c>
      <c r="B22520" s="2" t="str">
        <f>IFERROR(__xludf.DUMMYFUNCTION("GOOGLETRANSLATE(A22520, ""de"", ""en"")"),"quill")</f>
        <v>quill</v>
      </c>
    </row>
    <row r="22521">
      <c r="A22521" s="1" t="s">
        <v>22520</v>
      </c>
      <c r="B22521" s="2" t="str">
        <f>IFERROR(__xludf.DUMMYFUNCTION("GOOGLETRANSLATE(A22521, ""de"", ""en"")"),"murder cases")</f>
        <v>murder cases</v>
      </c>
    </row>
    <row r="22522">
      <c r="A22522" s="1" t="s">
        <v>22521</v>
      </c>
      <c r="B22522" s="2" t="str">
        <f>IFERROR(__xludf.DUMMYFUNCTION("GOOGLETRANSLATE(A22522, ""de"", ""en"")"),"houdini")</f>
        <v>houdini</v>
      </c>
    </row>
    <row r="22523">
      <c r="A22523" s="1" t="s">
        <v>22522</v>
      </c>
      <c r="B22523" s="2" t="str">
        <f>IFERROR(__xludf.DUMMYFUNCTION("GOOGLETRANSLATE(A22523, ""de"", ""en"")"),"backdrop")</f>
        <v>backdrop</v>
      </c>
    </row>
    <row r="22524">
      <c r="A22524" s="1" t="s">
        <v>22523</v>
      </c>
      <c r="B22524" s="2" t="str">
        <f>IFERROR(__xludf.DUMMYFUNCTION("GOOGLETRANSLATE(A22524, ""de"", ""en"")"),"harmonica")</f>
        <v>harmonica</v>
      </c>
    </row>
    <row r="22525">
      <c r="A22525" s="1" t="s">
        <v>22524</v>
      </c>
      <c r="B22525" s="2" t="str">
        <f>IFERROR(__xludf.DUMMYFUNCTION("GOOGLETRANSLATE(A22525, ""de"", ""en"")"),"machine guns")</f>
        <v>machine guns</v>
      </c>
    </row>
    <row r="22526">
      <c r="A22526" s="1" t="s">
        <v>22525</v>
      </c>
      <c r="B22526" s="2" t="str">
        <f>IFERROR(__xludf.DUMMYFUNCTION("GOOGLETRANSLATE(A22526, ""de"", ""en"")"),"magical power")</f>
        <v>magical power</v>
      </c>
    </row>
    <row r="22527">
      <c r="A22527" s="1" t="s">
        <v>22526</v>
      </c>
      <c r="B22527" s="2" t="str">
        <f>IFERROR(__xludf.DUMMYFUNCTION("GOOGLETRANSLATE(A22527, ""de"", ""en"")"),"beginning")</f>
        <v>beginning</v>
      </c>
    </row>
    <row r="22528">
      <c r="A22528" s="1" t="s">
        <v>22527</v>
      </c>
      <c r="B22528" s="2" t="str">
        <f>IFERROR(__xludf.DUMMYFUNCTION("GOOGLETRANSLATE(A22528, ""de"", ""en"")"),"caught")</f>
        <v>caught</v>
      </c>
    </row>
    <row r="22529">
      <c r="A22529" s="1" t="s">
        <v>22528</v>
      </c>
      <c r="B22529" s="2" t="str">
        <f>IFERROR(__xludf.DUMMYFUNCTION("GOOGLETRANSLATE(A22529, ""de"", ""en"")"),"borden")</f>
        <v>borden</v>
      </c>
    </row>
    <row r="22530">
      <c r="A22530" s="1" t="s">
        <v>22529</v>
      </c>
      <c r="B22530" s="2" t="str">
        <f>IFERROR(__xludf.DUMMYFUNCTION("GOOGLETRANSLATE(A22530, ""de"", ""en"")"),"symbionts")</f>
        <v>symbionts</v>
      </c>
    </row>
    <row r="22531">
      <c r="A22531" s="1" t="s">
        <v>22530</v>
      </c>
      <c r="B22531" s="2" t="str">
        <f>IFERROR(__xludf.DUMMYFUNCTION("GOOGLETRANSLATE(A22531, ""de"", ""en"")"),"subdued")</f>
        <v>subdued</v>
      </c>
    </row>
    <row r="22532">
      <c r="A22532" s="1" t="s">
        <v>22531</v>
      </c>
      <c r="B22532" s="2" t="str">
        <f>IFERROR(__xludf.DUMMYFUNCTION("GOOGLETRANSLATE(A22532, ""de"", ""en"")"),"blood sugar")</f>
        <v>blood sugar</v>
      </c>
    </row>
    <row r="22533">
      <c r="A22533" s="1" t="s">
        <v>22532</v>
      </c>
      <c r="B22533" s="2" t="str">
        <f>IFERROR(__xludf.DUMMYFUNCTION("GOOGLETRANSLATE(A22533, ""de"", ""en"")"),"mcnulty")</f>
        <v>mcnulty</v>
      </c>
    </row>
    <row r="22534">
      <c r="A22534" s="1" t="s">
        <v>22533</v>
      </c>
      <c r="B22534" s="2" t="str">
        <f>IFERROR(__xludf.DUMMYFUNCTION("GOOGLETRANSLATE(A22534, ""de"", ""en"")"),"customs")</f>
        <v>customs</v>
      </c>
    </row>
    <row r="22535">
      <c r="A22535" s="1" t="s">
        <v>22534</v>
      </c>
      <c r="B22535" s="2" t="str">
        <f>IFERROR(__xludf.DUMMYFUNCTION("GOOGLETRANSLATE(A22535, ""de"", ""en"")"),"solar eclipse")</f>
        <v>solar eclipse</v>
      </c>
    </row>
    <row r="22536">
      <c r="A22536" s="1" t="s">
        <v>22535</v>
      </c>
      <c r="B22536" s="2" t="str">
        <f>IFERROR(__xludf.DUMMYFUNCTION("GOOGLETRANSLATE(A22536, ""de"", ""en"")"),"oblivion")</f>
        <v>oblivion</v>
      </c>
    </row>
    <row r="22537">
      <c r="A22537" s="1" t="s">
        <v>22536</v>
      </c>
      <c r="B22537" s="2" t="str">
        <f>IFERROR(__xludf.DUMMYFUNCTION("GOOGLETRANSLATE(A22537, ""de"", ""en"")"),"margaritas")</f>
        <v>margaritas</v>
      </c>
    </row>
    <row r="22538">
      <c r="A22538" s="1" t="s">
        <v>22537</v>
      </c>
      <c r="B22538" s="2" t="str">
        <f>IFERROR(__xludf.DUMMYFUNCTION("GOOGLETRANSLATE(A22538, ""de"", ""en"")"),"murder night")</f>
        <v>murder night</v>
      </c>
    </row>
    <row r="22539">
      <c r="A22539" s="1" t="s">
        <v>22538</v>
      </c>
      <c r="B22539" s="2" t="str">
        <f>IFERROR(__xludf.DUMMYFUNCTION("GOOGLETRANSLATE(A22539, ""de"", ""en"")"),"godfather")</f>
        <v>godfather</v>
      </c>
    </row>
    <row r="22540">
      <c r="A22540" s="1" t="s">
        <v>22539</v>
      </c>
      <c r="B22540" s="2" t="str">
        <f>IFERROR(__xludf.DUMMYFUNCTION("GOOGLETRANSLATE(A22540, ""de"", ""en"")"),"wasted")</f>
        <v>wasted</v>
      </c>
    </row>
    <row r="22541">
      <c r="A22541" s="1" t="s">
        <v>22540</v>
      </c>
      <c r="B22541" s="2" t="str">
        <f>IFERROR(__xludf.DUMMYFUNCTION("GOOGLETRANSLATE(A22541, ""de"", ""en"")"),"skynet")</f>
        <v>skynet</v>
      </c>
    </row>
    <row r="22542">
      <c r="A22542" s="1" t="s">
        <v>22541</v>
      </c>
      <c r="B22542" s="2" t="str">
        <f>IFERROR(__xludf.DUMMYFUNCTION("GOOGLETRANSLATE(A22542, ""de"", ""en"")"),"official")</f>
        <v>official</v>
      </c>
    </row>
    <row r="22543">
      <c r="A22543" s="1" t="s">
        <v>22542</v>
      </c>
      <c r="B22543" s="2" t="str">
        <f>IFERROR(__xludf.DUMMYFUNCTION("GOOGLETRANSLATE(A22543, ""de"", ""en"")"),"gerd")</f>
        <v>gerd</v>
      </c>
    </row>
    <row r="22544">
      <c r="A22544" s="1" t="s">
        <v>22543</v>
      </c>
      <c r="B22544" s="2" t="str">
        <f>IFERROR(__xludf.DUMMYFUNCTION("GOOGLETRANSLATE(A22544, ""de"", ""en"")"),"strip")</f>
        <v>strip</v>
      </c>
    </row>
    <row r="22545">
      <c r="A22545" s="1" t="s">
        <v>22544</v>
      </c>
      <c r="B22545" s="2" t="str">
        <f>IFERROR(__xludf.DUMMYFUNCTION("GOOGLETRANSLATE(A22545, ""de"", ""en"")"),"Egyptian")</f>
        <v>Egyptian</v>
      </c>
    </row>
    <row r="22546">
      <c r="A22546" s="1" t="s">
        <v>22545</v>
      </c>
      <c r="B22546" s="2" t="str">
        <f>IFERROR(__xludf.DUMMYFUNCTION("GOOGLETRANSLATE(A22546, ""de"", ""en"")"),"moth")</f>
        <v>moth</v>
      </c>
    </row>
    <row r="22547">
      <c r="A22547" s="1" t="s">
        <v>22546</v>
      </c>
      <c r="B22547" s="2" t="str">
        <f>IFERROR(__xludf.DUMMYFUNCTION("GOOGLETRANSLATE(A22547, ""de"", ""en"")"),"question mark")</f>
        <v>question mark</v>
      </c>
    </row>
    <row r="22548">
      <c r="A22548" s="1" t="s">
        <v>22547</v>
      </c>
      <c r="B22548" s="2" t="str">
        <f>IFERROR(__xludf.DUMMYFUNCTION("GOOGLETRANSLATE(A22548, ""de"", ""en"")"),"racetrack")</f>
        <v>racetrack</v>
      </c>
    </row>
    <row r="22549">
      <c r="A22549" s="1" t="s">
        <v>22548</v>
      </c>
      <c r="B22549" s="2" t="str">
        <f>IFERROR(__xludf.DUMMYFUNCTION("GOOGLETRANSLATE(A22549, ""de"", ""en"")"),"ellison")</f>
        <v>ellison</v>
      </c>
    </row>
    <row r="22550">
      <c r="A22550" s="1" t="s">
        <v>22549</v>
      </c>
      <c r="B22550" s="2" t="str">
        <f>IFERROR(__xludf.DUMMYFUNCTION("GOOGLETRANSLATE(A22550, ""de"", ""en"")"),"invisible")</f>
        <v>invisible</v>
      </c>
    </row>
    <row r="22551">
      <c r="A22551" s="1" t="s">
        <v>22550</v>
      </c>
      <c r="B22551" s="2" t="str">
        <f>IFERROR(__xludf.DUMMYFUNCTION("GOOGLETRANSLATE(A22551, ""de"", ""en"")"),"perseus")</f>
        <v>perseus</v>
      </c>
    </row>
    <row r="22552">
      <c r="A22552" s="1" t="s">
        <v>22551</v>
      </c>
      <c r="B22552" s="2" t="str">
        <f>IFERROR(__xludf.DUMMYFUNCTION("GOOGLETRANSLATE(A22552, ""de"", ""en"")"),"colonists")</f>
        <v>colonists</v>
      </c>
    </row>
    <row r="22553">
      <c r="A22553" s="1" t="s">
        <v>22552</v>
      </c>
      <c r="B22553" s="2" t="str">
        <f>IFERROR(__xludf.DUMMYFUNCTION("GOOGLETRANSLATE(A22553, ""de"", ""en"")"),"motorist")</f>
        <v>motorist</v>
      </c>
    </row>
    <row r="22554">
      <c r="A22554" s="1" t="s">
        <v>22553</v>
      </c>
      <c r="B22554" s="2" t="str">
        <f>IFERROR(__xludf.DUMMYFUNCTION("GOOGLETRANSLATE(A22554, ""de"", ""en"")"),"stretcher")</f>
        <v>stretcher</v>
      </c>
    </row>
    <row r="22555">
      <c r="A22555" s="1" t="s">
        <v>22554</v>
      </c>
      <c r="B22555" s="2" t="str">
        <f>IFERROR(__xludf.DUMMYFUNCTION("GOOGLETRANSLATE(A22555, ""de"", ""en"")"),"grandmother")</f>
        <v>grandmother</v>
      </c>
    </row>
    <row r="22556">
      <c r="A22556" s="1" t="s">
        <v>22555</v>
      </c>
      <c r="B22556" s="2" t="str">
        <f>IFERROR(__xludf.DUMMYFUNCTION("GOOGLETRANSLATE(A22556, ""de"", ""en"")"),"as possible")</f>
        <v>as possible</v>
      </c>
    </row>
    <row r="22557">
      <c r="A22557" s="1" t="s">
        <v>22556</v>
      </c>
      <c r="B22557" s="2" t="str">
        <f>IFERROR(__xludf.DUMMYFUNCTION("GOOGLETRANSLATE(A22557, ""de"", ""en"")"),"to proceed")</f>
        <v>to proceed</v>
      </c>
    </row>
    <row r="22558">
      <c r="A22558" s="1" t="s">
        <v>22557</v>
      </c>
      <c r="B22558" s="2" t="str">
        <f>IFERROR(__xludf.DUMMYFUNCTION("GOOGLETRANSLATE(A22558, ""de"", ""en"")"),"hiked")</f>
        <v>hiked</v>
      </c>
    </row>
    <row r="22559">
      <c r="A22559" s="1" t="s">
        <v>22558</v>
      </c>
      <c r="B22559" s="2" t="str">
        <f>IFERROR(__xludf.DUMMYFUNCTION("GOOGLETRANSLATE(A22559, ""de"", ""en"")"),"Luxembourg")</f>
        <v>Luxembourg</v>
      </c>
    </row>
    <row r="22560">
      <c r="A22560" s="1" t="s">
        <v>22559</v>
      </c>
      <c r="B22560" s="2" t="str">
        <f>IFERROR(__xludf.DUMMYFUNCTION("GOOGLETRANSLATE(A22560, ""de"", ""en"")"),"cut out")</f>
        <v>cut out</v>
      </c>
    </row>
    <row r="22561">
      <c r="A22561" s="1" t="s">
        <v>22560</v>
      </c>
      <c r="B22561" s="2" t="str">
        <f>IFERROR(__xludf.DUMMYFUNCTION("GOOGLETRANSLATE(A22561, ""de"", ""en"")"),"Celine")</f>
        <v>Celine</v>
      </c>
    </row>
    <row r="22562">
      <c r="A22562" s="1" t="s">
        <v>22561</v>
      </c>
      <c r="B22562" s="2" t="str">
        <f>IFERROR(__xludf.DUMMYFUNCTION("GOOGLETRANSLATE(A22562, ""de"", ""en"")"),"delivered")</f>
        <v>delivered</v>
      </c>
    </row>
    <row r="22563">
      <c r="A22563" s="1" t="s">
        <v>22562</v>
      </c>
      <c r="B22563" s="2" t="str">
        <f>IFERROR(__xludf.DUMMYFUNCTION("GOOGLETRANSLATE(A22563, ""de"", ""en"")"),"clamp")</f>
        <v>clamp</v>
      </c>
    </row>
    <row r="22564">
      <c r="A22564" s="1" t="s">
        <v>22563</v>
      </c>
      <c r="B22564" s="2" t="str">
        <f>IFERROR(__xludf.DUMMYFUNCTION("GOOGLETRANSLATE(A22564, ""de"", ""en"")"),"shouted")</f>
        <v>shouted</v>
      </c>
    </row>
    <row r="22565">
      <c r="A22565" s="1" t="s">
        <v>22564</v>
      </c>
      <c r="B22565" s="2" t="str">
        <f>IFERROR(__xludf.DUMMYFUNCTION("GOOGLETRANSLATE(A22565, ""de"", ""en"")"),"weapon systems")</f>
        <v>weapon systems</v>
      </c>
    </row>
    <row r="22566">
      <c r="A22566" s="1" t="s">
        <v>22565</v>
      </c>
      <c r="B22566" s="2" t="str">
        <f>IFERROR(__xludf.DUMMYFUNCTION("GOOGLETRANSLATE(A22566, ""de"", ""en"")"),"flock")</f>
        <v>flock</v>
      </c>
    </row>
    <row r="22567">
      <c r="A22567" s="1" t="s">
        <v>22566</v>
      </c>
      <c r="B22567" s="2" t="str">
        <f>IFERROR(__xludf.DUMMYFUNCTION("GOOGLETRANSLATE(A22567, ""de"", ""en"")"),"emails")</f>
        <v>emails</v>
      </c>
    </row>
    <row r="22568">
      <c r="A22568" s="1" t="s">
        <v>22567</v>
      </c>
      <c r="B22568" s="2" t="str">
        <f>IFERROR(__xludf.DUMMYFUNCTION("GOOGLETRANSLATE(A22568, ""de"", ""en"")"),"Jean Pierre")</f>
        <v>Jean Pierre</v>
      </c>
    </row>
    <row r="22569">
      <c r="A22569" s="1" t="s">
        <v>22568</v>
      </c>
      <c r="B22569" s="2" t="str">
        <f>IFERROR(__xludf.DUMMYFUNCTION("GOOGLETRANSLATE(A22569, ""de"", ""en"")"),"passions")</f>
        <v>passions</v>
      </c>
    </row>
    <row r="22570">
      <c r="A22570" s="1" t="s">
        <v>22569</v>
      </c>
      <c r="B22570" s="2" t="str">
        <f>IFERROR(__xludf.DUMMYFUNCTION("GOOGLETRANSLATE(A22570, ""de"", ""en"")"),"sketch")</f>
        <v>sketch</v>
      </c>
    </row>
    <row r="22571">
      <c r="A22571" s="1" t="s">
        <v>22570</v>
      </c>
      <c r="B22571" s="2" t="str">
        <f>IFERROR(__xludf.DUMMYFUNCTION("GOOGLETRANSLATE(A22571, ""de"", ""en"")"),"hoshi")</f>
        <v>hoshi</v>
      </c>
    </row>
    <row r="22572">
      <c r="A22572" s="1" t="s">
        <v>22571</v>
      </c>
      <c r="B22572" s="2" t="str">
        <f>IFERROR(__xludf.DUMMYFUNCTION("GOOGLETRANSLATE(A22572, ""de"", ""en"")"),"samuels")</f>
        <v>samuels</v>
      </c>
    </row>
    <row r="22573">
      <c r="A22573" s="1" t="s">
        <v>22572</v>
      </c>
      <c r="B22573" s="2" t="str">
        <f>IFERROR(__xludf.DUMMYFUNCTION("GOOGLETRANSLATE(A22573, ""de"", ""en"")"),"rolex")</f>
        <v>rolex</v>
      </c>
    </row>
    <row r="22574">
      <c r="A22574" s="1" t="s">
        <v>22573</v>
      </c>
      <c r="B22574" s="2" t="str">
        <f>IFERROR(__xludf.DUMMYFUNCTION("GOOGLETRANSLATE(A22574, ""de"", ""en"")"),"diaper soft")</f>
        <v>diaper soft</v>
      </c>
    </row>
    <row r="22575">
      <c r="A22575" s="1" t="s">
        <v>22574</v>
      </c>
      <c r="B22575" s="2" t="str">
        <f>IFERROR(__xludf.DUMMYFUNCTION("GOOGLETRANSLATE(A22575, ""de"", ""en"")"),"turn to")</f>
        <v>turn to</v>
      </c>
    </row>
    <row r="22576">
      <c r="A22576" s="1" t="s">
        <v>22575</v>
      </c>
      <c r="B22576" s="2" t="str">
        <f>IFERROR(__xludf.DUMMYFUNCTION("GOOGLETRANSLATE(A22576, ""de"", ""en"")"),"approach")</f>
        <v>approach</v>
      </c>
    </row>
    <row r="22577">
      <c r="A22577" s="1" t="s">
        <v>22576</v>
      </c>
      <c r="B22577" s="2" t="str">
        <f>IFERROR(__xludf.DUMMYFUNCTION("GOOGLETRANSLATE(A22577, ""de"", ""en"")"),"sgc")</f>
        <v>sgc</v>
      </c>
    </row>
    <row r="22578">
      <c r="A22578" s="1" t="s">
        <v>22577</v>
      </c>
      <c r="B22578" s="2" t="str">
        <f>IFERROR(__xludf.DUMMYFUNCTION("GOOGLETRANSLATE(A22578, ""de"", ""en"")"),"undertaker")</f>
        <v>undertaker</v>
      </c>
    </row>
    <row r="22579">
      <c r="A22579" s="1" t="s">
        <v>22578</v>
      </c>
      <c r="B22579" s="2" t="str">
        <f>IFERROR(__xludf.DUMMYFUNCTION("GOOGLETRANSLATE(A22579, ""de"", ""en"")"),"relay")</f>
        <v>relay</v>
      </c>
    </row>
    <row r="22580">
      <c r="A22580" s="1" t="s">
        <v>22579</v>
      </c>
      <c r="B22580" s="2" t="str">
        <f>IFERROR(__xludf.DUMMYFUNCTION("GOOGLETRANSLATE(A22580, ""de"", ""en"")"),"cardiff")</f>
        <v>cardiff</v>
      </c>
    </row>
    <row r="22581">
      <c r="A22581" s="1" t="s">
        <v>22580</v>
      </c>
      <c r="B22581" s="2" t="str">
        <f>IFERROR(__xludf.DUMMYFUNCTION("GOOGLETRANSLATE(A22581, ""de"", ""en"")"),"rascal")</f>
        <v>rascal</v>
      </c>
    </row>
    <row r="22582">
      <c r="A22582" s="1" t="s">
        <v>22581</v>
      </c>
      <c r="B22582" s="2" t="str">
        <f>IFERROR(__xludf.DUMMYFUNCTION("GOOGLETRANSLATE(A22582, ""de"", ""en"")"),"complains")</f>
        <v>complains</v>
      </c>
    </row>
    <row r="22583">
      <c r="A22583" s="1" t="s">
        <v>22582</v>
      </c>
      <c r="B22583" s="2" t="str">
        <f>IFERROR(__xludf.DUMMYFUNCTION("GOOGLETRANSLATE(A22583, ""de"", ""en"")"),"clever")</f>
        <v>clever</v>
      </c>
    </row>
    <row r="22584">
      <c r="A22584" s="1" t="s">
        <v>22583</v>
      </c>
      <c r="B22584" s="2" t="str">
        <f>IFERROR(__xludf.DUMMYFUNCTION("GOOGLETRANSLATE(A22584, ""de"", ""en"")"),"curses")</f>
        <v>curses</v>
      </c>
    </row>
    <row r="22585">
      <c r="A22585" s="1" t="s">
        <v>22584</v>
      </c>
      <c r="B22585" s="2" t="str">
        <f>IFERROR(__xludf.DUMMYFUNCTION("GOOGLETRANSLATE(A22585, ""de"", ""en"")"),"approach")</f>
        <v>approach</v>
      </c>
    </row>
    <row r="22586">
      <c r="A22586" s="1" t="s">
        <v>22585</v>
      </c>
      <c r="B22586" s="2" t="str">
        <f>IFERROR(__xludf.DUMMYFUNCTION("GOOGLETRANSLATE(A22586, ""de"", ""en"")"),"sale")</f>
        <v>sale</v>
      </c>
    </row>
    <row r="22587">
      <c r="A22587" s="1" t="s">
        <v>22586</v>
      </c>
      <c r="B22587" s="2" t="str">
        <f>IFERROR(__xludf.DUMMYFUNCTION("GOOGLETRANSLATE(A22587, ""de"", ""en"")"),"tomorrow")</f>
        <v>tomorrow</v>
      </c>
    </row>
    <row r="22588">
      <c r="A22588" s="1" t="s">
        <v>22587</v>
      </c>
      <c r="B22588" s="2" t="str">
        <f>IFERROR(__xludf.DUMMYFUNCTION("GOOGLETRANSLATE(A22588, ""de"", ""en"")"),"around")</f>
        <v>around</v>
      </c>
    </row>
    <row r="22589">
      <c r="A22589" s="1" t="s">
        <v>22588</v>
      </c>
      <c r="B22589" s="2" t="str">
        <f>IFERROR(__xludf.DUMMYFUNCTION("GOOGLETRANSLATE(A22589, ""de"", ""en"")"),"anatomy")</f>
        <v>anatomy</v>
      </c>
    </row>
    <row r="22590">
      <c r="A22590" s="1" t="s">
        <v>22589</v>
      </c>
      <c r="B22590" s="2" t="str">
        <f>IFERROR(__xludf.DUMMYFUNCTION("GOOGLETRANSLATE(A22590, ""de"", ""en"")"),"christopher")</f>
        <v>christopher</v>
      </c>
    </row>
    <row r="22591">
      <c r="A22591" s="1" t="s">
        <v>22590</v>
      </c>
      <c r="B22591" s="2" t="str">
        <f>IFERROR(__xludf.DUMMYFUNCTION("GOOGLETRANSLATE(A22591, ""de"", ""en"")"),"respect")</f>
        <v>respect</v>
      </c>
    </row>
    <row r="22592">
      <c r="A22592" s="1" t="s">
        <v>22591</v>
      </c>
      <c r="B22592" s="2" t="str">
        <f>IFERROR(__xludf.DUMMYFUNCTION("GOOGLETRANSLATE(A22592, ""de"", ""en"")"),"ruined")</f>
        <v>ruined</v>
      </c>
    </row>
    <row r="22593">
      <c r="A22593" s="1" t="s">
        <v>22592</v>
      </c>
      <c r="B22593" s="2" t="str">
        <f>IFERROR(__xludf.DUMMYFUNCTION("GOOGLETRANSLATE(A22593, ""de"", ""en"")"),"welfare")</f>
        <v>welfare</v>
      </c>
    </row>
    <row r="22594">
      <c r="A22594" s="1" t="s">
        <v>22593</v>
      </c>
      <c r="B22594" s="2" t="str">
        <f>IFERROR(__xludf.DUMMYFUNCTION("GOOGLETRANSLATE(A22594, ""de"", ""en"")"),"frenchy")</f>
        <v>frenchy</v>
      </c>
    </row>
    <row r="22595">
      <c r="A22595" s="1" t="s">
        <v>22594</v>
      </c>
      <c r="B22595" s="2" t="str">
        <f>IFERROR(__xludf.DUMMYFUNCTION("GOOGLETRANSLATE(A22595, ""de"", ""en"")"),"maiden name")</f>
        <v>maiden name</v>
      </c>
    </row>
    <row r="22596">
      <c r="A22596" s="1" t="s">
        <v>22595</v>
      </c>
      <c r="B22596" s="2" t="str">
        <f>IFERROR(__xludf.DUMMYFUNCTION("GOOGLETRANSLATE(A22596, ""de"", ""en"")"),"exchange ")</f>
        <v>exchange </v>
      </c>
    </row>
    <row r="22597">
      <c r="A22597" s="1" t="s">
        <v>22596</v>
      </c>
      <c r="B22597" s="2" t="str">
        <f>IFERROR(__xludf.DUMMYFUNCTION("GOOGLETRANSLATE(A22597, ""de"", ""en"")"),"close up")</f>
        <v>close up</v>
      </c>
    </row>
    <row r="22598">
      <c r="A22598" s="1" t="s">
        <v>22597</v>
      </c>
      <c r="B22598" s="2" t="str">
        <f>IFERROR(__xludf.DUMMYFUNCTION("GOOGLETRANSLATE(A22598, ""de"", ""en"")"),"anything")</f>
        <v>anything</v>
      </c>
    </row>
    <row r="22599">
      <c r="A22599" s="1" t="s">
        <v>22598</v>
      </c>
      <c r="B22599" s="2" t="str">
        <f>IFERROR(__xludf.DUMMYFUNCTION("GOOGLETRANSLATE(A22599, ""de"", ""en"")"),"ramses")</f>
        <v>ramses</v>
      </c>
    </row>
    <row r="22600">
      <c r="A22600" s="1" t="s">
        <v>22599</v>
      </c>
      <c r="B22600" s="2" t="str">
        <f>IFERROR(__xludf.DUMMYFUNCTION("GOOGLETRANSLATE(A22600, ""de"", ""en"")"),"hideous")</f>
        <v>hideous</v>
      </c>
    </row>
    <row r="22601">
      <c r="A22601" s="1" t="s">
        <v>22600</v>
      </c>
      <c r="B22601" s="2" t="str">
        <f>IFERROR(__xludf.DUMMYFUNCTION("GOOGLETRANSLATE(A22601, ""de"", ""en"")"),"predators")</f>
        <v>predators</v>
      </c>
    </row>
    <row r="22602">
      <c r="A22602" s="1" t="s">
        <v>22601</v>
      </c>
      <c r="B22602" s="2" t="str">
        <f>IFERROR(__xludf.DUMMYFUNCTION("GOOGLETRANSLATE(A22602, ""de"", ""en"")"),"newport")</f>
        <v>newport</v>
      </c>
    </row>
    <row r="22603">
      <c r="A22603" s="1" t="s">
        <v>22602</v>
      </c>
      <c r="B22603" s="2" t="str">
        <f>IFERROR(__xludf.DUMMYFUNCTION("GOOGLETRANSLATE(A22603, ""de"", ""en"")"),"shopkeeper")</f>
        <v>shopkeeper</v>
      </c>
    </row>
    <row r="22604">
      <c r="A22604" s="1" t="s">
        <v>22603</v>
      </c>
      <c r="B22604" s="2" t="str">
        <f>IFERROR(__xludf.DUMMYFUNCTION("GOOGLETRANSLATE(A22604, ""de"", ""en"")"),"to reverse")</f>
        <v>to reverse</v>
      </c>
    </row>
    <row r="22605">
      <c r="A22605" s="1" t="s">
        <v>22604</v>
      </c>
      <c r="B22605" s="2" t="str">
        <f>IFERROR(__xludf.DUMMYFUNCTION("GOOGLETRANSLATE(A22605, ""de"", ""en"")"),"animal")</f>
        <v>animal</v>
      </c>
    </row>
    <row r="22606">
      <c r="A22606" s="1" t="s">
        <v>22605</v>
      </c>
      <c r="B22606" s="2" t="str">
        <f>IFERROR(__xludf.DUMMYFUNCTION("GOOGLETRANSLATE(A22606, ""de"", ""en"")"),"tumult")</f>
        <v>tumult</v>
      </c>
    </row>
    <row r="22607">
      <c r="A22607" s="1" t="s">
        <v>22606</v>
      </c>
      <c r="B22607" s="2" t="str">
        <f>IFERROR(__xludf.DUMMYFUNCTION("GOOGLETRANSLATE(A22607, ""de"", ""en"")"),"one thousand")</f>
        <v>one thousand</v>
      </c>
    </row>
    <row r="22608">
      <c r="A22608" s="1" t="s">
        <v>22607</v>
      </c>
      <c r="B22608" s="2" t="str">
        <f>IFERROR(__xludf.DUMMYFUNCTION("GOOGLETRANSLATE(A22608, ""de"", ""en"")"),"dying")</f>
        <v>dying</v>
      </c>
    </row>
    <row r="22609">
      <c r="A22609" s="1" t="s">
        <v>22608</v>
      </c>
      <c r="B22609" s="2" t="str">
        <f>IFERROR(__xludf.DUMMYFUNCTION("GOOGLETRANSLATE(A22609, ""de"", ""en"")"),"get engaged")</f>
        <v>get engaged</v>
      </c>
    </row>
    <row r="22610">
      <c r="A22610" s="1" t="s">
        <v>22609</v>
      </c>
      <c r="B22610" s="2" t="str">
        <f>IFERROR(__xludf.DUMMYFUNCTION("GOOGLETRANSLATE(A22610, ""de"", ""en"")"),"besieged")</f>
        <v>besieged</v>
      </c>
    </row>
    <row r="22611">
      <c r="A22611" s="1" t="s">
        <v>22610</v>
      </c>
      <c r="B22611" s="2" t="str">
        <f>IFERROR(__xludf.DUMMYFUNCTION("GOOGLETRANSLATE(A22611, ""de"", ""en"")"),"unfold")</f>
        <v>unfold</v>
      </c>
    </row>
    <row r="22612">
      <c r="A22612" s="1" t="s">
        <v>22611</v>
      </c>
      <c r="B22612" s="2" t="str">
        <f>IFERROR(__xludf.DUMMYFUNCTION("GOOGLETRANSLATE(A22612, ""de"", ""en"")"),"tenth")</f>
        <v>tenth</v>
      </c>
    </row>
    <row r="22613">
      <c r="A22613" s="1" t="s">
        <v>22612</v>
      </c>
      <c r="B22613" s="2" t="str">
        <f>IFERROR(__xludf.DUMMYFUNCTION("GOOGLETRANSLATE(A22613, ""de"", ""en"")"),"druids")</f>
        <v>druids</v>
      </c>
    </row>
    <row r="22614">
      <c r="A22614" s="1" t="s">
        <v>22613</v>
      </c>
      <c r="B22614" s="2" t="str">
        <f>IFERROR(__xludf.DUMMYFUNCTION("GOOGLETRANSLATE(A22614, ""de"", ""en"")"),"desire")</f>
        <v>desire</v>
      </c>
    </row>
    <row r="22615">
      <c r="A22615" s="1" t="s">
        <v>22614</v>
      </c>
      <c r="B22615" s="2" t="str">
        <f>IFERROR(__xludf.DUMMYFUNCTION("GOOGLETRANSLATE(A22615, ""de"", ""en"")"),"listened")</f>
        <v>listened</v>
      </c>
    </row>
    <row r="22616">
      <c r="A22616" s="1" t="s">
        <v>22615</v>
      </c>
      <c r="B22616" s="2" t="str">
        <f>IFERROR(__xludf.DUMMYFUNCTION("GOOGLETRANSLATE(A22616, ""de"", ""en"")"),"bu")</f>
        <v>bu</v>
      </c>
    </row>
    <row r="22617">
      <c r="A22617" s="1" t="s">
        <v>22616</v>
      </c>
      <c r="B22617" s="2" t="str">
        <f>IFERROR(__xludf.DUMMYFUNCTION("GOOGLETRANSLATE(A22617, ""de"", ""en"")"),"arc")</f>
        <v>arc</v>
      </c>
    </row>
    <row r="22618">
      <c r="A22618" s="1" t="s">
        <v>22617</v>
      </c>
      <c r="B22618" s="2" t="str">
        <f>IFERROR(__xludf.DUMMYFUNCTION("GOOGLETRANSLATE(A22618, ""de"", ""en"")"),"sensor")</f>
        <v>sensor</v>
      </c>
    </row>
    <row r="22619">
      <c r="A22619" s="1" t="s">
        <v>22618</v>
      </c>
      <c r="B22619" s="2" t="str">
        <f>IFERROR(__xludf.DUMMYFUNCTION("GOOGLETRANSLATE(A22619, ""de"", ""en"")"),"Romain")</f>
        <v>Romain</v>
      </c>
    </row>
    <row r="22620">
      <c r="A22620" s="1" t="s">
        <v>22619</v>
      </c>
      <c r="B22620" s="2" t="str">
        <f>IFERROR(__xludf.DUMMYFUNCTION("GOOGLETRANSLATE(A22620, ""de"", ""en"")"),"Emilia")</f>
        <v>Emilia</v>
      </c>
    </row>
    <row r="22621">
      <c r="A22621" s="1" t="s">
        <v>22620</v>
      </c>
      <c r="B22621" s="2" t="str">
        <f>IFERROR(__xludf.DUMMYFUNCTION("GOOGLETRANSLATE(A22621, ""de"", ""en"")"),"wide")</f>
        <v>wide</v>
      </c>
    </row>
    <row r="22622">
      <c r="A22622" s="1" t="s">
        <v>22621</v>
      </c>
      <c r="B22622" s="2" t="str">
        <f>IFERROR(__xludf.DUMMYFUNCTION("GOOGLETRANSLATE(A22622, ""de"", ""en"")"),"stage")</f>
        <v>stage</v>
      </c>
    </row>
    <row r="22623">
      <c r="A22623" s="1" t="s">
        <v>22622</v>
      </c>
      <c r="B22623" s="2" t="str">
        <f>IFERROR(__xludf.DUMMYFUNCTION("GOOGLETRANSLATE(A22623, ""de"", ""en"")"),"accepted")</f>
        <v>accepted</v>
      </c>
    </row>
    <row r="22624">
      <c r="A22624" s="1" t="s">
        <v>22623</v>
      </c>
      <c r="B22624" s="2" t="str">
        <f>IFERROR(__xludf.DUMMYFUNCTION("GOOGLETRANSLATE(A22624, ""de"", ""en"")"),"clancy")</f>
        <v>clancy</v>
      </c>
    </row>
    <row r="22625">
      <c r="A22625" s="1" t="s">
        <v>22624</v>
      </c>
      <c r="B22625" s="2" t="str">
        <f>IFERROR(__xludf.DUMMYFUNCTION("GOOGLETRANSLATE(A22625, ""de"", ""en"")"),"money laundering")</f>
        <v>money laundering</v>
      </c>
    </row>
    <row r="22626">
      <c r="A22626" s="1" t="s">
        <v>22625</v>
      </c>
      <c r="B22626" s="2" t="str">
        <f>IFERROR(__xludf.DUMMYFUNCTION("GOOGLETRANSLATE(A22626, ""de"", ""en"")"),"valuables")</f>
        <v>valuables</v>
      </c>
    </row>
    <row r="22627">
      <c r="A22627" s="1" t="s">
        <v>22626</v>
      </c>
      <c r="B22627" s="2" t="str">
        <f>IFERROR(__xludf.DUMMYFUNCTION("GOOGLETRANSLATE(A22627, ""de"", ""en"")"),"gasp")</f>
        <v>gasp</v>
      </c>
    </row>
    <row r="22628">
      <c r="A22628" s="1" t="s">
        <v>22627</v>
      </c>
      <c r="B22628" s="2" t="str">
        <f>IFERROR(__xludf.DUMMYFUNCTION("GOOGLETRANSLATE(A22628, ""de"", ""en"")"),"outliers")</f>
        <v>outliers</v>
      </c>
    </row>
    <row r="22629">
      <c r="A22629" s="1" t="s">
        <v>22628</v>
      </c>
      <c r="B22629" s="2" t="str">
        <f>IFERROR(__xludf.DUMMYFUNCTION("GOOGLETRANSLATE(A22629, ""de"", ""en"")"),"preloaded")</f>
        <v>preloaded</v>
      </c>
    </row>
    <row r="22630">
      <c r="A22630" s="1" t="s">
        <v>22629</v>
      </c>
      <c r="B22630" s="2" t="str">
        <f>IFERROR(__xludf.DUMMYFUNCTION("GOOGLETRANSLATE(A22630, ""de"", ""en"")"),"Emma")</f>
        <v>Emma</v>
      </c>
    </row>
    <row r="22631">
      <c r="A22631" s="1" t="s">
        <v>22630</v>
      </c>
      <c r="B22631" s="2" t="str">
        <f>IFERROR(__xludf.DUMMYFUNCTION("GOOGLETRANSLATE(A22631, ""de"", ""en"")"),"anarchy")</f>
        <v>anarchy</v>
      </c>
    </row>
    <row r="22632">
      <c r="A22632" s="1" t="s">
        <v>22631</v>
      </c>
      <c r="B22632" s="2" t="str">
        <f>IFERROR(__xludf.DUMMYFUNCTION("GOOGLETRANSLATE(A22632, ""de"", ""en"")"),"state prison")</f>
        <v>state prison</v>
      </c>
    </row>
    <row r="22633">
      <c r="A22633" s="1" t="s">
        <v>22632</v>
      </c>
      <c r="B22633" s="2" t="str">
        <f>IFERROR(__xludf.DUMMYFUNCTION("GOOGLETRANSLATE(A22633, ""de"", ""en"")"),"casablanca")</f>
        <v>casablanca</v>
      </c>
    </row>
    <row r="22634">
      <c r="A22634" s="1" t="s">
        <v>22633</v>
      </c>
      <c r="B22634" s="2" t="str">
        <f>IFERROR(__xludf.DUMMYFUNCTION("GOOGLETRANSLATE(A22634, ""de"", ""en"")"),"approx")</f>
        <v>approx</v>
      </c>
    </row>
    <row r="22635">
      <c r="A22635" s="1" t="s">
        <v>22634</v>
      </c>
      <c r="B22635" s="2" t="str">
        <f>IFERROR(__xludf.DUMMYFUNCTION("GOOGLETRANSLATE(A22635, ""de"", ""en"")"),"definitely")</f>
        <v>definitely</v>
      </c>
    </row>
    <row r="22636">
      <c r="A22636" s="1" t="s">
        <v>22635</v>
      </c>
      <c r="B22636" s="2" t="str">
        <f>IFERROR(__xludf.DUMMYFUNCTION("GOOGLETRANSLATE(A22636, ""de"", ""en"")"),"fists")</f>
        <v>fists</v>
      </c>
    </row>
    <row r="22637">
      <c r="A22637" s="1" t="s">
        <v>22636</v>
      </c>
      <c r="B22637" s="2" t="str">
        <f>IFERROR(__xludf.DUMMYFUNCTION("GOOGLETRANSLATE(A22637, ""de"", ""en"")"),"extinguished")</f>
        <v>extinguished</v>
      </c>
    </row>
    <row r="22638">
      <c r="A22638" s="1" t="s">
        <v>22637</v>
      </c>
      <c r="B22638" s="2" t="str">
        <f>IFERROR(__xludf.DUMMYFUNCTION("GOOGLETRANSLATE(A22638, ""de"", ""en"")"),"check in")</f>
        <v>check in</v>
      </c>
    </row>
    <row r="22639">
      <c r="A22639" s="1" t="s">
        <v>22638</v>
      </c>
      <c r="B22639" s="2" t="str">
        <f>IFERROR(__xludf.DUMMYFUNCTION("GOOGLETRANSLATE(A22639, ""de"", ""en"")"),"jaye")</f>
        <v>jaye</v>
      </c>
    </row>
    <row r="22640">
      <c r="A22640" s="1" t="s">
        <v>22639</v>
      </c>
      <c r="B22640" s="2" t="str">
        <f>IFERROR(__xludf.DUMMYFUNCTION("GOOGLETRANSLATE(A22640, ""de"", ""en"")"),"malefactor")</f>
        <v>malefactor</v>
      </c>
    </row>
    <row r="22641">
      <c r="A22641" s="1" t="s">
        <v>22640</v>
      </c>
      <c r="B22641" s="2" t="str">
        <f>IFERROR(__xludf.DUMMYFUNCTION("GOOGLETRANSLATE(A22641, ""de"", ""en"")"),"distribution")</f>
        <v>distribution</v>
      </c>
    </row>
    <row r="22642">
      <c r="A22642" s="1" t="s">
        <v>22641</v>
      </c>
      <c r="B22642" s="2" t="str">
        <f>IFERROR(__xludf.DUMMYFUNCTION("GOOGLETRANSLATE(A22642, ""de"", ""en"")"),"waverly")</f>
        <v>waverly</v>
      </c>
    </row>
    <row r="22643">
      <c r="A22643" s="1" t="s">
        <v>22642</v>
      </c>
      <c r="B22643" s="2" t="str">
        <f>IFERROR(__xludf.DUMMYFUNCTION("GOOGLETRANSLATE(A22643, ""de"", ""en"")"),"sincere")</f>
        <v>sincere</v>
      </c>
    </row>
    <row r="22644">
      <c r="A22644" s="1" t="s">
        <v>22643</v>
      </c>
      <c r="B22644" s="2" t="str">
        <f>IFERROR(__xludf.DUMMYFUNCTION("GOOGLETRANSLATE(A22644, ""de"", ""en"")"),"components")</f>
        <v>components</v>
      </c>
    </row>
    <row r="22645">
      <c r="A22645" s="1" t="s">
        <v>22644</v>
      </c>
      <c r="B22645" s="2" t="str">
        <f>IFERROR(__xludf.DUMMYFUNCTION("GOOGLETRANSLATE(A22645, ""de"", ""en"")"),"reading")</f>
        <v>reading</v>
      </c>
    </row>
    <row r="22646">
      <c r="A22646" s="1" t="s">
        <v>22645</v>
      </c>
      <c r="B22646" s="2" t="str">
        <f>IFERROR(__xludf.DUMMYFUNCTION("GOOGLETRANSLATE(A22646, ""de"", ""en"")"),"diggle")</f>
        <v>diggle</v>
      </c>
    </row>
    <row r="22647">
      <c r="A22647" s="1" t="s">
        <v>22646</v>
      </c>
      <c r="B22647" s="2" t="str">
        <f>IFERROR(__xludf.DUMMYFUNCTION("GOOGLETRANSLATE(A22647, ""de"", ""en"")"),"raines")</f>
        <v>raines</v>
      </c>
    </row>
    <row r="22648">
      <c r="A22648" s="1" t="s">
        <v>22647</v>
      </c>
      <c r="B22648" s="2" t="str">
        <f>IFERROR(__xludf.DUMMYFUNCTION("GOOGLETRANSLATE(A22648, ""de"", ""en"")"),"dempsey")</f>
        <v>dempsey</v>
      </c>
    </row>
    <row r="22649">
      <c r="A22649" s="1" t="s">
        <v>22648</v>
      </c>
      <c r="B22649" s="2" t="str">
        <f>IFERROR(__xludf.DUMMYFUNCTION("GOOGLETRANSLATE(A22649, ""de"", ""en"")"),"swann")</f>
        <v>swann</v>
      </c>
    </row>
    <row r="22650">
      <c r="A22650" s="1" t="s">
        <v>22649</v>
      </c>
      <c r="B22650" s="2" t="str">
        <f>IFERROR(__xludf.DUMMYFUNCTION("GOOGLETRANSLATE(A22650, ""de"", ""en"")"),"to grow up")</f>
        <v>to grow up</v>
      </c>
    </row>
    <row r="22651">
      <c r="A22651" s="1" t="s">
        <v>22650</v>
      </c>
      <c r="B22651" s="2" t="str">
        <f>IFERROR(__xludf.DUMMYFUNCTION("GOOGLETRANSLATE(A22651, ""de"", ""en"")"),"jr.")</f>
        <v>jr.</v>
      </c>
    </row>
    <row r="22652">
      <c r="A22652" s="1" t="s">
        <v>22651</v>
      </c>
      <c r="B22652" s="2" t="str">
        <f>IFERROR(__xludf.DUMMYFUNCTION("GOOGLETRANSLATE(A22652, ""de"", ""en"")"),"fireball")</f>
        <v>fireball</v>
      </c>
    </row>
    <row r="22653">
      <c r="A22653" s="1" t="s">
        <v>22652</v>
      </c>
      <c r="B22653" s="2" t="str">
        <f>IFERROR(__xludf.DUMMYFUNCTION("GOOGLETRANSLATE(A22653, ""de"", ""en"")"),"autopilot")</f>
        <v>autopilot</v>
      </c>
    </row>
    <row r="22654">
      <c r="A22654" s="1" t="s">
        <v>22653</v>
      </c>
      <c r="B22654" s="2" t="str">
        <f>IFERROR(__xludf.DUMMYFUNCTION("GOOGLETRANSLATE(A22654, ""de"", ""en"")"),"barnum")</f>
        <v>barnum</v>
      </c>
    </row>
    <row r="22655">
      <c r="A22655" s="1" t="s">
        <v>22654</v>
      </c>
      <c r="B22655" s="2" t="str">
        <f>IFERROR(__xludf.DUMMYFUNCTION("GOOGLETRANSLATE(A22655, ""de"", ""en"")"),"outwitted")</f>
        <v>outwitted</v>
      </c>
    </row>
    <row r="22656">
      <c r="A22656" s="1" t="s">
        <v>22655</v>
      </c>
      <c r="B22656" s="2" t="str">
        <f>IFERROR(__xludf.DUMMYFUNCTION("GOOGLETRANSLATE(A22656, ""de"", ""en"")"),"merits")</f>
        <v>merits</v>
      </c>
    </row>
    <row r="22657">
      <c r="A22657" s="1" t="s">
        <v>22656</v>
      </c>
      <c r="B22657" s="2" t="str">
        <f>IFERROR(__xludf.DUMMYFUNCTION("GOOGLETRANSLATE(A22657, ""de"", ""en"")"),"disturbing")</f>
        <v>disturbing</v>
      </c>
    </row>
    <row r="22658">
      <c r="A22658" s="1" t="s">
        <v>22657</v>
      </c>
      <c r="B22658" s="2" t="str">
        <f>IFERROR(__xludf.DUMMYFUNCTION("GOOGLETRANSLATE(A22658, ""de"", ""en"")"),"circuits")</f>
        <v>circuits</v>
      </c>
    </row>
    <row r="22659">
      <c r="A22659" s="1" t="s">
        <v>22658</v>
      </c>
      <c r="B22659" s="2" t="str">
        <f>IFERROR(__xludf.DUMMYFUNCTION("GOOGLETRANSLATE(A22659, ""de"", ""en"")"),"rhode")</f>
        <v>rhode</v>
      </c>
    </row>
    <row r="22660">
      <c r="A22660" s="1" t="s">
        <v>22659</v>
      </c>
      <c r="B22660" s="2" t="str">
        <f>IFERROR(__xludf.DUMMYFUNCTION("GOOGLETRANSLATE(A22660, ""de"", ""en"")"),"straight")</f>
        <v>straight</v>
      </c>
    </row>
    <row r="22661">
      <c r="A22661" s="1" t="s">
        <v>22660</v>
      </c>
      <c r="B22661" s="2" t="str">
        <f>IFERROR(__xludf.DUMMYFUNCTION("GOOGLETRANSLATE(A22661, ""de"", ""en"")"),"hottest")</f>
        <v>hottest</v>
      </c>
    </row>
    <row r="22662">
      <c r="A22662" s="1" t="s">
        <v>22661</v>
      </c>
      <c r="B22662" s="2" t="str">
        <f>IFERROR(__xludf.DUMMYFUNCTION("GOOGLETRANSLATE(A22662, ""de"", ""en"")"),"punctuality")</f>
        <v>punctuality</v>
      </c>
    </row>
    <row r="22663">
      <c r="A22663" s="1" t="s">
        <v>22662</v>
      </c>
      <c r="B22663" s="2" t="str">
        <f>IFERROR(__xludf.DUMMYFUNCTION("GOOGLETRANSLATE(A22663, ""de"", ""en"")"),"dynamics")</f>
        <v>dynamics</v>
      </c>
    </row>
    <row r="22664">
      <c r="A22664" s="1" t="s">
        <v>22663</v>
      </c>
      <c r="B22664" s="2" t="str">
        <f>IFERROR(__xludf.DUMMYFUNCTION("GOOGLETRANSLATE(A22664, ""de"", ""en"")"),"dormitory")</f>
        <v>dormitory</v>
      </c>
    </row>
    <row r="22665">
      <c r="A22665" s="1" t="s">
        <v>22664</v>
      </c>
      <c r="B22665" s="2" t="str">
        <f>IFERROR(__xludf.DUMMYFUNCTION("GOOGLETRANSLATE(A22665, ""de"", ""en"")"),"blown away")</f>
        <v>blown away</v>
      </c>
    </row>
    <row r="22666">
      <c r="A22666" s="1" t="s">
        <v>22665</v>
      </c>
      <c r="B22666" s="2" t="str">
        <f>IFERROR(__xludf.DUMMYFUNCTION("GOOGLETRANSLATE(A22666, ""de"", ""en"")"),"bone marrow")</f>
        <v>bone marrow</v>
      </c>
    </row>
    <row r="22667">
      <c r="A22667" s="1" t="s">
        <v>22666</v>
      </c>
      <c r="B22667" s="2" t="str">
        <f>IFERROR(__xludf.DUMMYFUNCTION("GOOGLETRANSLATE(A22667, ""de"", ""en"")"),"document")</f>
        <v>document</v>
      </c>
    </row>
    <row r="22668">
      <c r="A22668" s="1" t="s">
        <v>22667</v>
      </c>
      <c r="B22668" s="2" t="str">
        <f>IFERROR(__xludf.DUMMYFUNCTION("GOOGLETRANSLATE(A22668, ""de"", ""en"")"),"disappoint")</f>
        <v>disappoint</v>
      </c>
    </row>
    <row r="22669">
      <c r="A22669" s="1" t="s">
        <v>22668</v>
      </c>
      <c r="B22669" s="2" t="str">
        <f>IFERROR(__xludf.DUMMYFUNCTION("GOOGLETRANSLATE(A22669, ""de"", ""en"")"),"hub")</f>
        <v>hub</v>
      </c>
    </row>
    <row r="22670">
      <c r="A22670" s="1" t="s">
        <v>22669</v>
      </c>
      <c r="B22670" s="2" t="str">
        <f>IFERROR(__xludf.DUMMYFUNCTION("GOOGLETRANSLATE(A22670, ""de"", ""en"")"),"domestic")</f>
        <v>domestic</v>
      </c>
    </row>
    <row r="22671">
      <c r="A22671" s="1" t="s">
        <v>22670</v>
      </c>
      <c r="B22671" s="2" t="str">
        <f>IFERROR(__xludf.DUMMYFUNCTION("GOOGLETRANSLATE(A22671, ""de"", ""en"")"),"bait")</f>
        <v>bait</v>
      </c>
    </row>
    <row r="22672">
      <c r="A22672" s="1" t="s">
        <v>22671</v>
      </c>
      <c r="B22672" s="2" t="str">
        <f>IFERROR(__xludf.DUMMYFUNCTION("GOOGLETRANSLATE(A22672, ""de"", ""en"")"),"aircraft")</f>
        <v>aircraft</v>
      </c>
    </row>
    <row r="22673">
      <c r="A22673" s="1" t="s">
        <v>22672</v>
      </c>
      <c r="B22673" s="2" t="str">
        <f>IFERROR(__xludf.DUMMYFUNCTION("GOOGLETRANSLATE(A22673, ""de"", ""en"")"),"sub")</f>
        <v>sub</v>
      </c>
    </row>
    <row r="22674">
      <c r="A22674" s="1" t="s">
        <v>22673</v>
      </c>
      <c r="B22674" s="2" t="str">
        <f>IFERROR(__xludf.DUMMYFUNCTION("GOOGLETRANSLATE(A22674, ""de"", ""en"")"),"underground")</f>
        <v>underground</v>
      </c>
    </row>
    <row r="22675">
      <c r="A22675" s="1" t="s">
        <v>22674</v>
      </c>
      <c r="B22675" s="2" t="str">
        <f>IFERROR(__xludf.DUMMYFUNCTION("GOOGLETRANSLATE(A22675, ""de"", ""en"")"),"elvira")</f>
        <v>elvira</v>
      </c>
    </row>
    <row r="22676">
      <c r="A22676" s="1" t="s">
        <v>22675</v>
      </c>
      <c r="B22676" s="2" t="str">
        <f>IFERROR(__xludf.DUMMYFUNCTION("GOOGLETRANSLATE(A22676, ""de"", ""en"")"),"nailed")</f>
        <v>nailed</v>
      </c>
    </row>
    <row r="22677">
      <c r="A22677" s="1" t="s">
        <v>22676</v>
      </c>
      <c r="B22677" s="2" t="str">
        <f>IFERROR(__xludf.DUMMYFUNCTION("GOOGLETRANSLATE(A22677, ""de"", ""en"")"),"universal")</f>
        <v>universal</v>
      </c>
    </row>
    <row r="22678">
      <c r="A22678" s="1" t="s">
        <v>22677</v>
      </c>
      <c r="B22678" s="2" t="str">
        <f>IFERROR(__xludf.DUMMYFUNCTION("GOOGLETRANSLATE(A22678, ""de"", ""en"")"),"egoist")</f>
        <v>egoist</v>
      </c>
    </row>
    <row r="22679">
      <c r="A22679" s="1" t="s">
        <v>22678</v>
      </c>
      <c r="B22679" s="2" t="str">
        <f>IFERROR(__xludf.DUMMYFUNCTION("GOOGLETRANSLATE(A22679, ""de"", ""en"")"),"prize money")</f>
        <v>prize money</v>
      </c>
    </row>
    <row r="22680">
      <c r="A22680" s="1" t="s">
        <v>22679</v>
      </c>
      <c r="B22680" s="2" t="str">
        <f>IFERROR(__xludf.DUMMYFUNCTION("GOOGLETRANSLATE(A22680, ""de"", ""en"")"),"scholars")</f>
        <v>scholars</v>
      </c>
    </row>
    <row r="22681">
      <c r="A22681" s="1" t="s">
        <v>22680</v>
      </c>
      <c r="B22681" s="2" t="str">
        <f>IFERROR(__xludf.DUMMYFUNCTION("GOOGLETRANSLATE(A22681, ""de"", ""en"")"),"define")</f>
        <v>define</v>
      </c>
    </row>
    <row r="22682">
      <c r="A22682" s="1" t="s">
        <v>22681</v>
      </c>
      <c r="B22682" s="2" t="str">
        <f>IFERROR(__xludf.DUMMYFUNCTION("GOOGLETRANSLATE(A22682, ""de"", ""en"")"),"illegal")</f>
        <v>illegal</v>
      </c>
    </row>
    <row r="22683">
      <c r="A22683" s="1" t="s">
        <v>22682</v>
      </c>
      <c r="B22683" s="2" t="str">
        <f>IFERROR(__xludf.DUMMYFUNCTION("GOOGLETRANSLATE(A22683, ""de"", ""en"")"),"drunk")</f>
        <v>drunk</v>
      </c>
    </row>
    <row r="22684">
      <c r="A22684" s="1" t="s">
        <v>22683</v>
      </c>
      <c r="B22684" s="2" t="str">
        <f>IFERROR(__xludf.DUMMYFUNCTION("GOOGLETRANSLATE(A22684, ""de"", ""en"")"),"Dresden")</f>
        <v>Dresden</v>
      </c>
    </row>
    <row r="22685">
      <c r="A22685" s="1" t="s">
        <v>22684</v>
      </c>
      <c r="B22685" s="2" t="str">
        <f>IFERROR(__xludf.DUMMYFUNCTION("GOOGLETRANSLATE(A22685, ""de"", ""en"")"),"a.j.")</f>
        <v>a.j.</v>
      </c>
    </row>
    <row r="22686">
      <c r="A22686" s="1" t="s">
        <v>22685</v>
      </c>
      <c r="B22686" s="2" t="str">
        <f>IFERROR(__xludf.DUMMYFUNCTION("GOOGLETRANSLATE(A22686, ""de"", ""en"")"),"lock up")</f>
        <v>lock up</v>
      </c>
    </row>
    <row r="22687">
      <c r="A22687" s="1" t="s">
        <v>22686</v>
      </c>
      <c r="B22687" s="2" t="str">
        <f>IFERROR(__xludf.DUMMYFUNCTION("GOOGLETRANSLATE(A22687, ""de"", ""en"")"),"gia")</f>
        <v>gia</v>
      </c>
    </row>
    <row r="22688">
      <c r="A22688" s="1" t="s">
        <v>22687</v>
      </c>
      <c r="B22688" s="2" t="str">
        <f>IFERROR(__xludf.DUMMYFUNCTION("GOOGLETRANSLATE(A22688, ""de"", ""en"")"),"flying")</f>
        <v>flying</v>
      </c>
    </row>
    <row r="22689">
      <c r="A22689" s="1" t="s">
        <v>22688</v>
      </c>
      <c r="B22689" s="2" t="str">
        <f>IFERROR(__xludf.DUMMYFUNCTION("GOOGLETRANSLATE(A22689, ""de"", ""en"")"),"Valencia")</f>
        <v>Valencia</v>
      </c>
    </row>
    <row r="22690">
      <c r="A22690" s="1" t="s">
        <v>22689</v>
      </c>
      <c r="B22690" s="2" t="str">
        <f>IFERROR(__xludf.DUMMYFUNCTION("GOOGLETRANSLATE(A22690, ""de"", ""en"")"),"paralyze")</f>
        <v>paralyze</v>
      </c>
    </row>
    <row r="22691">
      <c r="A22691" s="1" t="s">
        <v>22690</v>
      </c>
      <c r="B22691" s="2" t="str">
        <f>IFERROR(__xludf.DUMMYFUNCTION("GOOGLETRANSLATE(A22691, ""de"", ""en"")"),"hedging")</f>
        <v>hedging</v>
      </c>
    </row>
    <row r="22692">
      <c r="A22692" s="1" t="s">
        <v>22691</v>
      </c>
      <c r="B22692" s="2" t="str">
        <f>IFERROR(__xludf.DUMMYFUNCTION("GOOGLETRANSLATE(A22692, ""de"", ""en"")"),"often")</f>
        <v>often</v>
      </c>
    </row>
    <row r="22693">
      <c r="A22693" s="1" t="s">
        <v>22692</v>
      </c>
      <c r="B22693" s="2" t="str">
        <f>IFERROR(__xludf.DUMMYFUNCTION("GOOGLETRANSLATE(A22693, ""de"", ""en"")"),"whistled")</f>
        <v>whistled</v>
      </c>
    </row>
    <row r="22694">
      <c r="A22694" s="1" t="s">
        <v>22693</v>
      </c>
      <c r="B22694" s="2" t="str">
        <f>IFERROR(__xludf.DUMMYFUNCTION("GOOGLETRANSLATE(A22694, ""de"", ""en"")"),"pinched")</f>
        <v>pinched</v>
      </c>
    </row>
    <row r="22695">
      <c r="A22695" s="1" t="s">
        <v>22694</v>
      </c>
      <c r="B22695" s="2" t="str">
        <f>IFERROR(__xludf.DUMMYFUNCTION("GOOGLETRANSLATE(A22695, ""de"", ""en"")"),"ballard")</f>
        <v>ballard</v>
      </c>
    </row>
    <row r="22696">
      <c r="A22696" s="1" t="s">
        <v>22695</v>
      </c>
      <c r="B22696" s="2" t="str">
        <f>IFERROR(__xludf.DUMMYFUNCTION("GOOGLETRANSLATE(A22696, ""de"", ""en"")"),"orchids")</f>
        <v>orchids</v>
      </c>
    </row>
    <row r="22697">
      <c r="A22697" s="1" t="s">
        <v>22696</v>
      </c>
      <c r="B22697" s="2" t="str">
        <f>IFERROR(__xludf.DUMMYFUNCTION("GOOGLETRANSLATE(A22697, ""de"", ""en"")"),"chino")</f>
        <v>chino</v>
      </c>
    </row>
    <row r="22698">
      <c r="A22698" s="1" t="s">
        <v>22697</v>
      </c>
      <c r="B22698" s="2" t="str">
        <f>IFERROR(__xludf.DUMMYFUNCTION("GOOGLETRANSLATE(A22698, ""de"", ""en"")"),"give out")</f>
        <v>give out</v>
      </c>
    </row>
    <row r="22699">
      <c r="A22699" s="1" t="s">
        <v>22698</v>
      </c>
      <c r="B22699" s="2" t="str">
        <f>IFERROR(__xludf.DUMMYFUNCTION("GOOGLETRANSLATE(A22699, ""de"", ""en"")"),"early")</f>
        <v>early</v>
      </c>
    </row>
    <row r="22700">
      <c r="A22700" s="1" t="s">
        <v>22699</v>
      </c>
      <c r="B22700" s="2" t="str">
        <f>IFERROR(__xludf.DUMMYFUNCTION("GOOGLETRANSLATE(A22700, ""de"", ""en"")"),"Englishwoman")</f>
        <v>Englishwoman</v>
      </c>
    </row>
    <row r="22701">
      <c r="A22701" s="1" t="s">
        <v>22700</v>
      </c>
      <c r="B22701" s="2" t="str">
        <f>IFERROR(__xludf.DUMMYFUNCTION("GOOGLETRANSLATE(A22701, ""de"", ""en"")"),"brought out")</f>
        <v>brought out</v>
      </c>
    </row>
    <row r="22702">
      <c r="A22702" s="1" t="s">
        <v>22701</v>
      </c>
      <c r="B22702" s="2" t="str">
        <f>IFERROR(__xludf.DUMMYFUNCTION("GOOGLETRANSLATE(A22702, ""de"", ""en"")"),"triads")</f>
        <v>triads</v>
      </c>
    </row>
    <row r="22703">
      <c r="A22703" s="1" t="s">
        <v>22702</v>
      </c>
      <c r="B22703" s="2" t="str">
        <f>IFERROR(__xludf.DUMMYFUNCTION("GOOGLETRANSLATE(A22703, ""de"", ""en"")"),"whatnot")</f>
        <v>whatnot</v>
      </c>
    </row>
    <row r="22704">
      <c r="A22704" s="1" t="s">
        <v>22703</v>
      </c>
      <c r="B22704" s="2" t="str">
        <f>IFERROR(__xludf.DUMMYFUNCTION("GOOGLETRANSLATE(A22704, ""de"", ""en"")"),"living")</f>
        <v>living</v>
      </c>
    </row>
    <row r="22705">
      <c r="A22705" s="1" t="s">
        <v>22704</v>
      </c>
      <c r="B22705" s="2" t="str">
        <f>IFERROR(__xludf.DUMMYFUNCTION("GOOGLETRANSLATE(A22705, ""de"", ""en"")"),"understand")</f>
        <v>understand</v>
      </c>
    </row>
    <row r="22706">
      <c r="A22706" s="1" t="s">
        <v>22705</v>
      </c>
      <c r="B22706" s="2" t="str">
        <f>IFERROR(__xludf.DUMMYFUNCTION("GOOGLETRANSLATE(A22706, ""de"", ""en"")"),"thorough")</f>
        <v>thorough</v>
      </c>
    </row>
    <row r="22707">
      <c r="A22707" s="1" t="s">
        <v>22706</v>
      </c>
      <c r="B22707" s="2" t="str">
        <f>IFERROR(__xludf.DUMMYFUNCTION("GOOGLETRANSLATE(A22707, ""de"", ""en"")"),"shrink")</f>
        <v>shrink</v>
      </c>
    </row>
    <row r="22708">
      <c r="A22708" s="1" t="s">
        <v>22707</v>
      </c>
      <c r="B22708" s="2" t="str">
        <f>IFERROR(__xludf.DUMMYFUNCTION("GOOGLETRANSLATE(A22708, ""de"", ""en"")"),"Juliana")</f>
        <v>Juliana</v>
      </c>
    </row>
    <row r="22709">
      <c r="A22709" s="1" t="s">
        <v>22708</v>
      </c>
      <c r="B22709" s="2" t="str">
        <f>IFERROR(__xludf.DUMMYFUNCTION("GOOGLETRANSLATE(A22709, ""de"", ""en"")"),"more royal")</f>
        <v>more royal</v>
      </c>
    </row>
    <row r="22710">
      <c r="A22710" s="1" t="s">
        <v>22709</v>
      </c>
      <c r="B22710" s="2" t="str">
        <f>IFERROR(__xludf.DUMMYFUNCTION("GOOGLETRANSLATE(A22710, ""de"", ""en"")"),"dooley")</f>
        <v>dooley</v>
      </c>
    </row>
    <row r="22711">
      <c r="A22711" s="1" t="s">
        <v>22710</v>
      </c>
      <c r="B22711" s="2" t="str">
        <f>IFERROR(__xludf.DUMMYFUNCTION("GOOGLETRANSLATE(A22711, ""de"", ""en"")"),"rip out")</f>
        <v>rip out</v>
      </c>
    </row>
    <row r="22712">
      <c r="A22712" s="1" t="s">
        <v>22711</v>
      </c>
      <c r="B22712" s="2" t="str">
        <f>IFERROR(__xludf.DUMMYFUNCTION("GOOGLETRANSLATE(A22712, ""de"", ""en"")"),"more mortal")</f>
        <v>more mortal</v>
      </c>
    </row>
    <row r="22713">
      <c r="A22713" s="1" t="s">
        <v>22712</v>
      </c>
      <c r="B22713" s="2" t="str">
        <f>IFERROR(__xludf.DUMMYFUNCTION("GOOGLETRANSLATE(A22713, ""de"", ""en"")"),"tire tracks")</f>
        <v>tire tracks</v>
      </c>
    </row>
    <row r="22714">
      <c r="A22714" s="1" t="s">
        <v>22713</v>
      </c>
      <c r="B22714" s="2" t="str">
        <f>IFERROR(__xludf.DUMMYFUNCTION("GOOGLETRANSLATE(A22714, ""de"", ""en"")"),"cricket")</f>
        <v>cricket</v>
      </c>
    </row>
    <row r="22715">
      <c r="A22715" s="1" t="s">
        <v>22714</v>
      </c>
      <c r="B22715" s="2" t="str">
        <f>IFERROR(__xludf.DUMMYFUNCTION("GOOGLETRANSLATE(A22715, ""de"", ""en"")"),"freezes")</f>
        <v>freezes</v>
      </c>
    </row>
    <row r="22716">
      <c r="A22716" s="1" t="s">
        <v>22715</v>
      </c>
      <c r="B22716" s="2" t="str">
        <f>IFERROR(__xludf.DUMMYFUNCTION("GOOGLETRANSLATE(A22716, ""de"", ""en"")"),"Barksdale")</f>
        <v>Barksdale</v>
      </c>
    </row>
    <row r="22717">
      <c r="A22717" s="1" t="s">
        <v>22716</v>
      </c>
      <c r="B22717" s="2" t="str">
        <f>IFERROR(__xludf.DUMMYFUNCTION("GOOGLETRANSLATE(A22717, ""de"", ""en"")"),"potts")</f>
        <v>potts</v>
      </c>
    </row>
    <row r="22718">
      <c r="A22718" s="1" t="s">
        <v>22717</v>
      </c>
      <c r="B22718" s="2" t="str">
        <f>IFERROR(__xludf.DUMMYFUNCTION("GOOGLETRANSLATE(A22718, ""de"", ""en"")"),"gemstones")</f>
        <v>gemstones</v>
      </c>
    </row>
    <row r="22719">
      <c r="A22719" s="1" t="s">
        <v>22718</v>
      </c>
      <c r="B22719" s="2" t="str">
        <f>IFERROR(__xludf.DUMMYFUNCTION("GOOGLETRANSLATE(A22719, ""de"", ""en"")"),"opie")</f>
        <v>opie</v>
      </c>
    </row>
    <row r="22720">
      <c r="A22720" s="1" t="s">
        <v>22719</v>
      </c>
      <c r="B22720" s="2" t="str">
        <f>IFERROR(__xludf.DUMMYFUNCTION("GOOGLETRANSLATE(A22720, ""de"", ""en"")"),"more stubborn")</f>
        <v>more stubborn</v>
      </c>
    </row>
    <row r="22721">
      <c r="A22721" s="1" t="s">
        <v>22720</v>
      </c>
      <c r="B22721" s="2" t="str">
        <f>IFERROR(__xludf.DUMMYFUNCTION("GOOGLETRANSLATE(A22721, ""de"", ""en"")"),"North America")</f>
        <v>North America</v>
      </c>
    </row>
    <row r="22722">
      <c r="A22722" s="1" t="s">
        <v>22721</v>
      </c>
      <c r="B22722" s="2" t="str">
        <f>IFERROR(__xludf.DUMMYFUNCTION("GOOGLETRANSLATE(A22722, ""de"", ""en"")"),"founding")</f>
        <v>founding</v>
      </c>
    </row>
    <row r="22723">
      <c r="A22723" s="1" t="s">
        <v>22722</v>
      </c>
      <c r="B22723" s="2" t="str">
        <f>IFERROR(__xludf.DUMMYFUNCTION("GOOGLETRANSLATE(A22723, ""de"", ""en"")"),"fake")</f>
        <v>fake</v>
      </c>
    </row>
    <row r="22724">
      <c r="A22724" s="1" t="s">
        <v>22723</v>
      </c>
      <c r="B22724" s="2" t="str">
        <f>IFERROR(__xludf.DUMMYFUNCTION("GOOGLETRANSLATE(A22724, ""de"", ""en"")"),"bomber")</f>
        <v>bomber</v>
      </c>
    </row>
    <row r="22725">
      <c r="A22725" s="1" t="s">
        <v>22724</v>
      </c>
      <c r="B22725" s="2" t="str">
        <f>IFERROR(__xludf.DUMMYFUNCTION("GOOGLETRANSLATE(A22725, ""de"", ""en"")"),"northeast")</f>
        <v>northeast</v>
      </c>
    </row>
    <row r="22726">
      <c r="A22726" s="1" t="s">
        <v>22725</v>
      </c>
      <c r="B22726" s="2" t="str">
        <f>IFERROR(__xludf.DUMMYFUNCTION("GOOGLETRANSLATE(A22726, ""de"", ""en"")"),"riverside")</f>
        <v>riverside</v>
      </c>
    </row>
    <row r="22727">
      <c r="A22727" s="1" t="s">
        <v>22726</v>
      </c>
      <c r="B22727" s="2" t="str">
        <f>IFERROR(__xludf.DUMMYFUNCTION("GOOGLETRANSLATE(A22727, ""de"", ""en"")"),"sunscreen")</f>
        <v>sunscreen</v>
      </c>
    </row>
    <row r="22728">
      <c r="A22728" s="1" t="s">
        <v>22727</v>
      </c>
      <c r="B22728" s="2" t="str">
        <f>IFERROR(__xludf.DUMMYFUNCTION("GOOGLETRANSLATE(A22728, ""de"", ""en"")"),"sightseeing")</f>
        <v>sightseeing</v>
      </c>
    </row>
    <row r="22729">
      <c r="A22729" s="1" t="s">
        <v>22728</v>
      </c>
      <c r="B22729" s="2" t="str">
        <f>IFERROR(__xludf.DUMMYFUNCTION("GOOGLETRANSLATE(A22729, ""de"", ""en"")"),"shut down")</f>
        <v>shut down</v>
      </c>
    </row>
    <row r="22730">
      <c r="A22730" s="1" t="s">
        <v>22729</v>
      </c>
      <c r="B22730" s="2" t="str">
        <f>IFERROR(__xludf.DUMMYFUNCTION("GOOGLETRANSLATE(A22730, ""de"", ""en"")"),"bora")</f>
        <v>bora</v>
      </c>
    </row>
    <row r="22731">
      <c r="A22731" s="1" t="s">
        <v>22730</v>
      </c>
      <c r="B22731" s="2" t="str">
        <f>IFERROR(__xludf.DUMMYFUNCTION("GOOGLETRANSLATE(A22731, ""de"", ""en"")"),"numerous")</f>
        <v>numerous</v>
      </c>
    </row>
    <row r="22732">
      <c r="A22732" s="1" t="s">
        <v>22731</v>
      </c>
      <c r="B22732" s="2" t="str">
        <f>IFERROR(__xludf.DUMMYFUNCTION("GOOGLETRANSLATE(A22732, ""de"", ""en"")"),"Cleopatra")</f>
        <v>Cleopatra</v>
      </c>
    </row>
    <row r="22733">
      <c r="A22733" s="1" t="s">
        <v>22732</v>
      </c>
      <c r="B22733" s="2" t="str">
        <f>IFERROR(__xludf.DUMMYFUNCTION("GOOGLETRANSLATE(A22733, ""de"", ""en"")"),"sacrificed")</f>
        <v>sacrificed</v>
      </c>
    </row>
    <row r="22734">
      <c r="A22734" s="1" t="s">
        <v>22733</v>
      </c>
      <c r="B22734" s="2" t="str">
        <f>IFERROR(__xludf.DUMMYFUNCTION("GOOGLETRANSLATE(A22734, ""de"", ""en"")"),"decree")</f>
        <v>decree</v>
      </c>
    </row>
    <row r="22735">
      <c r="A22735" s="1" t="s">
        <v>22734</v>
      </c>
      <c r="B22735" s="2" t="str">
        <f>IFERROR(__xludf.DUMMYFUNCTION("GOOGLETRANSLATE(A22735, ""de"", ""en"")"),"watt")</f>
        <v>watt</v>
      </c>
    </row>
    <row r="22736">
      <c r="A22736" s="1" t="s">
        <v>22735</v>
      </c>
      <c r="B22736" s="2" t="str">
        <f>IFERROR(__xludf.DUMMYFUNCTION("GOOGLETRANSLATE(A22736, ""de"", ""en"")"),"forgotten")</f>
        <v>forgotten</v>
      </c>
    </row>
    <row r="22737">
      <c r="A22737" s="1" t="s">
        <v>22736</v>
      </c>
      <c r="B22737" s="2" t="str">
        <f>IFERROR(__xludf.DUMMYFUNCTION("GOOGLETRANSLATE(A22737, ""de"", ""en"")"),"pushes")</f>
        <v>pushes</v>
      </c>
    </row>
    <row r="22738">
      <c r="A22738" s="1" t="s">
        <v>22737</v>
      </c>
      <c r="B22738" s="2" t="str">
        <f>IFERROR(__xludf.DUMMYFUNCTION("GOOGLETRANSLATE(A22738, ""de"", ""en"")"),"stage fright")</f>
        <v>stage fright</v>
      </c>
    </row>
    <row r="22739">
      <c r="A22739" s="1" t="s">
        <v>22738</v>
      </c>
      <c r="B22739" s="2" t="str">
        <f>IFERROR(__xludf.DUMMYFUNCTION("GOOGLETRANSLATE(A22739, ""de"", ""en"")"),"atf")</f>
        <v>atf</v>
      </c>
    </row>
    <row r="22740">
      <c r="A22740" s="1" t="s">
        <v>22739</v>
      </c>
      <c r="B22740" s="2" t="str">
        <f>IFERROR(__xludf.DUMMYFUNCTION("GOOGLETRANSLATE(A22740, ""de"", ""en"")"),"subordinate")</f>
        <v>subordinate</v>
      </c>
    </row>
    <row r="22741">
      <c r="A22741" s="1" t="s">
        <v>22740</v>
      </c>
      <c r="B22741" s="2" t="str">
        <f>IFERROR(__xludf.DUMMYFUNCTION("GOOGLETRANSLATE(A22741, ""de"", ""en"")"),"clear")</f>
        <v>clear</v>
      </c>
    </row>
    <row r="22742">
      <c r="A22742" s="1" t="s">
        <v>22741</v>
      </c>
      <c r="B22742" s="2" t="str">
        <f>IFERROR(__xludf.DUMMYFUNCTION("GOOGLETRANSLATE(A22742, ""de"", ""en"")"),"dresses")</f>
        <v>dresses</v>
      </c>
    </row>
    <row r="22743">
      <c r="A22743" s="1" t="s">
        <v>22742</v>
      </c>
      <c r="B22743" s="2" t="str">
        <f>IFERROR(__xludf.DUMMYFUNCTION("GOOGLETRANSLATE(A22743, ""de"", ""en"")"),"considerable")</f>
        <v>considerable</v>
      </c>
    </row>
    <row r="22744">
      <c r="A22744" s="1" t="s">
        <v>22743</v>
      </c>
      <c r="B22744" s="2" t="str">
        <f>IFERROR(__xludf.DUMMYFUNCTION("GOOGLETRANSLATE(A22744, ""de"", ""en"")"),"smoothly")</f>
        <v>smoothly</v>
      </c>
    </row>
    <row r="22745">
      <c r="A22745" s="1" t="s">
        <v>22744</v>
      </c>
      <c r="B22745" s="2" t="str">
        <f>IFERROR(__xludf.DUMMYFUNCTION("GOOGLETRANSLATE(A22745, ""de"", ""en"")"),"tiles")</f>
        <v>tiles</v>
      </c>
    </row>
    <row r="22746">
      <c r="A22746" s="1" t="s">
        <v>22745</v>
      </c>
      <c r="B22746" s="2" t="str">
        <f>IFERROR(__xludf.DUMMYFUNCTION("GOOGLETRANSLATE(A22746, ""de"", ""en"")"),"fur coat")</f>
        <v>fur coat</v>
      </c>
    </row>
    <row r="22747">
      <c r="A22747" s="1" t="s">
        <v>22746</v>
      </c>
      <c r="B22747" s="2" t="str">
        <f>IFERROR(__xludf.DUMMYFUNCTION("GOOGLETRANSLATE(A22747, ""de"", ""en"")"),"shot")</f>
        <v>shot</v>
      </c>
    </row>
    <row r="22748">
      <c r="A22748" s="1" t="s">
        <v>22747</v>
      </c>
      <c r="B22748" s="2" t="str">
        <f>IFERROR(__xludf.DUMMYFUNCTION("GOOGLETRANSLATE(A22748, ""de"", ""en"")"),"code word")</f>
        <v>code word</v>
      </c>
    </row>
    <row r="22749">
      <c r="A22749" s="1" t="s">
        <v>22748</v>
      </c>
      <c r="B22749" s="2" t="str">
        <f>IFERROR(__xludf.DUMMYFUNCTION("GOOGLETRANSLATE(A22749, ""de"", ""en"")"),"burn")</f>
        <v>burn</v>
      </c>
    </row>
    <row r="22750">
      <c r="A22750" s="1" t="s">
        <v>22749</v>
      </c>
      <c r="B22750" s="2" t="str">
        <f>IFERROR(__xludf.DUMMYFUNCTION("GOOGLETRANSLATE(A22750, ""de"", ""en"")"),"mats")</f>
        <v>mats</v>
      </c>
    </row>
    <row r="22751">
      <c r="A22751" s="1" t="s">
        <v>22750</v>
      </c>
      <c r="B22751" s="2" t="str">
        <f>IFERROR(__xludf.DUMMYFUNCTION("GOOGLETRANSLATE(A22751, ""de"", ""en"")"),"arrived")</f>
        <v>arrived</v>
      </c>
    </row>
    <row r="22752">
      <c r="A22752" s="1" t="s">
        <v>22751</v>
      </c>
      <c r="B22752" s="2" t="str">
        <f>IFERROR(__xludf.DUMMYFUNCTION("GOOGLETRANSLATE(A22752, ""de"", ""en"")"),"vale")</f>
        <v>vale</v>
      </c>
    </row>
    <row r="22753">
      <c r="A22753" s="1" t="s">
        <v>22752</v>
      </c>
      <c r="B22753" s="2" t="str">
        <f>IFERROR(__xludf.DUMMYFUNCTION("GOOGLETRANSLATE(A22753, ""de"", ""en"")"),"gulden")</f>
        <v>gulden</v>
      </c>
    </row>
    <row r="22754">
      <c r="A22754" s="1" t="s">
        <v>22753</v>
      </c>
      <c r="B22754" s="2" t="str">
        <f>IFERROR(__xludf.DUMMYFUNCTION("GOOGLETRANSLATE(A22754, ""de"", ""en"")"),"most amazing")</f>
        <v>most amazing</v>
      </c>
    </row>
    <row r="22755">
      <c r="A22755" s="1" t="s">
        <v>22754</v>
      </c>
      <c r="B22755" s="2" t="str">
        <f>IFERROR(__xludf.DUMMYFUNCTION("GOOGLETRANSLATE(A22755, ""de"", ""en"")"),"principle")</f>
        <v>principle</v>
      </c>
    </row>
    <row r="22756">
      <c r="A22756" s="1" t="s">
        <v>22755</v>
      </c>
      <c r="B22756" s="2" t="str">
        <f>IFERROR(__xludf.DUMMYFUNCTION("GOOGLETRANSLATE(A22756, ""de"", ""en"")"),"prairie")</f>
        <v>prairie</v>
      </c>
    </row>
    <row r="22757">
      <c r="A22757" s="1" t="s">
        <v>22756</v>
      </c>
      <c r="B22757" s="2" t="str">
        <f>IFERROR(__xludf.DUMMYFUNCTION("GOOGLETRANSLATE(A22757, ""de"", ""en"")"),"pass")</f>
        <v>pass</v>
      </c>
    </row>
    <row r="22758">
      <c r="A22758" s="1" t="s">
        <v>22757</v>
      </c>
      <c r="B22758" s="2" t="str">
        <f>IFERROR(__xludf.DUMMYFUNCTION("GOOGLETRANSLATE(A22758, ""de"", ""en"")"),"dehydrated")</f>
        <v>dehydrated</v>
      </c>
    </row>
    <row r="22759">
      <c r="A22759" s="1" t="s">
        <v>22758</v>
      </c>
      <c r="B22759" s="2" t="str">
        <f>IFERROR(__xludf.DUMMYFUNCTION("GOOGLETRANSLATE(A22759, ""de"", ""en"")"),"poisonous")</f>
        <v>poisonous</v>
      </c>
    </row>
    <row r="22760">
      <c r="A22760" s="1" t="s">
        <v>22759</v>
      </c>
      <c r="B22760" s="2" t="str">
        <f>IFERROR(__xludf.DUMMYFUNCTION("GOOGLETRANSLATE(A22760, ""de"", ""en"")"),"DNA test")</f>
        <v>DNA test</v>
      </c>
    </row>
    <row r="22761">
      <c r="A22761" s="1" t="s">
        <v>22760</v>
      </c>
      <c r="B22761" s="2" t="str">
        <f>IFERROR(__xludf.DUMMYFUNCTION("GOOGLETRANSLATE(A22761, ""de"", ""en"")"),"all sorts of things")</f>
        <v>all sorts of things</v>
      </c>
    </row>
    <row r="22762">
      <c r="A22762" s="1" t="s">
        <v>22761</v>
      </c>
      <c r="B22762" s="2" t="str">
        <f>IFERROR(__xludf.DUMMYFUNCTION("GOOGLETRANSLATE(A22762, ""de"", ""en"")"),"blonder")</f>
        <v>blonder</v>
      </c>
    </row>
    <row r="22763">
      <c r="A22763" s="1" t="s">
        <v>22762</v>
      </c>
      <c r="B22763" s="2" t="str">
        <f>IFERROR(__xludf.DUMMYFUNCTION("GOOGLETRANSLATE(A22763, ""de"", ""en"")"),"heat")</f>
        <v>heat</v>
      </c>
    </row>
    <row r="22764">
      <c r="A22764" s="1" t="s">
        <v>22763</v>
      </c>
      <c r="B22764" s="2" t="str">
        <f>IFERROR(__xludf.DUMMYFUNCTION("GOOGLETRANSLATE(A22764, ""de"", ""en"")"),"panicked")</f>
        <v>panicked</v>
      </c>
    </row>
    <row r="22765">
      <c r="A22765" s="1" t="s">
        <v>22764</v>
      </c>
      <c r="B22765" s="2" t="str">
        <f>IFERROR(__xludf.DUMMYFUNCTION("GOOGLETRANSLATE(A22765, ""de"", ""en"")"),"pinball")</f>
        <v>pinball</v>
      </c>
    </row>
    <row r="22766">
      <c r="A22766" s="1" t="s">
        <v>22765</v>
      </c>
      <c r="B22766" s="2" t="str">
        <f>IFERROR(__xludf.DUMMYFUNCTION("GOOGLETRANSLATE(A22766, ""de"", ""en"")"),"Mumbai")</f>
        <v>Mumbai</v>
      </c>
    </row>
    <row r="22767">
      <c r="A22767" s="1" t="s">
        <v>22766</v>
      </c>
      <c r="B22767" s="2" t="str">
        <f>IFERROR(__xludf.DUMMYFUNCTION("GOOGLETRANSLATE(A22767, ""de"", ""en"")"),"negotiate")</f>
        <v>negotiate</v>
      </c>
    </row>
    <row r="22768">
      <c r="A22768" s="1" t="s">
        <v>22767</v>
      </c>
      <c r="B22768" s="2" t="str">
        <f>IFERROR(__xludf.DUMMYFUNCTION("GOOGLETRANSLATE(A22768, ""de"", ""en"")"),"love letters")</f>
        <v>love letters</v>
      </c>
    </row>
    <row r="22769">
      <c r="A22769" s="1" t="s">
        <v>22768</v>
      </c>
      <c r="B22769" s="2" t="str">
        <f>IFERROR(__xludf.DUMMYFUNCTION("GOOGLETRANSLATE(A22769, ""de"", ""en"")"),"disgusting")</f>
        <v>disgusting</v>
      </c>
    </row>
    <row r="22770">
      <c r="A22770" s="1" t="s">
        <v>22769</v>
      </c>
      <c r="B22770" s="2" t="str">
        <f>IFERROR(__xludf.DUMMYFUNCTION("GOOGLETRANSLATE(A22770, ""de"", ""en"")"),"crewe")</f>
        <v>crewe</v>
      </c>
    </row>
    <row r="22771">
      <c r="A22771" s="1" t="s">
        <v>22770</v>
      </c>
      <c r="B22771" s="2" t="str">
        <f>IFERROR(__xludf.DUMMYFUNCTION("GOOGLETRANSLATE(A22771, ""de"", ""en"")"),"transactions")</f>
        <v>transactions</v>
      </c>
    </row>
    <row r="22772">
      <c r="A22772" s="1" t="s">
        <v>22771</v>
      </c>
      <c r="B22772" s="2" t="str">
        <f>IFERROR(__xludf.DUMMYFUNCTION("GOOGLETRANSLATE(A22772, ""de"", ""en"")"),"care")</f>
        <v>care</v>
      </c>
    </row>
    <row r="22773">
      <c r="A22773" s="1" t="s">
        <v>22772</v>
      </c>
      <c r="B22773" s="2" t="str">
        <f>IFERROR(__xludf.DUMMYFUNCTION("GOOGLETRANSLATE(A22773, ""de"", ""en"")"),"to set up")</f>
        <v>to set up</v>
      </c>
    </row>
    <row r="22774">
      <c r="A22774" s="1" t="s">
        <v>22773</v>
      </c>
      <c r="B22774" s="2" t="str">
        <f>IFERROR(__xludf.DUMMYFUNCTION("GOOGLETRANSLATE(A22774, ""de"", ""en"")"),"announce")</f>
        <v>announce</v>
      </c>
    </row>
    <row r="22775">
      <c r="A22775" s="1" t="s">
        <v>22774</v>
      </c>
      <c r="B22775" s="2" t="str">
        <f>IFERROR(__xludf.DUMMYFUNCTION("GOOGLETRANSLATE(A22775, ""de"", ""en"")"),"exercise")</f>
        <v>exercise</v>
      </c>
    </row>
    <row r="22776">
      <c r="A22776" s="1" t="s">
        <v>22775</v>
      </c>
      <c r="B22776" s="2" t="str">
        <f>IFERROR(__xludf.DUMMYFUNCTION("GOOGLETRANSLATE(A22776, ""de"", ""en"")"),"hungry")</f>
        <v>hungry</v>
      </c>
    </row>
    <row r="22777">
      <c r="A22777" s="1" t="s">
        <v>22776</v>
      </c>
      <c r="B22777" s="2" t="str">
        <f>IFERROR(__xludf.DUMMYFUNCTION("GOOGLETRANSLATE(A22777, ""de"", ""en"")"),"else")</f>
        <v>else</v>
      </c>
    </row>
    <row r="22778">
      <c r="A22778" s="1" t="s">
        <v>22777</v>
      </c>
      <c r="B22778" s="2" t="str">
        <f>IFERROR(__xludf.DUMMYFUNCTION("GOOGLETRANSLATE(A22778, ""de"", ""en"")"),"Canadian")</f>
        <v>Canadian</v>
      </c>
    </row>
    <row r="22779">
      <c r="A22779" s="1" t="s">
        <v>22778</v>
      </c>
      <c r="B22779" s="2" t="str">
        <f>IFERROR(__xludf.DUMMYFUNCTION("GOOGLETRANSLATE(A22779, ""de"", ""en"")"),"looked at")</f>
        <v>looked at</v>
      </c>
    </row>
    <row r="22780">
      <c r="A22780" s="1" t="s">
        <v>22779</v>
      </c>
      <c r="B22780" s="2" t="str">
        <f>IFERROR(__xludf.DUMMYFUNCTION("GOOGLETRANSLATE(A22780, ""de"", ""en"")"),"put out")</f>
        <v>put out</v>
      </c>
    </row>
    <row r="22781">
      <c r="A22781" s="1" t="s">
        <v>22780</v>
      </c>
      <c r="B22781" s="2" t="str">
        <f>IFERROR(__xludf.DUMMYFUNCTION("GOOGLETRANSLATE(A22781, ""de"", ""en"")"),"thorns")</f>
        <v>thorns</v>
      </c>
    </row>
    <row r="22782">
      <c r="A22782" s="1" t="s">
        <v>22781</v>
      </c>
      <c r="B22782" s="2" t="str">
        <f>IFERROR(__xludf.DUMMYFUNCTION("GOOGLETRANSLATE(A22782, ""de"", ""en"")"),"mcnally")</f>
        <v>mcnally</v>
      </c>
    </row>
    <row r="22783">
      <c r="A22783" s="1" t="s">
        <v>22782</v>
      </c>
      <c r="B22783" s="2" t="str">
        <f>IFERROR(__xludf.DUMMYFUNCTION("GOOGLETRANSLATE(A22783, ""de"", ""en"")"),"braces")</f>
        <v>braces</v>
      </c>
    </row>
    <row r="22784">
      <c r="A22784" s="1" t="s">
        <v>22783</v>
      </c>
      <c r="B22784" s="2" t="str">
        <f>IFERROR(__xludf.DUMMYFUNCTION("GOOGLETRANSLATE(A22784, ""de"", ""en"")"),"trained")</f>
        <v>trained</v>
      </c>
    </row>
    <row r="22785">
      <c r="A22785" s="1" t="s">
        <v>22784</v>
      </c>
      <c r="B22785" s="2" t="str">
        <f>IFERROR(__xludf.DUMMYFUNCTION("GOOGLETRANSLATE(A22785, ""de"", ""en"")"),"khalid")</f>
        <v>khalid</v>
      </c>
    </row>
    <row r="22786">
      <c r="A22786" s="1" t="s">
        <v>22785</v>
      </c>
      <c r="B22786" s="2" t="str">
        <f>IFERROR(__xludf.DUMMYFUNCTION("GOOGLETRANSLATE(A22786, ""de"", ""en"")"),"victory")</f>
        <v>victory</v>
      </c>
    </row>
    <row r="22787">
      <c r="A22787" s="1" t="s">
        <v>22786</v>
      </c>
      <c r="B22787" s="2" t="str">
        <f>IFERROR(__xludf.DUMMYFUNCTION("GOOGLETRANSLATE(A22787, ""de"", ""en"")"),"mathis")</f>
        <v>mathis</v>
      </c>
    </row>
    <row r="22788">
      <c r="A22788" s="1" t="s">
        <v>22787</v>
      </c>
      <c r="B22788" s="2" t="str">
        <f>IFERROR(__xludf.DUMMYFUNCTION("GOOGLETRANSLATE(A22788, ""de"", ""en"")"),"occurred")</f>
        <v>occurred</v>
      </c>
    </row>
    <row r="22789">
      <c r="A22789" s="1" t="s">
        <v>22788</v>
      </c>
      <c r="B22789" s="2" t="str">
        <f>IFERROR(__xludf.DUMMYFUNCTION("GOOGLETRANSLATE(A22789, ""de"", ""en"")"),"would stand")</f>
        <v>would stand</v>
      </c>
    </row>
    <row r="22790">
      <c r="A22790" s="1" t="s">
        <v>22789</v>
      </c>
      <c r="B22790" s="2" t="str">
        <f>IFERROR(__xludf.DUMMYFUNCTION("GOOGLETRANSLATE(A22790, ""de"", ""en"")"),"ignorant")</f>
        <v>ignorant</v>
      </c>
    </row>
    <row r="22791">
      <c r="A22791" s="1" t="s">
        <v>22790</v>
      </c>
      <c r="B22791" s="2" t="str">
        <f>IFERROR(__xludf.DUMMYFUNCTION("GOOGLETRANSLATE(A22791, ""de"", ""en"")"),"guard")</f>
        <v>guard</v>
      </c>
    </row>
    <row r="22792">
      <c r="A22792" s="1" t="s">
        <v>22791</v>
      </c>
      <c r="B22792" s="2" t="str">
        <f>IFERROR(__xludf.DUMMYFUNCTION("GOOGLETRANSLATE(A22792, ""de"", ""en"")"),"col.")</f>
        <v>col.</v>
      </c>
    </row>
    <row r="22793">
      <c r="A22793" s="1" t="s">
        <v>22792</v>
      </c>
      <c r="B22793" s="2" t="str">
        <f>IFERROR(__xludf.DUMMYFUNCTION("GOOGLETRANSLATE(A22793, ""de"", ""en"")"),"wiley")</f>
        <v>wiley</v>
      </c>
    </row>
    <row r="22794">
      <c r="A22794" s="1" t="s">
        <v>22793</v>
      </c>
      <c r="B22794" s="2" t="str">
        <f>IFERROR(__xludf.DUMMYFUNCTION("GOOGLETRANSLATE(A22794, ""de"", ""en"")"),"sancho")</f>
        <v>sancho</v>
      </c>
    </row>
    <row r="22795">
      <c r="A22795" s="1" t="s">
        <v>22794</v>
      </c>
      <c r="B22795" s="2" t="str">
        <f>IFERROR(__xludf.DUMMYFUNCTION("GOOGLETRANSLATE(A22795, ""de"", ""en"")"),"godparents")</f>
        <v>godparents</v>
      </c>
    </row>
    <row r="22796">
      <c r="A22796" s="1" t="s">
        <v>22795</v>
      </c>
      <c r="B22796" s="2" t="str">
        <f>IFERROR(__xludf.DUMMYFUNCTION("GOOGLETRANSLATE(A22796, ""de"", ""en"")"),"farts")</f>
        <v>farts</v>
      </c>
    </row>
    <row r="22797">
      <c r="A22797" s="1" t="s">
        <v>22796</v>
      </c>
      <c r="B22797" s="2" t="str">
        <f>IFERROR(__xludf.DUMMYFUNCTION("GOOGLETRANSLATE(A22797, ""de"", ""en"")"),"stupid")</f>
        <v>stupid</v>
      </c>
    </row>
    <row r="22798">
      <c r="A22798" s="1" t="s">
        <v>22797</v>
      </c>
      <c r="B22798" s="2" t="str">
        <f>IFERROR(__xludf.DUMMYFUNCTION("GOOGLETRANSLATE(A22798, ""de"", ""en"")"),"rupees")</f>
        <v>rupees</v>
      </c>
    </row>
    <row r="22799">
      <c r="A22799" s="1" t="s">
        <v>22798</v>
      </c>
      <c r="B22799" s="2" t="str">
        <f>IFERROR(__xludf.DUMMYFUNCTION("GOOGLETRANSLATE(A22799, ""de"", ""en"")"),"comes home")</f>
        <v>comes home</v>
      </c>
    </row>
    <row r="22800">
      <c r="A22800" s="1" t="s">
        <v>22799</v>
      </c>
      <c r="B22800" s="2" t="str">
        <f>IFERROR(__xludf.DUMMYFUNCTION("GOOGLETRANSLATE(A22800, ""de"", ""en"")"),"submerged")</f>
        <v>submerged</v>
      </c>
    </row>
    <row r="22801">
      <c r="A22801" s="1" t="s">
        <v>22800</v>
      </c>
      <c r="B22801" s="2" t="str">
        <f>IFERROR(__xludf.DUMMYFUNCTION("GOOGLETRANSLATE(A22801, ""de"", ""en"")"),"try")</f>
        <v>try</v>
      </c>
    </row>
    <row r="22802">
      <c r="A22802" s="1" t="s">
        <v>22801</v>
      </c>
      <c r="B22802" s="2" t="str">
        <f>IFERROR(__xludf.DUMMYFUNCTION("GOOGLETRANSLATE(A22802, ""de"", ""en"")"),"soonest")</f>
        <v>soonest</v>
      </c>
    </row>
    <row r="22803">
      <c r="A22803" s="1" t="s">
        <v>22802</v>
      </c>
      <c r="B22803" s="2" t="str">
        <f>IFERROR(__xludf.DUMMYFUNCTION("GOOGLETRANSLATE(A22803, ""de"", ""en"")"),"more impressive")</f>
        <v>more impressive</v>
      </c>
    </row>
    <row r="22804">
      <c r="A22804" s="1" t="s">
        <v>22803</v>
      </c>
      <c r="B22804" s="2" t="str">
        <f>IFERROR(__xludf.DUMMYFUNCTION("GOOGLETRANSLATE(A22804, ""de"", ""en"")"),"social assistance")</f>
        <v>social assistance</v>
      </c>
    </row>
    <row r="22805">
      <c r="A22805" s="1" t="s">
        <v>22804</v>
      </c>
      <c r="B22805" s="2" t="str">
        <f>IFERROR(__xludf.DUMMYFUNCTION("GOOGLETRANSLATE(A22805, ""de"", ""en"")"),"Phoenix")</f>
        <v>Phoenix</v>
      </c>
    </row>
    <row r="22806">
      <c r="A22806" s="1" t="s">
        <v>22805</v>
      </c>
      <c r="B22806" s="2" t="str">
        <f>IFERROR(__xludf.DUMMYFUNCTION("GOOGLETRANSLATE(A22806, ""de"", ""en"")"),"inject")</f>
        <v>inject</v>
      </c>
    </row>
    <row r="22807">
      <c r="A22807" s="1" t="s">
        <v>22806</v>
      </c>
      <c r="B22807" s="2" t="str">
        <f>IFERROR(__xludf.DUMMYFUNCTION("GOOGLETRANSLATE(A22807, ""de"", ""en"")"),"crunch")</f>
        <v>crunch</v>
      </c>
    </row>
    <row r="22808">
      <c r="A22808" s="1" t="s">
        <v>22807</v>
      </c>
      <c r="B22808" s="2" t="str">
        <f>IFERROR(__xludf.DUMMYFUNCTION("GOOGLETRANSLATE(A22808, ""de"", ""en"")"),"agreement")</f>
        <v>agreement</v>
      </c>
    </row>
    <row r="22809">
      <c r="A22809" s="1" t="s">
        <v>22808</v>
      </c>
      <c r="B22809" s="2" t="str">
        <f>IFERROR(__xludf.DUMMYFUNCTION("GOOGLETRANSLATE(A22809, ""de"", ""en"")"),"countless")</f>
        <v>countless</v>
      </c>
    </row>
    <row r="22810">
      <c r="A22810" s="1" t="s">
        <v>22809</v>
      </c>
      <c r="B22810" s="2" t="str">
        <f>IFERROR(__xludf.DUMMYFUNCTION("GOOGLETRANSLATE(A22810, ""de"", ""en"")"),"encryption")</f>
        <v>encryption</v>
      </c>
    </row>
    <row r="22811">
      <c r="A22811" s="1" t="s">
        <v>22810</v>
      </c>
      <c r="B22811" s="2" t="str">
        <f>IFERROR(__xludf.DUMMYFUNCTION("GOOGLETRANSLATE(A22811, ""de"", ""en"")"),"camping")</f>
        <v>camping</v>
      </c>
    </row>
    <row r="22812">
      <c r="A22812" s="1" t="s">
        <v>22811</v>
      </c>
      <c r="B22812" s="2" t="str">
        <f>IFERROR(__xludf.DUMMYFUNCTION("GOOGLETRANSLATE(A22812, ""de"", ""en"")"),"gossip")</f>
        <v>gossip</v>
      </c>
    </row>
    <row r="22813">
      <c r="A22813" s="1" t="s">
        <v>22812</v>
      </c>
      <c r="B22813" s="2" t="str">
        <f>IFERROR(__xludf.DUMMYFUNCTION("GOOGLETRANSLATE(A22813, ""de"", ""en"")"),"came in")</f>
        <v>came in</v>
      </c>
    </row>
    <row r="22814">
      <c r="A22814" s="1" t="s">
        <v>22813</v>
      </c>
      <c r="B22814" s="2" t="str">
        <f>IFERROR(__xludf.DUMMYFUNCTION("GOOGLETRANSLATE(A22814, ""de"", ""en"")"),"Asian")</f>
        <v>Asian</v>
      </c>
    </row>
    <row r="22815">
      <c r="A22815" s="1" t="s">
        <v>22814</v>
      </c>
      <c r="B22815" s="2" t="str">
        <f>IFERROR(__xludf.DUMMYFUNCTION("GOOGLETRANSLATE(A22815, ""de"", ""en"")"),"tension")</f>
        <v>tension</v>
      </c>
    </row>
    <row r="22816">
      <c r="A22816" s="1" t="s">
        <v>22815</v>
      </c>
      <c r="B22816" s="2" t="str">
        <f>IFERROR(__xludf.DUMMYFUNCTION("GOOGLETRANSLATE(A22816, ""de"", ""en"")"),"bumper")</f>
        <v>bumper</v>
      </c>
    </row>
    <row r="22817">
      <c r="A22817" s="1" t="s">
        <v>22816</v>
      </c>
      <c r="B22817" s="2" t="str">
        <f>IFERROR(__xludf.DUMMYFUNCTION("GOOGLETRANSLATE(A22817, ""de"", ""en"")"),"social")</f>
        <v>social</v>
      </c>
    </row>
    <row r="22818">
      <c r="A22818" s="1" t="s">
        <v>22817</v>
      </c>
      <c r="B22818" s="2" t="str">
        <f>IFERROR(__xludf.DUMMYFUNCTION("GOOGLETRANSLATE(A22818, ""de"", ""en"")"),"statue of liberty")</f>
        <v>statue of liberty</v>
      </c>
    </row>
    <row r="22819">
      <c r="A22819" s="1" t="s">
        <v>22818</v>
      </c>
      <c r="B22819" s="2" t="str">
        <f>IFERROR(__xludf.DUMMYFUNCTION("GOOGLETRANSLATE(A22819, ""de"", ""en"")"),"lean")</f>
        <v>lean</v>
      </c>
    </row>
    <row r="22820">
      <c r="A22820" s="1" t="s">
        <v>22819</v>
      </c>
      <c r="B22820" s="2" t="str">
        <f>IFERROR(__xludf.DUMMYFUNCTION("GOOGLETRANSLATE(A22820, ""de"", ""en"")"),"dolls")</f>
        <v>dolls</v>
      </c>
    </row>
    <row r="22821">
      <c r="A22821" s="1" t="s">
        <v>22820</v>
      </c>
      <c r="B22821" s="2" t="str">
        <f>IFERROR(__xludf.DUMMYFUNCTION("GOOGLETRANSLATE(A22821, ""de"", ""en"")"),"toast")</f>
        <v>toast</v>
      </c>
    </row>
    <row r="22822">
      <c r="A22822" s="1" t="s">
        <v>22821</v>
      </c>
      <c r="B22822" s="2" t="str">
        <f>IFERROR(__xludf.DUMMYFUNCTION("GOOGLETRANSLATE(A22822, ""de"", ""en"")"),"lamb")</f>
        <v>lamb</v>
      </c>
    </row>
    <row r="22823">
      <c r="A22823" s="1" t="s">
        <v>22822</v>
      </c>
      <c r="B22823" s="2" t="str">
        <f>IFERROR(__xludf.DUMMYFUNCTION("GOOGLETRANSLATE(A22823, ""de"", ""en"")"),"hoses")</f>
        <v>hoses</v>
      </c>
    </row>
    <row r="22824">
      <c r="A22824" s="1" t="s">
        <v>22823</v>
      </c>
      <c r="B22824" s="2" t="str">
        <f>IFERROR(__xludf.DUMMYFUNCTION("GOOGLETRANSLATE(A22824, ""de"", ""en"")"),"notice")</f>
        <v>notice</v>
      </c>
    </row>
    <row r="22825">
      <c r="A22825" s="1" t="s">
        <v>22824</v>
      </c>
      <c r="B22825" s="2" t="str">
        <f>IFERROR(__xludf.DUMMYFUNCTION("GOOGLETRANSLATE(A22825, ""de"", ""en"")"),"imported")</f>
        <v>imported</v>
      </c>
    </row>
    <row r="22826">
      <c r="A22826" s="1" t="s">
        <v>22825</v>
      </c>
      <c r="B22826" s="2" t="str">
        <f>IFERROR(__xludf.DUMMYFUNCTION("GOOGLETRANSLATE(A22826, ""de"", ""en"")"),"swapped")</f>
        <v>swapped</v>
      </c>
    </row>
    <row r="22827">
      <c r="A22827" s="1" t="s">
        <v>22826</v>
      </c>
      <c r="B22827" s="2" t="str">
        <f>IFERROR(__xludf.DUMMYFUNCTION("GOOGLETRANSLATE(A22827, ""de"", ""en"")"),"death certificate")</f>
        <v>death certificate</v>
      </c>
    </row>
    <row r="22828">
      <c r="A22828" s="1" t="s">
        <v>22827</v>
      </c>
      <c r="B22828" s="2" t="str">
        <f>IFERROR(__xludf.DUMMYFUNCTION("GOOGLETRANSLATE(A22828, ""de"", ""en"")"),"yawns")</f>
        <v>yawns</v>
      </c>
    </row>
    <row r="22829">
      <c r="A22829" s="1" t="s">
        <v>22828</v>
      </c>
      <c r="B22829" s="2" t="str">
        <f>IFERROR(__xludf.DUMMYFUNCTION("GOOGLETRANSLATE(A22829, ""de"", ""en"")"),"analyses")</f>
        <v>analyses</v>
      </c>
    </row>
    <row r="22830">
      <c r="A22830" s="1" t="s">
        <v>22829</v>
      </c>
      <c r="B22830" s="2" t="str">
        <f>IFERROR(__xludf.DUMMYFUNCTION("GOOGLETRANSLATE(A22830, ""de"", ""en"")"),"directed")</f>
        <v>directed</v>
      </c>
    </row>
    <row r="22831">
      <c r="A22831" s="1" t="s">
        <v>22830</v>
      </c>
      <c r="B22831" s="2" t="str">
        <f>IFERROR(__xludf.DUMMYFUNCTION("GOOGLETRANSLATE(A22831, ""de"", ""en"")"),"restricted area")</f>
        <v>restricted area</v>
      </c>
    </row>
    <row r="22832">
      <c r="A22832" s="1" t="s">
        <v>22831</v>
      </c>
      <c r="B22832" s="2" t="str">
        <f>IFERROR(__xludf.DUMMYFUNCTION("GOOGLETRANSLATE(A22832, ""de"", ""en"")"),"chrissy")</f>
        <v>chrissy</v>
      </c>
    </row>
    <row r="22833">
      <c r="A22833" s="1" t="s">
        <v>22832</v>
      </c>
      <c r="B22833" s="2" t="str">
        <f>IFERROR(__xludf.DUMMYFUNCTION("GOOGLETRANSLATE(A22833, ""de"", ""en"")"),"dancer")</f>
        <v>dancer</v>
      </c>
    </row>
    <row r="22834">
      <c r="A22834" s="1" t="s">
        <v>22833</v>
      </c>
      <c r="B22834" s="2" t="str">
        <f>IFERROR(__xludf.DUMMYFUNCTION("GOOGLETRANSLATE(A22834, ""de"", ""en"")"),"christin")</f>
        <v>christin</v>
      </c>
    </row>
    <row r="22835">
      <c r="A22835" s="1" t="s">
        <v>22834</v>
      </c>
      <c r="B22835" s="2" t="str">
        <f>IFERROR(__xludf.DUMMYFUNCTION("GOOGLETRANSLATE(A22835, ""de"", ""en"")"),"codename")</f>
        <v>codename</v>
      </c>
    </row>
    <row r="22836">
      <c r="A22836" s="1" t="s">
        <v>22835</v>
      </c>
      <c r="B22836" s="2" t="str">
        <f>IFERROR(__xludf.DUMMYFUNCTION("GOOGLETRANSLATE(A22836, ""de"", ""en"")"),"Shapiro")</f>
        <v>Shapiro</v>
      </c>
    </row>
    <row r="22837">
      <c r="A22837" s="1" t="s">
        <v>22836</v>
      </c>
      <c r="B22837" s="2" t="str">
        <f>IFERROR(__xludf.DUMMYFUNCTION("GOOGLETRANSLATE(A22837, ""de"", ""en"")"),"shorter")</f>
        <v>shorter</v>
      </c>
    </row>
    <row r="22838">
      <c r="A22838" s="1" t="s">
        <v>22837</v>
      </c>
      <c r="B22838" s="2" t="str">
        <f>IFERROR(__xludf.DUMMYFUNCTION("GOOGLETRANSLATE(A22838, ""de"", ""en"")"),"expand")</f>
        <v>expand</v>
      </c>
    </row>
    <row r="22839">
      <c r="A22839" s="1" t="s">
        <v>22838</v>
      </c>
      <c r="B22839" s="2" t="str">
        <f>IFERROR(__xludf.DUMMYFUNCTION("GOOGLETRANSLATE(A22839, ""de"", ""en"")"),"got there")</f>
        <v>got there</v>
      </c>
    </row>
    <row r="22840">
      <c r="A22840" s="1" t="s">
        <v>22839</v>
      </c>
      <c r="B22840" s="2" t="str">
        <f>IFERROR(__xludf.DUMMYFUNCTION("GOOGLETRANSLATE(A22840, ""de"", ""en"")"),"ease")</f>
        <v>ease</v>
      </c>
    </row>
    <row r="22841">
      <c r="A22841" s="1" t="s">
        <v>22840</v>
      </c>
      <c r="B22841" s="2" t="str">
        <f>IFERROR(__xludf.DUMMYFUNCTION("GOOGLETRANSLATE(A22841, ""de"", ""en"")"),"perpetrator")</f>
        <v>perpetrator</v>
      </c>
    </row>
    <row r="22842">
      <c r="A22842" s="1" t="s">
        <v>22841</v>
      </c>
      <c r="B22842" s="2" t="str">
        <f>IFERROR(__xludf.DUMMYFUNCTION("GOOGLETRANSLATE(A22842, ""de"", ""en"")"),"Delaware")</f>
        <v>Delaware</v>
      </c>
    </row>
    <row r="22843">
      <c r="A22843" s="1" t="s">
        <v>22842</v>
      </c>
      <c r="B22843" s="2" t="str">
        <f>IFERROR(__xludf.DUMMYFUNCTION("GOOGLETRANSLATE(A22843, ""de"", ""en"")"),"want")</f>
        <v>want</v>
      </c>
    </row>
    <row r="22844">
      <c r="A22844" s="1" t="s">
        <v>22843</v>
      </c>
      <c r="B22844" s="2" t="str">
        <f>IFERROR(__xludf.DUMMYFUNCTION("GOOGLETRANSLATE(A22844, ""de"", ""en"")"),"yuri")</f>
        <v>yuri</v>
      </c>
    </row>
    <row r="22845">
      <c r="A22845" s="1" t="s">
        <v>22844</v>
      </c>
      <c r="B22845" s="2" t="str">
        <f>IFERROR(__xludf.DUMMYFUNCTION("GOOGLETRANSLATE(A22845, ""de"", ""en"")"),"entitled")</f>
        <v>entitled</v>
      </c>
    </row>
    <row r="22846">
      <c r="A22846" s="1" t="s">
        <v>22845</v>
      </c>
      <c r="B22846" s="2" t="str">
        <f>IFERROR(__xludf.DUMMYFUNCTION("GOOGLETRANSLATE(A22846, ""de"", ""en"")"),"atomic bombs")</f>
        <v>atomic bombs</v>
      </c>
    </row>
    <row r="22847">
      <c r="A22847" s="1" t="s">
        <v>22846</v>
      </c>
      <c r="B22847" s="2" t="str">
        <f>IFERROR(__xludf.DUMMYFUNCTION("GOOGLETRANSLATE(A22847, ""de"", ""en"")"),"shot")</f>
        <v>shot</v>
      </c>
    </row>
    <row r="22848">
      <c r="A22848" s="1" t="s">
        <v>22847</v>
      </c>
      <c r="B22848" s="2" t="str">
        <f>IFERROR(__xludf.DUMMYFUNCTION("GOOGLETRANSLATE(A22848, ""de"", ""en"")"),"more broken")</f>
        <v>more broken</v>
      </c>
    </row>
    <row r="22849">
      <c r="A22849" s="1" t="s">
        <v>22848</v>
      </c>
      <c r="B22849" s="2" t="str">
        <f>IFERROR(__xludf.DUMMYFUNCTION("GOOGLETRANSLATE(A22849, ""de"", ""en"")"),"detailed")</f>
        <v>detailed</v>
      </c>
    </row>
    <row r="22850">
      <c r="A22850" s="1" t="s">
        <v>22849</v>
      </c>
      <c r="B22850" s="2" t="str">
        <f>IFERROR(__xludf.DUMMYFUNCTION("GOOGLETRANSLATE(A22850, ""de"", ""en"")"),"contrary")</f>
        <v>contrary</v>
      </c>
    </row>
    <row r="22851">
      <c r="A22851" s="1" t="s">
        <v>22850</v>
      </c>
      <c r="B22851" s="2" t="str">
        <f>IFERROR(__xludf.DUMMYFUNCTION("GOOGLETRANSLATE(A22851, ""de"", ""en"")"),"duval")</f>
        <v>duval</v>
      </c>
    </row>
    <row r="22852">
      <c r="A22852" s="1" t="s">
        <v>22851</v>
      </c>
      <c r="B22852" s="2" t="str">
        <f>IFERROR(__xludf.DUMMYFUNCTION("GOOGLETRANSLATE(A22852, ""de"", ""en"")"),"imaginable")</f>
        <v>imaginable</v>
      </c>
    </row>
    <row r="22853">
      <c r="A22853" s="1" t="s">
        <v>22852</v>
      </c>
      <c r="B22853" s="2" t="str">
        <f>IFERROR(__xludf.DUMMYFUNCTION("GOOGLETRANSLATE(A22853, ""de"", ""en"")"),"spit")</f>
        <v>spit</v>
      </c>
    </row>
    <row r="22854">
      <c r="A22854" s="1" t="s">
        <v>22853</v>
      </c>
      <c r="B22854" s="2" t="str">
        <f>IFERROR(__xludf.DUMMYFUNCTION("GOOGLETRANSLATE(A22854, ""de"", ""en"")"),"banal")</f>
        <v>banal</v>
      </c>
    </row>
    <row r="22855">
      <c r="A22855" s="1" t="s">
        <v>22854</v>
      </c>
      <c r="B22855" s="2" t="str">
        <f>IFERROR(__xludf.DUMMYFUNCTION("GOOGLETRANSLATE(A22855, ""de"", ""en"")"),"38s")</f>
        <v>38s</v>
      </c>
    </row>
    <row r="22856">
      <c r="A22856" s="1" t="s">
        <v>22855</v>
      </c>
      <c r="B22856" s="2" t="str">
        <f>IFERROR(__xludf.DUMMYFUNCTION("GOOGLETRANSLATE(A22856, ""de"", ""en"")"),"enclosure")</f>
        <v>enclosure</v>
      </c>
    </row>
    <row r="22857">
      <c r="A22857" s="1" t="s">
        <v>22856</v>
      </c>
      <c r="B22857" s="2" t="str">
        <f>IFERROR(__xludf.DUMMYFUNCTION("GOOGLETRANSLATE(A22857, ""de"", ""en"")"),"disgusted")</f>
        <v>disgusted</v>
      </c>
    </row>
    <row r="22858">
      <c r="A22858" s="1" t="s">
        <v>22857</v>
      </c>
      <c r="B22858" s="2" t="str">
        <f>IFERROR(__xludf.DUMMYFUNCTION("GOOGLETRANSLATE(A22858, ""de"", ""en"")"),"appease")</f>
        <v>appease</v>
      </c>
    </row>
    <row r="22859">
      <c r="A22859" s="1" t="s">
        <v>22858</v>
      </c>
      <c r="B22859" s="2" t="str">
        <f>IFERROR(__xludf.DUMMYFUNCTION("GOOGLETRANSLATE(A22859, ""de"", ""en"")"),"sleeping")</f>
        <v>sleeping</v>
      </c>
    </row>
    <row r="22860">
      <c r="A22860" s="1" t="s">
        <v>22859</v>
      </c>
      <c r="B22860" s="2" t="str">
        <f>IFERROR(__xludf.DUMMYFUNCTION("GOOGLETRANSLATE(A22860, ""de"", ""en"")"),"civil")</f>
        <v>civil</v>
      </c>
    </row>
    <row r="22861">
      <c r="A22861" s="1" t="s">
        <v>22860</v>
      </c>
      <c r="B22861" s="2" t="str">
        <f>IFERROR(__xludf.DUMMYFUNCTION("GOOGLETRANSLATE(A22861, ""de"", ""en"")"),"odile")</f>
        <v>odile</v>
      </c>
    </row>
    <row r="22862">
      <c r="A22862" s="1" t="s">
        <v>22861</v>
      </c>
      <c r="B22862" s="2" t="str">
        <f>IFERROR(__xludf.DUMMYFUNCTION("GOOGLETRANSLATE(A22862, ""de"", ""en"")"),"incurable")</f>
        <v>incurable</v>
      </c>
    </row>
    <row r="22863">
      <c r="A22863" s="1" t="s">
        <v>22862</v>
      </c>
      <c r="B22863" s="2" t="str">
        <f>IFERROR(__xludf.DUMMYFUNCTION("GOOGLETRANSLATE(A22863, ""de"", ""en"")"),"liberals")</f>
        <v>liberals</v>
      </c>
    </row>
    <row r="22864">
      <c r="A22864" s="1" t="s">
        <v>22863</v>
      </c>
      <c r="B22864" s="2" t="str">
        <f>IFERROR(__xludf.DUMMYFUNCTION("GOOGLETRANSLATE(A22864, ""de"", ""en"")"),"mass")</f>
        <v>mass</v>
      </c>
    </row>
    <row r="22865">
      <c r="A22865" s="1" t="s">
        <v>22864</v>
      </c>
      <c r="B22865" s="2" t="str">
        <f>IFERROR(__xludf.DUMMYFUNCTION("GOOGLETRANSLATE(A22865, ""de"", ""en"")"),"combine")</f>
        <v>combine</v>
      </c>
    </row>
    <row r="22866">
      <c r="A22866" s="1" t="s">
        <v>22865</v>
      </c>
      <c r="B22866" s="2" t="str">
        <f>IFERROR(__xludf.DUMMYFUNCTION("GOOGLETRANSLATE(A22866, ""de"", ""en"")"),"projector")</f>
        <v>projector</v>
      </c>
    </row>
    <row r="22867">
      <c r="A22867" s="1" t="s">
        <v>22866</v>
      </c>
      <c r="B22867" s="2" t="str">
        <f>IFERROR(__xludf.DUMMYFUNCTION("GOOGLETRANSLATE(A22867, ""de"", ""en"")"),"celebrities")</f>
        <v>celebrities</v>
      </c>
    </row>
    <row r="22868">
      <c r="A22868" s="1" t="s">
        <v>22867</v>
      </c>
      <c r="B22868" s="2" t="str">
        <f>IFERROR(__xludf.DUMMYFUNCTION("GOOGLETRANSLATE(A22868, ""de"", ""en"")"),"magistrate")</f>
        <v>magistrate</v>
      </c>
    </row>
    <row r="22869">
      <c r="A22869" s="1" t="s">
        <v>22868</v>
      </c>
      <c r="B22869" s="2" t="str">
        <f>IFERROR(__xludf.DUMMYFUNCTION("GOOGLETRANSLATE(A22869, ""de"", ""en"")"),"fly there")</f>
        <v>fly there</v>
      </c>
    </row>
    <row r="22870">
      <c r="A22870" s="1" t="s">
        <v>22869</v>
      </c>
      <c r="B22870" s="2" t="str">
        <f>IFERROR(__xludf.DUMMYFUNCTION("GOOGLETRANSLATE(A22870, ""de"", ""en"")"),"main suspects")</f>
        <v>main suspects</v>
      </c>
    </row>
    <row r="22871">
      <c r="A22871" s="1" t="s">
        <v>22870</v>
      </c>
      <c r="B22871" s="2" t="str">
        <f>IFERROR(__xludf.DUMMYFUNCTION("GOOGLETRANSLATE(A22871, ""de"", ""en"")"),"suleyman")</f>
        <v>suleyman</v>
      </c>
    </row>
    <row r="22872">
      <c r="A22872" s="1" t="s">
        <v>22871</v>
      </c>
      <c r="B22872" s="2" t="str">
        <f>IFERROR(__xludf.DUMMYFUNCTION("GOOGLETRANSLATE(A22872, ""de"", ""en"")"),"around it")</f>
        <v>around it</v>
      </c>
    </row>
    <row r="22873">
      <c r="A22873" s="1" t="s">
        <v>22872</v>
      </c>
      <c r="B22873" s="2" t="str">
        <f>IFERROR(__xludf.DUMMYFUNCTION("GOOGLETRANSLATE(A22873, ""de"", ""en"")"),"conde")</f>
        <v>conde</v>
      </c>
    </row>
    <row r="22874">
      <c r="A22874" s="1" t="s">
        <v>22873</v>
      </c>
      <c r="B22874" s="2" t="str">
        <f>IFERROR(__xludf.DUMMYFUNCTION("GOOGLETRANSLATE(A22874, ""de"", ""en"")"),"bagels")</f>
        <v>bagels</v>
      </c>
    </row>
    <row r="22875">
      <c r="A22875" s="1" t="s">
        <v>22874</v>
      </c>
      <c r="B22875" s="2" t="str">
        <f>IFERROR(__xludf.DUMMYFUNCTION("GOOGLETRANSLATE(A22875, ""de"", ""en"")"),"globe")</f>
        <v>globe</v>
      </c>
    </row>
    <row r="22876">
      <c r="A22876" s="1" t="s">
        <v>22875</v>
      </c>
      <c r="B22876" s="2" t="str">
        <f>IFERROR(__xludf.DUMMYFUNCTION("GOOGLETRANSLATE(A22876, ""de"", ""en"")"),"ripped")</f>
        <v>ripped</v>
      </c>
    </row>
    <row r="22877">
      <c r="A22877" s="1" t="s">
        <v>22876</v>
      </c>
      <c r="B22877" s="2" t="str">
        <f>IFERROR(__xludf.DUMMYFUNCTION("GOOGLETRANSLATE(A22877, ""de"", ""en"")"),"implemented")</f>
        <v>implemented</v>
      </c>
    </row>
    <row r="22878">
      <c r="A22878" s="1" t="s">
        <v>22877</v>
      </c>
      <c r="B22878" s="2" t="str">
        <f>IFERROR(__xludf.DUMMYFUNCTION("GOOGLETRANSLATE(A22878, ""de"", ""en"")"),"found")</f>
        <v>found</v>
      </c>
    </row>
    <row r="22879">
      <c r="A22879" s="1" t="s">
        <v>22878</v>
      </c>
      <c r="B22879" s="2" t="str">
        <f>IFERROR(__xludf.DUMMYFUNCTION("GOOGLETRANSLATE(A22879, ""de"", ""en"")"),"stunts")</f>
        <v>stunts</v>
      </c>
    </row>
    <row r="22880">
      <c r="A22880" s="1" t="s">
        <v>22879</v>
      </c>
      <c r="B22880" s="2" t="str">
        <f>IFERROR(__xludf.DUMMYFUNCTION("GOOGLETRANSLATE(A22880, ""de"", ""en"")"),"tortures")</f>
        <v>tortures</v>
      </c>
    </row>
    <row r="22881">
      <c r="A22881" s="1" t="s">
        <v>22880</v>
      </c>
      <c r="B22881" s="2" t="str">
        <f>IFERROR(__xludf.DUMMYFUNCTION("GOOGLETRANSLATE(A22881, ""de"", ""en"")"),"civil")</f>
        <v>civil</v>
      </c>
    </row>
    <row r="22882">
      <c r="A22882" s="1" t="s">
        <v>22881</v>
      </c>
      <c r="B22882" s="2" t="str">
        <f>IFERROR(__xludf.DUMMYFUNCTION("GOOGLETRANSLATE(A22882, ""de"", ""en"")"),"flooded")</f>
        <v>flooded</v>
      </c>
    </row>
    <row r="22883">
      <c r="A22883" s="1" t="s">
        <v>22882</v>
      </c>
      <c r="B22883" s="2" t="str">
        <f>IFERROR(__xludf.DUMMYFUNCTION("GOOGLETRANSLATE(A22883, ""de"", ""en"")"),"arrested")</f>
        <v>arrested</v>
      </c>
    </row>
    <row r="22884">
      <c r="A22884" s="1" t="s">
        <v>22883</v>
      </c>
      <c r="B22884" s="2" t="str">
        <f>IFERROR(__xludf.DUMMYFUNCTION("GOOGLETRANSLATE(A22884, ""de"", ""en"")"),"compensate")</f>
        <v>compensate</v>
      </c>
    </row>
    <row r="22885">
      <c r="A22885" s="1" t="s">
        <v>22884</v>
      </c>
      <c r="B22885" s="2" t="str">
        <f>IFERROR(__xludf.DUMMYFUNCTION("GOOGLETRANSLATE(A22885, ""de"", ""en"")"),"Stifler")</f>
        <v>Stifler</v>
      </c>
    </row>
    <row r="22886">
      <c r="A22886" s="1" t="s">
        <v>22885</v>
      </c>
      <c r="B22886" s="2" t="str">
        <f>IFERROR(__xludf.DUMMYFUNCTION("GOOGLETRANSLATE(A22886, ""de"", ""en"")"),"sparrows")</f>
        <v>sparrows</v>
      </c>
    </row>
    <row r="22887">
      <c r="A22887" s="1" t="s">
        <v>22886</v>
      </c>
      <c r="B22887" s="2" t="str">
        <f>IFERROR(__xludf.DUMMYFUNCTION("GOOGLETRANSLATE(A22887, ""de"", ""en"")"),"wash clean")</f>
        <v>wash clean</v>
      </c>
    </row>
    <row r="22888">
      <c r="A22888" s="1" t="s">
        <v>22887</v>
      </c>
      <c r="B22888" s="2" t="str">
        <f>IFERROR(__xludf.DUMMYFUNCTION("GOOGLETRANSLATE(A22888, ""de"", ""en"")"),"fairness")</f>
        <v>fairness</v>
      </c>
    </row>
    <row r="22889">
      <c r="A22889" s="1" t="s">
        <v>22888</v>
      </c>
      <c r="B22889" s="2" t="str">
        <f>IFERROR(__xludf.DUMMYFUNCTION("GOOGLETRANSLATE(A22889, ""de"", ""en"")"),"revived")</f>
        <v>revived</v>
      </c>
    </row>
    <row r="22890">
      <c r="A22890" s="1" t="s">
        <v>22889</v>
      </c>
      <c r="B22890" s="2" t="str">
        <f>IFERROR(__xludf.DUMMYFUNCTION("GOOGLETRANSLATE(A22890, ""de"", ""en"")"),"olive oil")</f>
        <v>olive oil</v>
      </c>
    </row>
    <row r="22891">
      <c r="A22891" s="1" t="s">
        <v>22890</v>
      </c>
      <c r="B22891" s="2" t="str">
        <f>IFERROR(__xludf.DUMMYFUNCTION("GOOGLETRANSLATE(A22891, ""de"", ""en"")"),"stasi")</f>
        <v>stasi</v>
      </c>
    </row>
    <row r="22892">
      <c r="A22892" s="1" t="s">
        <v>22891</v>
      </c>
      <c r="B22892" s="2" t="str">
        <f>IFERROR(__xludf.DUMMYFUNCTION("GOOGLETRANSLATE(A22892, ""de"", ""en"")"),"camp")</f>
        <v>camp</v>
      </c>
    </row>
    <row r="22893">
      <c r="A22893" s="1" t="s">
        <v>22892</v>
      </c>
      <c r="B22893" s="2" t="str">
        <f>IFERROR(__xludf.DUMMYFUNCTION("GOOGLETRANSLATE(A22893, ""de"", ""en"")"),"exile")</f>
        <v>exile</v>
      </c>
    </row>
    <row r="22894">
      <c r="A22894" s="1" t="s">
        <v>22893</v>
      </c>
      <c r="B22894" s="2" t="str">
        <f>IFERROR(__xludf.DUMMYFUNCTION("GOOGLETRANSLATE(A22894, ""de"", ""en"")"),"summer house")</f>
        <v>summer house</v>
      </c>
    </row>
    <row r="22895">
      <c r="A22895" s="1" t="s">
        <v>22894</v>
      </c>
      <c r="B22895" s="2" t="str">
        <f>IFERROR(__xludf.DUMMYFUNCTION("GOOGLETRANSLATE(A22895, ""de"", ""en"")"),"moths")</f>
        <v>moths</v>
      </c>
    </row>
    <row r="22896">
      <c r="A22896" s="1" t="s">
        <v>22895</v>
      </c>
      <c r="B22896" s="2" t="str">
        <f>IFERROR(__xludf.DUMMYFUNCTION("GOOGLETRANSLATE(A22896, ""de"", ""en"")"),"Saturday")</f>
        <v>Saturday</v>
      </c>
    </row>
    <row r="22897">
      <c r="A22897" s="1" t="s">
        <v>22896</v>
      </c>
      <c r="B22897" s="2" t="str">
        <f>IFERROR(__xludf.DUMMYFUNCTION("GOOGLETRANSLATE(A22897, ""de"", ""en"")"),"Sacha")</f>
        <v>Sacha</v>
      </c>
    </row>
    <row r="22898">
      <c r="A22898" s="1" t="s">
        <v>22897</v>
      </c>
      <c r="B22898" s="2" t="str">
        <f>IFERROR(__xludf.DUMMYFUNCTION("GOOGLETRANSLATE(A22898, ""de"", ""en"")"),"branches")</f>
        <v>branches</v>
      </c>
    </row>
    <row r="22899">
      <c r="A22899" s="1" t="s">
        <v>22898</v>
      </c>
      <c r="B22899" s="2" t="str">
        <f>IFERROR(__xludf.DUMMYFUNCTION("GOOGLETRANSLATE(A22899, ""de"", ""en"")"),"idolized")</f>
        <v>idolized</v>
      </c>
    </row>
    <row r="22900">
      <c r="A22900" s="1" t="s">
        <v>22899</v>
      </c>
      <c r="B22900" s="2" t="str">
        <f>IFERROR(__xludf.DUMMYFUNCTION("GOOGLETRANSLATE(A22900, ""de"", ""en"")"),"subsided")</f>
        <v>subsided</v>
      </c>
    </row>
    <row r="22901">
      <c r="A22901" s="1" t="s">
        <v>22900</v>
      </c>
      <c r="B22901" s="2" t="str">
        <f>IFERROR(__xludf.DUMMYFUNCTION("GOOGLETRANSLATE(A22901, ""de"", ""en"")"),"lonely")</f>
        <v>lonely</v>
      </c>
    </row>
    <row r="22902">
      <c r="A22902" s="1" t="s">
        <v>22901</v>
      </c>
      <c r="B22902" s="2" t="str">
        <f>IFERROR(__xludf.DUMMYFUNCTION("GOOGLETRANSLATE(A22902, ""de"", ""en"")"),"liquids")</f>
        <v>liquids</v>
      </c>
    </row>
    <row r="22903">
      <c r="A22903" s="1" t="s">
        <v>22902</v>
      </c>
      <c r="B22903" s="2" t="str">
        <f>IFERROR(__xludf.DUMMYFUNCTION("GOOGLETRANSLATE(A22903, ""de"", ""en"")"),"Mako")</f>
        <v>Mako</v>
      </c>
    </row>
    <row r="22904">
      <c r="A22904" s="1" t="s">
        <v>22903</v>
      </c>
      <c r="B22904" s="2" t="str">
        <f>IFERROR(__xludf.DUMMYFUNCTION("GOOGLETRANSLATE(A22904, ""de"", ""en"")"),"howell")</f>
        <v>howell</v>
      </c>
    </row>
    <row r="22905">
      <c r="A22905" s="1" t="s">
        <v>22904</v>
      </c>
      <c r="B22905" s="2" t="str">
        <f>IFERROR(__xludf.DUMMYFUNCTION("GOOGLETRANSLATE(A22905, ""de"", ""en"")"),"Achilles")</f>
        <v>Achilles</v>
      </c>
    </row>
    <row r="22906">
      <c r="A22906" s="1" t="s">
        <v>22905</v>
      </c>
      <c r="B22906" s="2" t="str">
        <f>IFERROR(__xludf.DUMMYFUNCTION("GOOGLETRANSLATE(A22906, ""de"", ""en"")"),"lead")</f>
        <v>lead</v>
      </c>
    </row>
    <row r="22907">
      <c r="A22907" s="1" t="s">
        <v>22906</v>
      </c>
      <c r="B22907" s="2" t="str">
        <f>IFERROR(__xludf.DUMMYFUNCTION("GOOGLETRANSLATE(A22907, ""de"", ""en"")"),"satisfy")</f>
        <v>satisfy</v>
      </c>
    </row>
    <row r="22908">
      <c r="A22908" s="1" t="s">
        <v>22907</v>
      </c>
      <c r="B22908" s="2" t="str">
        <f>IFERROR(__xludf.DUMMYFUNCTION("GOOGLETRANSLATE(A22908, ""de"", ""en"")"),"world peace")</f>
        <v>world peace</v>
      </c>
    </row>
    <row r="22909">
      <c r="A22909" s="1" t="s">
        <v>22908</v>
      </c>
      <c r="B22909" s="2" t="str">
        <f>IFERROR(__xludf.DUMMYFUNCTION("GOOGLETRANSLATE(A22909, ""de"", ""en"")"),"ironed")</f>
        <v>ironed</v>
      </c>
    </row>
    <row r="22910">
      <c r="A22910" s="1" t="s">
        <v>22909</v>
      </c>
      <c r="B22910" s="2" t="str">
        <f>IFERROR(__xludf.DUMMYFUNCTION("GOOGLETRANSLATE(A22910, ""de"", ""en"")"),"concerned")</f>
        <v>concerned</v>
      </c>
    </row>
    <row r="22911">
      <c r="A22911" s="1" t="s">
        <v>22910</v>
      </c>
      <c r="B22911" s="2" t="str">
        <f>IFERROR(__xludf.DUMMYFUNCTION("GOOGLETRANSLATE(A22911, ""de"", ""en"")"),"collarbone")</f>
        <v>collarbone</v>
      </c>
    </row>
    <row r="22912">
      <c r="A22912" s="1" t="s">
        <v>22911</v>
      </c>
      <c r="B22912" s="2" t="str">
        <f>IFERROR(__xludf.DUMMYFUNCTION("GOOGLETRANSLATE(A22912, ""de"", ""en"")"),"horror")</f>
        <v>horror</v>
      </c>
    </row>
    <row r="22913">
      <c r="A22913" s="1" t="s">
        <v>22912</v>
      </c>
      <c r="B22913" s="2" t="str">
        <f>IFERROR(__xludf.DUMMYFUNCTION("GOOGLETRANSLATE(A22913, ""de"", ""en"")"),"Gareth")</f>
        <v>Gareth</v>
      </c>
    </row>
    <row r="22914">
      <c r="A22914" s="1" t="s">
        <v>22913</v>
      </c>
      <c r="B22914" s="2" t="str">
        <f>IFERROR(__xludf.DUMMYFUNCTION("GOOGLETRANSLATE(A22914, ""de"", ""en"")"),"radio station")</f>
        <v>radio station</v>
      </c>
    </row>
    <row r="22915">
      <c r="A22915" s="1" t="s">
        <v>22914</v>
      </c>
      <c r="B22915" s="2" t="str">
        <f>IFERROR(__xludf.DUMMYFUNCTION("GOOGLETRANSLATE(A22915, ""de"", ""en"")"),"fold")</f>
        <v>fold</v>
      </c>
    </row>
    <row r="22916">
      <c r="A22916" s="1" t="s">
        <v>22915</v>
      </c>
      <c r="B22916" s="2" t="str">
        <f>IFERROR(__xludf.DUMMYFUNCTION("GOOGLETRANSLATE(A22916, ""de"", ""en"")"),"train")</f>
        <v>train</v>
      </c>
    </row>
    <row r="22917">
      <c r="A22917" s="1" t="s">
        <v>22916</v>
      </c>
      <c r="B22917" s="2" t="str">
        <f>IFERROR(__xludf.DUMMYFUNCTION("GOOGLETRANSLATE(A22917, ""de"", ""en"")"),"lilies")</f>
        <v>lilies</v>
      </c>
    </row>
    <row r="22918">
      <c r="A22918" s="1" t="s">
        <v>22917</v>
      </c>
      <c r="B22918" s="2" t="str">
        <f>IFERROR(__xludf.DUMMYFUNCTION("GOOGLETRANSLATE(A22918, ""de"", ""en"")"),"sonar")</f>
        <v>sonar</v>
      </c>
    </row>
    <row r="22919">
      <c r="A22919" s="1" t="s">
        <v>22918</v>
      </c>
      <c r="B22919" s="2" t="str">
        <f>IFERROR(__xludf.DUMMYFUNCTION("GOOGLETRANSLATE(A22919, ""de"", ""en"")"),"together")</f>
        <v>together</v>
      </c>
    </row>
    <row r="22920">
      <c r="A22920" s="1" t="s">
        <v>22919</v>
      </c>
      <c r="B22920" s="2" t="str">
        <f>IFERROR(__xludf.DUMMYFUNCTION("GOOGLETRANSLATE(A22920, ""de"", ""en"")"),"silly")</f>
        <v>silly</v>
      </c>
    </row>
    <row r="22921">
      <c r="A22921" s="1" t="s">
        <v>22920</v>
      </c>
      <c r="B22921" s="2" t="str">
        <f>IFERROR(__xludf.DUMMYFUNCTION("GOOGLETRANSLATE(A22921, ""de"", ""en"")"),"Klingon")</f>
        <v>Klingon</v>
      </c>
    </row>
    <row r="22922">
      <c r="A22922" s="1" t="s">
        <v>22921</v>
      </c>
      <c r="B22922" s="2" t="str">
        <f>IFERROR(__xludf.DUMMYFUNCTION("GOOGLETRANSLATE(A22922, ""de"", ""en"")"),"scare away")</f>
        <v>scare away</v>
      </c>
    </row>
    <row r="22923">
      <c r="A22923" s="1" t="s">
        <v>22922</v>
      </c>
      <c r="B22923" s="2" t="str">
        <f>IFERROR(__xludf.DUMMYFUNCTION("GOOGLETRANSLATE(A22923, ""de"", ""en"")"),"beef")</f>
        <v>beef</v>
      </c>
    </row>
    <row r="22924">
      <c r="A22924" s="1" t="s">
        <v>22923</v>
      </c>
      <c r="B22924" s="2" t="str">
        <f>IFERROR(__xludf.DUMMYFUNCTION("GOOGLETRANSLATE(A22924, ""de"", ""en"")"),"chinas")</f>
        <v>chinas</v>
      </c>
    </row>
    <row r="22925">
      <c r="A22925" s="1" t="s">
        <v>22924</v>
      </c>
      <c r="B22925" s="2" t="str">
        <f>IFERROR(__xludf.DUMMYFUNCTION("GOOGLETRANSLATE(A22925, ""de"", ""en"")"),"take down")</f>
        <v>take down</v>
      </c>
    </row>
    <row r="22926">
      <c r="A22926" s="1" t="s">
        <v>22925</v>
      </c>
      <c r="B22926" s="2" t="str">
        <f>IFERROR(__xludf.DUMMYFUNCTION("GOOGLETRANSLATE(A22926, ""de"", ""en"")"),"tired")</f>
        <v>tired</v>
      </c>
    </row>
    <row r="22927">
      <c r="A22927" s="1" t="s">
        <v>22926</v>
      </c>
      <c r="B22927" s="2" t="str">
        <f>IFERROR(__xludf.DUMMYFUNCTION("GOOGLETRANSLATE(A22927, ""de"", ""en"")"),"brings back")</f>
        <v>brings back</v>
      </c>
    </row>
    <row r="22928">
      <c r="A22928" s="1" t="s">
        <v>22927</v>
      </c>
      <c r="B22928" s="2" t="str">
        <f>IFERROR(__xludf.DUMMYFUNCTION("GOOGLETRANSLATE(A22928, ""de"", ""en"")"),"secret")</f>
        <v>secret</v>
      </c>
    </row>
    <row r="22929">
      <c r="A22929" s="1" t="s">
        <v>22928</v>
      </c>
      <c r="B22929" s="2" t="str">
        <f>IFERROR(__xludf.DUMMYFUNCTION("GOOGLETRANSLATE(A22929, ""de"", ""en"")"),"dismiss")</f>
        <v>dismiss</v>
      </c>
    </row>
    <row r="22930">
      <c r="A22930" s="1" t="s">
        <v>22929</v>
      </c>
      <c r="B22930" s="2" t="str">
        <f>IFERROR(__xludf.DUMMYFUNCTION("GOOGLETRANSLATE(A22930, ""de"", ""en"")"),"stained")</f>
        <v>stained</v>
      </c>
    </row>
    <row r="22931">
      <c r="A22931" s="1" t="s">
        <v>22930</v>
      </c>
      <c r="B22931" s="2" t="str">
        <f>IFERROR(__xludf.DUMMYFUNCTION("GOOGLETRANSLATE(A22931, ""de"", ""en"")"),"respect")</f>
        <v>respect</v>
      </c>
    </row>
    <row r="22932">
      <c r="A22932" s="1" t="s">
        <v>22931</v>
      </c>
      <c r="B22932" s="2" t="str">
        <f>IFERROR(__xludf.DUMMYFUNCTION("GOOGLETRANSLATE(A22932, ""de"", ""en"")"),"thames")</f>
        <v>thames</v>
      </c>
    </row>
    <row r="22933">
      <c r="A22933" s="1" t="s">
        <v>22932</v>
      </c>
      <c r="B22933" s="2" t="str">
        <f>IFERROR(__xludf.DUMMYFUNCTION("GOOGLETRANSLATE(A22933, ""de"", ""en"")"),"special offer")</f>
        <v>special offer</v>
      </c>
    </row>
    <row r="22934">
      <c r="A22934" s="1" t="s">
        <v>22933</v>
      </c>
      <c r="B22934" s="2" t="str">
        <f>IFERROR(__xludf.DUMMYFUNCTION("GOOGLETRANSLATE(A22934, ""de"", ""en"")"),"pull down")</f>
        <v>pull down</v>
      </c>
    </row>
    <row r="22935">
      <c r="A22935" s="1" t="s">
        <v>22934</v>
      </c>
      <c r="B22935" s="2" t="str">
        <f>IFERROR(__xludf.DUMMYFUNCTION("GOOGLETRANSLATE(A22935, ""de"", ""en"")"),"stormed")</f>
        <v>stormed</v>
      </c>
    </row>
    <row r="22936">
      <c r="A22936" s="1" t="s">
        <v>22935</v>
      </c>
      <c r="B22936" s="2" t="str">
        <f>IFERROR(__xludf.DUMMYFUNCTION("GOOGLETRANSLATE(A22936, ""de"", ""en"")"),"Rosenberg")</f>
        <v>Rosenberg</v>
      </c>
    </row>
    <row r="22937">
      <c r="A22937" s="1" t="s">
        <v>22936</v>
      </c>
      <c r="B22937" s="2" t="str">
        <f>IFERROR(__xludf.DUMMYFUNCTION("GOOGLETRANSLATE(A22937, ""de"", ""en"")"),"stephens")</f>
        <v>stephens</v>
      </c>
    </row>
    <row r="22938">
      <c r="A22938" s="1" t="s">
        <v>22937</v>
      </c>
      <c r="B22938" s="2" t="str">
        <f>IFERROR(__xludf.DUMMYFUNCTION("GOOGLETRANSLATE(A22938, ""de"", ""en"")"),"splendid")</f>
        <v>splendid</v>
      </c>
    </row>
    <row r="22939">
      <c r="A22939" s="1" t="s">
        <v>22938</v>
      </c>
      <c r="B22939" s="2" t="str">
        <f>IFERROR(__xludf.DUMMYFUNCTION("GOOGLETRANSLATE(A22939, ""de"", ""en"")"),"predict")</f>
        <v>predict</v>
      </c>
    </row>
    <row r="22940">
      <c r="A22940" s="1" t="s">
        <v>22939</v>
      </c>
      <c r="B22940" s="2" t="str">
        <f>IFERROR(__xludf.DUMMYFUNCTION("GOOGLETRANSLATE(A22940, ""de"", ""en"")"),"Celsius")</f>
        <v>Celsius</v>
      </c>
    </row>
    <row r="22941">
      <c r="A22941" s="1" t="s">
        <v>22940</v>
      </c>
      <c r="B22941" s="2" t="str">
        <f>IFERROR(__xludf.DUMMYFUNCTION("GOOGLETRANSLATE(A22941, ""de"", ""en"")"),"Kerstin")</f>
        <v>Kerstin</v>
      </c>
    </row>
    <row r="22942">
      <c r="A22942" s="1" t="s">
        <v>22941</v>
      </c>
      <c r="B22942" s="2" t="str">
        <f>IFERROR(__xludf.DUMMYFUNCTION("GOOGLETRANSLATE(A22942, ""de"", ""en"")"),"lifesaver")</f>
        <v>lifesaver</v>
      </c>
    </row>
    <row r="22943">
      <c r="A22943" s="1" t="s">
        <v>22942</v>
      </c>
      <c r="B22943" s="2" t="str">
        <f>IFERROR(__xludf.DUMMYFUNCTION("GOOGLETRANSLATE(A22943, ""de"", ""en"")"),"Assad")</f>
        <v>Assad</v>
      </c>
    </row>
    <row r="22944">
      <c r="A22944" s="1" t="s">
        <v>22943</v>
      </c>
      <c r="B22944" s="2" t="str">
        <f>IFERROR(__xludf.DUMMYFUNCTION("GOOGLETRANSLATE(A22944, ""de"", ""en"")"),"deepened")</f>
        <v>deepened</v>
      </c>
    </row>
    <row r="22945">
      <c r="A22945" s="1" t="s">
        <v>22944</v>
      </c>
      <c r="B22945" s="2" t="str">
        <f>IFERROR(__xludf.DUMMYFUNCTION("GOOGLETRANSLATE(A22945, ""de"", ""en"")"),"crazy")</f>
        <v>crazy</v>
      </c>
    </row>
    <row r="22946">
      <c r="A22946" s="1" t="s">
        <v>22945</v>
      </c>
      <c r="B22946" s="2" t="str">
        <f>IFERROR(__xludf.DUMMYFUNCTION("GOOGLETRANSLATE(A22946, ""de"", ""en"")"),"lambs")</f>
        <v>lambs</v>
      </c>
    </row>
    <row r="22947">
      <c r="A22947" s="1" t="s">
        <v>22946</v>
      </c>
      <c r="B22947" s="2" t="str">
        <f>IFERROR(__xludf.DUMMYFUNCTION("GOOGLETRANSLATE(A22947, ""de"", ""en"")"),"plausible")</f>
        <v>plausible</v>
      </c>
    </row>
    <row r="22948">
      <c r="A22948" s="1" t="s">
        <v>22947</v>
      </c>
      <c r="B22948" s="2" t="str">
        <f>IFERROR(__xludf.DUMMYFUNCTION("GOOGLETRANSLATE(A22948, ""de"", ""en"")"),"ice hockey")</f>
        <v>ice hockey</v>
      </c>
    </row>
    <row r="22949">
      <c r="A22949" s="1" t="s">
        <v>22948</v>
      </c>
      <c r="B22949" s="2" t="str">
        <f>IFERROR(__xludf.DUMMYFUNCTION("GOOGLETRANSLATE(A22949, ""de"", ""en"")"),"prudish")</f>
        <v>prudish</v>
      </c>
    </row>
    <row r="22950">
      <c r="A22950" s="1" t="s">
        <v>22949</v>
      </c>
      <c r="B22950" s="2" t="str">
        <f>IFERROR(__xludf.DUMMYFUNCTION("GOOGLETRANSLATE(A22950, ""de"", ""en"")"),"shredders")</f>
        <v>shredders</v>
      </c>
    </row>
    <row r="22951">
      <c r="A22951" s="1" t="s">
        <v>22950</v>
      </c>
      <c r="B22951" s="2" t="str">
        <f>IFERROR(__xludf.DUMMYFUNCTION("GOOGLETRANSLATE(A22951, ""de"", ""en"")"),"womanizer")</f>
        <v>womanizer</v>
      </c>
    </row>
    <row r="22952">
      <c r="A22952" s="1" t="s">
        <v>22951</v>
      </c>
      <c r="B22952" s="2" t="str">
        <f>IFERROR(__xludf.DUMMYFUNCTION("GOOGLETRANSLATE(A22952, ""de"", ""en"")"),"London")</f>
        <v>London</v>
      </c>
    </row>
    <row r="22953">
      <c r="A22953" s="1" t="s">
        <v>22952</v>
      </c>
      <c r="B22953" s="2" t="str">
        <f>IFERROR(__xludf.DUMMYFUNCTION("GOOGLETRANSLATE(A22953, ""de"", ""en"")"),"perform")</f>
        <v>perform</v>
      </c>
    </row>
    <row r="22954">
      <c r="A22954" s="1" t="s">
        <v>22953</v>
      </c>
      <c r="B22954" s="2" t="str">
        <f>IFERROR(__xludf.DUMMYFUNCTION("GOOGLETRANSLATE(A22954, ""de"", ""en"")"),"residents")</f>
        <v>residents</v>
      </c>
    </row>
    <row r="22955">
      <c r="A22955" s="1" t="s">
        <v>22954</v>
      </c>
      <c r="B22955" s="2" t="str">
        <f>IFERROR(__xludf.DUMMYFUNCTION("GOOGLETRANSLATE(A22955, ""de"", ""en"")"),"bet")</f>
        <v>bet</v>
      </c>
    </row>
    <row r="22956">
      <c r="A22956" s="1" t="s">
        <v>22955</v>
      </c>
      <c r="B22956" s="2" t="str">
        <f>IFERROR(__xludf.DUMMYFUNCTION("GOOGLETRANSLATE(A22956, ""de"", ""en"")"),"wichita")</f>
        <v>wichita</v>
      </c>
    </row>
    <row r="22957">
      <c r="A22957" s="1" t="s">
        <v>22956</v>
      </c>
      <c r="B22957" s="2" t="str">
        <f>IFERROR(__xludf.DUMMYFUNCTION("GOOGLETRANSLATE(A22957, ""de"", ""en"")"),"useless")</f>
        <v>useless</v>
      </c>
    </row>
    <row r="22958">
      <c r="A22958" s="1" t="s">
        <v>22957</v>
      </c>
      <c r="B22958" s="2" t="str">
        <f>IFERROR(__xludf.DUMMYFUNCTION("GOOGLETRANSLATE(A22958, ""de"", ""en"")"),"consume")</f>
        <v>consume</v>
      </c>
    </row>
    <row r="22959">
      <c r="A22959" s="1" t="s">
        <v>22958</v>
      </c>
      <c r="B22959" s="2" t="str">
        <f>IFERROR(__xludf.DUMMYFUNCTION("GOOGLETRANSLATE(A22959, ""de"", ""en"")"),"briefing")</f>
        <v>briefing</v>
      </c>
    </row>
    <row r="22960">
      <c r="A22960" s="1" t="s">
        <v>22959</v>
      </c>
      <c r="B22960" s="2" t="str">
        <f>IFERROR(__xludf.DUMMYFUNCTION("GOOGLETRANSLATE(A22960, ""de"", ""en"")"),"back pain")</f>
        <v>back pain</v>
      </c>
    </row>
    <row r="22961">
      <c r="A22961" s="1" t="s">
        <v>22960</v>
      </c>
      <c r="B22961" s="2" t="str">
        <f>IFERROR(__xludf.DUMMYFUNCTION("GOOGLETRANSLATE(A22961, ""de"", ""en"")"),"Pluto")</f>
        <v>Pluto</v>
      </c>
    </row>
    <row r="22962">
      <c r="A22962" s="1" t="s">
        <v>22961</v>
      </c>
      <c r="B22962" s="2" t="str">
        <f>IFERROR(__xludf.DUMMYFUNCTION("GOOGLETRANSLATE(A22962, ""de"", ""en"")"),"crawled away")</f>
        <v>crawled away</v>
      </c>
    </row>
    <row r="22963">
      <c r="A22963" s="1" t="s">
        <v>22962</v>
      </c>
      <c r="B22963" s="2" t="str">
        <f>IFERROR(__xludf.DUMMYFUNCTION("GOOGLETRANSLATE(A22963, ""de"", ""en"")"),"stammers")</f>
        <v>stammers</v>
      </c>
    </row>
    <row r="22964">
      <c r="A22964" s="1" t="s">
        <v>22963</v>
      </c>
      <c r="B22964" s="2" t="str">
        <f>IFERROR(__xludf.DUMMYFUNCTION("GOOGLETRANSLATE(A22964, ""de"", ""en"")"),"ravi")</f>
        <v>ravi</v>
      </c>
    </row>
    <row r="22965">
      <c r="A22965" s="1" t="s">
        <v>22964</v>
      </c>
      <c r="B22965" s="2" t="str">
        <f>IFERROR(__xludf.DUMMYFUNCTION("GOOGLETRANSLATE(A22965, ""de"", ""en"")"),"whip")</f>
        <v>whip</v>
      </c>
    </row>
    <row r="22966">
      <c r="A22966" s="1" t="s">
        <v>22965</v>
      </c>
      <c r="B22966" s="2" t="str">
        <f>IFERROR(__xludf.DUMMYFUNCTION("GOOGLETRANSLATE(A22966, ""de"", ""en"")"),"creed")</f>
        <v>creed</v>
      </c>
    </row>
    <row r="22967">
      <c r="A22967" s="1" t="s">
        <v>22966</v>
      </c>
      <c r="B22967" s="2" t="str">
        <f>IFERROR(__xludf.DUMMYFUNCTION("GOOGLETRANSLATE(A22967, ""de"", ""en"")"),"blindfold")</f>
        <v>blindfold</v>
      </c>
    </row>
    <row r="22968">
      <c r="A22968" s="1" t="s">
        <v>22967</v>
      </c>
      <c r="B22968" s="2" t="str">
        <f>IFERROR(__xludf.DUMMYFUNCTION("GOOGLETRANSLATE(A22968, ""de"", ""en"")"),"one night stand")</f>
        <v>one night stand</v>
      </c>
    </row>
    <row r="22969">
      <c r="A22969" s="1" t="s">
        <v>22968</v>
      </c>
      <c r="B22969" s="2" t="str">
        <f>IFERROR(__xludf.DUMMYFUNCTION("GOOGLETRANSLATE(A22969, ""de"", ""en"")"),"tasted")</f>
        <v>tasted</v>
      </c>
    </row>
    <row r="22970">
      <c r="A22970" s="1" t="s">
        <v>22969</v>
      </c>
      <c r="B22970" s="2" t="str">
        <f>IFERROR(__xludf.DUMMYFUNCTION("GOOGLETRANSLATE(A22970, ""de"", ""en"")"),"osaka")</f>
        <v>osaka</v>
      </c>
    </row>
    <row r="22971">
      <c r="A22971" s="1" t="s">
        <v>22970</v>
      </c>
      <c r="B22971" s="2" t="str">
        <f>IFERROR(__xludf.DUMMYFUNCTION("GOOGLETRANSLATE(A22971, ""de"", ""en"")"),"bong")</f>
        <v>bong</v>
      </c>
    </row>
    <row r="22972">
      <c r="A22972" s="1" t="s">
        <v>22971</v>
      </c>
      <c r="B22972" s="2" t="str">
        <f>IFERROR(__xludf.DUMMYFUNCTION("GOOGLETRANSLATE(A22972, ""de"", ""en"")"),"tags")</f>
        <v>tags</v>
      </c>
    </row>
    <row r="22973">
      <c r="A22973" s="1" t="s">
        <v>22972</v>
      </c>
      <c r="B22973" s="2" t="str">
        <f>IFERROR(__xludf.DUMMYFUNCTION("GOOGLETRANSLATE(A22973, ""de"", ""en"")"),"osama")</f>
        <v>osama</v>
      </c>
    </row>
    <row r="22974">
      <c r="A22974" s="1" t="s">
        <v>22973</v>
      </c>
      <c r="B22974" s="2" t="str">
        <f>IFERROR(__xludf.DUMMYFUNCTION("GOOGLETRANSLATE(A22974, ""de"", ""en"")"),"nachos")</f>
        <v>nachos</v>
      </c>
    </row>
    <row r="22975">
      <c r="A22975" s="1" t="s">
        <v>22974</v>
      </c>
      <c r="B22975" s="2" t="str">
        <f>IFERROR(__xludf.DUMMYFUNCTION("GOOGLETRANSLATE(A22975, ""de"", ""en"")"),"yourself")</f>
        <v>yourself</v>
      </c>
    </row>
    <row r="22976">
      <c r="A22976" s="1" t="s">
        <v>22975</v>
      </c>
      <c r="B22976" s="2" t="str">
        <f>IFERROR(__xludf.DUMMYFUNCTION("GOOGLETRANSLATE(A22976, ""de"", ""en"")"),"strenuous")</f>
        <v>strenuous</v>
      </c>
    </row>
    <row r="22977">
      <c r="A22977" s="1" t="s">
        <v>22976</v>
      </c>
      <c r="B22977" s="2" t="str">
        <f>IFERROR(__xludf.DUMMYFUNCTION("GOOGLETRANSLATE(A22977, ""de"", ""en"")"),"hid")</f>
        <v>hid</v>
      </c>
    </row>
    <row r="22978">
      <c r="A22978" s="1" t="s">
        <v>22977</v>
      </c>
      <c r="B22978" s="2" t="str">
        <f>IFERROR(__xludf.DUMMYFUNCTION("GOOGLETRANSLATE(A22978, ""de"", ""en"")"),"more harmless")</f>
        <v>more harmless</v>
      </c>
    </row>
    <row r="22979">
      <c r="A22979" s="1" t="s">
        <v>22978</v>
      </c>
      <c r="B22979" s="2" t="str">
        <f>IFERROR(__xludf.DUMMYFUNCTION("GOOGLETRANSLATE(A22979, ""de"", ""en"")"),"lacy")</f>
        <v>lacy</v>
      </c>
    </row>
    <row r="22980">
      <c r="A22980" s="1" t="s">
        <v>22979</v>
      </c>
      <c r="B22980" s="2" t="str">
        <f>IFERROR(__xludf.DUMMYFUNCTION("GOOGLETRANSLATE(A22980, ""de"", ""en"")"),"Russian")</f>
        <v>Russian</v>
      </c>
    </row>
    <row r="22981">
      <c r="A22981" s="1" t="s">
        <v>22980</v>
      </c>
      <c r="B22981" s="2" t="str">
        <f>IFERROR(__xludf.DUMMYFUNCTION("GOOGLETRANSLATE(A22981, ""de"", ""en"")"),"picked up")</f>
        <v>picked up</v>
      </c>
    </row>
    <row r="22982">
      <c r="A22982" s="1" t="s">
        <v>22981</v>
      </c>
      <c r="B22982" s="2" t="str">
        <f>IFERROR(__xludf.DUMMYFUNCTION("GOOGLETRANSLATE(A22982, ""de"", ""en"")"),"tingle")</f>
        <v>tingle</v>
      </c>
    </row>
    <row r="22983">
      <c r="A22983" s="1" t="s">
        <v>22982</v>
      </c>
      <c r="B22983" s="2" t="str">
        <f>IFERROR(__xludf.DUMMYFUNCTION("GOOGLETRANSLATE(A22983, ""de"", ""en"")"),"crib")</f>
        <v>crib</v>
      </c>
    </row>
    <row r="22984">
      <c r="A22984" s="1" t="s">
        <v>22983</v>
      </c>
      <c r="B22984" s="2" t="str">
        <f>IFERROR(__xludf.DUMMYFUNCTION("GOOGLETRANSLATE(A22984, ""de"", ""en"")"),"glorious")</f>
        <v>glorious</v>
      </c>
    </row>
    <row r="22985">
      <c r="A22985" s="1" t="s">
        <v>22984</v>
      </c>
      <c r="B22985" s="2" t="str">
        <f>IFERROR(__xludf.DUMMYFUNCTION("GOOGLETRANSLATE(A22985, ""de"", ""en"")"),"pia")</f>
        <v>pia</v>
      </c>
    </row>
    <row r="22986">
      <c r="A22986" s="1" t="s">
        <v>22985</v>
      </c>
      <c r="B22986" s="2" t="str">
        <f>IFERROR(__xludf.DUMMYFUNCTION("GOOGLETRANSLATE(A22986, ""de"", ""en"")"),"Sparta")</f>
        <v>Sparta</v>
      </c>
    </row>
    <row r="22987">
      <c r="A22987" s="1" t="s">
        <v>22986</v>
      </c>
      <c r="B22987" s="2" t="str">
        <f>IFERROR(__xludf.DUMMYFUNCTION("GOOGLETRANSLATE(A22987, ""de"", ""en"")"),"show around")</f>
        <v>show around</v>
      </c>
    </row>
    <row r="22988">
      <c r="A22988" s="1" t="s">
        <v>22987</v>
      </c>
      <c r="B22988" s="2" t="str">
        <f>IFERROR(__xludf.DUMMYFUNCTION("GOOGLETRANSLATE(A22988, ""de"", ""en"")"),"bend")</f>
        <v>bend</v>
      </c>
    </row>
    <row r="22989">
      <c r="A22989" s="1" t="s">
        <v>22988</v>
      </c>
      <c r="B22989" s="2" t="str">
        <f>IFERROR(__xludf.DUMMYFUNCTION("GOOGLETRANSLATE(A22989, ""de"", ""en"")"),"witty")</f>
        <v>witty</v>
      </c>
    </row>
    <row r="22990">
      <c r="A22990" s="1" t="s">
        <v>22989</v>
      </c>
      <c r="B22990" s="2" t="str">
        <f>IFERROR(__xludf.DUMMYFUNCTION("GOOGLETRANSLATE(A22990, ""de"", ""en"")"),"revenge")</f>
        <v>revenge</v>
      </c>
    </row>
    <row r="22991">
      <c r="A22991" s="1" t="s">
        <v>22990</v>
      </c>
      <c r="B22991" s="2" t="str">
        <f>IFERROR(__xludf.DUMMYFUNCTION("GOOGLETRANSLATE(A22991, ""de"", ""en"")"),"Arlington")</f>
        <v>Arlington</v>
      </c>
    </row>
    <row r="22992">
      <c r="A22992" s="1" t="s">
        <v>22991</v>
      </c>
      <c r="B22992" s="2" t="str">
        <f>IFERROR(__xludf.DUMMYFUNCTION("GOOGLETRANSLATE(A22992, ""de"", ""en"")"),"m-hm")</f>
        <v>m-hm</v>
      </c>
    </row>
    <row r="22993">
      <c r="A22993" s="1" t="s">
        <v>22992</v>
      </c>
      <c r="B22993" s="2" t="str">
        <f>IFERROR(__xludf.DUMMYFUNCTION("GOOGLETRANSLATE(A22993, ""de"", ""en"")"),"practice")</f>
        <v>practice</v>
      </c>
    </row>
    <row r="22994">
      <c r="A22994" s="1" t="s">
        <v>22993</v>
      </c>
      <c r="B22994" s="2" t="str">
        <f>IFERROR(__xludf.DUMMYFUNCTION("GOOGLETRANSLATE(A22994, ""de"", ""en"")"),"northwest")</f>
        <v>northwest</v>
      </c>
    </row>
    <row r="22995">
      <c r="A22995" s="1" t="s">
        <v>22994</v>
      </c>
      <c r="B22995" s="2" t="str">
        <f>IFERROR(__xludf.DUMMYFUNCTION("GOOGLETRANSLATE(A22995, ""de"", ""en"")"),"pours")</f>
        <v>pours</v>
      </c>
    </row>
    <row r="22996">
      <c r="A22996" s="1" t="s">
        <v>22995</v>
      </c>
      <c r="B22996" s="2" t="str">
        <f>IFERROR(__xludf.DUMMYFUNCTION("GOOGLETRANSLATE(A22996, ""de"", ""en"")"),"corresponding")</f>
        <v>corresponding</v>
      </c>
    </row>
    <row r="22997">
      <c r="A22997" s="1" t="s">
        <v>22996</v>
      </c>
      <c r="B22997" s="2" t="str">
        <f>IFERROR(__xludf.DUMMYFUNCTION("GOOGLETRANSLATE(A22997, ""de"", ""en"")"),"get ahead")</f>
        <v>get ahead</v>
      </c>
    </row>
    <row r="22998">
      <c r="A22998" s="1" t="s">
        <v>22997</v>
      </c>
      <c r="B22998" s="2" t="str">
        <f>IFERROR(__xludf.DUMMYFUNCTION("GOOGLETRANSLATE(A22998, ""de"", ""en"")"),"swords")</f>
        <v>swords</v>
      </c>
    </row>
    <row r="22999">
      <c r="A22999" s="1" t="s">
        <v>22998</v>
      </c>
      <c r="B22999" s="2" t="str">
        <f>IFERROR(__xludf.DUMMYFUNCTION("GOOGLETRANSLATE(A22999, ""de"", ""en"")"),"fa")</f>
        <v>fa</v>
      </c>
    </row>
    <row r="23000">
      <c r="A23000" s="1" t="s">
        <v>22999</v>
      </c>
      <c r="B23000" s="2" t="str">
        <f>IFERROR(__xludf.DUMMYFUNCTION("GOOGLETRANSLATE(A23000, ""de"", ""en"")"),"boxing")</f>
        <v>boxing</v>
      </c>
    </row>
    <row r="23001">
      <c r="A23001" s="1" t="s">
        <v>23000</v>
      </c>
      <c r="B23001" s="2" t="str">
        <f>IFERROR(__xludf.DUMMYFUNCTION("GOOGLETRANSLATE(A23001, ""de"", ""en"")"),"carried out")</f>
        <v>carried out</v>
      </c>
    </row>
    <row r="23002">
      <c r="A23002" s="1" t="s">
        <v>23001</v>
      </c>
      <c r="B23002" s="2" t="str">
        <f>IFERROR(__xludf.DUMMYFUNCTION("GOOGLETRANSLATE(A23002, ""de"", ""en"")"),"ipod")</f>
        <v>ipod</v>
      </c>
    </row>
    <row r="23003">
      <c r="A23003" s="1" t="s">
        <v>23002</v>
      </c>
      <c r="B23003" s="2" t="str">
        <f>IFERROR(__xludf.DUMMYFUNCTION("GOOGLETRANSLATE(A23003, ""de"", ""en"")"),"laguerta")</f>
        <v>laguerta</v>
      </c>
    </row>
    <row r="23004">
      <c r="A23004" s="1" t="s">
        <v>23003</v>
      </c>
      <c r="B23004" s="2" t="str">
        <f>IFERROR(__xludf.DUMMYFUNCTION("GOOGLETRANSLATE(A23004, ""de"", ""en"")"),"unpopular")</f>
        <v>unpopular</v>
      </c>
    </row>
    <row r="23005">
      <c r="A23005" s="1" t="s">
        <v>23004</v>
      </c>
      <c r="B23005" s="2" t="str">
        <f>IFERROR(__xludf.DUMMYFUNCTION("GOOGLETRANSLATE(A23005, ""de"", ""en"")"),"Belgian")</f>
        <v>Belgian</v>
      </c>
    </row>
    <row r="23006">
      <c r="A23006" s="1" t="s">
        <v>23005</v>
      </c>
      <c r="B23006" s="2" t="str">
        <f>IFERROR(__xludf.DUMMYFUNCTION("GOOGLETRANSLATE(A23006, ""de"", ""en"")"),"bracelets")</f>
        <v>bracelets</v>
      </c>
    </row>
    <row r="23007">
      <c r="A23007" s="1" t="s">
        <v>23006</v>
      </c>
      <c r="B23007" s="2" t="str">
        <f>IFERROR(__xludf.DUMMYFUNCTION("GOOGLETRANSLATE(A23007, ""de"", ""en"")"),"rescue team")</f>
        <v>rescue team</v>
      </c>
    </row>
    <row r="23008">
      <c r="A23008" s="1" t="s">
        <v>23007</v>
      </c>
      <c r="B23008" s="2" t="str">
        <f>IFERROR(__xludf.DUMMYFUNCTION("GOOGLETRANSLATE(A23008, ""de"", ""en"")"),"herring")</f>
        <v>herring</v>
      </c>
    </row>
    <row r="23009">
      <c r="A23009" s="1" t="s">
        <v>23008</v>
      </c>
      <c r="B23009" s="2" t="str">
        <f>IFERROR(__xludf.DUMMYFUNCTION("GOOGLETRANSLATE(A23009, ""de"", ""en"")"),"slaughterhouse")</f>
        <v>slaughterhouse</v>
      </c>
    </row>
    <row r="23010">
      <c r="A23010" s="1" t="s">
        <v>23009</v>
      </c>
      <c r="B23010" s="2" t="str">
        <f>IFERROR(__xludf.DUMMYFUNCTION("GOOGLETRANSLATE(A23010, ""de"", ""en"")"),"kingdoms")</f>
        <v>kingdoms</v>
      </c>
    </row>
    <row r="23011">
      <c r="A23011" s="1" t="s">
        <v>23010</v>
      </c>
      <c r="B23011" s="2" t="str">
        <f>IFERROR(__xludf.DUMMYFUNCTION("GOOGLETRANSLATE(A23011, ""de"", ""en"")"),"attraction")</f>
        <v>attraction</v>
      </c>
    </row>
    <row r="23012">
      <c r="A23012" s="1" t="s">
        <v>23011</v>
      </c>
      <c r="B23012" s="2" t="str">
        <f>IFERROR(__xludf.DUMMYFUNCTION("GOOGLETRANSLATE(A23012, ""de"", ""en"")"),"added")</f>
        <v>added</v>
      </c>
    </row>
    <row r="23013">
      <c r="A23013" s="1" t="s">
        <v>23012</v>
      </c>
      <c r="B23013" s="2" t="str">
        <f>IFERROR(__xludf.DUMMYFUNCTION("GOOGLETRANSLATE(A23013, ""de"", ""en"")"),"check")</f>
        <v>check</v>
      </c>
    </row>
    <row r="23014">
      <c r="A23014" s="1" t="s">
        <v>23013</v>
      </c>
      <c r="B23014" s="2" t="str">
        <f>IFERROR(__xludf.DUMMYFUNCTION("GOOGLETRANSLATE(A23014, ""de"", ""en"")"),"photographs")</f>
        <v>photographs</v>
      </c>
    </row>
    <row r="23015">
      <c r="A23015" s="1" t="s">
        <v>23014</v>
      </c>
      <c r="B23015" s="2" t="str">
        <f>IFERROR(__xludf.DUMMYFUNCTION("GOOGLETRANSLATE(A23015, ""de"", ""en"")"),"terrible")</f>
        <v>terrible</v>
      </c>
    </row>
    <row r="23016">
      <c r="A23016" s="1" t="s">
        <v>23015</v>
      </c>
      <c r="B23016" s="2" t="str">
        <f>IFERROR(__xludf.DUMMYFUNCTION("GOOGLETRANSLATE(A23016, ""de"", ""en"")"),"assured")</f>
        <v>assured</v>
      </c>
    </row>
    <row r="23017">
      <c r="A23017" s="1" t="s">
        <v>23016</v>
      </c>
      <c r="B23017" s="2" t="str">
        <f>IFERROR(__xludf.DUMMYFUNCTION("GOOGLETRANSLATE(A23017, ""de"", ""en"")"),"oil")</f>
        <v>oil</v>
      </c>
    </row>
    <row r="23018">
      <c r="A23018" s="1" t="s">
        <v>23017</v>
      </c>
      <c r="B23018" s="2" t="str">
        <f>IFERROR(__xludf.DUMMYFUNCTION("GOOGLETRANSLATE(A23018, ""de"", ""en"")"),"reporters")</f>
        <v>reporters</v>
      </c>
    </row>
    <row r="23019">
      <c r="A23019" s="1" t="s">
        <v>23018</v>
      </c>
      <c r="B23019" s="2" t="str">
        <f>IFERROR(__xludf.DUMMYFUNCTION("GOOGLETRANSLATE(A23019, ""de"", ""en"")"),"indifference")</f>
        <v>indifference</v>
      </c>
    </row>
    <row r="23020">
      <c r="A23020" s="1" t="s">
        <v>23019</v>
      </c>
      <c r="B23020" s="2" t="str">
        <f>IFERROR(__xludf.DUMMYFUNCTION("GOOGLETRANSLATE(A23020, ""de"", ""en"")"),"accuse")</f>
        <v>accuse</v>
      </c>
    </row>
    <row r="23021">
      <c r="A23021" s="1" t="s">
        <v>23020</v>
      </c>
      <c r="B23021" s="2" t="str">
        <f>IFERROR(__xludf.DUMMYFUNCTION("GOOGLETRANSLATE(A23021, ""de"", ""en"")"),"mosby")</f>
        <v>mosby</v>
      </c>
    </row>
    <row r="23022">
      <c r="A23022" s="1" t="s">
        <v>23021</v>
      </c>
      <c r="B23022" s="2" t="str">
        <f>IFERROR(__xludf.DUMMYFUNCTION("GOOGLETRANSLATE(A23022, ""de"", ""en"")"),"cheerful")</f>
        <v>cheerful</v>
      </c>
    </row>
    <row r="23023">
      <c r="A23023" s="1" t="s">
        <v>23022</v>
      </c>
      <c r="B23023" s="2" t="str">
        <f>IFERROR(__xludf.DUMMYFUNCTION("GOOGLETRANSLATE(A23023, ""de"", ""en"")"),"neanderthal")</f>
        <v>neanderthal</v>
      </c>
    </row>
    <row r="23024">
      <c r="A23024" s="1" t="s">
        <v>23023</v>
      </c>
      <c r="B23024" s="2" t="str">
        <f>IFERROR(__xludf.DUMMYFUNCTION("GOOGLETRANSLATE(A23024, ""de"", ""en"")"),"rows")</f>
        <v>rows</v>
      </c>
    </row>
    <row r="23025">
      <c r="A23025" s="1" t="s">
        <v>23024</v>
      </c>
      <c r="B23025" s="2" t="str">
        <f>IFERROR(__xludf.DUMMYFUNCTION("GOOGLETRANSLATE(A23025, ""de"", ""en"")"),"jumbo")</f>
        <v>jumbo</v>
      </c>
    </row>
    <row r="23026">
      <c r="A23026" s="1" t="s">
        <v>23025</v>
      </c>
      <c r="B23026" s="2" t="str">
        <f>IFERROR(__xludf.DUMMYFUNCTION("GOOGLETRANSLATE(A23026, ""de"", ""en"")"),"roper")</f>
        <v>roper</v>
      </c>
    </row>
    <row r="23027">
      <c r="A23027" s="1" t="s">
        <v>23026</v>
      </c>
      <c r="B23027" s="2" t="str">
        <f>IFERROR(__xludf.DUMMYFUNCTION("GOOGLETRANSLATE(A23027, ""de"", ""en"")"),"reserves")</f>
        <v>reserves</v>
      </c>
    </row>
    <row r="23028">
      <c r="A23028" s="1" t="s">
        <v>23027</v>
      </c>
      <c r="B23028" s="2" t="str">
        <f>IFERROR(__xludf.DUMMYFUNCTION("GOOGLETRANSLATE(A23028, ""de"", ""en"")"),"put down")</f>
        <v>put down</v>
      </c>
    </row>
    <row r="23029">
      <c r="A23029" s="1" t="s">
        <v>23028</v>
      </c>
      <c r="B23029" s="2" t="str">
        <f>IFERROR(__xludf.DUMMYFUNCTION("GOOGLETRANSLATE(A23029, ""de"", ""en"")"),"strategies")</f>
        <v>strategies</v>
      </c>
    </row>
    <row r="23030">
      <c r="A23030" s="1" t="s">
        <v>23029</v>
      </c>
      <c r="B23030" s="2" t="str">
        <f>IFERROR(__xludf.DUMMYFUNCTION("GOOGLETRANSLATE(A23030, ""de"", ""en"")"),"joker")</f>
        <v>joker</v>
      </c>
    </row>
    <row r="23031">
      <c r="A23031" s="1" t="s">
        <v>23030</v>
      </c>
      <c r="B23031" s="2" t="str">
        <f>IFERROR(__xludf.DUMMYFUNCTION("GOOGLETRANSLATE(A23031, ""de"", ""en"")"),"excessive")</f>
        <v>excessive</v>
      </c>
    </row>
    <row r="23032">
      <c r="A23032" s="1" t="s">
        <v>23031</v>
      </c>
      <c r="B23032" s="2" t="str">
        <f>IFERROR(__xludf.DUMMYFUNCTION("GOOGLETRANSLATE(A23032, ""de"", ""en"")"),"more ungrateful")</f>
        <v>more ungrateful</v>
      </c>
    </row>
    <row r="23033">
      <c r="A23033" s="1" t="s">
        <v>23032</v>
      </c>
      <c r="B23033" s="2" t="str">
        <f>IFERROR(__xludf.DUMMYFUNCTION("GOOGLETRANSLATE(A23033, ""de"", ""en"")"),"karas")</f>
        <v>karas</v>
      </c>
    </row>
    <row r="23034">
      <c r="A23034" s="1" t="s">
        <v>23033</v>
      </c>
      <c r="B23034" s="2" t="str">
        <f>IFERROR(__xludf.DUMMYFUNCTION("GOOGLETRANSLATE(A23034, ""de"", ""en"")"),"shootout")</f>
        <v>shootout</v>
      </c>
    </row>
    <row r="23035">
      <c r="A23035" s="1" t="s">
        <v>23034</v>
      </c>
      <c r="B23035" s="2" t="str">
        <f>IFERROR(__xludf.DUMMYFUNCTION("GOOGLETRANSLATE(A23035, ""de"", ""en"")"),"circle")</f>
        <v>circle</v>
      </c>
    </row>
    <row r="23036">
      <c r="A23036" s="1" t="s">
        <v>23035</v>
      </c>
      <c r="B23036" s="2" t="str">
        <f>IFERROR(__xludf.DUMMYFUNCTION("GOOGLETRANSLATE(A23036, ""de"", ""en"")"),"a lot")</f>
        <v>a lot</v>
      </c>
    </row>
    <row r="23037">
      <c r="A23037" s="1" t="s">
        <v>23036</v>
      </c>
      <c r="B23037" s="2" t="str">
        <f>IFERROR(__xludf.DUMMYFUNCTION("GOOGLETRANSLATE(A23037, ""de"", ""en"")"),"Thierry")</f>
        <v>Thierry</v>
      </c>
    </row>
    <row r="23038">
      <c r="A23038" s="1" t="s">
        <v>23037</v>
      </c>
      <c r="B23038" s="2" t="str">
        <f>IFERROR(__xludf.DUMMYFUNCTION("GOOGLETRANSLATE(A23038, ""de"", ""en"")"),"googled")</f>
        <v>googled</v>
      </c>
    </row>
    <row r="23039">
      <c r="A23039" s="1" t="s">
        <v>23038</v>
      </c>
      <c r="B23039" s="2" t="str">
        <f>IFERROR(__xludf.DUMMYFUNCTION("GOOGLETRANSLATE(A23039, ""de"", ""en"")"),"pointed")</f>
        <v>pointed</v>
      </c>
    </row>
    <row r="23040">
      <c r="A23040" s="1" t="s">
        <v>23039</v>
      </c>
      <c r="B23040" s="2" t="str">
        <f>IFERROR(__xludf.DUMMYFUNCTION("GOOGLETRANSLATE(A23040, ""de"", ""en"")"),"dealt with")</f>
        <v>dealt with</v>
      </c>
    </row>
    <row r="23041">
      <c r="A23041" s="1" t="s">
        <v>23040</v>
      </c>
      <c r="B23041" s="2" t="str">
        <f>IFERROR(__xludf.DUMMYFUNCTION("GOOGLETRANSLATE(A23041, ""de"", ""en"")"),"play out")</f>
        <v>play out</v>
      </c>
    </row>
    <row r="23042">
      <c r="A23042" s="1" t="s">
        <v>23041</v>
      </c>
      <c r="B23042" s="2" t="str">
        <f>IFERROR(__xludf.DUMMYFUNCTION("GOOGLETRANSLATE(A23042, ""de"", ""en"")"),"saw")</f>
        <v>saw</v>
      </c>
    </row>
    <row r="23043">
      <c r="A23043" s="1" t="s">
        <v>23042</v>
      </c>
      <c r="B23043" s="2" t="str">
        <f>IFERROR(__xludf.DUMMYFUNCTION("GOOGLETRANSLATE(A23043, ""de"", ""en"")"),"emmy")</f>
        <v>emmy</v>
      </c>
    </row>
    <row r="23044">
      <c r="A23044" s="1" t="s">
        <v>23043</v>
      </c>
      <c r="B23044" s="2" t="str">
        <f>IFERROR(__xludf.DUMMYFUNCTION("GOOGLETRANSLATE(A23044, ""de"", ""en"")"),"zola")</f>
        <v>zola</v>
      </c>
    </row>
    <row r="23045">
      <c r="A23045" s="1" t="s">
        <v>23044</v>
      </c>
      <c r="B23045" s="2" t="str">
        <f>IFERROR(__xludf.DUMMYFUNCTION("GOOGLETRANSLATE(A23045, ""de"", ""en"")"),"dilaurentis")</f>
        <v>dilaurentis</v>
      </c>
    </row>
    <row r="23046">
      <c r="A23046" s="1" t="s">
        <v>23045</v>
      </c>
      <c r="B23046" s="2" t="str">
        <f>IFERROR(__xludf.DUMMYFUNCTION("GOOGLETRANSLATE(A23046, ""de"", ""en"")"),"markham")</f>
        <v>markham</v>
      </c>
    </row>
    <row r="23047">
      <c r="A23047" s="1" t="s">
        <v>23046</v>
      </c>
      <c r="B23047" s="2" t="str">
        <f>IFERROR(__xludf.DUMMYFUNCTION("GOOGLETRANSLATE(A23047, ""de"", ""en"")"),"coiffed")</f>
        <v>coiffed</v>
      </c>
    </row>
    <row r="23048">
      <c r="A23048" s="1" t="s">
        <v>23047</v>
      </c>
      <c r="B23048" s="2" t="str">
        <f>IFERROR(__xludf.DUMMYFUNCTION("GOOGLETRANSLATE(A23048, ""de"", ""en"")"),"contaminated")</f>
        <v>contaminated</v>
      </c>
    </row>
    <row r="23049">
      <c r="A23049" s="1" t="s">
        <v>23048</v>
      </c>
      <c r="B23049" s="2" t="str">
        <f>IFERROR(__xludf.DUMMYFUNCTION("GOOGLETRANSLATE(A23049, ""de"", ""en"")"),"abolished")</f>
        <v>abolished</v>
      </c>
    </row>
    <row r="23050">
      <c r="A23050" s="1" t="s">
        <v>23049</v>
      </c>
      <c r="B23050" s="2" t="str">
        <f>IFERROR(__xludf.DUMMYFUNCTION("GOOGLETRANSLATE(A23050, ""de"", ""en"")"),"Breeland")</f>
        <v>Breeland</v>
      </c>
    </row>
    <row r="23051">
      <c r="A23051" s="1" t="s">
        <v>23050</v>
      </c>
      <c r="B23051" s="2" t="str">
        <f>IFERROR(__xludf.DUMMYFUNCTION("GOOGLETRANSLATE(A23051, ""de"", ""en"")"),"vamos")</f>
        <v>vamos</v>
      </c>
    </row>
    <row r="23052">
      <c r="A23052" s="1" t="s">
        <v>23051</v>
      </c>
      <c r="B23052" s="2" t="str">
        <f>IFERROR(__xludf.DUMMYFUNCTION("GOOGLETRANSLATE(A23052, ""de"", ""en"")"),"eager")</f>
        <v>eager</v>
      </c>
    </row>
    <row r="23053">
      <c r="A23053" s="1" t="s">
        <v>23052</v>
      </c>
      <c r="B23053" s="2" t="str">
        <f>IFERROR(__xludf.DUMMYFUNCTION("GOOGLETRANSLATE(A23053, ""de"", ""en"")"),"running")</f>
        <v>running</v>
      </c>
    </row>
    <row r="23054">
      <c r="A23054" s="1" t="s">
        <v>23053</v>
      </c>
      <c r="B23054" s="2" t="str">
        <f>IFERROR(__xludf.DUMMYFUNCTION("GOOGLETRANSLATE(A23054, ""de"", ""en"")"),"counselor")</f>
        <v>counselor</v>
      </c>
    </row>
    <row r="23055">
      <c r="A23055" s="1" t="s">
        <v>23054</v>
      </c>
      <c r="B23055" s="2" t="str">
        <f>IFERROR(__xludf.DUMMYFUNCTION("GOOGLETRANSLATE(A23055, ""de"", ""en"")"),"sports")</f>
        <v>sports</v>
      </c>
    </row>
    <row r="23056">
      <c r="A23056" s="1" t="s">
        <v>23055</v>
      </c>
      <c r="B23056" s="2" t="str">
        <f>IFERROR(__xludf.DUMMYFUNCTION("GOOGLETRANSLATE(A23056, ""de"", ""en"")"),"collapsed")</f>
        <v>collapsed</v>
      </c>
    </row>
    <row r="23057">
      <c r="A23057" s="1" t="s">
        <v>23056</v>
      </c>
      <c r="B23057" s="2" t="str">
        <f>IFERROR(__xludf.DUMMYFUNCTION("GOOGLETRANSLATE(A23057, ""de"", ""en"")"),"goose")</f>
        <v>goose</v>
      </c>
    </row>
    <row r="23058">
      <c r="A23058" s="1" t="s">
        <v>23057</v>
      </c>
      <c r="B23058" s="2" t="str">
        <f>IFERROR(__xludf.DUMMYFUNCTION("GOOGLETRANSLATE(A23058, ""de"", ""en"")"),"complicated")</f>
        <v>complicated</v>
      </c>
    </row>
    <row r="23059">
      <c r="A23059" s="1" t="s">
        <v>23058</v>
      </c>
      <c r="B23059" s="2" t="str">
        <f>IFERROR(__xludf.DUMMYFUNCTION("GOOGLETRANSLATE(A23059, ""de"", ""en"")"),"markets")</f>
        <v>markets</v>
      </c>
    </row>
    <row r="23060">
      <c r="A23060" s="1" t="s">
        <v>23059</v>
      </c>
      <c r="B23060" s="2" t="str">
        <f>IFERROR(__xludf.DUMMYFUNCTION("GOOGLETRANSLATE(A23060, ""de"", ""en"")"),"play")</f>
        <v>play</v>
      </c>
    </row>
    <row r="23061">
      <c r="A23061" s="1" t="s">
        <v>23060</v>
      </c>
      <c r="B23061" s="2" t="str">
        <f>IFERROR(__xludf.DUMMYFUNCTION("GOOGLETRANSLATE(A23061, ""de"", ""en"")"),"plane tickets")</f>
        <v>plane tickets</v>
      </c>
    </row>
    <row r="23062">
      <c r="A23062" s="1" t="s">
        <v>23061</v>
      </c>
      <c r="B23062" s="2" t="str">
        <f>IFERROR(__xludf.DUMMYFUNCTION("GOOGLETRANSLATE(A23062, ""de"", ""en"")"),"phryne")</f>
        <v>phryne</v>
      </c>
    </row>
    <row r="23063">
      <c r="A23063" s="1" t="s">
        <v>23062</v>
      </c>
      <c r="B23063" s="2" t="str">
        <f>IFERROR(__xludf.DUMMYFUNCTION("GOOGLETRANSLATE(A23063, ""de"", ""en"")"),"excruciating")</f>
        <v>excruciating</v>
      </c>
    </row>
    <row r="23064">
      <c r="A23064" s="1" t="s">
        <v>23063</v>
      </c>
      <c r="B23064" s="2" t="str">
        <f>IFERROR(__xludf.DUMMYFUNCTION("GOOGLETRANSLATE(A23064, ""de"", ""en"")"),"disco")</f>
        <v>disco</v>
      </c>
    </row>
    <row r="23065">
      <c r="A23065" s="1" t="s">
        <v>23064</v>
      </c>
      <c r="B23065" s="2" t="str">
        <f>IFERROR(__xludf.DUMMYFUNCTION("GOOGLETRANSLATE(A23065, ""de"", ""en"")"),"dissolves")</f>
        <v>dissolves</v>
      </c>
    </row>
    <row r="23066">
      <c r="A23066" s="1" t="s">
        <v>23065</v>
      </c>
      <c r="B23066" s="2" t="str">
        <f>IFERROR(__xludf.DUMMYFUNCTION("GOOGLETRANSLATE(A23066, ""de"", ""en"")"),"exotic")</f>
        <v>exotic</v>
      </c>
    </row>
    <row r="23067">
      <c r="A23067" s="1" t="s">
        <v>23066</v>
      </c>
      <c r="B23067" s="2" t="str">
        <f>IFERROR(__xludf.DUMMYFUNCTION("GOOGLETRANSLATE(A23067, ""de"", ""en"")"),"sociopath")</f>
        <v>sociopath</v>
      </c>
    </row>
    <row r="23068">
      <c r="A23068" s="1" t="s">
        <v>23067</v>
      </c>
      <c r="B23068" s="2" t="str">
        <f>IFERROR(__xludf.DUMMYFUNCTION("GOOGLETRANSLATE(A23068, ""de"", ""en"")"),"desert")</f>
        <v>desert</v>
      </c>
    </row>
    <row r="23069">
      <c r="A23069" s="1" t="s">
        <v>23068</v>
      </c>
      <c r="B23069" s="2" t="str">
        <f>IFERROR(__xludf.DUMMYFUNCTION("GOOGLETRANSLATE(A23069, ""de"", ""en"")"),"so so")</f>
        <v>so so</v>
      </c>
    </row>
    <row r="23070">
      <c r="A23070" s="1" t="s">
        <v>23069</v>
      </c>
      <c r="B23070" s="2" t="str">
        <f>IFERROR(__xludf.DUMMYFUNCTION("GOOGLETRANSLATE(A23070, ""de"", ""en"")"),"iggy")</f>
        <v>iggy</v>
      </c>
    </row>
    <row r="23071">
      <c r="A23071" s="1" t="s">
        <v>23070</v>
      </c>
      <c r="B23071" s="2" t="str">
        <f>IFERROR(__xludf.DUMMYFUNCTION("GOOGLETRANSLATE(A23071, ""de"", ""en"")"),"fumble")</f>
        <v>fumble</v>
      </c>
    </row>
    <row r="23072">
      <c r="A23072" s="1" t="s">
        <v>23071</v>
      </c>
      <c r="B23072" s="2" t="str">
        <f>IFERROR(__xludf.DUMMYFUNCTION("GOOGLETRANSLATE(A23072, ""de"", ""en"")"),"wrap up")</f>
        <v>wrap up</v>
      </c>
    </row>
    <row r="23073">
      <c r="A23073" s="1" t="s">
        <v>23072</v>
      </c>
      <c r="B23073" s="2" t="str">
        <f>IFERROR(__xludf.DUMMYFUNCTION("GOOGLETRANSLATE(A23073, ""de"", ""en"")"),"washroom")</f>
        <v>washroom</v>
      </c>
    </row>
    <row r="23074">
      <c r="A23074" s="1" t="s">
        <v>23073</v>
      </c>
      <c r="B23074" s="2" t="str">
        <f>IFERROR(__xludf.DUMMYFUNCTION("GOOGLETRANSLATE(A23074, ""de"", ""en"")"),"birch")</f>
        <v>birch</v>
      </c>
    </row>
    <row r="23075">
      <c r="A23075" s="1" t="s">
        <v>23074</v>
      </c>
      <c r="B23075" s="2" t="str">
        <f>IFERROR(__xludf.DUMMYFUNCTION("GOOGLETRANSLATE(A23075, ""de"", ""en"")"),"ebb")</f>
        <v>ebb</v>
      </c>
    </row>
    <row r="23076">
      <c r="A23076" s="1" t="s">
        <v>23075</v>
      </c>
      <c r="B23076" s="2" t="str">
        <f>IFERROR(__xludf.DUMMYFUNCTION("GOOGLETRANSLATE(A23076, ""de"", ""en"")"),"stink")</f>
        <v>stink</v>
      </c>
    </row>
    <row r="23077">
      <c r="A23077" s="1" t="s">
        <v>23076</v>
      </c>
      <c r="B23077" s="2" t="str">
        <f>IFERROR(__xludf.DUMMYFUNCTION("GOOGLETRANSLATE(A23077, ""de"", ""en"")"),"peel")</f>
        <v>peel</v>
      </c>
    </row>
    <row r="23078">
      <c r="A23078" s="1" t="s">
        <v>23077</v>
      </c>
      <c r="B23078" s="2" t="str">
        <f>IFERROR(__xludf.DUMMYFUNCTION("GOOGLETRANSLATE(A23078, ""de"", ""en"")"),"hike")</f>
        <v>hike</v>
      </c>
    </row>
    <row r="23079">
      <c r="A23079" s="1" t="s">
        <v>23078</v>
      </c>
      <c r="B23079" s="2" t="str">
        <f>IFERROR(__xludf.DUMMYFUNCTION("GOOGLETRANSLATE(A23079, ""de"", ""en"")"),"casket")</f>
        <v>casket</v>
      </c>
    </row>
    <row r="23080">
      <c r="A23080" s="1" t="s">
        <v>23079</v>
      </c>
      <c r="B23080" s="2" t="str">
        <f>IFERROR(__xludf.DUMMYFUNCTION("GOOGLETRANSLATE(A23080, ""de"", ""en"")"),"invites")</f>
        <v>invites</v>
      </c>
    </row>
    <row r="23081">
      <c r="A23081" s="1" t="s">
        <v>23080</v>
      </c>
      <c r="B23081" s="2" t="str">
        <f>IFERROR(__xludf.DUMMYFUNCTION("GOOGLETRANSLATE(A23081, ""de"", ""en"")"),"intends")</f>
        <v>intends</v>
      </c>
    </row>
    <row r="23082">
      <c r="A23082" s="1" t="s">
        <v>23081</v>
      </c>
      <c r="B23082" s="2" t="str">
        <f>IFERROR(__xludf.DUMMYFUNCTION("GOOGLETRANSLATE(A23082, ""de"", ""en"")"),"wigs")</f>
        <v>wigs</v>
      </c>
    </row>
    <row r="23083">
      <c r="A23083" s="1" t="s">
        <v>23082</v>
      </c>
      <c r="B23083" s="2" t="str">
        <f>IFERROR(__xludf.DUMMYFUNCTION("GOOGLETRANSLATE(A23083, ""de"", ""en"")"),"magnum")</f>
        <v>magnum</v>
      </c>
    </row>
    <row r="23084">
      <c r="A23084" s="1" t="s">
        <v>23083</v>
      </c>
      <c r="B23084" s="2" t="str">
        <f>IFERROR(__xludf.DUMMYFUNCTION("GOOGLETRANSLATE(A23084, ""de"", ""en"")"),"clicks")</f>
        <v>clicks</v>
      </c>
    </row>
    <row r="23085">
      <c r="A23085" s="1" t="s">
        <v>23084</v>
      </c>
      <c r="B23085" s="2" t="str">
        <f>IFERROR(__xludf.DUMMYFUNCTION("GOOGLETRANSLATE(A23085, ""de"", ""en"")"),"arm")</f>
        <v>arm</v>
      </c>
    </row>
    <row r="23086">
      <c r="A23086" s="1" t="s">
        <v>23085</v>
      </c>
      <c r="B23086" s="2" t="str">
        <f>IFERROR(__xludf.DUMMYFUNCTION("GOOGLETRANSLATE(A23086, ""de"", ""en"")"),"myron")</f>
        <v>myron</v>
      </c>
    </row>
    <row r="23087">
      <c r="A23087" s="1" t="s">
        <v>23086</v>
      </c>
      <c r="B23087" s="2" t="str">
        <f>IFERROR(__xludf.DUMMYFUNCTION("GOOGLETRANSLATE(A23087, ""de"", ""en"")"),"comet")</f>
        <v>comet</v>
      </c>
    </row>
    <row r="23088">
      <c r="A23088" s="1" t="s">
        <v>23087</v>
      </c>
      <c r="B23088" s="2" t="str">
        <f>IFERROR(__xludf.DUMMYFUNCTION("GOOGLETRANSLATE(A23088, ""de"", ""en"")"),"mille")</f>
        <v>mille</v>
      </c>
    </row>
    <row r="23089">
      <c r="A23089" s="1" t="s">
        <v>23088</v>
      </c>
      <c r="B23089" s="2" t="str">
        <f>IFERROR(__xludf.DUMMYFUNCTION("GOOGLETRANSLATE(A23089, ""de"", ""en"")"),"infant")</f>
        <v>infant</v>
      </c>
    </row>
    <row r="23090">
      <c r="A23090" s="1" t="s">
        <v>23089</v>
      </c>
      <c r="B23090" s="2" t="str">
        <f>IFERROR(__xludf.DUMMYFUNCTION("GOOGLETRANSLATE(A23090, ""de"", ""en"")"),"more fleeting")</f>
        <v>more fleeting</v>
      </c>
    </row>
    <row r="23091">
      <c r="A23091" s="1" t="s">
        <v>23090</v>
      </c>
      <c r="B23091" s="2" t="str">
        <f>IFERROR(__xludf.DUMMYFUNCTION("GOOGLETRANSLATE(A23091, ""de"", ""en"")"),"piper")</f>
        <v>piper</v>
      </c>
    </row>
    <row r="23092">
      <c r="A23092" s="1" t="s">
        <v>23091</v>
      </c>
      <c r="B23092" s="2" t="str">
        <f>IFERROR(__xludf.DUMMYFUNCTION("GOOGLETRANSLATE(A23092, ""de"", ""en"")"),"performed")</f>
        <v>performed</v>
      </c>
    </row>
    <row r="23093">
      <c r="A23093" s="1" t="s">
        <v>23092</v>
      </c>
      <c r="B23093" s="2" t="str">
        <f>IFERROR(__xludf.DUMMYFUNCTION("GOOGLETRANSLATE(A23093, ""de"", ""en"")"),"absolution")</f>
        <v>absolution</v>
      </c>
    </row>
    <row r="23094">
      <c r="A23094" s="1" t="s">
        <v>23093</v>
      </c>
      <c r="B23094" s="2" t="str">
        <f>IFERROR(__xludf.DUMMYFUNCTION("GOOGLETRANSLATE(A23094, ""de"", ""en"")"),"tampons")</f>
        <v>tampons</v>
      </c>
    </row>
    <row r="23095">
      <c r="A23095" s="1" t="s">
        <v>23094</v>
      </c>
      <c r="B23095" s="2" t="str">
        <f>IFERROR(__xludf.DUMMYFUNCTION("GOOGLETRANSLATE(A23095, ""de"", ""en"")"),"hideous")</f>
        <v>hideous</v>
      </c>
    </row>
    <row r="23096">
      <c r="A23096" s="1" t="s">
        <v>23095</v>
      </c>
      <c r="B23096" s="2" t="str">
        <f>IFERROR(__xludf.DUMMYFUNCTION("GOOGLETRANSLATE(A23096, ""de"", ""en"")"),"stripper")</f>
        <v>stripper</v>
      </c>
    </row>
    <row r="23097">
      <c r="A23097" s="1" t="s">
        <v>23096</v>
      </c>
      <c r="B23097" s="2" t="str">
        <f>IFERROR(__xludf.DUMMYFUNCTION("GOOGLETRANSLATE(A23097, ""de"", ""en"")"),"typhus")</f>
        <v>typhus</v>
      </c>
    </row>
    <row r="23098">
      <c r="A23098" s="1" t="s">
        <v>23097</v>
      </c>
      <c r="B23098" s="2" t="str">
        <f>IFERROR(__xludf.DUMMYFUNCTION("GOOGLETRANSLATE(A23098, ""de"", ""en"")"),"calais")</f>
        <v>calais</v>
      </c>
    </row>
    <row r="23099">
      <c r="A23099" s="1" t="s">
        <v>23098</v>
      </c>
      <c r="B23099" s="2" t="str">
        <f>IFERROR(__xludf.DUMMYFUNCTION("GOOGLETRANSLATE(A23099, ""de"", ""en"")"),"rigsby")</f>
        <v>rigsby</v>
      </c>
    </row>
    <row r="23100">
      <c r="A23100" s="1" t="s">
        <v>23099</v>
      </c>
      <c r="B23100" s="2" t="str">
        <f>IFERROR(__xludf.DUMMYFUNCTION("GOOGLETRANSLATE(A23100, ""de"", ""en"")"),"rolled")</f>
        <v>rolled</v>
      </c>
    </row>
    <row r="23101">
      <c r="A23101" s="1" t="s">
        <v>23100</v>
      </c>
      <c r="B23101" s="2" t="str">
        <f>IFERROR(__xludf.DUMMYFUNCTION("GOOGLETRANSLATE(A23101, ""de"", ""en"")"),"aged")</f>
        <v>aged</v>
      </c>
    </row>
    <row r="23102">
      <c r="A23102" s="1" t="s">
        <v>23101</v>
      </c>
      <c r="B23102" s="2" t="str">
        <f>IFERROR(__xludf.DUMMYFUNCTION("GOOGLETRANSLATE(A23102, ""de"", ""en"")"),"raped")</f>
        <v>raped</v>
      </c>
    </row>
    <row r="23103">
      <c r="A23103" s="1" t="s">
        <v>23102</v>
      </c>
      <c r="B23103" s="2" t="str">
        <f>IFERROR(__xludf.DUMMYFUNCTION("GOOGLETRANSLATE(A23103, ""de"", ""en"")"),"rebuilt")</f>
        <v>rebuilt</v>
      </c>
    </row>
    <row r="23104">
      <c r="A23104" s="1" t="s">
        <v>23103</v>
      </c>
      <c r="B23104" s="2" t="str">
        <f>IFERROR(__xludf.DUMMYFUNCTION("GOOGLETRANSLATE(A23104, ""de"", ""en"")"),"doctoral thesis")</f>
        <v>doctoral thesis</v>
      </c>
    </row>
    <row r="23105">
      <c r="A23105" s="1" t="s">
        <v>23104</v>
      </c>
      <c r="B23105" s="2" t="str">
        <f>IFERROR(__xludf.DUMMYFUNCTION("GOOGLETRANSLATE(A23105, ""de"", ""en"")"),"consume")</f>
        <v>consume</v>
      </c>
    </row>
    <row r="23106">
      <c r="A23106" s="1" t="s">
        <v>23105</v>
      </c>
      <c r="B23106" s="2" t="str">
        <f>IFERROR(__xludf.DUMMYFUNCTION("GOOGLETRANSLATE(A23106, ""de"", ""en"")"),"bistro")</f>
        <v>bistro</v>
      </c>
    </row>
    <row r="23107">
      <c r="A23107" s="1" t="s">
        <v>23106</v>
      </c>
      <c r="B23107" s="2" t="str">
        <f>IFERROR(__xludf.DUMMYFUNCTION("GOOGLETRANSLATE(A23107, ""de"", ""en"")"),"poignant")</f>
        <v>poignant</v>
      </c>
    </row>
    <row r="23108">
      <c r="A23108" s="1" t="s">
        <v>23107</v>
      </c>
      <c r="B23108" s="2" t="str">
        <f>IFERROR(__xludf.DUMMYFUNCTION("GOOGLETRANSLATE(A23108, ""de"", ""en"")"),"respective")</f>
        <v>respective</v>
      </c>
    </row>
    <row r="23109">
      <c r="A23109" s="1" t="s">
        <v>23108</v>
      </c>
      <c r="B23109" s="2" t="str">
        <f>IFERROR(__xludf.DUMMYFUNCTION("GOOGLETRANSLATE(A23109, ""de"", ""en"")"),"democratic")</f>
        <v>democratic</v>
      </c>
    </row>
    <row r="23110">
      <c r="A23110" s="1" t="s">
        <v>23109</v>
      </c>
      <c r="B23110" s="2" t="str">
        <f>IFERROR(__xludf.DUMMYFUNCTION("GOOGLETRANSLATE(A23110, ""de"", ""en"")"),"sixty")</f>
        <v>sixty</v>
      </c>
    </row>
    <row r="23111">
      <c r="A23111" s="1" t="s">
        <v>23110</v>
      </c>
      <c r="B23111" s="2" t="str">
        <f>IFERROR(__xludf.DUMMYFUNCTION("GOOGLETRANSLATE(A23111, ""de"", ""en"")"),"campsite")</f>
        <v>campsite</v>
      </c>
    </row>
    <row r="23112">
      <c r="A23112" s="1" t="s">
        <v>23111</v>
      </c>
      <c r="B23112" s="2" t="str">
        <f>IFERROR(__xludf.DUMMYFUNCTION("GOOGLETRANSLATE(A23112, ""de"", ""en"")"),"little animals")</f>
        <v>little animals</v>
      </c>
    </row>
    <row r="23113">
      <c r="A23113" s="1" t="s">
        <v>23112</v>
      </c>
      <c r="B23113" s="2" t="str">
        <f>IFERROR(__xludf.DUMMYFUNCTION("GOOGLETRANSLATE(A23113, ""de"", ""en"")"),"Meier")</f>
        <v>Meier</v>
      </c>
    </row>
    <row r="23114">
      <c r="A23114" s="1" t="s">
        <v>23113</v>
      </c>
      <c r="B23114" s="2" t="str">
        <f>IFERROR(__xludf.DUMMYFUNCTION("GOOGLETRANSLATE(A23114, ""de"", ""en"")"),"to tear open")</f>
        <v>to tear open</v>
      </c>
    </row>
    <row r="23115">
      <c r="A23115" s="1" t="s">
        <v>23114</v>
      </c>
      <c r="B23115" s="2" t="str">
        <f>IFERROR(__xludf.DUMMYFUNCTION("GOOGLETRANSLATE(A23115, ""de"", ""en"")"),"Landon")</f>
        <v>Landon</v>
      </c>
    </row>
    <row r="23116">
      <c r="A23116" s="1" t="s">
        <v>23115</v>
      </c>
      <c r="B23116" s="2" t="str">
        <f>IFERROR(__xludf.DUMMYFUNCTION("GOOGLETRANSLATE(A23116, ""de"", ""en"")"),"ogre")</f>
        <v>ogre</v>
      </c>
    </row>
    <row r="23117">
      <c r="A23117" s="1" t="s">
        <v>23116</v>
      </c>
      <c r="B23117" s="2" t="str">
        <f>IFERROR(__xludf.DUMMYFUNCTION("GOOGLETRANSLATE(A23117, ""de"", ""en"")"),"osiris")</f>
        <v>osiris</v>
      </c>
    </row>
    <row r="23118">
      <c r="A23118" s="1" t="s">
        <v>23117</v>
      </c>
      <c r="B23118" s="2" t="str">
        <f>IFERROR(__xludf.DUMMYFUNCTION("GOOGLETRANSLATE(A23118, ""de"", ""en"")"),"showed up")</f>
        <v>showed up</v>
      </c>
    </row>
    <row r="23119">
      <c r="A23119" s="1" t="s">
        <v>23118</v>
      </c>
      <c r="B23119" s="2" t="str">
        <f>IFERROR(__xludf.DUMMYFUNCTION("GOOGLETRANSLATE(A23119, ""de"", ""en"")"),"watch")</f>
        <v>watch</v>
      </c>
    </row>
    <row r="23120">
      <c r="A23120" s="1" t="s">
        <v>23119</v>
      </c>
      <c r="B23120" s="2" t="str">
        <f>IFERROR(__xludf.DUMMYFUNCTION("GOOGLETRANSLATE(A23120, ""de"", ""en"")"),"cupcake")</f>
        <v>cupcake</v>
      </c>
    </row>
    <row r="23121">
      <c r="A23121" s="1" t="s">
        <v>23120</v>
      </c>
      <c r="B23121" s="2" t="str">
        <f>IFERROR(__xludf.DUMMYFUNCTION("GOOGLETRANSLATE(A23121, ""de"", ""en"")"),"avoided")</f>
        <v>avoided</v>
      </c>
    </row>
    <row r="23122">
      <c r="A23122" s="1" t="s">
        <v>23121</v>
      </c>
      <c r="B23122" s="2" t="str">
        <f>IFERROR(__xludf.DUMMYFUNCTION("GOOGLETRANSLATE(A23122, ""de"", ""en"")"),"crowder")</f>
        <v>crowder</v>
      </c>
    </row>
    <row r="23123">
      <c r="A23123" s="1" t="s">
        <v>23122</v>
      </c>
      <c r="B23123" s="2" t="str">
        <f>IFERROR(__xludf.DUMMYFUNCTION("GOOGLETRANSLATE(A23123, ""de"", ""en"")"),"watch out")</f>
        <v>watch out</v>
      </c>
    </row>
    <row r="23124">
      <c r="A23124" s="1" t="s">
        <v>23123</v>
      </c>
      <c r="B23124" s="2" t="str">
        <f>IFERROR(__xludf.DUMMYFUNCTION("GOOGLETRANSLATE(A23124, ""de"", ""en"")"),"passenger list")</f>
        <v>passenger list</v>
      </c>
    </row>
    <row r="23125">
      <c r="A23125" s="1" t="s">
        <v>23124</v>
      </c>
      <c r="B23125" s="2" t="str">
        <f>IFERROR(__xludf.DUMMYFUNCTION("GOOGLETRANSLATE(A23125, ""de"", ""en"")"),"holed")</f>
        <v>holed</v>
      </c>
    </row>
    <row r="23126">
      <c r="A23126" s="1" t="s">
        <v>23125</v>
      </c>
      <c r="B23126" s="2" t="str">
        <f>IFERROR(__xludf.DUMMYFUNCTION("GOOGLETRANSLATE(A23126, ""de"", ""en"")"),"irwin")</f>
        <v>irwin</v>
      </c>
    </row>
    <row r="23127">
      <c r="A23127" s="1" t="s">
        <v>23126</v>
      </c>
      <c r="B23127" s="2" t="str">
        <f>IFERROR(__xludf.DUMMYFUNCTION("GOOGLETRANSLATE(A23127, ""de"", ""en"")"),"limitless")</f>
        <v>limitless</v>
      </c>
    </row>
    <row r="23128">
      <c r="A23128" s="1" t="s">
        <v>23127</v>
      </c>
      <c r="B23128" s="2" t="str">
        <f>IFERROR(__xludf.DUMMYFUNCTION("GOOGLETRANSLATE(A23128, ""de"", ""en"")"),"Lourdes")</f>
        <v>Lourdes</v>
      </c>
    </row>
    <row r="23129">
      <c r="A23129" s="1" t="s">
        <v>23128</v>
      </c>
      <c r="B23129" s="2" t="str">
        <f>IFERROR(__xludf.DUMMYFUNCTION("GOOGLETRANSLATE(A23129, ""de"", ""en"")"),"oriental")</f>
        <v>oriental</v>
      </c>
    </row>
    <row r="23130">
      <c r="A23130" s="1" t="s">
        <v>23129</v>
      </c>
      <c r="B23130" s="2" t="str">
        <f>IFERROR(__xludf.DUMMYFUNCTION("GOOGLETRANSLATE(A23130, ""de"", ""en"")"),"legendary")</f>
        <v>legendary</v>
      </c>
    </row>
    <row r="23131">
      <c r="A23131" s="1" t="s">
        <v>23130</v>
      </c>
      <c r="B23131" s="2" t="str">
        <f>IFERROR(__xludf.DUMMYFUNCTION("GOOGLETRANSLATE(A23131, ""de"", ""en"")"),"conservative")</f>
        <v>conservative</v>
      </c>
    </row>
    <row r="23132">
      <c r="A23132" s="1" t="s">
        <v>23131</v>
      </c>
      <c r="B23132" s="2" t="str">
        <f>IFERROR(__xludf.DUMMYFUNCTION("GOOGLETRANSLATE(A23132, ""de"", ""en"")"),"mourn")</f>
        <v>mourn</v>
      </c>
    </row>
    <row r="23133">
      <c r="A23133" s="1" t="s">
        <v>23132</v>
      </c>
      <c r="B23133" s="2" t="str">
        <f>IFERROR(__xludf.DUMMYFUNCTION("GOOGLETRANSLATE(A23133, ""de"", ""en"")"),"more first class")</f>
        <v>more first class</v>
      </c>
    </row>
    <row r="23134">
      <c r="A23134" s="1" t="s">
        <v>23133</v>
      </c>
      <c r="B23134" s="2" t="str">
        <f>IFERROR(__xludf.DUMMYFUNCTION("GOOGLETRANSLATE(A23134, ""de"", ""en"")"),"cup")</f>
        <v>cup</v>
      </c>
    </row>
    <row r="23135">
      <c r="A23135" s="1" t="s">
        <v>23134</v>
      </c>
      <c r="B23135" s="2" t="str">
        <f>IFERROR(__xludf.DUMMYFUNCTION("GOOGLETRANSLATE(A23135, ""de"", ""en"")"),"crooked")</f>
        <v>crooked</v>
      </c>
    </row>
    <row r="23136">
      <c r="A23136" s="1" t="s">
        <v>23135</v>
      </c>
      <c r="B23136" s="2" t="str">
        <f>IFERROR(__xludf.DUMMYFUNCTION("GOOGLETRANSLATE(A23136, ""de"", ""en"")"),"scare")</f>
        <v>scare</v>
      </c>
    </row>
    <row r="23137">
      <c r="A23137" s="1" t="s">
        <v>23136</v>
      </c>
      <c r="B23137" s="2" t="str">
        <f>IFERROR(__xludf.DUMMYFUNCTION("GOOGLETRANSLATE(A23137, ""de"", ""en"")"),"light bulbs")</f>
        <v>light bulbs</v>
      </c>
    </row>
    <row r="23138">
      <c r="A23138" s="1" t="s">
        <v>23137</v>
      </c>
      <c r="B23138" s="2" t="str">
        <f>IFERROR(__xludf.DUMMYFUNCTION("GOOGLETRANSLATE(A23138, ""de"", ""en"")"),"lie to")</f>
        <v>lie to</v>
      </c>
    </row>
    <row r="23139">
      <c r="A23139" s="1" t="s">
        <v>23138</v>
      </c>
      <c r="B23139" s="2" t="str">
        <f>IFERROR(__xludf.DUMMYFUNCTION("GOOGLETRANSLATE(A23139, ""de"", ""en"")"),"vicodin")</f>
        <v>vicodin</v>
      </c>
    </row>
    <row r="23140">
      <c r="A23140" s="1" t="s">
        <v>23139</v>
      </c>
      <c r="B23140" s="2" t="str">
        <f>IFERROR(__xludf.DUMMYFUNCTION("GOOGLETRANSLATE(A23140, ""de"", ""en"")"),"loved")</f>
        <v>loved</v>
      </c>
    </row>
    <row r="23141">
      <c r="A23141" s="1" t="s">
        <v>23140</v>
      </c>
      <c r="B23141" s="2" t="str">
        <f>IFERROR(__xludf.DUMMYFUNCTION("GOOGLETRANSLATE(A23141, ""de"", ""en"")"),"garbage cans")</f>
        <v>garbage cans</v>
      </c>
    </row>
    <row r="23142">
      <c r="A23142" s="1" t="s">
        <v>23141</v>
      </c>
      <c r="B23142" s="2" t="str">
        <f>IFERROR(__xludf.DUMMYFUNCTION("GOOGLETRANSLATE(A23142, ""de"", ""en"")"),"to break out")</f>
        <v>to break out</v>
      </c>
    </row>
    <row r="23143">
      <c r="A23143" s="1" t="s">
        <v>23142</v>
      </c>
      <c r="B23143" s="2" t="str">
        <f>IFERROR(__xludf.DUMMYFUNCTION("GOOGLETRANSLATE(A23143, ""de"", ""en"")"),"bars")</f>
        <v>bars</v>
      </c>
    </row>
    <row r="23144">
      <c r="A23144" s="1" t="s">
        <v>23143</v>
      </c>
      <c r="B23144" s="2" t="str">
        <f>IFERROR(__xludf.DUMMYFUNCTION("GOOGLETRANSLATE(A23144, ""de"", ""en"")"),"karel")</f>
        <v>karel</v>
      </c>
    </row>
    <row r="23145">
      <c r="A23145" s="1" t="s">
        <v>23144</v>
      </c>
      <c r="B23145" s="2" t="str">
        <f>IFERROR(__xludf.DUMMYFUNCTION("GOOGLETRANSLATE(A23145, ""de"", ""en"")"),"wedge")</f>
        <v>wedge</v>
      </c>
    </row>
    <row r="23146">
      <c r="A23146" s="1" t="s">
        <v>23145</v>
      </c>
      <c r="B23146" s="2" t="str">
        <f>IFERROR(__xludf.DUMMYFUNCTION("GOOGLETRANSLATE(A23146, ""de"", ""en"")"),"andrei")</f>
        <v>andrei</v>
      </c>
    </row>
    <row r="23147">
      <c r="A23147" s="1" t="s">
        <v>23146</v>
      </c>
      <c r="B23147" s="2" t="str">
        <f>IFERROR(__xludf.DUMMYFUNCTION("GOOGLETRANSLATE(A23147, ""de"", ""en"")"),"joke")</f>
        <v>joke</v>
      </c>
    </row>
    <row r="23148">
      <c r="A23148" s="1" t="s">
        <v>23147</v>
      </c>
      <c r="B23148" s="2" t="str">
        <f>IFERROR(__xludf.DUMMYFUNCTION("GOOGLETRANSLATE(A23148, ""de"", ""en"")"),"leary")</f>
        <v>leary</v>
      </c>
    </row>
    <row r="23149">
      <c r="A23149" s="1" t="s">
        <v>23148</v>
      </c>
      <c r="B23149" s="2" t="str">
        <f>IFERROR(__xludf.DUMMYFUNCTION("GOOGLETRANSLATE(A23149, ""de"", ""en"")"),"tot")</f>
        <v>tot</v>
      </c>
    </row>
    <row r="23150">
      <c r="A23150" s="1" t="s">
        <v>23149</v>
      </c>
      <c r="B23150" s="2" t="str">
        <f>IFERROR(__xludf.DUMMYFUNCTION("GOOGLETRANSLATE(A23150, ""de"", ""en"")"),"beets")</f>
        <v>beets</v>
      </c>
    </row>
    <row r="23151">
      <c r="A23151" s="1" t="s">
        <v>23150</v>
      </c>
      <c r="B23151" s="2" t="str">
        <f>IFERROR(__xludf.DUMMYFUNCTION("GOOGLETRANSLATE(A23151, ""de"", ""en"")"),"toothache")</f>
        <v>toothache</v>
      </c>
    </row>
    <row r="23152">
      <c r="A23152" s="1" t="s">
        <v>23151</v>
      </c>
      <c r="B23152" s="2" t="str">
        <f>IFERROR(__xludf.DUMMYFUNCTION("GOOGLETRANSLATE(A23152, ""de"", ""en"")"),"male")</f>
        <v>male</v>
      </c>
    </row>
    <row r="23153">
      <c r="A23153" s="1" t="s">
        <v>23152</v>
      </c>
      <c r="B23153" s="2" t="str">
        <f>IFERROR(__xludf.DUMMYFUNCTION("GOOGLETRANSLATE(A23153, ""de"", ""en"")"),"orgasms")</f>
        <v>orgasms</v>
      </c>
    </row>
    <row r="23154">
      <c r="A23154" s="1" t="s">
        <v>23153</v>
      </c>
      <c r="B23154" s="2" t="str">
        <f>IFERROR(__xludf.DUMMYFUNCTION("GOOGLETRANSLATE(A23154, ""de"", ""en"")"),"obscene")</f>
        <v>obscene</v>
      </c>
    </row>
    <row r="23155">
      <c r="A23155" s="1" t="s">
        <v>23154</v>
      </c>
      <c r="B23155" s="2" t="str">
        <f>IFERROR(__xludf.DUMMYFUNCTION("GOOGLETRANSLATE(A23155, ""de"", ""en"")"),"posted")</f>
        <v>posted</v>
      </c>
    </row>
    <row r="23156">
      <c r="A23156" s="1" t="s">
        <v>23155</v>
      </c>
      <c r="B23156" s="2" t="str">
        <f>IFERROR(__xludf.DUMMYFUNCTION("GOOGLETRANSLATE(A23156, ""de"", ""en"")"),"reunion")</f>
        <v>reunion</v>
      </c>
    </row>
    <row r="23157">
      <c r="A23157" s="1" t="s">
        <v>23156</v>
      </c>
      <c r="B23157" s="2" t="str">
        <f>IFERROR(__xludf.DUMMYFUNCTION("GOOGLETRANSLATE(A23157, ""de"", ""en"")"),"keane")</f>
        <v>keane</v>
      </c>
    </row>
    <row r="23158">
      <c r="A23158" s="1" t="s">
        <v>23157</v>
      </c>
      <c r="B23158" s="2" t="str">
        <f>IFERROR(__xludf.DUMMYFUNCTION("GOOGLETRANSLATE(A23158, ""de"", ""en"")"),"came out")</f>
        <v>came out</v>
      </c>
    </row>
    <row r="23159">
      <c r="A23159" s="1" t="s">
        <v>23158</v>
      </c>
      <c r="B23159" s="2" t="str">
        <f>IFERROR(__xludf.DUMMYFUNCTION("GOOGLETRANSLATE(A23159, ""de"", ""en"")"),"navigation")</f>
        <v>navigation</v>
      </c>
    </row>
    <row r="23160">
      <c r="A23160" s="1" t="s">
        <v>23159</v>
      </c>
      <c r="B23160" s="2" t="str">
        <f>IFERROR(__xludf.DUMMYFUNCTION("GOOGLETRANSLATE(A23160, ""de"", ""en"")"),"distractions")</f>
        <v>distractions</v>
      </c>
    </row>
    <row r="23161">
      <c r="A23161" s="1" t="s">
        <v>23160</v>
      </c>
      <c r="B23161" s="2" t="str">
        <f>IFERROR(__xludf.DUMMYFUNCTION("GOOGLETRANSLATE(A23161, ""de"", ""en"")"),"canned food")</f>
        <v>canned food</v>
      </c>
    </row>
    <row r="23162">
      <c r="A23162" s="1" t="s">
        <v>23161</v>
      </c>
      <c r="B23162" s="2" t="str">
        <f>IFERROR(__xludf.DUMMYFUNCTION("GOOGLETRANSLATE(A23162, ""de"", ""en"")"),"goes out")</f>
        <v>goes out</v>
      </c>
    </row>
    <row r="23163">
      <c r="A23163" s="1" t="s">
        <v>23162</v>
      </c>
      <c r="B23163" s="2" t="str">
        <f>IFERROR(__xludf.DUMMYFUNCTION("GOOGLETRANSLATE(A23163, ""de"", ""en"")"),"came home")</f>
        <v>came home</v>
      </c>
    </row>
    <row r="23164">
      <c r="A23164" s="1" t="s">
        <v>23163</v>
      </c>
      <c r="B23164" s="2" t="str">
        <f>IFERROR(__xludf.DUMMYFUNCTION("GOOGLETRANSLATE(A23164, ""de"", ""en"")"),"Bergman")</f>
        <v>Bergman</v>
      </c>
    </row>
    <row r="23165">
      <c r="A23165" s="1" t="s">
        <v>23164</v>
      </c>
      <c r="B23165" s="2" t="str">
        <f>IFERROR(__xludf.DUMMYFUNCTION("GOOGLETRANSLATE(A23165, ""de"", ""en"")"),"chronicle")</f>
        <v>chronicle</v>
      </c>
    </row>
    <row r="23166">
      <c r="A23166" s="1" t="s">
        <v>23165</v>
      </c>
      <c r="B23166" s="2" t="str">
        <f>IFERROR(__xludf.DUMMYFUNCTION("GOOGLETRANSLATE(A23166, ""de"", ""en"")"),"drive down")</f>
        <v>drive down</v>
      </c>
    </row>
    <row r="23167">
      <c r="A23167" s="1" t="s">
        <v>23166</v>
      </c>
      <c r="B23167" s="2" t="str">
        <f>IFERROR(__xludf.DUMMYFUNCTION("GOOGLETRANSLATE(A23167, ""de"", ""en"")"),"felt")</f>
        <v>felt</v>
      </c>
    </row>
    <row r="23168">
      <c r="A23168" s="1" t="s">
        <v>23167</v>
      </c>
      <c r="B23168" s="2" t="str">
        <f>IFERROR(__xludf.DUMMYFUNCTION("GOOGLETRANSLATE(A23168, ""de"", ""en"")"),"correspondence")</f>
        <v>correspondence</v>
      </c>
    </row>
    <row r="23169">
      <c r="A23169" s="1" t="s">
        <v>23168</v>
      </c>
      <c r="B23169" s="2" t="str">
        <f>IFERROR(__xludf.DUMMYFUNCTION("GOOGLETRANSLATE(A23169, ""de"", ""en"")"),"dunphy")</f>
        <v>dunphy</v>
      </c>
    </row>
    <row r="23170">
      <c r="A23170" s="1" t="s">
        <v>23169</v>
      </c>
      <c r="B23170" s="2" t="str">
        <f>IFERROR(__xludf.DUMMYFUNCTION("GOOGLETRANSLATE(A23170, ""de"", ""en"")"),"booked in")</f>
        <v>booked in</v>
      </c>
    </row>
    <row r="23171">
      <c r="A23171" s="1" t="s">
        <v>23170</v>
      </c>
      <c r="B23171" s="2" t="str">
        <f>IFERROR(__xludf.DUMMYFUNCTION("GOOGLETRANSLATE(A23171, ""de"", ""en"")"),"shot")</f>
        <v>shot</v>
      </c>
    </row>
    <row r="23172">
      <c r="A23172" s="1" t="s">
        <v>23171</v>
      </c>
      <c r="B23172" s="2" t="str">
        <f>IFERROR(__xludf.DUMMYFUNCTION("GOOGLETRANSLATE(A23172, ""de"", ""en"")"),"dieu")</f>
        <v>dieu</v>
      </c>
    </row>
    <row r="23173">
      <c r="A23173" s="1" t="s">
        <v>23172</v>
      </c>
      <c r="B23173" s="2" t="str">
        <f>IFERROR(__xludf.DUMMYFUNCTION("GOOGLETRANSLATE(A23173, ""de"", ""en"")"),"keyes")</f>
        <v>keyes</v>
      </c>
    </row>
    <row r="23174">
      <c r="A23174" s="1" t="s">
        <v>23173</v>
      </c>
      <c r="B23174" s="2" t="str">
        <f>IFERROR(__xludf.DUMMYFUNCTION("GOOGLETRANSLATE(A23174, ""de"", ""en"")"),"let")</f>
        <v>let</v>
      </c>
    </row>
    <row r="23175">
      <c r="A23175" s="1" t="s">
        <v>23174</v>
      </c>
      <c r="B23175" s="2" t="str">
        <f>IFERROR(__xludf.DUMMYFUNCTION("GOOGLETRANSLATE(A23175, ""de"", ""en"")"),"communion")</f>
        <v>communion</v>
      </c>
    </row>
    <row r="23176">
      <c r="A23176" s="1" t="s">
        <v>23175</v>
      </c>
      <c r="B23176" s="2" t="str">
        <f>IFERROR(__xludf.DUMMYFUNCTION("GOOGLETRANSLATE(A23176, ""de"", ""en"")"),"electric")</f>
        <v>electric</v>
      </c>
    </row>
    <row r="23177">
      <c r="A23177" s="1" t="s">
        <v>23176</v>
      </c>
      <c r="B23177" s="2" t="str">
        <f>IFERROR(__xludf.DUMMYFUNCTION("GOOGLETRANSLATE(A23177, ""de"", ""en"")"),"stupid")</f>
        <v>stupid</v>
      </c>
    </row>
    <row r="23178">
      <c r="A23178" s="1" t="s">
        <v>23177</v>
      </c>
      <c r="B23178" s="2" t="str">
        <f>IFERROR(__xludf.DUMMYFUNCTION("GOOGLETRANSLATE(A23178, ""de"", ""en"")"),"farewell kiss")</f>
        <v>farewell kiss</v>
      </c>
    </row>
    <row r="23179">
      <c r="A23179" s="1" t="s">
        <v>23178</v>
      </c>
      <c r="B23179" s="2" t="str">
        <f>IFERROR(__xludf.DUMMYFUNCTION("GOOGLETRANSLATE(A23179, ""de"", ""en"")"),"more scientific")</f>
        <v>more scientific</v>
      </c>
    </row>
    <row r="23180">
      <c r="A23180" s="1" t="s">
        <v>23179</v>
      </c>
      <c r="B23180" s="2" t="str">
        <f>IFERROR(__xludf.DUMMYFUNCTION("GOOGLETRANSLATE(A23180, ""de"", ""en"")"),"marker")</f>
        <v>marker</v>
      </c>
    </row>
    <row r="23181">
      <c r="A23181" s="1" t="s">
        <v>23180</v>
      </c>
      <c r="B23181" s="2" t="str">
        <f>IFERROR(__xludf.DUMMYFUNCTION("GOOGLETRANSLATE(A23181, ""de"", ""en"")"),"manufacture")</f>
        <v>manufacture</v>
      </c>
    </row>
    <row r="23182">
      <c r="A23182" s="1" t="s">
        <v>23181</v>
      </c>
      <c r="B23182" s="2" t="str">
        <f>IFERROR(__xludf.DUMMYFUNCTION("GOOGLETRANSLATE(A23182, ""de"", ""en"")"),"fairer")</f>
        <v>fairer</v>
      </c>
    </row>
    <row r="23183">
      <c r="A23183" s="1" t="s">
        <v>23182</v>
      </c>
      <c r="B23183" s="2" t="str">
        <f>IFERROR(__xludf.DUMMYFUNCTION("GOOGLETRANSLATE(A23183, ""de"", ""en"")"),"lights")</f>
        <v>lights</v>
      </c>
    </row>
    <row r="23184">
      <c r="A23184" s="1" t="s">
        <v>23183</v>
      </c>
      <c r="B23184" s="2" t="str">
        <f>IFERROR(__xludf.DUMMYFUNCTION("GOOGLETRANSLATE(A23184, ""de"", ""en"")"),"fueled")</f>
        <v>fueled</v>
      </c>
    </row>
    <row r="23185">
      <c r="A23185" s="1" t="s">
        <v>23184</v>
      </c>
      <c r="B23185" s="2" t="str">
        <f>IFERROR(__xludf.DUMMYFUNCTION("GOOGLETRANSLATE(A23185, ""de"", ""en"")"),"advisable")</f>
        <v>advisable</v>
      </c>
    </row>
    <row r="23186">
      <c r="A23186" s="1" t="s">
        <v>23185</v>
      </c>
      <c r="B23186" s="2" t="str">
        <f>IFERROR(__xludf.DUMMYFUNCTION("GOOGLETRANSLATE(A23186, ""de"", ""en"")"),"hiv")</f>
        <v>hiv</v>
      </c>
    </row>
    <row r="23187">
      <c r="A23187" s="1" t="s">
        <v>23186</v>
      </c>
      <c r="B23187" s="2" t="str">
        <f>IFERROR(__xludf.DUMMYFUNCTION("GOOGLETRANSLATE(A23187, ""de"", ""en"")"),"shame")</f>
        <v>shame</v>
      </c>
    </row>
    <row r="23188">
      <c r="A23188" s="1" t="s">
        <v>23187</v>
      </c>
      <c r="B23188" s="2" t="str">
        <f>IFERROR(__xludf.DUMMYFUNCTION("GOOGLETRANSLATE(A23188, ""de"", ""en"")"),"Marcellus")</f>
        <v>Marcellus</v>
      </c>
    </row>
    <row r="23189">
      <c r="A23189" s="1" t="s">
        <v>23188</v>
      </c>
      <c r="B23189" s="2" t="str">
        <f>IFERROR(__xludf.DUMMYFUNCTION("GOOGLETRANSLATE(A23189, ""de"", ""en"")"),"jean claude")</f>
        <v>jean claude</v>
      </c>
    </row>
    <row r="23190">
      <c r="A23190" s="1" t="s">
        <v>23189</v>
      </c>
      <c r="B23190" s="2" t="str">
        <f>IFERROR(__xludf.DUMMYFUNCTION("GOOGLETRANSLATE(A23190, ""de"", ""en"")"),"space travel")</f>
        <v>space travel</v>
      </c>
    </row>
    <row r="23191">
      <c r="A23191" s="1" t="s">
        <v>23190</v>
      </c>
      <c r="B23191" s="2" t="str">
        <f>IFERROR(__xludf.DUMMYFUNCTION("GOOGLETRANSLATE(A23191, ""de"", ""en"")"),"holiday home")</f>
        <v>holiday home</v>
      </c>
    </row>
    <row r="23192">
      <c r="A23192" s="1" t="s">
        <v>23191</v>
      </c>
      <c r="B23192" s="2" t="str">
        <f>IFERROR(__xludf.DUMMYFUNCTION("GOOGLETRANSLATE(A23192, ""de"", ""en"")"),"alexei")</f>
        <v>alexei</v>
      </c>
    </row>
    <row r="23193">
      <c r="A23193" s="1" t="s">
        <v>23192</v>
      </c>
      <c r="B23193" s="2" t="str">
        <f>IFERROR(__xludf.DUMMYFUNCTION("GOOGLETRANSLATE(A23193, ""de"", ""en"")"),"Stevenson")</f>
        <v>Stevenson</v>
      </c>
    </row>
    <row r="23194">
      <c r="A23194" s="1" t="s">
        <v>23193</v>
      </c>
      <c r="B23194" s="2" t="str">
        <f>IFERROR(__xludf.DUMMYFUNCTION("GOOGLETRANSLATE(A23194, ""de"", ""en"")"),"sound")</f>
        <v>sound</v>
      </c>
    </row>
    <row r="23195">
      <c r="A23195" s="1" t="s">
        <v>23194</v>
      </c>
      <c r="B23195" s="2" t="str">
        <f>IFERROR(__xludf.DUMMYFUNCTION("GOOGLETRANSLATE(A23195, ""de"", ""en"")"),"certain")</f>
        <v>certain</v>
      </c>
    </row>
    <row r="23196">
      <c r="A23196" s="1" t="s">
        <v>23195</v>
      </c>
      <c r="B23196" s="2" t="str">
        <f>IFERROR(__xludf.DUMMYFUNCTION("GOOGLETRANSLATE(A23196, ""de"", ""en"")"),"stubborn")</f>
        <v>stubborn</v>
      </c>
    </row>
    <row r="23197">
      <c r="A23197" s="1" t="s">
        <v>23196</v>
      </c>
      <c r="B23197" s="2" t="str">
        <f>IFERROR(__xludf.DUMMYFUNCTION("GOOGLETRANSLATE(A23197, ""de"", ""en"")"),"go through")</f>
        <v>go through</v>
      </c>
    </row>
    <row r="23198">
      <c r="A23198" s="1" t="s">
        <v>23197</v>
      </c>
      <c r="B23198" s="2" t="str">
        <f>IFERROR(__xludf.DUMMYFUNCTION("GOOGLETRANSLATE(A23198, ""de"", ""en"")"),"gull")</f>
        <v>gull</v>
      </c>
    </row>
    <row r="23199">
      <c r="A23199" s="1" t="s">
        <v>23198</v>
      </c>
      <c r="B23199" s="2" t="str">
        <f>IFERROR(__xludf.DUMMYFUNCTION("GOOGLETRANSLATE(A23199, ""de"", ""en"")"),"soaked")</f>
        <v>soaked</v>
      </c>
    </row>
    <row r="23200">
      <c r="A23200" s="1" t="s">
        <v>23199</v>
      </c>
      <c r="B23200" s="2" t="str">
        <f>IFERROR(__xludf.DUMMYFUNCTION("GOOGLETRANSLATE(A23200, ""de"", ""en"")"),"basic rules")</f>
        <v>basic rules</v>
      </c>
    </row>
    <row r="23201">
      <c r="A23201" s="1" t="s">
        <v>23200</v>
      </c>
      <c r="B23201" s="2" t="str">
        <f>IFERROR(__xludf.DUMMYFUNCTION("GOOGLETRANSLATE(A23201, ""de"", ""en"")"),"recommended")</f>
        <v>recommended</v>
      </c>
    </row>
    <row r="23202">
      <c r="A23202" s="1" t="s">
        <v>23201</v>
      </c>
      <c r="B23202" s="2" t="str">
        <f>IFERROR(__xludf.DUMMYFUNCTION("GOOGLETRANSLATE(A23202, ""de"", ""en"")"),"carina")</f>
        <v>carina</v>
      </c>
    </row>
    <row r="23203">
      <c r="A23203" s="1" t="s">
        <v>23202</v>
      </c>
      <c r="B23203" s="2" t="str">
        <f>IFERROR(__xludf.DUMMYFUNCTION("GOOGLETRANSLATE(A23203, ""de"", ""en"")"),"beef")</f>
        <v>beef</v>
      </c>
    </row>
    <row r="23204">
      <c r="A23204" s="1" t="s">
        <v>23203</v>
      </c>
      <c r="B23204" s="2" t="str">
        <f>IFERROR(__xludf.DUMMYFUNCTION("GOOGLETRANSLATE(A23204, ""de"", ""en"")"),"passionate")</f>
        <v>passionate</v>
      </c>
    </row>
    <row r="23205">
      <c r="A23205" s="1" t="s">
        <v>23204</v>
      </c>
      <c r="B23205" s="2" t="str">
        <f>IFERROR(__xludf.DUMMYFUNCTION("GOOGLETRANSLATE(A23205, ""de"", ""en"")"),"surround")</f>
        <v>surround</v>
      </c>
    </row>
    <row r="23206">
      <c r="A23206" s="1" t="s">
        <v>23205</v>
      </c>
      <c r="B23206" s="2" t="str">
        <f>IFERROR(__xludf.DUMMYFUNCTION("GOOGLETRANSLATE(A23206, ""de"", ""en"")"),"attached")</f>
        <v>attached</v>
      </c>
    </row>
    <row r="23207">
      <c r="A23207" s="1" t="s">
        <v>23206</v>
      </c>
      <c r="B23207" s="2" t="str">
        <f>IFERROR(__xludf.DUMMYFUNCTION("GOOGLETRANSLATE(A23207, ""de"", ""en"")"),"homeworld")</f>
        <v>homeworld</v>
      </c>
    </row>
    <row r="23208">
      <c r="A23208" s="1" t="s">
        <v>23207</v>
      </c>
      <c r="B23208" s="2" t="str">
        <f>IFERROR(__xludf.DUMMYFUNCTION("GOOGLETRANSLATE(A23208, ""de"", ""en"")"),"hive")</f>
        <v>hive</v>
      </c>
    </row>
    <row r="23209">
      <c r="A23209" s="1" t="s">
        <v>23208</v>
      </c>
      <c r="B23209" s="2" t="str">
        <f>IFERROR(__xludf.DUMMYFUNCTION("GOOGLETRANSLATE(A23209, ""de"", ""en"")"),"confused")</f>
        <v>confused</v>
      </c>
    </row>
    <row r="23210">
      <c r="A23210" s="1" t="s">
        <v>23209</v>
      </c>
      <c r="B23210" s="2" t="str">
        <f>IFERROR(__xludf.DUMMYFUNCTION("GOOGLETRANSLATE(A23210, ""de"", ""en"")"),"fireflies")</f>
        <v>fireflies</v>
      </c>
    </row>
    <row r="23211">
      <c r="A23211" s="1" t="s">
        <v>23210</v>
      </c>
      <c r="B23211" s="2" t="str">
        <f>IFERROR(__xludf.DUMMYFUNCTION("GOOGLETRANSLATE(A23211, ""de"", ""en"")"),"complexion")</f>
        <v>complexion</v>
      </c>
    </row>
    <row r="23212">
      <c r="A23212" s="1" t="s">
        <v>23211</v>
      </c>
      <c r="B23212" s="2" t="str">
        <f>IFERROR(__xludf.DUMMYFUNCTION("GOOGLETRANSLATE(A23212, ""de"", ""en"")"),"corky")</f>
        <v>corky</v>
      </c>
    </row>
    <row r="23213">
      <c r="A23213" s="1" t="s">
        <v>23212</v>
      </c>
      <c r="B23213" s="2" t="str">
        <f>IFERROR(__xludf.DUMMYFUNCTION("GOOGLETRANSLATE(A23213, ""de"", ""en"")"),"mastermind")</f>
        <v>mastermind</v>
      </c>
    </row>
    <row r="23214">
      <c r="A23214" s="1" t="s">
        <v>23213</v>
      </c>
      <c r="B23214" s="2" t="str">
        <f>IFERROR(__xludf.DUMMYFUNCTION("GOOGLETRANSLATE(A23214, ""de"", ""en"")"),"sedentary")</f>
        <v>sedentary</v>
      </c>
    </row>
    <row r="23215">
      <c r="A23215" s="1" t="s">
        <v>23214</v>
      </c>
      <c r="B23215" s="2" t="str">
        <f>IFERROR(__xludf.DUMMYFUNCTION("GOOGLETRANSLATE(A23215, ""de"", ""en"")"),"jörg")</f>
        <v>jörg</v>
      </c>
    </row>
    <row r="23216">
      <c r="A23216" s="1" t="s">
        <v>23215</v>
      </c>
      <c r="B23216" s="2" t="str">
        <f>IFERROR(__xludf.DUMMYFUNCTION("GOOGLETRANSLATE(A23216, ""de"", ""en"")"),"reporting")</f>
        <v>reporting</v>
      </c>
    </row>
    <row r="23217">
      <c r="A23217" s="1" t="s">
        <v>23216</v>
      </c>
      <c r="B23217" s="2" t="str">
        <f>IFERROR(__xludf.DUMMYFUNCTION("GOOGLETRANSLATE(A23217, ""de"", ""en"")"),"cady")</f>
        <v>cady</v>
      </c>
    </row>
    <row r="23218">
      <c r="A23218" s="1" t="s">
        <v>23217</v>
      </c>
      <c r="B23218" s="2" t="str">
        <f>IFERROR(__xludf.DUMMYFUNCTION("GOOGLETRANSLATE(A23218, ""de"", ""en"")"),"handed over")</f>
        <v>handed over</v>
      </c>
    </row>
    <row r="23219">
      <c r="A23219" s="1" t="s">
        <v>23218</v>
      </c>
      <c r="B23219" s="2" t="str">
        <f>IFERROR(__xludf.DUMMYFUNCTION("GOOGLETRANSLATE(A23219, ""de"", ""en"")"),"enforced")</f>
        <v>enforced</v>
      </c>
    </row>
    <row r="23220">
      <c r="A23220" s="1" t="s">
        <v>23219</v>
      </c>
      <c r="B23220" s="2" t="str">
        <f>IFERROR(__xludf.DUMMYFUNCTION("GOOGLETRANSLATE(A23220, ""de"", ""en"")"),"confessed")</f>
        <v>confessed</v>
      </c>
    </row>
    <row r="23221">
      <c r="A23221" s="1" t="s">
        <v>23220</v>
      </c>
      <c r="B23221" s="2" t="str">
        <f>IFERROR(__xludf.DUMMYFUNCTION("GOOGLETRANSLATE(A23221, ""de"", ""en"")"),"leeds")</f>
        <v>leeds</v>
      </c>
    </row>
    <row r="23222">
      <c r="A23222" s="1" t="s">
        <v>23221</v>
      </c>
      <c r="B23222" s="2" t="str">
        <f>IFERROR(__xludf.DUMMYFUNCTION("GOOGLETRANSLATE(A23222, ""de"", ""en"")"),"quarter")</f>
        <v>quarter</v>
      </c>
    </row>
    <row r="23223">
      <c r="A23223" s="1" t="s">
        <v>23222</v>
      </c>
      <c r="B23223" s="2" t="str">
        <f>IFERROR(__xludf.DUMMYFUNCTION("GOOGLETRANSLATE(A23223, ""de"", ""en"")"),"flee")</f>
        <v>flee</v>
      </c>
    </row>
    <row r="23224">
      <c r="A23224" s="1" t="s">
        <v>23223</v>
      </c>
      <c r="B23224" s="2" t="str">
        <f>IFERROR(__xludf.DUMMYFUNCTION("GOOGLETRANSLATE(A23224, ""de"", ""en"")"),"testosterone")</f>
        <v>testosterone</v>
      </c>
    </row>
    <row r="23225">
      <c r="A23225" s="1" t="s">
        <v>23224</v>
      </c>
      <c r="B23225" s="2" t="str">
        <f>IFERROR(__xludf.DUMMYFUNCTION("GOOGLETRANSLATE(A23225, ""de"", ""en"")"),"take with you")</f>
        <v>take with you</v>
      </c>
    </row>
    <row r="23226">
      <c r="A23226" s="1" t="s">
        <v>23225</v>
      </c>
      <c r="B23226" s="2" t="str">
        <f>IFERROR(__xludf.DUMMYFUNCTION("GOOGLETRANSLATE(A23226, ""de"", ""en"")"),"glob")</f>
        <v>glob</v>
      </c>
    </row>
    <row r="23227">
      <c r="A23227" s="1" t="s">
        <v>23226</v>
      </c>
      <c r="B23227" s="2" t="str">
        <f>IFERROR(__xludf.DUMMYFUNCTION("GOOGLETRANSLATE(A23227, ""de"", ""en"")"),"following")</f>
        <v>following</v>
      </c>
    </row>
    <row r="23228">
      <c r="A23228" s="1" t="s">
        <v>23227</v>
      </c>
      <c r="B23228" s="2" t="str">
        <f>IFERROR(__xludf.DUMMYFUNCTION("GOOGLETRANSLATE(A23228, ""de"", ""en"")"),"meet")</f>
        <v>meet</v>
      </c>
    </row>
    <row r="23229">
      <c r="A23229" s="1" t="s">
        <v>23228</v>
      </c>
      <c r="B23229" s="2" t="str">
        <f>IFERROR(__xludf.DUMMYFUNCTION("GOOGLETRANSLATE(A23229, ""de"", ""en"")"),"drastic")</f>
        <v>drastic</v>
      </c>
    </row>
    <row r="23230">
      <c r="A23230" s="1" t="s">
        <v>23229</v>
      </c>
      <c r="B23230" s="2" t="str">
        <f>IFERROR(__xludf.DUMMYFUNCTION("GOOGLETRANSLATE(A23230, ""de"", ""en"")"),"adjoining room")</f>
        <v>adjoining room</v>
      </c>
    </row>
    <row r="23231">
      <c r="A23231" s="1" t="s">
        <v>23230</v>
      </c>
      <c r="B23231" s="2" t="str">
        <f>IFERROR(__xludf.DUMMYFUNCTION("GOOGLETRANSLATE(A23231, ""de"", ""en"")"),"Sahara")</f>
        <v>Sahara</v>
      </c>
    </row>
    <row r="23232">
      <c r="A23232" s="1" t="s">
        <v>23231</v>
      </c>
      <c r="B23232" s="2" t="str">
        <f>IFERROR(__xludf.DUMMYFUNCTION("GOOGLETRANSLATE(A23232, ""de"", ""en"")"),"palate")</f>
        <v>palate</v>
      </c>
    </row>
    <row r="23233">
      <c r="A23233" s="1" t="s">
        <v>23232</v>
      </c>
      <c r="B23233" s="2" t="str">
        <f>IFERROR(__xludf.DUMMYFUNCTION("GOOGLETRANSLATE(A23233, ""de"", ""en"")"),"twain")</f>
        <v>twain</v>
      </c>
    </row>
    <row r="23234">
      <c r="A23234" s="1" t="s">
        <v>23233</v>
      </c>
      <c r="B23234" s="2" t="str">
        <f>IFERROR(__xludf.DUMMYFUNCTION("GOOGLETRANSLATE(A23234, ""de"", ""en"")"),"fae")</f>
        <v>fae</v>
      </c>
    </row>
    <row r="23235">
      <c r="A23235" s="1" t="s">
        <v>23234</v>
      </c>
      <c r="B23235" s="2" t="str">
        <f>IFERROR(__xludf.DUMMYFUNCTION("GOOGLETRANSLATE(A23235, ""de"", ""en"")"),"excellent")</f>
        <v>excellent</v>
      </c>
    </row>
    <row r="23236">
      <c r="A23236" s="1" t="s">
        <v>23235</v>
      </c>
      <c r="B23236" s="2" t="str">
        <f>IFERROR(__xludf.DUMMYFUNCTION("GOOGLETRANSLATE(A23236, ""de"", ""en"")"),"spray")</f>
        <v>spray</v>
      </c>
    </row>
    <row r="23237">
      <c r="A23237" s="1" t="s">
        <v>23236</v>
      </c>
      <c r="B23237" s="2" t="str">
        <f>IFERROR(__xludf.DUMMYFUNCTION("GOOGLETRANSLATE(A23237, ""de"", ""en"")"),"can")</f>
        <v>can</v>
      </c>
    </row>
    <row r="23238">
      <c r="A23238" s="1" t="s">
        <v>23237</v>
      </c>
      <c r="B23238" s="2" t="str">
        <f>IFERROR(__xludf.DUMMYFUNCTION("GOOGLETRANSLATE(A23238, ""de"", ""en"")"),"Kelly's")</f>
        <v>Kelly's</v>
      </c>
    </row>
    <row r="23239">
      <c r="A23239" s="1" t="s">
        <v>23238</v>
      </c>
      <c r="B23239" s="2" t="str">
        <f>IFERROR(__xludf.DUMMYFUNCTION("GOOGLETRANSLATE(A23239, ""de"", ""en"")"),"back then")</f>
        <v>back then</v>
      </c>
    </row>
    <row r="23240">
      <c r="A23240" s="1" t="s">
        <v>23239</v>
      </c>
      <c r="B23240" s="2" t="str">
        <f>IFERROR(__xludf.DUMMYFUNCTION("GOOGLETRANSLATE(A23240, ""de"", ""en"")"),"aron")</f>
        <v>aron</v>
      </c>
    </row>
    <row r="23241">
      <c r="A23241" s="1" t="s">
        <v>23240</v>
      </c>
      <c r="B23241" s="2" t="str">
        <f>IFERROR(__xludf.DUMMYFUNCTION("GOOGLETRANSLATE(A23241, ""de"", ""en"")"),"deposited")</f>
        <v>deposited</v>
      </c>
    </row>
    <row r="23242">
      <c r="A23242" s="1" t="s">
        <v>23241</v>
      </c>
      <c r="B23242" s="2" t="str">
        <f>IFERROR(__xludf.DUMMYFUNCTION("GOOGLETRANSLATE(A23242, ""de"", ""en"")"),"botwin")</f>
        <v>botwin</v>
      </c>
    </row>
    <row r="23243">
      <c r="A23243" s="1" t="s">
        <v>23242</v>
      </c>
      <c r="B23243" s="2" t="str">
        <f>IFERROR(__xludf.DUMMYFUNCTION("GOOGLETRANSLATE(A23243, ""de"", ""en"")"),"ecstasy")</f>
        <v>ecstasy</v>
      </c>
    </row>
    <row r="23244">
      <c r="A23244" s="1" t="s">
        <v>23243</v>
      </c>
      <c r="B23244" s="2" t="str">
        <f>IFERROR(__xludf.DUMMYFUNCTION("GOOGLETRANSLATE(A23244, ""de"", ""en"")"),"caterpillar")</f>
        <v>caterpillar</v>
      </c>
    </row>
    <row r="23245">
      <c r="A23245" s="1" t="s">
        <v>23244</v>
      </c>
      <c r="B23245" s="2" t="str">
        <f>IFERROR(__xludf.DUMMYFUNCTION("GOOGLETRANSLATE(A23245, ""de"", ""en"")"),"kruger")</f>
        <v>kruger</v>
      </c>
    </row>
    <row r="23246">
      <c r="A23246" s="1" t="s">
        <v>23245</v>
      </c>
      <c r="B23246" s="2" t="str">
        <f>IFERROR(__xludf.DUMMYFUNCTION("GOOGLETRANSLATE(A23246, ""de"", ""en"")"),"gate")</f>
        <v>gate</v>
      </c>
    </row>
    <row r="23247">
      <c r="A23247" s="1" t="s">
        <v>23246</v>
      </c>
      <c r="B23247" s="2" t="str">
        <f>IFERROR(__xludf.DUMMYFUNCTION("GOOGLETRANSLATE(A23247, ""de"", ""en"")"),"rewrite")</f>
        <v>rewrite</v>
      </c>
    </row>
    <row r="23248">
      <c r="A23248" s="1" t="s">
        <v>23247</v>
      </c>
      <c r="B23248" s="2" t="str">
        <f>IFERROR(__xludf.DUMMYFUNCTION("GOOGLETRANSLATE(A23248, ""de"", ""en"")"),"head")</f>
        <v>head</v>
      </c>
    </row>
    <row r="23249">
      <c r="A23249" s="1" t="s">
        <v>23248</v>
      </c>
      <c r="B23249" s="2" t="str">
        <f>IFERROR(__xludf.DUMMYFUNCTION("GOOGLETRANSLATE(A23249, ""de"", ""en"")"),"taylors")</f>
        <v>taylors</v>
      </c>
    </row>
    <row r="23250">
      <c r="A23250" s="1" t="s">
        <v>23249</v>
      </c>
      <c r="B23250" s="2" t="str">
        <f>IFERROR(__xludf.DUMMYFUNCTION("GOOGLETRANSLATE(A23250, ""de"", ""en"")"),"ghastly")</f>
        <v>ghastly</v>
      </c>
    </row>
    <row r="23251">
      <c r="A23251" s="1" t="s">
        <v>23250</v>
      </c>
      <c r="B23251" s="2" t="str">
        <f>IFERROR(__xludf.DUMMYFUNCTION("GOOGLETRANSLATE(A23251, ""de"", ""en"")"),"shrimp")</f>
        <v>shrimp</v>
      </c>
    </row>
    <row r="23252">
      <c r="A23252" s="1" t="s">
        <v>23251</v>
      </c>
      <c r="B23252" s="2" t="str">
        <f>IFERROR(__xludf.DUMMYFUNCTION("GOOGLETRANSLATE(A23252, ""de"", ""en"")"),"Chechnya")</f>
        <v>Chechnya</v>
      </c>
    </row>
    <row r="23253">
      <c r="A23253" s="1" t="s">
        <v>23252</v>
      </c>
      <c r="B23253" s="2" t="str">
        <f>IFERROR(__xludf.DUMMYFUNCTION("GOOGLETRANSLATE(A23253, ""de"", ""en"")"),"put back")</f>
        <v>put back</v>
      </c>
    </row>
    <row r="23254">
      <c r="A23254" s="1" t="s">
        <v>23253</v>
      </c>
      <c r="B23254" s="2" t="str">
        <f>IFERROR(__xludf.DUMMYFUNCTION("GOOGLETRANSLATE(A23254, ""de"", ""en"")"),"stuff")</f>
        <v>stuff</v>
      </c>
    </row>
    <row r="23255">
      <c r="A23255" s="1" t="s">
        <v>23254</v>
      </c>
      <c r="B23255" s="2" t="str">
        <f>IFERROR(__xludf.DUMMYFUNCTION("GOOGLETRANSLATE(A23255, ""de"", ""en"")"),"appropriate")</f>
        <v>appropriate</v>
      </c>
    </row>
    <row r="23256">
      <c r="A23256" s="1" t="s">
        <v>23255</v>
      </c>
      <c r="B23256" s="2" t="str">
        <f>IFERROR(__xludf.DUMMYFUNCTION("GOOGLETRANSLATE(A23256, ""de"", ""en"")"),"pierced")</f>
        <v>pierced</v>
      </c>
    </row>
    <row r="23257">
      <c r="A23257" s="1" t="s">
        <v>23256</v>
      </c>
      <c r="B23257" s="2" t="str">
        <f>IFERROR(__xludf.DUMMYFUNCTION("GOOGLETRANSLATE(A23257, ""de"", ""en"")"),"facial")</f>
        <v>facial</v>
      </c>
    </row>
    <row r="23258">
      <c r="A23258" s="1" t="s">
        <v>23257</v>
      </c>
      <c r="B23258" s="2" t="str">
        <f>IFERROR(__xludf.DUMMYFUNCTION("GOOGLETRANSLATE(A23258, ""de"", ""en"")"),"strict")</f>
        <v>strict</v>
      </c>
    </row>
    <row r="23259">
      <c r="A23259" s="1" t="s">
        <v>23258</v>
      </c>
      <c r="B23259" s="2" t="str">
        <f>IFERROR(__xludf.DUMMYFUNCTION("GOOGLETRANSLATE(A23259, ""de"", ""en"")"),"drives")</f>
        <v>drives</v>
      </c>
    </row>
    <row r="23260">
      <c r="A23260" s="1" t="s">
        <v>23259</v>
      </c>
      <c r="B23260" s="2" t="str">
        <f>IFERROR(__xludf.DUMMYFUNCTION("GOOGLETRANSLATE(A23260, ""de"", ""en"")"),"beep")</f>
        <v>beep</v>
      </c>
    </row>
    <row r="23261">
      <c r="A23261" s="1" t="s">
        <v>23260</v>
      </c>
      <c r="B23261" s="2" t="str">
        <f>IFERROR(__xludf.DUMMYFUNCTION("GOOGLETRANSLATE(A23261, ""de"", ""en"")"),"chicken coop")</f>
        <v>chicken coop</v>
      </c>
    </row>
    <row r="23262">
      <c r="A23262" s="1" t="s">
        <v>23261</v>
      </c>
      <c r="B23262" s="2" t="str">
        <f>IFERROR(__xludf.DUMMYFUNCTION("GOOGLETRANSLATE(A23262, ""de"", ""en"")"),"scarlet")</f>
        <v>scarlet</v>
      </c>
    </row>
    <row r="23263">
      <c r="A23263" s="1" t="s">
        <v>23262</v>
      </c>
      <c r="B23263" s="2" t="str">
        <f>IFERROR(__xludf.DUMMYFUNCTION("GOOGLETRANSLATE(A23263, ""de"", ""en"")"),"receive")</f>
        <v>receive</v>
      </c>
    </row>
    <row r="23264">
      <c r="A23264" s="1" t="s">
        <v>23263</v>
      </c>
      <c r="B23264" s="2" t="str">
        <f>IFERROR(__xludf.DUMMYFUNCTION("GOOGLETRANSLATE(A23264, ""de"", ""en"")"),"silken")</f>
        <v>silken</v>
      </c>
    </row>
    <row r="23265">
      <c r="A23265" s="1" t="s">
        <v>23264</v>
      </c>
      <c r="B23265" s="2" t="str">
        <f>IFERROR(__xludf.DUMMYFUNCTION("GOOGLETRANSLATE(A23265, ""de"", ""en"")"),"brought here")</f>
        <v>brought here</v>
      </c>
    </row>
    <row r="23266">
      <c r="A23266" s="1" t="s">
        <v>23265</v>
      </c>
      <c r="B23266" s="2" t="str">
        <f>IFERROR(__xludf.DUMMYFUNCTION("GOOGLETRANSLATE(A23266, ""de"", ""en"")"),"kevins")</f>
        <v>kevins</v>
      </c>
    </row>
    <row r="23267">
      <c r="A23267" s="1" t="s">
        <v>23266</v>
      </c>
      <c r="B23267" s="2" t="str">
        <f>IFERROR(__xludf.DUMMYFUNCTION("GOOGLETRANSLATE(A23267, ""de"", ""en"")"),"peel")</f>
        <v>peel</v>
      </c>
    </row>
    <row r="23268">
      <c r="A23268" s="1" t="s">
        <v>23267</v>
      </c>
      <c r="B23268" s="2" t="str">
        <f>IFERROR(__xludf.DUMMYFUNCTION("GOOGLETRANSLATE(A23268, ""de"", ""en"")"),"prosecutor")</f>
        <v>prosecutor</v>
      </c>
    </row>
    <row r="23269">
      <c r="A23269" s="1" t="s">
        <v>23268</v>
      </c>
      <c r="B23269" s="2" t="str">
        <f>IFERROR(__xludf.DUMMYFUNCTION("GOOGLETRANSLATE(A23269, ""de"", ""en"")"),"rap")</f>
        <v>rap</v>
      </c>
    </row>
    <row r="23270">
      <c r="A23270" s="1" t="s">
        <v>23269</v>
      </c>
      <c r="B23270" s="2" t="str">
        <f>IFERROR(__xludf.DUMMYFUNCTION("GOOGLETRANSLATE(A23270, ""de"", ""en"")"),"cholesterol")</f>
        <v>cholesterol</v>
      </c>
    </row>
    <row r="23271">
      <c r="A23271" s="1" t="s">
        <v>23270</v>
      </c>
      <c r="B23271" s="2" t="str">
        <f>IFERROR(__xludf.DUMMYFUNCTION("GOOGLETRANSLATE(A23271, ""de"", ""en"")"),"fucking")</f>
        <v>fucking</v>
      </c>
    </row>
    <row r="23272">
      <c r="A23272" s="1" t="s">
        <v>23271</v>
      </c>
      <c r="B23272" s="2" t="str">
        <f>IFERROR(__xludf.DUMMYFUNCTION("GOOGLETRANSLATE(A23272, ""de"", ""en"")"),"filthy rich")</f>
        <v>filthy rich</v>
      </c>
    </row>
    <row r="23273">
      <c r="A23273" s="1" t="s">
        <v>23272</v>
      </c>
      <c r="B23273" s="2" t="str">
        <f>IFERROR(__xludf.DUMMYFUNCTION("GOOGLETRANSLATE(A23273, ""de"", ""en"")"),"rover")</f>
        <v>rover</v>
      </c>
    </row>
    <row r="23274">
      <c r="A23274" s="1" t="s">
        <v>23273</v>
      </c>
      <c r="B23274" s="2" t="str">
        <f>IFERROR(__xludf.DUMMYFUNCTION("GOOGLETRANSLATE(A23274, ""de"", ""en"")"),"anka")</f>
        <v>anka</v>
      </c>
    </row>
    <row r="23275">
      <c r="A23275" s="1" t="s">
        <v>23274</v>
      </c>
      <c r="B23275" s="2" t="str">
        <f>IFERROR(__xludf.DUMMYFUNCTION("GOOGLETRANSLATE(A23275, ""de"", ""en"")"),"nope")</f>
        <v>nope</v>
      </c>
    </row>
    <row r="23276">
      <c r="A23276" s="1" t="s">
        <v>23275</v>
      </c>
      <c r="B23276" s="2" t="str">
        <f>IFERROR(__xludf.DUMMYFUNCTION("GOOGLETRANSLATE(A23276, ""de"", ""en"")"),"attend")</f>
        <v>attend</v>
      </c>
    </row>
    <row r="23277">
      <c r="A23277" s="1" t="s">
        <v>23276</v>
      </c>
      <c r="B23277" s="2" t="str">
        <f>IFERROR(__xludf.DUMMYFUNCTION("GOOGLETRANSLATE(A23277, ""de"", ""en"")"),"earthly")</f>
        <v>earthly</v>
      </c>
    </row>
    <row r="23278">
      <c r="A23278" s="1" t="s">
        <v>23277</v>
      </c>
      <c r="B23278" s="2" t="str">
        <f>IFERROR(__xludf.DUMMYFUNCTION("GOOGLETRANSLATE(A23278, ""de"", ""en"")"),"dent")</f>
        <v>dent</v>
      </c>
    </row>
    <row r="23279">
      <c r="A23279" s="1" t="s">
        <v>23278</v>
      </c>
      <c r="B23279" s="2" t="str">
        <f>IFERROR(__xludf.DUMMYFUNCTION("GOOGLETRANSLATE(A23279, ""de"", ""en"")"),"riots")</f>
        <v>riots</v>
      </c>
    </row>
    <row r="23280">
      <c r="A23280" s="1" t="s">
        <v>23279</v>
      </c>
      <c r="B23280" s="2" t="str">
        <f>IFERROR(__xludf.DUMMYFUNCTION("GOOGLETRANSLATE(A23280, ""de"", ""en"")"),"delores")</f>
        <v>delores</v>
      </c>
    </row>
    <row r="23281">
      <c r="A23281" s="1" t="s">
        <v>23280</v>
      </c>
      <c r="B23281" s="2" t="str">
        <f>IFERROR(__xludf.DUMMYFUNCTION("GOOGLETRANSLATE(A23281, ""de"", ""en"")"),"fanfare")</f>
        <v>fanfare</v>
      </c>
    </row>
    <row r="23282">
      <c r="A23282" s="1" t="s">
        <v>23281</v>
      </c>
      <c r="B23282" s="2" t="str">
        <f>IFERROR(__xludf.DUMMYFUNCTION("GOOGLETRANSLATE(A23282, ""de"", ""en"")"),"skyscraper")</f>
        <v>skyscraper</v>
      </c>
    </row>
    <row r="23283">
      <c r="A23283" s="1" t="s">
        <v>23282</v>
      </c>
      <c r="B23283" s="2" t="str">
        <f>IFERROR(__xludf.DUMMYFUNCTION("GOOGLETRANSLATE(A23283, ""de"", ""en"")"),"peacock")</f>
        <v>peacock</v>
      </c>
    </row>
    <row r="23284">
      <c r="A23284" s="1" t="s">
        <v>23283</v>
      </c>
      <c r="B23284" s="2" t="str">
        <f>IFERROR(__xludf.DUMMYFUNCTION("GOOGLETRANSLATE(A23284, ""de"", ""en"")"),"Scottish")</f>
        <v>Scottish</v>
      </c>
    </row>
    <row r="23285">
      <c r="A23285" s="1" t="s">
        <v>23284</v>
      </c>
      <c r="B23285" s="2" t="str">
        <f>IFERROR(__xludf.DUMMYFUNCTION("GOOGLETRANSLATE(A23285, ""de"", ""en"")"),"Nashville")</f>
        <v>Nashville</v>
      </c>
    </row>
    <row r="23286">
      <c r="A23286" s="1" t="s">
        <v>23285</v>
      </c>
      <c r="B23286" s="2" t="str">
        <f>IFERROR(__xludf.DUMMYFUNCTION("GOOGLETRANSLATE(A23286, ""de"", ""en"")"),"Keaton")</f>
        <v>Keaton</v>
      </c>
    </row>
    <row r="23287">
      <c r="A23287" s="1" t="s">
        <v>23286</v>
      </c>
      <c r="B23287" s="2" t="str">
        <f>IFERROR(__xludf.DUMMYFUNCTION("GOOGLETRANSLATE(A23287, ""de"", ""en"")"),"parquet")</f>
        <v>parquet</v>
      </c>
    </row>
    <row r="23288">
      <c r="A23288" s="1" t="s">
        <v>23287</v>
      </c>
      <c r="B23288" s="2" t="str">
        <f>IFERROR(__xludf.DUMMYFUNCTION("GOOGLETRANSLATE(A23288, ""de"", ""en"")"),"threatened")</f>
        <v>threatened</v>
      </c>
    </row>
    <row r="23289">
      <c r="A23289" s="1" t="s">
        <v>23288</v>
      </c>
      <c r="B23289" s="2" t="str">
        <f>IFERROR(__xludf.DUMMYFUNCTION("GOOGLETRANSLATE(A23289, ""de"", ""en"")"),"snatched")</f>
        <v>snatched</v>
      </c>
    </row>
    <row r="23290">
      <c r="A23290" s="1" t="s">
        <v>23289</v>
      </c>
      <c r="B23290" s="2" t="str">
        <f>IFERROR(__xludf.DUMMYFUNCTION("GOOGLETRANSLATE(A23290, ""de"", ""en"")"),"assign")</f>
        <v>assign</v>
      </c>
    </row>
    <row r="23291">
      <c r="A23291" s="1" t="s">
        <v>23290</v>
      </c>
      <c r="B23291" s="2" t="str">
        <f>IFERROR(__xludf.DUMMYFUNCTION("GOOGLETRANSLATE(A23291, ""de"", ""en"")"),"mothra")</f>
        <v>mothra</v>
      </c>
    </row>
    <row r="23292">
      <c r="A23292" s="1" t="s">
        <v>23291</v>
      </c>
      <c r="B23292" s="2" t="str">
        <f>IFERROR(__xludf.DUMMYFUNCTION("GOOGLETRANSLATE(A23292, ""de"", ""en"")"),"communities")</f>
        <v>communities</v>
      </c>
    </row>
    <row r="23293">
      <c r="A23293" s="1" t="s">
        <v>23292</v>
      </c>
      <c r="B23293" s="2" t="str">
        <f>IFERROR(__xludf.DUMMYFUNCTION("GOOGLETRANSLATE(A23293, ""de"", ""en"")"),"help out")</f>
        <v>help out</v>
      </c>
    </row>
    <row r="23294">
      <c r="A23294" s="1" t="s">
        <v>23293</v>
      </c>
      <c r="B23294" s="2" t="str">
        <f>IFERROR(__xludf.DUMMYFUNCTION("GOOGLETRANSLATE(A23294, ""de"", ""en"")"),"top speed")</f>
        <v>top speed</v>
      </c>
    </row>
    <row r="23295">
      <c r="A23295" s="1" t="s">
        <v>23294</v>
      </c>
      <c r="B23295" s="2" t="str">
        <f>IFERROR(__xludf.DUMMYFUNCTION("GOOGLETRANSLATE(A23295, ""de"", ""en"")"),"martial law")</f>
        <v>martial law</v>
      </c>
    </row>
    <row r="23296">
      <c r="A23296" s="1" t="s">
        <v>23295</v>
      </c>
      <c r="B23296" s="2" t="str">
        <f>IFERROR(__xludf.DUMMYFUNCTION("GOOGLETRANSLATE(A23296, ""de"", ""en"")"),"police protection")</f>
        <v>police protection</v>
      </c>
    </row>
    <row r="23297">
      <c r="A23297" s="1" t="s">
        <v>23296</v>
      </c>
      <c r="B23297" s="2" t="str">
        <f>IFERROR(__xludf.DUMMYFUNCTION("GOOGLETRANSLATE(A23297, ""de"", ""en"")"),"grizzly")</f>
        <v>grizzly</v>
      </c>
    </row>
    <row r="23298">
      <c r="A23298" s="1" t="s">
        <v>23297</v>
      </c>
      <c r="B23298" s="2" t="str">
        <f>IFERROR(__xludf.DUMMYFUNCTION("GOOGLETRANSLATE(A23298, ""de"", ""en"")"),"foretaste")</f>
        <v>foretaste</v>
      </c>
    </row>
    <row r="23299">
      <c r="A23299" s="1" t="s">
        <v>23298</v>
      </c>
      <c r="B23299" s="2" t="str">
        <f>IFERROR(__xludf.DUMMYFUNCTION("GOOGLETRANSLATE(A23299, ""de"", ""en"")"),"body part")</f>
        <v>body part</v>
      </c>
    </row>
    <row r="23300">
      <c r="A23300" s="1" t="s">
        <v>23299</v>
      </c>
      <c r="B23300" s="2" t="str">
        <f>IFERROR(__xludf.DUMMYFUNCTION("GOOGLETRANSLATE(A23300, ""de"", ""en"")"),"asparagus")</f>
        <v>asparagus</v>
      </c>
    </row>
    <row r="23301">
      <c r="A23301" s="1" t="s">
        <v>23300</v>
      </c>
      <c r="B23301" s="2" t="str">
        <f>IFERROR(__xludf.DUMMYFUNCTION("GOOGLETRANSLATE(A23301, ""de"", ""en"")"),"police car")</f>
        <v>police car</v>
      </c>
    </row>
    <row r="23302">
      <c r="A23302" s="1" t="s">
        <v>23301</v>
      </c>
      <c r="B23302" s="2" t="str">
        <f>IFERROR(__xludf.DUMMYFUNCTION("GOOGLETRANSLATE(A23302, ""de"", ""en"")"),"smithers")</f>
        <v>smithers</v>
      </c>
    </row>
    <row r="23303">
      <c r="A23303" s="1" t="s">
        <v>23302</v>
      </c>
      <c r="B23303" s="2" t="str">
        <f>IFERROR(__xludf.DUMMYFUNCTION("GOOGLETRANSLATE(A23303, ""de"", ""en"")"),"schoolyard")</f>
        <v>schoolyard</v>
      </c>
    </row>
    <row r="23304">
      <c r="A23304" s="1" t="s">
        <v>23303</v>
      </c>
      <c r="B23304" s="2" t="str">
        <f>IFERROR(__xludf.DUMMYFUNCTION("GOOGLETRANSLATE(A23304, ""de"", ""en"")"),"does")</f>
        <v>does</v>
      </c>
    </row>
    <row r="23305">
      <c r="A23305" s="1" t="s">
        <v>23304</v>
      </c>
      <c r="B23305" s="2" t="str">
        <f>IFERROR(__xludf.DUMMYFUNCTION("GOOGLETRANSLATE(A23305, ""de"", ""en"")"),"loaded")</f>
        <v>loaded</v>
      </c>
    </row>
    <row r="23306">
      <c r="A23306" s="1" t="s">
        <v>23305</v>
      </c>
      <c r="B23306" s="2" t="str">
        <f>IFERROR(__xludf.DUMMYFUNCTION("GOOGLETRANSLATE(A23306, ""de"", ""en"")"),"nervousness")</f>
        <v>nervousness</v>
      </c>
    </row>
    <row r="23307">
      <c r="A23307" s="1" t="s">
        <v>23306</v>
      </c>
      <c r="B23307" s="2" t="str">
        <f>IFERROR(__xludf.DUMMYFUNCTION("GOOGLETRANSLATE(A23307, ""de"", ""en"")"),"bends")</f>
        <v>bends</v>
      </c>
    </row>
    <row r="23308">
      <c r="A23308" s="1" t="s">
        <v>23307</v>
      </c>
      <c r="B23308" s="2" t="str">
        <f>IFERROR(__xludf.DUMMYFUNCTION("GOOGLETRANSLATE(A23308, ""de"", ""en"")"),"Patrice")</f>
        <v>Patrice</v>
      </c>
    </row>
    <row r="23309">
      <c r="A23309" s="1" t="s">
        <v>23308</v>
      </c>
      <c r="B23309" s="2" t="str">
        <f>IFERROR(__xludf.DUMMYFUNCTION("GOOGLETRANSLATE(A23309, ""de"", ""en"")"),"mommies")</f>
        <v>mommies</v>
      </c>
    </row>
    <row r="23310">
      <c r="A23310" s="1" t="s">
        <v>23309</v>
      </c>
      <c r="B23310" s="2" t="str">
        <f>IFERROR(__xludf.DUMMYFUNCTION("GOOGLETRANSLATE(A23310, ""de"", ""en"")"),"swells")</f>
        <v>swells</v>
      </c>
    </row>
    <row r="23311">
      <c r="A23311" s="1" t="s">
        <v>23310</v>
      </c>
      <c r="B23311" s="2" t="str">
        <f>IFERROR(__xludf.DUMMYFUNCTION("GOOGLETRANSLATE(A23311, ""de"", ""en"")"),"room")</f>
        <v>room</v>
      </c>
    </row>
    <row r="23312">
      <c r="A23312" s="1" t="s">
        <v>23311</v>
      </c>
      <c r="B23312" s="2" t="str">
        <f>IFERROR(__xludf.DUMMYFUNCTION("GOOGLETRANSLATE(A23312, ""de"", ""en"")"),"typical")</f>
        <v>typical</v>
      </c>
    </row>
    <row r="23313">
      <c r="A23313" s="1" t="s">
        <v>23312</v>
      </c>
      <c r="B23313" s="2" t="str">
        <f>IFERROR(__xludf.DUMMYFUNCTION("GOOGLETRANSLATE(A23313, ""de"", ""en"")"),"more beautiful")</f>
        <v>more beautiful</v>
      </c>
    </row>
    <row r="23314">
      <c r="A23314" s="1" t="s">
        <v>23313</v>
      </c>
      <c r="B23314" s="2" t="str">
        <f>IFERROR(__xludf.DUMMYFUNCTION("GOOGLETRANSLATE(A23314, ""de"", ""en"")"),"unnecessary")</f>
        <v>unnecessary</v>
      </c>
    </row>
    <row r="23315">
      <c r="A23315" s="1" t="s">
        <v>23314</v>
      </c>
      <c r="B23315" s="2" t="str">
        <f>IFERROR(__xludf.DUMMYFUNCTION("GOOGLETRANSLATE(A23315, ""de"", ""en"")"),"negotiated")</f>
        <v>negotiated</v>
      </c>
    </row>
    <row r="23316">
      <c r="A23316" s="1" t="s">
        <v>23315</v>
      </c>
      <c r="B23316" s="2" t="str">
        <f>IFERROR(__xludf.DUMMYFUNCTION("GOOGLETRANSLATE(A23316, ""de"", ""en"")"),"haunt")</f>
        <v>haunt</v>
      </c>
    </row>
    <row r="23317">
      <c r="A23317" s="1" t="s">
        <v>23316</v>
      </c>
      <c r="B23317" s="2" t="str">
        <f>IFERROR(__xludf.DUMMYFUNCTION("GOOGLETRANSLATE(A23317, ""de"", ""en"")"),"noble")</f>
        <v>noble</v>
      </c>
    </row>
    <row r="23318">
      <c r="A23318" s="1" t="s">
        <v>23317</v>
      </c>
      <c r="B23318" s="2" t="str">
        <f>IFERROR(__xludf.DUMMYFUNCTION("GOOGLETRANSLATE(A23318, ""de"", ""en"")"),"rattle")</f>
        <v>rattle</v>
      </c>
    </row>
    <row r="23319">
      <c r="A23319" s="1" t="s">
        <v>23318</v>
      </c>
      <c r="B23319" s="2" t="str">
        <f>IFERROR(__xludf.DUMMYFUNCTION("GOOGLETRANSLATE(A23319, ""de"", ""en"")"),"trained")</f>
        <v>trained</v>
      </c>
    </row>
    <row r="23320">
      <c r="A23320" s="1" t="s">
        <v>23319</v>
      </c>
      <c r="B23320" s="2" t="str">
        <f>IFERROR(__xludf.DUMMYFUNCTION("GOOGLETRANSLATE(A23320, ""de"", ""en"")"),"deserve")</f>
        <v>deserve</v>
      </c>
    </row>
    <row r="23321">
      <c r="A23321" s="1" t="s">
        <v>23320</v>
      </c>
      <c r="B23321" s="2" t="str">
        <f>IFERROR(__xludf.DUMMYFUNCTION("GOOGLETRANSLATE(A23321, ""de"", ""en"")"),"discrimination")</f>
        <v>discrimination</v>
      </c>
    </row>
    <row r="23322">
      <c r="A23322" s="1" t="s">
        <v>23321</v>
      </c>
      <c r="B23322" s="2" t="str">
        <f>IFERROR(__xludf.DUMMYFUNCTION("GOOGLETRANSLATE(A23322, ""de"", ""en"")"),"events")</f>
        <v>events</v>
      </c>
    </row>
    <row r="23323">
      <c r="A23323" s="1" t="s">
        <v>23322</v>
      </c>
      <c r="B23323" s="2" t="str">
        <f>IFERROR(__xludf.DUMMYFUNCTION("GOOGLETRANSLATE(A23323, ""de"", ""en"")"),"regulations")</f>
        <v>regulations</v>
      </c>
    </row>
    <row r="23324">
      <c r="A23324" s="1" t="s">
        <v>23323</v>
      </c>
      <c r="B23324" s="2" t="str">
        <f>IFERROR(__xludf.DUMMYFUNCTION("GOOGLETRANSLATE(A23324, ""de"", ""en"")"),"collect")</f>
        <v>collect</v>
      </c>
    </row>
    <row r="23325">
      <c r="A23325" s="1" t="s">
        <v>23324</v>
      </c>
      <c r="B23325" s="2" t="str">
        <f>IFERROR(__xludf.DUMMYFUNCTION("GOOGLETRANSLATE(A23325, ""de"", ""en"")"),"smuggling")</f>
        <v>smuggling</v>
      </c>
    </row>
    <row r="23326">
      <c r="A23326" s="1" t="s">
        <v>23325</v>
      </c>
      <c r="B23326" s="2" t="str">
        <f>IFERROR(__xludf.DUMMYFUNCTION("GOOGLETRANSLATE(A23326, ""de"", ""en"")"),"hydrogen")</f>
        <v>hydrogen</v>
      </c>
    </row>
    <row r="23327">
      <c r="A23327" s="1" t="s">
        <v>23326</v>
      </c>
      <c r="B23327" s="2" t="str">
        <f>IFERROR(__xludf.DUMMYFUNCTION("GOOGLETRANSLATE(A23327, ""de"", ""en"")"),"retro")</f>
        <v>retro</v>
      </c>
    </row>
    <row r="23328">
      <c r="A23328" s="1" t="s">
        <v>23327</v>
      </c>
      <c r="B23328" s="2" t="str">
        <f>IFERROR(__xludf.DUMMYFUNCTION("GOOGLETRANSLATE(A23328, ""de"", ""en"")"),"chief engineer")</f>
        <v>chief engineer</v>
      </c>
    </row>
    <row r="23329">
      <c r="A23329" s="1" t="s">
        <v>23328</v>
      </c>
      <c r="B23329" s="2" t="str">
        <f>IFERROR(__xludf.DUMMYFUNCTION("GOOGLETRANSLATE(A23329, ""de"", ""en"")"),"worse")</f>
        <v>worse</v>
      </c>
    </row>
    <row r="23330">
      <c r="A23330" s="1" t="s">
        <v>23329</v>
      </c>
      <c r="B23330" s="2" t="str">
        <f>IFERROR(__xludf.DUMMYFUNCTION("GOOGLETRANSLATE(A23330, ""de"", ""en"")"),"noelle")</f>
        <v>noelle</v>
      </c>
    </row>
    <row r="23331">
      <c r="A23331" s="1" t="s">
        <v>23330</v>
      </c>
      <c r="B23331" s="2" t="str">
        <f>IFERROR(__xludf.DUMMYFUNCTION("GOOGLETRANSLATE(A23331, ""de"", ""en"")"),"Starbase")</f>
        <v>Starbase</v>
      </c>
    </row>
    <row r="23332">
      <c r="A23332" s="1" t="s">
        <v>23331</v>
      </c>
      <c r="B23332" s="2" t="str">
        <f>IFERROR(__xludf.DUMMYFUNCTION("GOOGLETRANSLATE(A23332, ""de"", ""en"")"),"armory")</f>
        <v>armory</v>
      </c>
    </row>
    <row r="23333">
      <c r="A23333" s="1" t="s">
        <v>23332</v>
      </c>
      <c r="B23333" s="2" t="str">
        <f>IFERROR(__xludf.DUMMYFUNCTION("GOOGLETRANSLATE(A23333, ""de"", ""en"")"),"bent")</f>
        <v>bent</v>
      </c>
    </row>
    <row r="23334">
      <c r="A23334" s="1" t="s">
        <v>23333</v>
      </c>
      <c r="B23334" s="2" t="str">
        <f>IFERROR(__xludf.DUMMYFUNCTION("GOOGLETRANSLATE(A23334, ""de"", ""en"")"),"congressman")</f>
        <v>congressman</v>
      </c>
    </row>
    <row r="23335">
      <c r="A23335" s="1" t="s">
        <v>23334</v>
      </c>
      <c r="B23335" s="2" t="str">
        <f>IFERROR(__xludf.DUMMYFUNCTION("GOOGLETRANSLATE(A23335, ""de"", ""en"")"),"Apache")</f>
        <v>Apache</v>
      </c>
    </row>
    <row r="23336">
      <c r="A23336" s="1" t="s">
        <v>23335</v>
      </c>
      <c r="B23336" s="2" t="str">
        <f>IFERROR(__xludf.DUMMYFUNCTION("GOOGLETRANSLATE(A23336, ""de"", ""en"")"),"contacted")</f>
        <v>contacted</v>
      </c>
    </row>
    <row r="23337">
      <c r="A23337" s="1" t="s">
        <v>23336</v>
      </c>
      <c r="B23337" s="2" t="str">
        <f>IFERROR(__xludf.DUMMYFUNCTION("GOOGLETRANSLATE(A23337, ""de"", ""en"")"),"submarines")</f>
        <v>submarines</v>
      </c>
    </row>
    <row r="23338">
      <c r="A23338" s="1" t="s">
        <v>23337</v>
      </c>
      <c r="B23338" s="2" t="str">
        <f>IFERROR(__xludf.DUMMYFUNCTION("GOOGLETRANSLATE(A23338, ""de"", ""en"")"),"jump off")</f>
        <v>jump off</v>
      </c>
    </row>
    <row r="23339">
      <c r="A23339" s="1" t="s">
        <v>23338</v>
      </c>
      <c r="B23339" s="2" t="str">
        <f>IFERROR(__xludf.DUMMYFUNCTION("GOOGLETRANSLATE(A23339, ""de"", ""en"")"),"obnoxious")</f>
        <v>obnoxious</v>
      </c>
    </row>
    <row r="23340">
      <c r="A23340" s="1" t="s">
        <v>23339</v>
      </c>
      <c r="B23340" s="2" t="str">
        <f>IFERROR(__xludf.DUMMYFUNCTION("GOOGLETRANSLATE(A23340, ""de"", ""en"")"),"marked")</f>
        <v>marked</v>
      </c>
    </row>
    <row r="23341">
      <c r="A23341" s="1" t="s">
        <v>23340</v>
      </c>
      <c r="B23341" s="2" t="str">
        <f>IFERROR(__xludf.DUMMYFUNCTION("GOOGLETRANSLATE(A23341, ""de"", ""en"")"),"chews")</f>
        <v>chews</v>
      </c>
    </row>
    <row r="23342">
      <c r="A23342" s="1" t="s">
        <v>23341</v>
      </c>
      <c r="B23342" s="2" t="str">
        <f>IFERROR(__xludf.DUMMYFUNCTION("GOOGLETRANSLATE(A23342, ""de"", ""en"")"),"unit")</f>
        <v>unit</v>
      </c>
    </row>
    <row r="23343">
      <c r="A23343" s="1" t="s">
        <v>23342</v>
      </c>
      <c r="B23343" s="2" t="str">
        <f>IFERROR(__xludf.DUMMYFUNCTION("GOOGLETRANSLATE(A23343, ""de"", ""en"")"),"detachment")</f>
        <v>detachment</v>
      </c>
    </row>
    <row r="23344">
      <c r="A23344" s="1" t="s">
        <v>23343</v>
      </c>
      <c r="B23344" s="2" t="str">
        <f>IFERROR(__xludf.DUMMYFUNCTION("GOOGLETRANSLATE(A23344, ""de"", ""en"")"),"hurtful")</f>
        <v>hurtful</v>
      </c>
    </row>
    <row r="23345">
      <c r="A23345" s="1" t="s">
        <v>23344</v>
      </c>
      <c r="B23345" s="2" t="str">
        <f>IFERROR(__xludf.DUMMYFUNCTION("GOOGLETRANSLATE(A23345, ""de"", ""en"")"),"hombre")</f>
        <v>hombre</v>
      </c>
    </row>
    <row r="23346">
      <c r="A23346" s="1" t="s">
        <v>23345</v>
      </c>
      <c r="B23346" s="2" t="str">
        <f>IFERROR(__xludf.DUMMYFUNCTION("GOOGLETRANSLATE(A23346, ""de"", ""en"")"),"abs")</f>
        <v>abs</v>
      </c>
    </row>
    <row r="23347">
      <c r="A23347" s="1" t="s">
        <v>23346</v>
      </c>
      <c r="B23347" s="2" t="str">
        <f>IFERROR(__xludf.DUMMYFUNCTION("GOOGLETRANSLATE(A23347, ""de"", ""en"")"),"commodore")</f>
        <v>commodore</v>
      </c>
    </row>
    <row r="23348">
      <c r="A23348" s="1" t="s">
        <v>23347</v>
      </c>
      <c r="B23348" s="2" t="str">
        <f>IFERROR(__xludf.DUMMYFUNCTION("GOOGLETRANSLATE(A23348, ""de"", ""en"")"),"tunnel")</f>
        <v>tunnel</v>
      </c>
    </row>
    <row r="23349">
      <c r="A23349" s="1" t="s">
        <v>23348</v>
      </c>
      <c r="B23349" s="2" t="str">
        <f>IFERROR(__xludf.DUMMYFUNCTION("GOOGLETRANSLATE(A23349, ""de"", ""en"")"),"crab")</f>
        <v>crab</v>
      </c>
    </row>
    <row r="23350">
      <c r="A23350" s="1" t="s">
        <v>23349</v>
      </c>
      <c r="B23350" s="2" t="str">
        <f>IFERROR(__xludf.DUMMYFUNCTION("GOOGLETRANSLATE(A23350, ""de"", ""en"")"),"surveys")</f>
        <v>surveys</v>
      </c>
    </row>
    <row r="23351">
      <c r="A23351" s="1" t="s">
        <v>23350</v>
      </c>
      <c r="B23351" s="2" t="str">
        <f>IFERROR(__xludf.DUMMYFUNCTION("GOOGLETRANSLATE(A23351, ""de"", ""en"")"),"prison camp")</f>
        <v>prison camp</v>
      </c>
    </row>
    <row r="23352">
      <c r="A23352" s="1" t="s">
        <v>23351</v>
      </c>
      <c r="B23352" s="2" t="str">
        <f>IFERROR(__xludf.DUMMYFUNCTION("GOOGLETRANSLATE(A23352, ""de"", ""en"")"),"Masha")</f>
        <v>Masha</v>
      </c>
    </row>
    <row r="23353">
      <c r="A23353" s="1" t="s">
        <v>23352</v>
      </c>
      <c r="B23353" s="2" t="str">
        <f>IFERROR(__xludf.DUMMYFUNCTION("GOOGLETRANSLATE(A23353, ""de"", ""en"")"),"may")</f>
        <v>may</v>
      </c>
    </row>
    <row r="23354">
      <c r="A23354" s="1" t="s">
        <v>23353</v>
      </c>
      <c r="B23354" s="2" t="str">
        <f>IFERROR(__xludf.DUMMYFUNCTION("GOOGLETRANSLATE(A23354, ""de"", ""en"")"),"ambushed")</f>
        <v>ambushed</v>
      </c>
    </row>
    <row r="23355">
      <c r="A23355" s="1" t="s">
        <v>23354</v>
      </c>
      <c r="B23355" s="2" t="str">
        <f>IFERROR(__xludf.DUMMYFUNCTION("GOOGLETRANSLATE(A23355, ""de"", ""en"")"),"nerys")</f>
        <v>nerys</v>
      </c>
    </row>
    <row r="23356">
      <c r="A23356" s="1" t="s">
        <v>23355</v>
      </c>
      <c r="B23356" s="2" t="str">
        <f>IFERROR(__xludf.DUMMYFUNCTION("GOOGLETRANSLATE(A23356, ""de"", ""en"")"),"Schulz")</f>
        <v>Schulz</v>
      </c>
    </row>
    <row r="23357">
      <c r="A23357" s="1" t="s">
        <v>23356</v>
      </c>
      <c r="B23357" s="2" t="str">
        <f>IFERROR(__xludf.DUMMYFUNCTION("GOOGLETRANSLATE(A23357, ""de"", ""en"")"),"indian")</f>
        <v>indian</v>
      </c>
    </row>
    <row r="23358">
      <c r="A23358" s="1" t="s">
        <v>23357</v>
      </c>
      <c r="B23358" s="2" t="str">
        <f>IFERROR(__xludf.DUMMYFUNCTION("GOOGLETRANSLATE(A23358, ""de"", ""en"")"),"herzogs")</f>
        <v>herzogs</v>
      </c>
    </row>
    <row r="23359">
      <c r="A23359" s="1" t="s">
        <v>23358</v>
      </c>
      <c r="B23359" s="2" t="str">
        <f>IFERROR(__xludf.DUMMYFUNCTION("GOOGLETRANSLATE(A23359, ""de"", ""en"")"),"scared away")</f>
        <v>scared away</v>
      </c>
    </row>
    <row r="23360">
      <c r="A23360" s="1" t="s">
        <v>23359</v>
      </c>
      <c r="B23360" s="2" t="str">
        <f>IFERROR(__xludf.DUMMYFUNCTION("GOOGLETRANSLATE(A23360, ""de"", ""en"")"),"Martians")</f>
        <v>Martians</v>
      </c>
    </row>
    <row r="23361">
      <c r="A23361" s="1" t="s">
        <v>23360</v>
      </c>
      <c r="B23361" s="2" t="str">
        <f>IFERROR(__xludf.DUMMYFUNCTION("GOOGLETRANSLATE(A23361, ""de"", ""en"")"),"flush")</f>
        <v>flush</v>
      </c>
    </row>
    <row r="23362">
      <c r="A23362" s="1" t="s">
        <v>23361</v>
      </c>
      <c r="B23362" s="2" t="str">
        <f>IFERROR(__xludf.DUMMYFUNCTION("GOOGLETRANSLATE(A23362, ""de"", ""en"")"),"market")</f>
        <v>market</v>
      </c>
    </row>
    <row r="23363">
      <c r="A23363" s="1" t="s">
        <v>23362</v>
      </c>
      <c r="B23363" s="2" t="str">
        <f>IFERROR(__xludf.DUMMYFUNCTION("GOOGLETRANSLATE(A23363, ""de"", ""en"")"),"checked")</f>
        <v>checked</v>
      </c>
    </row>
    <row r="23364">
      <c r="A23364" s="1" t="s">
        <v>23363</v>
      </c>
      <c r="B23364" s="2" t="str">
        <f>IFERROR(__xludf.DUMMYFUNCTION("GOOGLETRANSLATE(A23364, ""de"", ""en"")"),"bit")</f>
        <v>bit</v>
      </c>
    </row>
    <row r="23365">
      <c r="A23365" s="1" t="s">
        <v>23364</v>
      </c>
      <c r="B23365" s="2" t="str">
        <f>IFERROR(__xludf.DUMMYFUNCTION("GOOGLETRANSLATE(A23365, ""de"", ""en"")"),"celebratory")</f>
        <v>celebratory</v>
      </c>
    </row>
    <row r="23366">
      <c r="A23366" s="1" t="s">
        <v>23365</v>
      </c>
      <c r="B23366" s="2" t="str">
        <f>IFERROR(__xludf.DUMMYFUNCTION("GOOGLETRANSLATE(A23366, ""de"", ""en"")"),"endgame")</f>
        <v>endgame</v>
      </c>
    </row>
    <row r="23367">
      <c r="A23367" s="1" t="s">
        <v>23366</v>
      </c>
      <c r="B23367" s="2" t="str">
        <f>IFERROR(__xludf.DUMMYFUNCTION("GOOGLETRANSLATE(A23367, ""de"", ""en"")"),"marauder")</f>
        <v>marauder</v>
      </c>
    </row>
    <row r="23368">
      <c r="A23368" s="1" t="s">
        <v>23367</v>
      </c>
      <c r="B23368" s="2" t="str">
        <f>IFERROR(__xludf.DUMMYFUNCTION("GOOGLETRANSLATE(A23368, ""de"", ""en"")"),"abrasion")</f>
        <v>abrasion</v>
      </c>
    </row>
    <row r="23369">
      <c r="A23369" s="1" t="s">
        <v>23368</v>
      </c>
      <c r="B23369" s="2" t="str">
        <f>IFERROR(__xludf.DUMMYFUNCTION("GOOGLETRANSLATE(A23369, ""de"", ""en"")"),"filming")</f>
        <v>filming</v>
      </c>
    </row>
    <row r="23370">
      <c r="A23370" s="1" t="s">
        <v>23369</v>
      </c>
      <c r="B23370" s="2" t="str">
        <f>IFERROR(__xludf.DUMMYFUNCTION("GOOGLETRANSLATE(A23370, ""de"", ""en"")"),"fairchild")</f>
        <v>fairchild</v>
      </c>
    </row>
    <row r="23371">
      <c r="A23371" s="1" t="s">
        <v>23370</v>
      </c>
      <c r="B23371" s="2" t="str">
        <f>IFERROR(__xludf.DUMMYFUNCTION("GOOGLETRANSLATE(A23371, ""de"", ""en"")"),"gandalf")</f>
        <v>gandalf</v>
      </c>
    </row>
    <row r="23372">
      <c r="A23372" s="1" t="s">
        <v>23371</v>
      </c>
      <c r="B23372" s="2" t="str">
        <f>IFERROR(__xludf.DUMMYFUNCTION("GOOGLETRANSLATE(A23372, ""de"", ""en"")"),"busy")</f>
        <v>busy</v>
      </c>
    </row>
    <row r="23373">
      <c r="A23373" s="1" t="s">
        <v>23372</v>
      </c>
      <c r="B23373" s="2" t="str">
        <f>IFERROR(__xludf.DUMMYFUNCTION("GOOGLETRANSLATE(A23373, ""de"", ""en"")"),"checked")</f>
        <v>checked</v>
      </c>
    </row>
    <row r="23374">
      <c r="A23374" s="1" t="s">
        <v>23373</v>
      </c>
      <c r="B23374" s="2" t="str">
        <f>IFERROR(__xludf.DUMMYFUNCTION("GOOGLETRANSLATE(A23374, ""de"", ""en"")"),"maskell")</f>
        <v>maskell</v>
      </c>
    </row>
    <row r="23375">
      <c r="A23375" s="1" t="s">
        <v>23374</v>
      </c>
      <c r="B23375" s="2" t="str">
        <f>IFERROR(__xludf.DUMMYFUNCTION("GOOGLETRANSLATE(A23375, ""de"", ""en"")"),"dawdle")</f>
        <v>dawdle</v>
      </c>
    </row>
    <row r="23376">
      <c r="A23376" s="1" t="s">
        <v>23375</v>
      </c>
      <c r="B23376" s="2" t="str">
        <f>IFERROR(__xludf.DUMMYFUNCTION("GOOGLETRANSLATE(A23376, ""de"", ""en"")"),"modern")</f>
        <v>modern</v>
      </c>
    </row>
    <row r="23377">
      <c r="A23377" s="1" t="s">
        <v>23376</v>
      </c>
      <c r="B23377" s="2" t="str">
        <f>IFERROR(__xludf.DUMMYFUNCTION("GOOGLETRANSLATE(A23377, ""de"", ""en"")"),"manual")</f>
        <v>manual</v>
      </c>
    </row>
    <row r="23378">
      <c r="A23378" s="1" t="s">
        <v>23377</v>
      </c>
      <c r="B23378" s="2" t="str">
        <f>IFERROR(__xludf.DUMMYFUNCTION("GOOGLETRANSLATE(A23378, ""de"", ""en"")"),"cut up")</f>
        <v>cut up</v>
      </c>
    </row>
    <row r="23379">
      <c r="A23379" s="1" t="s">
        <v>23378</v>
      </c>
      <c r="B23379" s="2" t="str">
        <f>IFERROR(__xludf.DUMMYFUNCTION("GOOGLETRANSLATE(A23379, ""de"", ""en"")"),"supple")</f>
        <v>supple</v>
      </c>
    </row>
    <row r="23380">
      <c r="A23380" s="1" t="s">
        <v>23379</v>
      </c>
      <c r="B23380" s="2" t="str">
        <f>IFERROR(__xludf.DUMMYFUNCTION("GOOGLETRANSLATE(A23380, ""de"", ""en"")"),"feet")</f>
        <v>feet</v>
      </c>
    </row>
    <row r="23381">
      <c r="A23381" s="1" t="s">
        <v>23380</v>
      </c>
      <c r="B23381" s="2" t="str">
        <f>IFERROR(__xludf.DUMMYFUNCTION("GOOGLETRANSLATE(A23381, ""de"", ""en"")"),"drinks")</f>
        <v>drinks</v>
      </c>
    </row>
    <row r="23382">
      <c r="A23382" s="1" t="s">
        <v>23381</v>
      </c>
      <c r="B23382" s="2" t="str">
        <f>IFERROR(__xludf.DUMMYFUNCTION("GOOGLETRANSLATE(A23382, ""de"", ""en"")"),"resistant")</f>
        <v>resistant</v>
      </c>
    </row>
    <row r="23383">
      <c r="A23383" s="1" t="s">
        <v>23382</v>
      </c>
      <c r="B23383" s="2" t="str">
        <f>IFERROR(__xludf.DUMMYFUNCTION("GOOGLETRANSLATE(A23383, ""de"", ""en"")"),"bandages")</f>
        <v>bandages</v>
      </c>
    </row>
    <row r="23384">
      <c r="A23384" s="1" t="s">
        <v>23383</v>
      </c>
      <c r="B23384" s="2" t="str">
        <f>IFERROR(__xludf.DUMMYFUNCTION("GOOGLETRANSLATE(A23384, ""de"", ""en"")"),"focused")</f>
        <v>focused</v>
      </c>
    </row>
    <row r="23385">
      <c r="A23385" s="1" t="s">
        <v>23384</v>
      </c>
      <c r="B23385" s="2" t="str">
        <f>IFERROR(__xludf.DUMMYFUNCTION("GOOGLETRANSLATE(A23385, ""de"", ""en"")"),"radiant")</f>
        <v>radiant</v>
      </c>
    </row>
    <row r="23386">
      <c r="A23386" s="1" t="s">
        <v>23385</v>
      </c>
      <c r="B23386" s="2" t="str">
        <f>IFERROR(__xludf.DUMMYFUNCTION("GOOGLETRANSLATE(A23386, ""de"", ""en"")"),"added")</f>
        <v>added</v>
      </c>
    </row>
    <row r="23387">
      <c r="A23387" s="1" t="s">
        <v>23386</v>
      </c>
      <c r="B23387" s="2" t="str">
        <f>IFERROR(__xludf.DUMMYFUNCTION("GOOGLETRANSLATE(A23387, ""de"", ""en"")"),"magnolia")</f>
        <v>magnolia</v>
      </c>
    </row>
    <row r="23388">
      <c r="A23388" s="1" t="s">
        <v>23387</v>
      </c>
      <c r="B23388" s="2" t="str">
        <f>IFERROR(__xludf.DUMMYFUNCTION("GOOGLETRANSLATE(A23388, ""de"", ""en"")"),"Simba")</f>
        <v>Simba</v>
      </c>
    </row>
    <row r="23389">
      <c r="A23389" s="1" t="s">
        <v>23388</v>
      </c>
      <c r="B23389" s="2" t="str">
        <f>IFERROR(__xludf.DUMMYFUNCTION("GOOGLETRANSLATE(A23389, ""de"", ""en"")"),"stupid")</f>
        <v>stupid</v>
      </c>
    </row>
    <row r="23390">
      <c r="A23390" s="1" t="s">
        <v>23389</v>
      </c>
      <c r="B23390" s="2" t="str">
        <f>IFERROR(__xludf.DUMMYFUNCTION("GOOGLETRANSLATE(A23390, ""de"", ""en"")"),"horrific")</f>
        <v>horrific</v>
      </c>
    </row>
    <row r="23391">
      <c r="A23391" s="1" t="s">
        <v>23390</v>
      </c>
      <c r="B23391" s="2" t="str">
        <f>IFERROR(__xludf.DUMMYFUNCTION("GOOGLETRANSLATE(A23391, ""de"", ""en"")"),"bind")</f>
        <v>bind</v>
      </c>
    </row>
    <row r="23392">
      <c r="A23392" s="1" t="s">
        <v>23391</v>
      </c>
      <c r="B23392" s="2" t="str">
        <f>IFERROR(__xludf.DUMMYFUNCTION("GOOGLETRANSLATE(A23392, ""de"", ""en"")"),"old-fashioned")</f>
        <v>old-fashioned</v>
      </c>
    </row>
    <row r="23393">
      <c r="A23393" s="1" t="s">
        <v>23392</v>
      </c>
      <c r="B23393" s="2" t="str">
        <f>IFERROR(__xludf.DUMMYFUNCTION("GOOGLETRANSLATE(A23393, ""de"", ""en"")"),"rode")</f>
        <v>rode</v>
      </c>
    </row>
    <row r="23394">
      <c r="A23394" s="1" t="s">
        <v>23393</v>
      </c>
      <c r="B23394" s="2" t="str">
        <f>IFERROR(__xludf.DUMMYFUNCTION("GOOGLETRANSLATE(A23394, ""de"", ""en"")"),"societies")</f>
        <v>societies</v>
      </c>
    </row>
    <row r="23395">
      <c r="A23395" s="1" t="s">
        <v>23394</v>
      </c>
      <c r="B23395" s="2" t="str">
        <f>IFERROR(__xludf.DUMMYFUNCTION("GOOGLETRANSLATE(A23395, ""de"", ""en"")"),"strides")</f>
        <v>strides</v>
      </c>
    </row>
    <row r="23396">
      <c r="A23396" s="1" t="s">
        <v>23395</v>
      </c>
      <c r="B23396" s="2" t="str">
        <f>IFERROR(__xludf.DUMMYFUNCTION("GOOGLETRANSLATE(A23396, ""de"", ""en"")"),"Tania")</f>
        <v>Tania</v>
      </c>
    </row>
    <row r="23397">
      <c r="A23397" s="1" t="s">
        <v>23396</v>
      </c>
      <c r="B23397" s="2" t="str">
        <f>IFERROR(__xludf.DUMMYFUNCTION("GOOGLETRANSLATE(A23397, ""de"", ""en"")"),"cbs")</f>
        <v>cbs</v>
      </c>
    </row>
    <row r="23398">
      <c r="A23398" s="1" t="s">
        <v>23397</v>
      </c>
      <c r="B23398" s="2" t="str">
        <f>IFERROR(__xludf.DUMMYFUNCTION("GOOGLETRANSLATE(A23398, ""de"", ""en"")"),"sympathy")</f>
        <v>sympathy</v>
      </c>
    </row>
    <row r="23399">
      <c r="A23399" s="1" t="s">
        <v>23398</v>
      </c>
      <c r="B23399" s="2" t="str">
        <f>IFERROR(__xludf.DUMMYFUNCTION("GOOGLETRANSLATE(A23399, ""de"", ""en"")"),"home visits")</f>
        <v>home visits</v>
      </c>
    </row>
    <row r="23400">
      <c r="A23400" s="1" t="s">
        <v>23399</v>
      </c>
      <c r="B23400" s="2" t="str">
        <f>IFERROR(__xludf.DUMMYFUNCTION("GOOGLETRANSLATE(A23400, ""de"", ""en"")"),"Kabul")</f>
        <v>Kabul</v>
      </c>
    </row>
    <row r="23401">
      <c r="A23401" s="1" t="s">
        <v>23400</v>
      </c>
      <c r="B23401" s="2" t="str">
        <f>IFERROR(__xludf.DUMMYFUNCTION("GOOGLETRANSLATE(A23401, ""de"", ""en"")"),"humane")</f>
        <v>humane</v>
      </c>
    </row>
    <row r="23402">
      <c r="A23402" s="1" t="s">
        <v>23401</v>
      </c>
      <c r="B23402" s="2" t="str">
        <f>IFERROR(__xludf.DUMMYFUNCTION("GOOGLETRANSLATE(A23402, ""de"", ""en"")"),"clueless")</f>
        <v>clueless</v>
      </c>
    </row>
    <row r="23403">
      <c r="A23403" s="1" t="s">
        <v>23402</v>
      </c>
      <c r="B23403" s="2" t="str">
        <f>IFERROR(__xludf.DUMMYFUNCTION("GOOGLETRANSLATE(A23403, ""de"", ""en"")"),"train")</f>
        <v>train</v>
      </c>
    </row>
    <row r="23404">
      <c r="A23404" s="1" t="s">
        <v>23403</v>
      </c>
      <c r="B23404" s="2" t="str">
        <f>IFERROR(__xludf.DUMMYFUNCTION("GOOGLETRANSLATE(A23404, ""de"", ""en"")"),"garner")</f>
        <v>garner</v>
      </c>
    </row>
    <row r="23405">
      <c r="A23405" s="1" t="s">
        <v>23404</v>
      </c>
      <c r="B23405" s="2" t="str">
        <f>IFERROR(__xludf.DUMMYFUNCTION("GOOGLETRANSLATE(A23405, ""de"", ""en"")"),"unscathed")</f>
        <v>unscathed</v>
      </c>
    </row>
    <row r="23406">
      <c r="A23406" s="1" t="s">
        <v>23405</v>
      </c>
      <c r="B23406" s="2" t="str">
        <f>IFERROR(__xludf.DUMMYFUNCTION("GOOGLETRANSLATE(A23406, ""de"", ""en"")"),"burned")</f>
        <v>burned</v>
      </c>
    </row>
    <row r="23407">
      <c r="A23407" s="1" t="s">
        <v>23406</v>
      </c>
      <c r="B23407" s="2" t="str">
        <f>IFERROR(__xludf.DUMMYFUNCTION("GOOGLETRANSLATE(A23407, ""de"", ""en"")"),"white bread")</f>
        <v>white bread</v>
      </c>
    </row>
    <row r="23408">
      <c r="A23408" s="1" t="s">
        <v>23407</v>
      </c>
      <c r="B23408" s="2" t="str">
        <f>IFERROR(__xludf.DUMMYFUNCTION("GOOGLETRANSLATE(A23408, ""de"", ""en"")"),"keats")</f>
        <v>keats</v>
      </c>
    </row>
    <row r="23409">
      <c r="A23409" s="1" t="s">
        <v>23408</v>
      </c>
      <c r="B23409" s="2" t="str">
        <f>IFERROR(__xludf.DUMMYFUNCTION("GOOGLETRANSLATE(A23409, ""de"", ""en"")"),"bets")</f>
        <v>bets</v>
      </c>
    </row>
    <row r="23410">
      <c r="A23410" s="1" t="s">
        <v>23409</v>
      </c>
      <c r="B23410" s="2" t="str">
        <f>IFERROR(__xludf.DUMMYFUNCTION("GOOGLETRANSLATE(A23410, ""de"", ""en"")"),"rooney")</f>
        <v>rooney</v>
      </c>
    </row>
    <row r="23411">
      <c r="A23411" s="1" t="s">
        <v>23410</v>
      </c>
      <c r="B23411" s="2" t="str">
        <f>IFERROR(__xludf.DUMMYFUNCTION("GOOGLETRANSLATE(A23411, ""de"", ""en"")"),"drug test")</f>
        <v>drug test</v>
      </c>
    </row>
    <row r="23412">
      <c r="A23412" s="1" t="s">
        <v>23411</v>
      </c>
      <c r="B23412" s="2" t="str">
        <f>IFERROR(__xludf.DUMMYFUNCTION("GOOGLETRANSLATE(A23412, ""de"", ""en"")"),"jungle")</f>
        <v>jungle</v>
      </c>
    </row>
    <row r="23413">
      <c r="A23413" s="1" t="s">
        <v>23412</v>
      </c>
      <c r="B23413" s="2" t="str">
        <f>IFERROR(__xludf.DUMMYFUNCTION("GOOGLETRANSLATE(A23413, ""de"", ""en"")"),"most famous")</f>
        <v>most famous</v>
      </c>
    </row>
    <row r="23414">
      <c r="A23414" s="1" t="s">
        <v>23413</v>
      </c>
      <c r="B23414" s="2" t="str">
        <f>IFERROR(__xludf.DUMMYFUNCTION("GOOGLETRANSLATE(A23414, ""de"", ""en"")"),"to hang up")</f>
        <v>to hang up</v>
      </c>
    </row>
    <row r="23415">
      <c r="A23415" s="1" t="s">
        <v>23414</v>
      </c>
      <c r="B23415" s="2" t="str">
        <f>IFERROR(__xludf.DUMMYFUNCTION("GOOGLETRANSLATE(A23415, ""de"", ""en"")"),"replaced")</f>
        <v>replaced</v>
      </c>
    </row>
    <row r="23416">
      <c r="A23416" s="1" t="s">
        <v>23415</v>
      </c>
      <c r="B23416" s="2" t="str">
        <f>IFERROR(__xludf.DUMMYFUNCTION("GOOGLETRANSLATE(A23416, ""de"", ""en"")"),"incomprehensible")</f>
        <v>incomprehensible</v>
      </c>
    </row>
    <row r="23417">
      <c r="A23417" s="1" t="s">
        <v>23416</v>
      </c>
      <c r="B23417" s="2" t="str">
        <f>IFERROR(__xludf.DUMMYFUNCTION("GOOGLETRANSLATE(A23417, ""de"", ""en"")"),"criminal")</f>
        <v>criminal</v>
      </c>
    </row>
    <row r="23418">
      <c r="A23418" s="1" t="s">
        <v>23417</v>
      </c>
      <c r="B23418" s="2" t="str">
        <f>IFERROR(__xludf.DUMMYFUNCTION("GOOGLETRANSLATE(A23418, ""de"", ""en"")"),"horton")</f>
        <v>horton</v>
      </c>
    </row>
    <row r="23419">
      <c r="A23419" s="1" t="s">
        <v>23418</v>
      </c>
      <c r="B23419" s="2" t="str">
        <f>IFERROR(__xludf.DUMMYFUNCTION("GOOGLETRANSLATE(A23419, ""de"", ""en"")"),"lights")</f>
        <v>lights</v>
      </c>
    </row>
    <row r="23420">
      <c r="A23420" s="1" t="s">
        <v>23419</v>
      </c>
      <c r="B23420" s="2" t="str">
        <f>IFERROR(__xludf.DUMMYFUNCTION("GOOGLETRANSLATE(A23420, ""de"", ""en"")"),"famine")</f>
        <v>famine</v>
      </c>
    </row>
    <row r="23421">
      <c r="A23421" s="1" t="s">
        <v>23420</v>
      </c>
      <c r="B23421" s="2" t="str">
        <f>IFERROR(__xludf.DUMMYFUNCTION("GOOGLETRANSLATE(A23421, ""de"", ""en"")"),"tap")</f>
        <v>tap</v>
      </c>
    </row>
    <row r="23422">
      <c r="A23422" s="1" t="s">
        <v>23421</v>
      </c>
      <c r="B23422" s="2" t="str">
        <f>IFERROR(__xludf.DUMMYFUNCTION("GOOGLETRANSLATE(A23422, ""de"", ""en"")"),"difficulty")</f>
        <v>difficulty</v>
      </c>
    </row>
    <row r="23423">
      <c r="A23423" s="1" t="s">
        <v>23422</v>
      </c>
      <c r="B23423" s="2" t="str">
        <f>IFERROR(__xludf.DUMMYFUNCTION("GOOGLETRANSLATE(A23423, ""de"", ""en"")"),"sandrine")</f>
        <v>sandrine</v>
      </c>
    </row>
    <row r="23424">
      <c r="A23424" s="1" t="s">
        <v>23423</v>
      </c>
      <c r="B23424" s="2" t="str">
        <f>IFERROR(__xludf.DUMMYFUNCTION("GOOGLETRANSLATE(A23424, ""de"", ""en"")"),"indirect")</f>
        <v>indirect</v>
      </c>
    </row>
    <row r="23425">
      <c r="A23425" s="1" t="s">
        <v>23424</v>
      </c>
      <c r="B23425" s="2" t="str">
        <f>IFERROR(__xludf.DUMMYFUNCTION("GOOGLETRANSLATE(A23425, ""de"", ""en"")"),"booms")</f>
        <v>booms</v>
      </c>
    </row>
    <row r="23426">
      <c r="A23426" s="1" t="s">
        <v>23425</v>
      </c>
      <c r="B23426" s="2" t="str">
        <f>IFERROR(__xludf.DUMMYFUNCTION("GOOGLETRANSLATE(A23426, ""de"", ""en"")"),"seer")</f>
        <v>seer</v>
      </c>
    </row>
    <row r="23427">
      <c r="A23427" s="1" t="s">
        <v>23426</v>
      </c>
      <c r="B23427" s="2" t="str">
        <f>IFERROR(__xludf.DUMMYFUNCTION("GOOGLETRANSLATE(A23427, ""de"", ""en"")"),"Klingon")</f>
        <v>Klingon</v>
      </c>
    </row>
    <row r="23428">
      <c r="A23428" s="1" t="s">
        <v>23427</v>
      </c>
      <c r="B23428" s="2" t="str">
        <f>IFERROR(__xludf.DUMMYFUNCTION("GOOGLETRANSLATE(A23428, ""de"", ""en"")"),"single parents")</f>
        <v>single parents</v>
      </c>
    </row>
    <row r="23429">
      <c r="A23429" s="1" t="s">
        <v>23428</v>
      </c>
      <c r="B23429" s="2" t="str">
        <f>IFERROR(__xludf.DUMMYFUNCTION("GOOGLETRANSLATE(A23429, ""de"", ""en"")"),"lovely")</f>
        <v>lovely</v>
      </c>
    </row>
    <row r="23430">
      <c r="A23430" s="1" t="s">
        <v>23429</v>
      </c>
      <c r="B23430" s="2" t="str">
        <f>IFERROR(__xludf.DUMMYFUNCTION("GOOGLETRANSLATE(A23430, ""de"", ""en"")"),"roared")</f>
        <v>roared</v>
      </c>
    </row>
    <row r="23431">
      <c r="A23431" s="1" t="s">
        <v>23430</v>
      </c>
      <c r="B23431" s="2" t="str">
        <f>IFERROR(__xludf.DUMMYFUNCTION("GOOGLETRANSLATE(A23431, ""de"", ""en"")"),"divorce papers")</f>
        <v>divorce papers</v>
      </c>
    </row>
    <row r="23432">
      <c r="A23432" s="1" t="s">
        <v>23431</v>
      </c>
      <c r="B23432" s="2" t="str">
        <f>IFERROR(__xludf.DUMMYFUNCTION("GOOGLETRANSLATE(A23432, ""de"", ""en"")"),"cheeky")</f>
        <v>cheeky</v>
      </c>
    </row>
    <row r="23433">
      <c r="A23433" s="1" t="s">
        <v>23432</v>
      </c>
      <c r="B23433" s="2" t="str">
        <f>IFERROR(__xludf.DUMMYFUNCTION("GOOGLETRANSLATE(A23433, ""de"", ""en"")"),"noir")</f>
        <v>noir</v>
      </c>
    </row>
    <row r="23434">
      <c r="A23434" s="1" t="s">
        <v>23433</v>
      </c>
      <c r="B23434" s="2" t="str">
        <f>IFERROR(__xludf.DUMMYFUNCTION("GOOGLETRANSLATE(A23434, ""de"", ""en"")"),"eat")</f>
        <v>eat</v>
      </c>
    </row>
    <row r="23435">
      <c r="A23435" s="1" t="s">
        <v>23434</v>
      </c>
      <c r="B23435" s="2" t="str">
        <f>IFERROR(__xludf.DUMMYFUNCTION("GOOGLETRANSLATE(A23435, ""de"", ""en"")"),"mattresses")</f>
        <v>mattresses</v>
      </c>
    </row>
    <row r="23436">
      <c r="A23436" s="1" t="s">
        <v>23435</v>
      </c>
      <c r="B23436" s="2" t="str">
        <f>IFERROR(__xludf.DUMMYFUNCTION("GOOGLETRANSLATE(A23436, ""de"", ""en"")"),"outgoing")</f>
        <v>outgoing</v>
      </c>
    </row>
    <row r="23437">
      <c r="A23437" s="1" t="s">
        <v>23436</v>
      </c>
      <c r="B23437" s="2" t="str">
        <f>IFERROR(__xludf.DUMMYFUNCTION("GOOGLETRANSLATE(A23437, ""de"", ""en"")"),"to intervene")</f>
        <v>to intervene</v>
      </c>
    </row>
    <row r="23438">
      <c r="A23438" s="1" t="s">
        <v>23437</v>
      </c>
      <c r="B23438" s="2" t="str">
        <f>IFERROR(__xludf.DUMMYFUNCTION("GOOGLETRANSLATE(A23438, ""de"", ""en"")"),"terrible")</f>
        <v>terrible</v>
      </c>
    </row>
    <row r="23439">
      <c r="A23439" s="1" t="s">
        <v>23438</v>
      </c>
      <c r="B23439" s="2" t="str">
        <f>IFERROR(__xludf.DUMMYFUNCTION("GOOGLETRANSLATE(A23439, ""de"", ""en"")"),"evaporate")</f>
        <v>evaporate</v>
      </c>
    </row>
    <row r="23440">
      <c r="A23440" s="1" t="s">
        <v>23439</v>
      </c>
      <c r="B23440" s="2" t="str">
        <f>IFERROR(__xludf.DUMMYFUNCTION("GOOGLETRANSLATE(A23440, ""de"", ""en"")"),"Pilate")</f>
        <v>Pilate</v>
      </c>
    </row>
    <row r="23441">
      <c r="A23441" s="1" t="s">
        <v>23440</v>
      </c>
      <c r="B23441" s="2" t="str">
        <f>IFERROR(__xludf.DUMMYFUNCTION("GOOGLETRANSLATE(A23441, ""de"", ""en"")"),"underground car park")</f>
        <v>underground car park</v>
      </c>
    </row>
    <row r="23442">
      <c r="A23442" s="1" t="s">
        <v>23441</v>
      </c>
      <c r="B23442" s="2" t="str">
        <f>IFERROR(__xludf.DUMMYFUNCTION("GOOGLETRANSLATE(A23442, ""de"", ""en"")"),"radioactive")</f>
        <v>radioactive</v>
      </c>
    </row>
    <row r="23443">
      <c r="A23443" s="1" t="s">
        <v>23442</v>
      </c>
      <c r="B23443" s="2" t="str">
        <f>IFERROR(__xludf.DUMMYFUNCTION("GOOGLETRANSLATE(A23443, ""de"", ""en"")"),"you called")</f>
        <v>you called</v>
      </c>
    </row>
    <row r="23444">
      <c r="A23444" s="1" t="s">
        <v>23443</v>
      </c>
      <c r="B23444" s="2" t="str">
        <f>IFERROR(__xludf.DUMMYFUNCTION("GOOGLETRANSLATE(A23444, ""de"", ""en"")"),"skin")</f>
        <v>skin</v>
      </c>
    </row>
    <row r="23445">
      <c r="A23445" s="1" t="s">
        <v>23444</v>
      </c>
      <c r="B23445" s="2" t="str">
        <f>IFERROR(__xludf.DUMMYFUNCTION("GOOGLETRANSLATE(A23445, ""de"", ""en"")"),"dinner party")</f>
        <v>dinner party</v>
      </c>
    </row>
    <row r="23446">
      <c r="A23446" s="1" t="s">
        <v>23445</v>
      </c>
      <c r="B23446" s="2" t="str">
        <f>IFERROR(__xludf.DUMMYFUNCTION("GOOGLETRANSLATE(A23446, ""de"", ""en"")"),"bricklayer")</f>
        <v>bricklayer</v>
      </c>
    </row>
    <row r="23447">
      <c r="A23447" s="1" t="s">
        <v>23446</v>
      </c>
      <c r="B23447" s="2" t="str">
        <f>IFERROR(__xludf.DUMMYFUNCTION("GOOGLETRANSLATE(A23447, ""de"", ""en"")"),"Bernhard")</f>
        <v>Bernhard</v>
      </c>
    </row>
    <row r="23448">
      <c r="A23448" s="1" t="s">
        <v>23447</v>
      </c>
      <c r="B23448" s="2" t="str">
        <f>IFERROR(__xludf.DUMMYFUNCTION("GOOGLETRANSLATE(A23448, ""de"", ""en"")"),"danton")</f>
        <v>danton</v>
      </c>
    </row>
    <row r="23449">
      <c r="A23449" s="1" t="s">
        <v>23448</v>
      </c>
      <c r="B23449" s="2" t="str">
        <f>IFERROR(__xludf.DUMMYFUNCTION("GOOGLETRANSLATE(A23449, ""de"", ""en"")"),"more pathetic")</f>
        <v>more pathetic</v>
      </c>
    </row>
    <row r="23450">
      <c r="A23450" s="1" t="s">
        <v>23449</v>
      </c>
      <c r="B23450" s="2" t="str">
        <f>IFERROR(__xludf.DUMMYFUNCTION("GOOGLETRANSLATE(A23450, ""de"", ""en"")"),"myka")</f>
        <v>myka</v>
      </c>
    </row>
    <row r="23451">
      <c r="A23451" s="1" t="s">
        <v>23450</v>
      </c>
      <c r="B23451" s="2" t="str">
        <f>IFERROR(__xludf.DUMMYFUNCTION("GOOGLETRANSLATE(A23451, ""de"", ""en"")"),"tricorder")</f>
        <v>tricorder</v>
      </c>
    </row>
    <row r="23452">
      <c r="A23452" s="1" t="s">
        <v>23451</v>
      </c>
      <c r="B23452" s="2" t="str">
        <f>IFERROR(__xludf.DUMMYFUNCTION("GOOGLETRANSLATE(A23452, ""de"", ""en"")"),"School bus")</f>
        <v>School bus</v>
      </c>
    </row>
    <row r="23453">
      <c r="A23453" s="1" t="s">
        <v>23452</v>
      </c>
      <c r="B23453" s="2" t="str">
        <f>IFERROR(__xludf.DUMMYFUNCTION("GOOGLETRANSLATE(A23453, ""de"", ""en"")"),"submit")</f>
        <v>submit</v>
      </c>
    </row>
    <row r="23454">
      <c r="A23454" s="1" t="s">
        <v>23453</v>
      </c>
      <c r="B23454" s="2" t="str">
        <f>IFERROR(__xludf.DUMMYFUNCTION("GOOGLETRANSLATE(A23454, ""de"", ""en"")"),"Stefanie")</f>
        <v>Stefanie</v>
      </c>
    </row>
    <row r="23455">
      <c r="A23455" s="1" t="s">
        <v>23454</v>
      </c>
      <c r="B23455" s="2" t="str">
        <f>IFERROR(__xludf.DUMMYFUNCTION("GOOGLETRANSLATE(A23455, ""de"", ""en"")"),"unpleasant")</f>
        <v>unpleasant</v>
      </c>
    </row>
    <row r="23456">
      <c r="A23456" s="1" t="s">
        <v>23455</v>
      </c>
      <c r="B23456" s="2" t="str">
        <f>IFERROR(__xludf.DUMMYFUNCTION("GOOGLETRANSLATE(A23456, ""de"", ""en"")"),"lean back")</f>
        <v>lean back</v>
      </c>
    </row>
    <row r="23457">
      <c r="A23457" s="1" t="s">
        <v>23456</v>
      </c>
      <c r="B23457" s="2" t="str">
        <f>IFERROR(__xludf.DUMMYFUNCTION("GOOGLETRANSLATE(A23457, ""de"", ""en"")"),"neurotic")</f>
        <v>neurotic</v>
      </c>
    </row>
    <row r="23458">
      <c r="A23458" s="1" t="s">
        <v>23457</v>
      </c>
      <c r="B23458" s="2" t="str">
        <f>IFERROR(__xludf.DUMMYFUNCTION("GOOGLETRANSLATE(A23458, ""de"", ""en"")"),"shea")</f>
        <v>shea</v>
      </c>
    </row>
    <row r="23459">
      <c r="A23459" s="1" t="s">
        <v>23458</v>
      </c>
      <c r="B23459" s="2" t="str">
        <f>IFERROR(__xludf.DUMMYFUNCTION("GOOGLETRANSLATE(A23459, ""de"", ""en"")"),"chill")</f>
        <v>chill</v>
      </c>
    </row>
    <row r="23460">
      <c r="A23460" s="1" t="s">
        <v>23459</v>
      </c>
      <c r="B23460" s="2" t="str">
        <f>IFERROR(__xludf.DUMMYFUNCTION("GOOGLETRANSLATE(A23460, ""de"", ""en"")"),"salim")</f>
        <v>salim</v>
      </c>
    </row>
    <row r="23461">
      <c r="A23461" s="1" t="s">
        <v>23460</v>
      </c>
      <c r="B23461" s="2" t="str">
        <f>IFERROR(__xludf.DUMMYFUNCTION("GOOGLETRANSLATE(A23461, ""de"", ""en"")"),"preserved")</f>
        <v>preserved</v>
      </c>
    </row>
    <row r="23462">
      <c r="A23462" s="1" t="s">
        <v>23461</v>
      </c>
      <c r="B23462" s="2" t="str">
        <f>IFERROR(__xludf.DUMMYFUNCTION("GOOGLETRANSLATE(A23462, ""de"", ""en"")"),"Bombay")</f>
        <v>Bombay</v>
      </c>
    </row>
    <row r="23463">
      <c r="A23463" s="1" t="s">
        <v>23462</v>
      </c>
      <c r="B23463" s="2" t="str">
        <f>IFERROR(__xludf.DUMMYFUNCTION("GOOGLETRANSLATE(A23463, ""de"", ""en"")"),"corbett")</f>
        <v>corbett</v>
      </c>
    </row>
    <row r="23464">
      <c r="A23464" s="1" t="s">
        <v>23463</v>
      </c>
      <c r="B23464" s="2" t="str">
        <f>IFERROR(__xludf.DUMMYFUNCTION("GOOGLETRANSLATE(A23464, ""de"", ""en"")"),"goodwin")</f>
        <v>goodwin</v>
      </c>
    </row>
    <row r="23465">
      <c r="A23465" s="1" t="s">
        <v>23464</v>
      </c>
      <c r="B23465" s="2" t="str">
        <f>IFERROR(__xludf.DUMMYFUNCTION("GOOGLETRANSLATE(A23465, ""de"", ""en"")"),"moya")</f>
        <v>moya</v>
      </c>
    </row>
    <row r="23466">
      <c r="A23466" s="1" t="s">
        <v>23465</v>
      </c>
      <c r="B23466" s="2" t="str">
        <f>IFERROR(__xludf.DUMMYFUNCTION("GOOGLETRANSLATE(A23466, ""de"", ""en"")"),"plunder")</f>
        <v>plunder</v>
      </c>
    </row>
    <row r="23467">
      <c r="A23467" s="1" t="s">
        <v>23466</v>
      </c>
      <c r="B23467" s="2" t="str">
        <f>IFERROR(__xludf.DUMMYFUNCTION("GOOGLETRANSLATE(A23467, ""de"", ""en"")"),"accident site")</f>
        <v>accident site</v>
      </c>
    </row>
    <row r="23468">
      <c r="A23468" s="1" t="s">
        <v>23467</v>
      </c>
      <c r="B23468" s="2" t="str">
        <f>IFERROR(__xludf.DUMMYFUNCTION("GOOGLETRANSLATE(A23468, ""de"", ""en"")"),"oceans")</f>
        <v>oceans</v>
      </c>
    </row>
    <row r="23469">
      <c r="A23469" s="1" t="s">
        <v>23468</v>
      </c>
      <c r="B23469" s="2" t="str">
        <f>IFERROR(__xludf.DUMMYFUNCTION("GOOGLETRANSLATE(A23469, ""de"", ""en"")"),"complicated")</f>
        <v>complicated</v>
      </c>
    </row>
    <row r="23470">
      <c r="A23470" s="1" t="s">
        <v>23469</v>
      </c>
      <c r="B23470" s="2" t="str">
        <f>IFERROR(__xludf.DUMMYFUNCTION("GOOGLETRANSLATE(A23470, ""de"", ""en"")"),"dignified")</f>
        <v>dignified</v>
      </c>
    </row>
    <row r="23471">
      <c r="A23471" s="1" t="s">
        <v>23470</v>
      </c>
      <c r="B23471" s="2" t="str">
        <f>IFERROR(__xludf.DUMMYFUNCTION("GOOGLETRANSLATE(A23471, ""de"", ""en"")"),"frisbee")</f>
        <v>frisbee</v>
      </c>
    </row>
    <row r="23472">
      <c r="A23472" s="1" t="s">
        <v>23471</v>
      </c>
      <c r="B23472" s="2" t="str">
        <f>IFERROR(__xludf.DUMMYFUNCTION("GOOGLETRANSLATE(A23472, ""de"", ""en"")"),"foxes")</f>
        <v>foxes</v>
      </c>
    </row>
    <row r="23473">
      <c r="A23473" s="1" t="s">
        <v>23472</v>
      </c>
      <c r="B23473" s="2" t="str">
        <f>IFERROR(__xludf.DUMMYFUNCTION("GOOGLETRANSLATE(A23473, ""de"", ""en"")"),"climb")</f>
        <v>climb</v>
      </c>
    </row>
    <row r="23474">
      <c r="A23474" s="1" t="s">
        <v>23473</v>
      </c>
      <c r="B23474" s="2" t="str">
        <f>IFERROR(__xludf.DUMMYFUNCTION("GOOGLETRANSLATE(A23474, ""de"", ""en"")"),"violent crimes")</f>
        <v>violent crimes</v>
      </c>
    </row>
    <row r="23475">
      <c r="A23475" s="1" t="s">
        <v>23474</v>
      </c>
      <c r="B23475" s="2" t="str">
        <f>IFERROR(__xludf.DUMMYFUNCTION("GOOGLETRANSLATE(A23475, ""de"", ""en"")"),"gummy bears")</f>
        <v>gummy bears</v>
      </c>
    </row>
    <row r="23476">
      <c r="A23476" s="1" t="s">
        <v>23475</v>
      </c>
      <c r="B23476" s="2" t="str">
        <f>IFERROR(__xludf.DUMMYFUNCTION("GOOGLETRANSLATE(A23476, ""de"", ""en"")"),"mercury")</f>
        <v>mercury</v>
      </c>
    </row>
    <row r="23477">
      <c r="A23477" s="1" t="s">
        <v>23476</v>
      </c>
      <c r="B23477" s="2" t="str">
        <f>IFERROR(__xludf.DUMMYFUNCTION("GOOGLETRANSLATE(A23477, ""de"", ""en"")"),"shoe size")</f>
        <v>shoe size</v>
      </c>
    </row>
    <row r="23478">
      <c r="A23478" s="1" t="s">
        <v>23477</v>
      </c>
      <c r="B23478" s="2" t="str">
        <f>IFERROR(__xludf.DUMMYFUNCTION("GOOGLETRANSLATE(A23478, ""de"", ""en"")"),"lawton")</f>
        <v>lawton</v>
      </c>
    </row>
    <row r="23479">
      <c r="A23479" s="1" t="s">
        <v>23478</v>
      </c>
      <c r="B23479" s="2" t="str">
        <f>IFERROR(__xludf.DUMMYFUNCTION("GOOGLETRANSLATE(A23479, ""de"", ""en"")"),"speaking")</f>
        <v>speaking</v>
      </c>
    </row>
    <row r="23480">
      <c r="A23480" s="1" t="s">
        <v>23479</v>
      </c>
      <c r="B23480" s="2" t="str">
        <f>IFERROR(__xludf.DUMMYFUNCTION("GOOGLETRANSLATE(A23480, ""de"", ""en"")"),"connectedness")</f>
        <v>connectedness</v>
      </c>
    </row>
    <row r="23481">
      <c r="A23481" s="1" t="s">
        <v>23480</v>
      </c>
      <c r="B23481" s="2" t="str">
        <f>IFERROR(__xludf.DUMMYFUNCTION("GOOGLETRANSLATE(A23481, ""de"", ""en"")"),"juicy")</f>
        <v>juicy</v>
      </c>
    </row>
    <row r="23482">
      <c r="A23482" s="1" t="s">
        <v>23481</v>
      </c>
      <c r="B23482" s="2" t="str">
        <f>IFERROR(__xludf.DUMMYFUNCTION("GOOGLETRANSLATE(A23482, ""de"", ""en"")"),"erotic")</f>
        <v>erotic</v>
      </c>
    </row>
    <row r="23483">
      <c r="A23483" s="1" t="s">
        <v>23482</v>
      </c>
      <c r="B23483" s="2" t="str">
        <f>IFERROR(__xludf.DUMMYFUNCTION("GOOGLETRANSLATE(A23483, ""de"", ""en"")"),"more loyal")</f>
        <v>more loyal</v>
      </c>
    </row>
    <row r="23484">
      <c r="A23484" s="1" t="s">
        <v>23483</v>
      </c>
      <c r="B23484" s="2" t="str">
        <f>IFERROR(__xludf.DUMMYFUNCTION("GOOGLETRANSLATE(A23484, ""de"", ""en"")"),"sudan")</f>
        <v>sudan</v>
      </c>
    </row>
    <row r="23485">
      <c r="A23485" s="1" t="s">
        <v>23484</v>
      </c>
      <c r="B23485" s="2" t="str">
        <f>IFERROR(__xludf.DUMMYFUNCTION("GOOGLETRANSLATE(A23485, ""de"", ""en"")"),"scotts")</f>
        <v>scotts</v>
      </c>
    </row>
    <row r="23486">
      <c r="A23486" s="1" t="s">
        <v>23485</v>
      </c>
      <c r="B23486" s="2" t="str">
        <f>IFERROR(__xludf.DUMMYFUNCTION("GOOGLETRANSLATE(A23486, ""de"", ""en"")"),"sandman")</f>
        <v>sandman</v>
      </c>
    </row>
    <row r="23487">
      <c r="A23487" s="1" t="s">
        <v>23486</v>
      </c>
      <c r="B23487" s="2" t="str">
        <f>IFERROR(__xludf.DUMMYFUNCTION("GOOGLETRANSLATE(A23487, ""de"", ""en"")"),"stretch")</f>
        <v>stretch</v>
      </c>
    </row>
    <row r="23488">
      <c r="A23488" s="1" t="s">
        <v>23487</v>
      </c>
      <c r="B23488" s="2" t="str">
        <f>IFERROR(__xludf.DUMMYFUNCTION("GOOGLETRANSLATE(A23488, ""de"", ""en"")"),"gel")</f>
        <v>gel</v>
      </c>
    </row>
    <row r="23489">
      <c r="A23489" s="1" t="s">
        <v>23488</v>
      </c>
      <c r="B23489" s="2" t="str">
        <f>IFERROR(__xludf.DUMMYFUNCTION("GOOGLETRANSLATE(A23489, ""de"", ""en"")"),"finance minister")</f>
        <v>finance minister</v>
      </c>
    </row>
    <row r="23490">
      <c r="A23490" s="1" t="s">
        <v>23489</v>
      </c>
      <c r="B23490" s="2" t="str">
        <f>IFERROR(__xludf.DUMMYFUNCTION("GOOGLETRANSLATE(A23490, ""de"", ""en"")"),"wristwatch")</f>
        <v>wristwatch</v>
      </c>
    </row>
    <row r="23491">
      <c r="A23491" s="1" t="s">
        <v>23490</v>
      </c>
      <c r="B23491" s="2" t="str">
        <f>IFERROR(__xludf.DUMMYFUNCTION("GOOGLETRANSLATE(A23491, ""de"", ""en"")"),"precious")</f>
        <v>precious</v>
      </c>
    </row>
    <row r="23492">
      <c r="A23492" s="1" t="s">
        <v>23491</v>
      </c>
      <c r="B23492" s="2" t="str">
        <f>IFERROR(__xludf.DUMMYFUNCTION("GOOGLETRANSLATE(A23492, ""de"", ""en"")"),"search")</f>
        <v>search</v>
      </c>
    </row>
    <row r="23493">
      <c r="A23493" s="1" t="s">
        <v>23492</v>
      </c>
      <c r="B23493" s="2" t="str">
        <f>IFERROR(__xludf.DUMMYFUNCTION("GOOGLETRANSLATE(A23493, ""de"", ""en"")"),"rascal")</f>
        <v>rascal</v>
      </c>
    </row>
    <row r="23494">
      <c r="A23494" s="1" t="s">
        <v>23493</v>
      </c>
      <c r="B23494" s="2" t="str">
        <f>IFERROR(__xludf.DUMMYFUNCTION("GOOGLETRANSLATE(A23494, ""de"", ""en"")"),"r-conversation")</f>
        <v>r-conversation</v>
      </c>
    </row>
    <row r="23495">
      <c r="A23495" s="1" t="s">
        <v>23494</v>
      </c>
      <c r="B23495" s="2" t="str">
        <f>IFERROR(__xludf.DUMMYFUNCTION("GOOGLETRANSLATE(A23495, ""de"", ""en"")"),"databases")</f>
        <v>databases</v>
      </c>
    </row>
    <row r="23496">
      <c r="A23496" s="1" t="s">
        <v>23495</v>
      </c>
      <c r="B23496" s="2" t="str">
        <f>IFERROR(__xludf.DUMMYFUNCTION("GOOGLETRANSLATE(A23496, ""de"", ""en"")"),"roses")</f>
        <v>roses</v>
      </c>
    </row>
    <row r="23497">
      <c r="A23497" s="1" t="s">
        <v>23496</v>
      </c>
      <c r="B23497" s="2" t="str">
        <f>IFERROR(__xludf.DUMMYFUNCTION("GOOGLETRANSLATE(A23497, ""de"", ""en"")"),"benevolent")</f>
        <v>benevolent</v>
      </c>
    </row>
    <row r="23498">
      <c r="A23498" s="1" t="s">
        <v>23497</v>
      </c>
      <c r="B23498" s="2" t="str">
        <f>IFERROR(__xludf.DUMMYFUNCTION("GOOGLETRANSLATE(A23498, ""de"", ""en"")"),"snapped")</f>
        <v>snapped</v>
      </c>
    </row>
    <row r="23499">
      <c r="A23499" s="1" t="s">
        <v>23498</v>
      </c>
      <c r="B23499" s="2" t="str">
        <f>IFERROR(__xludf.DUMMYFUNCTION("GOOGLETRANSLATE(A23499, ""de"", ""en"")"),"wiped")</f>
        <v>wiped</v>
      </c>
    </row>
    <row r="23500">
      <c r="A23500" s="1" t="s">
        <v>23499</v>
      </c>
      <c r="B23500" s="2" t="str">
        <f>IFERROR(__xludf.DUMMYFUNCTION("GOOGLETRANSLATE(A23500, ""de"", ""en"")"),"to avert")</f>
        <v>to avert</v>
      </c>
    </row>
    <row r="23501">
      <c r="A23501" s="1" t="s">
        <v>23500</v>
      </c>
      <c r="B23501" s="2" t="str">
        <f>IFERROR(__xludf.DUMMYFUNCTION("GOOGLETRANSLATE(A23501, ""de"", ""en"")"),"latino")</f>
        <v>latino</v>
      </c>
    </row>
    <row r="23502">
      <c r="A23502" s="1" t="s">
        <v>23501</v>
      </c>
      <c r="B23502" s="2" t="str">
        <f>IFERROR(__xludf.DUMMYFUNCTION("GOOGLETRANSLATE(A23502, ""de"", ""en"")"),"vigilante")</f>
        <v>vigilante</v>
      </c>
    </row>
    <row r="23503">
      <c r="A23503" s="1" t="s">
        <v>23502</v>
      </c>
      <c r="B23503" s="2" t="str">
        <f>IFERROR(__xludf.DUMMYFUNCTION("GOOGLETRANSLATE(A23503, ""de"", ""en"")"),"bright")</f>
        <v>bright</v>
      </c>
    </row>
    <row r="23504">
      <c r="A23504" s="1" t="s">
        <v>23503</v>
      </c>
      <c r="B23504" s="2" t="str">
        <f>IFERROR(__xludf.DUMMYFUNCTION("GOOGLETRANSLATE(A23504, ""de"", ""en"")"),"breast cancer")</f>
        <v>breast cancer</v>
      </c>
    </row>
    <row r="23505">
      <c r="A23505" s="1" t="s">
        <v>23504</v>
      </c>
      <c r="B23505" s="2" t="str">
        <f>IFERROR(__xludf.DUMMYFUNCTION("GOOGLETRANSLATE(A23505, ""de"", ""en"")"),"wynonna")</f>
        <v>wynonna</v>
      </c>
    </row>
    <row r="23506">
      <c r="A23506" s="1" t="s">
        <v>23505</v>
      </c>
      <c r="B23506" s="2" t="str">
        <f>IFERROR(__xludf.DUMMYFUNCTION("GOOGLETRANSLATE(A23506, ""de"", ""en"")"),"prepared")</f>
        <v>prepared</v>
      </c>
    </row>
    <row r="23507">
      <c r="A23507" s="1" t="s">
        <v>23506</v>
      </c>
      <c r="B23507" s="2" t="str">
        <f>IFERROR(__xludf.DUMMYFUNCTION("GOOGLETRANSLATE(A23507, ""de"", ""en"")"),"goebbels")</f>
        <v>goebbels</v>
      </c>
    </row>
    <row r="23508">
      <c r="A23508" s="1" t="s">
        <v>23507</v>
      </c>
      <c r="B23508" s="2" t="str">
        <f>IFERROR(__xludf.DUMMYFUNCTION("GOOGLETRANSLATE(A23508, ""de"", ""en"")"),"descent")</f>
        <v>descent</v>
      </c>
    </row>
    <row r="23509">
      <c r="A23509" s="1" t="s">
        <v>23508</v>
      </c>
      <c r="B23509" s="2" t="str">
        <f>IFERROR(__xludf.DUMMYFUNCTION("GOOGLETRANSLATE(A23509, ""de"", ""en"")"),"reliable")</f>
        <v>reliable</v>
      </c>
    </row>
    <row r="23510">
      <c r="A23510" s="1" t="s">
        <v>23509</v>
      </c>
      <c r="B23510" s="2" t="str">
        <f>IFERROR(__xludf.DUMMYFUNCTION("GOOGLETRANSLATE(A23510, ""de"", ""en"")"),"lightning fast")</f>
        <v>lightning fast</v>
      </c>
    </row>
    <row r="23511">
      <c r="A23511" s="1" t="s">
        <v>23510</v>
      </c>
      <c r="B23511" s="2" t="str">
        <f>IFERROR(__xludf.DUMMYFUNCTION("GOOGLETRANSLATE(A23511, ""de"", ""en"")"),"Birmingham")</f>
        <v>Birmingham</v>
      </c>
    </row>
    <row r="23512">
      <c r="A23512" s="1" t="s">
        <v>23511</v>
      </c>
      <c r="B23512" s="2" t="str">
        <f>IFERROR(__xludf.DUMMYFUNCTION("GOOGLETRANSLATE(A23512, ""de"", ""en"")"),"affidavit")</f>
        <v>affidavit</v>
      </c>
    </row>
    <row r="23513">
      <c r="A23513" s="1" t="s">
        <v>23512</v>
      </c>
      <c r="B23513" s="2" t="str">
        <f>IFERROR(__xludf.DUMMYFUNCTION("GOOGLETRANSLATE(A23513, ""de"", ""en"")"),"ryland")</f>
        <v>ryland</v>
      </c>
    </row>
    <row r="23514">
      <c r="A23514" s="1" t="s">
        <v>23513</v>
      </c>
      <c r="B23514" s="2" t="str">
        <f>IFERROR(__xludf.DUMMYFUNCTION("GOOGLETRANSLATE(A23514, ""de"", ""en"")"),"Leningrad")</f>
        <v>Leningrad</v>
      </c>
    </row>
    <row r="23515">
      <c r="A23515" s="1" t="s">
        <v>23514</v>
      </c>
      <c r="B23515" s="2" t="str">
        <f>IFERROR(__xludf.DUMMYFUNCTION("GOOGLETRANSLATE(A23515, ""de"", ""en"")"),"connects")</f>
        <v>connects</v>
      </c>
    </row>
    <row r="23516">
      <c r="A23516" s="1" t="s">
        <v>23515</v>
      </c>
      <c r="B23516" s="2" t="str">
        <f>IFERROR(__xludf.DUMMYFUNCTION("GOOGLETRANSLATE(A23516, ""de"", ""en"")"),"international")</f>
        <v>international</v>
      </c>
    </row>
    <row r="23517">
      <c r="A23517" s="1" t="s">
        <v>23516</v>
      </c>
      <c r="B23517" s="2" t="str">
        <f>IFERROR(__xludf.DUMMYFUNCTION("GOOGLETRANSLATE(A23517, ""de"", ""en"")"),"equality")</f>
        <v>equality</v>
      </c>
    </row>
    <row r="23518">
      <c r="A23518" s="1" t="s">
        <v>23517</v>
      </c>
      <c r="B23518" s="2" t="str">
        <f>IFERROR(__xludf.DUMMYFUNCTION("GOOGLETRANSLATE(A23518, ""de"", ""en"")"),"inside")</f>
        <v>inside</v>
      </c>
    </row>
    <row r="23519">
      <c r="A23519" s="1" t="s">
        <v>23518</v>
      </c>
      <c r="B23519" s="2" t="str">
        <f>IFERROR(__xludf.DUMMYFUNCTION("GOOGLETRANSLATE(A23519, ""de"", ""en"")"),"attract")</f>
        <v>attract</v>
      </c>
    </row>
    <row r="23520">
      <c r="A23520" s="1" t="s">
        <v>23519</v>
      </c>
      <c r="B23520" s="2" t="str">
        <f>IFERROR(__xludf.DUMMYFUNCTION("GOOGLETRANSLATE(A23520, ""de"", ""en"")"),"fall back")</f>
        <v>fall back</v>
      </c>
    </row>
    <row r="23521">
      <c r="A23521" s="1" t="s">
        <v>23520</v>
      </c>
      <c r="B23521" s="2" t="str">
        <f>IFERROR(__xludf.DUMMYFUNCTION("GOOGLETRANSLATE(A23521, ""de"", ""en"")"),"marriage")</f>
        <v>marriage</v>
      </c>
    </row>
    <row r="23522">
      <c r="A23522" s="1" t="s">
        <v>23521</v>
      </c>
      <c r="B23522" s="2" t="str">
        <f>IFERROR(__xludf.DUMMYFUNCTION("GOOGLETRANSLATE(A23522, ""de"", ""en"")"),"bent")</f>
        <v>bent</v>
      </c>
    </row>
    <row r="23523">
      <c r="A23523" s="1" t="s">
        <v>23522</v>
      </c>
      <c r="B23523" s="2" t="str">
        <f>IFERROR(__xludf.DUMMYFUNCTION("GOOGLETRANSLATE(A23523, ""de"", ""en"")"),"tough")</f>
        <v>tough</v>
      </c>
    </row>
    <row r="23524">
      <c r="A23524" s="1" t="s">
        <v>23523</v>
      </c>
      <c r="B23524" s="2" t="str">
        <f>IFERROR(__xludf.DUMMYFUNCTION("GOOGLETRANSLATE(A23524, ""de"", ""en"")"),"chambers")</f>
        <v>chambers</v>
      </c>
    </row>
    <row r="23525">
      <c r="A23525" s="1" t="s">
        <v>23524</v>
      </c>
      <c r="B23525" s="2" t="str">
        <f>IFERROR(__xludf.DUMMYFUNCTION("GOOGLETRANSLATE(A23525, ""de"", ""en"")"),"you answer")</f>
        <v>you answer</v>
      </c>
    </row>
    <row r="23526">
      <c r="A23526" s="1" t="s">
        <v>23525</v>
      </c>
      <c r="B23526" s="2" t="str">
        <f>IFERROR(__xludf.DUMMYFUNCTION("GOOGLETRANSLATE(A23526, ""de"", ""en"")"),"coburn")</f>
        <v>coburn</v>
      </c>
    </row>
    <row r="23527">
      <c r="A23527" s="1" t="s">
        <v>23526</v>
      </c>
      <c r="B23527" s="2" t="str">
        <f>IFERROR(__xludf.DUMMYFUNCTION("GOOGLETRANSLATE(A23527, ""de"", ""en"")"),"experienced")</f>
        <v>experienced</v>
      </c>
    </row>
    <row r="23528">
      <c r="A23528" s="1" t="s">
        <v>23527</v>
      </c>
      <c r="B23528" s="2" t="str">
        <f>IFERROR(__xludf.DUMMYFUNCTION("GOOGLETRANSLATE(A23528, ""de"", ""en"")"),"coast")</f>
        <v>coast</v>
      </c>
    </row>
    <row r="23529">
      <c r="A23529" s="1" t="s">
        <v>23528</v>
      </c>
      <c r="B23529" s="2" t="str">
        <f>IFERROR(__xludf.DUMMYFUNCTION("GOOGLETRANSLATE(A23529, ""de"", ""en"")"),"lifted")</f>
        <v>lifted</v>
      </c>
    </row>
    <row r="23530">
      <c r="A23530" s="1" t="s">
        <v>23529</v>
      </c>
      <c r="B23530" s="2" t="str">
        <f>IFERROR(__xludf.DUMMYFUNCTION("GOOGLETRANSLATE(A23530, ""de"", ""en"")"),"more mendacious")</f>
        <v>more mendacious</v>
      </c>
    </row>
    <row r="23531">
      <c r="A23531" s="1" t="s">
        <v>23530</v>
      </c>
      <c r="B23531" s="2" t="str">
        <f>IFERROR(__xludf.DUMMYFUNCTION("GOOGLETRANSLATE(A23531, ""de"", ""en"")"),"knock")</f>
        <v>knock</v>
      </c>
    </row>
    <row r="23532">
      <c r="A23532" s="1" t="s">
        <v>23531</v>
      </c>
      <c r="B23532" s="2" t="str">
        <f>IFERROR(__xludf.DUMMYFUNCTION("GOOGLETRANSLATE(A23532, ""de"", ""en"")"),"sightseeing attractions")</f>
        <v>sightseeing attractions</v>
      </c>
    </row>
    <row r="23533">
      <c r="A23533" s="1" t="s">
        <v>23532</v>
      </c>
      <c r="B23533" s="2" t="str">
        <f>IFERROR(__xludf.DUMMYFUNCTION("GOOGLETRANSLATE(A23533, ""de"", ""en"")"),"pettersson")</f>
        <v>pettersson</v>
      </c>
    </row>
    <row r="23534">
      <c r="A23534" s="1" t="s">
        <v>23533</v>
      </c>
      <c r="B23534" s="2" t="str">
        <f>IFERROR(__xludf.DUMMYFUNCTION("GOOGLETRANSLATE(A23534, ""de"", ""en"")"),"kidnap")</f>
        <v>kidnap</v>
      </c>
    </row>
    <row r="23535">
      <c r="A23535" s="1" t="s">
        <v>23534</v>
      </c>
      <c r="B23535" s="2" t="str">
        <f>IFERROR(__xludf.DUMMYFUNCTION("GOOGLETRANSLATE(A23535, ""de"", ""en"")"),"most difficult")</f>
        <v>most difficult</v>
      </c>
    </row>
    <row r="23536">
      <c r="A23536" s="1" t="s">
        <v>23535</v>
      </c>
      <c r="B23536" s="2" t="str">
        <f>IFERROR(__xludf.DUMMYFUNCTION("GOOGLETRANSLATE(A23536, ""de"", ""en"")"),"great fun")</f>
        <v>great fun</v>
      </c>
    </row>
    <row r="23537">
      <c r="A23537" s="1" t="s">
        <v>23536</v>
      </c>
      <c r="B23537" s="2" t="str">
        <f>IFERROR(__xludf.DUMMYFUNCTION("GOOGLETRANSLATE(A23537, ""de"", ""en"")"),"taste")</f>
        <v>taste</v>
      </c>
    </row>
    <row r="23538">
      <c r="A23538" s="1" t="s">
        <v>23537</v>
      </c>
      <c r="B23538" s="2" t="str">
        <f>IFERROR(__xludf.DUMMYFUNCTION("GOOGLETRANSLATE(A23538, ""de"", ""en"")"),"helped")</f>
        <v>helped</v>
      </c>
    </row>
    <row r="23539">
      <c r="A23539" s="1" t="s">
        <v>23538</v>
      </c>
      <c r="B23539" s="2" t="str">
        <f>IFERROR(__xludf.DUMMYFUNCTION("GOOGLETRANSLATE(A23539, ""de"", ""en"")"),"project")</f>
        <v>project</v>
      </c>
    </row>
    <row r="23540">
      <c r="A23540" s="1" t="s">
        <v>23539</v>
      </c>
      <c r="B23540" s="2" t="str">
        <f>IFERROR(__xludf.DUMMYFUNCTION("GOOGLETRANSLATE(A23540, ""de"", ""en"")"),"dodgers")</f>
        <v>dodgers</v>
      </c>
    </row>
    <row r="23541">
      <c r="A23541" s="1" t="s">
        <v>23540</v>
      </c>
      <c r="B23541" s="2" t="str">
        <f>IFERROR(__xludf.DUMMYFUNCTION("GOOGLETRANSLATE(A23541, ""de"", ""en"")"),"distant")</f>
        <v>distant</v>
      </c>
    </row>
    <row r="23542">
      <c r="A23542" s="1" t="s">
        <v>23541</v>
      </c>
      <c r="B23542" s="2" t="str">
        <f>IFERROR(__xludf.DUMMYFUNCTION("GOOGLETRANSLATE(A23542, ""de"", ""en"")"),"Gustave")</f>
        <v>Gustave</v>
      </c>
    </row>
    <row r="23543">
      <c r="A23543" s="1" t="s">
        <v>23542</v>
      </c>
      <c r="B23543" s="2" t="str">
        <f>IFERROR(__xludf.DUMMYFUNCTION("GOOGLETRANSLATE(A23543, ""de"", ""en"")"),"spots")</f>
        <v>spots</v>
      </c>
    </row>
    <row r="23544">
      <c r="A23544" s="1" t="s">
        <v>23543</v>
      </c>
      <c r="B23544" s="2" t="str">
        <f>IFERROR(__xludf.DUMMYFUNCTION("GOOGLETRANSLATE(A23544, ""de"", ""en"")"),"remote")</f>
        <v>remote</v>
      </c>
    </row>
    <row r="23545">
      <c r="A23545" s="1" t="s">
        <v>23544</v>
      </c>
      <c r="B23545" s="2" t="str">
        <f>IFERROR(__xludf.DUMMYFUNCTION("GOOGLETRANSLATE(A23545, ""de"", ""en"")"),"ventilated")</f>
        <v>ventilated</v>
      </c>
    </row>
    <row r="23546">
      <c r="A23546" s="1" t="s">
        <v>23545</v>
      </c>
      <c r="B23546" s="2" t="str">
        <f>IFERROR(__xludf.DUMMYFUNCTION("GOOGLETRANSLATE(A23546, ""de"", ""en"")"),"plea")</f>
        <v>plea</v>
      </c>
    </row>
    <row r="23547">
      <c r="A23547" s="1" t="s">
        <v>23546</v>
      </c>
      <c r="B23547" s="2" t="str">
        <f>IFERROR(__xludf.DUMMYFUNCTION("GOOGLETRANSLATE(A23547, ""de"", ""en"")"),"brew")</f>
        <v>brew</v>
      </c>
    </row>
    <row r="23548">
      <c r="A23548" s="1" t="s">
        <v>23547</v>
      </c>
      <c r="B23548" s="2" t="str">
        <f>IFERROR(__xludf.DUMMYFUNCTION("GOOGLETRANSLATE(A23548, ""de"", ""en"")"),"white")</f>
        <v>white</v>
      </c>
    </row>
    <row r="23549">
      <c r="A23549" s="1" t="s">
        <v>23548</v>
      </c>
      <c r="B23549" s="2" t="str">
        <f>IFERROR(__xludf.DUMMYFUNCTION("GOOGLETRANSLATE(A23549, ""de"", ""en"")"),"ger")</f>
        <v>ger</v>
      </c>
    </row>
    <row r="23550">
      <c r="A23550" s="1" t="s">
        <v>23549</v>
      </c>
      <c r="B23550" s="2" t="str">
        <f>IFERROR(__xludf.DUMMYFUNCTION("GOOGLETRANSLATE(A23550, ""de"", ""en"")"),"hooper")</f>
        <v>hooper</v>
      </c>
    </row>
    <row r="23551">
      <c r="A23551" s="1" t="s">
        <v>23550</v>
      </c>
      <c r="B23551" s="2" t="str">
        <f>IFERROR(__xludf.DUMMYFUNCTION("GOOGLETRANSLATE(A23551, ""de"", ""en"")"),"you would find")</f>
        <v>you would find</v>
      </c>
    </row>
    <row r="23552">
      <c r="A23552" s="1" t="s">
        <v>23551</v>
      </c>
      <c r="B23552" s="2" t="str">
        <f>IFERROR(__xludf.DUMMYFUNCTION("GOOGLETRANSLATE(A23552, ""de"", ""en"")"),"code")</f>
        <v>code</v>
      </c>
    </row>
    <row r="23553">
      <c r="A23553" s="1" t="s">
        <v>23552</v>
      </c>
      <c r="B23553" s="2" t="str">
        <f>IFERROR(__xludf.DUMMYFUNCTION("GOOGLETRANSLATE(A23553, ""de"", ""en"")"),"receptionist")</f>
        <v>receptionist</v>
      </c>
    </row>
    <row r="23554">
      <c r="A23554" s="1" t="s">
        <v>23553</v>
      </c>
      <c r="B23554" s="2" t="str">
        <f>IFERROR(__xludf.DUMMYFUNCTION("GOOGLETRANSLATE(A23554, ""de"", ""en"")"),"wanted")</f>
        <v>wanted</v>
      </c>
    </row>
    <row r="23555">
      <c r="A23555" s="1" t="s">
        <v>23554</v>
      </c>
      <c r="B23555" s="2" t="str">
        <f>IFERROR(__xludf.DUMMYFUNCTION("GOOGLETRANSLATE(A23555, ""de"", ""en"")"),"double murder")</f>
        <v>double murder</v>
      </c>
    </row>
    <row r="23556">
      <c r="A23556" s="1" t="s">
        <v>23555</v>
      </c>
      <c r="B23556" s="2" t="str">
        <f>IFERROR(__xludf.DUMMYFUNCTION("GOOGLETRANSLATE(A23556, ""de"", ""en"")"),"averted")</f>
        <v>averted</v>
      </c>
    </row>
    <row r="23557">
      <c r="A23557" s="1" t="s">
        <v>23556</v>
      </c>
      <c r="B23557" s="2" t="str">
        <f>IFERROR(__xludf.DUMMYFUNCTION("GOOGLETRANSLATE(A23557, ""de"", ""en"")"),"shorten")</f>
        <v>shorten</v>
      </c>
    </row>
    <row r="23558">
      <c r="A23558" s="1" t="s">
        <v>23557</v>
      </c>
      <c r="B23558" s="2" t="str">
        <f>IFERROR(__xludf.DUMMYFUNCTION("GOOGLETRANSLATE(A23558, ""de"", ""en"")"),"adventure")</f>
        <v>adventure</v>
      </c>
    </row>
    <row r="23559">
      <c r="A23559" s="1" t="s">
        <v>23558</v>
      </c>
      <c r="B23559" s="2" t="str">
        <f>IFERROR(__xludf.DUMMYFUNCTION("GOOGLETRANSLATE(A23559, ""de"", ""en"")"),"lured")</f>
        <v>lured</v>
      </c>
    </row>
    <row r="23560">
      <c r="A23560" s="1" t="s">
        <v>23559</v>
      </c>
      <c r="B23560" s="2" t="str">
        <f>IFERROR(__xludf.DUMMYFUNCTION("GOOGLETRANSLATE(A23560, ""de"", ""en"")"),"you asked")</f>
        <v>you asked</v>
      </c>
    </row>
    <row r="23561">
      <c r="A23561" s="1" t="s">
        <v>23560</v>
      </c>
      <c r="B23561" s="2" t="str">
        <f>IFERROR(__xludf.DUMMYFUNCTION("GOOGLETRANSLATE(A23561, ""de"", ""en"")"),"twin sister")</f>
        <v>twin sister</v>
      </c>
    </row>
    <row r="23562">
      <c r="A23562" s="1" t="s">
        <v>23561</v>
      </c>
      <c r="B23562" s="2" t="str">
        <f>IFERROR(__xludf.DUMMYFUNCTION("GOOGLETRANSLATE(A23562, ""de"", ""en"")"),"yes")</f>
        <v>yes</v>
      </c>
    </row>
    <row r="23563">
      <c r="A23563" s="1" t="s">
        <v>23562</v>
      </c>
      <c r="B23563" s="2" t="str">
        <f>IFERROR(__xludf.DUMMYFUNCTION("GOOGLETRANSLATE(A23563, ""de"", ""en"")"),"fucked up")</f>
        <v>fucked up</v>
      </c>
    </row>
    <row r="23564">
      <c r="A23564" s="1" t="s">
        <v>23563</v>
      </c>
      <c r="B23564" s="2" t="str">
        <f>IFERROR(__xludf.DUMMYFUNCTION("GOOGLETRANSLATE(A23564, ""de"", ""en"")"),"juggle")</f>
        <v>juggle</v>
      </c>
    </row>
    <row r="23565">
      <c r="A23565" s="1" t="s">
        <v>23564</v>
      </c>
      <c r="B23565" s="2" t="str">
        <f>IFERROR(__xludf.DUMMYFUNCTION("GOOGLETRANSLATE(A23565, ""de"", ""en"")"),"weapons warehouse")</f>
        <v>weapons warehouse</v>
      </c>
    </row>
    <row r="23566">
      <c r="A23566" s="1" t="s">
        <v>23565</v>
      </c>
      <c r="B23566" s="2" t="str">
        <f>IFERROR(__xludf.DUMMYFUNCTION("GOOGLETRANSLATE(A23566, ""de"", ""en"")"),"may")</f>
        <v>may</v>
      </c>
    </row>
    <row r="23567">
      <c r="A23567" s="1" t="s">
        <v>23566</v>
      </c>
      <c r="B23567" s="2" t="str">
        <f>IFERROR(__xludf.DUMMYFUNCTION("GOOGLETRANSLATE(A23567, ""de"", ""en"")"),"exceeds")</f>
        <v>exceeds</v>
      </c>
    </row>
    <row r="23568">
      <c r="A23568" s="1" t="s">
        <v>23567</v>
      </c>
      <c r="B23568" s="2" t="str">
        <f>IFERROR(__xludf.DUMMYFUNCTION("GOOGLETRANSLATE(A23568, ""de"", ""en"")"),"parameter")</f>
        <v>parameter</v>
      </c>
    </row>
    <row r="23569">
      <c r="A23569" s="1" t="s">
        <v>23568</v>
      </c>
      <c r="B23569" s="2" t="str">
        <f>IFERROR(__xludf.DUMMYFUNCTION("GOOGLETRANSLATE(A23569, ""de"", ""en"")"),"glacier")</f>
        <v>glacier</v>
      </c>
    </row>
    <row r="23570">
      <c r="A23570" s="1" t="s">
        <v>23569</v>
      </c>
      <c r="B23570" s="2" t="str">
        <f>IFERROR(__xludf.DUMMYFUNCTION("GOOGLETRANSLATE(A23570, ""de"", ""en"")"),"beaches")</f>
        <v>beaches</v>
      </c>
    </row>
    <row r="23571">
      <c r="A23571" s="1" t="s">
        <v>23570</v>
      </c>
      <c r="B23571" s="2" t="str">
        <f>IFERROR(__xludf.DUMMYFUNCTION("GOOGLETRANSLATE(A23571, ""de"", ""en"")"),"remain silent")</f>
        <v>remain silent</v>
      </c>
    </row>
    <row r="23572">
      <c r="A23572" s="1" t="s">
        <v>23571</v>
      </c>
      <c r="B23572" s="2" t="str">
        <f>IFERROR(__xludf.DUMMYFUNCTION("GOOGLETRANSLATE(A23572, ""de"", ""en"")"),"eel")</f>
        <v>eel</v>
      </c>
    </row>
    <row r="23573">
      <c r="A23573" s="1" t="s">
        <v>23572</v>
      </c>
      <c r="B23573" s="2" t="str">
        <f>IFERROR(__xludf.DUMMYFUNCTION("GOOGLETRANSLATE(A23573, ""de"", ""en"")"),"Frederic")</f>
        <v>Frederic</v>
      </c>
    </row>
    <row r="23574">
      <c r="A23574" s="1" t="s">
        <v>23573</v>
      </c>
      <c r="B23574" s="2" t="str">
        <f>IFERROR(__xludf.DUMMYFUNCTION("GOOGLETRANSLATE(A23574, ""de"", ""en"")"),"service supervision")</f>
        <v>service supervision</v>
      </c>
    </row>
    <row r="23575">
      <c r="A23575" s="1" t="s">
        <v>23574</v>
      </c>
      <c r="B23575" s="2" t="str">
        <f>IFERROR(__xludf.DUMMYFUNCTION("GOOGLETRANSLATE(A23575, ""de"", ""en"")"),"emergency exit")</f>
        <v>emergency exit</v>
      </c>
    </row>
    <row r="23576">
      <c r="A23576" s="1" t="s">
        <v>23575</v>
      </c>
      <c r="B23576" s="2" t="str">
        <f>IFERROR(__xludf.DUMMYFUNCTION("GOOGLETRANSLATE(A23576, ""de"", ""en"")"),"more handsome")</f>
        <v>more handsome</v>
      </c>
    </row>
    <row r="23577">
      <c r="A23577" s="1" t="s">
        <v>23576</v>
      </c>
      <c r="B23577" s="2" t="str">
        <f>IFERROR(__xludf.DUMMYFUNCTION("GOOGLETRANSLATE(A23577, ""de"", ""en"")"),"fabio")</f>
        <v>fabio</v>
      </c>
    </row>
    <row r="23578">
      <c r="A23578" s="1" t="s">
        <v>23577</v>
      </c>
      <c r="B23578" s="2" t="str">
        <f>IFERROR(__xludf.DUMMYFUNCTION("GOOGLETRANSLATE(A23578, ""de"", ""en"")"),"voila")</f>
        <v>voila</v>
      </c>
    </row>
    <row r="23579">
      <c r="A23579" s="1" t="s">
        <v>23578</v>
      </c>
      <c r="B23579" s="2" t="str">
        <f>IFERROR(__xludf.DUMMYFUNCTION("GOOGLETRANSLATE(A23579, ""de"", ""en"")"),"landing site")</f>
        <v>landing site</v>
      </c>
    </row>
    <row r="23580">
      <c r="A23580" s="1" t="s">
        <v>23579</v>
      </c>
      <c r="B23580" s="2" t="str">
        <f>IFERROR(__xludf.DUMMYFUNCTION("GOOGLETRANSLATE(A23580, ""de"", ""en"")"),"to approach")</f>
        <v>to approach</v>
      </c>
    </row>
    <row r="23581">
      <c r="A23581" s="1" t="s">
        <v>23580</v>
      </c>
      <c r="B23581" s="2" t="str">
        <f>IFERROR(__xludf.DUMMYFUNCTION("GOOGLETRANSLATE(A23581, ""de"", ""en"")"),"mavis")</f>
        <v>mavis</v>
      </c>
    </row>
    <row r="23582">
      <c r="A23582" s="1" t="s">
        <v>23581</v>
      </c>
      <c r="B23582" s="2" t="str">
        <f>IFERROR(__xludf.DUMMYFUNCTION("GOOGLETRANSLATE(A23582, ""de"", ""en"")"),"indiscriminately")</f>
        <v>indiscriminately</v>
      </c>
    </row>
    <row r="23583">
      <c r="A23583" s="1" t="s">
        <v>23582</v>
      </c>
      <c r="B23583" s="2" t="str">
        <f>IFERROR(__xludf.DUMMYFUNCTION("GOOGLETRANSLATE(A23583, ""de"", ""en"")"),"blooming")</f>
        <v>blooming</v>
      </c>
    </row>
    <row r="23584">
      <c r="A23584" s="1" t="s">
        <v>23583</v>
      </c>
      <c r="B23584" s="2" t="str">
        <f>IFERROR(__xludf.DUMMYFUNCTION("GOOGLETRANSLATE(A23584, ""de"", ""en"")"),"mackey")</f>
        <v>mackey</v>
      </c>
    </row>
    <row r="23585">
      <c r="A23585" s="1" t="s">
        <v>23584</v>
      </c>
      <c r="B23585" s="2" t="str">
        <f>IFERROR(__xludf.DUMMYFUNCTION("GOOGLETRANSLATE(A23585, ""de"", ""en"")"),"personal protection")</f>
        <v>personal protection</v>
      </c>
    </row>
    <row r="23586">
      <c r="A23586" s="1" t="s">
        <v>23585</v>
      </c>
      <c r="B23586" s="2" t="str">
        <f>IFERROR(__xludf.DUMMYFUNCTION("GOOGLETRANSLATE(A23586, ""de"", ""en"")"),"duel")</f>
        <v>duel</v>
      </c>
    </row>
    <row r="23587">
      <c r="A23587" s="1" t="s">
        <v>23586</v>
      </c>
      <c r="B23587" s="2" t="str">
        <f>IFERROR(__xludf.DUMMYFUNCTION("GOOGLETRANSLATE(A23587, ""de"", ""en"")"),"exhaust")</f>
        <v>exhaust</v>
      </c>
    </row>
    <row r="23588">
      <c r="A23588" s="1" t="s">
        <v>23587</v>
      </c>
      <c r="B23588" s="2" t="str">
        <f>IFERROR(__xludf.DUMMYFUNCTION("GOOGLETRANSLATE(A23588, ""de"", ""en"")"),"tendencies")</f>
        <v>tendencies</v>
      </c>
    </row>
    <row r="23589">
      <c r="A23589" s="1" t="s">
        <v>23588</v>
      </c>
      <c r="B23589" s="2" t="str">
        <f>IFERROR(__xludf.DUMMYFUNCTION("GOOGLETRANSLATE(A23589, ""de"", ""en"")"),"huntington")</f>
        <v>huntington</v>
      </c>
    </row>
    <row r="23590">
      <c r="A23590" s="1" t="s">
        <v>23589</v>
      </c>
      <c r="B23590" s="2" t="str">
        <f>IFERROR(__xludf.DUMMYFUNCTION("GOOGLETRANSLATE(A23590, ""de"", ""en"")"),"meryl")</f>
        <v>meryl</v>
      </c>
    </row>
    <row r="23591">
      <c r="A23591" s="1" t="s">
        <v>23590</v>
      </c>
      <c r="B23591" s="2" t="str">
        <f>IFERROR(__xludf.DUMMYFUNCTION("GOOGLETRANSLATE(A23591, ""de"", ""en"")"),"dumbledore")</f>
        <v>dumbledore</v>
      </c>
    </row>
    <row r="23592">
      <c r="A23592" s="1" t="s">
        <v>23591</v>
      </c>
      <c r="B23592" s="2" t="str">
        <f>IFERROR(__xludf.DUMMYFUNCTION("GOOGLETRANSLATE(A23592, ""de"", ""en"")"),"notes")</f>
        <v>notes</v>
      </c>
    </row>
    <row r="23593">
      <c r="A23593" s="1" t="s">
        <v>23592</v>
      </c>
      <c r="B23593" s="2" t="str">
        <f>IFERROR(__xludf.DUMMYFUNCTION("GOOGLETRANSLATE(A23593, ""de"", ""en"")"),"front man")</f>
        <v>front man</v>
      </c>
    </row>
    <row r="23594">
      <c r="A23594" s="1" t="s">
        <v>23593</v>
      </c>
      <c r="B23594" s="2" t="str">
        <f>IFERROR(__xludf.DUMMYFUNCTION("GOOGLETRANSLATE(A23594, ""de"", ""en"")"),"avenger")</f>
        <v>avenger</v>
      </c>
    </row>
    <row r="23595">
      <c r="A23595" s="1" t="s">
        <v>23594</v>
      </c>
      <c r="B23595" s="2" t="str">
        <f>IFERROR(__xludf.DUMMYFUNCTION("GOOGLETRANSLATE(A23595, ""de"", ""en"")"),"plum")</f>
        <v>plum</v>
      </c>
    </row>
    <row r="23596">
      <c r="A23596" s="1" t="s">
        <v>23595</v>
      </c>
      <c r="B23596" s="2" t="str">
        <f>IFERROR(__xludf.DUMMYFUNCTION("GOOGLETRANSLATE(A23596, ""de"", ""en"")"),"lengths")</f>
        <v>lengths</v>
      </c>
    </row>
    <row r="23597">
      <c r="A23597" s="1" t="s">
        <v>23596</v>
      </c>
      <c r="B23597" s="2" t="str">
        <f>IFERROR(__xludf.DUMMYFUNCTION("GOOGLETRANSLATE(A23597, ""de"", ""en"")"),"take")</f>
        <v>take</v>
      </c>
    </row>
    <row r="23598">
      <c r="A23598" s="1" t="s">
        <v>23597</v>
      </c>
      <c r="B23598" s="2" t="str">
        <f>IFERROR(__xludf.DUMMYFUNCTION("GOOGLETRANSLATE(A23598, ""de"", ""en"")"),"wanted")</f>
        <v>wanted</v>
      </c>
    </row>
    <row r="23599">
      <c r="A23599" s="1" t="s">
        <v>23598</v>
      </c>
      <c r="B23599" s="2" t="str">
        <f>IFERROR(__xludf.DUMMYFUNCTION("GOOGLETRANSLATE(A23599, ""de"", ""en"")"),"strategically")</f>
        <v>strategically</v>
      </c>
    </row>
    <row r="23600">
      <c r="A23600" s="1" t="s">
        <v>23599</v>
      </c>
      <c r="B23600" s="2" t="str">
        <f>IFERROR(__xludf.DUMMYFUNCTION("GOOGLETRANSLATE(A23600, ""de"", ""en"")"),"squealing tires")</f>
        <v>squealing tires</v>
      </c>
    </row>
    <row r="23601">
      <c r="A23601" s="1" t="s">
        <v>23600</v>
      </c>
      <c r="B23601" s="2" t="str">
        <f>IFERROR(__xludf.DUMMYFUNCTION("GOOGLETRANSLATE(A23601, ""de"", ""en"")"),"brings in")</f>
        <v>brings in</v>
      </c>
    </row>
    <row r="23602">
      <c r="A23602" s="1" t="s">
        <v>23601</v>
      </c>
      <c r="B23602" s="2" t="str">
        <f>IFERROR(__xludf.DUMMYFUNCTION("GOOGLETRANSLATE(A23602, ""de"", ""en"")"),"quint")</f>
        <v>quint</v>
      </c>
    </row>
    <row r="23603">
      <c r="A23603" s="1" t="s">
        <v>23602</v>
      </c>
      <c r="B23603" s="2" t="str">
        <f>IFERROR(__xludf.DUMMYFUNCTION("GOOGLETRANSLATE(A23603, ""de"", ""en"")"),"metabolism")</f>
        <v>metabolism</v>
      </c>
    </row>
    <row r="23604">
      <c r="A23604" s="1" t="s">
        <v>23603</v>
      </c>
      <c r="B23604" s="2" t="str">
        <f>IFERROR(__xludf.DUMMYFUNCTION("GOOGLETRANSLATE(A23604, ""de"", ""en"")"),"to go in")</f>
        <v>to go in</v>
      </c>
    </row>
    <row r="23605">
      <c r="A23605" s="1" t="s">
        <v>23604</v>
      </c>
      <c r="B23605" s="2" t="str">
        <f>IFERROR(__xludf.DUMMYFUNCTION("GOOGLETRANSLATE(A23605, ""de"", ""en"")"),"parole")</f>
        <v>parole</v>
      </c>
    </row>
    <row r="23606">
      <c r="A23606" s="1" t="s">
        <v>23605</v>
      </c>
      <c r="B23606" s="2" t="str">
        <f>IFERROR(__xludf.DUMMYFUNCTION("GOOGLETRANSLATE(A23606, ""de"", ""en"")"),"energy")</f>
        <v>energy</v>
      </c>
    </row>
    <row r="23607">
      <c r="A23607" s="1" t="s">
        <v>23606</v>
      </c>
      <c r="B23607" s="2" t="str">
        <f>IFERROR(__xludf.DUMMYFUNCTION("GOOGLETRANSLATE(A23607, ""de"", ""en"")"),"break")</f>
        <v>break</v>
      </c>
    </row>
    <row r="23608">
      <c r="A23608" s="1" t="s">
        <v>23607</v>
      </c>
      <c r="B23608" s="2" t="str">
        <f>IFERROR(__xludf.DUMMYFUNCTION("GOOGLETRANSLATE(A23608, ""de"", ""en"")"),"prepared")</f>
        <v>prepared</v>
      </c>
    </row>
    <row r="23609">
      <c r="A23609" s="1" t="s">
        <v>23608</v>
      </c>
      <c r="B23609" s="2" t="str">
        <f>IFERROR(__xludf.DUMMYFUNCTION("GOOGLETRANSLATE(A23609, ""de"", ""en"")"),"to exercise")</f>
        <v>to exercise</v>
      </c>
    </row>
    <row r="23610">
      <c r="A23610" s="1" t="s">
        <v>23609</v>
      </c>
      <c r="B23610" s="2" t="str">
        <f>IFERROR(__xludf.DUMMYFUNCTION("GOOGLETRANSLATE(A23610, ""de"", ""en"")"),"macleish")</f>
        <v>macleish</v>
      </c>
    </row>
    <row r="23611">
      <c r="A23611" s="1" t="s">
        <v>23610</v>
      </c>
      <c r="B23611" s="2" t="str">
        <f>IFERROR(__xludf.DUMMYFUNCTION("GOOGLETRANSLATE(A23611, ""de"", ""en"")"),"dramatic")</f>
        <v>dramatic</v>
      </c>
    </row>
    <row r="23612">
      <c r="A23612" s="1" t="s">
        <v>23611</v>
      </c>
      <c r="B23612" s="2" t="str">
        <f>IFERROR(__xludf.DUMMYFUNCTION("GOOGLETRANSLATE(A23612, ""de"", ""en"")"),"invulnerable")</f>
        <v>invulnerable</v>
      </c>
    </row>
    <row r="23613">
      <c r="A23613" s="1" t="s">
        <v>23612</v>
      </c>
      <c r="B23613" s="2" t="str">
        <f>IFERROR(__xludf.DUMMYFUNCTION("GOOGLETRANSLATE(A23613, ""de"", ""en"")"),"occurred")</f>
        <v>occurred</v>
      </c>
    </row>
    <row r="23614">
      <c r="A23614" s="1" t="s">
        <v>23613</v>
      </c>
      <c r="B23614" s="2" t="str">
        <f>IFERROR(__xludf.DUMMYFUNCTION("GOOGLETRANSLATE(A23614, ""de"", ""en"")"),"types")</f>
        <v>types</v>
      </c>
    </row>
    <row r="23615">
      <c r="A23615" s="1" t="s">
        <v>23614</v>
      </c>
      <c r="B23615" s="2" t="str">
        <f>IFERROR(__xludf.DUMMYFUNCTION("GOOGLETRANSLATE(A23615, ""de"", ""en"")"),"conscience")</f>
        <v>conscience</v>
      </c>
    </row>
    <row r="23616">
      <c r="A23616" s="1" t="s">
        <v>23615</v>
      </c>
      <c r="B23616" s="2" t="str">
        <f>IFERROR(__xludf.DUMMYFUNCTION("GOOGLETRANSLATE(A23616, ""de"", ""en"")"),"shapeshifter")</f>
        <v>shapeshifter</v>
      </c>
    </row>
    <row r="23617">
      <c r="A23617" s="1" t="s">
        <v>23616</v>
      </c>
      <c r="B23617" s="2" t="str">
        <f>IFERROR(__xludf.DUMMYFUNCTION("GOOGLETRANSLATE(A23617, ""de"", ""en"")"),"crush")</f>
        <v>crush</v>
      </c>
    </row>
    <row r="23618">
      <c r="A23618" s="1" t="s">
        <v>23617</v>
      </c>
      <c r="B23618" s="2" t="str">
        <f>IFERROR(__xludf.DUMMYFUNCTION("GOOGLETRANSLATE(A23618, ""de"", ""en"")"),"hazard")</f>
        <v>hazard</v>
      </c>
    </row>
    <row r="23619">
      <c r="A23619" s="1" t="s">
        <v>23618</v>
      </c>
      <c r="B23619" s="2" t="str">
        <f>IFERROR(__xludf.DUMMYFUNCTION("GOOGLETRANSLATE(A23619, ""de"", ""en"")"),"listen in")</f>
        <v>listen in</v>
      </c>
    </row>
    <row r="23620">
      <c r="A23620" s="1" t="s">
        <v>23619</v>
      </c>
      <c r="B23620" s="2" t="str">
        <f>IFERROR(__xludf.DUMMYFUNCTION("GOOGLETRANSLATE(A23620, ""de"", ""en"")"),"arrested")</f>
        <v>arrested</v>
      </c>
    </row>
    <row r="23621">
      <c r="A23621" s="1" t="s">
        <v>23620</v>
      </c>
      <c r="B23621" s="2" t="str">
        <f>IFERROR(__xludf.DUMMYFUNCTION("GOOGLETRANSLATE(A23621, ""de"", ""en"")"),"exciting")</f>
        <v>exciting</v>
      </c>
    </row>
    <row r="23622">
      <c r="A23622" s="1" t="s">
        <v>23621</v>
      </c>
      <c r="B23622" s="2" t="str">
        <f>IFERROR(__xludf.DUMMYFUNCTION("GOOGLETRANSLATE(A23622, ""de"", ""en"")"),"fascist")</f>
        <v>fascist</v>
      </c>
    </row>
    <row r="23623">
      <c r="A23623" s="1" t="s">
        <v>23622</v>
      </c>
      <c r="B23623" s="2" t="str">
        <f>IFERROR(__xludf.DUMMYFUNCTION("GOOGLETRANSLATE(A23623, ""de"", ""en"")"),"superiority")</f>
        <v>superiority</v>
      </c>
    </row>
    <row r="23624">
      <c r="A23624" s="1" t="s">
        <v>23623</v>
      </c>
      <c r="B23624" s="2" t="str">
        <f>IFERROR(__xludf.DUMMYFUNCTION("GOOGLETRANSLATE(A23624, ""de"", ""en"")"),"musketeer")</f>
        <v>musketeer</v>
      </c>
    </row>
    <row r="23625">
      <c r="A23625" s="1" t="s">
        <v>23624</v>
      </c>
      <c r="B23625" s="2" t="str">
        <f>IFERROR(__xludf.DUMMYFUNCTION("GOOGLETRANSLATE(A23625, ""de"", ""en"")"),"treasury")</f>
        <v>treasury</v>
      </c>
    </row>
    <row r="23626">
      <c r="A23626" s="1" t="s">
        <v>23625</v>
      </c>
      <c r="B23626" s="2" t="str">
        <f>IFERROR(__xludf.DUMMYFUNCTION("GOOGLETRANSLATE(A23626, ""de"", ""en"")"),"pantyhose")</f>
        <v>pantyhose</v>
      </c>
    </row>
    <row r="23627">
      <c r="A23627" s="1" t="s">
        <v>23626</v>
      </c>
      <c r="B23627" s="2" t="str">
        <f>IFERROR(__xludf.DUMMYFUNCTION("GOOGLETRANSLATE(A23627, ""de"", ""en"")"),"encounters")</f>
        <v>encounters</v>
      </c>
    </row>
    <row r="23628">
      <c r="A23628" s="1" t="s">
        <v>23627</v>
      </c>
      <c r="B23628" s="2" t="str">
        <f>IFERROR(__xludf.DUMMYFUNCTION("GOOGLETRANSLATE(A23628, ""de"", ""en"")"),"locks")</f>
        <v>locks</v>
      </c>
    </row>
    <row r="23629">
      <c r="A23629" s="1" t="s">
        <v>23628</v>
      </c>
      <c r="B23629" s="2" t="str">
        <f>IFERROR(__xludf.DUMMYFUNCTION("GOOGLETRANSLATE(A23629, ""de"", ""en"")"),"dyson")</f>
        <v>dyson</v>
      </c>
    </row>
    <row r="23630">
      <c r="A23630" s="1" t="s">
        <v>23629</v>
      </c>
      <c r="B23630" s="2" t="str">
        <f>IFERROR(__xludf.DUMMYFUNCTION("GOOGLETRANSLATE(A23630, ""de"", ""en"")"),"novels")</f>
        <v>novels</v>
      </c>
    </row>
    <row r="23631">
      <c r="A23631" s="1" t="s">
        <v>23630</v>
      </c>
      <c r="B23631" s="2" t="str">
        <f>IFERROR(__xludf.DUMMYFUNCTION("GOOGLETRANSLATE(A23631, ""de"", ""en"")"),"chandelier")</f>
        <v>chandelier</v>
      </c>
    </row>
    <row r="23632">
      <c r="A23632" s="1" t="s">
        <v>23631</v>
      </c>
      <c r="B23632" s="2" t="str">
        <f>IFERROR(__xludf.DUMMYFUNCTION("GOOGLETRANSLATE(A23632, ""de"", ""en"")"),"hashtag")</f>
        <v>hashtag</v>
      </c>
    </row>
    <row r="23633">
      <c r="A23633" s="1" t="s">
        <v>23632</v>
      </c>
      <c r="B23633" s="2" t="str">
        <f>IFERROR(__xludf.DUMMYFUNCTION("GOOGLETRANSLATE(A23633, ""de"", ""en"")"),"wedding dress")</f>
        <v>wedding dress</v>
      </c>
    </row>
    <row r="23634">
      <c r="A23634" s="1" t="s">
        <v>23633</v>
      </c>
      <c r="B23634" s="2" t="str">
        <f>IFERROR(__xludf.DUMMYFUNCTION("GOOGLETRANSLATE(A23634, ""de"", ""en"")"),"Bobbie")</f>
        <v>Bobbie</v>
      </c>
    </row>
    <row r="23635">
      <c r="A23635" s="1" t="s">
        <v>23634</v>
      </c>
      <c r="B23635" s="2" t="str">
        <f>IFERROR(__xludf.DUMMYFUNCTION("GOOGLETRANSLATE(A23635, ""de"", ""en"")"),"adjusted")</f>
        <v>adjusted</v>
      </c>
    </row>
    <row r="23636">
      <c r="A23636" s="1" t="s">
        <v>23635</v>
      </c>
      <c r="B23636" s="2" t="str">
        <f>IFERROR(__xludf.DUMMYFUNCTION("GOOGLETRANSLATE(A23636, ""de"", ""en"")"),"pity")</f>
        <v>pity</v>
      </c>
    </row>
    <row r="23637">
      <c r="A23637" s="1" t="s">
        <v>23636</v>
      </c>
      <c r="B23637" s="2" t="str">
        <f>IFERROR(__xludf.DUMMYFUNCTION("GOOGLETRANSLATE(A23637, ""de"", ""en"")"),"tense")</f>
        <v>tense</v>
      </c>
    </row>
    <row r="23638">
      <c r="A23638" s="1" t="s">
        <v>23637</v>
      </c>
      <c r="B23638" s="2" t="str">
        <f>IFERROR(__xludf.DUMMYFUNCTION("GOOGLETRANSLATE(A23638, ""de"", ""en"")"),"beowulf")</f>
        <v>beowulf</v>
      </c>
    </row>
    <row r="23639">
      <c r="A23639" s="1" t="s">
        <v>23638</v>
      </c>
      <c r="B23639" s="2" t="str">
        <f>IFERROR(__xludf.DUMMYFUNCTION("GOOGLETRANSLATE(A23639, ""de"", ""en"")"),"senora")</f>
        <v>senora</v>
      </c>
    </row>
    <row r="23640">
      <c r="A23640" s="1" t="s">
        <v>23639</v>
      </c>
      <c r="B23640" s="2" t="str">
        <f>IFERROR(__xludf.DUMMYFUNCTION("GOOGLETRANSLATE(A23640, ""de"", ""en"")"),"messed up")</f>
        <v>messed up</v>
      </c>
    </row>
    <row r="23641">
      <c r="A23641" s="1" t="s">
        <v>23640</v>
      </c>
      <c r="B23641" s="2" t="str">
        <f>IFERROR(__xludf.DUMMYFUNCTION("GOOGLETRANSLATE(A23641, ""de"", ""en"")"),"littered")</f>
        <v>littered</v>
      </c>
    </row>
    <row r="23642">
      <c r="A23642" s="1" t="s">
        <v>23641</v>
      </c>
      <c r="B23642" s="2" t="str">
        <f>IFERROR(__xludf.DUMMYFUNCTION("GOOGLETRANSLATE(A23642, ""de"", ""en"")"),"work")</f>
        <v>work</v>
      </c>
    </row>
    <row r="23643">
      <c r="A23643" s="1" t="s">
        <v>23642</v>
      </c>
      <c r="B23643" s="2" t="str">
        <f>IFERROR(__xludf.DUMMYFUNCTION("GOOGLETRANSLATE(A23643, ""de"", ""en"")"),"corroded")</f>
        <v>corroded</v>
      </c>
    </row>
    <row r="23644">
      <c r="A23644" s="1" t="s">
        <v>23643</v>
      </c>
      <c r="B23644" s="2" t="str">
        <f>IFERROR(__xludf.DUMMYFUNCTION("GOOGLETRANSLATE(A23644, ""de"", ""en"")"),"billings")</f>
        <v>billings</v>
      </c>
    </row>
    <row r="23645">
      <c r="A23645" s="1" t="s">
        <v>23644</v>
      </c>
      <c r="B23645" s="2" t="str">
        <f>IFERROR(__xludf.DUMMYFUNCTION("GOOGLETRANSLATE(A23645, ""de"", ""en"")"),"iceberg")</f>
        <v>iceberg</v>
      </c>
    </row>
    <row r="23646">
      <c r="A23646" s="1" t="s">
        <v>23645</v>
      </c>
      <c r="B23646" s="2" t="str">
        <f>IFERROR(__xludf.DUMMYFUNCTION("GOOGLETRANSLATE(A23646, ""de"", ""en"")"),"consultation hour")</f>
        <v>consultation hour</v>
      </c>
    </row>
    <row r="23647">
      <c r="A23647" s="1" t="s">
        <v>23646</v>
      </c>
      <c r="B23647" s="2" t="str">
        <f>IFERROR(__xludf.DUMMYFUNCTION("GOOGLETRANSLATE(A23647, ""de"", ""en"")"),"aperitif")</f>
        <v>aperitif</v>
      </c>
    </row>
    <row r="23648">
      <c r="A23648" s="1" t="s">
        <v>23647</v>
      </c>
      <c r="B23648" s="2" t="str">
        <f>IFERROR(__xludf.DUMMYFUNCTION("GOOGLETRANSLATE(A23648, ""de"", ""en"")"),"squeak")</f>
        <v>squeak</v>
      </c>
    </row>
    <row r="23649">
      <c r="A23649" s="1" t="s">
        <v>23648</v>
      </c>
      <c r="B23649" s="2" t="str">
        <f>IFERROR(__xludf.DUMMYFUNCTION("GOOGLETRANSLATE(A23649, ""de"", ""en"")"),"suicidal")</f>
        <v>suicidal</v>
      </c>
    </row>
    <row r="23650">
      <c r="A23650" s="1" t="s">
        <v>23649</v>
      </c>
      <c r="B23650" s="2" t="str">
        <f>IFERROR(__xludf.DUMMYFUNCTION("GOOGLETRANSLATE(A23650, ""de"", ""en"")"),"worldwide")</f>
        <v>worldwide</v>
      </c>
    </row>
    <row r="23651">
      <c r="A23651" s="1" t="s">
        <v>23650</v>
      </c>
      <c r="B23651" s="2" t="str">
        <f>IFERROR(__xludf.DUMMYFUNCTION("GOOGLETRANSLATE(A23651, ""de"", ""en"")"),"Adele")</f>
        <v>Adele</v>
      </c>
    </row>
    <row r="23652">
      <c r="A23652" s="1" t="s">
        <v>23651</v>
      </c>
      <c r="B23652" s="2" t="str">
        <f>IFERROR(__xludf.DUMMYFUNCTION("GOOGLETRANSLATE(A23652, ""de"", ""en"")"),"brisk")</f>
        <v>brisk</v>
      </c>
    </row>
    <row r="23653">
      <c r="A23653" s="1" t="s">
        <v>23652</v>
      </c>
      <c r="B23653" s="2" t="str">
        <f>IFERROR(__xludf.DUMMYFUNCTION("GOOGLETRANSLATE(A23653, ""de"", ""en"")"),"priscilla")</f>
        <v>priscilla</v>
      </c>
    </row>
    <row r="23654">
      <c r="A23654" s="1" t="s">
        <v>23653</v>
      </c>
      <c r="B23654" s="2" t="str">
        <f>IFERROR(__xludf.DUMMYFUNCTION("GOOGLETRANSLATE(A23654, ""de"", ""en"")"),"sway")</f>
        <v>sway</v>
      </c>
    </row>
    <row r="23655">
      <c r="A23655" s="1" t="s">
        <v>23654</v>
      </c>
      <c r="B23655" s="2" t="str">
        <f>IFERROR(__xludf.DUMMYFUNCTION("GOOGLETRANSLATE(A23655, ""de"", ""en"")"),"cocoon")</f>
        <v>cocoon</v>
      </c>
    </row>
    <row r="23656">
      <c r="A23656" s="1" t="s">
        <v>23655</v>
      </c>
      <c r="B23656" s="2" t="str">
        <f>IFERROR(__xludf.DUMMYFUNCTION("GOOGLETRANSLATE(A23656, ""de"", ""en"")"),"spells")</f>
        <v>spells</v>
      </c>
    </row>
    <row r="23657">
      <c r="A23657" s="1" t="s">
        <v>23656</v>
      </c>
      <c r="B23657" s="2" t="str">
        <f>IFERROR(__xludf.DUMMYFUNCTION("GOOGLETRANSLATE(A23657, ""de"", ""en"")"),"remember")</f>
        <v>remember</v>
      </c>
    </row>
    <row r="23658">
      <c r="A23658" s="1" t="s">
        <v>23657</v>
      </c>
      <c r="B23658" s="2" t="str">
        <f>IFERROR(__xludf.DUMMYFUNCTION("GOOGLETRANSLATE(A23658, ""de"", ""en"")"),"tov")</f>
        <v>tov</v>
      </c>
    </row>
    <row r="23659">
      <c r="A23659" s="1" t="s">
        <v>23658</v>
      </c>
      <c r="B23659" s="2" t="str">
        <f>IFERROR(__xludf.DUMMYFUNCTION("GOOGLETRANSLATE(A23659, ""de"", ""en"")"),"crossed")</f>
        <v>crossed</v>
      </c>
    </row>
    <row r="23660">
      <c r="A23660" s="1" t="s">
        <v>23659</v>
      </c>
      <c r="B23660" s="2" t="str">
        <f>IFERROR(__xludf.DUMMYFUNCTION("GOOGLETRANSLATE(A23660, ""de"", ""en"")"),"hex")</f>
        <v>hex</v>
      </c>
    </row>
    <row r="23661">
      <c r="A23661" s="1" t="s">
        <v>23660</v>
      </c>
      <c r="B23661" s="2" t="str">
        <f>IFERROR(__xludf.DUMMYFUNCTION("GOOGLETRANSLATE(A23661, ""de"", ""en"")"),"more worthy")</f>
        <v>more worthy</v>
      </c>
    </row>
    <row r="23662">
      <c r="A23662" s="1" t="s">
        <v>23661</v>
      </c>
      <c r="B23662" s="2" t="str">
        <f>IFERROR(__xludf.DUMMYFUNCTION("GOOGLETRANSLATE(A23662, ""de"", ""en"")"),"behaved")</f>
        <v>behaved</v>
      </c>
    </row>
    <row r="23663">
      <c r="A23663" s="1" t="s">
        <v>23662</v>
      </c>
      <c r="B23663" s="2" t="str">
        <f>IFERROR(__xludf.DUMMYFUNCTION("GOOGLETRANSLATE(A23663, ""de"", ""en"")"),"take off")</f>
        <v>take off</v>
      </c>
    </row>
    <row r="23664">
      <c r="A23664" s="1" t="s">
        <v>23663</v>
      </c>
      <c r="B23664" s="2" t="str">
        <f>IFERROR(__xludf.DUMMYFUNCTION("GOOGLETRANSLATE(A23664, ""de"", ""en"")"),"climb up")</f>
        <v>climb up</v>
      </c>
    </row>
    <row r="23665">
      <c r="A23665" s="1" t="s">
        <v>23664</v>
      </c>
      <c r="B23665" s="2" t="str">
        <f>IFERROR(__xludf.DUMMYFUNCTION("GOOGLETRANSLATE(A23665, ""de"", ""en"")"),"robust")</f>
        <v>robust</v>
      </c>
    </row>
    <row r="23666">
      <c r="A23666" s="1" t="s">
        <v>23665</v>
      </c>
      <c r="B23666" s="2" t="str">
        <f>IFERROR(__xludf.DUMMYFUNCTION("GOOGLETRANSLATE(A23666, ""de"", ""en"")"),"honorable")</f>
        <v>honorable</v>
      </c>
    </row>
    <row r="23667">
      <c r="A23667" s="1" t="s">
        <v>23666</v>
      </c>
      <c r="B23667" s="2" t="str">
        <f>IFERROR(__xludf.DUMMYFUNCTION("GOOGLETRANSLATE(A23667, ""de"", ""en"")"),"simulate")</f>
        <v>simulate</v>
      </c>
    </row>
    <row r="23668">
      <c r="A23668" s="1" t="s">
        <v>23667</v>
      </c>
      <c r="B23668" s="2" t="str">
        <f>IFERROR(__xludf.DUMMYFUNCTION("GOOGLETRANSLATE(A23668, ""de"", ""en"")"),"bomb attack")</f>
        <v>bomb attack</v>
      </c>
    </row>
    <row r="23669">
      <c r="A23669" s="1" t="s">
        <v>23668</v>
      </c>
      <c r="B23669" s="2" t="str">
        <f>IFERROR(__xludf.DUMMYFUNCTION("GOOGLETRANSLATE(A23669, ""de"", ""en"")"),"dig")</f>
        <v>dig</v>
      </c>
    </row>
    <row r="23670">
      <c r="A23670" s="1" t="s">
        <v>23669</v>
      </c>
      <c r="B23670" s="2" t="str">
        <f>IFERROR(__xludf.DUMMYFUNCTION("GOOGLETRANSLATE(A23670, ""de"", ""en"")"),"arrange")</f>
        <v>arrange</v>
      </c>
    </row>
    <row r="23671">
      <c r="A23671" s="1" t="s">
        <v>23670</v>
      </c>
      <c r="B23671" s="2" t="str">
        <f>IFERROR(__xludf.DUMMYFUNCTION("GOOGLETRANSLATE(A23671, ""de"", ""en"")"),"Turk")</f>
        <v>Turk</v>
      </c>
    </row>
    <row r="23672">
      <c r="A23672" s="1" t="s">
        <v>23671</v>
      </c>
      <c r="B23672" s="2" t="str">
        <f>IFERROR(__xludf.DUMMYFUNCTION("GOOGLETRANSLATE(A23672, ""de"", ""en"")"),"front")</f>
        <v>front</v>
      </c>
    </row>
    <row r="23673">
      <c r="A23673" s="1" t="s">
        <v>23672</v>
      </c>
      <c r="B23673" s="2" t="str">
        <f>IFERROR(__xludf.DUMMYFUNCTION("GOOGLETRANSLATE(A23673, ""de"", ""en"")"),"rabbit")</f>
        <v>rabbit</v>
      </c>
    </row>
    <row r="23674">
      <c r="A23674" s="1" t="s">
        <v>23673</v>
      </c>
      <c r="B23674" s="2" t="str">
        <f>IFERROR(__xludf.DUMMYFUNCTION("GOOGLETRANSLATE(A23674, ""de"", ""en"")"),"Belgrade")</f>
        <v>Belgrade</v>
      </c>
    </row>
    <row r="23675">
      <c r="A23675" s="1" t="s">
        <v>23674</v>
      </c>
      <c r="B23675" s="2" t="str">
        <f>IFERROR(__xludf.DUMMYFUNCTION("GOOGLETRANSLATE(A23675, ""de"", ""en"")"),"dona")</f>
        <v>dona</v>
      </c>
    </row>
    <row r="23676">
      <c r="A23676" s="1" t="s">
        <v>23675</v>
      </c>
      <c r="B23676" s="2" t="str">
        <f>IFERROR(__xludf.DUMMYFUNCTION("GOOGLETRANSLATE(A23676, ""de"", ""en"")"),"bandages")</f>
        <v>bandages</v>
      </c>
    </row>
    <row r="23677">
      <c r="A23677" s="1" t="s">
        <v>23676</v>
      </c>
      <c r="B23677" s="2" t="str">
        <f>IFERROR(__xludf.DUMMYFUNCTION("GOOGLETRANSLATE(A23677, ""de"", ""en"")"),"accept")</f>
        <v>accept</v>
      </c>
    </row>
    <row r="23678">
      <c r="A23678" s="1" t="s">
        <v>23677</v>
      </c>
      <c r="B23678" s="2" t="str">
        <f>IFERROR(__xludf.DUMMYFUNCTION("GOOGLETRANSLATE(A23678, ""de"", ""en"")"),"damaged")</f>
        <v>damaged</v>
      </c>
    </row>
    <row r="23679">
      <c r="A23679" s="1" t="s">
        <v>23678</v>
      </c>
      <c r="B23679" s="2" t="str">
        <f>IFERROR(__xludf.DUMMYFUNCTION("GOOGLETRANSLATE(A23679, ""de"", ""en"")"),"food")</f>
        <v>food</v>
      </c>
    </row>
    <row r="23680">
      <c r="A23680" s="1" t="s">
        <v>23679</v>
      </c>
      <c r="B23680" s="2" t="str">
        <f>IFERROR(__xludf.DUMMYFUNCTION("GOOGLETRANSLATE(A23680, ""de"", ""en"")"),"wave")</f>
        <v>wave</v>
      </c>
    </row>
    <row r="23681">
      <c r="A23681" s="1" t="s">
        <v>23680</v>
      </c>
      <c r="B23681" s="2" t="str">
        <f>IFERROR(__xludf.DUMMYFUNCTION("GOOGLETRANSLATE(A23681, ""de"", ""en"")"),"rosary")</f>
        <v>rosary</v>
      </c>
    </row>
    <row r="23682">
      <c r="A23682" s="1" t="s">
        <v>23681</v>
      </c>
      <c r="B23682" s="2" t="str">
        <f>IFERROR(__xludf.DUMMYFUNCTION("GOOGLETRANSLATE(A23682, ""de"", ""en"")"),"traffic accident")</f>
        <v>traffic accident</v>
      </c>
    </row>
    <row r="23683">
      <c r="A23683" s="1" t="s">
        <v>23682</v>
      </c>
      <c r="B23683" s="2" t="str">
        <f>IFERROR(__xludf.DUMMYFUNCTION("GOOGLETRANSLATE(A23683, ""de"", ""en"")"),"black")</f>
        <v>black</v>
      </c>
    </row>
    <row r="23684">
      <c r="A23684" s="1" t="s">
        <v>23683</v>
      </c>
      <c r="B23684" s="2" t="str">
        <f>IFERROR(__xludf.DUMMYFUNCTION("GOOGLETRANSLATE(A23684, ""de"", ""en"")"),"include")</f>
        <v>include</v>
      </c>
    </row>
    <row r="23685">
      <c r="A23685" s="1" t="s">
        <v>23684</v>
      </c>
      <c r="B23685" s="2" t="str">
        <f>IFERROR(__xludf.DUMMYFUNCTION("GOOGLETRANSLATE(A23685, ""de"", ""en"")"),"to pay back")</f>
        <v>to pay back</v>
      </c>
    </row>
    <row r="23686">
      <c r="A23686" s="1" t="s">
        <v>23685</v>
      </c>
      <c r="B23686" s="2" t="str">
        <f>IFERROR(__xludf.DUMMYFUNCTION("GOOGLETRANSLATE(A23686, ""de"", ""en"")"),"beauties")</f>
        <v>beauties</v>
      </c>
    </row>
    <row r="23687">
      <c r="A23687" s="1" t="s">
        <v>23686</v>
      </c>
      <c r="B23687" s="2" t="str">
        <f>IFERROR(__xludf.DUMMYFUNCTION("GOOGLETRANSLATE(A23687, ""de"", ""en"")"),"change")</f>
        <v>change</v>
      </c>
    </row>
    <row r="23688">
      <c r="A23688" s="1" t="s">
        <v>23687</v>
      </c>
      <c r="B23688" s="2" t="str">
        <f>IFERROR(__xludf.DUMMYFUNCTION("GOOGLETRANSLATE(A23688, ""de"", ""en"")"),"sphere")</f>
        <v>sphere</v>
      </c>
    </row>
    <row r="23689">
      <c r="A23689" s="1" t="s">
        <v>23688</v>
      </c>
      <c r="B23689" s="2" t="str">
        <f>IFERROR(__xludf.DUMMYFUNCTION("GOOGLETRANSLATE(A23689, ""de"", ""en"")"),"diversity")</f>
        <v>diversity</v>
      </c>
    </row>
    <row r="23690">
      <c r="A23690" s="1" t="s">
        <v>23689</v>
      </c>
      <c r="B23690" s="2" t="str">
        <f>IFERROR(__xludf.DUMMYFUNCTION("GOOGLETRANSLATE(A23690, ""de"", ""en"")"),"derby")</f>
        <v>derby</v>
      </c>
    </row>
    <row r="23691">
      <c r="A23691" s="1" t="s">
        <v>23690</v>
      </c>
      <c r="B23691" s="2" t="str">
        <f>IFERROR(__xludf.DUMMYFUNCTION("GOOGLETRANSLATE(A23691, ""de"", ""en"")"),"country bumpkin")</f>
        <v>country bumpkin</v>
      </c>
    </row>
    <row r="23692">
      <c r="A23692" s="1" t="s">
        <v>23691</v>
      </c>
      <c r="B23692" s="2" t="str">
        <f>IFERROR(__xludf.DUMMYFUNCTION("GOOGLETRANSLATE(A23692, ""de"", ""en"")"),"scratched")</f>
        <v>scratched</v>
      </c>
    </row>
    <row r="23693">
      <c r="A23693" s="1" t="s">
        <v>23692</v>
      </c>
      <c r="B23693" s="2" t="str">
        <f>IFERROR(__xludf.DUMMYFUNCTION("GOOGLETRANSLATE(A23693, ""de"", ""en"")"),"desired")</f>
        <v>desired</v>
      </c>
    </row>
    <row r="23694">
      <c r="A23694" s="1" t="s">
        <v>23693</v>
      </c>
      <c r="B23694" s="2" t="str">
        <f>IFERROR(__xludf.DUMMYFUNCTION("GOOGLETRANSLATE(A23694, ""de"", ""en"")"),"fashion show")</f>
        <v>fashion show</v>
      </c>
    </row>
    <row r="23695">
      <c r="A23695" s="1" t="s">
        <v>23694</v>
      </c>
      <c r="B23695" s="2" t="str">
        <f>IFERROR(__xludf.DUMMYFUNCTION("GOOGLETRANSLATE(A23695, ""de"", ""en"")"),"incognito")</f>
        <v>incognito</v>
      </c>
    </row>
    <row r="23696">
      <c r="A23696" s="1" t="s">
        <v>23695</v>
      </c>
      <c r="B23696" s="2" t="str">
        <f>IFERROR(__xludf.DUMMYFUNCTION("GOOGLETRANSLATE(A23696, ""de"", ""en"")"),"collision")</f>
        <v>collision</v>
      </c>
    </row>
    <row r="23697">
      <c r="A23697" s="1" t="s">
        <v>23696</v>
      </c>
      <c r="B23697" s="2" t="str">
        <f>IFERROR(__xludf.DUMMYFUNCTION("GOOGLETRANSLATE(A23697, ""de"", ""en"")"),"fatality")</f>
        <v>fatality</v>
      </c>
    </row>
    <row r="23698">
      <c r="A23698" s="1" t="s">
        <v>23697</v>
      </c>
      <c r="B23698" s="2" t="str">
        <f>IFERROR(__xludf.DUMMYFUNCTION("GOOGLETRANSLATE(A23698, ""de"", ""en"")"),"mix")</f>
        <v>mix</v>
      </c>
    </row>
    <row r="23699">
      <c r="A23699" s="1" t="s">
        <v>23698</v>
      </c>
      <c r="B23699" s="2" t="str">
        <f>IFERROR(__xludf.DUMMYFUNCTION("GOOGLETRANSLATE(A23699, ""de"", ""en"")"),"bakes")</f>
        <v>bakes</v>
      </c>
    </row>
    <row r="23700">
      <c r="A23700" s="1" t="s">
        <v>23699</v>
      </c>
      <c r="B23700" s="2" t="str">
        <f>IFERROR(__xludf.DUMMYFUNCTION("GOOGLETRANSLATE(A23700, ""de"", ""en"")"),"clichés")</f>
        <v>clichés</v>
      </c>
    </row>
    <row r="23701">
      <c r="A23701" s="1" t="s">
        <v>23700</v>
      </c>
      <c r="B23701" s="2" t="str">
        <f>IFERROR(__xludf.DUMMYFUNCTION("GOOGLETRANSLATE(A23701, ""de"", ""en"")"),"blanchard")</f>
        <v>blanchard</v>
      </c>
    </row>
    <row r="23702">
      <c r="A23702" s="1" t="s">
        <v>23701</v>
      </c>
      <c r="B23702" s="2" t="str">
        <f>IFERROR(__xludf.DUMMYFUNCTION("GOOGLETRANSLATE(A23702, ""de"", ""en"")"),"willingly")</f>
        <v>willingly</v>
      </c>
    </row>
    <row r="23703">
      <c r="A23703" s="1" t="s">
        <v>23702</v>
      </c>
      <c r="B23703" s="2" t="str">
        <f>IFERROR(__xludf.DUMMYFUNCTION("GOOGLETRANSLATE(A23703, ""de"", ""en"")"),"to balance")</f>
        <v>to balance</v>
      </c>
    </row>
    <row r="23704">
      <c r="A23704" s="1" t="s">
        <v>23703</v>
      </c>
      <c r="B23704" s="2" t="str">
        <f>IFERROR(__xludf.DUMMYFUNCTION("GOOGLETRANSLATE(A23704, ""de"", ""en"")"),"projects")</f>
        <v>projects</v>
      </c>
    </row>
    <row r="23705">
      <c r="A23705" s="1" t="s">
        <v>23704</v>
      </c>
      <c r="B23705" s="2" t="str">
        <f>IFERROR(__xludf.DUMMYFUNCTION("GOOGLETRANSLATE(A23705, ""de"", ""en"")"),"aquaman")</f>
        <v>aquaman</v>
      </c>
    </row>
    <row r="23706">
      <c r="A23706" s="1" t="s">
        <v>23705</v>
      </c>
      <c r="B23706" s="2" t="str">
        <f>IFERROR(__xludf.DUMMYFUNCTION("GOOGLETRANSLATE(A23706, ""de"", ""en"")"),"more Jewish")</f>
        <v>more Jewish</v>
      </c>
    </row>
    <row r="23707">
      <c r="A23707" s="1" t="s">
        <v>23706</v>
      </c>
      <c r="B23707" s="2" t="str">
        <f>IFERROR(__xludf.DUMMYFUNCTION("GOOGLETRANSLATE(A23707, ""de"", ""en"")"),"interface")</f>
        <v>interface</v>
      </c>
    </row>
    <row r="23708">
      <c r="A23708" s="1" t="s">
        <v>23707</v>
      </c>
      <c r="B23708" s="2" t="str">
        <f>IFERROR(__xludf.DUMMYFUNCTION("GOOGLETRANSLATE(A23708, ""de"", ""en"")"),"spy")</f>
        <v>spy</v>
      </c>
    </row>
    <row r="23709">
      <c r="A23709" s="1" t="s">
        <v>23708</v>
      </c>
      <c r="B23709" s="2" t="str">
        <f>IFERROR(__xludf.DUMMYFUNCTION("GOOGLETRANSLATE(A23709, ""de"", ""en"")"),"refresh")</f>
        <v>refresh</v>
      </c>
    </row>
    <row r="23710">
      <c r="A23710" s="1" t="s">
        <v>23709</v>
      </c>
      <c r="B23710" s="2" t="str">
        <f>IFERROR(__xludf.DUMMYFUNCTION("GOOGLETRANSLATE(A23710, ""de"", ""en"")"),"legal")</f>
        <v>legal</v>
      </c>
    </row>
    <row r="23711">
      <c r="A23711" s="1" t="s">
        <v>23710</v>
      </c>
      <c r="B23711" s="2" t="str">
        <f>IFERROR(__xludf.DUMMYFUNCTION("GOOGLETRANSLATE(A23711, ""de"", ""en"")"),"royal")</f>
        <v>royal</v>
      </c>
    </row>
    <row r="23712">
      <c r="A23712" s="1" t="s">
        <v>23711</v>
      </c>
      <c r="B23712" s="2" t="str">
        <f>IFERROR(__xludf.DUMMYFUNCTION("GOOGLETRANSLATE(A23712, ""de"", ""en"")"),"reconstruction")</f>
        <v>reconstruction</v>
      </c>
    </row>
    <row r="23713">
      <c r="A23713" s="1" t="s">
        <v>23712</v>
      </c>
      <c r="B23713" s="2" t="str">
        <f>IFERROR(__xludf.DUMMYFUNCTION("GOOGLETRANSLATE(A23713, ""de"", ""en"")"),"came by")</f>
        <v>came by</v>
      </c>
    </row>
    <row r="23714">
      <c r="A23714" s="1" t="s">
        <v>23713</v>
      </c>
      <c r="B23714" s="2" t="str">
        <f>IFERROR(__xludf.DUMMYFUNCTION("GOOGLETRANSLATE(A23714, ""de"", ""en"")"),"remain")</f>
        <v>remain</v>
      </c>
    </row>
    <row r="23715">
      <c r="A23715" s="1" t="s">
        <v>23714</v>
      </c>
      <c r="B23715" s="2" t="str">
        <f>IFERROR(__xludf.DUMMYFUNCTION("GOOGLETRANSLATE(A23715, ""de"", ""en"")"),"mobile")</f>
        <v>mobile</v>
      </c>
    </row>
    <row r="23716">
      <c r="A23716" s="1" t="s">
        <v>23715</v>
      </c>
      <c r="B23716" s="2" t="str">
        <f>IFERROR(__xludf.DUMMYFUNCTION("GOOGLETRANSLATE(A23716, ""de"", ""en"")"),"scumbags")</f>
        <v>scumbags</v>
      </c>
    </row>
    <row r="23717">
      <c r="A23717" s="1" t="s">
        <v>23716</v>
      </c>
      <c r="B23717" s="2" t="str">
        <f>IFERROR(__xludf.DUMMYFUNCTION("GOOGLETRANSLATE(A23717, ""de"", ""en"")"),"fourth")</f>
        <v>fourth</v>
      </c>
    </row>
    <row r="23718">
      <c r="A23718" s="1" t="s">
        <v>23717</v>
      </c>
      <c r="B23718" s="2" t="str">
        <f>IFERROR(__xludf.DUMMYFUNCTION("GOOGLETRANSLATE(A23718, ""de"", ""en"")"),"murder charge")</f>
        <v>murder charge</v>
      </c>
    </row>
    <row r="23719">
      <c r="A23719" s="1" t="s">
        <v>23718</v>
      </c>
      <c r="B23719" s="2" t="str">
        <f>IFERROR(__xludf.DUMMYFUNCTION("GOOGLETRANSLATE(A23719, ""de"", ""en"")"),"Cory")</f>
        <v>Cory</v>
      </c>
    </row>
    <row r="23720">
      <c r="A23720" s="1" t="s">
        <v>23719</v>
      </c>
      <c r="B23720" s="2" t="str">
        <f>IFERROR(__xludf.DUMMYFUNCTION("GOOGLETRANSLATE(A23720, ""de"", ""en"")"),"swordsman")</f>
        <v>swordsman</v>
      </c>
    </row>
    <row r="23721">
      <c r="A23721" s="1" t="s">
        <v>23720</v>
      </c>
      <c r="B23721" s="2" t="str">
        <f>IFERROR(__xludf.DUMMYFUNCTION("GOOGLETRANSLATE(A23721, ""de"", ""en"")"),"left over")</f>
        <v>left over</v>
      </c>
    </row>
    <row r="23722">
      <c r="A23722" s="1" t="s">
        <v>23721</v>
      </c>
      <c r="B23722" s="2" t="str">
        <f>IFERROR(__xludf.DUMMYFUNCTION("GOOGLETRANSLATE(A23722, ""de"", ""en"")"),"interrupts")</f>
        <v>interrupts</v>
      </c>
    </row>
    <row r="23723">
      <c r="A23723" s="1" t="s">
        <v>23722</v>
      </c>
      <c r="B23723" s="2" t="str">
        <f>IFERROR(__xludf.DUMMYFUNCTION("GOOGLETRANSLATE(A23723, ""de"", ""en"")"),"applies")</f>
        <v>applies</v>
      </c>
    </row>
    <row r="23724">
      <c r="A23724" s="1" t="s">
        <v>23723</v>
      </c>
      <c r="B23724" s="2" t="str">
        <f>IFERROR(__xludf.DUMMYFUNCTION("GOOGLETRANSLATE(A23724, ""de"", ""en"")"),"jack")</f>
        <v>jack</v>
      </c>
    </row>
    <row r="23725">
      <c r="A23725" s="1" t="s">
        <v>23724</v>
      </c>
      <c r="B23725" s="2" t="str">
        <f>IFERROR(__xludf.DUMMYFUNCTION("GOOGLETRANSLATE(A23725, ""de"", ""en"")"),"fall in")</f>
        <v>fall in</v>
      </c>
    </row>
    <row r="23726">
      <c r="A23726" s="1" t="s">
        <v>23725</v>
      </c>
      <c r="B23726" s="2" t="str">
        <f>IFERROR(__xludf.DUMMYFUNCTION("GOOGLETRANSLATE(A23726, ""de"", ""en"")"),"provided")</f>
        <v>provided</v>
      </c>
    </row>
    <row r="23727">
      <c r="A23727" s="1" t="s">
        <v>23726</v>
      </c>
      <c r="B23727" s="2" t="str">
        <f>IFERROR(__xludf.DUMMYFUNCTION("GOOGLETRANSLATE(A23727, ""de"", ""en"")"),"took place")</f>
        <v>took place</v>
      </c>
    </row>
    <row r="23728">
      <c r="A23728" s="1" t="s">
        <v>23727</v>
      </c>
      <c r="B23728" s="2" t="str">
        <f>IFERROR(__xludf.DUMMYFUNCTION("GOOGLETRANSLATE(A23728, ""de"", ""en"")"),"surprised")</f>
        <v>surprised</v>
      </c>
    </row>
    <row r="23729">
      <c r="A23729" s="1" t="s">
        <v>23728</v>
      </c>
      <c r="B23729" s="2" t="str">
        <f>IFERROR(__xludf.DUMMYFUNCTION("GOOGLETRANSLATE(A23729, ""de"", ""en"")"),"gave birth")</f>
        <v>gave birth</v>
      </c>
    </row>
    <row r="23730">
      <c r="A23730" s="1" t="s">
        <v>23729</v>
      </c>
      <c r="B23730" s="2" t="str">
        <f>IFERROR(__xludf.DUMMYFUNCTION("GOOGLETRANSLATE(A23730, ""de"", ""en"")"),"pointed out")</f>
        <v>pointed out</v>
      </c>
    </row>
    <row r="23731">
      <c r="A23731" s="1" t="s">
        <v>23730</v>
      </c>
      <c r="B23731" s="2" t="str">
        <f>IFERROR(__xludf.DUMMYFUNCTION("GOOGLETRANSLATE(A23731, ""de"", ""en"")"),"lukewarm")</f>
        <v>lukewarm</v>
      </c>
    </row>
    <row r="23732">
      <c r="A23732" s="1" t="s">
        <v>23731</v>
      </c>
      <c r="B23732" s="2" t="str">
        <f>IFERROR(__xludf.DUMMYFUNCTION("GOOGLETRANSLATE(A23732, ""de"", ""en"")"),"military")</f>
        <v>military</v>
      </c>
    </row>
    <row r="23733">
      <c r="A23733" s="1" t="s">
        <v>23732</v>
      </c>
      <c r="B23733" s="2" t="str">
        <f>IFERROR(__xludf.DUMMYFUNCTION("GOOGLETRANSLATE(A23733, ""de"", ""en"")"),"rashid")</f>
        <v>rashid</v>
      </c>
    </row>
    <row r="23734">
      <c r="A23734" s="1" t="s">
        <v>23733</v>
      </c>
      <c r="B23734" s="2" t="str">
        <f>IFERROR(__xludf.DUMMYFUNCTION("GOOGLETRANSLATE(A23734, ""de"", ""en"")"),"roderick")</f>
        <v>roderick</v>
      </c>
    </row>
    <row r="23735">
      <c r="A23735" s="1" t="s">
        <v>23734</v>
      </c>
      <c r="B23735" s="2" t="str">
        <f>IFERROR(__xludf.DUMMYFUNCTION("GOOGLETRANSLATE(A23735, ""de"", ""en"")"),"vowed")</f>
        <v>vowed</v>
      </c>
    </row>
    <row r="23736">
      <c r="A23736" s="1" t="s">
        <v>23735</v>
      </c>
      <c r="B23736" s="2" t="str">
        <f>IFERROR(__xludf.DUMMYFUNCTION("GOOGLETRANSLATE(A23736, ""de"", ""en"")"),"accuser")</f>
        <v>accuser</v>
      </c>
    </row>
    <row r="23737">
      <c r="A23737" s="1" t="s">
        <v>23736</v>
      </c>
      <c r="B23737" s="2" t="str">
        <f>IFERROR(__xludf.DUMMYFUNCTION("GOOGLETRANSLATE(A23737, ""de"", ""en"")"),"chambers")</f>
        <v>chambers</v>
      </c>
    </row>
    <row r="23738">
      <c r="A23738" s="1" t="s">
        <v>23737</v>
      </c>
      <c r="B23738" s="2" t="str">
        <f>IFERROR(__xludf.DUMMYFUNCTION("GOOGLETRANSLATE(A23738, ""de"", ""en"")"),"followed up")</f>
        <v>followed up</v>
      </c>
    </row>
    <row r="23739">
      <c r="A23739" s="1" t="s">
        <v>23738</v>
      </c>
      <c r="B23739" s="2" t="str">
        <f>IFERROR(__xludf.DUMMYFUNCTION("GOOGLETRANSLATE(A23739, ""de"", ""en"")"),"genuine")</f>
        <v>genuine</v>
      </c>
    </row>
    <row r="23740">
      <c r="A23740" s="1" t="s">
        <v>23739</v>
      </c>
      <c r="B23740" s="2" t="str">
        <f>IFERROR(__xludf.DUMMYFUNCTION("GOOGLETRANSLATE(A23740, ""de"", ""en"")"),"musical")</f>
        <v>musical</v>
      </c>
    </row>
    <row r="23741">
      <c r="A23741" s="1" t="s">
        <v>23740</v>
      </c>
      <c r="B23741" s="2" t="str">
        <f>IFERROR(__xludf.DUMMYFUNCTION("GOOGLETRANSLATE(A23741, ""de"", ""en"")"),"formed")</f>
        <v>formed</v>
      </c>
    </row>
    <row r="23742">
      <c r="A23742" s="1" t="s">
        <v>23741</v>
      </c>
      <c r="B23742" s="2" t="str">
        <f>IFERROR(__xludf.DUMMYFUNCTION("GOOGLETRANSLATE(A23742, ""de"", ""en"")"),"arteries")</f>
        <v>arteries</v>
      </c>
    </row>
    <row r="23743">
      <c r="A23743" s="1" t="s">
        <v>23742</v>
      </c>
      <c r="B23743" s="2" t="str">
        <f>IFERROR(__xludf.DUMMYFUNCTION("GOOGLETRANSLATE(A23743, ""de"", ""en"")"),"beat up")</f>
        <v>beat up</v>
      </c>
    </row>
    <row r="23744">
      <c r="A23744" s="1" t="s">
        <v>23743</v>
      </c>
      <c r="B23744" s="2" t="str">
        <f>IFERROR(__xludf.DUMMYFUNCTION("GOOGLETRANSLATE(A23744, ""de"", ""en"")"),"inputs")</f>
        <v>inputs</v>
      </c>
    </row>
    <row r="23745">
      <c r="A23745" s="1" t="s">
        <v>23744</v>
      </c>
      <c r="B23745" s="2" t="str">
        <f>IFERROR(__xludf.DUMMYFUNCTION("GOOGLETRANSLATE(A23745, ""de"", ""en"")"),"digestion")</f>
        <v>digestion</v>
      </c>
    </row>
    <row r="23746">
      <c r="A23746" s="1" t="s">
        <v>23745</v>
      </c>
      <c r="B23746" s="2" t="str">
        <f>IFERROR(__xludf.DUMMYFUNCTION("GOOGLETRANSLATE(A23746, ""de"", ""en"")"),"belongs")</f>
        <v>belongs</v>
      </c>
    </row>
    <row r="23747">
      <c r="A23747" s="1" t="s">
        <v>23746</v>
      </c>
      <c r="B23747" s="2" t="str">
        <f>IFERROR(__xludf.DUMMYFUNCTION("GOOGLETRANSLATE(A23747, ""de"", ""en"")"),"Marlon")</f>
        <v>Marlon</v>
      </c>
    </row>
    <row r="23748">
      <c r="A23748" s="1" t="s">
        <v>23747</v>
      </c>
      <c r="B23748" s="2" t="str">
        <f>IFERROR(__xludf.DUMMYFUNCTION("GOOGLETRANSLATE(A23748, ""de"", ""en"")"),"nola")</f>
        <v>nola</v>
      </c>
    </row>
    <row r="23749">
      <c r="A23749" s="1" t="s">
        <v>23748</v>
      </c>
      <c r="B23749" s="2" t="str">
        <f>IFERROR(__xludf.DUMMYFUNCTION("GOOGLETRANSLATE(A23749, ""de"", ""en"")"),"out of tune")</f>
        <v>out of tune</v>
      </c>
    </row>
    <row r="23750">
      <c r="A23750" s="1" t="s">
        <v>23749</v>
      </c>
      <c r="B23750" s="2" t="str">
        <f>IFERROR(__xludf.DUMMYFUNCTION("GOOGLETRANSLATE(A23750, ""de"", ""en"")"),"to accuse")</f>
        <v>to accuse</v>
      </c>
    </row>
    <row r="23751">
      <c r="A23751" s="1" t="s">
        <v>23750</v>
      </c>
      <c r="B23751" s="2" t="str">
        <f>IFERROR(__xludf.DUMMYFUNCTION("GOOGLETRANSLATE(A23751, ""de"", ""en"")"),"immediately")</f>
        <v>immediately</v>
      </c>
    </row>
    <row r="23752">
      <c r="A23752" s="1" t="s">
        <v>23751</v>
      </c>
      <c r="B23752" s="2" t="str">
        <f>IFERROR(__xludf.DUMMYFUNCTION("GOOGLETRANSLATE(A23752, ""de"", ""en"")"),"Jimi")</f>
        <v>Jimi</v>
      </c>
    </row>
    <row r="23753">
      <c r="A23753" s="1" t="s">
        <v>23752</v>
      </c>
      <c r="B23753" s="2" t="str">
        <f>IFERROR(__xludf.DUMMYFUNCTION("GOOGLETRANSLATE(A23753, ""de"", ""en"")"),"raves")</f>
        <v>raves</v>
      </c>
    </row>
    <row r="23754">
      <c r="A23754" s="1" t="s">
        <v>23753</v>
      </c>
      <c r="B23754" s="2" t="str">
        <f>IFERROR(__xludf.DUMMYFUNCTION("GOOGLETRANSLATE(A23754, ""de"", ""en"")"),"cleanup")</f>
        <v>cleanup</v>
      </c>
    </row>
    <row r="23755">
      <c r="A23755" s="1" t="s">
        <v>23754</v>
      </c>
      <c r="B23755" s="2" t="str">
        <f>IFERROR(__xludf.DUMMYFUNCTION("GOOGLETRANSLATE(A23755, ""de"", ""en"")"),"witch hunt")</f>
        <v>witch hunt</v>
      </c>
    </row>
    <row r="23756">
      <c r="A23756" s="1" t="s">
        <v>23755</v>
      </c>
      <c r="B23756" s="2" t="str">
        <f>IFERROR(__xludf.DUMMYFUNCTION("GOOGLETRANSLATE(A23756, ""de"", ""en"")"),"tax return")</f>
        <v>tax return</v>
      </c>
    </row>
    <row r="23757">
      <c r="A23757" s="1" t="s">
        <v>23756</v>
      </c>
      <c r="B23757" s="2" t="str">
        <f>IFERROR(__xludf.DUMMYFUNCTION("GOOGLETRANSLATE(A23757, ""de"", ""en"")"),"compensate")</f>
        <v>compensate</v>
      </c>
    </row>
    <row r="23758">
      <c r="A23758" s="1" t="s">
        <v>23757</v>
      </c>
      <c r="B23758" s="2" t="str">
        <f>IFERROR(__xludf.DUMMYFUNCTION("GOOGLETRANSLATE(A23758, ""de"", ""en"")"),"conductor")</f>
        <v>conductor</v>
      </c>
    </row>
    <row r="23759">
      <c r="A23759" s="1" t="s">
        <v>23758</v>
      </c>
      <c r="B23759" s="2" t="str">
        <f>IFERROR(__xludf.DUMMYFUNCTION("GOOGLETRANSLATE(A23759, ""de"", ""en"")"),"barber")</f>
        <v>barber</v>
      </c>
    </row>
    <row r="23760">
      <c r="A23760" s="1" t="s">
        <v>23759</v>
      </c>
      <c r="B23760" s="2" t="str">
        <f>IFERROR(__xludf.DUMMYFUNCTION("GOOGLETRANSLATE(A23760, ""de"", ""en"")"),"North Africa")</f>
        <v>North Africa</v>
      </c>
    </row>
    <row r="23761">
      <c r="A23761" s="1" t="s">
        <v>23760</v>
      </c>
      <c r="B23761" s="2" t="str">
        <f>IFERROR(__xludf.DUMMYFUNCTION("GOOGLETRANSLATE(A23761, ""de"", ""en"")"),"caro")</f>
        <v>caro</v>
      </c>
    </row>
    <row r="23762">
      <c r="A23762" s="1" t="s">
        <v>23761</v>
      </c>
      <c r="B23762" s="2" t="str">
        <f>IFERROR(__xludf.DUMMYFUNCTION("GOOGLETRANSLATE(A23762, ""de"", ""en"")"),"lie detector test")</f>
        <v>lie detector test</v>
      </c>
    </row>
    <row r="23763">
      <c r="A23763" s="1" t="s">
        <v>23762</v>
      </c>
      <c r="B23763" s="2" t="str">
        <f>IFERROR(__xludf.DUMMYFUNCTION("GOOGLETRANSLATE(A23763, ""de"", ""en"")"),"spat out")</f>
        <v>spat out</v>
      </c>
    </row>
    <row r="23764">
      <c r="A23764" s="1" t="s">
        <v>23763</v>
      </c>
      <c r="B23764" s="2" t="str">
        <f>IFERROR(__xludf.DUMMYFUNCTION("GOOGLETRANSLATE(A23764, ""de"", ""en"")"),"rich")</f>
        <v>rich</v>
      </c>
    </row>
    <row r="23765">
      <c r="A23765" s="1" t="s">
        <v>23764</v>
      </c>
      <c r="B23765" s="2" t="str">
        <f>IFERROR(__xludf.DUMMYFUNCTION("GOOGLETRANSLATE(A23765, ""de"", ""en"")"),"practical")</f>
        <v>practical</v>
      </c>
    </row>
    <row r="23766">
      <c r="A23766" s="1" t="s">
        <v>23765</v>
      </c>
      <c r="B23766" s="2" t="str">
        <f>IFERROR(__xludf.DUMMYFUNCTION("GOOGLETRANSLATE(A23766, ""de"", ""en"")"),"to come out")</f>
        <v>to come out</v>
      </c>
    </row>
    <row r="23767">
      <c r="A23767" s="1" t="s">
        <v>23766</v>
      </c>
      <c r="B23767" s="2" t="str">
        <f>IFERROR(__xludf.DUMMYFUNCTION("GOOGLETRANSLATE(A23767, ""de"", ""en"")"),"sure")</f>
        <v>sure</v>
      </c>
    </row>
    <row r="23768">
      <c r="A23768" s="1" t="s">
        <v>23767</v>
      </c>
      <c r="B23768" s="2" t="str">
        <f>IFERROR(__xludf.DUMMYFUNCTION("GOOGLETRANSLATE(A23768, ""de"", ""en"")"),"imposed")</f>
        <v>imposed</v>
      </c>
    </row>
    <row r="23769">
      <c r="A23769" s="1" t="s">
        <v>23768</v>
      </c>
      <c r="B23769" s="2" t="str">
        <f>IFERROR(__xludf.DUMMYFUNCTION("GOOGLETRANSLATE(A23769, ""de"", ""en"")"),"social")</f>
        <v>social</v>
      </c>
    </row>
    <row r="23770">
      <c r="A23770" s="1" t="s">
        <v>23769</v>
      </c>
      <c r="B23770" s="2" t="str">
        <f>IFERROR(__xludf.DUMMYFUNCTION("GOOGLETRANSLATE(A23770, ""de"", ""en"")"),"most exciting")</f>
        <v>most exciting</v>
      </c>
    </row>
    <row r="23771">
      <c r="A23771" s="1" t="s">
        <v>23770</v>
      </c>
      <c r="B23771" s="2" t="str">
        <f>IFERROR(__xludf.DUMMYFUNCTION("GOOGLETRANSLATE(A23771, ""de"", ""en"")"),"influential")</f>
        <v>influential</v>
      </c>
    </row>
    <row r="23772">
      <c r="A23772" s="1" t="s">
        <v>23771</v>
      </c>
      <c r="B23772" s="2" t="str">
        <f>IFERROR(__xludf.DUMMYFUNCTION("GOOGLETRANSLATE(A23772, ""de"", ""en"")"),"urged")</f>
        <v>urged</v>
      </c>
    </row>
    <row r="23773">
      <c r="A23773" s="1" t="s">
        <v>23772</v>
      </c>
      <c r="B23773" s="2" t="str">
        <f>IFERROR(__xludf.DUMMYFUNCTION("GOOGLETRANSLATE(A23773, ""de"", ""en"")"),"darth")</f>
        <v>darth</v>
      </c>
    </row>
    <row r="23774">
      <c r="A23774" s="1" t="s">
        <v>23773</v>
      </c>
      <c r="B23774" s="2" t="str">
        <f>IFERROR(__xludf.DUMMYFUNCTION("GOOGLETRANSLATE(A23774, ""de"", ""en"")"),"dantes")</f>
        <v>dantes</v>
      </c>
    </row>
    <row r="23775">
      <c r="A23775" s="1" t="s">
        <v>23774</v>
      </c>
      <c r="B23775" s="2" t="str">
        <f>IFERROR(__xludf.DUMMYFUNCTION("GOOGLETRANSLATE(A23775, ""de"", ""en"")"),"homosexuals")</f>
        <v>homosexuals</v>
      </c>
    </row>
    <row r="23776">
      <c r="A23776" s="1" t="s">
        <v>23775</v>
      </c>
      <c r="B23776" s="2" t="str">
        <f>IFERROR(__xludf.DUMMYFUNCTION("GOOGLETRANSLATE(A23776, ""de"", ""en"")"),"homosexuality")</f>
        <v>homosexuality</v>
      </c>
    </row>
    <row r="23777">
      <c r="A23777" s="1" t="s">
        <v>23776</v>
      </c>
      <c r="B23777" s="2" t="str">
        <f>IFERROR(__xludf.DUMMYFUNCTION("GOOGLETRANSLATE(A23777, ""de"", ""en"")"),"crunch")</f>
        <v>crunch</v>
      </c>
    </row>
    <row r="23778">
      <c r="A23778" s="1" t="s">
        <v>23777</v>
      </c>
      <c r="B23778" s="2" t="str">
        <f>IFERROR(__xludf.DUMMYFUNCTION("GOOGLETRANSLATE(A23778, ""de"", ""en"")"),"meeting")</f>
        <v>meeting</v>
      </c>
    </row>
    <row r="23779">
      <c r="A23779" s="1" t="s">
        <v>23778</v>
      </c>
      <c r="B23779" s="2" t="str">
        <f>IFERROR(__xludf.DUMMYFUNCTION("GOOGLETRANSLATE(A23779, ""de"", ""en"")"),"ryo")</f>
        <v>ryo</v>
      </c>
    </row>
    <row r="23780">
      <c r="A23780" s="1" t="s">
        <v>23779</v>
      </c>
      <c r="B23780" s="2" t="str">
        <f>IFERROR(__xludf.DUMMYFUNCTION("GOOGLETRANSLATE(A23780, ""de"", ""en"")"),"ex girlfriend")</f>
        <v>ex girlfriend</v>
      </c>
    </row>
    <row r="23781">
      <c r="A23781" s="1" t="s">
        <v>23780</v>
      </c>
      <c r="B23781" s="2" t="str">
        <f>IFERROR(__xludf.DUMMYFUNCTION("GOOGLETRANSLATE(A23781, ""de"", ""en"")"),"nobleman")</f>
        <v>nobleman</v>
      </c>
    </row>
    <row r="23782">
      <c r="A23782" s="1" t="s">
        <v>23781</v>
      </c>
      <c r="B23782" s="2" t="str">
        <f>IFERROR(__xludf.DUMMYFUNCTION("GOOGLETRANSLATE(A23782, ""de"", ""en"")"),"Damascus")</f>
        <v>Damascus</v>
      </c>
    </row>
    <row r="23783">
      <c r="A23783" s="1" t="s">
        <v>23782</v>
      </c>
      <c r="B23783" s="2" t="str">
        <f>IFERROR(__xludf.DUMMYFUNCTION("GOOGLETRANSLATE(A23783, ""de"", ""en"")"),"interpreted")</f>
        <v>interpreted</v>
      </c>
    </row>
    <row r="23784">
      <c r="A23784" s="1" t="s">
        <v>23783</v>
      </c>
      <c r="B23784" s="2" t="str">
        <f>IFERROR(__xludf.DUMMYFUNCTION("GOOGLETRANSLATE(A23784, ""de"", ""en"")"),"court hearing")</f>
        <v>court hearing</v>
      </c>
    </row>
    <row r="23785">
      <c r="A23785" s="1" t="s">
        <v>23784</v>
      </c>
      <c r="B23785" s="2" t="str">
        <f>IFERROR(__xludf.DUMMYFUNCTION("GOOGLETRANSLATE(A23785, ""de"", ""en"")"),"locksley")</f>
        <v>locksley</v>
      </c>
    </row>
    <row r="23786">
      <c r="A23786" s="1" t="s">
        <v>23785</v>
      </c>
      <c r="B23786" s="2" t="str">
        <f>IFERROR(__xludf.DUMMYFUNCTION("GOOGLETRANSLATE(A23786, ""de"", ""en"")"),"more loving")</f>
        <v>more loving</v>
      </c>
    </row>
    <row r="23787">
      <c r="A23787" s="1" t="s">
        <v>23786</v>
      </c>
      <c r="B23787" s="2" t="str">
        <f>IFERROR(__xludf.DUMMYFUNCTION("GOOGLETRANSLATE(A23787, ""de"", ""en"")"),"excursions")</f>
        <v>excursions</v>
      </c>
    </row>
    <row r="23788">
      <c r="A23788" s="1" t="s">
        <v>23787</v>
      </c>
      <c r="B23788" s="2" t="str">
        <f>IFERROR(__xludf.DUMMYFUNCTION("GOOGLETRANSLATE(A23788, ""de"", ""en"")"),"huber")</f>
        <v>huber</v>
      </c>
    </row>
    <row r="23789">
      <c r="A23789" s="1" t="s">
        <v>23788</v>
      </c>
      <c r="B23789" s="2" t="str">
        <f>IFERROR(__xludf.DUMMYFUNCTION("GOOGLETRANSLATE(A23789, ""de"", ""en"")"),"intended")</f>
        <v>intended</v>
      </c>
    </row>
    <row r="23790">
      <c r="A23790" s="1" t="s">
        <v>23789</v>
      </c>
      <c r="B23790" s="2" t="str">
        <f>IFERROR(__xludf.DUMMYFUNCTION("GOOGLETRANSLATE(A23790, ""de"", ""en"")"),"turn on")</f>
        <v>turn on</v>
      </c>
    </row>
    <row r="23791">
      <c r="A23791" s="1" t="s">
        <v>23790</v>
      </c>
      <c r="B23791" s="2" t="str">
        <f>IFERROR(__xludf.DUMMYFUNCTION("GOOGLETRANSLATE(A23791, ""de"", ""en"")"),"curzon")</f>
        <v>curzon</v>
      </c>
    </row>
    <row r="23792">
      <c r="A23792" s="1" t="s">
        <v>23791</v>
      </c>
      <c r="B23792" s="2" t="str">
        <f>IFERROR(__xludf.DUMMYFUNCTION("GOOGLETRANSLATE(A23792, ""de"", ""en"")"),"bureaucrats")</f>
        <v>bureaucrats</v>
      </c>
    </row>
    <row r="23793">
      <c r="A23793" s="1" t="s">
        <v>23792</v>
      </c>
      <c r="B23793" s="2" t="str">
        <f>IFERROR(__xludf.DUMMYFUNCTION("GOOGLETRANSLATE(A23793, ""de"", ""en"")"),"prime minister")</f>
        <v>prime minister</v>
      </c>
    </row>
    <row r="23794">
      <c r="A23794" s="1" t="s">
        <v>23793</v>
      </c>
      <c r="B23794" s="2" t="str">
        <f>IFERROR(__xludf.DUMMYFUNCTION("GOOGLETRANSLATE(A23794, ""de"", ""en"")"),"idris")</f>
        <v>idris</v>
      </c>
    </row>
    <row r="23795">
      <c r="A23795" s="1" t="s">
        <v>23794</v>
      </c>
      <c r="B23795" s="2" t="str">
        <f>IFERROR(__xludf.DUMMYFUNCTION("GOOGLETRANSLATE(A23795, ""de"", ""en"")"),"intern")</f>
        <v>intern</v>
      </c>
    </row>
    <row r="23796">
      <c r="A23796" s="1" t="s">
        <v>23795</v>
      </c>
      <c r="B23796" s="2" t="str">
        <f>IFERROR(__xludf.DUMMYFUNCTION("GOOGLETRANSLATE(A23796, ""de"", ""en"")"),"cry for help")</f>
        <v>cry for help</v>
      </c>
    </row>
    <row r="23797">
      <c r="A23797" s="1" t="s">
        <v>23796</v>
      </c>
      <c r="B23797" s="2" t="str">
        <f>IFERROR(__xludf.DUMMYFUNCTION("GOOGLETRANSLATE(A23797, ""de"", ""en"")"),"Yolanda")</f>
        <v>Yolanda</v>
      </c>
    </row>
    <row r="23798">
      <c r="A23798" s="1" t="s">
        <v>23797</v>
      </c>
      <c r="B23798" s="2" t="str">
        <f>IFERROR(__xludf.DUMMYFUNCTION("GOOGLETRANSLATE(A23798, ""de"", ""en"")"),"watched")</f>
        <v>watched</v>
      </c>
    </row>
    <row r="23799">
      <c r="A23799" s="1" t="s">
        <v>23798</v>
      </c>
      <c r="B23799" s="2" t="str">
        <f>IFERROR(__xludf.DUMMYFUNCTION("GOOGLETRANSLATE(A23799, ""de"", ""en"")"),"paxton")</f>
        <v>paxton</v>
      </c>
    </row>
    <row r="23800">
      <c r="A23800" s="1" t="s">
        <v>23799</v>
      </c>
      <c r="B23800" s="2" t="str">
        <f>IFERROR(__xludf.DUMMYFUNCTION("GOOGLETRANSLATE(A23800, ""de"", ""en"")"),"put on")</f>
        <v>put on</v>
      </c>
    </row>
    <row r="23801">
      <c r="A23801" s="1" t="s">
        <v>23800</v>
      </c>
      <c r="B23801" s="2" t="str">
        <f>IFERROR(__xludf.DUMMYFUNCTION("GOOGLETRANSLATE(A23801, ""de"", ""en"")"),"grandma")</f>
        <v>grandma</v>
      </c>
    </row>
    <row r="23802">
      <c r="A23802" s="1" t="s">
        <v>23801</v>
      </c>
      <c r="B23802" s="2" t="str">
        <f>IFERROR(__xludf.DUMMYFUNCTION("GOOGLETRANSLATE(A23802, ""de"", ""en"")"),"smooched")</f>
        <v>smooched</v>
      </c>
    </row>
    <row r="23803">
      <c r="A23803" s="1" t="s">
        <v>23802</v>
      </c>
      <c r="B23803" s="2" t="str">
        <f>IFERROR(__xludf.DUMMYFUNCTION("GOOGLETRANSLATE(A23803, ""de"", ""en"")"),"cheekier")</f>
        <v>cheekier</v>
      </c>
    </row>
    <row r="23804">
      <c r="A23804" s="1" t="s">
        <v>23803</v>
      </c>
      <c r="B23804" s="2" t="str">
        <f>IFERROR(__xludf.DUMMYFUNCTION("GOOGLETRANSLATE(A23804, ""de"", ""en"")"),"Esmeralda")</f>
        <v>Esmeralda</v>
      </c>
    </row>
    <row r="23805">
      <c r="A23805" s="1" t="s">
        <v>23804</v>
      </c>
      <c r="B23805" s="2" t="str">
        <f>IFERROR(__xludf.DUMMYFUNCTION("GOOGLETRANSLATE(A23805, ""de"", ""en"")"),"fall silent")</f>
        <v>fall silent</v>
      </c>
    </row>
    <row r="23806">
      <c r="A23806" s="1" t="s">
        <v>23805</v>
      </c>
      <c r="B23806" s="2" t="str">
        <f>IFERROR(__xludf.DUMMYFUNCTION("GOOGLETRANSLATE(A23806, ""de"", ""en"")"),"helsing")</f>
        <v>helsing</v>
      </c>
    </row>
    <row r="23807">
      <c r="A23807" s="1" t="s">
        <v>23806</v>
      </c>
      <c r="B23807" s="2" t="str">
        <f>IFERROR(__xludf.DUMMYFUNCTION("GOOGLETRANSLATE(A23807, ""de"", ""en"")"),"sole")</f>
        <v>sole</v>
      </c>
    </row>
    <row r="23808">
      <c r="A23808" s="1" t="s">
        <v>23807</v>
      </c>
      <c r="B23808" s="2" t="str">
        <f>IFERROR(__xludf.DUMMYFUNCTION("GOOGLETRANSLATE(A23808, ""de"", ""en"")"),"Glasgow")</f>
        <v>Glasgow</v>
      </c>
    </row>
    <row r="23809">
      <c r="A23809" s="1" t="s">
        <v>23808</v>
      </c>
      <c r="B23809" s="2" t="str">
        <f>IFERROR(__xludf.DUMMYFUNCTION("GOOGLETRANSLATE(A23809, ""de"", ""en"")"),"off-road vehicle")</f>
        <v>off-road vehicle</v>
      </c>
    </row>
    <row r="23810">
      <c r="A23810" s="1" t="s">
        <v>23809</v>
      </c>
      <c r="B23810" s="2" t="str">
        <f>IFERROR(__xludf.DUMMYFUNCTION("GOOGLETRANSLATE(A23810, ""de"", ""en"")"),"Chopin")</f>
        <v>Chopin</v>
      </c>
    </row>
    <row r="23811">
      <c r="A23811" s="1" t="s">
        <v>23810</v>
      </c>
      <c r="B23811" s="2" t="str">
        <f>IFERROR(__xludf.DUMMYFUNCTION("GOOGLETRANSLATE(A23811, ""de"", ""en"")"),"view")</f>
        <v>view</v>
      </c>
    </row>
    <row r="23812">
      <c r="A23812" s="1" t="s">
        <v>23811</v>
      </c>
      <c r="B23812" s="2" t="str">
        <f>IFERROR(__xludf.DUMMYFUNCTION("GOOGLETRANSLATE(A23812, ""de"", ""en"")"),"mutant")</f>
        <v>mutant</v>
      </c>
    </row>
    <row r="23813">
      <c r="A23813" s="1" t="s">
        <v>23812</v>
      </c>
      <c r="B23813" s="2" t="str">
        <f>IFERROR(__xludf.DUMMYFUNCTION("GOOGLETRANSLATE(A23813, ""de"", ""en"")"),"legal department")</f>
        <v>legal department</v>
      </c>
    </row>
    <row r="23814">
      <c r="A23814" s="1" t="s">
        <v>23813</v>
      </c>
      <c r="B23814" s="2" t="str">
        <f>IFERROR(__xludf.DUMMYFUNCTION("GOOGLETRANSLATE(A23814, ""de"", ""en"")"),"ressler")</f>
        <v>ressler</v>
      </c>
    </row>
    <row r="23815">
      <c r="A23815" s="1" t="s">
        <v>23814</v>
      </c>
      <c r="B23815" s="2" t="str">
        <f>IFERROR(__xludf.DUMMYFUNCTION("GOOGLETRANSLATE(A23815, ""de"", ""en"")"),"tyrone")</f>
        <v>tyrone</v>
      </c>
    </row>
    <row r="23816">
      <c r="A23816" s="1" t="s">
        <v>23815</v>
      </c>
      <c r="B23816" s="2" t="str">
        <f>IFERROR(__xludf.DUMMYFUNCTION("GOOGLETRANSLATE(A23816, ""de"", ""en"")"),"dragged")</f>
        <v>dragged</v>
      </c>
    </row>
    <row r="23817">
      <c r="A23817" s="1" t="s">
        <v>23816</v>
      </c>
      <c r="B23817" s="2" t="str">
        <f>IFERROR(__xludf.DUMMYFUNCTION("GOOGLETRANSLATE(A23817, ""de"", ""en"")"),"lieutenant colonel")</f>
        <v>lieutenant colonel</v>
      </c>
    </row>
    <row r="23818">
      <c r="A23818" s="1" t="s">
        <v>23817</v>
      </c>
      <c r="B23818" s="2" t="str">
        <f>IFERROR(__xludf.DUMMYFUNCTION("GOOGLETRANSLATE(A23818, ""de"", ""en"")"),"thrown away")</f>
        <v>thrown away</v>
      </c>
    </row>
    <row r="23819">
      <c r="A23819" s="1" t="s">
        <v>23818</v>
      </c>
      <c r="B23819" s="2" t="str">
        <f>IFERROR(__xludf.DUMMYFUNCTION("GOOGLETRANSLATE(A23819, ""de"", ""en"")"),"horns")</f>
        <v>horns</v>
      </c>
    </row>
    <row r="23820">
      <c r="A23820" s="1" t="s">
        <v>23819</v>
      </c>
      <c r="B23820" s="2" t="str">
        <f>IFERROR(__xludf.DUMMYFUNCTION("GOOGLETRANSLATE(A23820, ""de"", ""en"")"),"henriette")</f>
        <v>henriette</v>
      </c>
    </row>
    <row r="23821">
      <c r="A23821" s="1" t="s">
        <v>23820</v>
      </c>
      <c r="B23821" s="2" t="str">
        <f>IFERROR(__xludf.DUMMYFUNCTION("GOOGLETRANSLATE(A23821, ""de"", ""en"")"),"seabed")</f>
        <v>seabed</v>
      </c>
    </row>
    <row r="23822">
      <c r="A23822" s="1" t="s">
        <v>23821</v>
      </c>
      <c r="B23822" s="2" t="str">
        <f>IFERROR(__xludf.DUMMYFUNCTION("GOOGLETRANSLATE(A23822, ""de"", ""en"")"),"lost")</f>
        <v>lost</v>
      </c>
    </row>
    <row r="23823">
      <c r="A23823" s="1" t="s">
        <v>23822</v>
      </c>
      <c r="B23823" s="2" t="str">
        <f>IFERROR(__xludf.DUMMYFUNCTION("GOOGLETRANSLATE(A23823, ""de"", ""en"")"),"mild")</f>
        <v>mild</v>
      </c>
    </row>
    <row r="23824">
      <c r="A23824" s="1" t="s">
        <v>23823</v>
      </c>
      <c r="B23824" s="2" t="str">
        <f>IFERROR(__xludf.DUMMYFUNCTION("GOOGLETRANSLATE(A23824, ""de"", ""en"")"),"equipped")</f>
        <v>equipped</v>
      </c>
    </row>
    <row r="23825">
      <c r="A23825" s="1" t="s">
        <v>23824</v>
      </c>
      <c r="B23825" s="2" t="str">
        <f>IFERROR(__xludf.DUMMYFUNCTION("GOOGLETRANSLATE(A23825, ""de"", ""en"")"),"hausen")</f>
        <v>hausen</v>
      </c>
    </row>
    <row r="23826">
      <c r="A23826" s="1" t="s">
        <v>23825</v>
      </c>
      <c r="B23826" s="2" t="str">
        <f>IFERROR(__xludf.DUMMYFUNCTION("GOOGLETRANSLATE(A23826, ""de"", ""en"")"),"dedication")</f>
        <v>dedication</v>
      </c>
    </row>
    <row r="23827">
      <c r="A23827" s="1" t="s">
        <v>23826</v>
      </c>
      <c r="B23827" s="2" t="str">
        <f>IFERROR(__xludf.DUMMYFUNCTION("GOOGLETRANSLATE(A23827, ""de"", ""en"")"),"keep free")</f>
        <v>keep free</v>
      </c>
    </row>
    <row r="23828">
      <c r="A23828" s="1" t="s">
        <v>23827</v>
      </c>
      <c r="B23828" s="2" t="str">
        <f>IFERROR(__xludf.DUMMYFUNCTION("GOOGLETRANSLATE(A23828, ""de"", ""en"")"),"gendarme")</f>
        <v>gendarme</v>
      </c>
    </row>
    <row r="23829">
      <c r="A23829" s="1" t="s">
        <v>23828</v>
      </c>
      <c r="B23829" s="2" t="str">
        <f>IFERROR(__xludf.DUMMYFUNCTION("GOOGLETRANSLATE(A23829, ""de"", ""en"")"),"smell")</f>
        <v>smell</v>
      </c>
    </row>
    <row r="23830">
      <c r="A23830" s="1" t="s">
        <v>23829</v>
      </c>
      <c r="B23830" s="2" t="str">
        <f>IFERROR(__xludf.DUMMYFUNCTION("GOOGLETRANSLATE(A23830, ""de"", ""en"")"),"spirit")</f>
        <v>spirit</v>
      </c>
    </row>
    <row r="23831">
      <c r="A23831" s="1" t="s">
        <v>23830</v>
      </c>
      <c r="B23831" s="2" t="str">
        <f>IFERROR(__xludf.DUMMYFUNCTION("GOOGLETRANSLATE(A23831, ""de"", ""en"")"),"stuffed")</f>
        <v>stuffed</v>
      </c>
    </row>
    <row r="23832">
      <c r="A23832" s="1" t="s">
        <v>23831</v>
      </c>
      <c r="B23832" s="2" t="str">
        <f>IFERROR(__xludf.DUMMYFUNCTION("GOOGLETRANSLATE(A23832, ""de"", ""en"")"),"terrance")</f>
        <v>terrance</v>
      </c>
    </row>
    <row r="23833">
      <c r="A23833" s="1" t="s">
        <v>23832</v>
      </c>
      <c r="B23833" s="2" t="str">
        <f>IFERROR(__xludf.DUMMYFUNCTION("GOOGLETRANSLATE(A23833, ""de"", ""en"")"),"previous")</f>
        <v>previous</v>
      </c>
    </row>
    <row r="23834">
      <c r="A23834" s="1" t="s">
        <v>23833</v>
      </c>
      <c r="B23834" s="2" t="str">
        <f>IFERROR(__xludf.DUMMYFUNCTION("GOOGLETRANSLATE(A23834, ""de"", ""en"")"),"class")</f>
        <v>class</v>
      </c>
    </row>
    <row r="23835">
      <c r="A23835" s="1" t="s">
        <v>23834</v>
      </c>
      <c r="B23835" s="2" t="str">
        <f>IFERROR(__xludf.DUMMYFUNCTION("GOOGLETRANSLATE(A23835, ""de"", ""en"")"),"white")</f>
        <v>white</v>
      </c>
    </row>
    <row r="23836">
      <c r="A23836" s="1" t="s">
        <v>23835</v>
      </c>
      <c r="B23836" s="2" t="str">
        <f>IFERROR(__xludf.DUMMYFUNCTION("GOOGLETRANSLATE(A23836, ""de"", ""en"")"),"milkshake")</f>
        <v>milkshake</v>
      </c>
    </row>
    <row r="23837">
      <c r="A23837" s="1" t="s">
        <v>23836</v>
      </c>
      <c r="B23837" s="2" t="str">
        <f>IFERROR(__xludf.DUMMYFUNCTION("GOOGLETRANSLATE(A23837, ""de"", ""en"")"),"delhi")</f>
        <v>delhi</v>
      </c>
    </row>
    <row r="23838">
      <c r="A23838" s="1" t="s">
        <v>23837</v>
      </c>
      <c r="B23838" s="2" t="str">
        <f>IFERROR(__xludf.DUMMYFUNCTION("GOOGLETRANSLATE(A23838, ""de"", ""en"")"),"priestess")</f>
        <v>priestess</v>
      </c>
    </row>
    <row r="23839">
      <c r="A23839" s="1" t="s">
        <v>23838</v>
      </c>
      <c r="B23839" s="2" t="str">
        <f>IFERROR(__xludf.DUMMYFUNCTION("GOOGLETRANSLATE(A23839, ""de"", ""en"")"),"hatice")</f>
        <v>hatice</v>
      </c>
    </row>
    <row r="23840">
      <c r="A23840" s="1" t="s">
        <v>23839</v>
      </c>
      <c r="B23840" s="2" t="str">
        <f>IFERROR(__xludf.DUMMYFUNCTION("GOOGLETRANSLATE(A23840, ""de"", ""en"")"),"stupider")</f>
        <v>stupider</v>
      </c>
    </row>
    <row r="23841">
      <c r="A23841" s="1" t="s">
        <v>23840</v>
      </c>
      <c r="B23841" s="2" t="str">
        <f>IFERROR(__xludf.DUMMYFUNCTION("GOOGLETRANSLATE(A23841, ""de"", ""en"")"),"triple")</f>
        <v>triple</v>
      </c>
    </row>
    <row r="23842">
      <c r="A23842" s="1" t="s">
        <v>23841</v>
      </c>
      <c r="B23842" s="2" t="str">
        <f>IFERROR(__xludf.DUMMYFUNCTION("GOOGLETRANSLATE(A23842, ""de"", ""en"")"),"Latinos")</f>
        <v>Latinos</v>
      </c>
    </row>
    <row r="23843">
      <c r="A23843" s="1" t="s">
        <v>23842</v>
      </c>
      <c r="B23843" s="2" t="str">
        <f>IFERROR(__xludf.DUMMYFUNCTION("GOOGLETRANSLATE(A23843, ""de"", ""en"")"),"married")</f>
        <v>married</v>
      </c>
    </row>
    <row r="23844">
      <c r="A23844" s="1" t="s">
        <v>23843</v>
      </c>
      <c r="B23844" s="2" t="str">
        <f>IFERROR(__xludf.DUMMYFUNCTION("GOOGLETRANSLATE(A23844, ""de"", ""en"")"),"straitjacket")</f>
        <v>straitjacket</v>
      </c>
    </row>
    <row r="23845">
      <c r="A23845" s="1" t="s">
        <v>23844</v>
      </c>
      <c r="B23845" s="2" t="str">
        <f>IFERROR(__xludf.DUMMYFUNCTION("GOOGLETRANSLATE(A23845, ""de"", ""en"")"),"said")</f>
        <v>said</v>
      </c>
    </row>
    <row r="23846">
      <c r="A23846" s="1" t="s">
        <v>23845</v>
      </c>
      <c r="B23846" s="2" t="str">
        <f>IFERROR(__xludf.DUMMYFUNCTION("GOOGLETRANSLATE(A23846, ""de"", ""en"")"),"rune")</f>
        <v>rune</v>
      </c>
    </row>
    <row r="23847">
      <c r="A23847" s="1" t="s">
        <v>23846</v>
      </c>
      <c r="B23847" s="2" t="str">
        <f>IFERROR(__xludf.DUMMYFUNCTION("GOOGLETRANSLATE(A23847, ""de"", ""en"")"),"johnston")</f>
        <v>johnston</v>
      </c>
    </row>
    <row r="23848">
      <c r="A23848" s="1" t="s">
        <v>23847</v>
      </c>
      <c r="B23848" s="2" t="str">
        <f>IFERROR(__xludf.DUMMYFUNCTION("GOOGLETRANSLATE(A23848, ""de"", ""en"")"),"state police")</f>
        <v>state police</v>
      </c>
    </row>
    <row r="23849">
      <c r="A23849" s="1" t="s">
        <v>23848</v>
      </c>
      <c r="B23849" s="2" t="str">
        <f>IFERROR(__xludf.DUMMYFUNCTION("GOOGLETRANSLATE(A23849, ""de"", ""en"")"),"shep")</f>
        <v>shep</v>
      </c>
    </row>
    <row r="23850">
      <c r="A23850" s="1" t="s">
        <v>23849</v>
      </c>
      <c r="B23850" s="2" t="str">
        <f>IFERROR(__xludf.DUMMYFUNCTION("GOOGLETRANSLATE(A23850, ""de"", ""en"")"),"ungodly")</f>
        <v>ungodly</v>
      </c>
    </row>
    <row r="23851">
      <c r="A23851" s="1" t="s">
        <v>23850</v>
      </c>
      <c r="B23851" s="2" t="str">
        <f>IFERROR(__xludf.DUMMYFUNCTION("GOOGLETRANSLATE(A23851, ""de"", ""en"")"),"Bajoran")</f>
        <v>Bajoran</v>
      </c>
    </row>
    <row r="23852">
      <c r="A23852" s="1" t="s">
        <v>23851</v>
      </c>
      <c r="B23852" s="2" t="str">
        <f>IFERROR(__xludf.DUMMYFUNCTION("GOOGLETRANSLATE(A23852, ""de"", ""en"")"),"Vincenzo")</f>
        <v>Vincenzo</v>
      </c>
    </row>
    <row r="23853">
      <c r="A23853" s="1" t="s">
        <v>23852</v>
      </c>
      <c r="B23853" s="2" t="str">
        <f>IFERROR(__xludf.DUMMYFUNCTION("GOOGLETRANSLATE(A23853, ""de"", ""en"")"),"croissants")</f>
        <v>croissants</v>
      </c>
    </row>
    <row r="23854">
      <c r="A23854" s="1" t="s">
        <v>23853</v>
      </c>
      <c r="B23854" s="2" t="str">
        <f>IFERROR(__xludf.DUMMYFUNCTION("GOOGLETRANSLATE(A23854, ""de"", ""en"")"),"continues")</f>
        <v>continues</v>
      </c>
    </row>
    <row r="23855">
      <c r="A23855" s="1" t="s">
        <v>23854</v>
      </c>
      <c r="B23855" s="2" t="str">
        <f>IFERROR(__xludf.DUMMYFUNCTION("GOOGLETRANSLATE(A23855, ""de"", ""en"")"),"hitomi")</f>
        <v>hitomi</v>
      </c>
    </row>
    <row r="23856">
      <c r="A23856" s="1" t="s">
        <v>23855</v>
      </c>
      <c r="B23856" s="2" t="str">
        <f>IFERROR(__xludf.DUMMYFUNCTION("GOOGLETRANSLATE(A23856, ""de"", ""en"")"),"epoch")</f>
        <v>epoch</v>
      </c>
    </row>
    <row r="23857">
      <c r="A23857" s="1" t="s">
        <v>23856</v>
      </c>
      <c r="B23857" s="2" t="str">
        <f>IFERROR(__xludf.DUMMYFUNCTION("GOOGLETRANSLATE(A23857, ""de"", ""en"")"),"kelzi")</f>
        <v>kelzi</v>
      </c>
    </row>
    <row r="23858">
      <c r="A23858" s="1" t="s">
        <v>23857</v>
      </c>
      <c r="B23858" s="2" t="str">
        <f>IFERROR(__xludf.DUMMYFUNCTION("GOOGLETRANSLATE(A23858, ""de"", ""en"")"),"stroke of luck")</f>
        <v>stroke of luck</v>
      </c>
    </row>
    <row r="23859">
      <c r="A23859" s="1" t="s">
        <v>23858</v>
      </c>
      <c r="B23859" s="2" t="str">
        <f>IFERROR(__xludf.DUMMYFUNCTION("GOOGLETRANSLATE(A23859, ""de"", ""en"")"),"Babi")</f>
        <v>Babi</v>
      </c>
    </row>
    <row r="23860">
      <c r="A23860" s="1" t="s">
        <v>23859</v>
      </c>
      <c r="B23860" s="2" t="str">
        <f>IFERROR(__xludf.DUMMYFUNCTION("GOOGLETRANSLATE(A23860, ""de"", ""en"")"),"concerned")</f>
        <v>concerned</v>
      </c>
    </row>
    <row r="23861">
      <c r="A23861" s="1" t="s">
        <v>23860</v>
      </c>
      <c r="B23861" s="2" t="str">
        <f>IFERROR(__xludf.DUMMYFUNCTION("GOOGLETRANSLATE(A23861, ""de"", ""en"")"),"spiral")</f>
        <v>spiral</v>
      </c>
    </row>
    <row r="23862">
      <c r="A23862" s="1" t="s">
        <v>23861</v>
      </c>
      <c r="B23862" s="2" t="str">
        <f>IFERROR(__xludf.DUMMYFUNCTION("GOOGLETRANSLATE(A23862, ""de"", ""en"")"),"expelled")</f>
        <v>expelled</v>
      </c>
    </row>
    <row r="23863">
      <c r="A23863" s="1" t="s">
        <v>23862</v>
      </c>
      <c r="B23863" s="2" t="str">
        <f>IFERROR(__xludf.DUMMYFUNCTION("GOOGLETRANSLATE(A23863, ""de"", ""en"")"),"stowed away")</f>
        <v>stowed away</v>
      </c>
    </row>
    <row r="23864">
      <c r="A23864" s="1" t="s">
        <v>23863</v>
      </c>
      <c r="B23864" s="2" t="str">
        <f>IFERROR(__xludf.DUMMYFUNCTION("GOOGLETRANSLATE(A23864, ""de"", ""en"")"),"revival")</f>
        <v>revival</v>
      </c>
    </row>
    <row r="23865">
      <c r="A23865" s="1" t="s">
        <v>23864</v>
      </c>
      <c r="B23865" s="2" t="str">
        <f>IFERROR(__xludf.DUMMYFUNCTION("GOOGLETRANSLATE(A23865, ""de"", ""en"")"),"gibberish")</f>
        <v>gibberish</v>
      </c>
    </row>
    <row r="23866">
      <c r="A23866" s="1" t="s">
        <v>23865</v>
      </c>
      <c r="B23866" s="2" t="str">
        <f>IFERROR(__xludf.DUMMYFUNCTION("GOOGLETRANSLATE(A23866, ""de"", ""en"")"),"bruising")</f>
        <v>bruising</v>
      </c>
    </row>
    <row r="23867">
      <c r="A23867" s="1" t="s">
        <v>23866</v>
      </c>
      <c r="B23867" s="2" t="str">
        <f>IFERROR(__xludf.DUMMYFUNCTION("GOOGLETRANSLATE(A23867, ""de"", ""en"")"),"relapse")</f>
        <v>relapse</v>
      </c>
    </row>
    <row r="23868">
      <c r="A23868" s="1" t="s">
        <v>23867</v>
      </c>
      <c r="B23868" s="2" t="str">
        <f>IFERROR(__xludf.DUMMYFUNCTION("GOOGLETRANSLATE(A23868, ""de"", ""en"")"),"hints")</f>
        <v>hints</v>
      </c>
    </row>
    <row r="23869">
      <c r="A23869" s="1" t="s">
        <v>23868</v>
      </c>
      <c r="B23869" s="2" t="str">
        <f>IFERROR(__xludf.DUMMYFUNCTION("GOOGLETRANSLATE(A23869, ""de"", ""en"")"),"motels")</f>
        <v>motels</v>
      </c>
    </row>
    <row r="23870">
      <c r="A23870" s="1" t="s">
        <v>23869</v>
      </c>
      <c r="B23870" s="2" t="str">
        <f>IFERROR(__xludf.DUMMYFUNCTION("GOOGLETRANSLATE(A23870, ""de"", ""en"")"),"pack")</f>
        <v>pack</v>
      </c>
    </row>
    <row r="23871">
      <c r="A23871" s="1" t="s">
        <v>23870</v>
      </c>
      <c r="B23871" s="2" t="str">
        <f>IFERROR(__xludf.DUMMYFUNCTION("GOOGLETRANSLATE(A23871, ""de"", ""en"")"),"more excellent")</f>
        <v>more excellent</v>
      </c>
    </row>
    <row r="23872">
      <c r="A23872" s="1" t="s">
        <v>23871</v>
      </c>
      <c r="B23872" s="2" t="str">
        <f>IFERROR(__xludf.DUMMYFUNCTION("GOOGLETRANSLATE(A23872, ""de"", ""en"")"),"cummings")</f>
        <v>cummings</v>
      </c>
    </row>
    <row r="23873">
      <c r="A23873" s="1" t="s">
        <v>23872</v>
      </c>
      <c r="B23873" s="2" t="str">
        <f>IFERROR(__xludf.DUMMYFUNCTION("GOOGLETRANSLATE(A23873, ""de"", ""en"")"),"male voice")</f>
        <v>male voice</v>
      </c>
    </row>
    <row r="23874">
      <c r="A23874" s="1" t="s">
        <v>23873</v>
      </c>
      <c r="B23874" s="2" t="str">
        <f>IFERROR(__xludf.DUMMYFUNCTION("GOOGLETRANSLATE(A23874, ""de"", ""en"")"),"self-important")</f>
        <v>self-important</v>
      </c>
    </row>
    <row r="23875">
      <c r="A23875" s="1" t="s">
        <v>23874</v>
      </c>
      <c r="B23875" s="2" t="str">
        <f>IFERROR(__xludf.DUMMYFUNCTION("GOOGLETRANSLATE(A23875, ""de"", ""en"")"),"rowena")</f>
        <v>rowena</v>
      </c>
    </row>
    <row r="23876">
      <c r="A23876" s="1" t="s">
        <v>23875</v>
      </c>
      <c r="B23876" s="2" t="str">
        <f>IFERROR(__xludf.DUMMYFUNCTION("GOOGLETRANSLATE(A23876, ""de"", ""en"")"),"waterloo")</f>
        <v>waterloo</v>
      </c>
    </row>
    <row r="23877">
      <c r="A23877" s="1" t="s">
        <v>23876</v>
      </c>
      <c r="B23877" s="2" t="str">
        <f>IFERROR(__xludf.DUMMYFUNCTION("GOOGLETRANSLATE(A23877, ""de"", ""en"")"),"appeared")</f>
        <v>appeared</v>
      </c>
    </row>
    <row r="23878">
      <c r="A23878" s="1" t="s">
        <v>23877</v>
      </c>
      <c r="B23878" s="2" t="str">
        <f>IFERROR(__xludf.DUMMYFUNCTION("GOOGLETRANSLATE(A23878, ""de"", ""en"")"),"collection")</f>
        <v>collection</v>
      </c>
    </row>
    <row r="23879">
      <c r="A23879" s="1" t="s">
        <v>23878</v>
      </c>
      <c r="B23879" s="2" t="str">
        <f>IFERROR(__xludf.DUMMYFUNCTION("GOOGLETRANSLATE(A23879, ""de"", ""en"")"),"look")</f>
        <v>look</v>
      </c>
    </row>
    <row r="23880">
      <c r="A23880" s="1" t="s">
        <v>23879</v>
      </c>
      <c r="B23880" s="2" t="str">
        <f>IFERROR(__xludf.DUMMYFUNCTION("GOOGLETRANSLATE(A23880, ""de"", ""en"")"),"germ")</f>
        <v>germ</v>
      </c>
    </row>
    <row r="23881">
      <c r="A23881" s="1" t="s">
        <v>23880</v>
      </c>
      <c r="B23881" s="2" t="str">
        <f>IFERROR(__xludf.DUMMYFUNCTION("GOOGLETRANSLATE(A23881, ""de"", ""en"")"),"queue")</f>
        <v>queue</v>
      </c>
    </row>
    <row r="23882">
      <c r="A23882" s="1" t="s">
        <v>23881</v>
      </c>
      <c r="B23882" s="2" t="str">
        <f>IFERROR(__xludf.DUMMYFUNCTION("GOOGLETRANSLATE(A23882, ""de"", ""en"")"),"fought back")</f>
        <v>fought back</v>
      </c>
    </row>
    <row r="23883">
      <c r="A23883" s="1" t="s">
        <v>23882</v>
      </c>
      <c r="B23883" s="2" t="str">
        <f>IFERROR(__xludf.DUMMYFUNCTION("GOOGLETRANSLATE(A23883, ""de"", ""en"")"),"pointer")</f>
        <v>pointer</v>
      </c>
    </row>
    <row r="23884">
      <c r="A23884" s="1" t="s">
        <v>23883</v>
      </c>
      <c r="B23884" s="2" t="str">
        <f>IFERROR(__xludf.DUMMYFUNCTION("GOOGLETRANSLATE(A23884, ""de"", ""en"")"),"welles")</f>
        <v>welles</v>
      </c>
    </row>
    <row r="23885">
      <c r="A23885" s="1" t="s">
        <v>23884</v>
      </c>
      <c r="B23885" s="2" t="str">
        <f>IFERROR(__xludf.DUMMYFUNCTION("GOOGLETRANSLATE(A23885, ""de"", ""en"")"),"guillermo")</f>
        <v>guillermo</v>
      </c>
    </row>
    <row r="23886">
      <c r="A23886" s="1" t="s">
        <v>23885</v>
      </c>
      <c r="B23886" s="2" t="str">
        <f>IFERROR(__xludf.DUMMYFUNCTION("GOOGLETRANSLATE(A23886, ""de"", ""en"")"),"slow motion")</f>
        <v>slow motion</v>
      </c>
    </row>
    <row r="23887">
      <c r="A23887" s="1" t="s">
        <v>23886</v>
      </c>
      <c r="B23887" s="2" t="str">
        <f>IFERROR(__xludf.DUMMYFUNCTION("GOOGLETRANSLATE(A23887, ""de"", ""en"")"),"note")</f>
        <v>note</v>
      </c>
    </row>
    <row r="23888">
      <c r="A23888" s="1" t="s">
        <v>23887</v>
      </c>
      <c r="B23888" s="2" t="str">
        <f>IFERROR(__xludf.DUMMYFUNCTION("GOOGLETRANSLATE(A23888, ""de"", ""en"")"),"general director")</f>
        <v>general director</v>
      </c>
    </row>
    <row r="23889">
      <c r="A23889" s="1" t="s">
        <v>23888</v>
      </c>
      <c r="B23889" s="2" t="str">
        <f>IFERROR(__xludf.DUMMYFUNCTION("GOOGLETRANSLATE(A23889, ""de"", ""en"")"),"scare off")</f>
        <v>scare off</v>
      </c>
    </row>
    <row r="23890">
      <c r="A23890" s="1" t="s">
        <v>23889</v>
      </c>
      <c r="B23890" s="2" t="str">
        <f>IFERROR(__xludf.DUMMYFUNCTION("GOOGLETRANSLATE(A23890, ""de"", ""en"")"),"funny")</f>
        <v>funny</v>
      </c>
    </row>
    <row r="23891">
      <c r="A23891" s="1" t="s">
        <v>23890</v>
      </c>
      <c r="B23891" s="2" t="str">
        <f>IFERROR(__xludf.DUMMYFUNCTION("GOOGLETRANSLATE(A23891, ""de"", ""en"")"),"circles")</f>
        <v>circles</v>
      </c>
    </row>
    <row r="23892">
      <c r="A23892" s="1" t="s">
        <v>23891</v>
      </c>
      <c r="B23892" s="2" t="str">
        <f>IFERROR(__xludf.DUMMYFUNCTION("GOOGLETRANSLATE(A23892, ""de"", ""en"")"),"archaeologists")</f>
        <v>archaeologists</v>
      </c>
    </row>
    <row r="23893">
      <c r="A23893" s="1" t="s">
        <v>23892</v>
      </c>
      <c r="B23893" s="2" t="str">
        <f>IFERROR(__xludf.DUMMYFUNCTION("GOOGLETRANSLATE(A23893, ""de"", ""en"")"),"valentine")</f>
        <v>valentine</v>
      </c>
    </row>
    <row r="23894">
      <c r="A23894" s="1" t="s">
        <v>23893</v>
      </c>
      <c r="B23894" s="2" t="str">
        <f>IFERROR(__xludf.DUMMYFUNCTION("GOOGLETRANSLATE(A23894, ""de"", ""en"")"),"fished")</f>
        <v>fished</v>
      </c>
    </row>
    <row r="23895">
      <c r="A23895" s="1" t="s">
        <v>23894</v>
      </c>
      <c r="B23895" s="2" t="str">
        <f>IFERROR(__xludf.DUMMYFUNCTION("GOOGLETRANSLATE(A23895, ""de"", ""en"")"),"attractive")</f>
        <v>attractive</v>
      </c>
    </row>
    <row r="23896">
      <c r="A23896" s="1" t="s">
        <v>23895</v>
      </c>
      <c r="B23896" s="2" t="str">
        <f>IFERROR(__xludf.DUMMYFUNCTION("GOOGLETRANSLATE(A23896, ""de"", ""en"")"),"peppermint")</f>
        <v>peppermint</v>
      </c>
    </row>
    <row r="23897">
      <c r="A23897" s="1" t="s">
        <v>23896</v>
      </c>
      <c r="B23897" s="2" t="str">
        <f>IFERROR(__xludf.DUMMYFUNCTION("GOOGLETRANSLATE(A23897, ""de"", ""en"")"),"disappointments")</f>
        <v>disappointments</v>
      </c>
    </row>
    <row r="23898">
      <c r="A23898" s="1" t="s">
        <v>23897</v>
      </c>
      <c r="B23898" s="2" t="str">
        <f>IFERROR(__xludf.DUMMYFUNCTION("GOOGLETRANSLATE(A23898, ""de"", ""en"")"),"horseshoe")</f>
        <v>horseshoe</v>
      </c>
    </row>
    <row r="23899">
      <c r="A23899" s="1" t="s">
        <v>23898</v>
      </c>
      <c r="B23899" s="2" t="str">
        <f>IFERROR(__xludf.DUMMYFUNCTION("GOOGLETRANSLATE(A23899, ""de"", ""en"")"),"calculate")</f>
        <v>calculate</v>
      </c>
    </row>
    <row r="23900">
      <c r="A23900" s="1" t="s">
        <v>23899</v>
      </c>
      <c r="B23900" s="2" t="str">
        <f>IFERROR(__xludf.DUMMYFUNCTION("GOOGLETRANSLATE(A23900, ""de"", ""en"")"),"unavoidable")</f>
        <v>unavoidable</v>
      </c>
    </row>
    <row r="23901">
      <c r="A23901" s="1" t="s">
        <v>23900</v>
      </c>
      <c r="B23901" s="2" t="str">
        <f>IFERROR(__xludf.DUMMYFUNCTION("GOOGLETRANSLATE(A23901, ""de"", ""en"")"),"pantry")</f>
        <v>pantry</v>
      </c>
    </row>
    <row r="23902">
      <c r="A23902" s="1" t="s">
        <v>23901</v>
      </c>
      <c r="B23902" s="2" t="str">
        <f>IFERROR(__xludf.DUMMYFUNCTION("GOOGLETRANSLATE(A23902, ""de"", ""en"")"),"bypass")</f>
        <v>bypass</v>
      </c>
    </row>
    <row r="23903">
      <c r="A23903" s="1" t="s">
        <v>23902</v>
      </c>
      <c r="B23903" s="2" t="str">
        <f>IFERROR(__xludf.DUMMYFUNCTION("GOOGLETRANSLATE(A23903, ""de"", ""en"")"),"rougher")</f>
        <v>rougher</v>
      </c>
    </row>
    <row r="23904">
      <c r="A23904" s="1" t="s">
        <v>23903</v>
      </c>
      <c r="B23904" s="2" t="str">
        <f>IFERROR(__xludf.DUMMYFUNCTION("GOOGLETRANSLATE(A23904, ""de"", ""en"")"),"embarrassing")</f>
        <v>embarrassing</v>
      </c>
    </row>
    <row r="23905">
      <c r="A23905" s="1" t="s">
        <v>23904</v>
      </c>
      <c r="B23905" s="2" t="str">
        <f>IFERROR(__xludf.DUMMYFUNCTION("GOOGLETRANSLATE(A23905, ""de"", ""en"")"),"in-laws")</f>
        <v>in-laws</v>
      </c>
    </row>
    <row r="23906">
      <c r="A23906" s="1" t="s">
        <v>23905</v>
      </c>
      <c r="B23906" s="2" t="str">
        <f>IFERROR(__xludf.DUMMYFUNCTION("GOOGLETRANSLATE(A23906, ""de"", ""en"")"),"closure")</f>
        <v>closure</v>
      </c>
    </row>
    <row r="23907">
      <c r="A23907" s="1" t="s">
        <v>23906</v>
      </c>
      <c r="B23907" s="2" t="str">
        <f>IFERROR(__xludf.DUMMYFUNCTION("GOOGLETRANSLATE(A23907, ""de"", ""en"")"),"take photos")</f>
        <v>take photos</v>
      </c>
    </row>
    <row r="23908">
      <c r="A23908" s="1" t="s">
        <v>23907</v>
      </c>
      <c r="B23908" s="2" t="str">
        <f>IFERROR(__xludf.DUMMYFUNCTION("GOOGLETRANSLATE(A23908, ""de"", ""en"")"),"pistons")</f>
        <v>pistons</v>
      </c>
    </row>
    <row r="23909">
      <c r="A23909" s="1" t="s">
        <v>23908</v>
      </c>
      <c r="B23909" s="2" t="str">
        <f>IFERROR(__xludf.DUMMYFUNCTION("GOOGLETRANSLATE(A23909, ""de"", ""en"")"),"seniors")</f>
        <v>seniors</v>
      </c>
    </row>
    <row r="23910">
      <c r="A23910" s="1" t="s">
        <v>23909</v>
      </c>
      <c r="B23910" s="2" t="str">
        <f>IFERROR(__xludf.DUMMYFUNCTION("GOOGLETRANSLATE(A23910, ""de"", ""en"")"),"windpipe")</f>
        <v>windpipe</v>
      </c>
    </row>
    <row r="23911">
      <c r="A23911" s="1" t="s">
        <v>23910</v>
      </c>
      <c r="B23911" s="2" t="str">
        <f>IFERROR(__xludf.DUMMYFUNCTION("GOOGLETRANSLATE(A23911, ""de"", ""en"")"),"unbelievable")</f>
        <v>unbelievable</v>
      </c>
    </row>
    <row r="23912">
      <c r="A23912" s="1" t="s">
        <v>23911</v>
      </c>
      <c r="B23912" s="2" t="str">
        <f>IFERROR(__xludf.DUMMYFUNCTION("GOOGLETRANSLATE(A23912, ""de"", ""en"")"),"drummer")</f>
        <v>drummer</v>
      </c>
    </row>
    <row r="23913">
      <c r="A23913" s="1" t="s">
        <v>23912</v>
      </c>
      <c r="B23913" s="2" t="str">
        <f>IFERROR(__xludf.DUMMYFUNCTION("GOOGLETRANSLATE(A23913, ""de"", ""en"")"),"puppeteer")</f>
        <v>puppeteer</v>
      </c>
    </row>
    <row r="23914">
      <c r="A23914" s="1" t="s">
        <v>23913</v>
      </c>
      <c r="B23914" s="2" t="str">
        <f>IFERROR(__xludf.DUMMYFUNCTION("GOOGLETRANSLATE(A23914, ""de"", ""en"")"),"erics")</f>
        <v>erics</v>
      </c>
    </row>
    <row r="23915">
      <c r="A23915" s="1" t="s">
        <v>23914</v>
      </c>
      <c r="B23915" s="2" t="str">
        <f>IFERROR(__xludf.DUMMYFUNCTION("GOOGLETRANSLATE(A23915, ""de"", ""en"")"),"paid")</f>
        <v>paid</v>
      </c>
    </row>
    <row r="23916">
      <c r="A23916" s="1" t="s">
        <v>23915</v>
      </c>
      <c r="B23916" s="2" t="str">
        <f>IFERROR(__xludf.DUMMYFUNCTION("GOOGLETRANSLATE(A23916, ""de"", ""en"")"),"dispensable")</f>
        <v>dispensable</v>
      </c>
    </row>
    <row r="23917">
      <c r="A23917" s="1" t="s">
        <v>23916</v>
      </c>
      <c r="B23917" s="2" t="str">
        <f>IFERROR(__xludf.DUMMYFUNCTION("GOOGLETRANSLATE(A23917, ""de"", ""en"")"),"confrontation")</f>
        <v>confrontation</v>
      </c>
    </row>
    <row r="23918">
      <c r="A23918" s="1" t="s">
        <v>23917</v>
      </c>
      <c r="B23918" s="2" t="str">
        <f>IFERROR(__xludf.DUMMYFUNCTION("GOOGLETRANSLATE(A23918, ""de"", ""en"")"),"dazed")</f>
        <v>dazed</v>
      </c>
    </row>
    <row r="23919">
      <c r="A23919" s="1" t="s">
        <v>23918</v>
      </c>
      <c r="B23919" s="2" t="str">
        <f>IFERROR(__xludf.DUMMYFUNCTION("GOOGLETRANSLATE(A23919, ""de"", ""en"")"),"athlete")</f>
        <v>athlete</v>
      </c>
    </row>
    <row r="23920">
      <c r="A23920" s="1" t="s">
        <v>23919</v>
      </c>
      <c r="B23920" s="2" t="str">
        <f>IFERROR(__xludf.DUMMYFUNCTION("GOOGLETRANSLATE(A23920, ""de"", ""en"")"),"murdered")</f>
        <v>murdered</v>
      </c>
    </row>
    <row r="23921">
      <c r="A23921" s="1" t="s">
        <v>23920</v>
      </c>
      <c r="B23921" s="2" t="str">
        <f>IFERROR(__xludf.DUMMYFUNCTION("GOOGLETRANSLATE(A23921, ""de"", ""en"")"),"war")</f>
        <v>war</v>
      </c>
    </row>
    <row r="23922">
      <c r="A23922" s="1" t="s">
        <v>23921</v>
      </c>
      <c r="B23922" s="2" t="str">
        <f>IFERROR(__xludf.DUMMYFUNCTION("GOOGLETRANSLATE(A23922, ""de"", ""en"")"),"degraded")</f>
        <v>degraded</v>
      </c>
    </row>
    <row r="23923">
      <c r="A23923" s="1" t="s">
        <v>23922</v>
      </c>
      <c r="B23923" s="2" t="str">
        <f>IFERROR(__xludf.DUMMYFUNCTION("GOOGLETRANSLATE(A23923, ""de"", ""en"")"),"graceful")</f>
        <v>graceful</v>
      </c>
    </row>
    <row r="23924">
      <c r="A23924" s="1" t="s">
        <v>23923</v>
      </c>
      <c r="B23924" s="2" t="str">
        <f>IFERROR(__xludf.DUMMYFUNCTION("GOOGLETRANSLATE(A23924, ""de"", ""en"")"),"hooky81")</f>
        <v>hooky81</v>
      </c>
    </row>
    <row r="23925">
      <c r="A23925" s="1" t="s">
        <v>23924</v>
      </c>
      <c r="B23925" s="2" t="str">
        <f>IFERROR(__xludf.DUMMYFUNCTION("GOOGLETRANSLATE(A23925, ""de"", ""en"")"),"suffocated")</f>
        <v>suffocated</v>
      </c>
    </row>
    <row r="23926">
      <c r="A23926" s="1" t="s">
        <v>23925</v>
      </c>
      <c r="B23926" s="2" t="str">
        <f>IFERROR(__xludf.DUMMYFUNCTION("GOOGLETRANSLATE(A23926, ""de"", ""en"")"),"concerns")</f>
        <v>concerns</v>
      </c>
    </row>
    <row r="23927">
      <c r="A23927" s="1" t="s">
        <v>23926</v>
      </c>
      <c r="B23927" s="2" t="str">
        <f>IFERROR(__xludf.DUMMYFUNCTION("GOOGLETRANSLATE(A23927, ""de"", ""en"")"),"nor")</f>
        <v>nor</v>
      </c>
    </row>
    <row r="23928">
      <c r="A23928" s="1" t="s">
        <v>23927</v>
      </c>
      <c r="B23928" s="2" t="str">
        <f>IFERROR(__xludf.DUMMYFUNCTION("GOOGLETRANSLATE(A23928, ""de"", ""en"")"),"analyst")</f>
        <v>analyst</v>
      </c>
    </row>
    <row r="23929">
      <c r="A23929" s="1" t="s">
        <v>23928</v>
      </c>
      <c r="B23929" s="2" t="str">
        <f>IFERROR(__xludf.DUMMYFUNCTION("GOOGLETRANSLATE(A23929, ""de"", ""en"")"),"pike")</f>
        <v>pike</v>
      </c>
    </row>
    <row r="23930">
      <c r="A23930" s="1" t="s">
        <v>23929</v>
      </c>
      <c r="B23930" s="2" t="str">
        <f>IFERROR(__xludf.DUMMYFUNCTION("GOOGLETRANSLATE(A23930, ""de"", ""en"")"),"united")</f>
        <v>united</v>
      </c>
    </row>
    <row r="23931">
      <c r="A23931" s="1" t="s">
        <v>23930</v>
      </c>
      <c r="B23931" s="2" t="str">
        <f>IFERROR(__xludf.DUMMYFUNCTION("GOOGLETRANSLATE(A23931, ""de"", ""en"")"),"hot")</f>
        <v>hot</v>
      </c>
    </row>
    <row r="23932">
      <c r="A23932" s="1" t="s">
        <v>23931</v>
      </c>
      <c r="B23932" s="2" t="str">
        <f>IFERROR(__xludf.DUMMYFUNCTION("GOOGLETRANSLATE(A23932, ""de"", ""en"")"),"dream woman")</f>
        <v>dream woman</v>
      </c>
    </row>
    <row r="23933">
      <c r="A23933" s="1" t="s">
        <v>23932</v>
      </c>
      <c r="B23933" s="2" t="str">
        <f>IFERROR(__xludf.DUMMYFUNCTION("GOOGLETRANSLATE(A23933, ""de"", ""en"")"),"fewness")</f>
        <v>fewness</v>
      </c>
    </row>
    <row r="23934">
      <c r="A23934" s="1" t="s">
        <v>23933</v>
      </c>
      <c r="B23934" s="2" t="str">
        <f>IFERROR(__xludf.DUMMYFUNCTION("GOOGLETRANSLATE(A23934, ""de"", ""en"")"),"reindeer")</f>
        <v>reindeer</v>
      </c>
    </row>
    <row r="23935">
      <c r="A23935" s="1" t="s">
        <v>23934</v>
      </c>
      <c r="B23935" s="2" t="str">
        <f>IFERROR(__xludf.DUMMYFUNCTION("GOOGLETRANSLATE(A23935, ""de"", ""en"")"),"allusions")</f>
        <v>allusions</v>
      </c>
    </row>
    <row r="23936">
      <c r="A23936" s="1" t="s">
        <v>23935</v>
      </c>
      <c r="B23936" s="2" t="str">
        <f>IFERROR(__xludf.DUMMYFUNCTION("GOOGLETRANSLATE(A23936, ""de"", ""en"")"),"more selfish")</f>
        <v>more selfish</v>
      </c>
    </row>
    <row r="23937">
      <c r="A23937" s="1" t="s">
        <v>23936</v>
      </c>
      <c r="B23937" s="2" t="str">
        <f>IFERROR(__xludf.DUMMYFUNCTION("GOOGLETRANSLATE(A23937, ""de"", ""en"")"),"worth")</f>
        <v>worth</v>
      </c>
    </row>
    <row r="23938">
      <c r="A23938" s="1" t="s">
        <v>23937</v>
      </c>
      <c r="B23938" s="2" t="str">
        <f>IFERROR(__xludf.DUMMYFUNCTION("GOOGLETRANSLATE(A23938, ""de"", ""en"")"),"grandfather")</f>
        <v>grandfather</v>
      </c>
    </row>
    <row r="23939">
      <c r="A23939" s="1" t="s">
        <v>23938</v>
      </c>
      <c r="B23939" s="2" t="str">
        <f>IFERROR(__xludf.DUMMYFUNCTION("GOOGLETRANSLATE(A23939, ""de"", ""en"")"),"woah")</f>
        <v>woah</v>
      </c>
    </row>
    <row r="23940">
      <c r="A23940" s="1" t="s">
        <v>23939</v>
      </c>
      <c r="B23940" s="2" t="str">
        <f>IFERROR(__xludf.DUMMYFUNCTION("GOOGLETRANSLATE(A23940, ""de"", ""en"")"),"Dmitri")</f>
        <v>Dmitri</v>
      </c>
    </row>
    <row r="23941">
      <c r="A23941" s="1" t="s">
        <v>23940</v>
      </c>
      <c r="B23941" s="2" t="str">
        <f>IFERROR(__xludf.DUMMYFUNCTION("GOOGLETRANSLATE(A23941, ""de"", ""en"")"),"louse")</f>
        <v>louse</v>
      </c>
    </row>
    <row r="23942">
      <c r="A23942" s="1" t="s">
        <v>23941</v>
      </c>
      <c r="B23942" s="2" t="str">
        <f>IFERROR(__xludf.DUMMYFUNCTION("GOOGLETRANSLATE(A23942, ""de"", ""en"")"),"pianist")</f>
        <v>pianist</v>
      </c>
    </row>
    <row r="23943">
      <c r="A23943" s="1" t="s">
        <v>23942</v>
      </c>
      <c r="B23943" s="2" t="str">
        <f>IFERROR(__xludf.DUMMYFUNCTION("GOOGLETRANSLATE(A23943, ""de"", ""en"")"),"limp")</f>
        <v>limp</v>
      </c>
    </row>
    <row r="23944">
      <c r="A23944" s="1" t="s">
        <v>23943</v>
      </c>
      <c r="B23944" s="2" t="str">
        <f>IFERROR(__xludf.DUMMYFUNCTION("GOOGLETRANSLATE(A23944, ""de"", ""en"")"),"rock")</f>
        <v>rock</v>
      </c>
    </row>
    <row r="23945">
      <c r="A23945" s="1" t="s">
        <v>23944</v>
      </c>
      <c r="B23945" s="2" t="str">
        <f>IFERROR(__xludf.DUMMYFUNCTION("GOOGLETRANSLATE(A23945, ""de"", ""en"")"),"look at")</f>
        <v>look at</v>
      </c>
    </row>
    <row r="23946">
      <c r="A23946" s="1" t="s">
        <v>23945</v>
      </c>
      <c r="B23946" s="2" t="str">
        <f>IFERROR(__xludf.DUMMYFUNCTION("GOOGLETRANSLATE(A23946, ""de"", ""en"")"),"low")</f>
        <v>low</v>
      </c>
    </row>
    <row r="23947">
      <c r="A23947" s="1" t="s">
        <v>23946</v>
      </c>
      <c r="B23947" s="2" t="str">
        <f>IFERROR(__xludf.DUMMYFUNCTION("GOOGLETRANSLATE(A23947, ""de"", ""en"")"),"graffiti")</f>
        <v>graffiti</v>
      </c>
    </row>
    <row r="23948">
      <c r="A23948" s="1" t="s">
        <v>23947</v>
      </c>
      <c r="B23948" s="2" t="str">
        <f>IFERROR(__xludf.DUMMYFUNCTION("GOOGLETRANSLATE(A23948, ""de"", ""en"")"),"gredenko")</f>
        <v>gredenko</v>
      </c>
    </row>
    <row r="23949">
      <c r="A23949" s="1" t="s">
        <v>23948</v>
      </c>
      <c r="B23949" s="2" t="str">
        <f>IFERROR(__xludf.DUMMYFUNCTION("GOOGLETRANSLATE(A23949, ""de"", ""en"")"),"miserable")</f>
        <v>miserable</v>
      </c>
    </row>
    <row r="23950">
      <c r="A23950" s="1" t="s">
        <v>23949</v>
      </c>
      <c r="B23950" s="2" t="str">
        <f>IFERROR(__xludf.DUMMYFUNCTION("GOOGLETRANSLATE(A23950, ""de"", ""en"")"),"you knew")</f>
        <v>you knew</v>
      </c>
    </row>
    <row r="23951">
      <c r="A23951" s="1" t="s">
        <v>23950</v>
      </c>
      <c r="B23951" s="2" t="str">
        <f>IFERROR(__xludf.DUMMYFUNCTION("GOOGLETRANSLATE(A23951, ""de"", ""en"")"),"lira")</f>
        <v>lira</v>
      </c>
    </row>
    <row r="23952">
      <c r="A23952" s="1" t="s">
        <v>23951</v>
      </c>
      <c r="B23952" s="2" t="str">
        <f>IFERROR(__xludf.DUMMYFUNCTION("GOOGLETRANSLATE(A23952, ""de"", ""en"")"),"moved")</f>
        <v>moved</v>
      </c>
    </row>
    <row r="23953">
      <c r="A23953" s="1" t="s">
        <v>23952</v>
      </c>
      <c r="B23953" s="2" t="str">
        <f>IFERROR(__xludf.DUMMYFUNCTION("GOOGLETRANSLATE(A23953, ""de"", ""en"")"),"body language")</f>
        <v>body language</v>
      </c>
    </row>
    <row r="23954">
      <c r="A23954" s="1" t="s">
        <v>23953</v>
      </c>
      <c r="B23954" s="2" t="str">
        <f>IFERROR(__xludf.DUMMYFUNCTION("GOOGLETRANSLATE(A23954, ""de"", ""en"")"),"to finish")</f>
        <v>to finish</v>
      </c>
    </row>
    <row r="23955">
      <c r="A23955" s="1" t="s">
        <v>23954</v>
      </c>
      <c r="B23955" s="2" t="str">
        <f>IFERROR(__xludf.DUMMYFUNCTION("GOOGLETRANSLATE(A23955, ""de"", ""en"")"),"bushes")</f>
        <v>bushes</v>
      </c>
    </row>
    <row r="23956">
      <c r="A23956" s="1" t="s">
        <v>23955</v>
      </c>
      <c r="B23956" s="2" t="str">
        <f>IFERROR(__xludf.DUMMYFUNCTION("GOOGLETRANSLATE(A23956, ""de"", ""en"")"),"low")</f>
        <v>low</v>
      </c>
    </row>
    <row r="23957">
      <c r="A23957" s="1" t="s">
        <v>23956</v>
      </c>
      <c r="B23957" s="2" t="str">
        <f>IFERROR(__xludf.DUMMYFUNCTION("GOOGLETRANSLATE(A23957, ""de"", ""en"")"),"cuts")</f>
        <v>cuts</v>
      </c>
    </row>
    <row r="23958">
      <c r="A23958" s="1" t="s">
        <v>23957</v>
      </c>
      <c r="B23958" s="2" t="str">
        <f>IFERROR(__xludf.DUMMYFUNCTION("GOOGLETRANSLATE(A23958, ""de"", ""en"")"),"carotid artery")</f>
        <v>carotid artery</v>
      </c>
    </row>
    <row r="23959">
      <c r="A23959" s="1" t="s">
        <v>23958</v>
      </c>
      <c r="B23959" s="2" t="str">
        <f>IFERROR(__xludf.DUMMYFUNCTION("GOOGLETRANSLATE(A23959, ""de"", ""en"")"),"meadows")</f>
        <v>meadows</v>
      </c>
    </row>
    <row r="23960">
      <c r="A23960" s="1" t="s">
        <v>23959</v>
      </c>
      <c r="B23960" s="2" t="str">
        <f>IFERROR(__xludf.DUMMYFUNCTION("GOOGLETRANSLATE(A23960, ""de"", ""en"")"),"Tris")</f>
        <v>Tris</v>
      </c>
    </row>
    <row r="23961">
      <c r="A23961" s="1" t="s">
        <v>23960</v>
      </c>
      <c r="B23961" s="2" t="str">
        <f>IFERROR(__xludf.DUMMYFUNCTION("GOOGLETRANSLATE(A23961, ""de"", ""en"")"),"fried")</f>
        <v>fried</v>
      </c>
    </row>
    <row r="23962">
      <c r="A23962" s="1" t="s">
        <v>23961</v>
      </c>
      <c r="B23962" s="2" t="str">
        <f>IFERROR(__xludf.DUMMYFUNCTION("GOOGLETRANSLATE(A23962, ""de"", ""en"")"),"principles")</f>
        <v>principles</v>
      </c>
    </row>
    <row r="23963">
      <c r="A23963" s="1" t="s">
        <v>23962</v>
      </c>
      <c r="B23963" s="2" t="str">
        <f>IFERROR(__xludf.DUMMYFUNCTION("GOOGLETRANSLATE(A23963, ""de"", ""en"")"),"inmate")</f>
        <v>inmate</v>
      </c>
    </row>
    <row r="23964">
      <c r="A23964" s="1" t="s">
        <v>23963</v>
      </c>
      <c r="B23964" s="2" t="str">
        <f>IFERROR(__xludf.DUMMYFUNCTION("GOOGLETRANSLATE(A23964, ""de"", ""en"")"),"boathouse")</f>
        <v>boathouse</v>
      </c>
    </row>
    <row r="23965">
      <c r="A23965" s="1" t="s">
        <v>23964</v>
      </c>
      <c r="B23965" s="2" t="str">
        <f>IFERROR(__xludf.DUMMYFUNCTION("GOOGLETRANSLATE(A23965, ""de"", ""en"")"),"talents")</f>
        <v>talents</v>
      </c>
    </row>
    <row r="23966">
      <c r="A23966" s="1" t="s">
        <v>23965</v>
      </c>
      <c r="B23966" s="2" t="str">
        <f>IFERROR(__xludf.DUMMYFUNCTION("GOOGLETRANSLATE(A23966, ""de"", ""en"")"),"tie")</f>
        <v>tie</v>
      </c>
    </row>
    <row r="23967">
      <c r="A23967" s="1" t="s">
        <v>23966</v>
      </c>
      <c r="B23967" s="2" t="str">
        <f>IFERROR(__xludf.DUMMYFUNCTION("GOOGLETRANSLATE(A23967, ""de"", ""en"")"),"zaster")</f>
        <v>zaster</v>
      </c>
    </row>
    <row r="23968">
      <c r="A23968" s="1" t="s">
        <v>23967</v>
      </c>
      <c r="B23968" s="2" t="str">
        <f>IFERROR(__xludf.DUMMYFUNCTION("GOOGLETRANSLATE(A23968, ""de"", ""en"")"),"tiberius")</f>
        <v>tiberius</v>
      </c>
    </row>
    <row r="23969">
      <c r="A23969" s="1" t="s">
        <v>23968</v>
      </c>
      <c r="B23969" s="2" t="str">
        <f>IFERROR(__xludf.DUMMYFUNCTION("GOOGLETRANSLATE(A23969, ""de"", ""en"")"),"bitches")</f>
        <v>bitches</v>
      </c>
    </row>
    <row r="23970">
      <c r="A23970" s="1" t="s">
        <v>23969</v>
      </c>
      <c r="B23970" s="2" t="str">
        <f>IFERROR(__xludf.DUMMYFUNCTION("GOOGLETRANSLATE(A23970, ""de"", ""en"")"),"crawl")</f>
        <v>crawl</v>
      </c>
    </row>
    <row r="23971">
      <c r="A23971" s="1" t="s">
        <v>23970</v>
      </c>
      <c r="B23971" s="2" t="str">
        <f>IFERROR(__xludf.DUMMYFUNCTION("GOOGLETRANSLATE(A23971, ""de"", ""en"")"),"digs")</f>
        <v>digs</v>
      </c>
    </row>
    <row r="23972">
      <c r="A23972" s="1" t="s">
        <v>23971</v>
      </c>
      <c r="B23972" s="2" t="str">
        <f>IFERROR(__xludf.DUMMYFUNCTION("GOOGLETRANSLATE(A23972, ""de"", ""en"")"),"failure")</f>
        <v>failure</v>
      </c>
    </row>
    <row r="23973">
      <c r="A23973" s="1" t="s">
        <v>23972</v>
      </c>
      <c r="B23973" s="2" t="str">
        <f>IFERROR(__xludf.DUMMYFUNCTION("GOOGLETRANSLATE(A23973, ""de"", ""en"")"),"sneak")</f>
        <v>sneak</v>
      </c>
    </row>
    <row r="23974">
      <c r="A23974" s="1" t="s">
        <v>23973</v>
      </c>
      <c r="B23974" s="2" t="str">
        <f>IFERROR(__xludf.DUMMYFUNCTION("GOOGLETRANSLATE(A23974, ""de"", ""en"")"),"petey")</f>
        <v>petey</v>
      </c>
    </row>
    <row r="23975">
      <c r="A23975" s="1" t="s">
        <v>23974</v>
      </c>
      <c r="B23975" s="2" t="str">
        <f>IFERROR(__xludf.DUMMYFUNCTION("GOOGLETRANSLATE(A23975, ""de"", ""en"")"),"arrest warrants")</f>
        <v>arrest warrants</v>
      </c>
    </row>
    <row r="23976">
      <c r="A23976" s="1" t="s">
        <v>23975</v>
      </c>
      <c r="B23976" s="2" t="str">
        <f>IFERROR(__xludf.DUMMYFUNCTION("GOOGLETRANSLATE(A23976, ""de"", ""en"")"),"mistress")</f>
        <v>mistress</v>
      </c>
    </row>
    <row r="23977">
      <c r="A23977" s="1" t="s">
        <v>23976</v>
      </c>
      <c r="B23977" s="2" t="str">
        <f>IFERROR(__xludf.DUMMYFUNCTION("GOOGLETRANSLATE(A23977, ""de"", ""en"")"),"Germain")</f>
        <v>Germain</v>
      </c>
    </row>
    <row r="23978">
      <c r="A23978" s="1" t="s">
        <v>23977</v>
      </c>
      <c r="B23978" s="2" t="str">
        <f>IFERROR(__xludf.DUMMYFUNCTION("GOOGLETRANSLATE(A23978, ""de"", ""en"")"),"plums")</f>
        <v>plums</v>
      </c>
    </row>
    <row r="23979">
      <c r="A23979" s="1" t="s">
        <v>23978</v>
      </c>
      <c r="B23979" s="2" t="str">
        <f>IFERROR(__xludf.DUMMYFUNCTION("GOOGLETRANSLATE(A23979, ""de"", ""en"")"),"blackjack")</f>
        <v>blackjack</v>
      </c>
    </row>
    <row r="23980">
      <c r="A23980" s="1" t="s">
        <v>23979</v>
      </c>
      <c r="B23980" s="2" t="str">
        <f>IFERROR(__xludf.DUMMYFUNCTION("GOOGLETRANSLATE(A23980, ""de"", ""en"")"),"mckenzie")</f>
        <v>mckenzie</v>
      </c>
    </row>
    <row r="23981">
      <c r="A23981" s="1" t="s">
        <v>23980</v>
      </c>
      <c r="B23981" s="2" t="str">
        <f>IFERROR(__xludf.DUMMYFUNCTION("GOOGLETRANSLATE(A23981, ""de"", ""en"")"),"transfer")</f>
        <v>transfer</v>
      </c>
    </row>
    <row r="23982">
      <c r="A23982" s="1" t="s">
        <v>23981</v>
      </c>
      <c r="B23982" s="2" t="str">
        <f>IFERROR(__xludf.DUMMYFUNCTION("GOOGLETRANSLATE(A23982, ""de"", ""en"")"),"dull")</f>
        <v>dull</v>
      </c>
    </row>
    <row r="23983">
      <c r="A23983" s="1" t="s">
        <v>23982</v>
      </c>
      <c r="B23983" s="2" t="str">
        <f>IFERROR(__xludf.DUMMYFUNCTION("GOOGLETRANSLATE(A23983, ""de"", ""en"")"),"transparent")</f>
        <v>transparent</v>
      </c>
    </row>
    <row r="23984">
      <c r="A23984" s="1" t="s">
        <v>23983</v>
      </c>
      <c r="B23984" s="2" t="str">
        <f>IFERROR(__xludf.DUMMYFUNCTION("GOOGLETRANSLATE(A23984, ""de"", ""en"")"),"socialism")</f>
        <v>socialism</v>
      </c>
    </row>
    <row r="23985">
      <c r="A23985" s="1" t="s">
        <v>23984</v>
      </c>
      <c r="B23985" s="2" t="str">
        <f>IFERROR(__xludf.DUMMYFUNCTION("GOOGLETRANSLATE(A23985, ""de"", ""en"")"),"smurfette")</f>
        <v>smurfette</v>
      </c>
    </row>
    <row r="23986">
      <c r="A23986" s="1" t="s">
        <v>23985</v>
      </c>
      <c r="B23986" s="2" t="str">
        <f>IFERROR(__xludf.DUMMYFUNCTION("GOOGLETRANSLATE(A23986, ""de"", ""en"")"),"shiro")</f>
        <v>shiro</v>
      </c>
    </row>
    <row r="23987">
      <c r="A23987" s="1" t="s">
        <v>23986</v>
      </c>
      <c r="B23987" s="2" t="str">
        <f>IFERROR(__xludf.DUMMYFUNCTION("GOOGLETRANSLATE(A23987, ""de"", ""en"")"),"uterus")</f>
        <v>uterus</v>
      </c>
    </row>
    <row r="23988">
      <c r="A23988" s="1" t="s">
        <v>23987</v>
      </c>
      <c r="B23988" s="2" t="str">
        <f>IFERROR(__xludf.DUMMYFUNCTION("GOOGLETRANSLATE(A23988, ""de"", ""en"")"),"reflects")</f>
        <v>reflects</v>
      </c>
    </row>
    <row r="23989">
      <c r="A23989" s="1" t="s">
        <v>23988</v>
      </c>
      <c r="B23989" s="2" t="str">
        <f>IFERROR(__xludf.DUMMYFUNCTION("GOOGLETRANSLATE(A23989, ""de"", ""en"")"),"current")</f>
        <v>current</v>
      </c>
    </row>
    <row r="23990">
      <c r="A23990" s="1" t="s">
        <v>23989</v>
      </c>
      <c r="B23990" s="2" t="str">
        <f>IFERROR(__xludf.DUMMYFUNCTION("GOOGLETRANSLATE(A23990, ""de"", ""en"")"),"food chain")</f>
        <v>food chain</v>
      </c>
    </row>
    <row r="23991">
      <c r="A23991" s="1" t="s">
        <v>23990</v>
      </c>
      <c r="B23991" s="2" t="str">
        <f>IFERROR(__xludf.DUMMYFUNCTION("GOOGLETRANSLATE(A23991, ""de"", ""en"")"),"complete")</f>
        <v>complete</v>
      </c>
    </row>
    <row r="23992">
      <c r="A23992" s="1" t="s">
        <v>23991</v>
      </c>
      <c r="B23992" s="2" t="str">
        <f>IFERROR(__xludf.DUMMYFUNCTION("GOOGLETRANSLATE(A23992, ""de"", ""en"")"),"bah")</f>
        <v>bah</v>
      </c>
    </row>
    <row r="23993">
      <c r="A23993" s="1" t="s">
        <v>23992</v>
      </c>
      <c r="B23993" s="2" t="str">
        <f>IFERROR(__xludf.DUMMYFUNCTION("GOOGLETRANSLATE(A23993, ""de"", ""en"")"),"school bell")</f>
        <v>school bell</v>
      </c>
    </row>
    <row r="23994">
      <c r="A23994" s="1" t="s">
        <v>23993</v>
      </c>
      <c r="B23994" s="2" t="str">
        <f>IFERROR(__xludf.DUMMYFUNCTION("GOOGLETRANSLATE(A23994, ""de"", ""en"")"),"rosewood")</f>
        <v>rosewood</v>
      </c>
    </row>
    <row r="23995">
      <c r="A23995" s="1" t="s">
        <v>23994</v>
      </c>
      <c r="B23995" s="2" t="str">
        <f>IFERROR(__xludf.DUMMYFUNCTION("GOOGLETRANSLATE(A23995, ""de"", ""en"")"),"suffers")</f>
        <v>suffers</v>
      </c>
    </row>
    <row r="23996">
      <c r="A23996" s="1" t="s">
        <v>23995</v>
      </c>
      <c r="B23996" s="2" t="str">
        <f>IFERROR(__xludf.DUMMYFUNCTION("GOOGLETRANSLATE(A23996, ""de"", ""en"")"),"accident")</f>
        <v>accident</v>
      </c>
    </row>
    <row r="23997">
      <c r="A23997" s="1" t="s">
        <v>23996</v>
      </c>
      <c r="B23997" s="2" t="str">
        <f>IFERROR(__xludf.DUMMYFUNCTION("GOOGLETRANSLATE(A23997, ""de"", ""en"")"),"companion")</f>
        <v>companion</v>
      </c>
    </row>
    <row r="23998">
      <c r="A23998" s="1" t="s">
        <v>23997</v>
      </c>
      <c r="B23998" s="2" t="str">
        <f>IFERROR(__xludf.DUMMYFUNCTION("GOOGLETRANSLATE(A23998, ""de"", ""en"")"),"babette")</f>
        <v>babette</v>
      </c>
    </row>
    <row r="23999">
      <c r="A23999" s="1" t="s">
        <v>23998</v>
      </c>
      <c r="B23999" s="2" t="str">
        <f>IFERROR(__xludf.DUMMYFUNCTION("GOOGLETRANSLATE(A23999, ""de"", ""en"")"),"excuses")</f>
        <v>excuses</v>
      </c>
    </row>
    <row r="24000">
      <c r="A24000" s="1" t="s">
        <v>23999</v>
      </c>
      <c r="B24000" s="2" t="str">
        <f>IFERROR(__xludf.DUMMYFUNCTION("GOOGLETRANSLATE(A24000, ""de"", ""en"")"),"to avoid")</f>
        <v>to avoid</v>
      </c>
    </row>
    <row r="24001">
      <c r="A24001" s="1" t="s">
        <v>24000</v>
      </c>
      <c r="B24001" s="2" t="str">
        <f>IFERROR(__xludf.DUMMYFUNCTION("GOOGLETRANSLATE(A24001, ""de"", ""en"")"),"stumbles")</f>
        <v>stumbles</v>
      </c>
    </row>
    <row r="24002">
      <c r="A24002" s="1" t="s">
        <v>24001</v>
      </c>
      <c r="B24002" s="2" t="str">
        <f>IFERROR(__xludf.DUMMYFUNCTION("GOOGLETRANSLATE(A24002, ""de"", ""en"")"),"southern")</f>
        <v>southern</v>
      </c>
    </row>
    <row r="24003">
      <c r="A24003" s="1" t="s">
        <v>24002</v>
      </c>
      <c r="B24003" s="2" t="str">
        <f>IFERROR(__xludf.DUMMYFUNCTION("GOOGLETRANSLATE(A24003, ""de"", ""en"")"),"Edinburgh")</f>
        <v>Edinburgh</v>
      </c>
    </row>
    <row r="24004">
      <c r="A24004" s="1" t="s">
        <v>24003</v>
      </c>
      <c r="B24004" s="2" t="str">
        <f>IFERROR(__xludf.DUMMYFUNCTION("GOOGLETRANSLATE(A24004, ""de"", ""en"")"),"uphill")</f>
        <v>uphill</v>
      </c>
    </row>
    <row r="24005">
      <c r="A24005" s="1" t="s">
        <v>24004</v>
      </c>
      <c r="B24005" s="2" t="str">
        <f>IFERROR(__xludf.DUMMYFUNCTION("GOOGLETRANSLATE(A24005, ""de"", ""en"")"),"fogg")</f>
        <v>fogg</v>
      </c>
    </row>
    <row r="24006">
      <c r="A24006" s="1" t="s">
        <v>24005</v>
      </c>
      <c r="B24006" s="2" t="str">
        <f>IFERROR(__xludf.DUMMYFUNCTION("GOOGLETRANSLATE(A24006, ""de"", ""en"")"),"fervently")</f>
        <v>fervently</v>
      </c>
    </row>
    <row r="24007">
      <c r="A24007" s="1" t="s">
        <v>24006</v>
      </c>
      <c r="B24007" s="2" t="str">
        <f>IFERROR(__xludf.DUMMYFUNCTION("GOOGLETRANSLATE(A24007, ""de"", ""en"")"),"unemployed")</f>
        <v>unemployed</v>
      </c>
    </row>
    <row r="24008">
      <c r="A24008" s="1" t="s">
        <v>24007</v>
      </c>
      <c r="B24008" s="2" t="str">
        <f>IFERROR(__xludf.DUMMYFUNCTION("GOOGLETRANSLATE(A24008, ""de"", ""en"")"),"hands")</f>
        <v>hands</v>
      </c>
    </row>
    <row r="24009">
      <c r="A24009" s="1" t="s">
        <v>24008</v>
      </c>
      <c r="B24009" s="2" t="str">
        <f>IFERROR(__xludf.DUMMYFUNCTION("GOOGLETRANSLATE(A24009, ""de"", ""en"")"),"advanced")</f>
        <v>advanced</v>
      </c>
    </row>
    <row r="24010">
      <c r="A24010" s="1" t="s">
        <v>24009</v>
      </c>
      <c r="B24010" s="2" t="str">
        <f>IFERROR(__xludf.DUMMYFUNCTION("GOOGLETRANSLATE(A24010, ""de"", ""en"")"),"builds")</f>
        <v>builds</v>
      </c>
    </row>
    <row r="24011">
      <c r="A24011" s="1" t="s">
        <v>24010</v>
      </c>
      <c r="B24011" s="2" t="str">
        <f>IFERROR(__xludf.DUMMYFUNCTION("GOOGLETRANSLATE(A24011, ""de"", ""en"")"),"ward")</f>
        <v>ward</v>
      </c>
    </row>
    <row r="24012">
      <c r="A24012" s="1" t="s">
        <v>24011</v>
      </c>
      <c r="B24012" s="2" t="str">
        <f>IFERROR(__xludf.DUMMYFUNCTION("GOOGLETRANSLATE(A24012, ""de"", ""en"")"),"stoner")</f>
        <v>stoner</v>
      </c>
    </row>
    <row r="24013">
      <c r="A24013" s="1" t="s">
        <v>24012</v>
      </c>
      <c r="B24013" s="2" t="str">
        <f>IFERROR(__xludf.DUMMYFUNCTION("GOOGLETRANSLATE(A24013, ""de"", ""en"")"),"Chinese")</f>
        <v>Chinese</v>
      </c>
    </row>
    <row r="24014">
      <c r="A24014" s="1" t="s">
        <v>24013</v>
      </c>
      <c r="B24014" s="2" t="str">
        <f>IFERROR(__xludf.DUMMYFUNCTION("GOOGLETRANSLATE(A24014, ""de"", ""en"")"),"subject")</f>
        <v>subject</v>
      </c>
    </row>
    <row r="24015">
      <c r="A24015" s="1" t="s">
        <v>24014</v>
      </c>
      <c r="B24015" s="2" t="str">
        <f>IFERROR(__xludf.DUMMYFUNCTION("GOOGLETRANSLATE(A24015, ""de"", ""en"")"),"sense")</f>
        <v>sense</v>
      </c>
    </row>
    <row r="24016">
      <c r="A24016" s="1" t="s">
        <v>24015</v>
      </c>
      <c r="B24016" s="2" t="str">
        <f>IFERROR(__xludf.DUMMYFUNCTION("GOOGLETRANSLATE(A24016, ""de"", ""en"")"),"but now")</f>
        <v>but now</v>
      </c>
    </row>
    <row r="24017">
      <c r="A24017" s="1" t="s">
        <v>24016</v>
      </c>
      <c r="B24017" s="2" t="str">
        <f>IFERROR(__xludf.DUMMYFUNCTION("GOOGLETRANSLATE(A24017, ""de"", ""en"")"),"because")</f>
        <v>because</v>
      </c>
    </row>
    <row r="24018">
      <c r="A24018" s="1" t="s">
        <v>24017</v>
      </c>
      <c r="B24018" s="2" t="str">
        <f>IFERROR(__xludf.DUMMYFUNCTION("GOOGLETRANSLATE(A24018, ""de"", ""en"")"),"beauty salon")</f>
        <v>beauty salon</v>
      </c>
    </row>
    <row r="24019">
      <c r="A24019" s="1" t="s">
        <v>24018</v>
      </c>
      <c r="B24019" s="2" t="str">
        <f>IFERROR(__xludf.DUMMYFUNCTION("GOOGLETRANSLATE(A24019, ""de"", ""en"")"),"collision")</f>
        <v>collision</v>
      </c>
    </row>
    <row r="24020">
      <c r="A24020" s="1" t="s">
        <v>24019</v>
      </c>
      <c r="B24020" s="2" t="str">
        <f>IFERROR(__xludf.DUMMYFUNCTION("GOOGLETRANSLATE(A24020, ""de"", ""en"")"),"dishonorable")</f>
        <v>dishonorable</v>
      </c>
    </row>
    <row r="24021">
      <c r="A24021" s="1" t="s">
        <v>24020</v>
      </c>
      <c r="B24021" s="2" t="str">
        <f>IFERROR(__xludf.DUMMYFUNCTION("GOOGLETRANSLATE(A24021, ""de"", ""en"")"),"to bring out")</f>
        <v>to bring out</v>
      </c>
    </row>
    <row r="24022">
      <c r="A24022" s="1" t="s">
        <v>24021</v>
      </c>
      <c r="B24022" s="2" t="str">
        <f>IFERROR(__xludf.DUMMYFUNCTION("GOOGLETRANSLATE(A24022, ""de"", ""en"")"),"flowers")</f>
        <v>flowers</v>
      </c>
    </row>
    <row r="24023">
      <c r="A24023" s="1" t="s">
        <v>24022</v>
      </c>
      <c r="B24023" s="2" t="str">
        <f>IFERROR(__xludf.DUMMYFUNCTION("GOOGLETRANSLATE(A24023, ""de"", ""en"")"),"promoted")</f>
        <v>promoted</v>
      </c>
    </row>
    <row r="24024">
      <c r="A24024" s="1" t="s">
        <v>24023</v>
      </c>
      <c r="B24024" s="2" t="str">
        <f>IFERROR(__xludf.DUMMYFUNCTION("GOOGLETRANSLATE(A24024, ""de"", ""en"")"),"legal")</f>
        <v>legal</v>
      </c>
    </row>
    <row r="24025">
      <c r="A24025" s="1" t="s">
        <v>24024</v>
      </c>
      <c r="B24025" s="2" t="str">
        <f>IFERROR(__xludf.DUMMYFUNCTION("GOOGLETRANSLATE(A24025, ""de"", ""en"")"),"grandchildren")</f>
        <v>grandchildren</v>
      </c>
    </row>
    <row r="24026">
      <c r="A24026" s="1" t="s">
        <v>24025</v>
      </c>
      <c r="B24026" s="2" t="str">
        <f>IFERROR(__xludf.DUMMYFUNCTION("GOOGLETRANSLATE(A24026, ""de"", ""en"")"),"sister")</f>
        <v>sister</v>
      </c>
    </row>
    <row r="24027">
      <c r="A24027" s="1" t="s">
        <v>24026</v>
      </c>
      <c r="B24027" s="2" t="str">
        <f>IFERROR(__xludf.DUMMYFUNCTION("GOOGLETRANSLATE(A24027, ""de"", ""en"")"),"caruso")</f>
        <v>caruso</v>
      </c>
    </row>
    <row r="24028">
      <c r="A24028" s="1" t="s">
        <v>24027</v>
      </c>
      <c r="B24028" s="2" t="str">
        <f>IFERROR(__xludf.DUMMYFUNCTION("GOOGLETRANSLATE(A24028, ""de"", ""en"")"),"done")</f>
        <v>done</v>
      </c>
    </row>
    <row r="24029">
      <c r="A24029" s="1" t="s">
        <v>24028</v>
      </c>
      <c r="B24029" s="2" t="str">
        <f>IFERROR(__xludf.DUMMYFUNCTION("GOOGLETRANSLATE(A24029, ""de"", ""en"")"),"qiu")</f>
        <v>qiu</v>
      </c>
    </row>
    <row r="24030">
      <c r="A24030" s="1" t="s">
        <v>24029</v>
      </c>
      <c r="B24030" s="2" t="str">
        <f>IFERROR(__xludf.DUMMYFUNCTION("GOOGLETRANSLATE(A24030, ""de"", ""en"")"),"steal")</f>
        <v>steal</v>
      </c>
    </row>
    <row r="24031">
      <c r="A24031" s="1" t="s">
        <v>24030</v>
      </c>
      <c r="B24031" s="2" t="str">
        <f>IFERROR(__xludf.DUMMYFUNCTION("GOOGLETRANSLATE(A24031, ""de"", ""en"")"),"taste")</f>
        <v>taste</v>
      </c>
    </row>
    <row r="24032">
      <c r="A24032" s="1" t="s">
        <v>24031</v>
      </c>
      <c r="B24032" s="2" t="str">
        <f>IFERROR(__xludf.DUMMYFUNCTION("GOOGLETRANSLATE(A24032, ""de"", ""en"")"),"colorful")</f>
        <v>colorful</v>
      </c>
    </row>
    <row r="24033">
      <c r="A24033" s="1" t="s">
        <v>24032</v>
      </c>
      <c r="B24033" s="2" t="str">
        <f>IFERROR(__xludf.DUMMYFUNCTION("GOOGLETRANSLATE(A24033, ""de"", ""en"")"),"Olympus")</f>
        <v>Olympus</v>
      </c>
    </row>
    <row r="24034">
      <c r="A24034" s="1" t="s">
        <v>24033</v>
      </c>
      <c r="B24034" s="2" t="str">
        <f>IFERROR(__xludf.DUMMYFUNCTION("GOOGLETRANSLATE(A24034, ""de"", ""en"")"),"sculptures")</f>
        <v>sculptures</v>
      </c>
    </row>
    <row r="24035">
      <c r="A24035" s="1" t="s">
        <v>24034</v>
      </c>
      <c r="B24035" s="2" t="str">
        <f>IFERROR(__xludf.DUMMYFUNCTION("GOOGLETRANSLATE(A24035, ""de"", ""en"")"),"Solomon")</f>
        <v>Solomon</v>
      </c>
    </row>
    <row r="24036">
      <c r="A24036" s="1" t="s">
        <v>24035</v>
      </c>
      <c r="B24036" s="2" t="str">
        <f>IFERROR(__xludf.DUMMYFUNCTION("GOOGLETRANSLATE(A24036, ""de"", ""en"")"),"impaled")</f>
        <v>impaled</v>
      </c>
    </row>
    <row r="24037">
      <c r="A24037" s="1" t="s">
        <v>24036</v>
      </c>
      <c r="B24037" s="2" t="str">
        <f>IFERROR(__xludf.DUMMYFUNCTION("GOOGLETRANSLATE(A24037, ""de"", ""en"")"),"security level")</f>
        <v>security level</v>
      </c>
    </row>
    <row r="24038">
      <c r="A24038" s="1" t="s">
        <v>24037</v>
      </c>
      <c r="B24038" s="2" t="str">
        <f>IFERROR(__xludf.DUMMYFUNCTION("GOOGLETRANSLATE(A24038, ""de"", ""en"")"),"British")</f>
        <v>British</v>
      </c>
    </row>
    <row r="24039">
      <c r="A24039" s="1" t="s">
        <v>24038</v>
      </c>
      <c r="B24039" s="2" t="str">
        <f>IFERROR(__xludf.DUMMYFUNCTION("GOOGLETRANSLATE(A24039, ""de"", ""en"")"),"highlight")</f>
        <v>highlight</v>
      </c>
    </row>
    <row r="24040">
      <c r="A24040" s="1" t="s">
        <v>24039</v>
      </c>
      <c r="B24040" s="2" t="str">
        <f>IFERROR(__xludf.DUMMYFUNCTION("GOOGLETRANSLATE(A24040, ""de"", ""en"")"),"more technical")</f>
        <v>more technical</v>
      </c>
    </row>
    <row r="24041">
      <c r="A24041" s="1" t="s">
        <v>24040</v>
      </c>
      <c r="B24041" s="2" t="str">
        <f>IFERROR(__xludf.DUMMYFUNCTION("GOOGLETRANSLATE(A24041, ""de"", ""en"")"),"Astor")</f>
        <v>Astor</v>
      </c>
    </row>
    <row r="24042">
      <c r="A24042" s="1" t="s">
        <v>24041</v>
      </c>
      <c r="B24042" s="2" t="str">
        <f>IFERROR(__xludf.DUMMYFUNCTION("GOOGLETRANSLATE(A24042, ""de"", ""en"")"),"tolerated")</f>
        <v>tolerated</v>
      </c>
    </row>
    <row r="24043">
      <c r="A24043" s="1" t="s">
        <v>24042</v>
      </c>
      <c r="B24043" s="2" t="str">
        <f>IFERROR(__xludf.DUMMYFUNCTION("GOOGLETRANSLATE(A24043, ""de"", ""en"")"),"grid")</f>
        <v>grid</v>
      </c>
    </row>
    <row r="24044">
      <c r="A24044" s="1" t="s">
        <v>24043</v>
      </c>
      <c r="B24044" s="2" t="str">
        <f>IFERROR(__xludf.DUMMYFUNCTION("GOOGLETRANSLATE(A24044, ""de"", ""en"")"),"condemn")</f>
        <v>condemn</v>
      </c>
    </row>
    <row r="24045">
      <c r="A24045" s="1" t="s">
        <v>24044</v>
      </c>
      <c r="B24045" s="2" t="str">
        <f>IFERROR(__xludf.DUMMYFUNCTION("GOOGLETRANSLATE(A24045, ""de"", ""en"")"),"annoying")</f>
        <v>annoying</v>
      </c>
    </row>
    <row r="24046">
      <c r="A24046" s="1" t="s">
        <v>24045</v>
      </c>
      <c r="B24046" s="2" t="str">
        <f>IFERROR(__xludf.DUMMYFUNCTION("GOOGLETRANSLATE(A24046, ""de"", ""en"")"),"valentino")</f>
        <v>valentino</v>
      </c>
    </row>
    <row r="24047">
      <c r="A24047" s="1" t="s">
        <v>24046</v>
      </c>
      <c r="B24047" s="2" t="str">
        <f>IFERROR(__xludf.DUMMYFUNCTION("GOOGLETRANSLATE(A24047, ""de"", ""en"")"),"throw at")</f>
        <v>throw at</v>
      </c>
    </row>
    <row r="24048">
      <c r="A24048" s="1" t="s">
        <v>24047</v>
      </c>
      <c r="B24048" s="2" t="str">
        <f>IFERROR(__xludf.DUMMYFUNCTION("GOOGLETRANSLATE(A24048, ""de"", ""en"")"),"pleasant")</f>
        <v>pleasant</v>
      </c>
    </row>
    <row r="24049">
      <c r="A24049" s="1" t="s">
        <v>24048</v>
      </c>
      <c r="B24049" s="2" t="str">
        <f>IFERROR(__xludf.DUMMYFUNCTION("GOOGLETRANSLATE(A24049, ""de"", ""en"")"),"converted")</f>
        <v>converted</v>
      </c>
    </row>
    <row r="24050">
      <c r="A24050" s="1" t="s">
        <v>24049</v>
      </c>
      <c r="B24050" s="2" t="str">
        <f>IFERROR(__xludf.DUMMYFUNCTION("GOOGLETRANSLATE(A24050, ""de"", ""en"")"),"sat down")</f>
        <v>sat down</v>
      </c>
    </row>
    <row r="24051">
      <c r="A24051" s="1" t="s">
        <v>24050</v>
      </c>
      <c r="B24051" s="2" t="str">
        <f>IFERROR(__xludf.DUMMYFUNCTION("GOOGLETRANSLATE(A24051, ""de"", ""en"")"),"cosmic")</f>
        <v>cosmic</v>
      </c>
    </row>
    <row r="24052">
      <c r="A24052" s="1" t="s">
        <v>24051</v>
      </c>
      <c r="B24052" s="2" t="str">
        <f>IFERROR(__xludf.DUMMYFUNCTION("GOOGLETRANSLATE(A24052, ""de"", ""en"")"),"side effect")</f>
        <v>side effect</v>
      </c>
    </row>
    <row r="24053">
      <c r="A24053" s="1" t="s">
        <v>24052</v>
      </c>
      <c r="B24053" s="2" t="str">
        <f>IFERROR(__xludf.DUMMYFUNCTION("GOOGLETRANSLATE(A24053, ""de"", ""en"")"),"mattie")</f>
        <v>mattie</v>
      </c>
    </row>
    <row r="24054">
      <c r="A24054" s="1" t="s">
        <v>24053</v>
      </c>
      <c r="B24054" s="2" t="str">
        <f>IFERROR(__xludf.DUMMYFUNCTION("GOOGLETRANSLATE(A24054, ""de"", ""en"")"),"entrance tickets")</f>
        <v>entrance tickets</v>
      </c>
    </row>
    <row r="24055">
      <c r="A24055" s="1" t="s">
        <v>24054</v>
      </c>
      <c r="B24055" s="2" t="str">
        <f>IFERROR(__xludf.DUMMYFUNCTION("GOOGLETRANSLATE(A24055, ""de"", ""en"")"),"corset")</f>
        <v>corset</v>
      </c>
    </row>
    <row r="24056">
      <c r="A24056" s="1" t="s">
        <v>24055</v>
      </c>
      <c r="B24056" s="2" t="str">
        <f>IFERROR(__xludf.DUMMYFUNCTION("GOOGLETRANSLATE(A24056, ""de"", ""en"")"),"killian")</f>
        <v>killian</v>
      </c>
    </row>
    <row r="24057">
      <c r="A24057" s="1" t="s">
        <v>24056</v>
      </c>
      <c r="B24057" s="2" t="str">
        <f>IFERROR(__xludf.DUMMYFUNCTION("GOOGLETRANSLATE(A24057, ""de"", ""en"")"),"powers")</f>
        <v>powers</v>
      </c>
    </row>
    <row r="24058">
      <c r="A24058" s="1" t="s">
        <v>24057</v>
      </c>
      <c r="B24058" s="2" t="str">
        <f>IFERROR(__xludf.DUMMYFUNCTION("GOOGLETRANSLATE(A24058, ""de"", ""en"")"),"dialysis")</f>
        <v>dialysis</v>
      </c>
    </row>
    <row r="24059">
      <c r="A24059" s="1" t="s">
        <v>24058</v>
      </c>
      <c r="B24059" s="2" t="str">
        <f>IFERROR(__xludf.DUMMYFUNCTION("GOOGLETRANSLATE(A24059, ""de"", ""en"")"),"unfathomable")</f>
        <v>unfathomable</v>
      </c>
    </row>
    <row r="24060">
      <c r="A24060" s="1" t="s">
        <v>24059</v>
      </c>
      <c r="B24060" s="2" t="str">
        <f>IFERROR(__xludf.DUMMYFUNCTION("GOOGLETRANSLATE(A24060, ""de"", ""en"")"),"comb")</f>
        <v>comb</v>
      </c>
    </row>
    <row r="24061">
      <c r="A24061" s="1" t="s">
        <v>24060</v>
      </c>
      <c r="B24061" s="2" t="str">
        <f>IFERROR(__xludf.DUMMYFUNCTION("GOOGLETRANSLATE(A24061, ""de"", ""en"")"),"flight")</f>
        <v>flight</v>
      </c>
    </row>
    <row r="24062">
      <c r="A24062" s="1" t="s">
        <v>24061</v>
      </c>
      <c r="B24062" s="2" t="str">
        <f>IFERROR(__xludf.DUMMYFUNCTION("GOOGLETRANSLATE(A24062, ""de"", ""en"")"),"farnsworth")</f>
        <v>farnsworth</v>
      </c>
    </row>
    <row r="24063">
      <c r="A24063" s="1" t="s">
        <v>24062</v>
      </c>
      <c r="B24063" s="2" t="str">
        <f>IFERROR(__xludf.DUMMYFUNCTION("GOOGLETRANSLATE(A24063, ""de"", ""en"")"),"oren")</f>
        <v>oren</v>
      </c>
    </row>
    <row r="24064">
      <c r="A24064" s="1" t="s">
        <v>24063</v>
      </c>
      <c r="B24064" s="2" t="str">
        <f>IFERROR(__xludf.DUMMYFUNCTION("GOOGLETRANSLATE(A24064, ""de"", ""en"")"),"cookies")</f>
        <v>cookies</v>
      </c>
    </row>
    <row r="24065">
      <c r="A24065" s="1" t="s">
        <v>24064</v>
      </c>
      <c r="B24065" s="2" t="str">
        <f>IFERROR(__xludf.DUMMYFUNCTION("GOOGLETRANSLATE(A24065, ""de"", ""en"")"),"reptiles")</f>
        <v>reptiles</v>
      </c>
    </row>
    <row r="24066">
      <c r="A24066" s="1" t="s">
        <v>24065</v>
      </c>
      <c r="B24066" s="2" t="str">
        <f>IFERROR(__xludf.DUMMYFUNCTION("GOOGLETRANSLATE(A24066, ""de"", ""en"")"),"nasir")</f>
        <v>nasir</v>
      </c>
    </row>
    <row r="24067">
      <c r="A24067" s="1" t="s">
        <v>24066</v>
      </c>
      <c r="B24067" s="2" t="str">
        <f>IFERROR(__xludf.DUMMYFUNCTION("GOOGLETRANSLATE(A24067, ""de"", ""en"")"),"Lannister")</f>
        <v>Lannister</v>
      </c>
    </row>
    <row r="24068">
      <c r="A24068" s="1" t="s">
        <v>24067</v>
      </c>
      <c r="B24068" s="2" t="str">
        <f>IFERROR(__xludf.DUMMYFUNCTION("GOOGLETRANSLATE(A24068, ""de"", ""en"")"),"Albert")</f>
        <v>Albert</v>
      </c>
    </row>
    <row r="24069">
      <c r="A24069" s="1" t="s">
        <v>24068</v>
      </c>
      <c r="B24069" s="2" t="str">
        <f>IFERROR(__xludf.DUMMYFUNCTION("GOOGLETRANSLATE(A24069, ""de"", ""en"")"),"to do")</f>
        <v>to do</v>
      </c>
    </row>
    <row r="24070">
      <c r="A24070" s="1" t="s">
        <v>24069</v>
      </c>
      <c r="B24070" s="2" t="str">
        <f>IFERROR(__xludf.DUMMYFUNCTION("GOOGLETRANSLATE(A24070, ""de"", ""en"")"),"pen")</f>
        <v>pen</v>
      </c>
    </row>
    <row r="24071">
      <c r="A24071" s="1" t="s">
        <v>24070</v>
      </c>
      <c r="B24071" s="2" t="str">
        <f>IFERROR(__xludf.DUMMYFUNCTION("GOOGLETRANSLATE(A24071, ""de"", ""en"")"),"quandary")</f>
        <v>quandary</v>
      </c>
    </row>
    <row r="24072">
      <c r="A24072" s="1" t="s">
        <v>24071</v>
      </c>
      <c r="B24072" s="2" t="str">
        <f>IFERROR(__xludf.DUMMYFUNCTION("GOOGLETRANSLATE(A24072, ""de"", ""en"")"),"keep fighting")</f>
        <v>keep fighting</v>
      </c>
    </row>
    <row r="24073">
      <c r="A24073" s="1" t="s">
        <v>24072</v>
      </c>
      <c r="B24073" s="2" t="str">
        <f>IFERROR(__xludf.DUMMYFUNCTION("GOOGLETRANSLATE(A24073, ""de"", ""en"")"),"variables")</f>
        <v>variables</v>
      </c>
    </row>
    <row r="24074">
      <c r="A24074" s="1" t="s">
        <v>24073</v>
      </c>
      <c r="B24074" s="2" t="str">
        <f>IFERROR(__xludf.DUMMYFUNCTION("GOOGLETRANSLATE(A24074, ""de"", ""en"")"),"alonzo")</f>
        <v>alonzo</v>
      </c>
    </row>
    <row r="24075">
      <c r="A24075" s="1" t="s">
        <v>24074</v>
      </c>
      <c r="B24075" s="2" t="str">
        <f>IFERROR(__xludf.DUMMYFUNCTION("GOOGLETRANSLATE(A24075, ""de"", ""en"")"),"eyelashes")</f>
        <v>eyelashes</v>
      </c>
    </row>
    <row r="24076">
      <c r="A24076" s="1" t="s">
        <v>24075</v>
      </c>
      <c r="B24076" s="2" t="str">
        <f>IFERROR(__xludf.DUMMYFUNCTION("GOOGLETRANSLATE(A24076, ""de"", ""en"")"),"proven")</f>
        <v>proven</v>
      </c>
    </row>
    <row r="24077">
      <c r="A24077" s="1" t="s">
        <v>24076</v>
      </c>
      <c r="B24077" s="2" t="str">
        <f>IFERROR(__xludf.DUMMYFUNCTION("GOOGLETRANSLATE(A24077, ""de"", ""en"")"),"drive around")</f>
        <v>drive around</v>
      </c>
    </row>
    <row r="24078">
      <c r="A24078" s="1" t="s">
        <v>24077</v>
      </c>
      <c r="B24078" s="2" t="str">
        <f>IFERROR(__xludf.DUMMYFUNCTION("GOOGLETRANSLATE(A24078, ""de"", ""en"")"),"anthem")</f>
        <v>anthem</v>
      </c>
    </row>
    <row r="24079">
      <c r="A24079" s="1" t="s">
        <v>24078</v>
      </c>
      <c r="B24079" s="2" t="str">
        <f>IFERROR(__xludf.DUMMYFUNCTION("GOOGLETRANSLATE(A24079, ""de"", ""en"")"),"overwrite")</f>
        <v>overwrite</v>
      </c>
    </row>
    <row r="24080">
      <c r="A24080" s="1" t="s">
        <v>24079</v>
      </c>
      <c r="B24080" s="2" t="str">
        <f>IFERROR(__xludf.DUMMYFUNCTION("GOOGLETRANSLATE(A24080, ""de"", ""en"")"),"brittany")</f>
        <v>brittany</v>
      </c>
    </row>
    <row r="24081">
      <c r="A24081" s="1" t="s">
        <v>24080</v>
      </c>
      <c r="B24081" s="2" t="str">
        <f>IFERROR(__xludf.DUMMYFUNCTION("GOOGLETRANSLATE(A24081, ""de"", ""en"")"),"Leon")</f>
        <v>Leon</v>
      </c>
    </row>
    <row r="24082">
      <c r="A24082" s="1" t="s">
        <v>24081</v>
      </c>
      <c r="B24082" s="2" t="str">
        <f>IFERROR(__xludf.DUMMYFUNCTION("GOOGLETRANSLATE(A24082, ""de"", ""en"")"),"bend over")</f>
        <v>bend over</v>
      </c>
    </row>
    <row r="24083">
      <c r="A24083" s="1" t="s">
        <v>24082</v>
      </c>
      <c r="B24083" s="2" t="str">
        <f>IFERROR(__xludf.DUMMYFUNCTION("GOOGLETRANSLATE(A24083, ""de"", ""en"")"),"to expect")</f>
        <v>to expect</v>
      </c>
    </row>
    <row r="24084">
      <c r="A24084" s="1" t="s">
        <v>24083</v>
      </c>
      <c r="B24084" s="2" t="str">
        <f>IFERROR(__xludf.DUMMYFUNCTION("GOOGLETRANSLATE(A24084, ""de"", ""en"")"),"banned")</f>
        <v>banned</v>
      </c>
    </row>
    <row r="24085">
      <c r="A24085" s="1" t="s">
        <v>24084</v>
      </c>
      <c r="B24085" s="2" t="str">
        <f>IFERROR(__xludf.DUMMYFUNCTION("GOOGLETRANSLATE(A24085, ""de"", ""en"")"),"regions")</f>
        <v>regions</v>
      </c>
    </row>
    <row r="24086">
      <c r="A24086" s="1" t="s">
        <v>24085</v>
      </c>
      <c r="B24086" s="2" t="str">
        <f>IFERROR(__xludf.DUMMYFUNCTION("GOOGLETRANSLATE(A24086, ""de"", ""en"")"),"met")</f>
        <v>met</v>
      </c>
    </row>
    <row r="24087">
      <c r="A24087" s="1" t="s">
        <v>24086</v>
      </c>
      <c r="B24087" s="2" t="str">
        <f>IFERROR(__xludf.DUMMYFUNCTION("GOOGLETRANSLATE(A24087, ""de"", ""en"")"),"proved")</f>
        <v>proved</v>
      </c>
    </row>
    <row r="24088">
      <c r="A24088" s="1" t="s">
        <v>24087</v>
      </c>
      <c r="B24088" s="2" t="str">
        <f>IFERROR(__xludf.DUMMYFUNCTION("GOOGLETRANSLATE(A24088, ""de"", ""en"")"),"croak")</f>
        <v>croak</v>
      </c>
    </row>
    <row r="24089">
      <c r="A24089" s="1" t="s">
        <v>24088</v>
      </c>
      <c r="B24089" s="2" t="str">
        <f>IFERROR(__xludf.DUMMYFUNCTION("GOOGLETRANSLATE(A24089, ""de"", ""en"")"),"roofs")</f>
        <v>roofs</v>
      </c>
    </row>
    <row r="24090">
      <c r="A24090" s="1" t="s">
        <v>24089</v>
      </c>
      <c r="B24090" s="2" t="str">
        <f>IFERROR(__xludf.DUMMYFUNCTION("GOOGLETRANSLATE(A24090, ""de"", ""en"")"),"Kemp")</f>
        <v>Kemp</v>
      </c>
    </row>
    <row r="24091">
      <c r="A24091" s="1" t="s">
        <v>24090</v>
      </c>
      <c r="B24091" s="2" t="str">
        <f>IFERROR(__xludf.DUMMYFUNCTION("GOOGLETRANSLATE(A24091, ""de"", ""en"")"),"rog")</f>
        <v>rog</v>
      </c>
    </row>
    <row r="24092">
      <c r="A24092" s="1" t="s">
        <v>24091</v>
      </c>
      <c r="B24092" s="2" t="str">
        <f>IFERROR(__xludf.DUMMYFUNCTION("GOOGLETRANSLATE(A24092, ""de"", ""en"")"),"related")</f>
        <v>related</v>
      </c>
    </row>
    <row r="24093">
      <c r="A24093" s="1" t="s">
        <v>24092</v>
      </c>
      <c r="B24093" s="2" t="str">
        <f>IFERROR(__xludf.DUMMYFUNCTION("GOOGLETRANSLATE(A24093, ""de"", ""en"")"),"single room")</f>
        <v>single room</v>
      </c>
    </row>
    <row r="24094">
      <c r="A24094" s="1" t="s">
        <v>24093</v>
      </c>
      <c r="B24094" s="2" t="str">
        <f>IFERROR(__xludf.DUMMYFUNCTION("GOOGLETRANSLATE(A24094, ""de"", ""en"")"),"mention")</f>
        <v>mention</v>
      </c>
    </row>
    <row r="24095">
      <c r="A24095" s="1" t="s">
        <v>24094</v>
      </c>
      <c r="B24095" s="2" t="str">
        <f>IFERROR(__xludf.DUMMYFUNCTION("GOOGLETRANSLATE(A24095, ""de"", ""en"")"),"burst in")</f>
        <v>burst in</v>
      </c>
    </row>
    <row r="24096">
      <c r="A24096" s="1" t="s">
        <v>24095</v>
      </c>
      <c r="B24096" s="2" t="str">
        <f>IFERROR(__xludf.DUMMYFUNCTION("GOOGLETRANSLATE(A24096, ""de"", ""en"")"),"amador")</f>
        <v>amador</v>
      </c>
    </row>
    <row r="24097">
      <c r="A24097" s="1" t="s">
        <v>24096</v>
      </c>
      <c r="B24097" s="2" t="str">
        <f>IFERROR(__xludf.DUMMYFUNCTION("GOOGLETRANSLATE(A24097, ""de"", ""en"")"),"christensen")</f>
        <v>christensen</v>
      </c>
    </row>
    <row r="24098">
      <c r="A24098" s="1" t="s">
        <v>24097</v>
      </c>
      <c r="B24098" s="2" t="str">
        <f>IFERROR(__xludf.DUMMYFUNCTION("GOOGLETRANSLATE(A24098, ""de"", ""en"")"),"loading")</f>
        <v>loading</v>
      </c>
    </row>
    <row r="24099">
      <c r="A24099" s="1" t="s">
        <v>24098</v>
      </c>
      <c r="B24099" s="2" t="str">
        <f>IFERROR(__xludf.DUMMYFUNCTION("GOOGLETRANSLATE(A24099, ""de"", ""en"")"),"pajamas")</f>
        <v>pajamas</v>
      </c>
    </row>
    <row r="24100">
      <c r="A24100" s="1" t="s">
        <v>24099</v>
      </c>
      <c r="B24100" s="2" t="str">
        <f>IFERROR(__xludf.DUMMYFUNCTION("GOOGLETRANSLATE(A24100, ""de"", ""en"")"),"assembly")</f>
        <v>assembly</v>
      </c>
    </row>
    <row r="24101">
      <c r="A24101" s="1" t="s">
        <v>24100</v>
      </c>
      <c r="B24101" s="2" t="str">
        <f>IFERROR(__xludf.DUMMYFUNCTION("GOOGLETRANSLATE(A24101, ""de"", ""en"")"),"subordinates")</f>
        <v>subordinates</v>
      </c>
    </row>
    <row r="24102">
      <c r="A24102" s="1" t="s">
        <v>24101</v>
      </c>
      <c r="B24102" s="2" t="str">
        <f>IFERROR(__xludf.DUMMYFUNCTION("GOOGLETRANSLATE(A24102, ""de"", ""en"")"),"sentimental")</f>
        <v>sentimental</v>
      </c>
    </row>
    <row r="24103">
      <c r="A24103" s="1" t="s">
        <v>24102</v>
      </c>
      <c r="B24103" s="2" t="str">
        <f>IFERROR(__xludf.DUMMYFUNCTION("GOOGLETRANSLATE(A24103, ""de"", ""en"")"),"steer")</f>
        <v>steer</v>
      </c>
    </row>
    <row r="24104">
      <c r="A24104" s="1" t="s">
        <v>24103</v>
      </c>
      <c r="B24104" s="2" t="str">
        <f>IFERROR(__xludf.DUMMYFUNCTION("GOOGLETRANSLATE(A24104, ""de"", ""en"")"),"score")</f>
        <v>score</v>
      </c>
    </row>
    <row r="24105">
      <c r="A24105" s="1" t="s">
        <v>24104</v>
      </c>
      <c r="B24105" s="2" t="str">
        <f>IFERROR(__xludf.DUMMYFUNCTION("GOOGLETRANSLATE(A24105, ""de"", ""en"")"),"mockingly")</f>
        <v>mockingly</v>
      </c>
    </row>
    <row r="24106">
      <c r="A24106" s="1" t="s">
        <v>24105</v>
      </c>
      <c r="B24106" s="2" t="str">
        <f>IFERROR(__xludf.DUMMYFUNCTION("GOOGLETRANSLATE(A24106, ""de"", ""en"")"),"terminally ill")</f>
        <v>terminally ill</v>
      </c>
    </row>
    <row r="24107">
      <c r="A24107" s="1" t="s">
        <v>24106</v>
      </c>
      <c r="B24107" s="2" t="str">
        <f>IFERROR(__xludf.DUMMYFUNCTION("GOOGLETRANSLATE(A24107, ""de"", ""en"")"),"in two")</f>
        <v>in two</v>
      </c>
    </row>
    <row r="24108">
      <c r="A24108" s="1" t="s">
        <v>24107</v>
      </c>
      <c r="B24108" s="2" t="str">
        <f>IFERROR(__xludf.DUMMYFUNCTION("GOOGLETRANSLATE(A24108, ""de"", ""en"")"),"mar")</f>
        <v>mar</v>
      </c>
    </row>
    <row r="24109">
      <c r="A24109" s="1" t="s">
        <v>24108</v>
      </c>
      <c r="B24109" s="2" t="str">
        <f>IFERROR(__xludf.DUMMYFUNCTION("GOOGLETRANSLATE(A24109, ""de"", ""en"")"),"paparazzi")</f>
        <v>paparazzi</v>
      </c>
    </row>
    <row r="24110">
      <c r="A24110" s="1" t="s">
        <v>24109</v>
      </c>
      <c r="B24110" s="2" t="str">
        <f>IFERROR(__xludf.DUMMYFUNCTION("GOOGLETRANSLATE(A24110, ""de"", ""en"")"),"lyman")</f>
        <v>lyman</v>
      </c>
    </row>
    <row r="24111">
      <c r="A24111" s="1" t="s">
        <v>24110</v>
      </c>
      <c r="B24111" s="2" t="str">
        <f>IFERROR(__xludf.DUMMYFUNCTION("GOOGLETRANSLATE(A24111, ""de"", ""en"")"),"powerful")</f>
        <v>powerful</v>
      </c>
    </row>
    <row r="24112">
      <c r="A24112" s="1" t="s">
        <v>24111</v>
      </c>
      <c r="B24112" s="2" t="str">
        <f>IFERROR(__xludf.DUMMYFUNCTION("GOOGLETRANSLATE(A24112, ""de"", ""en"")"),"endure")</f>
        <v>endure</v>
      </c>
    </row>
    <row r="24113">
      <c r="A24113" s="1" t="s">
        <v>24112</v>
      </c>
      <c r="B24113" s="2" t="str">
        <f>IFERROR(__xludf.DUMMYFUNCTION("GOOGLETRANSLATE(A24113, ""de"", ""en"")"),"engine noise")</f>
        <v>engine noise</v>
      </c>
    </row>
    <row r="24114">
      <c r="A24114" s="1" t="s">
        <v>24113</v>
      </c>
      <c r="B24114" s="2" t="str">
        <f>IFERROR(__xludf.DUMMYFUNCTION("GOOGLETRANSLATE(A24114, ""de"", ""en"")"),"protests")</f>
        <v>protests</v>
      </c>
    </row>
    <row r="24115">
      <c r="A24115" s="1" t="s">
        <v>24114</v>
      </c>
      <c r="B24115" s="2" t="str">
        <f>IFERROR(__xludf.DUMMYFUNCTION("GOOGLETRANSLATE(A24115, ""de"", ""en"")"),"walking")</f>
        <v>walking</v>
      </c>
    </row>
    <row r="24116">
      <c r="A24116" s="1" t="s">
        <v>24115</v>
      </c>
      <c r="B24116" s="2" t="str">
        <f>IFERROR(__xludf.DUMMYFUNCTION("GOOGLETRANSLATE(A24116, ""de"", ""en"")"),"blurred")</f>
        <v>blurred</v>
      </c>
    </row>
    <row r="24117">
      <c r="A24117" s="1" t="s">
        <v>24116</v>
      </c>
      <c r="B24117" s="2" t="str">
        <f>IFERROR(__xludf.DUMMYFUNCTION("GOOGLETRANSLATE(A24117, ""de"", ""en"")"),"beale")</f>
        <v>beale</v>
      </c>
    </row>
    <row r="24118">
      <c r="A24118" s="1" t="s">
        <v>24117</v>
      </c>
      <c r="B24118" s="2" t="str">
        <f>IFERROR(__xludf.DUMMYFUNCTION("GOOGLETRANSLATE(A24118, ""de"", ""en"")"),"nailed down")</f>
        <v>nailed down</v>
      </c>
    </row>
    <row r="24119">
      <c r="A24119" s="1" t="s">
        <v>24118</v>
      </c>
      <c r="B24119" s="2" t="str">
        <f>IFERROR(__xludf.DUMMYFUNCTION("GOOGLETRANSLATE(A24119, ""de"", ""en"")"),"rough")</f>
        <v>rough</v>
      </c>
    </row>
    <row r="24120">
      <c r="A24120" s="1" t="s">
        <v>24119</v>
      </c>
      <c r="B24120" s="2" t="str">
        <f>IFERROR(__xludf.DUMMYFUNCTION("GOOGLETRANSLATE(A24120, ""de"", ""en"")"),"more comfortable")</f>
        <v>more comfortable</v>
      </c>
    </row>
    <row r="24121">
      <c r="A24121" s="1" t="s">
        <v>24120</v>
      </c>
      <c r="B24121" s="2" t="str">
        <f>IFERROR(__xludf.DUMMYFUNCTION("GOOGLETRANSLATE(A24121, ""de"", ""en"")"),"more convincing")</f>
        <v>more convincing</v>
      </c>
    </row>
    <row r="24122">
      <c r="A24122" s="1" t="s">
        <v>24121</v>
      </c>
      <c r="B24122" s="2" t="str">
        <f>IFERROR(__xludf.DUMMYFUNCTION("GOOGLETRANSLATE(A24122, ""de"", ""en"")"),"claires")</f>
        <v>claires</v>
      </c>
    </row>
    <row r="24123">
      <c r="A24123" s="1" t="s">
        <v>24122</v>
      </c>
      <c r="B24123" s="2" t="str">
        <f>IFERROR(__xludf.DUMMYFUNCTION("GOOGLETRANSLATE(A24123, ""de"", ""en"")"),"rankin")</f>
        <v>rankin</v>
      </c>
    </row>
    <row r="24124">
      <c r="A24124" s="1" t="s">
        <v>24123</v>
      </c>
      <c r="B24124" s="2" t="str">
        <f>IFERROR(__xludf.DUMMYFUNCTION("GOOGLETRANSLATE(A24124, ""de"", ""en"")"),"porridge")</f>
        <v>porridge</v>
      </c>
    </row>
    <row r="24125">
      <c r="A24125" s="1" t="s">
        <v>24124</v>
      </c>
      <c r="B24125" s="2" t="str">
        <f>IFERROR(__xludf.DUMMYFUNCTION("GOOGLETRANSLATE(A24125, ""de"", ""en"")"),"smiling")</f>
        <v>smiling</v>
      </c>
    </row>
    <row r="24126">
      <c r="A24126" s="1" t="s">
        <v>24125</v>
      </c>
      <c r="B24126" s="2" t="str">
        <f>IFERROR(__xludf.DUMMYFUNCTION("GOOGLETRANSLATE(A24126, ""de"", ""en"")"),"macke")</f>
        <v>macke</v>
      </c>
    </row>
    <row r="24127">
      <c r="A24127" s="1" t="s">
        <v>24126</v>
      </c>
      <c r="B24127" s="2" t="str">
        <f>IFERROR(__xludf.DUMMYFUNCTION("GOOGLETRANSLATE(A24127, ""de"", ""en"")"),"stopped")</f>
        <v>stopped</v>
      </c>
    </row>
    <row r="24128">
      <c r="A24128" s="1" t="s">
        <v>24127</v>
      </c>
      <c r="B24128" s="2" t="str">
        <f>IFERROR(__xludf.DUMMYFUNCTION("GOOGLETRANSLATE(A24128, ""de"", ""en"")"),"more relaxed")</f>
        <v>more relaxed</v>
      </c>
    </row>
    <row r="24129">
      <c r="A24129" s="1" t="s">
        <v>24128</v>
      </c>
      <c r="B24129" s="2" t="str">
        <f>IFERROR(__xludf.DUMMYFUNCTION("GOOGLETRANSLATE(A24129, ""de"", ""en"")"),"cunts")</f>
        <v>cunts</v>
      </c>
    </row>
    <row r="24130">
      <c r="A24130" s="1" t="s">
        <v>24129</v>
      </c>
      <c r="B24130" s="2" t="str">
        <f>IFERROR(__xludf.DUMMYFUNCTION("GOOGLETRANSLATE(A24130, ""de"", ""en"")"),"dig")</f>
        <v>dig</v>
      </c>
    </row>
    <row r="24131">
      <c r="A24131" s="1" t="s">
        <v>24130</v>
      </c>
      <c r="B24131" s="2" t="str">
        <f>IFERROR(__xludf.DUMMYFUNCTION("GOOGLETRANSLATE(A24131, ""de"", ""en"")"),"WiFi")</f>
        <v>WiFi</v>
      </c>
    </row>
    <row r="24132">
      <c r="A24132" s="1" t="s">
        <v>24131</v>
      </c>
      <c r="B24132" s="2" t="str">
        <f>IFERROR(__xludf.DUMMYFUNCTION("GOOGLETRANSLATE(A24132, ""de"", ""en"")"),"accommodate")</f>
        <v>accommodate</v>
      </c>
    </row>
    <row r="24133">
      <c r="A24133" s="1" t="s">
        <v>24132</v>
      </c>
      <c r="B24133" s="2" t="str">
        <f>IFERROR(__xludf.DUMMYFUNCTION("GOOGLETRANSLATE(A24133, ""de"", ""en"")"),"microfilm")</f>
        <v>microfilm</v>
      </c>
    </row>
    <row r="24134">
      <c r="A24134" s="1" t="s">
        <v>24133</v>
      </c>
      <c r="B24134" s="2" t="str">
        <f>IFERROR(__xludf.DUMMYFUNCTION("GOOGLETRANSLATE(A24134, ""de"", ""en"")"),"conspirators")</f>
        <v>conspirators</v>
      </c>
    </row>
    <row r="24135">
      <c r="A24135" s="1" t="s">
        <v>24134</v>
      </c>
      <c r="B24135" s="2" t="str">
        <f>IFERROR(__xludf.DUMMYFUNCTION("GOOGLETRANSLATE(A24135, ""de"", ""en"")"),"more respected")</f>
        <v>more respected</v>
      </c>
    </row>
    <row r="24136">
      <c r="A24136" s="1" t="s">
        <v>24135</v>
      </c>
      <c r="B24136" s="2" t="str">
        <f>IFERROR(__xludf.DUMMYFUNCTION("GOOGLETRANSLATE(A24136, ""de"", ""en"")"),"prudence")</f>
        <v>prudence</v>
      </c>
    </row>
    <row r="24137">
      <c r="A24137" s="1" t="s">
        <v>24136</v>
      </c>
      <c r="B24137" s="2" t="str">
        <f>IFERROR(__xludf.DUMMYFUNCTION("GOOGLETRANSLATE(A24137, ""de"", ""en"")"),"hunt")</f>
        <v>hunt</v>
      </c>
    </row>
    <row r="24138">
      <c r="A24138" s="1" t="s">
        <v>24137</v>
      </c>
      <c r="B24138" s="2" t="str">
        <f>IFERROR(__xludf.DUMMYFUNCTION("GOOGLETRANSLATE(A24138, ""de"", ""en"")"),"chaz")</f>
        <v>chaz</v>
      </c>
    </row>
    <row r="24139">
      <c r="A24139" s="1" t="s">
        <v>24138</v>
      </c>
      <c r="B24139" s="2" t="str">
        <f>IFERROR(__xludf.DUMMYFUNCTION("GOOGLETRANSLATE(A24139, ""de"", ""en"")"),"ulf")</f>
        <v>ulf</v>
      </c>
    </row>
    <row r="24140">
      <c r="A24140" s="1" t="s">
        <v>24139</v>
      </c>
      <c r="B24140" s="2" t="str">
        <f>IFERROR(__xludf.DUMMYFUNCTION("GOOGLETRANSLATE(A24140, ""de"", ""en"")"),"tung")</f>
        <v>tung</v>
      </c>
    </row>
    <row r="24141">
      <c r="A24141" s="1" t="s">
        <v>24140</v>
      </c>
      <c r="B24141" s="2" t="str">
        <f>IFERROR(__xludf.DUMMYFUNCTION("GOOGLETRANSLATE(A24141, ""de"", ""en"")"),"strengthened")</f>
        <v>strengthened</v>
      </c>
    </row>
    <row r="24142">
      <c r="A24142" s="1" t="s">
        <v>24141</v>
      </c>
      <c r="B24142" s="2" t="str">
        <f>IFERROR(__xludf.DUMMYFUNCTION("GOOGLETRANSLATE(A24142, ""de"", ""en"")"),"longed for")</f>
        <v>longed for</v>
      </c>
    </row>
    <row r="24143">
      <c r="A24143" s="1" t="s">
        <v>24142</v>
      </c>
      <c r="B24143" s="2" t="str">
        <f>IFERROR(__xludf.DUMMYFUNCTION("GOOGLETRANSLATE(A24143, ""de"", ""en"")"),"meyers")</f>
        <v>meyers</v>
      </c>
    </row>
    <row r="24144">
      <c r="A24144" s="1" t="s">
        <v>24143</v>
      </c>
      <c r="B24144" s="2" t="str">
        <f>IFERROR(__xludf.DUMMYFUNCTION("GOOGLETRANSLATE(A24144, ""de"", ""en"")"),"meeting")</f>
        <v>meeting</v>
      </c>
    </row>
    <row r="24145">
      <c r="A24145" s="1" t="s">
        <v>24144</v>
      </c>
      <c r="B24145" s="2" t="str">
        <f>IFERROR(__xludf.DUMMYFUNCTION("GOOGLETRANSLATE(A24145, ""de"", ""en"")"),"Danish")</f>
        <v>Danish</v>
      </c>
    </row>
    <row r="24146">
      <c r="A24146" s="1" t="s">
        <v>24145</v>
      </c>
      <c r="B24146" s="2" t="str">
        <f>IFERROR(__xludf.DUMMYFUNCTION("GOOGLETRANSLATE(A24146, ""de"", ""en"")"),"would be")</f>
        <v>would be</v>
      </c>
    </row>
    <row r="24147">
      <c r="A24147" s="1" t="s">
        <v>24146</v>
      </c>
      <c r="B24147" s="2" t="str">
        <f>IFERROR(__xludf.DUMMYFUNCTION("GOOGLETRANSLATE(A24147, ""de"", ""en"")"),"body")</f>
        <v>body</v>
      </c>
    </row>
    <row r="24148">
      <c r="A24148" s="1" t="s">
        <v>24147</v>
      </c>
      <c r="B24148" s="2" t="str">
        <f>IFERROR(__xludf.DUMMYFUNCTION("GOOGLETRANSLATE(A24148, ""de"", ""en"")"),"Burma")</f>
        <v>Burma</v>
      </c>
    </row>
    <row r="24149">
      <c r="A24149" s="1" t="s">
        <v>24148</v>
      </c>
      <c r="B24149" s="2" t="str">
        <f>IFERROR(__xludf.DUMMYFUNCTION("GOOGLETRANSLATE(A24149, ""de"", ""en"")"),"commercials")</f>
        <v>commercials</v>
      </c>
    </row>
    <row r="24150">
      <c r="A24150" s="1" t="s">
        <v>24149</v>
      </c>
      <c r="B24150" s="2" t="str">
        <f>IFERROR(__xludf.DUMMYFUNCTION("GOOGLETRANSLATE(A24150, ""de"", ""en"")"),"exploitation")</f>
        <v>exploitation</v>
      </c>
    </row>
    <row r="24151">
      <c r="A24151" s="1" t="s">
        <v>24150</v>
      </c>
      <c r="B24151" s="2" t="str">
        <f>IFERROR(__xludf.DUMMYFUNCTION("GOOGLETRANSLATE(A24151, ""de"", ""en"")"),"corp")</f>
        <v>corp</v>
      </c>
    </row>
    <row r="24152">
      <c r="A24152" s="1" t="s">
        <v>24151</v>
      </c>
      <c r="B24152" s="2" t="str">
        <f>IFERROR(__xludf.DUMMYFUNCTION("GOOGLETRANSLATE(A24152, ""de"", ""en"")"),"prix")</f>
        <v>prix</v>
      </c>
    </row>
    <row r="24153">
      <c r="A24153" s="1" t="s">
        <v>24152</v>
      </c>
      <c r="B24153" s="2" t="str">
        <f>IFERROR(__xludf.DUMMYFUNCTION("GOOGLETRANSLATE(A24153, ""de"", ""en"")"),"corax")</f>
        <v>corax</v>
      </c>
    </row>
    <row r="24154">
      <c r="A24154" s="1" t="s">
        <v>24153</v>
      </c>
      <c r="B24154" s="2" t="str">
        <f>IFERROR(__xludf.DUMMYFUNCTION("GOOGLETRANSLATE(A24154, ""de"", ""en"")"),"deity")</f>
        <v>deity</v>
      </c>
    </row>
    <row r="24155">
      <c r="A24155" s="1" t="s">
        <v>24154</v>
      </c>
      <c r="B24155" s="2" t="str">
        <f>IFERROR(__xludf.DUMMYFUNCTION("GOOGLETRANSLATE(A24155, ""de"", ""en"")"),"unique")</f>
        <v>unique</v>
      </c>
    </row>
    <row r="24156">
      <c r="A24156" s="1" t="s">
        <v>24155</v>
      </c>
      <c r="B24156" s="2" t="str">
        <f>IFERROR(__xludf.DUMMYFUNCTION("GOOGLETRANSLATE(A24156, ""de"", ""en"")"),"gomorrha")</f>
        <v>gomorrha</v>
      </c>
    </row>
    <row r="24157">
      <c r="A24157" s="1" t="s">
        <v>24156</v>
      </c>
      <c r="B24157" s="2" t="str">
        <f>IFERROR(__xludf.DUMMYFUNCTION("GOOGLETRANSLATE(A24157, ""de"", ""en"")"),"security guards")</f>
        <v>security guards</v>
      </c>
    </row>
    <row r="24158">
      <c r="A24158" s="1" t="s">
        <v>24157</v>
      </c>
      <c r="B24158" s="2" t="str">
        <f>IFERROR(__xludf.DUMMYFUNCTION("GOOGLETRANSLATE(A24158, ""de"", ""en"")"),"hatchi")</f>
        <v>hatchi</v>
      </c>
    </row>
    <row r="24159">
      <c r="A24159" s="1" t="s">
        <v>24158</v>
      </c>
      <c r="B24159" s="2" t="str">
        <f>IFERROR(__xludf.DUMMYFUNCTION("GOOGLETRANSLATE(A24159, ""de"", ""en"")"),"Victoria")</f>
        <v>Victoria</v>
      </c>
    </row>
    <row r="24160">
      <c r="A24160" s="1" t="s">
        <v>24159</v>
      </c>
      <c r="B24160" s="2" t="str">
        <f>IFERROR(__xludf.DUMMYFUNCTION("GOOGLETRANSLATE(A24160, ""de"", ""en"")"),"step")</f>
        <v>step</v>
      </c>
    </row>
    <row r="24161">
      <c r="A24161" s="1" t="s">
        <v>24160</v>
      </c>
      <c r="B24161" s="2" t="str">
        <f>IFERROR(__xludf.DUMMYFUNCTION("GOOGLETRANSLATE(A24161, ""de"", ""en"")"),"headscarf")</f>
        <v>headscarf</v>
      </c>
    </row>
    <row r="24162">
      <c r="A24162" s="1" t="s">
        <v>24161</v>
      </c>
      <c r="B24162" s="2" t="str">
        <f>IFERROR(__xludf.DUMMYFUNCTION("GOOGLETRANSLATE(A24162, ""de"", ""en"")"),"stomach pain")</f>
        <v>stomach pain</v>
      </c>
    </row>
    <row r="24163">
      <c r="A24163" s="1" t="s">
        <v>24162</v>
      </c>
      <c r="B24163" s="2" t="str">
        <f>IFERROR(__xludf.DUMMYFUNCTION("GOOGLETRANSLATE(A24163, ""de"", ""en"")"),"maui")</f>
        <v>maui</v>
      </c>
    </row>
    <row r="24164">
      <c r="A24164" s="1" t="s">
        <v>24163</v>
      </c>
      <c r="B24164" s="2" t="str">
        <f>IFERROR(__xludf.DUMMYFUNCTION("GOOGLETRANSLATE(A24164, ""de"", ""en"")"),"animation")</f>
        <v>animation</v>
      </c>
    </row>
    <row r="24165">
      <c r="A24165" s="1" t="s">
        <v>24164</v>
      </c>
      <c r="B24165" s="2" t="str">
        <f>IFERROR(__xludf.DUMMYFUNCTION("GOOGLETRANSLATE(A24165, ""de"", ""en"")"),"presidency")</f>
        <v>presidency</v>
      </c>
    </row>
    <row r="24166">
      <c r="A24166" s="1" t="s">
        <v>24165</v>
      </c>
      <c r="B24166" s="2" t="str">
        <f>IFERROR(__xludf.DUMMYFUNCTION("GOOGLETRANSLATE(A24166, ""de"", ""en"")"),"Socrates")</f>
        <v>Socrates</v>
      </c>
    </row>
    <row r="24167">
      <c r="A24167" s="1" t="s">
        <v>24166</v>
      </c>
      <c r="B24167" s="2" t="str">
        <f>IFERROR(__xludf.DUMMYFUNCTION("GOOGLETRANSLATE(A24167, ""de"", ""en"")"),"secret service")</f>
        <v>secret service</v>
      </c>
    </row>
    <row r="24168">
      <c r="A24168" s="1" t="s">
        <v>24167</v>
      </c>
      <c r="B24168" s="2" t="str">
        <f>IFERROR(__xludf.DUMMYFUNCTION("GOOGLETRANSLATE(A24168, ""de"", ""en"")"),"breen")</f>
        <v>breen</v>
      </c>
    </row>
    <row r="24169">
      <c r="A24169" s="1" t="s">
        <v>24168</v>
      </c>
      <c r="B24169" s="2" t="str">
        <f>IFERROR(__xludf.DUMMYFUNCTION("GOOGLETRANSLATE(A24169, ""de"", ""en"")"),"he went")</f>
        <v>he went</v>
      </c>
    </row>
    <row r="24170">
      <c r="A24170" s="1" t="s">
        <v>24169</v>
      </c>
      <c r="B24170" s="2" t="str">
        <f>IFERROR(__xludf.DUMMYFUNCTION("GOOGLETRANSLATE(A24170, ""de"", ""en"")"),"to cheer up")</f>
        <v>to cheer up</v>
      </c>
    </row>
    <row r="24171">
      <c r="A24171" s="1" t="s">
        <v>24170</v>
      </c>
      <c r="B24171" s="2" t="str">
        <f>IFERROR(__xludf.DUMMYFUNCTION("GOOGLETRANSLATE(A24171, ""de"", ""en"")"),"manifest")</f>
        <v>manifest</v>
      </c>
    </row>
    <row r="24172">
      <c r="A24172" s="1" t="s">
        <v>24171</v>
      </c>
      <c r="B24172" s="2" t="str">
        <f>IFERROR(__xludf.DUMMYFUNCTION("GOOGLETRANSLATE(A24172, ""de"", ""en"")"),"deckard")</f>
        <v>deckard</v>
      </c>
    </row>
    <row r="24173">
      <c r="A24173" s="1" t="s">
        <v>24172</v>
      </c>
      <c r="B24173" s="2" t="str">
        <f>IFERROR(__xludf.DUMMYFUNCTION("GOOGLETRANSLATE(A24173, ""de"", ""en"")"),"holder")</f>
        <v>holder</v>
      </c>
    </row>
    <row r="24174">
      <c r="A24174" s="1" t="s">
        <v>24173</v>
      </c>
      <c r="B24174" s="2" t="str">
        <f>IFERROR(__xludf.DUMMYFUNCTION("GOOGLETRANSLATE(A24174, ""de"", ""en"")"),"joints")</f>
        <v>joints</v>
      </c>
    </row>
    <row r="24175">
      <c r="A24175" s="1" t="s">
        <v>24174</v>
      </c>
      <c r="B24175" s="2" t="str">
        <f>IFERROR(__xludf.DUMMYFUNCTION("GOOGLETRANSLATE(A24175, ""de"", ""en"")"),"urge")</f>
        <v>urge</v>
      </c>
    </row>
    <row r="24176">
      <c r="A24176" s="1" t="s">
        <v>24175</v>
      </c>
      <c r="B24176" s="2" t="str">
        <f>IFERROR(__xludf.DUMMYFUNCTION("GOOGLETRANSLATE(A24176, ""de"", ""en"")"),"non-profit")</f>
        <v>non-profit</v>
      </c>
    </row>
    <row r="24177">
      <c r="A24177" s="1" t="s">
        <v>24176</v>
      </c>
      <c r="B24177" s="2" t="str">
        <f>IFERROR(__xludf.DUMMYFUNCTION("GOOGLETRANSLATE(A24177, ""de"", ""en"")"),"eyewitness")</f>
        <v>eyewitness</v>
      </c>
    </row>
    <row r="24178">
      <c r="A24178" s="1" t="s">
        <v>24177</v>
      </c>
      <c r="B24178" s="2" t="str">
        <f>IFERROR(__xludf.DUMMYFUNCTION("GOOGLETRANSLATE(A24178, ""de"", ""en"")"),"inferno")</f>
        <v>inferno</v>
      </c>
    </row>
    <row r="24179">
      <c r="A24179" s="1" t="s">
        <v>24178</v>
      </c>
      <c r="B24179" s="2" t="str">
        <f>IFERROR(__xludf.DUMMYFUNCTION("GOOGLETRANSLATE(A24179, ""de"", ""en"")"),"saxon")</f>
        <v>saxon</v>
      </c>
    </row>
    <row r="24180">
      <c r="A24180" s="1" t="s">
        <v>24179</v>
      </c>
      <c r="B24180" s="2" t="str">
        <f>IFERROR(__xludf.DUMMYFUNCTION("GOOGLETRANSLATE(A24180, ""de"", ""en"")"),"darwyn")</f>
        <v>darwyn</v>
      </c>
    </row>
    <row r="24181">
      <c r="A24181" s="1" t="s">
        <v>24180</v>
      </c>
      <c r="B24181" s="2" t="str">
        <f>IFERROR(__xludf.DUMMYFUNCTION("GOOGLETRANSLATE(A24181, ""de"", ""en"")"),"Billy's")</f>
        <v>Billy's</v>
      </c>
    </row>
    <row r="24182">
      <c r="A24182" s="1" t="s">
        <v>24181</v>
      </c>
      <c r="B24182" s="2" t="str">
        <f>IFERROR(__xludf.DUMMYFUNCTION("GOOGLETRANSLATE(A24182, ""de"", ""en"")"),"quack")</f>
        <v>quack</v>
      </c>
    </row>
    <row r="24183">
      <c r="A24183" s="1" t="s">
        <v>24182</v>
      </c>
      <c r="B24183" s="2" t="str">
        <f>IFERROR(__xludf.DUMMYFUNCTION("GOOGLETRANSLATE(A24183, ""de"", ""en"")"),"superman")</f>
        <v>superman</v>
      </c>
    </row>
    <row r="24184">
      <c r="A24184" s="1" t="s">
        <v>24183</v>
      </c>
      <c r="B24184" s="2" t="str">
        <f>IFERROR(__xludf.DUMMYFUNCTION("GOOGLETRANSLATE(A24184, ""de"", ""en"")"),"edo")</f>
        <v>edo</v>
      </c>
    </row>
    <row r="24185">
      <c r="A24185" s="1" t="s">
        <v>24184</v>
      </c>
      <c r="B24185" s="2" t="str">
        <f>IFERROR(__xludf.DUMMYFUNCTION("GOOGLETRANSLATE(A24185, ""de"", ""en"")"),"provide")</f>
        <v>provide</v>
      </c>
    </row>
    <row r="24186">
      <c r="A24186" s="1" t="s">
        <v>24185</v>
      </c>
      <c r="B24186" s="2" t="str">
        <f>IFERROR(__xludf.DUMMYFUNCTION("GOOGLETRANSLATE(A24186, ""de"", ""en"")"),"join in")</f>
        <v>join in</v>
      </c>
    </row>
    <row r="24187">
      <c r="A24187" s="1" t="s">
        <v>24186</v>
      </c>
      <c r="B24187" s="2" t="str">
        <f>IFERROR(__xludf.DUMMYFUNCTION("GOOGLETRANSLATE(A24187, ""de"", ""en"")"),"secretaries")</f>
        <v>secretaries</v>
      </c>
    </row>
    <row r="24188">
      <c r="A24188" s="1" t="s">
        <v>24187</v>
      </c>
      <c r="B24188" s="2" t="str">
        <f>IFERROR(__xludf.DUMMYFUNCTION("GOOGLETRANSLATE(A24188, ""de"", ""en"")"),"charlotte")</f>
        <v>charlotte</v>
      </c>
    </row>
    <row r="24189">
      <c r="A24189" s="1" t="s">
        <v>24188</v>
      </c>
      <c r="B24189" s="2" t="str">
        <f>IFERROR(__xludf.DUMMYFUNCTION("GOOGLETRANSLATE(A24189, ""de"", ""en"")"),"sharpest")</f>
        <v>sharpest</v>
      </c>
    </row>
    <row r="24190">
      <c r="A24190" s="1" t="s">
        <v>24189</v>
      </c>
      <c r="B24190" s="2" t="str">
        <f>IFERROR(__xludf.DUMMYFUNCTION("GOOGLETRANSLATE(A24190, ""de"", ""en"")"),"hibernation")</f>
        <v>hibernation</v>
      </c>
    </row>
    <row r="24191">
      <c r="A24191" s="1" t="s">
        <v>24190</v>
      </c>
      <c r="B24191" s="2" t="str">
        <f>IFERROR(__xludf.DUMMYFUNCTION("GOOGLETRANSLATE(A24191, ""de"", ""en"")"),"r2-d2")</f>
        <v>r2-d2</v>
      </c>
    </row>
    <row r="24192">
      <c r="A24192" s="1" t="s">
        <v>24191</v>
      </c>
      <c r="B24192" s="2" t="str">
        <f>IFERROR(__xludf.DUMMYFUNCTION("GOOGLETRANSLATE(A24192, ""de"", ""en"")"),"bristol")</f>
        <v>bristol</v>
      </c>
    </row>
    <row r="24193">
      <c r="A24193" s="1" t="s">
        <v>24192</v>
      </c>
      <c r="B24193" s="2" t="str">
        <f>IFERROR(__xludf.DUMMYFUNCTION("GOOGLETRANSLATE(A24193, ""de"", ""en"")"),"slippery")</f>
        <v>slippery</v>
      </c>
    </row>
    <row r="24194">
      <c r="A24194" s="1" t="s">
        <v>24193</v>
      </c>
      <c r="B24194" s="2" t="str">
        <f>IFERROR(__xludf.DUMMYFUNCTION("GOOGLETRANSLATE(A24194, ""de"", ""en"")"),"linked")</f>
        <v>linked</v>
      </c>
    </row>
    <row r="24195">
      <c r="A24195" s="1" t="s">
        <v>24194</v>
      </c>
      <c r="B24195" s="2" t="str">
        <f>IFERROR(__xludf.DUMMYFUNCTION("GOOGLETRANSLATE(A24195, ""de"", ""en"")"),"social")</f>
        <v>social</v>
      </c>
    </row>
    <row r="24196">
      <c r="A24196" s="1" t="s">
        <v>24195</v>
      </c>
      <c r="B24196" s="2" t="str">
        <f>IFERROR(__xludf.DUMMYFUNCTION("GOOGLETRANSLATE(A24196, ""de"", ""en"")"),"Alexa")</f>
        <v>Alexa</v>
      </c>
    </row>
    <row r="24197">
      <c r="A24197" s="1" t="s">
        <v>24196</v>
      </c>
      <c r="B24197" s="2" t="str">
        <f>IFERROR(__xludf.DUMMYFUNCTION("GOOGLETRANSLATE(A24197, ""de"", ""en"")"),"Schröder")</f>
        <v>Schröder</v>
      </c>
    </row>
    <row r="24198">
      <c r="A24198" s="1" t="s">
        <v>24197</v>
      </c>
      <c r="B24198" s="2" t="str">
        <f>IFERROR(__xludf.DUMMYFUNCTION("GOOGLETRANSLATE(A24198, ""de"", ""en"")"),"showers")</f>
        <v>showers</v>
      </c>
    </row>
    <row r="24199">
      <c r="A24199" s="1" t="s">
        <v>24198</v>
      </c>
      <c r="B24199" s="2" t="str">
        <f>IFERROR(__xludf.DUMMYFUNCTION("GOOGLETRANSLATE(A24199, ""de"", ""en"")"),"electronic")</f>
        <v>electronic</v>
      </c>
    </row>
    <row r="24200">
      <c r="A24200" s="1" t="s">
        <v>24199</v>
      </c>
      <c r="B24200" s="2" t="str">
        <f>IFERROR(__xludf.DUMMYFUNCTION("GOOGLETRANSLATE(A24200, ""de"", ""en"")"),"assumptions")</f>
        <v>assumptions</v>
      </c>
    </row>
    <row r="24201">
      <c r="A24201" s="1" t="s">
        <v>24200</v>
      </c>
      <c r="B24201" s="2" t="str">
        <f>IFERROR(__xludf.DUMMYFUNCTION("GOOGLETRANSLATE(A24201, ""de"", ""en"")"),"traffic lights")</f>
        <v>traffic lights</v>
      </c>
    </row>
    <row r="24202">
      <c r="A24202" s="1" t="s">
        <v>24201</v>
      </c>
      <c r="B24202" s="2" t="str">
        <f>IFERROR(__xludf.DUMMYFUNCTION("GOOGLETRANSLATE(A24202, ""de"", ""en"")"),"violetta")</f>
        <v>violetta</v>
      </c>
    </row>
    <row r="24203">
      <c r="A24203" s="1" t="s">
        <v>24202</v>
      </c>
      <c r="B24203" s="2" t="str">
        <f>IFERROR(__xludf.DUMMYFUNCTION("GOOGLETRANSLATE(A24203, ""de"", ""en"")"),"cardassian")</f>
        <v>cardassian</v>
      </c>
    </row>
    <row r="24204">
      <c r="A24204" s="1" t="s">
        <v>24203</v>
      </c>
      <c r="B24204" s="2" t="str">
        <f>IFERROR(__xludf.DUMMYFUNCTION("GOOGLETRANSLATE(A24204, ""de"", ""en"")"),"zed")</f>
        <v>zed</v>
      </c>
    </row>
    <row r="24205">
      <c r="A24205" s="1" t="s">
        <v>24204</v>
      </c>
      <c r="B24205" s="2" t="str">
        <f>IFERROR(__xludf.DUMMYFUNCTION("GOOGLETRANSLATE(A24205, ""de"", ""en"")"),"stretched")</f>
        <v>stretched</v>
      </c>
    </row>
    <row r="24206">
      <c r="A24206" s="1" t="s">
        <v>24205</v>
      </c>
      <c r="B24206" s="2" t="str">
        <f>IFERROR(__xludf.DUMMYFUNCTION("GOOGLETRANSLATE(A24206, ""de"", ""en"")"),"seen")</f>
        <v>seen</v>
      </c>
    </row>
    <row r="24207">
      <c r="A24207" s="1" t="s">
        <v>24206</v>
      </c>
      <c r="B24207" s="2" t="str">
        <f>IFERROR(__xludf.DUMMYFUNCTION("GOOGLETRANSLATE(A24207, ""de"", ""en"")"),"dildo")</f>
        <v>dildo</v>
      </c>
    </row>
    <row r="24208">
      <c r="A24208" s="1" t="s">
        <v>24207</v>
      </c>
      <c r="B24208" s="2" t="str">
        <f>IFERROR(__xludf.DUMMYFUNCTION("GOOGLETRANSLATE(A24208, ""de"", ""en"")"),"robins")</f>
        <v>robins</v>
      </c>
    </row>
    <row r="24209">
      <c r="A24209" s="1" t="s">
        <v>24208</v>
      </c>
      <c r="B24209" s="2" t="str">
        <f>IFERROR(__xludf.DUMMYFUNCTION("GOOGLETRANSLATE(A24209, ""de"", ""en"")"),"scripts")</f>
        <v>scripts</v>
      </c>
    </row>
    <row r="24210">
      <c r="A24210" s="1" t="s">
        <v>24209</v>
      </c>
      <c r="B24210" s="2" t="str">
        <f>IFERROR(__xludf.DUMMYFUNCTION("GOOGLETRANSLATE(A24210, ""de"", ""en"")"),"fail")</f>
        <v>fail</v>
      </c>
    </row>
    <row r="24211">
      <c r="A24211" s="1" t="s">
        <v>24210</v>
      </c>
      <c r="B24211" s="2" t="str">
        <f>IFERROR(__xludf.DUMMYFUNCTION("GOOGLETRANSLATE(A24211, ""de"", ""en"")"),"ruler")</f>
        <v>ruler</v>
      </c>
    </row>
    <row r="24212">
      <c r="A24212" s="1" t="s">
        <v>24211</v>
      </c>
      <c r="B24212" s="2" t="str">
        <f>IFERROR(__xludf.DUMMYFUNCTION("GOOGLETRANSLATE(A24212, ""de"", ""en"")"),"Layla")</f>
        <v>Layla</v>
      </c>
    </row>
    <row r="24213">
      <c r="A24213" s="1" t="s">
        <v>24212</v>
      </c>
      <c r="B24213" s="2" t="str">
        <f>IFERROR(__xludf.DUMMYFUNCTION("GOOGLETRANSLATE(A24213, ""de"", ""en"")"),"tichy")</f>
        <v>tichy</v>
      </c>
    </row>
    <row r="24214">
      <c r="A24214" s="1" t="s">
        <v>24213</v>
      </c>
      <c r="B24214" s="2" t="str">
        <f>IFERROR(__xludf.DUMMYFUNCTION("GOOGLETRANSLATE(A24214, ""de"", ""en"")"),"clumsy")</f>
        <v>clumsy</v>
      </c>
    </row>
    <row r="24215">
      <c r="A24215" s="1" t="s">
        <v>24214</v>
      </c>
      <c r="B24215" s="2" t="str">
        <f>IFERROR(__xludf.DUMMYFUNCTION("GOOGLETRANSLATE(A24215, ""de"", ""en"")"),"slippers")</f>
        <v>slippers</v>
      </c>
    </row>
    <row r="24216">
      <c r="A24216" s="1" t="s">
        <v>24215</v>
      </c>
      <c r="B24216" s="2" t="str">
        <f>IFERROR(__xludf.DUMMYFUNCTION("GOOGLETRANSLATE(A24216, ""de"", ""en"")"),"outskirts")</f>
        <v>outskirts</v>
      </c>
    </row>
    <row r="24217">
      <c r="A24217" s="1" t="s">
        <v>24216</v>
      </c>
      <c r="B24217" s="2" t="str">
        <f>IFERROR(__xludf.DUMMYFUNCTION("GOOGLETRANSLATE(A24217, ""de"", ""en"")"),"stares")</f>
        <v>stares</v>
      </c>
    </row>
    <row r="24218">
      <c r="A24218" s="1" t="s">
        <v>24217</v>
      </c>
      <c r="B24218" s="2" t="str">
        <f>IFERROR(__xludf.DUMMYFUNCTION("GOOGLETRANSLATE(A24218, ""de"", ""en"")"),"flop")</f>
        <v>flop</v>
      </c>
    </row>
    <row r="24219">
      <c r="A24219" s="1" t="s">
        <v>24218</v>
      </c>
      <c r="B24219" s="2" t="str">
        <f>IFERROR(__xludf.DUMMYFUNCTION("GOOGLETRANSLATE(A24219, ""de"", ""en"")"),"biography")</f>
        <v>biography</v>
      </c>
    </row>
    <row r="24220">
      <c r="A24220" s="1" t="s">
        <v>24219</v>
      </c>
      <c r="B24220" s="2" t="str">
        <f>IFERROR(__xludf.DUMMYFUNCTION("GOOGLETRANSLATE(A24220, ""de"", ""en"")"),"lei")</f>
        <v>lei</v>
      </c>
    </row>
    <row r="24221">
      <c r="A24221" s="1" t="s">
        <v>24220</v>
      </c>
      <c r="B24221" s="2" t="str">
        <f>IFERROR(__xludf.DUMMYFUNCTION("GOOGLETRANSLATE(A24221, ""de"", ""en"")"),"rockefeller")</f>
        <v>rockefeller</v>
      </c>
    </row>
    <row r="24222">
      <c r="A24222" s="1" t="s">
        <v>24221</v>
      </c>
      <c r="B24222" s="2" t="str">
        <f>IFERROR(__xludf.DUMMYFUNCTION("GOOGLETRANSLATE(A24222, ""de"", ""en"")"),"account")</f>
        <v>account</v>
      </c>
    </row>
    <row r="24223">
      <c r="A24223" s="1" t="s">
        <v>24222</v>
      </c>
      <c r="B24223" s="2" t="str">
        <f>IFERROR(__xludf.DUMMYFUNCTION("GOOGLETRANSLATE(A24223, ""de"", ""en"")"),"gap")</f>
        <v>gap</v>
      </c>
    </row>
    <row r="24224">
      <c r="A24224" s="1" t="s">
        <v>24223</v>
      </c>
      <c r="B24224" s="2" t="str">
        <f>IFERROR(__xludf.DUMMYFUNCTION("GOOGLETRANSLATE(A24224, ""de"", ""en"")"),"men's toilet")</f>
        <v>men's toilet</v>
      </c>
    </row>
    <row r="24225">
      <c r="A24225" s="1" t="s">
        <v>24224</v>
      </c>
      <c r="B24225" s="2" t="str">
        <f>IFERROR(__xludf.DUMMYFUNCTION("GOOGLETRANSLATE(A24225, ""de"", ""en"")"),"sticks")</f>
        <v>sticks</v>
      </c>
    </row>
    <row r="24226">
      <c r="A24226" s="1" t="s">
        <v>24225</v>
      </c>
      <c r="B24226" s="2" t="str">
        <f>IFERROR(__xludf.DUMMYFUNCTION("GOOGLETRANSLATE(A24226, ""de"", ""en"")"),"drew")</f>
        <v>drew</v>
      </c>
    </row>
    <row r="24227">
      <c r="A24227" s="1" t="s">
        <v>24226</v>
      </c>
      <c r="B24227" s="2" t="str">
        <f>IFERROR(__xludf.DUMMYFUNCTION("GOOGLETRANSLATE(A24227, ""de"", ""en"")"),"audible")</f>
        <v>audible</v>
      </c>
    </row>
    <row r="24228">
      <c r="A24228" s="1" t="s">
        <v>24227</v>
      </c>
      <c r="B24228" s="2" t="str">
        <f>IFERROR(__xludf.DUMMYFUNCTION("GOOGLETRANSLATE(A24228, ""de"", ""en"")"),"yellow")</f>
        <v>yellow</v>
      </c>
    </row>
    <row r="24229">
      <c r="A24229" s="1" t="s">
        <v>24228</v>
      </c>
      <c r="B24229" s="2" t="str">
        <f>IFERROR(__xludf.DUMMYFUNCTION("GOOGLETRANSLATE(A24229, ""de"", ""en"")"),"alleged")</f>
        <v>alleged</v>
      </c>
    </row>
    <row r="24230">
      <c r="A24230" s="1" t="s">
        <v>24229</v>
      </c>
      <c r="B24230" s="2" t="str">
        <f>IFERROR(__xludf.DUMMYFUNCTION("GOOGLETRANSLATE(A24230, ""de"", ""en"")"),"acceleration")</f>
        <v>acceleration</v>
      </c>
    </row>
    <row r="24231">
      <c r="A24231" s="1" t="s">
        <v>24230</v>
      </c>
      <c r="B24231" s="2" t="str">
        <f>IFERROR(__xludf.DUMMYFUNCTION("GOOGLETRANSLATE(A24231, ""de"", ""en"")"),"more spiritual")</f>
        <v>more spiritual</v>
      </c>
    </row>
    <row r="24232">
      <c r="A24232" s="1" t="s">
        <v>24231</v>
      </c>
      <c r="B24232" s="2" t="str">
        <f>IFERROR(__xludf.DUMMYFUNCTION("GOOGLETRANSLATE(A24232, ""de"", ""en"")"),"deniz")</f>
        <v>deniz</v>
      </c>
    </row>
    <row r="24233">
      <c r="A24233" s="1" t="s">
        <v>24232</v>
      </c>
      <c r="B24233" s="2" t="str">
        <f>IFERROR(__xludf.DUMMYFUNCTION("GOOGLETRANSLATE(A24233, ""de"", ""en"")"),"clockwork")</f>
        <v>clockwork</v>
      </c>
    </row>
    <row r="24234">
      <c r="A24234" s="1" t="s">
        <v>24233</v>
      </c>
      <c r="B24234" s="2" t="str">
        <f>IFERROR(__xludf.DUMMYFUNCTION("GOOGLETRANSLATE(A24234, ""de"", ""en"")"),"founded")</f>
        <v>founded</v>
      </c>
    </row>
    <row r="24235">
      <c r="A24235" s="1" t="s">
        <v>24234</v>
      </c>
      <c r="B24235" s="2" t="str">
        <f>IFERROR(__xludf.DUMMYFUNCTION("GOOGLETRANSLATE(A24235, ""de"", ""en"")"),"gnaws")</f>
        <v>gnaws</v>
      </c>
    </row>
    <row r="24236">
      <c r="A24236" s="1" t="s">
        <v>24235</v>
      </c>
      <c r="B24236" s="2" t="str">
        <f>IFERROR(__xludf.DUMMYFUNCTION("GOOGLETRANSLATE(A24236, ""de"", ""en"")"),"encouragement")</f>
        <v>encouragement</v>
      </c>
    </row>
    <row r="24237">
      <c r="A24237" s="1" t="s">
        <v>24236</v>
      </c>
      <c r="B24237" s="2" t="str">
        <f>IFERROR(__xludf.DUMMYFUNCTION("GOOGLETRANSLATE(A24237, ""de"", ""en"")"),"Joni")</f>
        <v>Joni</v>
      </c>
    </row>
    <row r="24238">
      <c r="A24238" s="1" t="s">
        <v>24237</v>
      </c>
      <c r="B24238" s="2" t="str">
        <f>IFERROR(__xludf.DUMMYFUNCTION("GOOGLETRANSLATE(A24238, ""de"", ""en"")"),"wash")</f>
        <v>wash</v>
      </c>
    </row>
    <row r="24239">
      <c r="A24239" s="1" t="s">
        <v>24238</v>
      </c>
      <c r="B24239" s="2" t="str">
        <f>IFERROR(__xludf.DUMMYFUNCTION("GOOGLETRANSLATE(A24239, ""de"", ""en"")"),"illuminated")</f>
        <v>illuminated</v>
      </c>
    </row>
    <row r="24240">
      <c r="A24240" s="1" t="s">
        <v>24239</v>
      </c>
      <c r="B24240" s="2" t="str">
        <f>IFERROR(__xludf.DUMMYFUNCTION("GOOGLETRANSLATE(A24240, ""de"", ""en"")"),"one-off")</f>
        <v>one-off</v>
      </c>
    </row>
    <row r="24241">
      <c r="A24241" s="1" t="s">
        <v>24240</v>
      </c>
      <c r="B24241" s="2" t="str">
        <f>IFERROR(__xludf.DUMMYFUNCTION("GOOGLETRANSLATE(A24241, ""de"", ""en"")"),"carlyle")</f>
        <v>carlyle</v>
      </c>
    </row>
    <row r="24242">
      <c r="A24242" s="1" t="s">
        <v>24241</v>
      </c>
      <c r="B24242" s="2" t="str">
        <f>IFERROR(__xludf.DUMMYFUNCTION("GOOGLETRANSLATE(A24242, ""de"", ""en"")"),"to accuse")</f>
        <v>to accuse</v>
      </c>
    </row>
    <row r="24243">
      <c r="A24243" s="1" t="s">
        <v>24242</v>
      </c>
      <c r="B24243" s="2" t="str">
        <f>IFERROR(__xludf.DUMMYFUNCTION("GOOGLETRANSLATE(A24243, ""de"", ""en"")"),"more lost")</f>
        <v>more lost</v>
      </c>
    </row>
    <row r="24244">
      <c r="A24244" s="1" t="s">
        <v>24243</v>
      </c>
      <c r="B24244" s="2" t="str">
        <f>IFERROR(__xludf.DUMMYFUNCTION("GOOGLETRANSLATE(A24244, ""de"", ""en"")"),"hubbard")</f>
        <v>hubbard</v>
      </c>
    </row>
    <row r="24245">
      <c r="A24245" s="1" t="s">
        <v>24244</v>
      </c>
      <c r="B24245" s="2" t="str">
        <f>IFERROR(__xludf.DUMMYFUNCTION("GOOGLETRANSLATE(A24245, ""de"", ""en"")"),"enrich")</f>
        <v>enrich</v>
      </c>
    </row>
    <row r="24246">
      <c r="A24246" s="1" t="s">
        <v>24245</v>
      </c>
      <c r="B24246" s="2" t="str">
        <f>IFERROR(__xludf.DUMMYFUNCTION("GOOGLETRANSLATE(A24246, ""de"", ""en"")"),"eliminated")</f>
        <v>eliminated</v>
      </c>
    </row>
    <row r="24247">
      <c r="A24247" s="1" t="s">
        <v>24246</v>
      </c>
      <c r="B24247" s="2" t="str">
        <f>IFERROR(__xludf.DUMMYFUNCTION("GOOGLETRANSLATE(A24247, ""de"", ""en"")"),"edge")</f>
        <v>edge</v>
      </c>
    </row>
    <row r="24248">
      <c r="A24248" s="1" t="s">
        <v>24247</v>
      </c>
      <c r="B24248" s="2" t="str">
        <f>IFERROR(__xludf.DUMMYFUNCTION("GOOGLETRANSLATE(A24248, ""de"", ""en"")"),"thank you")</f>
        <v>thank you</v>
      </c>
    </row>
    <row r="24249">
      <c r="A24249" s="1" t="s">
        <v>24248</v>
      </c>
      <c r="B24249" s="2" t="str">
        <f>IFERROR(__xludf.DUMMYFUNCTION("GOOGLETRANSLATE(A24249, ""de"", ""en"")"),"truest")</f>
        <v>truest</v>
      </c>
    </row>
    <row r="24250">
      <c r="A24250" s="1" t="s">
        <v>24249</v>
      </c>
      <c r="B24250" s="2" t="str">
        <f>IFERROR(__xludf.DUMMYFUNCTION("GOOGLETRANSLATE(A24250, ""de"", ""en"")"),"warrior")</f>
        <v>warrior</v>
      </c>
    </row>
    <row r="24251">
      <c r="A24251" s="1" t="s">
        <v>24250</v>
      </c>
      <c r="B24251" s="2" t="str">
        <f>IFERROR(__xludf.DUMMYFUNCTION("GOOGLETRANSLATE(A24251, ""de"", ""en"")"),"mass murderer")</f>
        <v>mass murderer</v>
      </c>
    </row>
    <row r="24252">
      <c r="A24252" s="1" t="s">
        <v>24251</v>
      </c>
      <c r="B24252" s="2" t="str">
        <f>IFERROR(__xludf.DUMMYFUNCTION("GOOGLETRANSLATE(A24252, ""de"", ""en"")"),"rod")</f>
        <v>rod</v>
      </c>
    </row>
    <row r="24253">
      <c r="A24253" s="1" t="s">
        <v>24252</v>
      </c>
      <c r="B24253" s="2" t="str">
        <f>IFERROR(__xludf.DUMMYFUNCTION("GOOGLETRANSLATE(A24253, ""de"", ""en"")"),"outfits")</f>
        <v>outfits</v>
      </c>
    </row>
    <row r="24254">
      <c r="A24254" s="1" t="s">
        <v>24253</v>
      </c>
      <c r="B24254" s="2" t="str">
        <f>IFERROR(__xludf.DUMMYFUNCTION("GOOGLETRANSLATE(A24254, ""de"", ""en"")"),"alleys")</f>
        <v>alleys</v>
      </c>
    </row>
    <row r="24255">
      <c r="A24255" s="1" t="s">
        <v>24254</v>
      </c>
      <c r="B24255" s="2" t="str">
        <f>IFERROR(__xludf.DUMMYFUNCTION("GOOGLETRANSLATE(A24255, ""de"", ""en"")"),"arlo")</f>
        <v>arlo</v>
      </c>
    </row>
    <row r="24256">
      <c r="A24256" s="1" t="s">
        <v>24255</v>
      </c>
      <c r="B24256" s="2" t="str">
        <f>IFERROR(__xludf.DUMMYFUNCTION("GOOGLETRANSLATE(A24256, ""de"", ""en"")"),"fuse")</f>
        <v>fuse</v>
      </c>
    </row>
    <row r="24257">
      <c r="A24257" s="1" t="s">
        <v>24256</v>
      </c>
      <c r="B24257" s="2" t="str">
        <f>IFERROR(__xludf.DUMMYFUNCTION("GOOGLETRANSLATE(A24257, ""de"", ""en"")"),"poole")</f>
        <v>poole</v>
      </c>
    </row>
    <row r="24258">
      <c r="A24258" s="1" t="s">
        <v>24257</v>
      </c>
      <c r="B24258" s="2" t="str">
        <f>IFERROR(__xludf.DUMMYFUNCTION("GOOGLETRANSLATE(A24258, ""de"", ""en"")"),"excellent")</f>
        <v>excellent</v>
      </c>
    </row>
    <row r="24259">
      <c r="A24259" s="1" t="s">
        <v>24258</v>
      </c>
      <c r="B24259" s="2" t="str">
        <f>IFERROR(__xludf.DUMMYFUNCTION("GOOGLETRANSLATE(A24259, ""de"", ""en"")"),"expenses")</f>
        <v>expenses</v>
      </c>
    </row>
    <row r="24260">
      <c r="A24260" s="1" t="s">
        <v>24259</v>
      </c>
      <c r="B24260" s="2" t="str">
        <f>IFERROR(__xludf.DUMMYFUNCTION("GOOGLETRANSLATE(A24260, ""de"", ""en"")"),"close up")</f>
        <v>close up</v>
      </c>
    </row>
    <row r="24261">
      <c r="A24261" s="1" t="s">
        <v>24260</v>
      </c>
      <c r="B24261" s="2" t="str">
        <f>IFERROR(__xludf.DUMMYFUNCTION("GOOGLETRANSLATE(A24261, ""de"", ""en"")"),"fluctuates")</f>
        <v>fluctuates</v>
      </c>
    </row>
    <row r="24262">
      <c r="A24262" s="1" t="s">
        <v>24261</v>
      </c>
      <c r="B24262" s="2" t="str">
        <f>IFERROR(__xludf.DUMMYFUNCTION("GOOGLETRANSLATE(A24262, ""de"", ""en"")"),"volumes")</f>
        <v>volumes</v>
      </c>
    </row>
    <row r="24263">
      <c r="A24263" s="1" t="s">
        <v>24262</v>
      </c>
      <c r="B24263" s="2" t="str">
        <f>IFERROR(__xludf.DUMMYFUNCTION("GOOGLETRANSLATE(A24263, ""de"", ""en"")"),"partial paths")</f>
        <v>partial paths</v>
      </c>
    </row>
    <row r="24264">
      <c r="A24264" s="1" t="s">
        <v>24263</v>
      </c>
      <c r="B24264" s="2" t="str">
        <f>IFERROR(__xludf.DUMMYFUNCTION("GOOGLETRANSLATE(A24264, ""de"", ""en"")"),"Elinor")</f>
        <v>Elinor</v>
      </c>
    </row>
    <row r="24265">
      <c r="A24265" s="1" t="s">
        <v>24264</v>
      </c>
      <c r="B24265" s="2" t="str">
        <f>IFERROR(__xludf.DUMMYFUNCTION("GOOGLETRANSLATE(A24265, ""de"", ""en"")"),"boot up")</f>
        <v>boot up</v>
      </c>
    </row>
    <row r="24266">
      <c r="A24266" s="1" t="s">
        <v>24265</v>
      </c>
      <c r="B24266" s="2" t="str">
        <f>IFERROR(__xludf.DUMMYFUNCTION("GOOGLETRANSLATE(A24266, ""de"", ""en"")"),"form")</f>
        <v>form</v>
      </c>
    </row>
    <row r="24267">
      <c r="A24267" s="1" t="s">
        <v>24266</v>
      </c>
      <c r="B24267" s="2" t="str">
        <f>IFERROR(__xludf.DUMMYFUNCTION("GOOGLETRANSLATE(A24267, ""de"", ""en"")"),"loaded")</f>
        <v>loaded</v>
      </c>
    </row>
    <row r="24268">
      <c r="A24268" s="1" t="s">
        <v>24267</v>
      </c>
      <c r="B24268" s="2" t="str">
        <f>IFERROR(__xludf.DUMMYFUNCTION("GOOGLETRANSLATE(A24268, ""de"", ""en"")"),"arrogant")</f>
        <v>arrogant</v>
      </c>
    </row>
    <row r="24269">
      <c r="A24269" s="1" t="s">
        <v>24268</v>
      </c>
      <c r="B24269" s="2" t="str">
        <f>IFERROR(__xludf.DUMMYFUNCTION("GOOGLETRANSLATE(A24269, ""de"", ""en"")"),"convention")</f>
        <v>convention</v>
      </c>
    </row>
    <row r="24270">
      <c r="A24270" s="1" t="s">
        <v>24269</v>
      </c>
      <c r="B24270" s="2" t="str">
        <f>IFERROR(__xludf.DUMMYFUNCTION("GOOGLETRANSLATE(A24270, ""de"", ""en"")"),"vein")</f>
        <v>vein</v>
      </c>
    </row>
    <row r="24271">
      <c r="A24271" s="1" t="s">
        <v>24270</v>
      </c>
      <c r="B24271" s="2" t="str">
        <f>IFERROR(__xludf.DUMMYFUNCTION("GOOGLETRANSLATE(A24271, ""de"", ""en"")"),"doakes")</f>
        <v>doakes</v>
      </c>
    </row>
    <row r="24272">
      <c r="A24272" s="1" t="s">
        <v>24271</v>
      </c>
      <c r="B24272" s="2" t="str">
        <f>IFERROR(__xludf.DUMMYFUNCTION("GOOGLETRANSLATE(A24272, ""de"", ""en"")"),"their kind")</f>
        <v>their kind</v>
      </c>
    </row>
    <row r="24273">
      <c r="A24273" s="1" t="s">
        <v>24272</v>
      </c>
      <c r="B24273" s="2" t="str">
        <f>IFERROR(__xludf.DUMMYFUNCTION("GOOGLETRANSLATE(A24273, ""de"", ""en"")"),"blow up")</f>
        <v>blow up</v>
      </c>
    </row>
    <row r="24274">
      <c r="A24274" s="1" t="s">
        <v>24273</v>
      </c>
      <c r="B24274" s="2" t="str">
        <f>IFERROR(__xludf.DUMMYFUNCTION("GOOGLETRANSLATE(A24274, ""de"", ""en"")"),"on leave")</f>
        <v>on leave</v>
      </c>
    </row>
    <row r="24275">
      <c r="A24275" s="1" t="s">
        <v>24274</v>
      </c>
      <c r="B24275" s="2" t="str">
        <f>IFERROR(__xludf.DUMMYFUNCTION("GOOGLETRANSLATE(A24275, ""de"", ""en"")"),"recite")</f>
        <v>recite</v>
      </c>
    </row>
    <row r="24276">
      <c r="A24276" s="1" t="s">
        <v>24275</v>
      </c>
      <c r="B24276" s="2" t="str">
        <f>IFERROR(__xludf.DUMMYFUNCTION("GOOGLETRANSLATE(A24276, ""de"", ""en"")"),"phone call")</f>
        <v>phone call</v>
      </c>
    </row>
    <row r="24277">
      <c r="A24277" s="1" t="s">
        <v>24276</v>
      </c>
      <c r="B24277" s="2" t="str">
        <f>IFERROR(__xludf.DUMMYFUNCTION("GOOGLETRANSLATE(A24277, ""de"", ""en"")"),"drug department")</f>
        <v>drug department</v>
      </c>
    </row>
    <row r="24278">
      <c r="A24278" s="1" t="s">
        <v>24277</v>
      </c>
      <c r="B24278" s="2" t="str">
        <f>IFERROR(__xludf.DUMMYFUNCTION("GOOGLETRANSLATE(A24278, ""de"", ""en"")"),"garry")</f>
        <v>garry</v>
      </c>
    </row>
    <row r="24279">
      <c r="A24279" s="1" t="s">
        <v>24278</v>
      </c>
      <c r="B24279" s="2" t="str">
        <f>IFERROR(__xludf.DUMMYFUNCTION("GOOGLETRANSLATE(A24279, ""de"", ""en"")"),"Cuban")</f>
        <v>Cuban</v>
      </c>
    </row>
    <row r="24280">
      <c r="A24280" s="1" t="s">
        <v>24279</v>
      </c>
      <c r="B24280" s="2" t="str">
        <f>IFERROR(__xludf.DUMMYFUNCTION("GOOGLETRANSLATE(A24280, ""de"", ""en"")"),"Cornwall")</f>
        <v>Cornwall</v>
      </c>
    </row>
    <row r="24281">
      <c r="A24281" s="1" t="s">
        <v>24280</v>
      </c>
      <c r="B24281" s="2" t="str">
        <f>IFERROR(__xludf.DUMMYFUNCTION("GOOGLETRANSLATE(A24281, ""de"", ""en"")"),"to the")</f>
        <v>to the</v>
      </c>
    </row>
    <row r="24282">
      <c r="A24282" s="1" t="s">
        <v>24281</v>
      </c>
      <c r="B24282" s="2" t="str">
        <f>IFERROR(__xludf.DUMMYFUNCTION("GOOGLETRANSLATE(A24282, ""de"", ""en"")"),"jh")</f>
        <v>jh</v>
      </c>
    </row>
    <row r="24283">
      <c r="A24283" s="1" t="s">
        <v>24282</v>
      </c>
      <c r="B24283" s="2" t="str">
        <f>IFERROR(__xludf.DUMMYFUNCTION("GOOGLETRANSLATE(A24283, ""de"", ""en"")"),"area")</f>
        <v>area</v>
      </c>
    </row>
    <row r="24284">
      <c r="A24284" s="1" t="s">
        <v>24283</v>
      </c>
      <c r="B24284" s="2" t="str">
        <f>IFERROR(__xludf.DUMMYFUNCTION("GOOGLETRANSLATE(A24284, ""de"", ""en"")"),"vip")</f>
        <v>vip</v>
      </c>
    </row>
    <row r="24285">
      <c r="A24285" s="1" t="s">
        <v>24284</v>
      </c>
      <c r="B24285" s="2" t="str">
        <f>IFERROR(__xludf.DUMMYFUNCTION("GOOGLETRANSLATE(A24285, ""de"", ""en"")"),"genus")</f>
        <v>genus</v>
      </c>
    </row>
    <row r="24286">
      <c r="A24286" s="1" t="s">
        <v>24285</v>
      </c>
      <c r="B24286" s="2" t="str">
        <f>IFERROR(__xludf.DUMMYFUNCTION("GOOGLETRANSLATE(A24286, ""de"", ""en"")"),"dealt")</f>
        <v>dealt</v>
      </c>
    </row>
    <row r="24287">
      <c r="A24287" s="1" t="s">
        <v>24286</v>
      </c>
      <c r="B24287" s="2" t="str">
        <f>IFERROR(__xludf.DUMMYFUNCTION("GOOGLETRANSLATE(A24287, ""de"", ""en"")"),"to hit")</f>
        <v>to hit</v>
      </c>
    </row>
    <row r="24288">
      <c r="A24288" s="1" t="s">
        <v>24287</v>
      </c>
      <c r="B24288" s="2" t="str">
        <f>IFERROR(__xludf.DUMMYFUNCTION("GOOGLETRANSLATE(A24288, ""de"", ""en"")"),"gathered")</f>
        <v>gathered</v>
      </c>
    </row>
    <row r="24289">
      <c r="A24289" s="1" t="s">
        <v>24288</v>
      </c>
      <c r="B24289" s="2" t="str">
        <f>IFERROR(__xludf.DUMMYFUNCTION("GOOGLETRANSLATE(A24289, ""de"", ""en"")"),"meatballs")</f>
        <v>meatballs</v>
      </c>
    </row>
    <row r="24290">
      <c r="A24290" s="1" t="s">
        <v>24289</v>
      </c>
      <c r="B24290" s="2" t="str">
        <f>IFERROR(__xludf.DUMMYFUNCTION("GOOGLETRANSLATE(A24290, ""de"", ""en"")"),"clear out")</f>
        <v>clear out</v>
      </c>
    </row>
    <row r="24291">
      <c r="A24291" s="1" t="s">
        <v>24290</v>
      </c>
      <c r="B24291" s="2" t="str">
        <f>IFERROR(__xludf.DUMMYFUNCTION("GOOGLETRANSLATE(A24291, ""de"", ""en"")"),"banjo")</f>
        <v>banjo</v>
      </c>
    </row>
    <row r="24292">
      <c r="A24292" s="1" t="s">
        <v>24291</v>
      </c>
      <c r="B24292" s="2" t="str">
        <f>IFERROR(__xludf.DUMMYFUNCTION("GOOGLETRANSLATE(A24292, ""de"", ""en"")"),"hesitate")</f>
        <v>hesitate</v>
      </c>
    </row>
    <row r="24293">
      <c r="A24293" s="1" t="s">
        <v>24292</v>
      </c>
      <c r="B24293" s="2" t="str">
        <f>IFERROR(__xludf.DUMMYFUNCTION("GOOGLETRANSLATE(A24293, ""de"", ""en"")"),"angel")</f>
        <v>angel</v>
      </c>
    </row>
    <row r="24294">
      <c r="A24294" s="1" t="s">
        <v>24293</v>
      </c>
      <c r="B24294" s="2" t="str">
        <f>IFERROR(__xludf.DUMMYFUNCTION("GOOGLETRANSLATE(A24294, ""de"", ""en"")"),"confront")</f>
        <v>confront</v>
      </c>
    </row>
    <row r="24295">
      <c r="A24295" s="1" t="s">
        <v>24294</v>
      </c>
      <c r="B24295" s="2" t="str">
        <f>IFERROR(__xludf.DUMMYFUNCTION("GOOGLETRANSLATE(A24295, ""de"", ""en"")"),"marital")</f>
        <v>marital</v>
      </c>
    </row>
    <row r="24296">
      <c r="A24296" s="1" t="s">
        <v>24295</v>
      </c>
      <c r="B24296" s="2" t="str">
        <f>IFERROR(__xludf.DUMMYFUNCTION("GOOGLETRANSLATE(A24296, ""de"", ""en"")"),"skinny")</f>
        <v>skinny</v>
      </c>
    </row>
    <row r="24297">
      <c r="A24297" s="1" t="s">
        <v>24296</v>
      </c>
      <c r="B24297" s="2" t="str">
        <f>IFERROR(__xludf.DUMMYFUNCTION("GOOGLETRANSLATE(A24297, ""de"", ""en"")"),"petite")</f>
        <v>petite</v>
      </c>
    </row>
    <row r="24298">
      <c r="A24298" s="1" t="s">
        <v>24297</v>
      </c>
      <c r="B24298" s="2" t="str">
        <f>IFERROR(__xludf.DUMMYFUNCTION("GOOGLETRANSLATE(A24298, ""de"", ""en"")"),"conductive")</f>
        <v>conductive</v>
      </c>
    </row>
    <row r="24299">
      <c r="A24299" s="1" t="s">
        <v>24298</v>
      </c>
      <c r="B24299" s="2" t="str">
        <f>IFERROR(__xludf.DUMMYFUNCTION("GOOGLETRANSLATE(A24299, ""de"", ""en"")"),"dent")</f>
        <v>dent</v>
      </c>
    </row>
    <row r="24300">
      <c r="A24300" s="1" t="s">
        <v>24299</v>
      </c>
      <c r="B24300" s="2" t="str">
        <f>IFERROR(__xludf.DUMMYFUNCTION("GOOGLETRANSLATE(A24300, ""de"", ""en"")"),"hard work")</f>
        <v>hard work</v>
      </c>
    </row>
    <row r="24301">
      <c r="A24301" s="1" t="s">
        <v>24300</v>
      </c>
      <c r="B24301" s="2" t="str">
        <f>IFERROR(__xludf.DUMMYFUNCTION("GOOGLETRANSLATE(A24301, ""de"", ""en"")"),"marine")</f>
        <v>marine</v>
      </c>
    </row>
    <row r="24302">
      <c r="A24302" s="1" t="s">
        <v>24301</v>
      </c>
      <c r="B24302" s="2" t="str">
        <f>IFERROR(__xludf.DUMMYFUNCTION("GOOGLETRANSLATE(A24302, ""de"", ""en"")"),"maple")</f>
        <v>maple</v>
      </c>
    </row>
    <row r="24303">
      <c r="A24303" s="1" t="s">
        <v>24302</v>
      </c>
      <c r="B24303" s="2" t="str">
        <f>IFERROR(__xludf.DUMMYFUNCTION("GOOGLETRANSLATE(A24303, ""de"", ""en"")"),"sillier")</f>
        <v>sillier</v>
      </c>
    </row>
    <row r="24304">
      <c r="A24304" s="1" t="s">
        <v>24303</v>
      </c>
      <c r="B24304" s="2" t="str">
        <f>IFERROR(__xludf.DUMMYFUNCTION("GOOGLETRANSLATE(A24304, ""de"", ""en"")"),"concerns")</f>
        <v>concerns</v>
      </c>
    </row>
    <row r="24305">
      <c r="A24305" s="1" t="s">
        <v>24304</v>
      </c>
      <c r="B24305" s="2" t="str">
        <f>IFERROR(__xludf.DUMMYFUNCTION("GOOGLETRANSLATE(A24305, ""de"", ""en"")"),"rotten")</f>
        <v>rotten</v>
      </c>
    </row>
    <row r="24306">
      <c r="A24306" s="1" t="s">
        <v>24305</v>
      </c>
      <c r="B24306" s="2" t="str">
        <f>IFERROR(__xludf.DUMMYFUNCTION("GOOGLETRANSLATE(A24306, ""de"", ""en"")"),"est-ce")</f>
        <v>est-ce</v>
      </c>
    </row>
    <row r="24307">
      <c r="A24307" s="1" t="s">
        <v>24306</v>
      </c>
      <c r="B24307" s="2" t="str">
        <f>IFERROR(__xludf.DUMMYFUNCTION("GOOGLETRANSLATE(A24307, ""de"", ""en"")"),"ta-da")</f>
        <v>ta-da</v>
      </c>
    </row>
    <row r="24308">
      <c r="A24308" s="1" t="s">
        <v>24307</v>
      </c>
      <c r="B24308" s="2" t="str">
        <f>IFERROR(__xludf.DUMMYFUNCTION("GOOGLETRANSLATE(A24308, ""de"", ""en"")"),"chloroform")</f>
        <v>chloroform</v>
      </c>
    </row>
    <row r="24309">
      <c r="A24309" s="1" t="s">
        <v>24308</v>
      </c>
      <c r="B24309" s="2" t="str">
        <f>IFERROR(__xludf.DUMMYFUNCTION("GOOGLETRANSLATE(A24309, ""de"", ""en"")"),"Othello")</f>
        <v>Othello</v>
      </c>
    </row>
    <row r="24310">
      <c r="A24310" s="1" t="s">
        <v>24309</v>
      </c>
      <c r="B24310" s="2" t="str">
        <f>IFERROR(__xludf.DUMMYFUNCTION("GOOGLETRANSLATE(A24310, ""de"", ""en"")"),"find out")</f>
        <v>find out</v>
      </c>
    </row>
    <row r="24311">
      <c r="A24311" s="1" t="s">
        <v>24310</v>
      </c>
      <c r="B24311" s="2" t="str">
        <f>IFERROR(__xludf.DUMMYFUNCTION("GOOGLETRANSLATE(A24311, ""de"", ""en"")"),"disgusting")</f>
        <v>disgusting</v>
      </c>
    </row>
    <row r="24312">
      <c r="A24312" s="1" t="s">
        <v>24311</v>
      </c>
      <c r="B24312" s="2" t="str">
        <f>IFERROR(__xludf.DUMMYFUNCTION("GOOGLETRANSLATE(A24312, ""de"", ""en"")"),"miss")</f>
        <v>miss</v>
      </c>
    </row>
    <row r="24313">
      <c r="A24313" s="1" t="s">
        <v>24312</v>
      </c>
      <c r="B24313" s="2" t="str">
        <f>IFERROR(__xludf.DUMMYFUNCTION("GOOGLETRANSLATE(A24313, ""de"", ""en"")"),"caught")</f>
        <v>caught</v>
      </c>
    </row>
    <row r="24314">
      <c r="A24314" s="1" t="s">
        <v>24313</v>
      </c>
      <c r="B24314" s="2" t="str">
        <f>IFERROR(__xludf.DUMMYFUNCTION("GOOGLETRANSLATE(A24314, ""de"", ""en"")"),"ergo")</f>
        <v>ergo</v>
      </c>
    </row>
    <row r="24315">
      <c r="A24315" s="1" t="s">
        <v>24314</v>
      </c>
      <c r="B24315" s="2" t="str">
        <f>IFERROR(__xludf.DUMMYFUNCTION("GOOGLETRANSLATE(A24315, ""de"", ""en"")"),"relentless")</f>
        <v>relentless</v>
      </c>
    </row>
    <row r="24316">
      <c r="A24316" s="1" t="s">
        <v>24315</v>
      </c>
      <c r="B24316" s="2" t="str">
        <f>IFERROR(__xludf.DUMMYFUNCTION("GOOGLETRANSLATE(A24316, ""de"", ""en"")"),"dew")</f>
        <v>dew</v>
      </c>
    </row>
    <row r="24317">
      <c r="A24317" s="1" t="s">
        <v>24316</v>
      </c>
      <c r="B24317" s="2" t="str">
        <f>IFERROR(__xludf.DUMMYFUNCTION("GOOGLETRANSLATE(A24317, ""de"", ""en"")"),"hoard")</f>
        <v>hoard</v>
      </c>
    </row>
    <row r="24318">
      <c r="A24318" s="1" t="s">
        <v>24317</v>
      </c>
      <c r="B24318" s="2" t="str">
        <f>IFERROR(__xludf.DUMMYFUNCTION("GOOGLETRANSLATE(A24318, ""de"", ""en"")"),"to continue living")</f>
        <v>to continue living</v>
      </c>
    </row>
    <row r="24319">
      <c r="A24319" s="1" t="s">
        <v>24318</v>
      </c>
      <c r="B24319" s="2" t="str">
        <f>IFERROR(__xludf.DUMMYFUNCTION("GOOGLETRANSLATE(A24319, ""de"", ""en"")"),"scouts")</f>
        <v>scouts</v>
      </c>
    </row>
    <row r="24320">
      <c r="A24320" s="1" t="s">
        <v>24319</v>
      </c>
      <c r="B24320" s="2" t="str">
        <f>IFERROR(__xludf.DUMMYFUNCTION("GOOGLETRANSLATE(A24320, ""de"", ""en"")"),"imagine")</f>
        <v>imagine</v>
      </c>
    </row>
    <row r="24321">
      <c r="A24321" s="1" t="s">
        <v>24320</v>
      </c>
      <c r="B24321" s="2" t="str">
        <f>IFERROR(__xludf.DUMMYFUNCTION("GOOGLETRANSLATE(A24321, ""de"", ""en"")"),"cicero")</f>
        <v>cicero</v>
      </c>
    </row>
    <row r="24322">
      <c r="A24322" s="1" t="s">
        <v>24321</v>
      </c>
      <c r="B24322" s="2" t="str">
        <f>IFERROR(__xludf.DUMMYFUNCTION("GOOGLETRANSLATE(A24322, ""de"", ""en"")"),"protected")</f>
        <v>protected</v>
      </c>
    </row>
    <row r="24323">
      <c r="A24323" s="1" t="s">
        <v>24322</v>
      </c>
      <c r="B24323" s="2" t="str">
        <f>IFERROR(__xludf.DUMMYFUNCTION("GOOGLETRANSLATE(A24323, ""de"", ""en"")"),"Nassau")</f>
        <v>Nassau</v>
      </c>
    </row>
    <row r="24324">
      <c r="A24324" s="1" t="s">
        <v>24323</v>
      </c>
      <c r="B24324" s="2" t="str">
        <f>IFERROR(__xludf.DUMMYFUNCTION("GOOGLETRANSLATE(A24324, ""de"", ""en"")"),"surprising")</f>
        <v>surprising</v>
      </c>
    </row>
    <row r="24325">
      <c r="A24325" s="1" t="s">
        <v>24324</v>
      </c>
      <c r="B24325" s="2" t="str">
        <f>IFERROR(__xludf.DUMMYFUNCTION("GOOGLETRANSLATE(A24325, ""de"", ""en"")"),"dig")</f>
        <v>dig</v>
      </c>
    </row>
    <row r="24326">
      <c r="A24326" s="1" t="s">
        <v>24325</v>
      </c>
      <c r="B24326" s="2" t="str">
        <f>IFERROR(__xludf.DUMMYFUNCTION("GOOGLETRANSLATE(A24326, ""de"", ""en"")"),"patriotism")</f>
        <v>patriotism</v>
      </c>
    </row>
    <row r="24327">
      <c r="A24327" s="1" t="s">
        <v>24326</v>
      </c>
      <c r="B24327" s="2" t="str">
        <f>IFERROR(__xludf.DUMMYFUNCTION("GOOGLETRANSLATE(A24327, ""de"", ""en"")"),"gemstone")</f>
        <v>gemstone</v>
      </c>
    </row>
    <row r="24328">
      <c r="A24328" s="1" t="s">
        <v>24327</v>
      </c>
      <c r="B24328" s="2" t="str">
        <f>IFERROR(__xludf.DUMMYFUNCTION("GOOGLETRANSLATE(A24328, ""de"", ""en"")"),"victorious")</f>
        <v>victorious</v>
      </c>
    </row>
    <row r="24329">
      <c r="A24329" s="1" t="s">
        <v>24328</v>
      </c>
      <c r="B24329" s="2" t="str">
        <f>IFERROR(__xludf.DUMMYFUNCTION("GOOGLETRANSLATE(A24329, ""de"", ""en"")"),"overcomes")</f>
        <v>overcomes</v>
      </c>
    </row>
    <row r="24330">
      <c r="A24330" s="1" t="s">
        <v>24329</v>
      </c>
      <c r="B24330" s="2" t="str">
        <f>IFERROR(__xludf.DUMMYFUNCTION("GOOGLETRANSLATE(A24330, ""de"", ""en"")"),"babble")</f>
        <v>babble</v>
      </c>
    </row>
    <row r="24331">
      <c r="A24331" s="1" t="s">
        <v>24330</v>
      </c>
      <c r="B24331" s="2" t="str">
        <f>IFERROR(__xludf.DUMMYFUNCTION("GOOGLETRANSLATE(A24331, ""de"", ""en"")"),"drive out")</f>
        <v>drive out</v>
      </c>
    </row>
    <row r="24332">
      <c r="A24332" s="1" t="s">
        <v>24331</v>
      </c>
      <c r="B24332" s="2" t="str">
        <f>IFERROR(__xludf.DUMMYFUNCTION("GOOGLETRANSLATE(A24332, ""de"", ""en"")"),"take off")</f>
        <v>take off</v>
      </c>
    </row>
    <row r="24333">
      <c r="A24333" s="1" t="s">
        <v>24332</v>
      </c>
      <c r="B24333" s="2" t="str">
        <f>IFERROR(__xludf.DUMMYFUNCTION("GOOGLETRANSLATE(A24333, ""de"", ""en"")"),"burglary")</f>
        <v>burglary</v>
      </c>
    </row>
    <row r="24334">
      <c r="A24334" s="1" t="s">
        <v>24333</v>
      </c>
      <c r="B24334" s="2" t="str">
        <f>IFERROR(__xludf.DUMMYFUNCTION("GOOGLETRANSLATE(A24334, ""de"", ""en"")"),"heart failure")</f>
        <v>heart failure</v>
      </c>
    </row>
    <row r="24335">
      <c r="A24335" s="1" t="s">
        <v>24334</v>
      </c>
      <c r="B24335" s="2" t="str">
        <f>IFERROR(__xludf.DUMMYFUNCTION("GOOGLETRANSLATE(A24335, ""de"", ""en"")"),"professor")</f>
        <v>professor</v>
      </c>
    </row>
    <row r="24336">
      <c r="A24336" s="1" t="s">
        <v>24335</v>
      </c>
      <c r="B24336" s="2" t="str">
        <f>IFERROR(__xludf.DUMMYFUNCTION("GOOGLETRANSLATE(A24336, ""de"", ""en"")"),"fletch")</f>
        <v>fletch</v>
      </c>
    </row>
    <row r="24337">
      <c r="A24337" s="1" t="s">
        <v>24336</v>
      </c>
      <c r="B24337" s="2" t="str">
        <f>IFERROR(__xludf.DUMMYFUNCTION("GOOGLETRANSLATE(A24337, ""de"", ""en"")"),"fairfax")</f>
        <v>fairfax</v>
      </c>
    </row>
    <row r="24338">
      <c r="A24338" s="1" t="s">
        <v>24337</v>
      </c>
      <c r="B24338" s="2" t="str">
        <f>IFERROR(__xludf.DUMMYFUNCTION("GOOGLETRANSLATE(A24338, ""de"", ""en"")"),"bath")</f>
        <v>bath</v>
      </c>
    </row>
    <row r="24339">
      <c r="A24339" s="1" t="s">
        <v>24338</v>
      </c>
      <c r="B24339" s="2" t="str">
        <f>IFERROR(__xludf.DUMMYFUNCTION("GOOGLETRANSLATE(A24339, ""de"", ""en"")"),"report")</f>
        <v>report</v>
      </c>
    </row>
    <row r="24340">
      <c r="A24340" s="1" t="s">
        <v>24339</v>
      </c>
      <c r="B24340" s="2" t="str">
        <f>IFERROR(__xludf.DUMMYFUNCTION("GOOGLETRANSLATE(A24340, ""de"", ""en"")"),"asses")</f>
        <v>asses</v>
      </c>
    </row>
    <row r="24341">
      <c r="A24341" s="1" t="s">
        <v>24340</v>
      </c>
      <c r="B24341" s="2" t="str">
        <f>IFERROR(__xludf.DUMMYFUNCTION("GOOGLETRANSLATE(A24341, ""de"", ""en"")"),"chrissie")</f>
        <v>chrissie</v>
      </c>
    </row>
    <row r="24342">
      <c r="A24342" s="1" t="s">
        <v>24341</v>
      </c>
      <c r="B24342" s="2" t="str">
        <f>IFERROR(__xludf.DUMMYFUNCTION("GOOGLETRANSLATE(A24342, ""de"", ""en"")"),"refrain")</f>
        <v>refrain</v>
      </c>
    </row>
    <row r="24343">
      <c r="A24343" s="1" t="s">
        <v>24342</v>
      </c>
      <c r="B24343" s="2" t="str">
        <f>IFERROR(__xludf.DUMMYFUNCTION("GOOGLETRANSLATE(A24343, ""de"", ""en"")"),"oscars")</f>
        <v>oscars</v>
      </c>
    </row>
    <row r="24344">
      <c r="A24344" s="1" t="s">
        <v>24343</v>
      </c>
      <c r="B24344" s="2" t="str">
        <f>IFERROR(__xludf.DUMMYFUNCTION("GOOGLETRANSLATE(A24344, ""de"", ""en"")"),"tide")</f>
        <v>tide</v>
      </c>
    </row>
    <row r="24345">
      <c r="A24345" s="1" t="s">
        <v>24344</v>
      </c>
      <c r="B24345" s="2" t="str">
        <f>IFERROR(__xludf.DUMMYFUNCTION("GOOGLETRANSLATE(A24345, ""de"", ""en"")"),"nomination")</f>
        <v>nomination</v>
      </c>
    </row>
    <row r="24346">
      <c r="A24346" s="1" t="s">
        <v>24345</v>
      </c>
      <c r="B24346" s="2" t="str">
        <f>IFERROR(__xludf.DUMMYFUNCTION("GOOGLETRANSLATE(A24346, ""de"", ""en"")"),"bathes")</f>
        <v>bathes</v>
      </c>
    </row>
    <row r="24347">
      <c r="A24347" s="1" t="s">
        <v>24346</v>
      </c>
      <c r="B24347" s="2" t="str">
        <f>IFERROR(__xludf.DUMMYFUNCTION("GOOGLETRANSLATE(A24347, ""de"", ""en"")"),"undertake")</f>
        <v>undertake</v>
      </c>
    </row>
    <row r="24348">
      <c r="A24348" s="1" t="s">
        <v>24347</v>
      </c>
      <c r="B24348" s="2" t="str">
        <f>IFERROR(__xludf.DUMMYFUNCTION("GOOGLETRANSLATE(A24348, ""de"", ""en"")"),"more practical")</f>
        <v>more practical</v>
      </c>
    </row>
    <row r="24349">
      <c r="A24349" s="1" t="s">
        <v>24348</v>
      </c>
      <c r="B24349" s="2" t="str">
        <f>IFERROR(__xludf.DUMMYFUNCTION("GOOGLETRANSLATE(A24349, ""de"", ""en"")"),"buick")</f>
        <v>buick</v>
      </c>
    </row>
    <row r="24350">
      <c r="A24350" s="1" t="s">
        <v>24349</v>
      </c>
      <c r="B24350" s="2" t="str">
        <f>IFERROR(__xludf.DUMMYFUNCTION("GOOGLETRANSLATE(A24350, ""de"", ""en"")"),"eat up")</f>
        <v>eat up</v>
      </c>
    </row>
    <row r="24351">
      <c r="A24351" s="1" t="s">
        <v>24350</v>
      </c>
      <c r="B24351" s="2" t="str">
        <f>IFERROR(__xludf.DUMMYFUNCTION("GOOGLETRANSLATE(A24351, ""de"", ""en"")"),"dummy")</f>
        <v>dummy</v>
      </c>
    </row>
    <row r="24352">
      <c r="A24352" s="1" t="s">
        <v>24351</v>
      </c>
      <c r="B24352" s="2" t="str">
        <f>IFERROR(__xludf.DUMMYFUNCTION("GOOGLETRANSLATE(A24352, ""de"", ""en"")"),"weakens")</f>
        <v>weakens</v>
      </c>
    </row>
    <row r="24353">
      <c r="A24353" s="1" t="s">
        <v>24352</v>
      </c>
      <c r="B24353" s="2" t="str">
        <f>IFERROR(__xludf.DUMMYFUNCTION("GOOGLETRANSLATE(A24353, ""de"", ""en"")"),"pick up")</f>
        <v>pick up</v>
      </c>
    </row>
    <row r="24354">
      <c r="A24354" s="1" t="s">
        <v>24353</v>
      </c>
      <c r="B24354" s="2" t="str">
        <f>IFERROR(__xludf.DUMMYFUNCTION("GOOGLETRANSLATE(A24354, ""de"", ""en"")"),"more loving")</f>
        <v>more loving</v>
      </c>
    </row>
    <row r="24355">
      <c r="A24355" s="1" t="s">
        <v>24354</v>
      </c>
      <c r="B24355" s="2" t="str">
        <f>IFERROR(__xludf.DUMMYFUNCTION("GOOGLETRANSLATE(A24355, ""de"", ""en"")"),"ticks")</f>
        <v>ticks</v>
      </c>
    </row>
    <row r="24356">
      <c r="A24356" s="1" t="s">
        <v>24355</v>
      </c>
      <c r="B24356" s="2" t="str">
        <f>IFERROR(__xludf.DUMMYFUNCTION("GOOGLETRANSLATE(A24356, ""de"", ""en"")"),"shack")</f>
        <v>shack</v>
      </c>
    </row>
    <row r="24357">
      <c r="A24357" s="1" t="s">
        <v>24356</v>
      </c>
      <c r="B24357" s="2" t="str">
        <f>IFERROR(__xludf.DUMMYFUNCTION("GOOGLETRANSLATE(A24357, ""de"", ""en"")"),"return home")</f>
        <v>return home</v>
      </c>
    </row>
    <row r="24358">
      <c r="A24358" s="1" t="s">
        <v>24357</v>
      </c>
      <c r="B24358" s="2" t="str">
        <f>IFERROR(__xludf.DUMMYFUNCTION("GOOGLETRANSLATE(A24358, ""de"", ""en"")"),"lavender")</f>
        <v>lavender</v>
      </c>
    </row>
    <row r="24359">
      <c r="A24359" s="1" t="s">
        <v>24358</v>
      </c>
      <c r="B24359" s="2" t="str">
        <f>IFERROR(__xludf.DUMMYFUNCTION("GOOGLETRANSLATE(A24359, ""de"", ""en"")"),"kneel down")</f>
        <v>kneel down</v>
      </c>
    </row>
    <row r="24360">
      <c r="A24360" s="1" t="s">
        <v>24359</v>
      </c>
      <c r="B24360" s="2" t="str">
        <f>IFERROR(__xludf.DUMMYFUNCTION("GOOGLETRANSLATE(A24360, ""de"", ""en"")"),"musical")</f>
        <v>musical</v>
      </c>
    </row>
    <row r="24361">
      <c r="A24361" s="1" t="s">
        <v>24360</v>
      </c>
      <c r="B24361" s="2" t="str">
        <f>IFERROR(__xludf.DUMMYFUNCTION("GOOGLETRANSLATE(A24361, ""de"", ""en"")"),"postpone")</f>
        <v>postpone</v>
      </c>
    </row>
    <row r="24362">
      <c r="A24362" s="1" t="s">
        <v>24361</v>
      </c>
      <c r="B24362" s="2" t="str">
        <f>IFERROR(__xludf.DUMMYFUNCTION("GOOGLETRANSLATE(A24362, ""de"", ""en"")"),"natalia")</f>
        <v>natalia</v>
      </c>
    </row>
    <row r="24363">
      <c r="A24363" s="1" t="s">
        <v>24362</v>
      </c>
      <c r="B24363" s="2" t="str">
        <f>IFERROR(__xludf.DUMMYFUNCTION("GOOGLETRANSLATE(A24363, ""de"", ""en"")"),"you wonder")</f>
        <v>you wonder</v>
      </c>
    </row>
    <row r="24364">
      <c r="A24364" s="1" t="s">
        <v>24363</v>
      </c>
      <c r="B24364" s="2" t="str">
        <f>IFERROR(__xludf.DUMMYFUNCTION("GOOGLETRANSLATE(A24364, ""de"", ""en"")"),"beast")</f>
        <v>beast</v>
      </c>
    </row>
    <row r="24365">
      <c r="A24365" s="1" t="s">
        <v>24364</v>
      </c>
      <c r="B24365" s="2" t="str">
        <f>IFERROR(__xludf.DUMMYFUNCTION("GOOGLETRANSLATE(A24365, ""de"", ""en"")"),"flamethrower")</f>
        <v>flamethrower</v>
      </c>
    </row>
    <row r="24366">
      <c r="A24366" s="1" t="s">
        <v>24365</v>
      </c>
      <c r="B24366" s="2" t="str">
        <f>IFERROR(__xludf.DUMMYFUNCTION("GOOGLETRANSLATE(A24366, ""de"", ""en"")"),"human flesh")</f>
        <v>human flesh</v>
      </c>
    </row>
    <row r="24367">
      <c r="A24367" s="1" t="s">
        <v>24366</v>
      </c>
      <c r="B24367" s="2" t="str">
        <f>IFERROR(__xludf.DUMMYFUNCTION("GOOGLETRANSLATE(A24367, ""de"", ""en"")"),"larissa")</f>
        <v>larissa</v>
      </c>
    </row>
    <row r="24368">
      <c r="A24368" s="1" t="s">
        <v>24367</v>
      </c>
      <c r="B24368" s="2" t="str">
        <f>IFERROR(__xludf.DUMMYFUNCTION("GOOGLETRANSLATE(A24368, ""de"", ""en"")"),"run for office")</f>
        <v>run for office</v>
      </c>
    </row>
    <row r="24369">
      <c r="A24369" s="1" t="s">
        <v>24368</v>
      </c>
      <c r="B24369" s="2" t="str">
        <f>IFERROR(__xludf.DUMMYFUNCTION("GOOGLETRANSLATE(A24369, ""de"", ""en"")"),"write")</f>
        <v>write</v>
      </c>
    </row>
    <row r="24370">
      <c r="A24370" s="1" t="s">
        <v>24369</v>
      </c>
      <c r="B24370" s="2" t="str">
        <f>IFERROR(__xludf.DUMMYFUNCTION("GOOGLETRANSLATE(A24370, ""de"", ""en"")"),"agha")</f>
        <v>agha</v>
      </c>
    </row>
    <row r="24371">
      <c r="A24371" s="1" t="s">
        <v>24370</v>
      </c>
      <c r="B24371" s="2" t="str">
        <f>IFERROR(__xludf.DUMMYFUNCTION("GOOGLETRANSLATE(A24371, ""de"", ""en"")"),"sadist")</f>
        <v>sadist</v>
      </c>
    </row>
    <row r="24372">
      <c r="A24372" s="1" t="s">
        <v>24371</v>
      </c>
      <c r="B24372" s="2" t="str">
        <f>IFERROR(__xludf.DUMMYFUNCTION("GOOGLETRANSLATE(A24372, ""de"", ""en"")"),"brakes")</f>
        <v>brakes</v>
      </c>
    </row>
    <row r="24373">
      <c r="A24373" s="1" t="s">
        <v>24372</v>
      </c>
      <c r="B24373" s="2" t="str">
        <f>IFERROR(__xludf.DUMMYFUNCTION("GOOGLETRANSLATE(A24373, ""de"", ""en"")"),"printing company")</f>
        <v>printing company</v>
      </c>
    </row>
    <row r="24374">
      <c r="A24374" s="1" t="s">
        <v>24373</v>
      </c>
      <c r="B24374" s="2" t="str">
        <f>IFERROR(__xludf.DUMMYFUNCTION("GOOGLETRANSLATE(A24374, ""de"", ""en"")"),"carefree")</f>
        <v>carefree</v>
      </c>
    </row>
    <row r="24375">
      <c r="A24375" s="1" t="s">
        <v>24374</v>
      </c>
      <c r="B24375" s="2" t="str">
        <f>IFERROR(__xludf.DUMMYFUNCTION("GOOGLETRANSLATE(A24375, ""de"", ""en"")"),"to cheer up")</f>
        <v>to cheer up</v>
      </c>
    </row>
    <row r="24376">
      <c r="A24376" s="1" t="s">
        <v>24375</v>
      </c>
      <c r="B24376" s="2" t="str">
        <f>IFERROR(__xludf.DUMMYFUNCTION("GOOGLETRANSLATE(A24376, ""de"", ""en"")"),"emergency")</f>
        <v>emergency</v>
      </c>
    </row>
    <row r="24377">
      <c r="A24377" s="1" t="s">
        <v>24376</v>
      </c>
      <c r="B24377" s="2" t="str">
        <f>IFERROR(__xludf.DUMMYFUNCTION("GOOGLETRANSLATE(A24377, ""de"", ""en"")"),"eve")</f>
        <v>eve</v>
      </c>
    </row>
    <row r="24378">
      <c r="A24378" s="1" t="s">
        <v>24377</v>
      </c>
      <c r="B24378" s="2" t="str">
        <f>IFERROR(__xludf.DUMMYFUNCTION("GOOGLETRANSLATE(A24378, ""de"", ""en"")"),"more nervous")</f>
        <v>more nervous</v>
      </c>
    </row>
    <row r="24379">
      <c r="A24379" s="1" t="s">
        <v>24378</v>
      </c>
      <c r="B24379" s="2" t="str">
        <f>IFERROR(__xludf.DUMMYFUNCTION("GOOGLETRANSLATE(A24379, ""de"", ""en"")"),"dalek")</f>
        <v>dalek</v>
      </c>
    </row>
    <row r="24380">
      <c r="A24380" s="1" t="s">
        <v>24379</v>
      </c>
      <c r="B24380" s="2" t="str">
        <f>IFERROR(__xludf.DUMMYFUNCTION("GOOGLETRANSLATE(A24380, ""de"", ""en"")"),"belly button")</f>
        <v>belly button</v>
      </c>
    </row>
    <row r="24381">
      <c r="A24381" s="1" t="s">
        <v>24380</v>
      </c>
      <c r="B24381" s="2" t="str">
        <f>IFERROR(__xludf.DUMMYFUNCTION("GOOGLETRANSLATE(A24381, ""de"", ""en"")"),"brave")</f>
        <v>brave</v>
      </c>
    </row>
    <row r="24382">
      <c r="A24382" s="1" t="s">
        <v>24381</v>
      </c>
      <c r="B24382" s="2" t="str">
        <f>IFERROR(__xludf.DUMMYFUNCTION("GOOGLETRANSLATE(A24382, ""de"", ""en"")"),"purcell")</f>
        <v>purcell</v>
      </c>
    </row>
    <row r="24383">
      <c r="A24383" s="1" t="s">
        <v>24382</v>
      </c>
      <c r="B24383" s="2" t="str">
        <f>IFERROR(__xludf.DUMMYFUNCTION("GOOGLETRANSLATE(A24383, ""de"", ""en"")"),"altman")</f>
        <v>altman</v>
      </c>
    </row>
    <row r="24384">
      <c r="A24384" s="1" t="s">
        <v>24383</v>
      </c>
      <c r="B24384" s="2" t="str">
        <f>IFERROR(__xludf.DUMMYFUNCTION("GOOGLETRANSLATE(A24384, ""de"", ""en"")"),"professors")</f>
        <v>professors</v>
      </c>
    </row>
    <row r="24385">
      <c r="A24385" s="1" t="s">
        <v>24384</v>
      </c>
      <c r="B24385" s="2" t="str">
        <f>IFERROR(__xludf.DUMMYFUNCTION("GOOGLETRANSLATE(A24385, ""de"", ""en"")"),"to cancel")</f>
        <v>to cancel</v>
      </c>
    </row>
    <row r="24386">
      <c r="A24386" s="1" t="s">
        <v>24385</v>
      </c>
      <c r="B24386" s="2" t="str">
        <f>IFERROR(__xludf.DUMMYFUNCTION("GOOGLETRANSLATE(A24386, ""de"", ""en"")"),"instagram")</f>
        <v>instagram</v>
      </c>
    </row>
    <row r="24387">
      <c r="A24387" s="1" t="s">
        <v>24386</v>
      </c>
      <c r="B24387" s="2" t="str">
        <f>IFERROR(__xludf.DUMMYFUNCTION("GOOGLETRANSLATE(A24387, ""de"", ""en"")"),"landline")</f>
        <v>landline</v>
      </c>
    </row>
    <row r="24388">
      <c r="A24388" s="1" t="s">
        <v>24387</v>
      </c>
      <c r="B24388" s="2" t="str">
        <f>IFERROR(__xludf.DUMMYFUNCTION("GOOGLETRANSLATE(A24388, ""de"", ""en"")"),"glasses")</f>
        <v>glasses</v>
      </c>
    </row>
    <row r="24389">
      <c r="A24389" s="1" t="s">
        <v>24388</v>
      </c>
      <c r="B24389" s="2" t="str">
        <f>IFERROR(__xludf.DUMMYFUNCTION("GOOGLETRANSLATE(A24389, ""de"", ""en"")"),"count")</f>
        <v>count</v>
      </c>
    </row>
    <row r="24390">
      <c r="A24390" s="1" t="s">
        <v>24389</v>
      </c>
      <c r="B24390" s="2" t="str">
        <f>IFERROR(__xludf.DUMMYFUNCTION("GOOGLETRANSLATE(A24390, ""de"", ""en"")"),"alimony")</f>
        <v>alimony</v>
      </c>
    </row>
    <row r="24391">
      <c r="A24391" s="1" t="s">
        <v>24390</v>
      </c>
      <c r="B24391" s="2" t="str">
        <f>IFERROR(__xludf.DUMMYFUNCTION("GOOGLETRANSLATE(A24391, ""de"", ""en"")"),"checkbook")</f>
        <v>checkbook</v>
      </c>
    </row>
    <row r="24392">
      <c r="A24392" s="1" t="s">
        <v>24391</v>
      </c>
      <c r="B24392" s="2" t="str">
        <f>IFERROR(__xludf.DUMMYFUNCTION("GOOGLETRANSLATE(A24392, ""de"", ""en"")"),"wren")</f>
        <v>wren</v>
      </c>
    </row>
    <row r="24393">
      <c r="A24393" s="1" t="s">
        <v>24392</v>
      </c>
      <c r="B24393" s="2" t="str">
        <f>IFERROR(__xludf.DUMMYFUNCTION("GOOGLETRANSLATE(A24393, ""de"", ""en"")"),"abracadabra")</f>
        <v>abracadabra</v>
      </c>
    </row>
    <row r="24394">
      <c r="A24394" s="1" t="s">
        <v>24393</v>
      </c>
      <c r="B24394" s="2" t="str">
        <f>IFERROR(__xludf.DUMMYFUNCTION("GOOGLETRANSLATE(A24394, ""de"", ""en"")"),"more precise")</f>
        <v>more precise</v>
      </c>
    </row>
    <row r="24395">
      <c r="A24395" s="1" t="s">
        <v>24394</v>
      </c>
      <c r="B24395" s="2" t="str">
        <f>IFERROR(__xludf.DUMMYFUNCTION("GOOGLETRANSLATE(A24395, ""de"", ""en"")"),"upon")</f>
        <v>upon</v>
      </c>
    </row>
    <row r="24396">
      <c r="A24396" s="1" t="s">
        <v>24395</v>
      </c>
      <c r="B24396" s="2" t="str">
        <f>IFERROR(__xludf.DUMMYFUNCTION("GOOGLETRANSLATE(A24396, ""de"", ""en"")"),"pathogen")</f>
        <v>pathogen</v>
      </c>
    </row>
    <row r="24397">
      <c r="A24397" s="1" t="s">
        <v>24396</v>
      </c>
      <c r="B24397" s="2" t="str">
        <f>IFERROR(__xludf.DUMMYFUNCTION("GOOGLETRANSLATE(A24397, ""de"", ""en"")"),"trombone")</f>
        <v>trombone</v>
      </c>
    </row>
    <row r="24398">
      <c r="A24398" s="1" t="s">
        <v>24397</v>
      </c>
      <c r="B24398" s="2" t="str">
        <f>IFERROR(__xludf.DUMMYFUNCTION("GOOGLETRANSLATE(A24398, ""de"", ""en"")"),"limp")</f>
        <v>limp</v>
      </c>
    </row>
    <row r="24399">
      <c r="A24399" s="1" t="s">
        <v>24398</v>
      </c>
      <c r="B24399" s="2" t="str">
        <f>IFERROR(__xludf.DUMMYFUNCTION("GOOGLETRANSLATE(A24399, ""de"", ""en"")"),"submerged")</f>
        <v>submerged</v>
      </c>
    </row>
    <row r="24400">
      <c r="A24400" s="1" t="s">
        <v>24399</v>
      </c>
      <c r="B24400" s="2" t="str">
        <f>IFERROR(__xludf.DUMMYFUNCTION("GOOGLETRANSLATE(A24400, ""de"", ""en"")"),"careers")</f>
        <v>careers</v>
      </c>
    </row>
    <row r="24401">
      <c r="A24401" s="1" t="s">
        <v>24400</v>
      </c>
      <c r="B24401" s="2" t="str">
        <f>IFERROR(__xludf.DUMMYFUNCTION("GOOGLETRANSLATE(A24401, ""de"", ""en"")"),"first available")</f>
        <v>first available</v>
      </c>
    </row>
    <row r="24402">
      <c r="A24402" s="1" t="s">
        <v>24401</v>
      </c>
      <c r="B24402" s="2" t="str">
        <f>IFERROR(__xludf.DUMMYFUNCTION("GOOGLETRANSLATE(A24402, ""de"", ""en"")"),"had on")</f>
        <v>had on</v>
      </c>
    </row>
    <row r="24403">
      <c r="A24403" s="1" t="s">
        <v>24402</v>
      </c>
      <c r="B24403" s="2" t="str">
        <f>IFERROR(__xludf.DUMMYFUNCTION("GOOGLETRANSLATE(A24403, ""de"", ""en"")"),"hothead")</f>
        <v>hothead</v>
      </c>
    </row>
    <row r="24404">
      <c r="A24404" s="1" t="s">
        <v>24403</v>
      </c>
      <c r="B24404" s="2" t="str">
        <f>IFERROR(__xludf.DUMMYFUNCTION("GOOGLETRANSLATE(A24404, ""de"", ""en"")"),"quarrel")</f>
        <v>quarrel</v>
      </c>
    </row>
    <row r="24405">
      <c r="A24405" s="1" t="s">
        <v>24404</v>
      </c>
      <c r="B24405" s="2" t="str">
        <f>IFERROR(__xludf.DUMMYFUNCTION("GOOGLETRANSLATE(A24405, ""de"", ""en"")"),"working class")</f>
        <v>working class</v>
      </c>
    </row>
    <row r="24406">
      <c r="A24406" s="1" t="s">
        <v>24405</v>
      </c>
      <c r="B24406" s="2" t="str">
        <f>IFERROR(__xludf.DUMMYFUNCTION("GOOGLETRANSLATE(A24406, ""de"", ""en"")"),"miserly")</f>
        <v>miserly</v>
      </c>
    </row>
    <row r="24407">
      <c r="A24407" s="1" t="s">
        <v>24406</v>
      </c>
      <c r="B24407" s="2" t="str">
        <f>IFERROR(__xludf.DUMMYFUNCTION("GOOGLETRANSLATE(A24407, ""de"", ""en"")"),"north side")</f>
        <v>north side</v>
      </c>
    </row>
    <row r="24408">
      <c r="A24408" s="1" t="s">
        <v>24407</v>
      </c>
      <c r="B24408" s="2" t="str">
        <f>IFERROR(__xludf.DUMMYFUNCTION("GOOGLETRANSLATE(A24408, ""de"", ""en"")"),"caught")</f>
        <v>caught</v>
      </c>
    </row>
    <row r="24409">
      <c r="A24409" s="1" t="s">
        <v>24408</v>
      </c>
      <c r="B24409" s="2" t="str">
        <f>IFERROR(__xludf.DUMMYFUNCTION("GOOGLETRANSLATE(A24409, ""de"", ""en"")"),"rorys")</f>
        <v>rorys</v>
      </c>
    </row>
    <row r="24410">
      <c r="A24410" s="1" t="s">
        <v>24409</v>
      </c>
      <c r="B24410" s="2" t="str">
        <f>IFERROR(__xludf.DUMMYFUNCTION("GOOGLETRANSLATE(A24410, ""de"", ""en"")"),"governess")</f>
        <v>governess</v>
      </c>
    </row>
    <row r="24411">
      <c r="A24411" s="1" t="s">
        <v>24410</v>
      </c>
      <c r="B24411" s="2" t="str">
        <f>IFERROR(__xludf.DUMMYFUNCTION("GOOGLETRANSLATE(A24411, ""de"", ""en"")"),"malloy")</f>
        <v>malloy</v>
      </c>
    </row>
    <row r="24412">
      <c r="A24412" s="1" t="s">
        <v>24411</v>
      </c>
      <c r="B24412" s="2" t="str">
        <f>IFERROR(__xludf.DUMMYFUNCTION("GOOGLETRANSLATE(A24412, ""de"", ""en"")"),"hand grenade")</f>
        <v>hand grenade</v>
      </c>
    </row>
    <row r="24413">
      <c r="A24413" s="1" t="s">
        <v>24412</v>
      </c>
      <c r="B24413" s="2" t="str">
        <f>IFERROR(__xludf.DUMMYFUNCTION("GOOGLETRANSLATE(A24413, ""de"", ""en"")"),"to discontinue")</f>
        <v>to discontinue</v>
      </c>
    </row>
    <row r="24414">
      <c r="A24414" s="1" t="s">
        <v>24413</v>
      </c>
      <c r="B24414" s="2" t="str">
        <f>IFERROR(__xludf.DUMMYFUNCTION("GOOGLETRANSLATE(A24414, ""de"", ""en"")"),"manticore")</f>
        <v>manticore</v>
      </c>
    </row>
    <row r="24415">
      <c r="A24415" s="1" t="s">
        <v>24414</v>
      </c>
      <c r="B24415" s="2" t="str">
        <f>IFERROR(__xludf.DUMMYFUNCTION("GOOGLETRANSLATE(A24415, ""de"", ""en"")"),"magnetic")</f>
        <v>magnetic</v>
      </c>
    </row>
    <row r="24416">
      <c r="A24416" s="1" t="s">
        <v>24415</v>
      </c>
      <c r="B24416" s="2" t="str">
        <f>IFERROR(__xludf.DUMMYFUNCTION("GOOGLETRANSLATE(A24416, ""de"", ""en"")"),"license plates")</f>
        <v>license plates</v>
      </c>
    </row>
    <row r="24417">
      <c r="A24417" s="1" t="s">
        <v>24416</v>
      </c>
      <c r="B24417" s="2" t="str">
        <f>IFERROR(__xludf.DUMMYFUNCTION("GOOGLETRANSLATE(A24417, ""de"", ""en"")"),"invaded")</f>
        <v>invaded</v>
      </c>
    </row>
    <row r="24418">
      <c r="A24418" s="1" t="s">
        <v>24417</v>
      </c>
      <c r="B24418" s="2" t="str">
        <f>IFERROR(__xludf.DUMMYFUNCTION("GOOGLETRANSLATE(A24418, ""de"", ""en"")"),"Salvation Army")</f>
        <v>Salvation Army</v>
      </c>
    </row>
    <row r="24419">
      <c r="A24419" s="1" t="s">
        <v>24418</v>
      </c>
      <c r="B24419" s="2" t="str">
        <f>IFERROR(__xludf.DUMMYFUNCTION("GOOGLETRANSLATE(A24419, ""de"", ""en"")"),"rinses")</f>
        <v>rinses</v>
      </c>
    </row>
    <row r="24420">
      <c r="A24420" s="1" t="s">
        <v>24419</v>
      </c>
      <c r="B24420" s="2" t="str">
        <f>IFERROR(__xludf.DUMMYFUNCTION("GOOGLETRANSLATE(A24420, ""de"", ""en"")"),"address")</f>
        <v>address</v>
      </c>
    </row>
    <row r="24421">
      <c r="A24421" s="1" t="s">
        <v>24420</v>
      </c>
      <c r="B24421" s="2" t="str">
        <f>IFERROR(__xludf.DUMMYFUNCTION("GOOGLETRANSLATE(A24421, ""de"", ""en"")"),"fragments")</f>
        <v>fragments</v>
      </c>
    </row>
    <row r="24422">
      <c r="A24422" s="1" t="s">
        <v>24421</v>
      </c>
      <c r="B24422" s="2" t="str">
        <f>IFERROR(__xludf.DUMMYFUNCTION("GOOGLETRANSLATE(A24422, ""de"", ""en"")"),"addressed")</f>
        <v>addressed</v>
      </c>
    </row>
    <row r="24423">
      <c r="A24423" s="1" t="s">
        <v>24422</v>
      </c>
      <c r="B24423" s="2" t="str">
        <f>IFERROR(__xludf.DUMMYFUNCTION("GOOGLETRANSLATE(A24423, ""de"", ""en"")"),"fantomas")</f>
        <v>fantomas</v>
      </c>
    </row>
    <row r="24424">
      <c r="A24424" s="1" t="s">
        <v>24423</v>
      </c>
      <c r="B24424" s="2" t="str">
        <f>IFERROR(__xludf.DUMMYFUNCTION("GOOGLETRANSLATE(A24424, ""de"", ""en"")"),"protests")</f>
        <v>protests</v>
      </c>
    </row>
    <row r="24425">
      <c r="A24425" s="1" t="s">
        <v>24424</v>
      </c>
      <c r="B24425" s="2" t="str">
        <f>IFERROR(__xludf.DUMMYFUNCTION("GOOGLETRANSLATE(A24425, ""de"", ""en"")"),"left behind")</f>
        <v>left behind</v>
      </c>
    </row>
    <row r="24426">
      <c r="A24426" s="1" t="s">
        <v>24425</v>
      </c>
      <c r="B24426" s="2" t="str">
        <f>IFERROR(__xludf.DUMMYFUNCTION("GOOGLETRANSLATE(A24426, ""de"", ""en"")"),"shaft")</f>
        <v>shaft</v>
      </c>
    </row>
    <row r="24427">
      <c r="A24427" s="1" t="s">
        <v>24426</v>
      </c>
      <c r="B24427" s="2" t="str">
        <f>IFERROR(__xludf.DUMMYFUNCTION("GOOGLETRANSLATE(A24427, ""de"", ""en"")"),"generous")</f>
        <v>generous</v>
      </c>
    </row>
    <row r="24428">
      <c r="A24428" s="1" t="s">
        <v>24427</v>
      </c>
      <c r="B24428" s="2" t="str">
        <f>IFERROR(__xludf.DUMMYFUNCTION("GOOGLETRANSLATE(A24428, ""de"", ""en"")"),"caused")</f>
        <v>caused</v>
      </c>
    </row>
    <row r="24429">
      <c r="A24429" s="1" t="s">
        <v>24428</v>
      </c>
      <c r="B24429" s="2" t="str">
        <f>IFERROR(__xludf.DUMMYFUNCTION("GOOGLETRANSLATE(A24429, ""de"", ""en"")"),"stature")</f>
        <v>stature</v>
      </c>
    </row>
    <row r="24430">
      <c r="A24430" s="1" t="s">
        <v>24429</v>
      </c>
      <c r="B24430" s="2" t="str">
        <f>IFERROR(__xludf.DUMMYFUNCTION("GOOGLETRANSLATE(A24430, ""de"", ""en"")"),"walkie talkie")</f>
        <v>walkie talkie</v>
      </c>
    </row>
    <row r="24431">
      <c r="A24431" s="1" t="s">
        <v>24430</v>
      </c>
      <c r="B24431" s="2" t="str">
        <f>IFERROR(__xludf.DUMMYFUNCTION("GOOGLETRANSLATE(A24431, ""de"", ""en"")"),"lima")</f>
        <v>lima</v>
      </c>
    </row>
    <row r="24432">
      <c r="A24432" s="1" t="s">
        <v>24431</v>
      </c>
      <c r="B24432" s="2" t="str">
        <f>IFERROR(__xludf.DUMMYFUNCTION("GOOGLETRANSLATE(A24432, ""de"", ""en"")"),"crosby")</f>
        <v>crosby</v>
      </c>
    </row>
    <row r="24433">
      <c r="A24433" s="1" t="s">
        <v>24432</v>
      </c>
      <c r="B24433" s="2" t="str">
        <f>IFERROR(__xludf.DUMMYFUNCTION("GOOGLETRANSLATE(A24433, ""de"", ""en"")"),"whit")</f>
        <v>whit</v>
      </c>
    </row>
    <row r="24434">
      <c r="A24434" s="1" t="s">
        <v>24433</v>
      </c>
      <c r="B24434" s="2" t="str">
        <f>IFERROR(__xludf.DUMMYFUNCTION("GOOGLETRANSLATE(A24434, ""de"", ""en"")"),"multiple")</f>
        <v>multiple</v>
      </c>
    </row>
    <row r="24435">
      <c r="A24435" s="1" t="s">
        <v>24434</v>
      </c>
      <c r="B24435" s="2" t="str">
        <f>IFERROR(__xludf.DUMMYFUNCTION("GOOGLETRANSLATE(A24435, ""de"", ""en"")"),"fall down")</f>
        <v>fall down</v>
      </c>
    </row>
    <row r="24436">
      <c r="A24436" s="1" t="s">
        <v>24435</v>
      </c>
      <c r="B24436" s="2" t="str">
        <f>IFERROR(__xludf.DUMMYFUNCTION("GOOGLETRANSLATE(A24436, ""de"", ""en"")"),"radioactive")</f>
        <v>radioactive</v>
      </c>
    </row>
    <row r="24437">
      <c r="A24437" s="1" t="s">
        <v>24436</v>
      </c>
      <c r="B24437" s="2" t="str">
        <f>IFERROR(__xludf.DUMMYFUNCTION("GOOGLETRANSLATE(A24437, ""de"", ""en"")"),"gain weight")</f>
        <v>gain weight</v>
      </c>
    </row>
    <row r="24438">
      <c r="A24438" s="1" t="s">
        <v>24437</v>
      </c>
      <c r="B24438" s="2" t="str">
        <f>IFERROR(__xludf.DUMMYFUNCTION("GOOGLETRANSLATE(A24438, ""de"", ""en"")"),"Beate")</f>
        <v>Beate</v>
      </c>
    </row>
    <row r="24439">
      <c r="A24439" s="1" t="s">
        <v>24438</v>
      </c>
      <c r="B24439" s="2" t="str">
        <f>IFERROR(__xludf.DUMMYFUNCTION("GOOGLETRANSLATE(A24439, ""de"", ""en"")"),"court date")</f>
        <v>court date</v>
      </c>
    </row>
    <row r="24440">
      <c r="A24440" s="1" t="s">
        <v>24439</v>
      </c>
      <c r="B24440" s="2" t="str">
        <f>IFERROR(__xludf.DUMMYFUNCTION("GOOGLETRANSLATE(A24440, ""de"", ""en"")"),"acid")</f>
        <v>acid</v>
      </c>
    </row>
    <row r="24441">
      <c r="A24441" s="1" t="s">
        <v>24440</v>
      </c>
      <c r="B24441" s="2" t="str">
        <f>IFERROR(__xludf.DUMMYFUNCTION("GOOGLETRANSLATE(A24441, ""de"", ""en"")"),"kristin")</f>
        <v>kristin</v>
      </c>
    </row>
    <row r="24442">
      <c r="A24442" s="1" t="s">
        <v>24441</v>
      </c>
      <c r="B24442" s="2" t="str">
        <f>IFERROR(__xludf.DUMMYFUNCTION("GOOGLETRANSLATE(A24442, ""de"", ""en"")"),"return")</f>
        <v>return</v>
      </c>
    </row>
    <row r="24443">
      <c r="A24443" s="1" t="s">
        <v>24442</v>
      </c>
      <c r="B24443" s="2" t="str">
        <f>IFERROR(__xludf.DUMMYFUNCTION("GOOGLETRANSLATE(A24443, ""de"", ""en"")"),"defensive")</f>
        <v>defensive</v>
      </c>
    </row>
    <row r="24444">
      <c r="A24444" s="1" t="s">
        <v>24443</v>
      </c>
      <c r="B24444" s="2" t="str">
        <f>IFERROR(__xludf.DUMMYFUNCTION("GOOGLETRANSLATE(A24444, ""de"", ""en"")"),"androids")</f>
        <v>androids</v>
      </c>
    </row>
    <row r="24445">
      <c r="A24445" s="1" t="s">
        <v>24444</v>
      </c>
      <c r="B24445" s="2" t="str">
        <f>IFERROR(__xludf.DUMMYFUNCTION("GOOGLETRANSLATE(A24445, ""de"", ""en"")"),"in front of each other")</f>
        <v>in front of each other</v>
      </c>
    </row>
    <row r="24446">
      <c r="A24446" s="1" t="s">
        <v>24445</v>
      </c>
      <c r="B24446" s="2" t="str">
        <f>IFERROR(__xludf.DUMMYFUNCTION("GOOGLETRANSLATE(A24446, ""de"", ""en"")"),"Virginia")</f>
        <v>Virginia</v>
      </c>
    </row>
    <row r="24447">
      <c r="A24447" s="1" t="s">
        <v>24446</v>
      </c>
      <c r="B24447" s="2" t="str">
        <f>IFERROR(__xludf.DUMMYFUNCTION("GOOGLETRANSLATE(A24447, ""de"", ""en"")"),"conversion")</f>
        <v>conversion</v>
      </c>
    </row>
    <row r="24448">
      <c r="A24448" s="1" t="s">
        <v>24447</v>
      </c>
      <c r="B24448" s="2" t="str">
        <f>IFERROR(__xludf.DUMMYFUNCTION("GOOGLETRANSLATE(A24448, ""de"", ""en"")"),"dedicated")</f>
        <v>dedicated</v>
      </c>
    </row>
    <row r="24449">
      <c r="A24449" s="1" t="s">
        <v>24448</v>
      </c>
      <c r="B24449" s="2" t="str">
        <f>IFERROR(__xludf.DUMMYFUNCTION("GOOGLETRANSLATE(A24449, ""de"", ""en"")"),"metier")</f>
        <v>metier</v>
      </c>
    </row>
    <row r="24450">
      <c r="A24450" s="1" t="s">
        <v>24449</v>
      </c>
      <c r="B24450" s="2" t="str">
        <f>IFERROR(__xludf.DUMMYFUNCTION("GOOGLETRANSLATE(A24450, ""de"", ""en"")"),"lacrosse")</f>
        <v>lacrosse</v>
      </c>
    </row>
    <row r="24451">
      <c r="A24451" s="1" t="s">
        <v>24450</v>
      </c>
      <c r="B24451" s="2" t="str">
        <f>IFERROR(__xludf.DUMMYFUNCTION("GOOGLETRANSLATE(A24451, ""de"", ""en"")"),"dalia")</f>
        <v>dalia</v>
      </c>
    </row>
    <row r="24452">
      <c r="A24452" s="1" t="s">
        <v>24451</v>
      </c>
      <c r="B24452" s="2" t="str">
        <f>IFERROR(__xludf.DUMMYFUNCTION("GOOGLETRANSLATE(A24452, ""de"", ""en"")"),"closer")</f>
        <v>closer</v>
      </c>
    </row>
    <row r="24453">
      <c r="A24453" s="1" t="s">
        <v>24452</v>
      </c>
      <c r="B24453" s="2" t="str">
        <f>IFERROR(__xludf.DUMMYFUNCTION("GOOGLETRANSLATE(A24453, ""de"", ""en"")"),"fortune")</f>
        <v>fortune</v>
      </c>
    </row>
    <row r="24454">
      <c r="A24454" s="1" t="s">
        <v>24453</v>
      </c>
      <c r="B24454" s="2" t="str">
        <f>IFERROR(__xludf.DUMMYFUNCTION("GOOGLETRANSLATE(A24454, ""de"", ""en"")"),"brando")</f>
        <v>brando</v>
      </c>
    </row>
    <row r="24455">
      <c r="A24455" s="1" t="s">
        <v>24454</v>
      </c>
      <c r="B24455" s="2" t="str">
        <f>IFERROR(__xludf.DUMMYFUNCTION("GOOGLETRANSLATE(A24455, ""de"", ""en"")"),"dictate")</f>
        <v>dictate</v>
      </c>
    </row>
    <row r="24456">
      <c r="A24456" s="1" t="s">
        <v>24455</v>
      </c>
      <c r="B24456" s="2" t="str">
        <f>IFERROR(__xludf.DUMMYFUNCTION("GOOGLETRANSLATE(A24456, ""de"", ""en"")"),"resistance")</f>
        <v>resistance</v>
      </c>
    </row>
    <row r="24457">
      <c r="A24457" s="1" t="s">
        <v>24456</v>
      </c>
      <c r="B24457" s="2" t="str">
        <f>IFERROR(__xludf.DUMMYFUNCTION("GOOGLETRANSLATE(A24457, ""de"", ""en"")"),"hedgehog")</f>
        <v>hedgehog</v>
      </c>
    </row>
    <row r="24458">
      <c r="A24458" s="1" t="s">
        <v>24457</v>
      </c>
      <c r="B24458" s="2" t="str">
        <f>IFERROR(__xludf.DUMMYFUNCTION("GOOGLETRANSLATE(A24458, ""de"", ""en"")"),"exemplary")</f>
        <v>exemplary</v>
      </c>
    </row>
    <row r="24459">
      <c r="A24459" s="1" t="s">
        <v>24458</v>
      </c>
      <c r="B24459" s="2" t="str">
        <f>IFERROR(__xludf.DUMMYFUNCTION("GOOGLETRANSLATE(A24459, ""de"", ""en"")"),"quincy")</f>
        <v>quincy</v>
      </c>
    </row>
    <row r="24460">
      <c r="A24460" s="1" t="s">
        <v>24459</v>
      </c>
      <c r="B24460" s="2" t="str">
        <f>IFERROR(__xludf.DUMMYFUNCTION("GOOGLETRANSLATE(A24460, ""de"", ""en"")"),"rawls")</f>
        <v>rawls</v>
      </c>
    </row>
    <row r="24461">
      <c r="A24461" s="1" t="s">
        <v>24460</v>
      </c>
      <c r="B24461" s="2" t="str">
        <f>IFERROR(__xludf.DUMMYFUNCTION("GOOGLETRANSLATE(A24461, ""de"", ""en"")"),"sounds of battle")</f>
        <v>sounds of battle</v>
      </c>
    </row>
    <row r="24462">
      <c r="A24462" s="1" t="s">
        <v>24461</v>
      </c>
      <c r="B24462" s="2" t="str">
        <f>IFERROR(__xludf.DUMMYFUNCTION("GOOGLETRANSLATE(A24462, ""de"", ""en"")"),"smash")</f>
        <v>smash</v>
      </c>
    </row>
    <row r="24463">
      <c r="A24463" s="1" t="s">
        <v>24462</v>
      </c>
      <c r="B24463" s="2" t="str">
        <f>IFERROR(__xludf.DUMMYFUNCTION("GOOGLETRANSLATE(A24463, ""de"", ""en"")"),"refuse")</f>
        <v>refuse</v>
      </c>
    </row>
    <row r="24464">
      <c r="A24464" s="1" t="s">
        <v>24463</v>
      </c>
      <c r="B24464" s="2" t="str">
        <f>IFERROR(__xludf.DUMMYFUNCTION("GOOGLETRANSLATE(A24464, ""de"", ""en"")"),"supported")</f>
        <v>supported</v>
      </c>
    </row>
    <row r="24465">
      <c r="A24465" s="1" t="s">
        <v>24464</v>
      </c>
      <c r="B24465" s="2" t="str">
        <f>IFERROR(__xludf.DUMMYFUNCTION("GOOGLETRANSLATE(A24465, ""de"", ""en"")"),"Adelaide")</f>
        <v>Adelaide</v>
      </c>
    </row>
    <row r="24466">
      <c r="A24466" s="1" t="s">
        <v>24465</v>
      </c>
      <c r="B24466" s="2" t="str">
        <f>IFERROR(__xludf.DUMMYFUNCTION("GOOGLETRANSLATE(A24466, ""de"", ""en"")"),"ponies")</f>
        <v>ponies</v>
      </c>
    </row>
    <row r="24467">
      <c r="A24467" s="1" t="s">
        <v>24466</v>
      </c>
      <c r="B24467" s="2" t="str">
        <f>IFERROR(__xludf.DUMMYFUNCTION("GOOGLETRANSLATE(A24467, ""de"", ""en"")"),"steadily")</f>
        <v>steadily</v>
      </c>
    </row>
    <row r="24468">
      <c r="A24468" s="1" t="s">
        <v>24467</v>
      </c>
      <c r="B24468" s="2" t="str">
        <f>IFERROR(__xludf.DUMMYFUNCTION("GOOGLETRANSLATE(A24468, ""de"", ""en"")"),"documented")</f>
        <v>documented</v>
      </c>
    </row>
    <row r="24469">
      <c r="A24469" s="1" t="s">
        <v>24468</v>
      </c>
      <c r="B24469" s="2" t="str">
        <f>IFERROR(__xludf.DUMMYFUNCTION("GOOGLETRANSLATE(A24469, ""de"", ""en"")"),"conclusions")</f>
        <v>conclusions</v>
      </c>
    </row>
    <row r="24470">
      <c r="A24470" s="1" t="s">
        <v>24469</v>
      </c>
      <c r="B24470" s="2" t="str">
        <f>IFERROR(__xludf.DUMMYFUNCTION("GOOGLETRANSLATE(A24470, ""de"", ""en"")"),"more active")</f>
        <v>more active</v>
      </c>
    </row>
    <row r="24471">
      <c r="A24471" s="1" t="s">
        <v>24470</v>
      </c>
      <c r="B24471" s="2" t="str">
        <f>IFERROR(__xludf.DUMMYFUNCTION("GOOGLETRANSLATE(A24471, ""de"", ""en"")"),"simulated")</f>
        <v>simulated</v>
      </c>
    </row>
    <row r="24472">
      <c r="A24472" s="1" t="s">
        <v>24471</v>
      </c>
      <c r="B24472" s="2" t="str">
        <f>IFERROR(__xludf.DUMMYFUNCTION("GOOGLETRANSLATE(A24472, ""de"", ""en"")"),"avi")</f>
        <v>avi</v>
      </c>
    </row>
    <row r="24473">
      <c r="A24473" s="1" t="s">
        <v>24472</v>
      </c>
      <c r="B24473" s="2" t="str">
        <f>IFERROR(__xludf.DUMMYFUNCTION("GOOGLETRANSLATE(A24473, ""de"", ""en"")"),"converted")</f>
        <v>converted</v>
      </c>
    </row>
    <row r="24474">
      <c r="A24474" s="1" t="s">
        <v>24473</v>
      </c>
      <c r="B24474" s="2" t="str">
        <f>IFERROR(__xludf.DUMMYFUNCTION("GOOGLETRANSLATE(A24474, ""de"", ""en"")"),"Everest")</f>
        <v>Everest</v>
      </c>
    </row>
    <row r="24475">
      <c r="A24475" s="1" t="s">
        <v>24474</v>
      </c>
      <c r="B24475" s="2" t="str">
        <f>IFERROR(__xludf.DUMMYFUNCTION("GOOGLETRANSLATE(A24475, ""de"", ""en"")"),"jenny's")</f>
        <v>jenny's</v>
      </c>
    </row>
    <row r="24476">
      <c r="A24476" s="1" t="s">
        <v>24475</v>
      </c>
      <c r="B24476" s="2" t="str">
        <f>IFERROR(__xludf.DUMMYFUNCTION("GOOGLETRANSLATE(A24476, ""de"", ""en"")"),"prophesied")</f>
        <v>prophesied</v>
      </c>
    </row>
    <row r="24477">
      <c r="A24477" s="1" t="s">
        <v>24476</v>
      </c>
      <c r="B24477" s="2" t="str">
        <f>IFERROR(__xludf.DUMMYFUNCTION("GOOGLETRANSLATE(A24477, ""de"", ""en"")"),"barriers")</f>
        <v>barriers</v>
      </c>
    </row>
    <row r="24478">
      <c r="A24478" s="1" t="s">
        <v>24477</v>
      </c>
      <c r="B24478" s="2" t="str">
        <f>IFERROR(__xludf.DUMMYFUNCTION("GOOGLETRANSLATE(A24478, ""de"", ""en"")"),"romantically involved")</f>
        <v>romantically involved</v>
      </c>
    </row>
    <row r="24479">
      <c r="A24479" s="1" t="s">
        <v>24478</v>
      </c>
      <c r="B24479" s="2" t="str">
        <f>IFERROR(__xludf.DUMMYFUNCTION("GOOGLETRANSLATE(A24479, ""de"", ""en"")"),"forks")</f>
        <v>forks</v>
      </c>
    </row>
    <row r="24480">
      <c r="A24480" s="1" t="s">
        <v>24479</v>
      </c>
      <c r="B24480" s="2" t="str">
        <f>IFERROR(__xludf.DUMMYFUNCTION("GOOGLETRANSLATE(A24480, ""de"", ""en"")"),"special")</f>
        <v>special</v>
      </c>
    </row>
    <row r="24481">
      <c r="A24481" s="1" t="s">
        <v>24480</v>
      </c>
      <c r="B24481" s="2" t="str">
        <f>IFERROR(__xludf.DUMMYFUNCTION("GOOGLETRANSLATE(A24481, ""de"", ""en"")"),"main gate")</f>
        <v>main gate</v>
      </c>
    </row>
    <row r="24482">
      <c r="A24482" s="1" t="s">
        <v>24481</v>
      </c>
      <c r="B24482" s="2" t="str">
        <f>IFERROR(__xludf.DUMMYFUNCTION("GOOGLETRANSLATE(A24482, ""de"", ""en"")"),"cougar")</f>
        <v>cougar</v>
      </c>
    </row>
    <row r="24483">
      <c r="A24483" s="1" t="s">
        <v>24482</v>
      </c>
      <c r="B24483" s="2" t="str">
        <f>IFERROR(__xludf.DUMMYFUNCTION("GOOGLETRANSLATE(A24483, ""de"", ""en"")"),"takes")</f>
        <v>takes</v>
      </c>
    </row>
    <row r="24484">
      <c r="A24484" s="1" t="s">
        <v>24483</v>
      </c>
      <c r="B24484" s="2" t="str">
        <f>IFERROR(__xludf.DUMMYFUNCTION("GOOGLETRANSLATE(A24484, ""de"", ""en"")"),"michael")</f>
        <v>michael</v>
      </c>
    </row>
    <row r="24485">
      <c r="A24485" s="1" t="s">
        <v>24484</v>
      </c>
      <c r="B24485" s="2" t="str">
        <f>IFERROR(__xludf.DUMMYFUNCTION("GOOGLETRANSLATE(A24485, ""de"", ""en"")"),"profits")</f>
        <v>profits</v>
      </c>
    </row>
    <row r="24486">
      <c r="A24486" s="1" t="s">
        <v>24485</v>
      </c>
      <c r="B24486" s="2" t="str">
        <f>IFERROR(__xludf.DUMMYFUNCTION("GOOGLETRANSLATE(A24486, ""de"", ""en"")"),"lassie")</f>
        <v>lassie</v>
      </c>
    </row>
    <row r="24487">
      <c r="A24487" s="1" t="s">
        <v>24486</v>
      </c>
      <c r="B24487" s="2" t="str">
        <f>IFERROR(__xludf.DUMMYFUNCTION("GOOGLETRANSLATE(A24487, ""de"", ""en"")"),"houseman")</f>
        <v>houseman</v>
      </c>
    </row>
    <row r="24488">
      <c r="A24488" s="1" t="s">
        <v>24487</v>
      </c>
      <c r="B24488" s="2" t="str">
        <f>IFERROR(__xludf.DUMMYFUNCTION("GOOGLETRANSLATE(A24488, ""de"", ""en"")"),"modified")</f>
        <v>modified</v>
      </c>
    </row>
    <row r="24489">
      <c r="A24489" s="1" t="s">
        <v>24488</v>
      </c>
      <c r="B24489" s="2" t="str">
        <f>IFERROR(__xludf.DUMMYFUNCTION("GOOGLETRANSLATE(A24489, ""de"", ""en"")"),"shining")</f>
        <v>shining</v>
      </c>
    </row>
    <row r="24490">
      <c r="A24490" s="1" t="s">
        <v>24489</v>
      </c>
      <c r="B24490" s="2" t="str">
        <f>IFERROR(__xludf.DUMMYFUNCTION("GOOGLETRANSLATE(A24490, ""de"", ""en"")"),"nakamura")</f>
        <v>nakamura</v>
      </c>
    </row>
    <row r="24491">
      <c r="A24491" s="1" t="s">
        <v>24490</v>
      </c>
      <c r="B24491" s="2" t="str">
        <f>IFERROR(__xludf.DUMMYFUNCTION("GOOGLETRANSLATE(A24491, ""de"", ""en"")"),"terence")</f>
        <v>terence</v>
      </c>
    </row>
    <row r="24492">
      <c r="A24492" s="1" t="s">
        <v>24491</v>
      </c>
      <c r="B24492" s="2" t="str">
        <f>IFERROR(__xludf.DUMMYFUNCTION("GOOGLETRANSLATE(A24492, ""de"", ""en"")"),"pain")</f>
        <v>pain</v>
      </c>
    </row>
    <row r="24493">
      <c r="A24493" s="1" t="s">
        <v>24492</v>
      </c>
      <c r="B24493" s="2" t="str">
        <f>IFERROR(__xludf.DUMMYFUNCTION("GOOGLETRANSLATE(A24493, ""de"", ""en"")"),"bankruptcy")</f>
        <v>bankruptcy</v>
      </c>
    </row>
    <row r="24494">
      <c r="A24494" s="1" t="s">
        <v>24493</v>
      </c>
      <c r="B24494" s="2" t="str">
        <f>IFERROR(__xludf.DUMMYFUNCTION("GOOGLETRANSLATE(A24494, ""de"", ""en"")"),"revolt")</f>
        <v>revolt</v>
      </c>
    </row>
    <row r="24495">
      <c r="A24495" s="1" t="s">
        <v>24494</v>
      </c>
      <c r="B24495" s="2" t="str">
        <f>IFERROR(__xludf.DUMMYFUNCTION("GOOGLETRANSLATE(A24495, ""de"", ""en"")"),"doom")</f>
        <v>doom</v>
      </c>
    </row>
    <row r="24496">
      <c r="A24496" s="1" t="s">
        <v>24495</v>
      </c>
      <c r="B24496" s="2" t="str">
        <f>IFERROR(__xludf.DUMMYFUNCTION("GOOGLETRANSLATE(A24496, ""de"", ""en"")"),"civil rights")</f>
        <v>civil rights</v>
      </c>
    </row>
    <row r="24497">
      <c r="A24497" s="1" t="s">
        <v>24496</v>
      </c>
      <c r="B24497" s="2" t="str">
        <f>IFERROR(__xludf.DUMMYFUNCTION("GOOGLETRANSLATE(A24497, ""de"", ""en"")"),"interferes")</f>
        <v>interferes</v>
      </c>
    </row>
    <row r="24498">
      <c r="A24498" s="1" t="s">
        <v>24497</v>
      </c>
      <c r="B24498" s="2" t="str">
        <f>IFERROR(__xludf.DUMMYFUNCTION("GOOGLETRANSLATE(A24498, ""de"", ""en"")"),"delivered")</f>
        <v>delivered</v>
      </c>
    </row>
    <row r="24499">
      <c r="A24499" s="1" t="s">
        <v>24498</v>
      </c>
      <c r="B24499" s="2" t="str">
        <f>IFERROR(__xludf.DUMMYFUNCTION("GOOGLETRANSLATE(A24499, ""de"", ""en"")"),"racists")</f>
        <v>racists</v>
      </c>
    </row>
    <row r="24500">
      <c r="A24500" s="1" t="s">
        <v>24499</v>
      </c>
      <c r="B24500" s="2" t="str">
        <f>IFERROR(__xludf.DUMMYFUNCTION("GOOGLETRANSLATE(A24500, ""de"", ""en"")"),"sucked")</f>
        <v>sucked</v>
      </c>
    </row>
    <row r="24501">
      <c r="A24501" s="1" t="s">
        <v>24500</v>
      </c>
      <c r="B24501" s="2" t="str">
        <f>IFERROR(__xludf.DUMMYFUNCTION("GOOGLETRANSLATE(A24501, ""de"", ""en"")"),"life-threatening")</f>
        <v>life-threatening</v>
      </c>
    </row>
    <row r="24502">
      <c r="A24502" s="1" t="s">
        <v>24501</v>
      </c>
      <c r="B24502" s="2" t="str">
        <f>IFERROR(__xludf.DUMMYFUNCTION("GOOGLETRANSLATE(A24502, ""de"", ""en"")"),"deepest")</f>
        <v>deepest</v>
      </c>
    </row>
    <row r="24503">
      <c r="A24503" s="1" t="s">
        <v>24502</v>
      </c>
      <c r="B24503" s="2" t="str">
        <f>IFERROR(__xludf.DUMMYFUNCTION("GOOGLETRANSLATE(A24503, ""de"", ""en"")"),"pines")</f>
        <v>pines</v>
      </c>
    </row>
    <row r="24504">
      <c r="A24504" s="1" t="s">
        <v>24503</v>
      </c>
      <c r="B24504" s="2" t="str">
        <f>IFERROR(__xludf.DUMMYFUNCTION("GOOGLETRANSLATE(A24504, ""de"", ""en"")"),"tar")</f>
        <v>tar</v>
      </c>
    </row>
    <row r="24505">
      <c r="A24505" s="1" t="s">
        <v>24504</v>
      </c>
      <c r="B24505" s="2" t="str">
        <f>IFERROR(__xludf.DUMMYFUNCTION("GOOGLETRANSLATE(A24505, ""de"", ""en"")"),"key")</f>
        <v>key</v>
      </c>
    </row>
    <row r="24506">
      <c r="A24506" s="1" t="s">
        <v>24505</v>
      </c>
      <c r="B24506" s="2" t="str">
        <f>IFERROR(__xludf.DUMMYFUNCTION("GOOGLETRANSLATE(A24506, ""de"", ""en"")"),"early")</f>
        <v>early</v>
      </c>
    </row>
    <row r="24507">
      <c r="A24507" s="1" t="s">
        <v>24506</v>
      </c>
      <c r="B24507" s="2" t="str">
        <f>IFERROR(__xludf.DUMMYFUNCTION("GOOGLETRANSLATE(A24507, ""de"", ""en"")"),"surrendered")</f>
        <v>surrendered</v>
      </c>
    </row>
    <row r="24508">
      <c r="A24508" s="1" t="s">
        <v>24507</v>
      </c>
      <c r="B24508" s="2" t="str">
        <f>IFERROR(__xludf.DUMMYFUNCTION("GOOGLETRANSLATE(A24508, ""de"", ""en"")"),"Christianity")</f>
        <v>Christianity</v>
      </c>
    </row>
    <row r="24509">
      <c r="A24509" s="1" t="s">
        <v>24508</v>
      </c>
      <c r="B24509" s="2" t="str">
        <f>IFERROR(__xludf.DUMMYFUNCTION("GOOGLETRANSLATE(A24509, ""de"", ""en"")"),"prove")</f>
        <v>prove</v>
      </c>
    </row>
    <row r="24510">
      <c r="A24510" s="1" t="s">
        <v>24509</v>
      </c>
      <c r="B24510" s="2" t="str">
        <f>IFERROR(__xludf.DUMMYFUNCTION("GOOGLETRANSLATE(A24510, ""de"", ""en"")"),"inevitable")</f>
        <v>inevitable</v>
      </c>
    </row>
    <row r="24511">
      <c r="A24511" s="1" t="s">
        <v>24510</v>
      </c>
      <c r="B24511" s="2" t="str">
        <f>IFERROR(__xludf.DUMMYFUNCTION("GOOGLETRANSLATE(A24511, ""de"", ""en"")"),"heavy")</f>
        <v>heavy</v>
      </c>
    </row>
    <row r="24512">
      <c r="A24512" s="1" t="s">
        <v>24511</v>
      </c>
      <c r="B24512" s="2" t="str">
        <f>IFERROR(__xludf.DUMMYFUNCTION("GOOGLETRANSLATE(A24512, ""de"", ""en"")"),"kates")</f>
        <v>kates</v>
      </c>
    </row>
    <row r="24513">
      <c r="A24513" s="1" t="s">
        <v>24512</v>
      </c>
      <c r="B24513" s="2" t="str">
        <f>IFERROR(__xludf.DUMMYFUNCTION("GOOGLETRANSLATE(A24513, ""de"", ""en"")"),"ultimate")</f>
        <v>ultimate</v>
      </c>
    </row>
    <row r="24514">
      <c r="A24514" s="1" t="s">
        <v>24513</v>
      </c>
      <c r="B24514" s="2" t="str">
        <f>IFERROR(__xludf.DUMMYFUNCTION("GOOGLETRANSLATE(A24514, ""de"", ""en"")"),"offered")</f>
        <v>offered</v>
      </c>
    </row>
    <row r="24515">
      <c r="A24515" s="1" t="s">
        <v>24514</v>
      </c>
      <c r="B24515" s="2" t="str">
        <f>IFERROR(__xludf.DUMMYFUNCTION("GOOGLETRANSLATE(A24515, ""de"", ""en"")"),"manor")</f>
        <v>manor</v>
      </c>
    </row>
    <row r="24516">
      <c r="A24516" s="1" t="s">
        <v>24515</v>
      </c>
      <c r="B24516" s="2" t="str">
        <f>IFERROR(__xludf.DUMMYFUNCTION("GOOGLETRANSLATE(A24516, ""de"", ""en"")"),"added")</f>
        <v>added</v>
      </c>
    </row>
    <row r="24517">
      <c r="A24517" s="1" t="s">
        <v>24516</v>
      </c>
      <c r="B24517" s="2" t="str">
        <f>IFERROR(__xludf.DUMMYFUNCTION("GOOGLETRANSLATE(A24517, ""de"", ""en"")"),"aorta")</f>
        <v>aorta</v>
      </c>
    </row>
    <row r="24518">
      <c r="A24518" s="1" t="s">
        <v>24517</v>
      </c>
      <c r="B24518" s="2" t="str">
        <f>IFERROR(__xludf.DUMMYFUNCTION("GOOGLETRANSLATE(A24518, ""de"", ""en"")"),"abbey")</f>
        <v>abbey</v>
      </c>
    </row>
    <row r="24519">
      <c r="A24519" s="1" t="s">
        <v>24518</v>
      </c>
      <c r="B24519" s="2" t="str">
        <f>IFERROR(__xludf.DUMMYFUNCTION("GOOGLETRANSLATE(A24519, ""de"", ""en"")"),"potential")</f>
        <v>potential</v>
      </c>
    </row>
    <row r="24520">
      <c r="A24520" s="1" t="s">
        <v>24519</v>
      </c>
      <c r="B24520" s="2" t="str">
        <f>IFERROR(__xludf.DUMMYFUNCTION("GOOGLETRANSLATE(A24520, ""de"", ""en"")"),"rollin")</f>
        <v>rollin</v>
      </c>
    </row>
    <row r="24521">
      <c r="A24521" s="1" t="s">
        <v>24520</v>
      </c>
      <c r="B24521" s="2" t="str">
        <f>IFERROR(__xludf.DUMMYFUNCTION("GOOGLETRANSLATE(A24521, ""de"", ""en"")"),"searched")</f>
        <v>searched</v>
      </c>
    </row>
    <row r="24522">
      <c r="A24522" s="1" t="s">
        <v>24521</v>
      </c>
      <c r="B24522" s="2" t="str">
        <f>IFERROR(__xludf.DUMMYFUNCTION("GOOGLETRANSLATE(A24522, ""de"", ""en"")"),"to maintain")</f>
        <v>to maintain</v>
      </c>
    </row>
    <row r="24523">
      <c r="A24523" s="1" t="s">
        <v>24522</v>
      </c>
      <c r="B24523" s="2" t="str">
        <f>IFERROR(__xludf.DUMMYFUNCTION("GOOGLETRANSLATE(A24523, ""de"", ""en"")"),"finished")</f>
        <v>finished</v>
      </c>
    </row>
    <row r="24524">
      <c r="A24524" s="1" t="s">
        <v>24523</v>
      </c>
      <c r="B24524" s="2" t="str">
        <f>IFERROR(__xludf.DUMMYFUNCTION("GOOGLETRANSLATE(A24524, ""de"", ""en"")"),"arrive")</f>
        <v>arrive</v>
      </c>
    </row>
    <row r="24525">
      <c r="A24525" s="1" t="s">
        <v>24524</v>
      </c>
      <c r="B24525" s="2" t="str">
        <f>IFERROR(__xludf.DUMMYFUNCTION("GOOGLETRANSLATE(A24525, ""de"", ""en"")"),"dickinson")</f>
        <v>dickinson</v>
      </c>
    </row>
    <row r="24526">
      <c r="A24526" s="1" t="s">
        <v>24525</v>
      </c>
      <c r="B24526" s="2" t="str">
        <f>IFERROR(__xludf.DUMMYFUNCTION("GOOGLETRANSLATE(A24526, ""de"", ""en"")"),"asia")</f>
        <v>asia</v>
      </c>
    </row>
    <row r="24527">
      <c r="A24527" s="1" t="s">
        <v>24526</v>
      </c>
      <c r="B24527" s="2" t="str">
        <f>IFERROR(__xludf.DUMMYFUNCTION("GOOGLETRANSLATE(A24527, ""de"", ""en"")"),"Lennon")</f>
        <v>Lennon</v>
      </c>
    </row>
    <row r="24528">
      <c r="A24528" s="1" t="s">
        <v>24527</v>
      </c>
      <c r="B24528" s="2" t="str">
        <f>IFERROR(__xludf.DUMMYFUNCTION("GOOGLETRANSLATE(A24528, ""de"", ""en"")"),"trillion")</f>
        <v>trillion</v>
      </c>
    </row>
    <row r="24529">
      <c r="A24529" s="1" t="s">
        <v>24528</v>
      </c>
      <c r="B24529" s="2" t="str">
        <f>IFERROR(__xludf.DUMMYFUNCTION("GOOGLETRANSLATE(A24529, ""de"", ""en"")"),"longed")</f>
        <v>longed</v>
      </c>
    </row>
    <row r="24530">
      <c r="A24530" s="1" t="s">
        <v>24529</v>
      </c>
      <c r="B24530" s="2" t="str">
        <f>IFERROR(__xludf.DUMMYFUNCTION("GOOGLETRANSLATE(A24530, ""de"", ""en"")"),"planned")</f>
        <v>planned</v>
      </c>
    </row>
    <row r="24531">
      <c r="A24531" s="1" t="s">
        <v>24530</v>
      </c>
      <c r="B24531" s="2" t="str">
        <f>IFERROR(__xludf.DUMMYFUNCTION("GOOGLETRANSLATE(A24531, ""de"", ""en"")"),"no")</f>
        <v>no</v>
      </c>
    </row>
    <row r="24532">
      <c r="A24532" s="1" t="s">
        <v>24531</v>
      </c>
      <c r="B24532" s="2" t="str">
        <f>IFERROR(__xludf.DUMMYFUNCTION("GOOGLETRANSLATE(A24532, ""de"", ""en"")"),"account number")</f>
        <v>account number</v>
      </c>
    </row>
    <row r="24533">
      <c r="A24533" s="1" t="s">
        <v>24532</v>
      </c>
      <c r="B24533" s="2" t="str">
        <f>IFERROR(__xludf.DUMMYFUNCTION("GOOGLETRANSLATE(A24533, ""de"", ""en"")"),"tinker")</f>
        <v>tinker</v>
      </c>
    </row>
    <row r="24534">
      <c r="A24534" s="1" t="s">
        <v>24533</v>
      </c>
      <c r="B24534" s="2" t="str">
        <f>IFERROR(__xludf.DUMMYFUNCTION("GOOGLETRANSLATE(A24534, ""de"", ""en"")"),"jer")</f>
        <v>jer</v>
      </c>
    </row>
    <row r="24535">
      <c r="A24535" s="1" t="s">
        <v>24534</v>
      </c>
      <c r="B24535" s="2" t="str">
        <f>IFERROR(__xludf.DUMMYFUNCTION("GOOGLETRANSLATE(A24535, ""de"", ""en"")"),"peel")</f>
        <v>peel</v>
      </c>
    </row>
    <row r="24536">
      <c r="A24536" s="1" t="s">
        <v>24535</v>
      </c>
      <c r="B24536" s="2" t="str">
        <f>IFERROR(__xludf.DUMMYFUNCTION("GOOGLETRANSLATE(A24536, ""de"", ""en"")"),"warnings")</f>
        <v>warnings</v>
      </c>
    </row>
    <row r="24537">
      <c r="A24537" s="1" t="s">
        <v>24536</v>
      </c>
      <c r="B24537" s="2" t="str">
        <f>IFERROR(__xludf.DUMMYFUNCTION("GOOGLETRANSLATE(A24537, ""de"", ""en"")"),"grants")</f>
        <v>grants</v>
      </c>
    </row>
    <row r="24538">
      <c r="A24538" s="1" t="s">
        <v>24537</v>
      </c>
      <c r="B24538" s="2" t="str">
        <f>IFERROR(__xludf.DUMMYFUNCTION("GOOGLETRANSLATE(A24538, ""de"", ""en"")"),"swat")</f>
        <v>swat</v>
      </c>
    </row>
    <row r="24539">
      <c r="A24539" s="1" t="s">
        <v>24538</v>
      </c>
      <c r="B24539" s="2" t="str">
        <f>IFERROR(__xludf.DUMMYFUNCTION("GOOGLETRANSLATE(A24539, ""de"", ""en"")"),"bunk")</f>
        <v>bunk</v>
      </c>
    </row>
    <row r="24540">
      <c r="A24540" s="1" t="s">
        <v>24539</v>
      </c>
      <c r="B24540" s="2" t="str">
        <f>IFERROR(__xludf.DUMMYFUNCTION("GOOGLETRANSLATE(A24540, ""de"", ""en"")"),"truck driver")</f>
        <v>truck driver</v>
      </c>
    </row>
    <row r="24541">
      <c r="A24541" s="1" t="s">
        <v>24540</v>
      </c>
      <c r="B24541" s="2" t="str">
        <f>IFERROR(__xludf.DUMMYFUNCTION("GOOGLETRANSLATE(A24541, ""de"", ""en"")"),"nasty")</f>
        <v>nasty</v>
      </c>
    </row>
    <row r="24542">
      <c r="A24542" s="1" t="s">
        <v>24541</v>
      </c>
      <c r="B24542" s="2" t="str">
        <f>IFERROR(__xludf.DUMMYFUNCTION("GOOGLETRANSLATE(A24542, ""de"", ""en"")"),"Maximilian")</f>
        <v>Maximilian</v>
      </c>
    </row>
    <row r="24543">
      <c r="A24543" s="1" t="s">
        <v>24542</v>
      </c>
      <c r="B24543" s="2" t="str">
        <f>IFERROR(__xludf.DUMMYFUNCTION("GOOGLETRANSLATE(A24543, ""de"", ""en"")"),"democratic")</f>
        <v>democratic</v>
      </c>
    </row>
    <row r="24544">
      <c r="A24544" s="1" t="s">
        <v>24543</v>
      </c>
      <c r="B24544" s="2" t="str">
        <f>IFERROR(__xludf.DUMMYFUNCTION("GOOGLETRANSLATE(A24544, ""de"", ""en"")"),"gran")</f>
        <v>gran</v>
      </c>
    </row>
    <row r="24545">
      <c r="A24545" s="1" t="s">
        <v>24544</v>
      </c>
      <c r="B24545" s="2" t="str">
        <f>IFERROR(__xludf.DUMMYFUNCTION("GOOGLETRANSLATE(A24545, ""de"", ""en"")"),"exterminate")</f>
        <v>exterminate</v>
      </c>
    </row>
    <row r="24546">
      <c r="A24546" s="1" t="s">
        <v>24545</v>
      </c>
      <c r="B24546" s="2" t="str">
        <f>IFERROR(__xludf.DUMMYFUNCTION("GOOGLETRANSLATE(A24546, ""de"", ""en"")"),"brice")</f>
        <v>brice</v>
      </c>
    </row>
    <row r="24547">
      <c r="A24547" s="1" t="s">
        <v>24546</v>
      </c>
      <c r="B24547" s="2" t="str">
        <f>IFERROR(__xludf.DUMMYFUNCTION("GOOGLETRANSLATE(A24547, ""de"", ""en"")"),"bled")</f>
        <v>bled</v>
      </c>
    </row>
    <row r="24548">
      <c r="A24548" s="1" t="s">
        <v>24547</v>
      </c>
      <c r="B24548" s="2" t="str">
        <f>IFERROR(__xludf.DUMMYFUNCTION("GOOGLETRANSLATE(A24548, ""de"", ""en"")"),"current")</f>
        <v>current</v>
      </c>
    </row>
    <row r="24549">
      <c r="A24549" s="1" t="s">
        <v>24548</v>
      </c>
      <c r="B24549" s="2" t="str">
        <f>IFERROR(__xludf.DUMMYFUNCTION("GOOGLETRANSLATE(A24549, ""de"", ""en"")"),"native")</f>
        <v>native</v>
      </c>
    </row>
    <row r="24550">
      <c r="A24550" s="1" t="s">
        <v>24549</v>
      </c>
      <c r="B24550" s="2" t="str">
        <f>IFERROR(__xludf.DUMMYFUNCTION("GOOGLETRANSLATE(A24550, ""de"", ""en"")"),"shrunk")</f>
        <v>shrunk</v>
      </c>
    </row>
    <row r="24551">
      <c r="A24551" s="1" t="s">
        <v>24550</v>
      </c>
      <c r="B24551" s="2" t="str">
        <f>IFERROR(__xludf.DUMMYFUNCTION("GOOGLETRANSLATE(A24551, ""de"", ""en"")"),"holm")</f>
        <v>holm</v>
      </c>
    </row>
    <row r="24552">
      <c r="A24552" s="1" t="s">
        <v>24551</v>
      </c>
      <c r="B24552" s="2" t="str">
        <f>IFERROR(__xludf.DUMMYFUNCTION("GOOGLETRANSLATE(A24552, ""de"", ""en"")"),"investigate")</f>
        <v>investigate</v>
      </c>
    </row>
    <row r="24553">
      <c r="A24553" s="1" t="s">
        <v>24552</v>
      </c>
      <c r="B24553" s="2" t="str">
        <f>IFERROR(__xludf.DUMMYFUNCTION("GOOGLETRANSLATE(A24553, ""de"", ""en"")"),"confused")</f>
        <v>confused</v>
      </c>
    </row>
    <row r="24554">
      <c r="A24554" s="1" t="s">
        <v>24553</v>
      </c>
      <c r="B24554" s="2" t="str">
        <f>IFERROR(__xludf.DUMMYFUNCTION("GOOGLETRANSLATE(A24554, ""de"", ""en"")"),"wide awake")</f>
        <v>wide awake</v>
      </c>
    </row>
    <row r="24555">
      <c r="A24555" s="1" t="s">
        <v>24554</v>
      </c>
      <c r="B24555" s="2" t="str">
        <f>IFERROR(__xludf.DUMMYFUNCTION("GOOGLETRANSLATE(A24555, ""de"", ""en"")"),"charges")</f>
        <v>charges</v>
      </c>
    </row>
    <row r="24556">
      <c r="A24556" s="1" t="s">
        <v>24555</v>
      </c>
      <c r="B24556" s="2" t="str">
        <f>IFERROR(__xludf.DUMMYFUNCTION("GOOGLETRANSLATE(A24556, ""de"", ""en"")"),"furniture")</f>
        <v>furniture</v>
      </c>
    </row>
    <row r="24557">
      <c r="A24557" s="1" t="s">
        <v>24556</v>
      </c>
      <c r="B24557" s="2" t="str">
        <f>IFERROR(__xludf.DUMMYFUNCTION("GOOGLETRANSLATE(A24557, ""de"", ""en"")"),"any")</f>
        <v>any</v>
      </c>
    </row>
    <row r="24558">
      <c r="A24558" s="1" t="s">
        <v>24557</v>
      </c>
      <c r="B24558" s="2" t="str">
        <f>IFERROR(__xludf.DUMMYFUNCTION("GOOGLETRANSLATE(A24558, ""de"", ""en"")"),"duds")</f>
        <v>duds</v>
      </c>
    </row>
    <row r="24559">
      <c r="A24559" s="1" t="s">
        <v>24558</v>
      </c>
      <c r="B24559" s="2" t="str">
        <f>IFERROR(__xludf.DUMMYFUNCTION("GOOGLETRANSLATE(A24559, ""de"", ""en"")"),"exclaim")</f>
        <v>exclaim</v>
      </c>
    </row>
    <row r="24560">
      <c r="A24560" s="1" t="s">
        <v>24559</v>
      </c>
      <c r="B24560" s="2" t="str">
        <f>IFERROR(__xludf.DUMMYFUNCTION("GOOGLETRANSLATE(A24560, ""de"", ""en"")"),"come in")</f>
        <v>come in</v>
      </c>
    </row>
    <row r="24561">
      <c r="A24561" s="1" t="s">
        <v>24560</v>
      </c>
      <c r="B24561" s="2" t="str">
        <f>IFERROR(__xludf.DUMMYFUNCTION("GOOGLETRANSLATE(A24561, ""de"", ""en"")"),"coyote")</f>
        <v>coyote</v>
      </c>
    </row>
    <row r="24562">
      <c r="A24562" s="1" t="s">
        <v>24561</v>
      </c>
      <c r="B24562" s="2" t="str">
        <f>IFERROR(__xludf.DUMMYFUNCTION("GOOGLETRANSLATE(A24562, ""de"", ""en"")"),"trash")</f>
        <v>trash</v>
      </c>
    </row>
    <row r="24563">
      <c r="A24563" s="1" t="s">
        <v>24562</v>
      </c>
      <c r="B24563" s="2" t="str">
        <f>IFERROR(__xludf.DUMMYFUNCTION("GOOGLETRANSLATE(A24563, ""de"", ""en"")"),"meeting")</f>
        <v>meeting</v>
      </c>
    </row>
    <row r="24564">
      <c r="A24564" s="1" t="s">
        <v>24563</v>
      </c>
      <c r="B24564" s="2" t="str">
        <f>IFERROR(__xludf.DUMMYFUNCTION("GOOGLETRANSLATE(A24564, ""de"", ""en"")"),"at worst")</f>
        <v>at worst</v>
      </c>
    </row>
    <row r="24565">
      <c r="A24565" s="1" t="s">
        <v>24564</v>
      </c>
      <c r="B24565" s="2" t="str">
        <f>IFERROR(__xludf.DUMMYFUNCTION("GOOGLETRANSLATE(A24565, ""de"", ""en"")"),"oaks")</f>
        <v>oaks</v>
      </c>
    </row>
    <row r="24566">
      <c r="A24566" s="1" t="s">
        <v>24565</v>
      </c>
      <c r="B24566" s="2" t="str">
        <f>IFERROR(__xludf.DUMMYFUNCTION("GOOGLETRANSLATE(A24566, ""de"", ""en"")"),"skips")</f>
        <v>skips</v>
      </c>
    </row>
    <row r="24567">
      <c r="A24567" s="1" t="s">
        <v>24566</v>
      </c>
      <c r="B24567" s="2" t="str">
        <f>IFERROR(__xludf.DUMMYFUNCTION("GOOGLETRANSLATE(A24567, ""de"", ""en"")"),"bleach")</f>
        <v>bleach</v>
      </c>
    </row>
    <row r="24568">
      <c r="A24568" s="1" t="s">
        <v>24567</v>
      </c>
      <c r="B24568" s="2" t="str">
        <f>IFERROR(__xludf.DUMMYFUNCTION("GOOGLETRANSLATE(A24568, ""de"", ""en"")"),"commune")</f>
        <v>commune</v>
      </c>
    </row>
    <row r="24569">
      <c r="A24569" s="1" t="s">
        <v>24568</v>
      </c>
      <c r="B24569" s="2" t="str">
        <f>IFERROR(__xludf.DUMMYFUNCTION("GOOGLETRANSLATE(A24569, ""de"", ""en"")"),"metaphors")</f>
        <v>metaphors</v>
      </c>
    </row>
    <row r="24570">
      <c r="A24570" s="1" t="s">
        <v>24569</v>
      </c>
      <c r="B24570" s="2" t="str">
        <f>IFERROR(__xludf.DUMMYFUNCTION("GOOGLETRANSLATE(A24570, ""de"", ""en"")"),"roster")</f>
        <v>roster</v>
      </c>
    </row>
    <row r="24571">
      <c r="A24571" s="1" t="s">
        <v>24570</v>
      </c>
      <c r="B24571" s="2" t="str">
        <f>IFERROR(__xludf.DUMMYFUNCTION("GOOGLETRANSLATE(A24571, ""de"", ""en"")"),"Jakes")</f>
        <v>Jakes</v>
      </c>
    </row>
    <row r="24572">
      <c r="A24572" s="1" t="s">
        <v>24571</v>
      </c>
      <c r="B24572" s="2" t="str">
        <f>IFERROR(__xludf.DUMMYFUNCTION("GOOGLETRANSLATE(A24572, ""de"", ""en"")"),"sansa")</f>
        <v>sansa</v>
      </c>
    </row>
    <row r="24573">
      <c r="A24573" s="1" t="s">
        <v>24572</v>
      </c>
      <c r="B24573" s="2" t="str">
        <f>IFERROR(__xludf.DUMMYFUNCTION("GOOGLETRANSLATE(A24573, ""de"", ""en"")"),"lamb")</f>
        <v>lamb</v>
      </c>
    </row>
    <row r="24574">
      <c r="A24574" s="1" t="s">
        <v>24573</v>
      </c>
      <c r="B24574" s="2" t="str">
        <f>IFERROR(__xludf.DUMMYFUNCTION("GOOGLETRANSLATE(A24574, ""de"", ""en"")"),"looking")</f>
        <v>looking</v>
      </c>
    </row>
    <row r="24575">
      <c r="A24575" s="1" t="s">
        <v>24574</v>
      </c>
      <c r="B24575" s="2" t="str">
        <f>IFERROR(__xludf.DUMMYFUNCTION("GOOGLETRANSLATE(A24575, ""de"", ""en"")"),"crazy")</f>
        <v>crazy</v>
      </c>
    </row>
    <row r="24576">
      <c r="A24576" s="1" t="s">
        <v>24575</v>
      </c>
      <c r="B24576" s="2" t="str">
        <f>IFERROR(__xludf.DUMMYFUNCTION("GOOGLETRANSLATE(A24576, ""de"", ""en"")"),"prisons")</f>
        <v>prisons</v>
      </c>
    </row>
    <row r="24577">
      <c r="A24577" s="1" t="s">
        <v>24576</v>
      </c>
      <c r="B24577" s="2" t="str">
        <f>IFERROR(__xludf.DUMMYFUNCTION("GOOGLETRANSLATE(A24577, ""de"", ""en"")"),"tata")</f>
        <v>tata</v>
      </c>
    </row>
    <row r="24578">
      <c r="A24578" s="1" t="s">
        <v>24577</v>
      </c>
      <c r="B24578" s="2" t="str">
        <f>IFERROR(__xludf.DUMMYFUNCTION("GOOGLETRANSLATE(A24578, ""de"", ""en"")"),"meets")</f>
        <v>meets</v>
      </c>
    </row>
    <row r="24579">
      <c r="A24579" s="1" t="s">
        <v>24578</v>
      </c>
      <c r="B24579" s="2" t="str">
        <f>IFERROR(__xludf.DUMMYFUNCTION("GOOGLETRANSLATE(A24579, ""de"", ""en"")"),"exclaimed")</f>
        <v>exclaimed</v>
      </c>
    </row>
    <row r="24580">
      <c r="A24580" s="1" t="s">
        <v>24579</v>
      </c>
      <c r="B24580" s="2" t="str">
        <f>IFERROR(__xludf.DUMMYFUNCTION("GOOGLETRANSLATE(A24580, ""de"", ""en"")"),"switched")</f>
        <v>switched</v>
      </c>
    </row>
    <row r="24581">
      <c r="A24581" s="1" t="s">
        <v>24580</v>
      </c>
      <c r="B24581" s="2" t="str">
        <f>IFERROR(__xludf.DUMMYFUNCTION("GOOGLETRANSLATE(A24581, ""de"", ""en"")"),"extends")</f>
        <v>extends</v>
      </c>
    </row>
    <row r="24582">
      <c r="A24582" s="1" t="s">
        <v>24581</v>
      </c>
      <c r="B24582" s="2" t="str">
        <f>IFERROR(__xludf.DUMMYFUNCTION("GOOGLETRANSLATE(A24582, ""de"", ""en"")"),"economic")</f>
        <v>economic</v>
      </c>
    </row>
    <row r="24583">
      <c r="A24583" s="1" t="s">
        <v>24582</v>
      </c>
      <c r="B24583" s="2" t="str">
        <f>IFERROR(__xludf.DUMMYFUNCTION("GOOGLETRANSLATE(A24583, ""de"", ""en"")"),"envelopes")</f>
        <v>envelopes</v>
      </c>
    </row>
    <row r="24584">
      <c r="A24584" s="1" t="s">
        <v>24583</v>
      </c>
      <c r="B24584" s="2" t="str">
        <f>IFERROR(__xludf.DUMMYFUNCTION("GOOGLETRANSLATE(A24584, ""de"", ""en"")"),"bribe")</f>
        <v>bribe</v>
      </c>
    </row>
    <row r="24585">
      <c r="A24585" s="1" t="s">
        <v>24584</v>
      </c>
      <c r="B24585" s="2" t="str">
        <f>IFERROR(__xludf.DUMMYFUNCTION("GOOGLETRANSLATE(A24585, ""de"", ""en"")"),"employ")</f>
        <v>employ</v>
      </c>
    </row>
    <row r="24586">
      <c r="A24586" s="1" t="s">
        <v>24585</v>
      </c>
      <c r="B24586" s="2" t="str">
        <f>IFERROR(__xludf.DUMMYFUNCTION("GOOGLETRANSLATE(A24586, ""de"", ""en"")"),"isolde")</f>
        <v>isolde</v>
      </c>
    </row>
    <row r="24587">
      <c r="A24587" s="1" t="s">
        <v>24586</v>
      </c>
      <c r="B24587" s="2" t="str">
        <f>IFERROR(__xludf.DUMMYFUNCTION("GOOGLETRANSLATE(A24587, ""de"", ""en"")"),"gazelle")</f>
        <v>gazelle</v>
      </c>
    </row>
    <row r="24588">
      <c r="A24588" s="1" t="s">
        <v>24587</v>
      </c>
      <c r="B24588" s="2" t="str">
        <f>IFERROR(__xludf.DUMMYFUNCTION("GOOGLETRANSLATE(A24588, ""de"", ""en"")"),"peralta")</f>
        <v>peralta</v>
      </c>
    </row>
    <row r="24589">
      <c r="A24589" s="1" t="s">
        <v>24588</v>
      </c>
      <c r="B24589" s="2" t="str">
        <f>IFERROR(__xludf.DUMMYFUNCTION("GOOGLETRANSLATE(A24589, ""de"", ""en"")"),"ayla")</f>
        <v>ayla</v>
      </c>
    </row>
    <row r="24590">
      <c r="A24590" s="1" t="s">
        <v>24589</v>
      </c>
      <c r="B24590" s="2" t="str">
        <f>IFERROR(__xludf.DUMMYFUNCTION("GOOGLETRANSLATE(A24590, ""de"", ""en"")"),"bonked")</f>
        <v>bonked</v>
      </c>
    </row>
    <row r="24591">
      <c r="A24591" s="1" t="s">
        <v>24590</v>
      </c>
      <c r="B24591" s="2" t="str">
        <f>IFERROR(__xludf.DUMMYFUNCTION("GOOGLETRANSLATE(A24591, ""de"", ""en"")"),"evenings")</f>
        <v>evenings</v>
      </c>
    </row>
    <row r="24592">
      <c r="A24592" s="1" t="s">
        <v>24591</v>
      </c>
      <c r="B24592" s="2" t="str">
        <f>IFERROR(__xludf.DUMMYFUNCTION("GOOGLETRANSLATE(A24592, ""de"", ""en"")"),"fights")</f>
        <v>fights</v>
      </c>
    </row>
    <row r="24593">
      <c r="A24593" s="1" t="s">
        <v>24592</v>
      </c>
      <c r="B24593" s="2" t="str">
        <f>IFERROR(__xludf.DUMMYFUNCTION("GOOGLETRANSLATE(A24593, ""de"", ""en"")"),"directory")</f>
        <v>directory</v>
      </c>
    </row>
    <row r="24594">
      <c r="A24594" s="1" t="s">
        <v>24593</v>
      </c>
      <c r="B24594" s="2" t="str">
        <f>IFERROR(__xludf.DUMMYFUNCTION("GOOGLETRANSLATE(A24594, ""de"", ""en"")"),"divorced")</f>
        <v>divorced</v>
      </c>
    </row>
    <row r="24595">
      <c r="A24595" s="1" t="s">
        <v>24594</v>
      </c>
      <c r="B24595" s="2" t="str">
        <f>IFERROR(__xludf.DUMMYFUNCTION("GOOGLETRANSLATE(A24595, ""de"", ""en"")"),"ballroom")</f>
        <v>ballroom</v>
      </c>
    </row>
    <row r="24596">
      <c r="A24596" s="1" t="s">
        <v>24595</v>
      </c>
      <c r="B24596" s="2" t="str">
        <f>IFERROR(__xludf.DUMMYFUNCTION("GOOGLETRANSLATE(A24596, ""de"", ""en"")"),"demand")</f>
        <v>demand</v>
      </c>
    </row>
    <row r="24597">
      <c r="A24597" s="1" t="s">
        <v>24596</v>
      </c>
      <c r="B24597" s="2" t="str">
        <f>IFERROR(__xludf.DUMMYFUNCTION("GOOGLETRANSLATE(A24597, ""de"", ""en"")"),"armando")</f>
        <v>armando</v>
      </c>
    </row>
    <row r="24598">
      <c r="A24598" s="1" t="s">
        <v>24597</v>
      </c>
      <c r="B24598" s="2" t="str">
        <f>IFERROR(__xludf.DUMMYFUNCTION("GOOGLETRANSLATE(A24598, ""de"", ""en"")"),"underground")</f>
        <v>underground</v>
      </c>
    </row>
    <row r="24599">
      <c r="A24599" s="1" t="s">
        <v>24598</v>
      </c>
      <c r="B24599" s="2" t="str">
        <f>IFERROR(__xludf.DUMMYFUNCTION("GOOGLETRANSLATE(A24599, ""de"", ""en"")"),"desolate")</f>
        <v>desolate</v>
      </c>
    </row>
    <row r="24600">
      <c r="A24600" s="1" t="s">
        <v>24599</v>
      </c>
      <c r="B24600" s="2" t="str">
        <f>IFERROR(__xludf.DUMMYFUNCTION("GOOGLETRANSLATE(A24600, ""de"", ""en"")"),"unreal")</f>
        <v>unreal</v>
      </c>
    </row>
    <row r="24601">
      <c r="A24601" s="1" t="s">
        <v>24600</v>
      </c>
      <c r="B24601" s="2" t="str">
        <f>IFERROR(__xludf.DUMMYFUNCTION("GOOGLETRANSLATE(A24601, ""de"", ""en"")"),"cut off")</f>
        <v>cut off</v>
      </c>
    </row>
    <row r="24602">
      <c r="A24602" s="1" t="s">
        <v>24601</v>
      </c>
      <c r="B24602" s="2" t="str">
        <f>IFERROR(__xludf.DUMMYFUNCTION("GOOGLETRANSLATE(A24602, ""de"", ""en"")"),"ganges")</f>
        <v>ganges</v>
      </c>
    </row>
    <row r="24603">
      <c r="A24603" s="1" t="s">
        <v>24602</v>
      </c>
      <c r="B24603" s="2" t="str">
        <f>IFERROR(__xludf.DUMMYFUNCTION("GOOGLETRANSLATE(A24603, ""de"", ""en"")"),"mine")</f>
        <v>mine</v>
      </c>
    </row>
    <row r="24604">
      <c r="A24604" s="1" t="s">
        <v>24603</v>
      </c>
      <c r="B24604" s="2" t="str">
        <f>IFERROR(__xludf.DUMMYFUNCTION("GOOGLETRANSLATE(A24604, ""de"", ""en"")"),"applications")</f>
        <v>applications</v>
      </c>
    </row>
    <row r="24605">
      <c r="A24605" s="1" t="s">
        <v>24604</v>
      </c>
      <c r="B24605" s="2" t="str">
        <f>IFERROR(__xludf.DUMMYFUNCTION("GOOGLETRANSLATE(A24605, ""de"", ""en"")"),"choked")</f>
        <v>choked</v>
      </c>
    </row>
    <row r="24606">
      <c r="A24606" s="1" t="s">
        <v>24605</v>
      </c>
      <c r="B24606" s="2" t="str">
        <f>IFERROR(__xludf.DUMMYFUNCTION("GOOGLETRANSLATE(A24606, ""de"", ""en"")"),"confess")</f>
        <v>confess</v>
      </c>
    </row>
    <row r="24607">
      <c r="A24607" s="1" t="s">
        <v>24606</v>
      </c>
      <c r="B24607" s="2" t="str">
        <f>IFERROR(__xludf.DUMMYFUNCTION("GOOGLETRANSLATE(A24607, ""de"", ""en"")"),"double life")</f>
        <v>double life</v>
      </c>
    </row>
    <row r="24608">
      <c r="A24608" s="1" t="s">
        <v>24607</v>
      </c>
      <c r="B24608" s="2" t="str">
        <f>IFERROR(__xludf.DUMMYFUNCTION("GOOGLETRANSLATE(A24608, ""de"", ""en"")"),"bridger")</f>
        <v>bridger</v>
      </c>
    </row>
    <row r="24609">
      <c r="A24609" s="1" t="s">
        <v>24608</v>
      </c>
      <c r="B24609" s="2" t="str">
        <f>IFERROR(__xludf.DUMMYFUNCTION("GOOGLETRANSLATE(A24609, ""de"", ""en"")"),"prentiss")</f>
        <v>prentiss</v>
      </c>
    </row>
    <row r="24610">
      <c r="A24610" s="1" t="s">
        <v>24609</v>
      </c>
      <c r="B24610" s="2" t="str">
        <f>IFERROR(__xludf.DUMMYFUNCTION("GOOGLETRANSLATE(A24610, ""de"", ""en"")"),"yuji")</f>
        <v>yuji</v>
      </c>
    </row>
    <row r="24611">
      <c r="A24611" s="1" t="s">
        <v>24610</v>
      </c>
      <c r="B24611" s="2" t="str">
        <f>IFERROR(__xludf.DUMMYFUNCTION("GOOGLETRANSLATE(A24611, ""de"", ""en"")"),"to keep out")</f>
        <v>to keep out</v>
      </c>
    </row>
    <row r="24612">
      <c r="A24612" s="1" t="s">
        <v>24611</v>
      </c>
      <c r="B24612" s="2" t="str">
        <f>IFERROR(__xludf.DUMMYFUNCTION("GOOGLETRANSLATE(A24612, ""de"", ""en"")"),"pasadena")</f>
        <v>pasadena</v>
      </c>
    </row>
    <row r="24613">
      <c r="A24613" s="1" t="s">
        <v>24612</v>
      </c>
      <c r="B24613" s="2" t="str">
        <f>IFERROR(__xludf.DUMMYFUNCTION("GOOGLETRANSLATE(A24613, ""de"", ""en"")"),"clear")</f>
        <v>clear</v>
      </c>
    </row>
    <row r="24614">
      <c r="A24614" s="1" t="s">
        <v>24613</v>
      </c>
      <c r="B24614" s="2" t="str">
        <f>IFERROR(__xludf.DUMMYFUNCTION("GOOGLETRANSLATE(A24614, ""de"", ""en"")"),"compares")</f>
        <v>compares</v>
      </c>
    </row>
    <row r="24615">
      <c r="A24615" s="1" t="s">
        <v>24614</v>
      </c>
      <c r="B24615" s="2" t="str">
        <f>IFERROR(__xludf.DUMMYFUNCTION("GOOGLETRANSLATE(A24615, ""de"", ""en"")"),"volvo")</f>
        <v>volvo</v>
      </c>
    </row>
    <row r="24616">
      <c r="A24616" s="1" t="s">
        <v>24615</v>
      </c>
      <c r="B24616" s="2" t="str">
        <f>IFERROR(__xludf.DUMMYFUNCTION("GOOGLETRANSLATE(A24616, ""de"", ""en"")"),"estimated")</f>
        <v>estimated</v>
      </c>
    </row>
    <row r="24617">
      <c r="A24617" s="1" t="s">
        <v>24616</v>
      </c>
      <c r="B24617" s="2" t="str">
        <f>IFERROR(__xludf.DUMMYFUNCTION("GOOGLETRANSLATE(A24617, ""de"", ""en"")"),"get")</f>
        <v>get</v>
      </c>
    </row>
    <row r="24618">
      <c r="A24618" s="1" t="s">
        <v>24617</v>
      </c>
      <c r="B24618" s="2" t="str">
        <f>IFERROR(__xludf.DUMMYFUNCTION("GOOGLETRANSLATE(A24618, ""de"", ""en"")"),"potential")</f>
        <v>potential</v>
      </c>
    </row>
    <row r="24619">
      <c r="A24619" s="1" t="s">
        <v>24618</v>
      </c>
      <c r="B24619" s="2" t="str">
        <f>IFERROR(__xludf.DUMMYFUNCTION("GOOGLETRANSLATE(A24619, ""de"", ""en"")"),"race")</f>
        <v>race</v>
      </c>
    </row>
    <row r="24620">
      <c r="A24620" s="1" t="s">
        <v>24619</v>
      </c>
      <c r="B24620" s="2" t="str">
        <f>IFERROR(__xludf.DUMMYFUNCTION("GOOGLETRANSLATE(A24620, ""de"", ""en"")"),"aloha")</f>
        <v>aloha</v>
      </c>
    </row>
    <row r="24621">
      <c r="A24621" s="1" t="s">
        <v>24620</v>
      </c>
      <c r="B24621" s="2" t="str">
        <f>IFERROR(__xludf.DUMMYFUNCTION("GOOGLETRANSLATE(A24621, ""de"", ""en"")"),"assistant doctors")</f>
        <v>assistant doctors</v>
      </c>
    </row>
    <row r="24622">
      <c r="A24622" s="1" t="s">
        <v>24621</v>
      </c>
      <c r="B24622" s="2" t="str">
        <f>IFERROR(__xludf.DUMMYFUNCTION("GOOGLETRANSLATE(A24622, ""de"", ""en"")"),"manufactured")</f>
        <v>manufactured</v>
      </c>
    </row>
    <row r="24623">
      <c r="A24623" s="1" t="s">
        <v>24622</v>
      </c>
      <c r="B24623" s="2" t="str">
        <f>IFERROR(__xludf.DUMMYFUNCTION("GOOGLETRANSLATE(A24623, ""de"", ""en"")"),"ignorant")</f>
        <v>ignorant</v>
      </c>
    </row>
    <row r="24624">
      <c r="A24624" s="1" t="s">
        <v>24623</v>
      </c>
      <c r="B24624" s="2" t="str">
        <f>IFERROR(__xludf.DUMMYFUNCTION("GOOGLETRANSLATE(A24624, ""de"", ""en"")"),"remote")</f>
        <v>remote</v>
      </c>
    </row>
    <row r="24625">
      <c r="A24625" s="1" t="s">
        <v>24624</v>
      </c>
      <c r="B24625" s="2" t="str">
        <f>IFERROR(__xludf.DUMMYFUNCTION("GOOGLETRANSLATE(A24625, ""de"", ""en"")"),"pronto")</f>
        <v>pronto</v>
      </c>
    </row>
    <row r="24626">
      <c r="A24626" s="1" t="s">
        <v>24625</v>
      </c>
      <c r="B24626" s="2" t="str">
        <f>IFERROR(__xludf.DUMMYFUNCTION("GOOGLETRANSLATE(A24626, ""de"", ""en"")"),"Tehran")</f>
        <v>Tehran</v>
      </c>
    </row>
    <row r="24627">
      <c r="A24627" s="1" t="s">
        <v>24626</v>
      </c>
      <c r="B24627" s="2" t="str">
        <f>IFERROR(__xludf.DUMMYFUNCTION("GOOGLETRANSLATE(A24627, ""de"", ""en"")"),"sox")</f>
        <v>sox</v>
      </c>
    </row>
    <row r="24628">
      <c r="A24628" s="1" t="s">
        <v>24627</v>
      </c>
      <c r="B24628" s="2" t="str">
        <f>IFERROR(__xludf.DUMMYFUNCTION("GOOGLETRANSLATE(A24628, ""de"", ""en"")"),"optimal")</f>
        <v>optimal</v>
      </c>
    </row>
    <row r="24629">
      <c r="A24629" s="1" t="s">
        <v>24628</v>
      </c>
      <c r="B24629" s="2" t="str">
        <f>IFERROR(__xludf.DUMMYFUNCTION("GOOGLETRANSLATE(A24629, ""de"", ""en"")"),"gloves")</f>
        <v>gloves</v>
      </c>
    </row>
    <row r="24630">
      <c r="A24630" s="1" t="s">
        <v>24629</v>
      </c>
      <c r="B24630" s="2" t="str">
        <f>IFERROR(__xludf.DUMMYFUNCTION("GOOGLETRANSLATE(A24630, ""de"", ""en"")"),"symphony")</f>
        <v>symphony</v>
      </c>
    </row>
    <row r="24631">
      <c r="A24631" s="1" t="s">
        <v>24630</v>
      </c>
      <c r="B24631" s="2" t="str">
        <f>IFERROR(__xludf.DUMMYFUNCTION("GOOGLETRANSLATE(A24631, ""de"", ""en"")"),"kills")</f>
        <v>kills</v>
      </c>
    </row>
    <row r="24632">
      <c r="A24632" s="1" t="s">
        <v>24631</v>
      </c>
      <c r="B24632" s="2" t="str">
        <f>IFERROR(__xludf.DUMMYFUNCTION("GOOGLETRANSLATE(A24632, ""de"", ""en"")"),"tuberculosis")</f>
        <v>tuberculosis</v>
      </c>
    </row>
    <row r="24633">
      <c r="A24633" s="1" t="s">
        <v>24632</v>
      </c>
      <c r="B24633" s="2" t="str">
        <f>IFERROR(__xludf.DUMMYFUNCTION("GOOGLETRANSLATE(A24633, ""de"", ""en"")"),"corbin")</f>
        <v>corbin</v>
      </c>
    </row>
    <row r="24634">
      <c r="A24634" s="1" t="s">
        <v>24633</v>
      </c>
      <c r="B24634" s="2" t="str">
        <f>IFERROR(__xludf.DUMMYFUNCTION("GOOGLETRANSLATE(A24634, ""de"", ""en"")"),"institutes")</f>
        <v>institutes</v>
      </c>
    </row>
    <row r="24635">
      <c r="A24635" s="1" t="s">
        <v>24634</v>
      </c>
      <c r="B24635" s="2" t="str">
        <f>IFERROR(__xludf.DUMMYFUNCTION("GOOGLETRANSLATE(A24635, ""de"", ""en"")"),"amazing")</f>
        <v>amazing</v>
      </c>
    </row>
    <row r="24636">
      <c r="A24636" s="1" t="s">
        <v>24635</v>
      </c>
      <c r="B24636" s="2" t="str">
        <f>IFERROR(__xludf.DUMMYFUNCTION("GOOGLETRANSLATE(A24636, ""de"", ""en"")"),"stagecoach")</f>
        <v>stagecoach</v>
      </c>
    </row>
    <row r="24637">
      <c r="A24637" s="1" t="s">
        <v>24636</v>
      </c>
      <c r="B24637" s="2" t="str">
        <f>IFERROR(__xludf.DUMMYFUNCTION("GOOGLETRANSLATE(A24637, ""de"", ""en"")"),"wages")</f>
        <v>wages</v>
      </c>
    </row>
    <row r="24638">
      <c r="A24638" s="1" t="s">
        <v>24637</v>
      </c>
      <c r="B24638" s="2" t="str">
        <f>IFERROR(__xludf.DUMMYFUNCTION("GOOGLETRANSLATE(A24638, ""de"", ""en"")"),"dry")</f>
        <v>dry</v>
      </c>
    </row>
    <row r="24639">
      <c r="A24639" s="1" t="s">
        <v>24638</v>
      </c>
      <c r="B24639" s="2" t="str">
        <f>IFERROR(__xludf.DUMMYFUNCTION("GOOGLETRANSLATE(A24639, ""de"", ""en"")"),"jukebox")</f>
        <v>jukebox</v>
      </c>
    </row>
    <row r="24640">
      <c r="A24640" s="1" t="s">
        <v>24639</v>
      </c>
      <c r="B24640" s="2" t="str">
        <f>IFERROR(__xludf.DUMMYFUNCTION("GOOGLETRANSLATE(A24640, ""de"", ""en"")"),"tolerates")</f>
        <v>tolerates</v>
      </c>
    </row>
    <row r="24641">
      <c r="A24641" s="1" t="s">
        <v>24640</v>
      </c>
      <c r="B24641" s="2" t="str">
        <f>IFERROR(__xludf.DUMMYFUNCTION("GOOGLETRANSLATE(A24641, ""de"", ""en"")"),"surpass")</f>
        <v>surpass</v>
      </c>
    </row>
    <row r="24642">
      <c r="A24642" s="1" t="s">
        <v>24641</v>
      </c>
      <c r="B24642" s="2" t="str">
        <f>IFERROR(__xludf.DUMMYFUNCTION("GOOGLETRANSLATE(A24642, ""de"", ""en"")"),"show up")</f>
        <v>show up</v>
      </c>
    </row>
    <row r="24643">
      <c r="A24643" s="1" t="s">
        <v>24642</v>
      </c>
      <c r="B24643" s="2" t="str">
        <f>IFERROR(__xludf.DUMMYFUNCTION("GOOGLETRANSLATE(A24643, ""de"", ""en"")"),"task force")</f>
        <v>task force</v>
      </c>
    </row>
    <row r="24644">
      <c r="A24644" s="1" t="s">
        <v>24643</v>
      </c>
      <c r="B24644" s="2" t="str">
        <f>IFERROR(__xludf.DUMMYFUNCTION("GOOGLETRANSLATE(A24644, ""de"", ""en"")"),"restrictions")</f>
        <v>restrictions</v>
      </c>
    </row>
    <row r="24645">
      <c r="A24645" s="1" t="s">
        <v>24644</v>
      </c>
      <c r="B24645" s="2" t="str">
        <f>IFERROR(__xludf.DUMMYFUNCTION("GOOGLETRANSLATE(A24645, ""de"", ""en"")"),"irritable")</f>
        <v>irritable</v>
      </c>
    </row>
    <row r="24646">
      <c r="A24646" s="1" t="s">
        <v>24645</v>
      </c>
      <c r="B24646" s="2" t="str">
        <f>IFERROR(__xludf.DUMMYFUNCTION("GOOGLETRANSLATE(A24646, ""de"", ""en"")"),"wisdom")</f>
        <v>wisdom</v>
      </c>
    </row>
    <row r="24647">
      <c r="A24647" s="1" t="s">
        <v>24646</v>
      </c>
      <c r="B24647" s="2" t="str">
        <f>IFERROR(__xludf.DUMMYFUNCTION("GOOGLETRANSLATE(A24647, ""de"", ""en"")"),"gold")</f>
        <v>gold</v>
      </c>
    </row>
    <row r="24648">
      <c r="A24648" s="1" t="s">
        <v>24647</v>
      </c>
      <c r="B24648" s="2" t="str">
        <f>IFERROR(__xludf.DUMMYFUNCTION("GOOGLETRANSLATE(A24648, ""de"", ""en"")"),"bed")</f>
        <v>bed</v>
      </c>
    </row>
    <row r="24649">
      <c r="A24649" s="1" t="s">
        <v>24648</v>
      </c>
      <c r="B24649" s="2" t="str">
        <f>IFERROR(__xludf.DUMMYFUNCTION("GOOGLETRANSLATE(A24649, ""de"", ""en"")"),"impressions")</f>
        <v>impressions</v>
      </c>
    </row>
    <row r="24650">
      <c r="A24650" s="1" t="s">
        <v>24649</v>
      </c>
      <c r="B24650" s="2" t="str">
        <f>IFERROR(__xludf.DUMMYFUNCTION("GOOGLETRANSLATE(A24650, ""de"", ""en"")"),"witness protection")</f>
        <v>witness protection</v>
      </c>
    </row>
    <row r="24651">
      <c r="A24651" s="1" t="s">
        <v>24650</v>
      </c>
      <c r="B24651" s="2" t="str">
        <f>IFERROR(__xludf.DUMMYFUNCTION("GOOGLETRANSLATE(A24651, ""de"", ""en"")"),"Persian")</f>
        <v>Persian</v>
      </c>
    </row>
    <row r="24652">
      <c r="A24652" s="1" t="s">
        <v>24651</v>
      </c>
      <c r="B24652" s="2" t="str">
        <f>IFERROR(__xludf.DUMMYFUNCTION("GOOGLETRANSLATE(A24652, ""de"", ""en"")"),"heart palpitations")</f>
        <v>heart palpitations</v>
      </c>
    </row>
    <row r="24653">
      <c r="A24653" s="1" t="s">
        <v>24652</v>
      </c>
      <c r="B24653" s="2" t="str">
        <f>IFERROR(__xludf.DUMMYFUNCTION("GOOGLETRANSLATE(A24653, ""de"", ""en"")"),"hasta")</f>
        <v>hasta</v>
      </c>
    </row>
    <row r="24654">
      <c r="A24654" s="1" t="s">
        <v>24653</v>
      </c>
      <c r="B24654" s="2" t="str">
        <f>IFERROR(__xludf.DUMMYFUNCTION("GOOGLETRANSLATE(A24654, ""de"", ""en"")"),"intoxicated")</f>
        <v>intoxicated</v>
      </c>
    </row>
    <row r="24655">
      <c r="A24655" s="1" t="s">
        <v>24654</v>
      </c>
      <c r="B24655" s="2" t="str">
        <f>IFERROR(__xludf.DUMMYFUNCTION("GOOGLETRANSLATE(A24655, ""de"", ""en"")"),"amazing")</f>
        <v>amazing</v>
      </c>
    </row>
    <row r="24656">
      <c r="A24656" s="1" t="s">
        <v>24655</v>
      </c>
      <c r="B24656" s="2" t="str">
        <f>IFERROR(__xludf.DUMMYFUNCTION("GOOGLETRANSLATE(A24656, ""de"", ""en"")"),"citizen")</f>
        <v>citizen</v>
      </c>
    </row>
    <row r="24657">
      <c r="A24657" s="1" t="s">
        <v>24656</v>
      </c>
      <c r="B24657" s="2" t="str">
        <f>IFERROR(__xludf.DUMMYFUNCTION("GOOGLETRANSLATE(A24657, ""de"", ""en"")"),"magnificent")</f>
        <v>magnificent</v>
      </c>
    </row>
    <row r="24658">
      <c r="A24658" s="1" t="s">
        <v>24657</v>
      </c>
      <c r="B24658" s="2" t="str">
        <f>IFERROR(__xludf.DUMMYFUNCTION("GOOGLETRANSLATE(A24658, ""de"", ""en"")"),"Irish")</f>
        <v>Irish</v>
      </c>
    </row>
    <row r="24659">
      <c r="A24659" s="1" t="s">
        <v>24658</v>
      </c>
      <c r="B24659" s="2" t="str">
        <f>IFERROR(__xludf.DUMMYFUNCTION("GOOGLETRANSLATE(A24659, ""de"", ""en"")"),"vaccinate")</f>
        <v>vaccinate</v>
      </c>
    </row>
    <row r="24660">
      <c r="A24660" s="1" t="s">
        <v>24659</v>
      </c>
      <c r="B24660" s="2" t="str">
        <f>IFERROR(__xludf.DUMMYFUNCTION("GOOGLETRANSLATE(A24660, ""de"", ""en"")"),"demonstrated")</f>
        <v>demonstrated</v>
      </c>
    </row>
    <row r="24661">
      <c r="A24661" s="1" t="s">
        <v>24660</v>
      </c>
      <c r="B24661" s="2" t="str">
        <f>IFERROR(__xludf.DUMMYFUNCTION("GOOGLETRANSLATE(A24661, ""de"", ""en"")"),"empty")</f>
        <v>empty</v>
      </c>
    </row>
    <row r="24662">
      <c r="A24662" s="1" t="s">
        <v>24661</v>
      </c>
      <c r="B24662" s="2" t="str">
        <f>IFERROR(__xludf.DUMMYFUNCTION("GOOGLETRANSLATE(A24662, ""de"", ""en"")"),"dooku")</f>
        <v>dooku</v>
      </c>
    </row>
    <row r="24663">
      <c r="A24663" s="1" t="s">
        <v>24662</v>
      </c>
      <c r="B24663" s="2" t="str">
        <f>IFERROR(__xludf.DUMMYFUNCTION("GOOGLETRANSLATE(A24663, ""de"", ""en"")"),"barabbas")</f>
        <v>barabbas</v>
      </c>
    </row>
    <row r="24664">
      <c r="A24664" s="1" t="s">
        <v>24663</v>
      </c>
      <c r="B24664" s="2" t="str">
        <f>IFERROR(__xludf.DUMMYFUNCTION("GOOGLETRANSLATE(A24664, ""de"", ""en"")"),"accompanied")</f>
        <v>accompanied</v>
      </c>
    </row>
    <row r="24665">
      <c r="A24665" s="1" t="s">
        <v>24664</v>
      </c>
      <c r="B24665" s="2" t="str">
        <f>IFERROR(__xludf.DUMMYFUNCTION("GOOGLETRANSLATE(A24665, ""de"", ""en"")"),"acute")</f>
        <v>acute</v>
      </c>
    </row>
    <row r="24666">
      <c r="A24666" s="1" t="s">
        <v>24665</v>
      </c>
      <c r="B24666" s="2" t="str">
        <f>IFERROR(__xludf.DUMMYFUNCTION("GOOGLETRANSLATE(A24666, ""de"", ""en"")"),"colbert")</f>
        <v>colbert</v>
      </c>
    </row>
    <row r="24667">
      <c r="A24667" s="1" t="s">
        <v>24666</v>
      </c>
      <c r="B24667" s="2" t="str">
        <f>IFERROR(__xludf.DUMMYFUNCTION("GOOGLETRANSLATE(A24667, ""de"", ""en"")"),"jumpsuit")</f>
        <v>jumpsuit</v>
      </c>
    </row>
    <row r="24668">
      <c r="A24668" s="1" t="s">
        <v>24667</v>
      </c>
      <c r="B24668" s="2" t="str">
        <f>IFERROR(__xludf.DUMMYFUNCTION("GOOGLETRANSLATE(A24668, ""de"", ""en"")"),"social")</f>
        <v>social</v>
      </c>
    </row>
    <row r="24669">
      <c r="A24669" s="1" t="s">
        <v>24668</v>
      </c>
      <c r="B24669" s="2" t="str">
        <f>IFERROR(__xludf.DUMMYFUNCTION("GOOGLETRANSLATE(A24669, ""de"", ""en"")"),"double")</f>
        <v>double</v>
      </c>
    </row>
    <row r="24670">
      <c r="A24670" s="1" t="s">
        <v>24669</v>
      </c>
      <c r="B24670" s="2" t="str">
        <f>IFERROR(__xludf.DUMMYFUNCTION("GOOGLETRANSLATE(A24670, ""de"", ""en"")"),"plastic bag")</f>
        <v>plastic bag</v>
      </c>
    </row>
    <row r="24671">
      <c r="A24671" s="1" t="s">
        <v>24670</v>
      </c>
      <c r="B24671" s="2" t="str">
        <f>IFERROR(__xludf.DUMMYFUNCTION("GOOGLETRANSLATE(A24671, ""de"", ""en"")"),"operate")</f>
        <v>operate</v>
      </c>
    </row>
    <row r="24672">
      <c r="A24672" s="1" t="s">
        <v>24671</v>
      </c>
      <c r="B24672" s="2" t="str">
        <f>IFERROR(__xludf.DUMMYFUNCTION("GOOGLETRANSLATE(A24672, ""de"", ""en"")"),"groves")</f>
        <v>groves</v>
      </c>
    </row>
    <row r="24673">
      <c r="A24673" s="1" t="s">
        <v>24672</v>
      </c>
      <c r="B24673" s="2" t="str">
        <f>IFERROR(__xludf.DUMMYFUNCTION("GOOGLETRANSLATE(A24673, ""de"", ""en"")"),"ceasefire")</f>
        <v>ceasefire</v>
      </c>
    </row>
    <row r="24674">
      <c r="A24674" s="1" t="s">
        <v>24673</v>
      </c>
      <c r="B24674" s="2" t="str">
        <f>IFERROR(__xludf.DUMMYFUNCTION("GOOGLETRANSLATE(A24674, ""de"", ""en"")"),"guys")</f>
        <v>guys</v>
      </c>
    </row>
    <row r="24675">
      <c r="A24675" s="1" t="s">
        <v>24674</v>
      </c>
      <c r="B24675" s="2" t="str">
        <f>IFERROR(__xludf.DUMMYFUNCTION("GOOGLETRANSLATE(A24675, ""de"", ""en"")"),"crime")</f>
        <v>crime</v>
      </c>
    </row>
    <row r="24676">
      <c r="A24676" s="1" t="s">
        <v>24675</v>
      </c>
      <c r="B24676" s="2" t="str">
        <f>IFERROR(__xludf.DUMMYFUNCTION("GOOGLETRANSLATE(A24676, ""de"", ""en"")"),"Ilya")</f>
        <v>Ilya</v>
      </c>
    </row>
    <row r="24677">
      <c r="A24677" s="1" t="s">
        <v>24676</v>
      </c>
      <c r="B24677" s="2" t="str">
        <f>IFERROR(__xludf.DUMMYFUNCTION("GOOGLETRANSLATE(A24677, ""de"", ""en"")"),"sayonara")</f>
        <v>sayonara</v>
      </c>
    </row>
    <row r="24678">
      <c r="A24678" s="1" t="s">
        <v>24677</v>
      </c>
      <c r="B24678" s="2" t="str">
        <f>IFERROR(__xludf.DUMMYFUNCTION("GOOGLETRANSLATE(A24678, ""de"", ""en"")"),"marry")</f>
        <v>marry</v>
      </c>
    </row>
    <row r="24679">
      <c r="A24679" s="1" t="s">
        <v>24678</v>
      </c>
      <c r="B24679" s="2" t="str">
        <f>IFERROR(__xludf.DUMMYFUNCTION("GOOGLETRANSLATE(A24679, ""de"", ""en"")"),"cover")</f>
        <v>cover</v>
      </c>
    </row>
    <row r="24680">
      <c r="A24680" s="1" t="s">
        <v>24679</v>
      </c>
      <c r="B24680" s="2" t="str">
        <f>IFERROR(__xludf.DUMMYFUNCTION("GOOGLETRANSLATE(A24680, ""de"", ""en"")"),"wrong")</f>
        <v>wrong</v>
      </c>
    </row>
    <row r="24681">
      <c r="A24681" s="1" t="s">
        <v>24680</v>
      </c>
      <c r="B24681" s="2" t="str">
        <f>IFERROR(__xludf.DUMMYFUNCTION("GOOGLETRANSLATE(A24681, ""de"", ""en"")"),"optical")</f>
        <v>optical</v>
      </c>
    </row>
    <row r="24682">
      <c r="A24682" s="1" t="s">
        <v>24681</v>
      </c>
      <c r="B24682" s="2" t="str">
        <f>IFERROR(__xludf.DUMMYFUNCTION("GOOGLETRANSLATE(A24682, ""de"", ""en"")"),"rob")</f>
        <v>rob</v>
      </c>
    </row>
    <row r="24683">
      <c r="A24683" s="1" t="s">
        <v>24682</v>
      </c>
      <c r="B24683" s="2" t="str">
        <f>IFERROR(__xludf.DUMMYFUNCTION("GOOGLETRANSLATE(A24683, ""de"", ""en"")"),"shortest")</f>
        <v>shortest</v>
      </c>
    </row>
    <row r="24684">
      <c r="A24684" s="1" t="s">
        <v>24683</v>
      </c>
      <c r="B24684" s="2" t="str">
        <f>IFERROR(__xludf.DUMMYFUNCTION("GOOGLETRANSLATE(A24684, ""de"", ""en"")"),"mayfair")</f>
        <v>mayfair</v>
      </c>
    </row>
    <row r="24685">
      <c r="A24685" s="1" t="s">
        <v>24684</v>
      </c>
      <c r="B24685" s="2" t="str">
        <f>IFERROR(__xludf.DUMMYFUNCTION("GOOGLETRANSLATE(A24685, ""de"", ""en"")"),"rebbekah")</f>
        <v>rebbekah</v>
      </c>
    </row>
    <row r="24686">
      <c r="A24686" s="1" t="s">
        <v>24685</v>
      </c>
      <c r="B24686" s="2" t="str">
        <f>IFERROR(__xludf.DUMMYFUNCTION("GOOGLETRANSLATE(A24686, ""de"", ""en"")"),"rhino")</f>
        <v>rhino</v>
      </c>
    </row>
    <row r="24687">
      <c r="A24687" s="1" t="s">
        <v>24686</v>
      </c>
      <c r="B24687" s="2" t="str">
        <f>IFERROR(__xludf.DUMMYFUNCTION("GOOGLETRANSLATE(A24687, ""de"", ""en"")"),"scary")</f>
        <v>scary</v>
      </c>
    </row>
    <row r="24688">
      <c r="A24688" s="1" t="s">
        <v>24687</v>
      </c>
      <c r="B24688" s="2" t="str">
        <f>IFERROR(__xludf.DUMMYFUNCTION("GOOGLETRANSLATE(A24688, ""de"", ""en"")"),"barbaric")</f>
        <v>barbaric</v>
      </c>
    </row>
    <row r="24689">
      <c r="A24689" s="1" t="s">
        <v>24688</v>
      </c>
      <c r="B24689" s="2" t="str">
        <f>IFERROR(__xludf.DUMMYFUNCTION("GOOGLETRANSLATE(A24689, ""de"", ""en"")"),"bello")</f>
        <v>bello</v>
      </c>
    </row>
    <row r="24690">
      <c r="A24690" s="1" t="s">
        <v>24689</v>
      </c>
      <c r="B24690" s="2" t="str">
        <f>IFERROR(__xludf.DUMMYFUNCTION("GOOGLETRANSLATE(A24690, ""de"", ""en"")"),"clot")</f>
        <v>clot</v>
      </c>
    </row>
    <row r="24691">
      <c r="A24691" s="1" t="s">
        <v>24690</v>
      </c>
      <c r="B24691" s="2" t="str">
        <f>IFERROR(__xludf.DUMMYFUNCTION("GOOGLETRANSLATE(A24691, ""de"", ""en"")"),"immerse yourself")</f>
        <v>immerse yourself</v>
      </c>
    </row>
    <row r="24692">
      <c r="A24692" s="1" t="s">
        <v>24691</v>
      </c>
      <c r="B24692" s="2" t="str">
        <f>IFERROR(__xludf.DUMMYFUNCTION("GOOGLETRANSLATE(A24692, ""de"", ""en"")"),"thrower")</f>
        <v>thrower</v>
      </c>
    </row>
    <row r="24693">
      <c r="A24693" s="1" t="s">
        <v>24692</v>
      </c>
      <c r="B24693" s="2" t="str">
        <f>IFERROR(__xludf.DUMMYFUNCTION("GOOGLETRANSLATE(A24693, ""de"", ""en"")"),"neurological")</f>
        <v>neurological</v>
      </c>
    </row>
    <row r="24694">
      <c r="A24694" s="1" t="s">
        <v>24693</v>
      </c>
      <c r="B24694" s="2" t="str">
        <f>IFERROR(__xludf.DUMMYFUNCTION("GOOGLETRANSLATE(A24694, ""de"", ""en"")"),"to be carried out")</f>
        <v>to be carried out</v>
      </c>
    </row>
    <row r="24695">
      <c r="A24695" s="1" t="s">
        <v>24694</v>
      </c>
      <c r="B24695" s="2" t="str">
        <f>IFERROR(__xludf.DUMMYFUNCTION("GOOGLETRANSLATE(A24695, ""de"", ""en"")"),"fuentes")</f>
        <v>fuentes</v>
      </c>
    </row>
    <row r="24696">
      <c r="A24696" s="1" t="s">
        <v>24695</v>
      </c>
      <c r="B24696" s="2" t="str">
        <f>IFERROR(__xludf.DUMMYFUNCTION("GOOGLETRANSLATE(A24696, ""de"", ""en"")"),"capacity")</f>
        <v>capacity</v>
      </c>
    </row>
    <row r="24697">
      <c r="A24697" s="1" t="s">
        <v>24696</v>
      </c>
      <c r="B24697" s="2" t="str">
        <f>IFERROR(__xludf.DUMMYFUNCTION("GOOGLETRANSLATE(A24697, ""de"", ""en"")"),"complained")</f>
        <v>complained</v>
      </c>
    </row>
    <row r="24698">
      <c r="A24698" s="1" t="s">
        <v>24697</v>
      </c>
      <c r="B24698" s="2" t="str">
        <f>IFERROR(__xludf.DUMMYFUNCTION("GOOGLETRANSLATE(A24698, ""de"", ""en"")"),"washes")</f>
        <v>washes</v>
      </c>
    </row>
    <row r="24699">
      <c r="A24699" s="1" t="s">
        <v>24698</v>
      </c>
      <c r="B24699" s="2" t="str">
        <f>IFERROR(__xludf.DUMMYFUNCTION("GOOGLETRANSLATE(A24699, ""de"", ""en"")"),"wrap")</f>
        <v>wrap</v>
      </c>
    </row>
    <row r="24700">
      <c r="A24700" s="1" t="s">
        <v>24699</v>
      </c>
      <c r="B24700" s="2" t="str">
        <f>IFERROR(__xludf.DUMMYFUNCTION("GOOGLETRANSLATE(A24700, ""de"", ""en"")"),"comes")</f>
        <v>comes</v>
      </c>
    </row>
    <row r="24701">
      <c r="A24701" s="1" t="s">
        <v>24700</v>
      </c>
      <c r="B24701" s="2" t="str">
        <f>IFERROR(__xludf.DUMMYFUNCTION("GOOGLETRANSLATE(A24701, ""de"", ""en"")"),"dandy")</f>
        <v>dandy</v>
      </c>
    </row>
    <row r="24702">
      <c r="A24702" s="1" t="s">
        <v>24701</v>
      </c>
      <c r="B24702" s="2" t="str">
        <f>IFERROR(__xludf.DUMMYFUNCTION("GOOGLETRANSLATE(A24702, ""de"", ""en"")"),"mandatory")</f>
        <v>mandatory</v>
      </c>
    </row>
    <row r="24703">
      <c r="A24703" s="1" t="s">
        <v>24702</v>
      </c>
      <c r="B24703" s="2" t="str">
        <f>IFERROR(__xludf.DUMMYFUNCTION("GOOGLETRANSLATE(A24703, ""de"", ""en"")"),"to accommodate")</f>
        <v>to accommodate</v>
      </c>
    </row>
    <row r="24704">
      <c r="A24704" s="1" t="s">
        <v>24703</v>
      </c>
      <c r="B24704" s="2" t="str">
        <f>IFERROR(__xludf.DUMMYFUNCTION("GOOGLETRANSLATE(A24704, ""de"", ""en"")"),"giacomo")</f>
        <v>giacomo</v>
      </c>
    </row>
    <row r="24705">
      <c r="A24705" s="1" t="s">
        <v>24704</v>
      </c>
      <c r="B24705" s="2" t="str">
        <f>IFERROR(__xludf.DUMMYFUNCTION("GOOGLETRANSLATE(A24705, ""de"", ""en"")"),"richardson")</f>
        <v>richardson</v>
      </c>
    </row>
    <row r="24706">
      <c r="A24706" s="1" t="s">
        <v>24705</v>
      </c>
      <c r="B24706" s="2" t="str">
        <f>IFERROR(__xludf.DUMMYFUNCTION("GOOGLETRANSLATE(A24706, ""de"", ""en"")"),"duo")</f>
        <v>duo</v>
      </c>
    </row>
    <row r="24707">
      <c r="A24707" s="1" t="s">
        <v>24706</v>
      </c>
      <c r="B24707" s="2" t="str">
        <f>IFERROR(__xludf.DUMMYFUNCTION("GOOGLETRANSLATE(A24707, ""de"", ""en"")"),"habits")</f>
        <v>habits</v>
      </c>
    </row>
    <row r="24708">
      <c r="A24708" s="1" t="s">
        <v>24707</v>
      </c>
      <c r="B24708" s="2" t="str">
        <f>IFERROR(__xludf.DUMMYFUNCTION("GOOGLETRANSLATE(A24708, ""de"", ""en"")"),"que")</f>
        <v>que</v>
      </c>
    </row>
    <row r="24709">
      <c r="A24709" s="1" t="s">
        <v>24708</v>
      </c>
      <c r="B24709" s="2" t="str">
        <f>IFERROR(__xludf.DUMMYFUNCTION("GOOGLETRANSLATE(A24709, ""de"", ""en"")"),"addition")</f>
        <v>addition</v>
      </c>
    </row>
    <row r="24710">
      <c r="A24710" s="1" t="s">
        <v>24709</v>
      </c>
      <c r="B24710" s="2" t="str">
        <f>IFERROR(__xludf.DUMMYFUNCTION("GOOGLETRANSLATE(A24710, ""de"", ""en"")"),"Daniela")</f>
        <v>Daniela</v>
      </c>
    </row>
    <row r="24711">
      <c r="A24711" s="1" t="s">
        <v>24710</v>
      </c>
      <c r="B24711" s="2" t="str">
        <f>IFERROR(__xludf.DUMMYFUNCTION("GOOGLETRANSLATE(A24711, ""de"", ""en"")"),"bloodier")</f>
        <v>bloodier</v>
      </c>
    </row>
    <row r="24712">
      <c r="A24712" s="1" t="s">
        <v>24711</v>
      </c>
      <c r="B24712" s="2" t="str">
        <f>IFERROR(__xludf.DUMMYFUNCTION("GOOGLETRANSLATE(A24712, ""de"", ""en"")"),"beers")</f>
        <v>beers</v>
      </c>
    </row>
    <row r="24713">
      <c r="A24713" s="1" t="s">
        <v>24712</v>
      </c>
      <c r="B24713" s="2" t="str">
        <f>IFERROR(__xludf.DUMMYFUNCTION("GOOGLETRANSLATE(A24713, ""de"", ""en"")"),"cable")</f>
        <v>cable</v>
      </c>
    </row>
    <row r="24714">
      <c r="A24714" s="1" t="s">
        <v>24713</v>
      </c>
      <c r="B24714" s="2" t="str">
        <f>IFERROR(__xludf.DUMMYFUNCTION("GOOGLETRANSLATE(A24714, ""de"", ""en"")"),"take over")</f>
        <v>take over</v>
      </c>
    </row>
    <row r="24715">
      <c r="A24715" s="1" t="s">
        <v>24714</v>
      </c>
      <c r="B24715" s="2" t="str">
        <f>IFERROR(__xludf.DUMMYFUNCTION("GOOGLETRANSLATE(A24715, ""de"", ""en"")"),"irregular")</f>
        <v>irregular</v>
      </c>
    </row>
    <row r="24716">
      <c r="A24716" s="1" t="s">
        <v>24715</v>
      </c>
      <c r="B24716" s="2" t="str">
        <f>IFERROR(__xludf.DUMMYFUNCTION("GOOGLETRANSLATE(A24716, ""de"", ""en"")"),"Grigori")</f>
        <v>Grigori</v>
      </c>
    </row>
    <row r="24717">
      <c r="A24717" s="1" t="s">
        <v>24716</v>
      </c>
      <c r="B24717" s="2" t="str">
        <f>IFERROR(__xludf.DUMMYFUNCTION("GOOGLETRANSLATE(A24717, ""de"", ""en"")"),"drawn in")</f>
        <v>drawn in</v>
      </c>
    </row>
    <row r="24718">
      <c r="A24718" s="1" t="s">
        <v>24717</v>
      </c>
      <c r="B24718" s="2" t="str">
        <f>IFERROR(__xludf.DUMMYFUNCTION("GOOGLETRANSLATE(A24718, ""de"", ""en"")"),"supervise")</f>
        <v>supervise</v>
      </c>
    </row>
    <row r="24719">
      <c r="A24719" s="1" t="s">
        <v>24718</v>
      </c>
      <c r="B24719" s="2" t="str">
        <f>IFERROR(__xludf.DUMMYFUNCTION("GOOGLETRANSLATE(A24719, ""de"", ""en"")"),"Beckman")</f>
        <v>Beckman</v>
      </c>
    </row>
    <row r="24720">
      <c r="A24720" s="1" t="s">
        <v>24719</v>
      </c>
      <c r="B24720" s="2" t="str">
        <f>IFERROR(__xludf.DUMMYFUNCTION("GOOGLETRANSLATE(A24720, ""de"", ""en"")"),"consecrate")</f>
        <v>consecrate</v>
      </c>
    </row>
    <row r="24721">
      <c r="A24721" s="1" t="s">
        <v>24720</v>
      </c>
      <c r="B24721" s="2" t="str">
        <f>IFERROR(__xludf.DUMMYFUNCTION("GOOGLETRANSLATE(A24721, ""de"", ""en"")"),"ch.")</f>
        <v>ch.</v>
      </c>
    </row>
    <row r="24722">
      <c r="A24722" s="1" t="s">
        <v>24721</v>
      </c>
      <c r="B24722" s="2" t="str">
        <f>IFERROR(__xludf.DUMMYFUNCTION("GOOGLETRANSLATE(A24722, ""de"", ""en"")"),"melodies")</f>
        <v>melodies</v>
      </c>
    </row>
    <row r="24723">
      <c r="A24723" s="1" t="s">
        <v>24722</v>
      </c>
      <c r="B24723" s="2" t="str">
        <f>IFERROR(__xludf.DUMMYFUNCTION("GOOGLETRANSLATE(A24723, ""de"", ""en"")"),"distribute")</f>
        <v>distribute</v>
      </c>
    </row>
    <row r="24724">
      <c r="A24724" s="1" t="s">
        <v>24723</v>
      </c>
      <c r="B24724" s="2" t="str">
        <f>IFERROR(__xludf.DUMMYFUNCTION("GOOGLETRANSLATE(A24724, ""de"", ""en"")"),"lothar")</f>
        <v>lothar</v>
      </c>
    </row>
    <row r="24725">
      <c r="A24725" s="1" t="s">
        <v>24724</v>
      </c>
      <c r="B24725" s="2" t="str">
        <f>IFERROR(__xludf.DUMMYFUNCTION("GOOGLETRANSLATE(A24725, ""de"", ""en"")"),"urge")</f>
        <v>urge</v>
      </c>
    </row>
    <row r="24726">
      <c r="A24726" s="1" t="s">
        <v>24725</v>
      </c>
      <c r="B24726" s="2" t="str">
        <f>IFERROR(__xludf.DUMMYFUNCTION("GOOGLETRANSLATE(A24726, ""de"", ""en"")"),"spotted")</f>
        <v>spotted</v>
      </c>
    </row>
    <row r="24727">
      <c r="A24727" s="1" t="s">
        <v>24726</v>
      </c>
      <c r="B24727" s="2" t="str">
        <f>IFERROR(__xludf.DUMMYFUNCTION("GOOGLETRANSLATE(A24727, ""de"", ""en"")"),"standards")</f>
        <v>standards</v>
      </c>
    </row>
    <row r="24728">
      <c r="A24728" s="1" t="s">
        <v>24727</v>
      </c>
      <c r="B24728" s="2" t="str">
        <f>IFERROR(__xludf.DUMMYFUNCTION("GOOGLETRANSLATE(A24728, ""de"", ""en"")"),"scary")</f>
        <v>scary</v>
      </c>
    </row>
    <row r="24729">
      <c r="A24729" s="1" t="s">
        <v>24728</v>
      </c>
      <c r="B24729" s="2" t="str">
        <f>IFERROR(__xludf.DUMMYFUNCTION("GOOGLETRANSLATE(A24729, ""de"", ""en"")"),"come over")</f>
        <v>come over</v>
      </c>
    </row>
    <row r="24730">
      <c r="A24730" s="1" t="s">
        <v>24729</v>
      </c>
      <c r="B24730" s="2" t="str">
        <f>IFERROR(__xludf.DUMMYFUNCTION("GOOGLETRANSLATE(A24730, ""de"", ""en"")"),"wraps")</f>
        <v>wraps</v>
      </c>
    </row>
    <row r="24731">
      <c r="A24731" s="1" t="s">
        <v>24730</v>
      </c>
      <c r="B24731" s="2" t="str">
        <f>IFERROR(__xludf.DUMMYFUNCTION("GOOGLETRANSLATE(A24731, ""de"", ""en"")"),"steves")</f>
        <v>steves</v>
      </c>
    </row>
    <row r="24732">
      <c r="A24732" s="1" t="s">
        <v>24731</v>
      </c>
      <c r="B24732" s="2" t="str">
        <f>IFERROR(__xludf.DUMMYFUNCTION("GOOGLETRANSLATE(A24732, ""de"", ""en"")"),"ev")</f>
        <v>ev</v>
      </c>
    </row>
    <row r="24733">
      <c r="A24733" s="1" t="s">
        <v>24732</v>
      </c>
      <c r="B24733" s="2" t="str">
        <f>IFERROR(__xludf.DUMMYFUNCTION("GOOGLETRANSLATE(A24733, ""de"", ""en"")"),"would do")</f>
        <v>would do</v>
      </c>
    </row>
    <row r="24734">
      <c r="A24734" s="1" t="s">
        <v>24733</v>
      </c>
      <c r="B24734" s="2" t="str">
        <f>IFERROR(__xludf.DUMMYFUNCTION("GOOGLETRANSLATE(A24734, ""de"", ""en"")"),"other")</f>
        <v>other</v>
      </c>
    </row>
    <row r="24735">
      <c r="A24735" s="1" t="s">
        <v>24734</v>
      </c>
      <c r="B24735" s="2" t="str">
        <f>IFERROR(__xludf.DUMMYFUNCTION("GOOGLETRANSLATE(A24735, ""de"", ""en"")"),"spare")</f>
        <v>spare</v>
      </c>
    </row>
    <row r="24736">
      <c r="A24736" s="1" t="s">
        <v>24735</v>
      </c>
      <c r="B24736" s="2" t="str">
        <f>IFERROR(__xludf.DUMMYFUNCTION("GOOGLETRANSLATE(A24736, ""de"", ""en"")"),"Donaldson")</f>
        <v>Donaldson</v>
      </c>
    </row>
    <row r="24737">
      <c r="A24737" s="1" t="s">
        <v>24736</v>
      </c>
      <c r="B24737" s="2" t="str">
        <f>IFERROR(__xludf.DUMMYFUNCTION("GOOGLETRANSLATE(A24737, ""de"", ""en"")"),"surveillance videos")</f>
        <v>surveillance videos</v>
      </c>
    </row>
    <row r="24738">
      <c r="A24738" s="1" t="s">
        <v>24737</v>
      </c>
      <c r="B24738" s="2" t="str">
        <f>IFERROR(__xludf.DUMMYFUNCTION("GOOGLETRANSLATE(A24738, ""de"", ""en"")"),"tres")</f>
        <v>tres</v>
      </c>
    </row>
    <row r="24739">
      <c r="A24739" s="1" t="s">
        <v>24738</v>
      </c>
      <c r="B24739" s="2" t="str">
        <f>IFERROR(__xludf.DUMMYFUNCTION("GOOGLETRANSLATE(A24739, ""de"", ""en"")"),"feeble-minded")</f>
        <v>feeble-minded</v>
      </c>
    </row>
    <row r="24740">
      <c r="A24740" s="1" t="s">
        <v>24739</v>
      </c>
      <c r="B24740" s="2" t="str">
        <f>IFERROR(__xludf.DUMMYFUNCTION("GOOGLETRANSLATE(A24740, ""de"", ""en"")"),"granddaughter")</f>
        <v>granddaughter</v>
      </c>
    </row>
    <row r="24741">
      <c r="A24741" s="1" t="s">
        <v>24740</v>
      </c>
      <c r="B24741" s="2" t="str">
        <f>IFERROR(__xludf.DUMMYFUNCTION("GOOGLETRANSLATE(A24741, ""de"", ""en"")"),"boatswain")</f>
        <v>boatswain</v>
      </c>
    </row>
    <row r="24742">
      <c r="A24742" s="1" t="s">
        <v>24741</v>
      </c>
      <c r="B24742" s="2" t="str">
        <f>IFERROR(__xludf.DUMMYFUNCTION("GOOGLETRANSLATE(A24742, ""de"", ""en"")"),"vanguard")</f>
        <v>vanguard</v>
      </c>
    </row>
    <row r="24743">
      <c r="A24743" s="1" t="s">
        <v>24742</v>
      </c>
      <c r="B24743" s="2" t="str">
        <f>IFERROR(__xludf.DUMMYFUNCTION("GOOGLETRANSLATE(A24743, ""de"", ""en"")"),"safe and sound")</f>
        <v>safe and sound</v>
      </c>
    </row>
    <row r="24744">
      <c r="A24744" s="1" t="s">
        <v>24743</v>
      </c>
      <c r="B24744" s="2" t="str">
        <f>IFERROR(__xludf.DUMMYFUNCTION("GOOGLETRANSLATE(A24744, ""de"", ""en"")"),"ankle bracelet")</f>
        <v>ankle bracelet</v>
      </c>
    </row>
    <row r="24745">
      <c r="A24745" s="1" t="s">
        <v>24744</v>
      </c>
      <c r="B24745" s="2" t="str">
        <f>IFERROR(__xludf.DUMMYFUNCTION("GOOGLETRANSLATE(A24745, ""de"", ""en"")"),"see through")</f>
        <v>see through</v>
      </c>
    </row>
    <row r="24746">
      <c r="A24746" s="1" t="s">
        <v>24745</v>
      </c>
      <c r="B24746" s="2" t="str">
        <f>IFERROR(__xludf.DUMMYFUNCTION("GOOGLETRANSLATE(A24746, ""de"", ""en"")"),"Presley")</f>
        <v>Presley</v>
      </c>
    </row>
    <row r="24747">
      <c r="A24747" s="1" t="s">
        <v>24746</v>
      </c>
      <c r="B24747" s="2" t="str">
        <f>IFERROR(__xludf.DUMMYFUNCTION("GOOGLETRANSLATE(A24747, ""de"", ""en"")"),"helpless")</f>
        <v>helpless</v>
      </c>
    </row>
    <row r="24748">
      <c r="A24748" s="1" t="s">
        <v>24747</v>
      </c>
      <c r="B24748" s="2" t="str">
        <f>IFERROR(__xludf.DUMMYFUNCTION("GOOGLETRANSLATE(A24748, ""de"", ""en"")"),"cashier")</f>
        <v>cashier</v>
      </c>
    </row>
    <row r="24749">
      <c r="A24749" s="1" t="s">
        <v>24748</v>
      </c>
      <c r="B24749" s="2" t="str">
        <f>IFERROR(__xludf.DUMMYFUNCTION("GOOGLETRANSLATE(A24749, ""de"", ""en"")"),"intend")</f>
        <v>intend</v>
      </c>
    </row>
    <row r="24750">
      <c r="A24750" s="1" t="s">
        <v>24749</v>
      </c>
      <c r="B24750" s="2" t="str">
        <f>IFERROR(__xludf.DUMMYFUNCTION("GOOGLETRANSLATE(A24750, ""de"", ""en"")"),"pour")</f>
        <v>pour</v>
      </c>
    </row>
    <row r="24751">
      <c r="A24751" s="1" t="s">
        <v>24750</v>
      </c>
      <c r="B24751" s="2" t="str">
        <f>IFERROR(__xludf.DUMMYFUNCTION("GOOGLETRANSLATE(A24751, ""de"", ""en"")"),"lonely")</f>
        <v>lonely</v>
      </c>
    </row>
    <row r="24752">
      <c r="A24752" s="1" t="s">
        <v>24751</v>
      </c>
      <c r="B24752" s="2" t="str">
        <f>IFERROR(__xludf.DUMMYFUNCTION("GOOGLETRANSLATE(A24752, ""de"", ""en"")"),"more useless")</f>
        <v>more useless</v>
      </c>
    </row>
    <row r="24753">
      <c r="A24753" s="1" t="s">
        <v>24752</v>
      </c>
      <c r="B24753" s="2" t="str">
        <f>IFERROR(__xludf.DUMMYFUNCTION("GOOGLETRANSLATE(A24753, ""de"", ""en"")"),"purrs")</f>
        <v>purrs</v>
      </c>
    </row>
    <row r="24754">
      <c r="A24754" s="1" t="s">
        <v>24753</v>
      </c>
      <c r="B24754" s="2" t="str">
        <f>IFERROR(__xludf.DUMMYFUNCTION("GOOGLETRANSLATE(A24754, ""de"", ""en"")"),"military police")</f>
        <v>military police</v>
      </c>
    </row>
    <row r="24755">
      <c r="A24755" s="1" t="s">
        <v>24754</v>
      </c>
      <c r="B24755" s="2" t="str">
        <f>IFERROR(__xludf.DUMMYFUNCTION("GOOGLETRANSLATE(A24755, ""de"", ""en"")"),"deleted")</f>
        <v>deleted</v>
      </c>
    </row>
    <row r="24756">
      <c r="A24756" s="1" t="s">
        <v>24755</v>
      </c>
      <c r="B24756" s="2" t="str">
        <f>IFERROR(__xludf.DUMMYFUNCTION("GOOGLETRANSLATE(A24756, ""de"", ""en"")"),"galavan")</f>
        <v>galavan</v>
      </c>
    </row>
    <row r="24757">
      <c r="A24757" s="1" t="s">
        <v>24756</v>
      </c>
      <c r="B24757" s="2" t="str">
        <f>IFERROR(__xludf.DUMMYFUNCTION("GOOGLETRANSLATE(A24757, ""de"", ""en"")"),"intelligent")</f>
        <v>intelligent</v>
      </c>
    </row>
    <row r="24758">
      <c r="A24758" s="1" t="s">
        <v>24757</v>
      </c>
      <c r="B24758" s="2" t="str">
        <f>IFERROR(__xludf.DUMMYFUNCTION("GOOGLETRANSLATE(A24758, ""de"", ""en"")"),"rocket launcher")</f>
        <v>rocket launcher</v>
      </c>
    </row>
    <row r="24759">
      <c r="A24759" s="1" t="s">
        <v>24758</v>
      </c>
      <c r="B24759" s="2" t="str">
        <f>IFERROR(__xludf.DUMMYFUNCTION("GOOGLETRANSLATE(A24759, ""de"", ""en"")"),"whore")</f>
        <v>whore</v>
      </c>
    </row>
    <row r="24760">
      <c r="A24760" s="1" t="s">
        <v>24759</v>
      </c>
      <c r="B24760" s="2" t="str">
        <f>IFERROR(__xludf.DUMMYFUNCTION("GOOGLETRANSLATE(A24760, ""de"", ""en"")"),"lost")</f>
        <v>lost</v>
      </c>
    </row>
    <row r="24761">
      <c r="A24761" s="1" t="s">
        <v>24760</v>
      </c>
      <c r="B24761" s="2" t="str">
        <f>IFERROR(__xludf.DUMMYFUNCTION("GOOGLETRANSLATE(A24761, ""de"", ""en"")"),"smeared")</f>
        <v>smeared</v>
      </c>
    </row>
    <row r="24762">
      <c r="A24762" s="1" t="s">
        <v>24761</v>
      </c>
      <c r="B24762" s="2" t="str">
        <f>IFERROR(__xludf.DUMMYFUNCTION("GOOGLETRANSLATE(A24762, ""de"", ""en"")"),"significant")</f>
        <v>significant</v>
      </c>
    </row>
    <row r="24763">
      <c r="A24763" s="1" t="s">
        <v>24762</v>
      </c>
      <c r="B24763" s="2" t="str">
        <f>IFERROR(__xludf.DUMMYFUNCTION("GOOGLETRANSLATE(A24763, ""de"", ""en"")"),"bumpy")</f>
        <v>bumpy</v>
      </c>
    </row>
    <row r="24764">
      <c r="A24764" s="1" t="s">
        <v>24763</v>
      </c>
      <c r="B24764" s="2" t="str">
        <f>IFERROR(__xludf.DUMMYFUNCTION("GOOGLETRANSLATE(A24764, ""de"", ""en"")"),"more mysterious")</f>
        <v>more mysterious</v>
      </c>
    </row>
    <row r="24765">
      <c r="A24765" s="1" t="s">
        <v>24764</v>
      </c>
      <c r="B24765" s="2" t="str">
        <f>IFERROR(__xludf.DUMMYFUNCTION("GOOGLETRANSLATE(A24765, ""de"", ""en"")"),"piste")</f>
        <v>piste</v>
      </c>
    </row>
    <row r="24766">
      <c r="A24766" s="1" t="s">
        <v>24765</v>
      </c>
      <c r="B24766" s="2" t="str">
        <f>IFERROR(__xludf.DUMMYFUNCTION("GOOGLETRANSLATE(A24766, ""de"", ""en"")"),"countess")</f>
        <v>countess</v>
      </c>
    </row>
    <row r="24767">
      <c r="A24767" s="1" t="s">
        <v>24766</v>
      </c>
      <c r="B24767" s="2" t="str">
        <f>IFERROR(__xludf.DUMMYFUNCTION("GOOGLETRANSLATE(A24767, ""de"", ""en"")"),"hide")</f>
        <v>hide</v>
      </c>
    </row>
    <row r="24768">
      <c r="A24768" s="1" t="s">
        <v>24767</v>
      </c>
      <c r="B24768" s="2" t="str">
        <f>IFERROR(__xludf.DUMMYFUNCTION("GOOGLETRANSLATE(A24768, ""de"", ""en"")"),"exploited")</f>
        <v>exploited</v>
      </c>
    </row>
    <row r="24769">
      <c r="A24769" s="1" t="s">
        <v>24768</v>
      </c>
      <c r="B24769" s="2" t="str">
        <f>IFERROR(__xludf.DUMMYFUNCTION("GOOGLETRANSLATE(A24769, ""de"", ""en"")"),"interested parties")</f>
        <v>interested parties</v>
      </c>
    </row>
    <row r="24770">
      <c r="A24770" s="1" t="s">
        <v>24769</v>
      </c>
      <c r="B24770" s="2" t="str">
        <f>IFERROR(__xludf.DUMMYFUNCTION("GOOGLETRANSLATE(A24770, ""de"", ""en"")"),"rappers")</f>
        <v>rappers</v>
      </c>
    </row>
    <row r="24771">
      <c r="A24771" s="1" t="s">
        <v>24770</v>
      </c>
      <c r="B24771" s="2" t="str">
        <f>IFERROR(__xludf.DUMMYFUNCTION("GOOGLETRANSLATE(A24771, ""de"", ""en"")"),"reflected")</f>
        <v>reflected</v>
      </c>
    </row>
    <row r="24772">
      <c r="A24772" s="1" t="s">
        <v>24771</v>
      </c>
      <c r="B24772" s="2" t="str">
        <f>IFERROR(__xludf.DUMMYFUNCTION("GOOGLETRANSLATE(A24772, ""de"", ""en"")"),"track")</f>
        <v>track</v>
      </c>
    </row>
    <row r="24773">
      <c r="A24773" s="1" t="s">
        <v>24772</v>
      </c>
      <c r="B24773" s="2" t="str">
        <f>IFERROR(__xludf.DUMMYFUNCTION("GOOGLETRANSLATE(A24773, ""de"", ""en"")"),"poop")</f>
        <v>poop</v>
      </c>
    </row>
    <row r="24774">
      <c r="A24774" s="1" t="s">
        <v>24773</v>
      </c>
      <c r="B24774" s="2" t="str">
        <f>IFERROR(__xludf.DUMMYFUNCTION("GOOGLETRANSLATE(A24774, ""de"", ""en"")"),"fine")</f>
        <v>fine</v>
      </c>
    </row>
    <row r="24775">
      <c r="A24775" s="1" t="s">
        <v>24774</v>
      </c>
      <c r="B24775" s="2" t="str">
        <f>IFERROR(__xludf.DUMMYFUNCTION("GOOGLETRANSLATE(A24775, ""de"", ""en"")"),"uhh")</f>
        <v>uhh</v>
      </c>
    </row>
    <row r="24776">
      <c r="A24776" s="1" t="s">
        <v>24775</v>
      </c>
      <c r="B24776" s="2" t="str">
        <f>IFERROR(__xludf.DUMMYFUNCTION("GOOGLETRANSLATE(A24776, ""de"", ""en"")"),"jims")</f>
        <v>jims</v>
      </c>
    </row>
    <row r="24777">
      <c r="A24777" s="1" t="s">
        <v>24776</v>
      </c>
      <c r="B24777" s="2" t="str">
        <f>IFERROR(__xludf.DUMMYFUNCTION("GOOGLETRANSLATE(A24777, ""de"", ""en"")"),"worldwide")</f>
        <v>worldwide</v>
      </c>
    </row>
    <row r="24778">
      <c r="A24778" s="1" t="s">
        <v>24777</v>
      </c>
      <c r="B24778" s="2" t="str">
        <f>IFERROR(__xludf.DUMMYFUNCTION("GOOGLETRANSLATE(A24778, ""de"", ""en"")"),"Daniel")</f>
        <v>Daniel</v>
      </c>
    </row>
    <row r="24779">
      <c r="A24779" s="1" t="s">
        <v>24778</v>
      </c>
      <c r="B24779" s="2" t="str">
        <f>IFERROR(__xludf.DUMMYFUNCTION("GOOGLETRANSLATE(A24779, ""de"", ""en"")"),"Isaac")</f>
        <v>Isaac</v>
      </c>
    </row>
    <row r="24780">
      <c r="A24780" s="1" t="s">
        <v>24779</v>
      </c>
      <c r="B24780" s="2" t="str">
        <f>IFERROR(__xludf.DUMMYFUNCTION("GOOGLETRANSLATE(A24780, ""de"", ""en"")"),"ds")</f>
        <v>ds</v>
      </c>
    </row>
    <row r="24781">
      <c r="A24781" s="1" t="s">
        <v>24780</v>
      </c>
      <c r="B24781" s="2" t="str">
        <f>IFERROR(__xludf.DUMMYFUNCTION("GOOGLETRANSLATE(A24781, ""de"", ""en"")"),"bottom line")</f>
        <v>bottom line</v>
      </c>
    </row>
    <row r="24782">
      <c r="A24782" s="1" t="s">
        <v>24781</v>
      </c>
      <c r="B24782" s="2" t="str">
        <f>IFERROR(__xludf.DUMMYFUNCTION("GOOGLETRANSLATE(A24782, ""de"", ""en"")"),"cbi")</f>
        <v>cbi</v>
      </c>
    </row>
    <row r="24783">
      <c r="A24783" s="1" t="s">
        <v>24782</v>
      </c>
      <c r="B24783" s="2" t="str">
        <f>IFERROR(__xludf.DUMMYFUNCTION("GOOGLETRANSLATE(A24783, ""de"", ""en"")"),"temple")</f>
        <v>temple</v>
      </c>
    </row>
    <row r="24784">
      <c r="A24784" s="1" t="s">
        <v>24783</v>
      </c>
      <c r="B24784" s="2" t="str">
        <f>IFERROR(__xludf.DUMMYFUNCTION("GOOGLETRANSLATE(A24784, ""de"", ""en"")"),"amazing")</f>
        <v>amazing</v>
      </c>
    </row>
    <row r="24785">
      <c r="A24785" s="1" t="s">
        <v>24784</v>
      </c>
      <c r="B24785" s="2" t="str">
        <f>IFERROR(__xludf.DUMMYFUNCTION("GOOGLETRANSLATE(A24785, ""de"", ""en"")"),"snooty")</f>
        <v>snooty</v>
      </c>
    </row>
    <row r="24786">
      <c r="A24786" s="1" t="s">
        <v>24785</v>
      </c>
      <c r="B24786" s="2" t="str">
        <f>IFERROR(__xludf.DUMMYFUNCTION("GOOGLETRANSLATE(A24786, ""de"", ""en"")"),"navi")</f>
        <v>navi</v>
      </c>
    </row>
    <row r="24787">
      <c r="A24787" s="1" t="s">
        <v>24786</v>
      </c>
      <c r="B24787" s="2" t="str">
        <f>IFERROR(__xludf.DUMMYFUNCTION("GOOGLETRANSLATE(A24787, ""de"", ""en"")"),"chandelier")</f>
        <v>chandelier</v>
      </c>
    </row>
    <row r="24788">
      <c r="A24788" s="1" t="s">
        <v>24787</v>
      </c>
      <c r="B24788" s="2" t="str">
        <f>IFERROR(__xludf.DUMMYFUNCTION("GOOGLETRANSLATE(A24788, ""de"", ""en"")"),"ferret")</f>
        <v>ferret</v>
      </c>
    </row>
    <row r="24789">
      <c r="A24789" s="1" t="s">
        <v>24788</v>
      </c>
      <c r="B24789" s="2" t="str">
        <f>IFERROR(__xludf.DUMMYFUNCTION("GOOGLETRANSLATE(A24789, ""de"", ""en"")"),"committees")</f>
        <v>committees</v>
      </c>
    </row>
    <row r="24790">
      <c r="A24790" s="1" t="s">
        <v>24789</v>
      </c>
      <c r="B24790" s="2" t="str">
        <f>IFERROR(__xludf.DUMMYFUNCTION("GOOGLETRANSLATE(A24790, ""de"", ""en"")"),"minivan")</f>
        <v>minivan</v>
      </c>
    </row>
    <row r="24791">
      <c r="A24791" s="1" t="s">
        <v>24790</v>
      </c>
      <c r="B24791" s="2" t="str">
        <f>IFERROR(__xludf.DUMMYFUNCTION("GOOGLETRANSLATE(A24791, ""de"", ""en"")"),"stables")</f>
        <v>stables</v>
      </c>
    </row>
    <row r="24792">
      <c r="A24792" s="1" t="s">
        <v>24791</v>
      </c>
      <c r="B24792" s="2" t="str">
        <f>IFERROR(__xludf.DUMMYFUNCTION("GOOGLETRANSLATE(A24792, ""de"", ""en"")"),"cover")</f>
        <v>cover</v>
      </c>
    </row>
    <row r="24793">
      <c r="A24793" s="1" t="s">
        <v>24792</v>
      </c>
      <c r="B24793" s="2" t="str">
        <f>IFERROR(__xludf.DUMMYFUNCTION("GOOGLETRANSLATE(A24793, ""de"", ""en"")"),"blasting")</f>
        <v>blasting</v>
      </c>
    </row>
    <row r="24794">
      <c r="A24794" s="1" t="s">
        <v>24793</v>
      </c>
      <c r="B24794" s="2" t="str">
        <f>IFERROR(__xludf.DUMMYFUNCTION("GOOGLETRANSLATE(A24794, ""de"", ""en"")"),"stable")</f>
        <v>stable</v>
      </c>
    </row>
    <row r="24795">
      <c r="A24795" s="1" t="s">
        <v>24794</v>
      </c>
      <c r="B24795" s="2" t="str">
        <f>IFERROR(__xludf.DUMMYFUNCTION("GOOGLETRANSLATE(A24795, ""de"", ""en"")"),"board")</f>
        <v>board</v>
      </c>
    </row>
    <row r="24796">
      <c r="A24796" s="1" t="s">
        <v>24795</v>
      </c>
      <c r="B24796" s="2" t="str">
        <f>IFERROR(__xludf.DUMMYFUNCTION("GOOGLETRANSLATE(A24796, ""de"", ""en"")"),"looked like")</f>
        <v>looked like</v>
      </c>
    </row>
    <row r="24797">
      <c r="A24797" s="1" t="s">
        <v>24796</v>
      </c>
      <c r="B24797" s="2" t="str">
        <f>IFERROR(__xludf.DUMMYFUNCTION("GOOGLETRANSLATE(A24797, ""de"", ""en"")"),"odd")</f>
        <v>odd</v>
      </c>
    </row>
    <row r="24798">
      <c r="A24798" s="1" t="s">
        <v>24797</v>
      </c>
      <c r="B24798" s="2" t="str">
        <f>IFERROR(__xludf.DUMMYFUNCTION("GOOGLETRANSLATE(A24798, ""de"", ""en"")"),"Galileo")</f>
        <v>Galileo</v>
      </c>
    </row>
    <row r="24799">
      <c r="A24799" s="1" t="s">
        <v>24798</v>
      </c>
      <c r="B24799" s="2" t="str">
        <f>IFERROR(__xludf.DUMMYFUNCTION("GOOGLETRANSLATE(A24799, ""de"", ""en"")"),"bankers")</f>
        <v>bankers</v>
      </c>
    </row>
    <row r="24800">
      <c r="A24800" s="1" t="s">
        <v>24799</v>
      </c>
      <c r="B24800" s="2" t="str">
        <f>IFERROR(__xludf.DUMMYFUNCTION("GOOGLETRANSLATE(A24800, ""de"", ""en"")"),"takeshi")</f>
        <v>takeshi</v>
      </c>
    </row>
    <row r="24801">
      <c r="A24801" s="1" t="s">
        <v>24800</v>
      </c>
      <c r="B24801" s="2" t="str">
        <f>IFERROR(__xludf.DUMMYFUNCTION("GOOGLETRANSLATE(A24801, ""de"", ""en"")"),"overn")</f>
        <v>overn</v>
      </c>
    </row>
    <row r="24802">
      <c r="A24802" s="1" t="s">
        <v>24801</v>
      </c>
      <c r="B24802" s="2" t="str">
        <f>IFERROR(__xludf.DUMMYFUNCTION("GOOGLETRANSLATE(A24802, ""de"", ""en"")"),"anonymity")</f>
        <v>anonymity</v>
      </c>
    </row>
    <row r="24803">
      <c r="A24803" s="1" t="s">
        <v>24802</v>
      </c>
      <c r="B24803" s="2" t="str">
        <f>IFERROR(__xludf.DUMMYFUNCTION("GOOGLETRANSLATE(A24803, ""de"", ""en"")"),"daddy")</f>
        <v>daddy</v>
      </c>
    </row>
    <row r="24804">
      <c r="A24804" s="1" t="s">
        <v>24803</v>
      </c>
      <c r="B24804" s="2" t="str">
        <f>IFERROR(__xludf.DUMMYFUNCTION("GOOGLETRANSLATE(A24804, ""de"", ""en"")"),"shapes")</f>
        <v>shapes</v>
      </c>
    </row>
    <row r="24805">
      <c r="A24805" s="1" t="s">
        <v>24804</v>
      </c>
      <c r="B24805" s="2" t="str">
        <f>IFERROR(__xludf.DUMMYFUNCTION("GOOGLETRANSLATE(A24805, ""de"", ""en"")"),"ungrateful")</f>
        <v>ungrateful</v>
      </c>
    </row>
    <row r="24806">
      <c r="A24806" s="1" t="s">
        <v>24805</v>
      </c>
      <c r="B24806" s="2" t="str">
        <f>IFERROR(__xludf.DUMMYFUNCTION("GOOGLETRANSLATE(A24806, ""de"", ""en"")"),"most distant")</f>
        <v>most distant</v>
      </c>
    </row>
    <row r="24807">
      <c r="A24807" s="1" t="s">
        <v>24806</v>
      </c>
      <c r="B24807" s="2" t="str">
        <f>IFERROR(__xludf.DUMMYFUNCTION("GOOGLETRANSLATE(A24807, ""de"", ""en"")"),"yeah")</f>
        <v>yeah</v>
      </c>
    </row>
    <row r="24808">
      <c r="A24808" s="1" t="s">
        <v>24807</v>
      </c>
      <c r="B24808" s="2" t="str">
        <f>IFERROR(__xludf.DUMMYFUNCTION("GOOGLETRANSLATE(A24808, ""de"", ""en"")"),"tolerate")</f>
        <v>tolerate</v>
      </c>
    </row>
    <row r="24809">
      <c r="A24809" s="1" t="s">
        <v>24808</v>
      </c>
      <c r="B24809" s="2" t="str">
        <f>IFERROR(__xludf.DUMMYFUNCTION("GOOGLETRANSLATE(A24809, ""de"", ""en"")"),"on top of that")</f>
        <v>on top of that</v>
      </c>
    </row>
    <row r="24810">
      <c r="A24810" s="1" t="s">
        <v>24809</v>
      </c>
      <c r="B24810" s="2" t="str">
        <f>IFERROR(__xludf.DUMMYFUNCTION("GOOGLETRANSLATE(A24810, ""de"", ""en"")"),"lanterns")</f>
        <v>lanterns</v>
      </c>
    </row>
    <row r="24811">
      <c r="A24811" s="1" t="s">
        <v>24810</v>
      </c>
      <c r="B24811" s="2" t="str">
        <f>IFERROR(__xludf.DUMMYFUNCTION("GOOGLETRANSLATE(A24811, ""de"", ""en"")"),"caracas")</f>
        <v>caracas</v>
      </c>
    </row>
    <row r="24812">
      <c r="A24812" s="1" t="s">
        <v>24811</v>
      </c>
      <c r="B24812" s="2" t="str">
        <f>IFERROR(__xludf.DUMMYFUNCTION("GOOGLETRANSLATE(A24812, ""de"", ""en"")"),"acknowledge")</f>
        <v>acknowledge</v>
      </c>
    </row>
    <row r="24813">
      <c r="A24813" s="1" t="s">
        <v>24812</v>
      </c>
      <c r="B24813" s="2" t="str">
        <f>IFERROR(__xludf.DUMMYFUNCTION("GOOGLETRANSLATE(A24813, ""de"", ""en"")"),"Karsten")</f>
        <v>Karsten</v>
      </c>
    </row>
    <row r="24814">
      <c r="A24814" s="1" t="s">
        <v>24813</v>
      </c>
      <c r="B24814" s="2" t="str">
        <f>IFERROR(__xludf.DUMMYFUNCTION("GOOGLETRANSLATE(A24814, ""de"", ""en"")"),"chf6bd15")</f>
        <v>chf6bd15</v>
      </c>
    </row>
    <row r="24815">
      <c r="A24815" s="1" t="s">
        <v>24814</v>
      </c>
      <c r="B24815" s="2" t="str">
        <f>IFERROR(__xludf.DUMMYFUNCTION("GOOGLETRANSLATE(A24815, ""de"", ""en"")"),"boxed")</f>
        <v>boxed</v>
      </c>
    </row>
    <row r="24816">
      <c r="A24816" s="1" t="s">
        <v>24815</v>
      </c>
      <c r="B24816" s="2" t="str">
        <f>IFERROR(__xludf.DUMMYFUNCTION("GOOGLETRANSLATE(A24816, ""de"", ""en"")"),"clairvoyance")</f>
        <v>clairvoyance</v>
      </c>
    </row>
    <row r="24817">
      <c r="A24817" s="1" t="s">
        <v>24816</v>
      </c>
      <c r="B24817" s="2" t="str">
        <f>IFERROR(__xludf.DUMMYFUNCTION("GOOGLETRANSLATE(A24817, ""de"", ""en"")"),"taser")</f>
        <v>taser</v>
      </c>
    </row>
    <row r="24818">
      <c r="A24818" s="1" t="s">
        <v>24817</v>
      </c>
      <c r="B24818" s="2" t="str">
        <f>IFERROR(__xludf.DUMMYFUNCTION("GOOGLETRANSLATE(A24818, ""de"", ""en"")"),"negotiable")</f>
        <v>negotiable</v>
      </c>
    </row>
    <row r="24819">
      <c r="A24819" s="1" t="s">
        <v>24818</v>
      </c>
      <c r="B24819" s="2" t="str">
        <f>IFERROR(__xludf.DUMMYFUNCTION("GOOGLETRANSLATE(A24819, ""de"", ""en"")"),"dios")</f>
        <v>dios</v>
      </c>
    </row>
    <row r="24820">
      <c r="A24820" s="1" t="s">
        <v>24819</v>
      </c>
      <c r="B24820" s="2" t="str">
        <f>IFERROR(__xludf.DUMMYFUNCTION("GOOGLETRANSLATE(A24820, ""de"", ""en"")"),"warheads")</f>
        <v>warheads</v>
      </c>
    </row>
    <row r="24821">
      <c r="A24821" s="1" t="s">
        <v>24820</v>
      </c>
      <c r="B24821" s="2" t="str">
        <f>IFERROR(__xludf.DUMMYFUNCTION("GOOGLETRANSLATE(A24821, ""de"", ""en"")"),"harvests")</f>
        <v>harvests</v>
      </c>
    </row>
    <row r="24822">
      <c r="A24822" s="1" t="s">
        <v>24821</v>
      </c>
      <c r="B24822" s="2" t="str">
        <f>IFERROR(__xludf.DUMMYFUNCTION("GOOGLETRANSLATE(A24822, ""de"", ""en"")"),"institutions")</f>
        <v>institutions</v>
      </c>
    </row>
    <row r="24823">
      <c r="A24823" s="1" t="s">
        <v>24822</v>
      </c>
      <c r="B24823" s="2" t="str">
        <f>IFERROR(__xludf.DUMMYFUNCTION("GOOGLETRANSLATE(A24823, ""de"", ""en"")"),"morgans")</f>
        <v>morgans</v>
      </c>
    </row>
    <row r="24824">
      <c r="A24824" s="1" t="s">
        <v>24823</v>
      </c>
      <c r="B24824" s="2" t="str">
        <f>IFERROR(__xludf.DUMMYFUNCTION("GOOGLETRANSLATE(A24824, ""de"", ""en"")"),"ozzy")</f>
        <v>ozzy</v>
      </c>
    </row>
    <row r="24825">
      <c r="A24825" s="1" t="s">
        <v>24824</v>
      </c>
      <c r="B24825" s="2" t="str">
        <f>IFERROR(__xludf.DUMMYFUNCTION("GOOGLETRANSLATE(A24825, ""de"", ""en"")"),"bridge")</f>
        <v>bridge</v>
      </c>
    </row>
    <row r="24826">
      <c r="A24826" s="1" t="s">
        <v>24825</v>
      </c>
      <c r="B24826" s="2" t="str">
        <f>IFERROR(__xludf.DUMMYFUNCTION("GOOGLETRANSLATE(A24826, ""de"", ""en"")"),"rescue operation")</f>
        <v>rescue operation</v>
      </c>
    </row>
    <row r="24827">
      <c r="A24827" s="1" t="s">
        <v>24826</v>
      </c>
      <c r="B24827" s="2" t="str">
        <f>IFERROR(__xludf.DUMMYFUNCTION("GOOGLETRANSLATE(A24827, ""de"", ""en"")"),"barber")</f>
        <v>barber</v>
      </c>
    </row>
    <row r="24828">
      <c r="A24828" s="1" t="s">
        <v>24827</v>
      </c>
      <c r="B24828" s="2" t="str">
        <f>IFERROR(__xludf.DUMMYFUNCTION("GOOGLETRANSLATE(A24828, ""de"", ""en"")"),"wake-up call")</f>
        <v>wake-up call</v>
      </c>
    </row>
    <row r="24829">
      <c r="A24829" s="1" t="s">
        <v>24828</v>
      </c>
      <c r="B24829" s="2" t="str">
        <f>IFERROR(__xludf.DUMMYFUNCTION("GOOGLETRANSLATE(A24829, ""de"", ""en"")"),"stolen")</f>
        <v>stolen</v>
      </c>
    </row>
    <row r="24830">
      <c r="A24830" s="1" t="s">
        <v>24829</v>
      </c>
      <c r="B24830" s="2" t="str">
        <f>IFERROR(__xludf.DUMMYFUNCTION("GOOGLETRANSLATE(A24830, ""de"", ""en"")"),"close combat")</f>
        <v>close combat</v>
      </c>
    </row>
    <row r="24831">
      <c r="A24831" s="1" t="s">
        <v>24830</v>
      </c>
      <c r="B24831" s="2" t="str">
        <f>IFERROR(__xludf.DUMMYFUNCTION("GOOGLETRANSLATE(A24831, ""de"", ""en"")"),"bonds")</f>
        <v>bonds</v>
      </c>
    </row>
    <row r="24832">
      <c r="A24832" s="1" t="s">
        <v>24831</v>
      </c>
      <c r="B24832" s="2" t="str">
        <f>IFERROR(__xludf.DUMMYFUNCTION("GOOGLETRANSLATE(A24832, ""de"", ""en"")"),"schimanski")</f>
        <v>schimanski</v>
      </c>
    </row>
    <row r="24833">
      <c r="A24833" s="1" t="s">
        <v>24832</v>
      </c>
      <c r="B24833" s="2" t="str">
        <f>IFERROR(__xludf.DUMMYFUNCTION("GOOGLETRANSLATE(A24833, ""de"", ""en"")"),"spooner")</f>
        <v>spooner</v>
      </c>
    </row>
    <row r="24834">
      <c r="A24834" s="1" t="s">
        <v>24833</v>
      </c>
      <c r="B24834" s="2" t="str">
        <f>IFERROR(__xludf.DUMMYFUNCTION("GOOGLETRANSLATE(A24834, ""de"", ""en"")"),"dominus")</f>
        <v>dominus</v>
      </c>
    </row>
    <row r="24835">
      <c r="A24835" s="1" t="s">
        <v>24834</v>
      </c>
      <c r="B24835" s="2" t="str">
        <f>IFERROR(__xludf.DUMMYFUNCTION("GOOGLETRANSLATE(A24835, ""de"", ""en"")"),"smurfs")</f>
        <v>smurfs</v>
      </c>
    </row>
    <row r="24836">
      <c r="A24836" s="1" t="s">
        <v>24835</v>
      </c>
      <c r="B24836" s="2" t="str">
        <f>IFERROR(__xludf.DUMMYFUNCTION("GOOGLETRANSLATE(A24836, ""de"", ""en"")"),"unusual")</f>
        <v>unusual</v>
      </c>
    </row>
    <row r="24837">
      <c r="A24837" s="1" t="s">
        <v>24836</v>
      </c>
      <c r="B24837" s="2" t="str">
        <f>IFERROR(__xludf.DUMMYFUNCTION("GOOGLETRANSLATE(A24837, ""de"", ""en"")"),"weak points")</f>
        <v>weak points</v>
      </c>
    </row>
    <row r="24838">
      <c r="A24838" s="1" t="s">
        <v>24837</v>
      </c>
      <c r="B24838" s="2" t="str">
        <f>IFERROR(__xludf.DUMMYFUNCTION("GOOGLETRANSLATE(A24838, ""de"", ""en"")"),"embarks")</f>
        <v>embarks</v>
      </c>
    </row>
    <row r="24839">
      <c r="A24839" s="1" t="s">
        <v>24838</v>
      </c>
      <c r="B24839" s="2" t="str">
        <f>IFERROR(__xludf.DUMMYFUNCTION("GOOGLETRANSLATE(A24839, ""de"", ""en"")"),"zpm")</f>
        <v>zpm</v>
      </c>
    </row>
    <row r="24840">
      <c r="A24840" s="1" t="s">
        <v>24839</v>
      </c>
      <c r="B24840" s="2" t="str">
        <f>IFERROR(__xludf.DUMMYFUNCTION("GOOGLETRANSLATE(A24840, ""de"", ""en"")"),"round")</f>
        <v>round</v>
      </c>
    </row>
    <row r="24841">
      <c r="A24841" s="1" t="s">
        <v>24840</v>
      </c>
      <c r="B24841" s="2" t="str">
        <f>IFERROR(__xludf.DUMMYFUNCTION("GOOGLETRANSLATE(A24841, ""de"", ""en"")"),"kensi")</f>
        <v>kensi</v>
      </c>
    </row>
    <row r="24842">
      <c r="A24842" s="1" t="s">
        <v>24841</v>
      </c>
      <c r="B24842" s="2" t="str">
        <f>IFERROR(__xludf.DUMMYFUNCTION("GOOGLETRANSLATE(A24842, ""de"", ""en"")"),"input")</f>
        <v>input</v>
      </c>
    </row>
    <row r="24843">
      <c r="A24843" s="1" t="s">
        <v>24842</v>
      </c>
      <c r="B24843" s="2" t="str">
        <f>IFERROR(__xludf.DUMMYFUNCTION("GOOGLETRANSLATE(A24843, ""de"", ""en"")"),"chardonnay")</f>
        <v>chardonnay</v>
      </c>
    </row>
    <row r="24844">
      <c r="A24844" s="1" t="s">
        <v>24843</v>
      </c>
      <c r="B24844" s="2" t="str">
        <f>IFERROR(__xludf.DUMMYFUNCTION("GOOGLETRANSLATE(A24844, ""de"", ""en"")"),"blocked")</f>
        <v>blocked</v>
      </c>
    </row>
    <row r="24845">
      <c r="A24845" s="1" t="s">
        <v>24844</v>
      </c>
      <c r="B24845" s="2" t="str">
        <f>IFERROR(__xludf.DUMMYFUNCTION("GOOGLETRANSLATE(A24845, ""de"", ""en"")"),"roast beef")</f>
        <v>roast beef</v>
      </c>
    </row>
    <row r="24846">
      <c r="A24846" s="1" t="s">
        <v>24845</v>
      </c>
      <c r="B24846" s="2" t="str">
        <f>IFERROR(__xludf.DUMMYFUNCTION("GOOGLETRANSLATE(A24846, ""de"", ""en"")"),"Constantinople")</f>
        <v>Constantinople</v>
      </c>
    </row>
    <row r="24847">
      <c r="A24847" s="1" t="s">
        <v>24846</v>
      </c>
      <c r="B24847" s="2" t="str">
        <f>IFERROR(__xludf.DUMMYFUNCTION("GOOGLETRANSLATE(A24847, ""de"", ""en"")"),"miraculous")</f>
        <v>miraculous</v>
      </c>
    </row>
    <row r="24848">
      <c r="A24848" s="1" t="s">
        <v>24847</v>
      </c>
      <c r="B24848" s="2" t="str">
        <f>IFERROR(__xludf.DUMMYFUNCTION("GOOGLETRANSLATE(A24848, ""de"", ""en"")"),"holla")</f>
        <v>holla</v>
      </c>
    </row>
    <row r="24849">
      <c r="A24849" s="1" t="s">
        <v>24848</v>
      </c>
      <c r="B24849" s="2" t="str">
        <f>IFERROR(__xludf.DUMMYFUNCTION("GOOGLETRANSLATE(A24849, ""de"", ""en"")"),"slide")</f>
        <v>slide</v>
      </c>
    </row>
    <row r="24850">
      <c r="A24850" s="1" t="s">
        <v>24849</v>
      </c>
      <c r="B24850" s="2" t="str">
        <f>IFERROR(__xludf.DUMMYFUNCTION("GOOGLETRANSLATE(A24850, ""de"", ""en"")"),"add to")</f>
        <v>add to</v>
      </c>
    </row>
    <row r="24851">
      <c r="A24851" s="1" t="s">
        <v>24850</v>
      </c>
      <c r="B24851" s="2" t="str">
        <f>IFERROR(__xludf.DUMMYFUNCTION("GOOGLETRANSLATE(A24851, ""de"", ""en"")"),"habitat")</f>
        <v>habitat</v>
      </c>
    </row>
    <row r="24852">
      <c r="A24852" s="1" t="s">
        <v>24851</v>
      </c>
      <c r="B24852" s="2" t="str">
        <f>IFERROR(__xludf.DUMMYFUNCTION("GOOGLETRANSLATE(A24852, ""de"", ""en"")"),"lower")</f>
        <v>lower</v>
      </c>
    </row>
    <row r="24853">
      <c r="A24853" s="1" t="s">
        <v>24852</v>
      </c>
      <c r="B24853" s="2" t="str">
        <f>IFERROR(__xludf.DUMMYFUNCTION("GOOGLETRANSLATE(A24853, ""de"", ""en"")"),"poets")</f>
        <v>poets</v>
      </c>
    </row>
    <row r="24854">
      <c r="A24854" s="1" t="s">
        <v>24853</v>
      </c>
      <c r="B24854" s="2" t="str">
        <f>IFERROR(__xludf.DUMMYFUNCTION("GOOGLETRANSLATE(A24854, ""de"", ""en"")"),"something like that")</f>
        <v>something like that</v>
      </c>
    </row>
    <row r="24855">
      <c r="A24855" s="1" t="s">
        <v>24854</v>
      </c>
      <c r="B24855" s="2" t="str">
        <f>IFERROR(__xludf.DUMMYFUNCTION("GOOGLETRANSLATE(A24855, ""de"", ""en"")"),"sink")</f>
        <v>sink</v>
      </c>
    </row>
    <row r="24856">
      <c r="A24856" s="1" t="s">
        <v>24855</v>
      </c>
      <c r="B24856" s="2" t="str">
        <f>IFERROR(__xludf.DUMMYFUNCTION("GOOGLETRANSLATE(A24856, ""de"", ""en"")"),"audi")</f>
        <v>audi</v>
      </c>
    </row>
    <row r="24857">
      <c r="A24857" s="1" t="s">
        <v>24856</v>
      </c>
      <c r="B24857" s="2" t="str">
        <f>IFERROR(__xludf.DUMMYFUNCTION("GOOGLETRANSLATE(A24857, ""de"", ""en"")"),"Crowe")</f>
        <v>Crowe</v>
      </c>
    </row>
    <row r="24858">
      <c r="A24858" s="1" t="s">
        <v>24857</v>
      </c>
      <c r="B24858" s="2" t="str">
        <f>IFERROR(__xludf.DUMMYFUNCTION("GOOGLETRANSLATE(A24858, ""de"", ""en"")"),"experience")</f>
        <v>experience</v>
      </c>
    </row>
    <row r="24859">
      <c r="A24859" s="1" t="s">
        <v>24858</v>
      </c>
      <c r="B24859" s="2" t="str">
        <f>IFERROR(__xludf.DUMMYFUNCTION("GOOGLETRANSLATE(A24859, ""de"", ""en"")"),"elwood")</f>
        <v>elwood</v>
      </c>
    </row>
    <row r="24860">
      <c r="A24860" s="1" t="s">
        <v>24859</v>
      </c>
      <c r="B24860" s="2" t="str">
        <f>IFERROR(__xludf.DUMMYFUNCTION("GOOGLETRANSLATE(A24860, ""de"", ""en"")"),"destitute")</f>
        <v>destitute</v>
      </c>
    </row>
    <row r="24861">
      <c r="A24861" s="1" t="s">
        <v>24860</v>
      </c>
      <c r="B24861" s="2" t="str">
        <f>IFERROR(__xludf.DUMMYFUNCTION("GOOGLETRANSLATE(A24861, ""de"", ""en"")"),"clubhouse")</f>
        <v>clubhouse</v>
      </c>
    </row>
    <row r="24862">
      <c r="A24862" s="1" t="s">
        <v>24861</v>
      </c>
      <c r="B24862" s="2" t="str">
        <f>IFERROR(__xludf.DUMMYFUNCTION("GOOGLETRANSLATE(A24862, ""de"", ""en"")"),"Bernice")</f>
        <v>Bernice</v>
      </c>
    </row>
    <row r="24863">
      <c r="A24863" s="1" t="s">
        <v>24862</v>
      </c>
      <c r="B24863" s="2" t="str">
        <f>IFERROR(__xludf.DUMMYFUNCTION("GOOGLETRANSLATE(A24863, ""de"", ""en"")"),"exm")</f>
        <v>exm</v>
      </c>
    </row>
    <row r="24864">
      <c r="A24864" s="1" t="s">
        <v>24863</v>
      </c>
      <c r="B24864" s="2" t="str">
        <f>IFERROR(__xludf.DUMMYFUNCTION("GOOGLETRANSLATE(A24864, ""de"", ""en"")"),"vee")</f>
        <v>vee</v>
      </c>
    </row>
    <row r="24865">
      <c r="A24865" s="1" t="s">
        <v>24864</v>
      </c>
      <c r="B24865" s="2" t="str">
        <f>IFERROR(__xludf.DUMMYFUNCTION("GOOGLETRANSLATE(A24865, ""de"", ""en"")"),"loathed")</f>
        <v>loathed</v>
      </c>
    </row>
    <row r="24866">
      <c r="A24866" s="1" t="s">
        <v>24865</v>
      </c>
      <c r="B24866" s="2" t="str">
        <f>IFERROR(__xludf.DUMMYFUNCTION("GOOGLETRANSLATE(A24866, ""de"", ""en"")"),"foods")</f>
        <v>foods</v>
      </c>
    </row>
    <row r="24867">
      <c r="A24867" s="1" t="s">
        <v>24866</v>
      </c>
      <c r="B24867" s="2" t="str">
        <f>IFERROR(__xludf.DUMMYFUNCTION("GOOGLETRANSLATE(A24867, ""de"", ""en"")"),"kincaid")</f>
        <v>kincaid</v>
      </c>
    </row>
    <row r="24868">
      <c r="A24868" s="1" t="s">
        <v>24867</v>
      </c>
      <c r="B24868" s="2" t="str">
        <f>IFERROR(__xludf.DUMMYFUNCTION("GOOGLETRANSLATE(A24868, ""de"", ""en"")"),"snatch away")</f>
        <v>snatch away</v>
      </c>
    </row>
    <row r="24869">
      <c r="A24869" s="1" t="s">
        <v>24868</v>
      </c>
      <c r="B24869" s="2" t="str">
        <f>IFERROR(__xludf.DUMMYFUNCTION("GOOGLETRANSLATE(A24869, ""de"", ""en"")"),"pour")</f>
        <v>pour</v>
      </c>
    </row>
    <row r="24870">
      <c r="A24870" s="1" t="s">
        <v>24869</v>
      </c>
      <c r="B24870" s="2" t="str">
        <f>IFERROR(__xludf.DUMMYFUNCTION("GOOGLETRANSLATE(A24870, ""de"", ""en"")"),"arch enemy")</f>
        <v>arch enemy</v>
      </c>
    </row>
    <row r="24871">
      <c r="A24871" s="1" t="s">
        <v>24870</v>
      </c>
      <c r="B24871" s="2" t="str">
        <f>IFERROR(__xludf.DUMMYFUNCTION("GOOGLETRANSLATE(A24871, ""de"", ""en"")"),"confiscate")</f>
        <v>confiscate</v>
      </c>
    </row>
    <row r="24872">
      <c r="A24872" s="1" t="s">
        <v>24871</v>
      </c>
      <c r="B24872" s="2" t="str">
        <f>IFERROR(__xludf.DUMMYFUNCTION("GOOGLETRANSLATE(A24872, ""de"", ""en"")"),"race")</f>
        <v>race</v>
      </c>
    </row>
    <row r="24873">
      <c r="A24873" s="1" t="s">
        <v>24872</v>
      </c>
      <c r="B24873" s="2" t="str">
        <f>IFERROR(__xludf.DUMMYFUNCTION("GOOGLETRANSLATE(A24873, ""de"", ""en"")"),"crucified")</f>
        <v>crucified</v>
      </c>
    </row>
    <row r="24874">
      <c r="A24874" s="1" t="s">
        <v>24873</v>
      </c>
      <c r="B24874" s="2" t="str">
        <f>IFERROR(__xludf.DUMMYFUNCTION("GOOGLETRANSLATE(A24874, ""de"", ""en"")"),"genocide")</f>
        <v>genocide</v>
      </c>
    </row>
    <row r="24875">
      <c r="A24875" s="1" t="s">
        <v>24874</v>
      </c>
      <c r="B24875" s="2" t="str">
        <f>IFERROR(__xludf.DUMMYFUNCTION("GOOGLETRANSLATE(A24875, ""de"", ""en"")"),"misbehavior")</f>
        <v>misbehavior</v>
      </c>
    </row>
    <row r="24876">
      <c r="A24876" s="1" t="s">
        <v>24875</v>
      </c>
      <c r="B24876" s="2" t="str">
        <f>IFERROR(__xludf.DUMMYFUNCTION("GOOGLETRANSLATE(A24876, ""de"", ""en"")"),"replace")</f>
        <v>replace</v>
      </c>
    </row>
    <row r="24877">
      <c r="A24877" s="1" t="s">
        <v>24876</v>
      </c>
      <c r="B24877" s="2" t="str">
        <f>IFERROR(__xludf.DUMMYFUNCTION("GOOGLETRANSLATE(A24877, ""de"", ""en"")"),"postpones")</f>
        <v>postpones</v>
      </c>
    </row>
    <row r="24878">
      <c r="A24878" s="1" t="s">
        <v>24877</v>
      </c>
      <c r="B24878" s="2" t="str">
        <f>IFERROR(__xludf.DUMMYFUNCTION("GOOGLETRANSLATE(A24878, ""de"", ""en"")"),"mortgages")</f>
        <v>mortgages</v>
      </c>
    </row>
    <row r="24879">
      <c r="A24879" s="1" t="s">
        <v>24878</v>
      </c>
      <c r="B24879" s="2" t="str">
        <f>IFERROR(__xludf.DUMMYFUNCTION("GOOGLETRANSLATE(A24879, ""de"", ""en"")"),"knock out")</f>
        <v>knock out</v>
      </c>
    </row>
    <row r="24880">
      <c r="A24880" s="1" t="s">
        <v>24879</v>
      </c>
      <c r="B24880" s="2" t="str">
        <f>IFERROR(__xludf.DUMMYFUNCTION("GOOGLETRANSLATE(A24880, ""de"", ""en"")"),"processes")</f>
        <v>processes</v>
      </c>
    </row>
    <row r="24881">
      <c r="A24881" s="1" t="s">
        <v>24880</v>
      </c>
      <c r="B24881" s="2" t="str">
        <f>IFERROR(__xludf.DUMMYFUNCTION("GOOGLETRANSLATE(A24881, ""de"", ""en"")"),"Ulrike")</f>
        <v>Ulrike</v>
      </c>
    </row>
    <row r="24882">
      <c r="A24882" s="1" t="s">
        <v>24881</v>
      </c>
      <c r="B24882" s="2" t="str">
        <f>IFERROR(__xludf.DUMMYFUNCTION("GOOGLETRANSLATE(A24882, ""de"", ""en"")"),"accused")</f>
        <v>accused</v>
      </c>
    </row>
    <row r="24883">
      <c r="A24883" s="1" t="s">
        <v>24882</v>
      </c>
      <c r="B24883" s="2" t="str">
        <f>IFERROR(__xludf.DUMMYFUNCTION("GOOGLETRANSLATE(A24883, ""de"", ""en"")"),"Nilsson")</f>
        <v>Nilsson</v>
      </c>
    </row>
    <row r="24884">
      <c r="A24884" s="1" t="s">
        <v>24883</v>
      </c>
      <c r="B24884" s="2" t="str">
        <f>IFERROR(__xludf.DUMMYFUNCTION("GOOGLETRANSLATE(A24884, ""de"", ""en"")"),"bite off")</f>
        <v>bite off</v>
      </c>
    </row>
    <row r="24885">
      <c r="A24885" s="1" t="s">
        <v>24884</v>
      </c>
      <c r="B24885" s="2" t="str">
        <f>IFERROR(__xludf.DUMMYFUNCTION("GOOGLETRANSLATE(A24885, ""de"", ""en"")"),"describe")</f>
        <v>describe</v>
      </c>
    </row>
    <row r="24886">
      <c r="A24886" s="1" t="s">
        <v>24885</v>
      </c>
      <c r="B24886" s="2" t="str">
        <f>IFERROR(__xludf.DUMMYFUNCTION("GOOGLETRANSLATE(A24886, ""de"", ""en"")"),"quintus")</f>
        <v>quintus</v>
      </c>
    </row>
    <row r="24887">
      <c r="A24887" s="1" t="s">
        <v>24886</v>
      </c>
      <c r="B24887" s="2" t="str">
        <f>IFERROR(__xludf.DUMMYFUNCTION("GOOGLETRANSLATE(A24887, ""de"", ""en"")"),"incurred")</f>
        <v>incurred</v>
      </c>
    </row>
    <row r="24888">
      <c r="A24888" s="1" t="s">
        <v>24887</v>
      </c>
      <c r="B24888" s="2" t="str">
        <f>IFERROR(__xludf.DUMMYFUNCTION("GOOGLETRANSLATE(A24888, ""de"", ""en"")"),"boarding gate")</f>
        <v>boarding gate</v>
      </c>
    </row>
    <row r="24889">
      <c r="A24889" s="1" t="s">
        <v>24888</v>
      </c>
      <c r="B24889" s="2" t="str">
        <f>IFERROR(__xludf.DUMMYFUNCTION("GOOGLETRANSLATE(A24889, ""de"", ""en"")"),"larsen")</f>
        <v>larsen</v>
      </c>
    </row>
    <row r="24890">
      <c r="A24890" s="1" t="s">
        <v>24889</v>
      </c>
      <c r="B24890" s="2" t="str">
        <f>IFERROR(__xludf.DUMMYFUNCTION("GOOGLETRANSLATE(A24890, ""de"", ""en"")"),"delirium")</f>
        <v>delirium</v>
      </c>
    </row>
    <row r="24891">
      <c r="A24891" s="1" t="s">
        <v>24890</v>
      </c>
      <c r="B24891" s="2" t="str">
        <f>IFERROR(__xludf.DUMMYFUNCTION("GOOGLETRANSLATE(A24891, ""de"", ""en"")"),"climb")</f>
        <v>climb</v>
      </c>
    </row>
    <row r="24892">
      <c r="A24892" s="1" t="s">
        <v>24891</v>
      </c>
      <c r="B24892" s="2" t="str">
        <f>IFERROR(__xludf.DUMMYFUNCTION("GOOGLETRANSLATE(A24892, ""de"", ""en"")"),"reflection")</f>
        <v>reflection</v>
      </c>
    </row>
    <row r="24893">
      <c r="A24893" s="1" t="s">
        <v>24892</v>
      </c>
      <c r="B24893" s="2" t="str">
        <f>IFERROR(__xludf.DUMMYFUNCTION("GOOGLETRANSLATE(A24893, ""de"", ""en"")"),"inactive")</f>
        <v>inactive</v>
      </c>
    </row>
    <row r="24894">
      <c r="A24894" s="1" t="s">
        <v>24893</v>
      </c>
      <c r="B24894" s="2" t="str">
        <f>IFERROR(__xludf.DUMMYFUNCTION("GOOGLETRANSLATE(A24894, ""de"", ""en"")"),"arkham")</f>
        <v>arkham</v>
      </c>
    </row>
    <row r="24895">
      <c r="A24895" s="1" t="s">
        <v>24894</v>
      </c>
      <c r="B24895" s="2" t="str">
        <f>IFERROR(__xludf.DUMMYFUNCTION("GOOGLETRANSLATE(A24895, ""de"", ""en"")"),"vicar")</f>
        <v>vicar</v>
      </c>
    </row>
    <row r="24896">
      <c r="A24896" s="1" t="s">
        <v>24895</v>
      </c>
      <c r="B24896" s="2" t="str">
        <f>IFERROR(__xludf.DUMMYFUNCTION("GOOGLETRANSLATE(A24896, ""de"", ""en"")"),"discuss")</f>
        <v>discuss</v>
      </c>
    </row>
    <row r="24897">
      <c r="A24897" s="1" t="s">
        <v>24896</v>
      </c>
      <c r="B24897" s="2" t="str">
        <f>IFERROR(__xludf.DUMMYFUNCTION("GOOGLETRANSLATE(A24897, ""de"", ""en"")"),"stow away")</f>
        <v>stow away</v>
      </c>
    </row>
    <row r="24898">
      <c r="A24898" s="1" t="s">
        <v>24897</v>
      </c>
      <c r="B24898" s="2" t="str">
        <f>IFERROR(__xludf.DUMMYFUNCTION("GOOGLETRANSLATE(A24898, ""de"", ""en"")"),"lying down")</f>
        <v>lying down</v>
      </c>
    </row>
    <row r="24899">
      <c r="A24899" s="1" t="s">
        <v>24898</v>
      </c>
      <c r="B24899" s="2" t="str">
        <f>IFERROR(__xludf.DUMMYFUNCTION("GOOGLETRANSLATE(A24899, ""de"", ""en"")"),"manage")</f>
        <v>manage</v>
      </c>
    </row>
    <row r="24900">
      <c r="A24900" s="1" t="s">
        <v>24899</v>
      </c>
      <c r="B24900" s="2" t="str">
        <f>IFERROR(__xludf.DUMMYFUNCTION("GOOGLETRANSLATE(A24900, ""de"", ""en"")"),"registry office")</f>
        <v>registry office</v>
      </c>
    </row>
    <row r="24901">
      <c r="A24901" s="1" t="s">
        <v>24900</v>
      </c>
      <c r="B24901" s="2" t="str">
        <f>IFERROR(__xludf.DUMMYFUNCTION("GOOGLETRANSLATE(A24901, ""de"", ""en"")"),"repugnant")</f>
        <v>repugnant</v>
      </c>
    </row>
    <row r="24902">
      <c r="A24902" s="1" t="s">
        <v>24901</v>
      </c>
      <c r="B24902" s="2" t="str">
        <f>IFERROR(__xludf.DUMMYFUNCTION("GOOGLETRANSLATE(A24902, ""de"", ""en"")"),"throttle")</f>
        <v>throttle</v>
      </c>
    </row>
    <row r="24903">
      <c r="A24903" s="1" t="s">
        <v>24902</v>
      </c>
      <c r="B24903" s="2" t="str">
        <f>IFERROR(__xludf.DUMMYFUNCTION("GOOGLETRANSLATE(A24903, ""de"", ""en"")"),"defend")</f>
        <v>defend</v>
      </c>
    </row>
    <row r="24904">
      <c r="A24904" s="1" t="s">
        <v>24903</v>
      </c>
      <c r="B24904" s="2" t="str">
        <f>IFERROR(__xludf.DUMMYFUNCTION("GOOGLETRANSLATE(A24904, ""de"", ""en"")"),"Gudrun")</f>
        <v>Gudrun</v>
      </c>
    </row>
    <row r="24905">
      <c r="A24905" s="1" t="s">
        <v>24904</v>
      </c>
      <c r="B24905" s="2" t="str">
        <f>IFERROR(__xludf.DUMMYFUNCTION("GOOGLETRANSLATE(A24905, ""de"", ""en"")"),"jefe")</f>
        <v>jefe</v>
      </c>
    </row>
    <row r="24906">
      <c r="A24906" s="1" t="s">
        <v>24905</v>
      </c>
      <c r="B24906" s="2" t="str">
        <f>IFERROR(__xludf.DUMMYFUNCTION("GOOGLETRANSLATE(A24906, ""de"", ""en"")"),"hostile")</f>
        <v>hostile</v>
      </c>
    </row>
    <row r="24907">
      <c r="A24907" s="1" t="s">
        <v>24906</v>
      </c>
      <c r="B24907" s="2" t="str">
        <f>IFERROR(__xludf.DUMMYFUNCTION("GOOGLETRANSLATE(A24907, ""de"", ""en"")"),"eyeball")</f>
        <v>eyeball</v>
      </c>
    </row>
    <row r="24908">
      <c r="A24908" s="1" t="s">
        <v>24907</v>
      </c>
      <c r="B24908" s="2" t="str">
        <f>IFERROR(__xludf.DUMMYFUNCTION("GOOGLETRANSLATE(A24908, ""de"", ""en"")"),"massages")</f>
        <v>massages</v>
      </c>
    </row>
    <row r="24909">
      <c r="A24909" s="1" t="s">
        <v>24908</v>
      </c>
      <c r="B24909" s="2" t="str">
        <f>IFERROR(__xludf.DUMMYFUNCTION("GOOGLETRANSLATE(A24909, ""de"", ""en"")"),"dusty")</f>
        <v>dusty</v>
      </c>
    </row>
    <row r="24910">
      <c r="A24910" s="1" t="s">
        <v>24909</v>
      </c>
      <c r="B24910" s="2" t="str">
        <f>IFERROR(__xludf.DUMMYFUNCTION("GOOGLETRANSLATE(A24910, ""de"", ""en"")"),"given")</f>
        <v>given</v>
      </c>
    </row>
    <row r="24911">
      <c r="A24911" s="1" t="s">
        <v>24910</v>
      </c>
      <c r="B24911" s="2" t="str">
        <f>IFERROR(__xludf.DUMMYFUNCTION("GOOGLETRANSLATE(A24911, ""de"", ""en"")"),"none")</f>
        <v>none</v>
      </c>
    </row>
    <row r="24912">
      <c r="A24912" s="1" t="s">
        <v>24911</v>
      </c>
      <c r="B24912" s="2" t="str">
        <f>IFERROR(__xludf.DUMMYFUNCTION("GOOGLETRANSLATE(A24912, ""de"", ""en"")"),"bannister")</f>
        <v>bannister</v>
      </c>
    </row>
    <row r="24913">
      <c r="A24913" s="1" t="s">
        <v>24912</v>
      </c>
      <c r="B24913" s="2" t="str">
        <f>IFERROR(__xludf.DUMMYFUNCTION("GOOGLETRANSLATE(A24913, ""de"", ""en"")"),"visitors")</f>
        <v>visitors</v>
      </c>
    </row>
    <row r="24914">
      <c r="A24914" s="1" t="s">
        <v>24913</v>
      </c>
      <c r="B24914" s="2" t="str">
        <f>IFERROR(__xludf.DUMMYFUNCTION("GOOGLETRANSLATE(A24914, ""de"", ""en"")"),"sindbad")</f>
        <v>sindbad</v>
      </c>
    </row>
    <row r="24915">
      <c r="A24915" s="1" t="s">
        <v>24914</v>
      </c>
      <c r="B24915" s="2" t="str">
        <f>IFERROR(__xludf.DUMMYFUNCTION("GOOGLETRANSLATE(A24915, ""de"", ""en"")"),"electrical")</f>
        <v>electrical</v>
      </c>
    </row>
    <row r="24916">
      <c r="A24916" s="1" t="s">
        <v>24915</v>
      </c>
      <c r="B24916" s="2" t="str">
        <f>IFERROR(__xludf.DUMMYFUNCTION("GOOGLETRANSLATE(A24916, ""de"", ""en"")"),"didier")</f>
        <v>didier</v>
      </c>
    </row>
    <row r="24917">
      <c r="A24917" s="1" t="s">
        <v>24916</v>
      </c>
      <c r="B24917" s="2" t="str">
        <f>IFERROR(__xludf.DUMMYFUNCTION("GOOGLETRANSLATE(A24917, ""de"", ""en"")"),"bonsoir")</f>
        <v>bonsoir</v>
      </c>
    </row>
    <row r="24918">
      <c r="A24918" s="1" t="s">
        <v>24917</v>
      </c>
      <c r="B24918" s="2" t="str">
        <f>IFERROR(__xludf.DUMMYFUNCTION("GOOGLETRANSLATE(A24918, ""de"", ""en"")"),"Utopia")</f>
        <v>Utopia</v>
      </c>
    </row>
    <row r="24919">
      <c r="A24919" s="1" t="s">
        <v>24918</v>
      </c>
      <c r="B24919" s="2" t="str">
        <f>IFERROR(__xludf.DUMMYFUNCTION("GOOGLETRANSLATE(A24919, ""de"", ""en"")"),"shhh")</f>
        <v>shhh</v>
      </c>
    </row>
    <row r="24920">
      <c r="A24920" s="1" t="s">
        <v>24919</v>
      </c>
      <c r="B24920" s="2" t="str">
        <f>IFERROR(__xludf.DUMMYFUNCTION("GOOGLETRANSLATE(A24920, ""de"", ""en"")"),"zones")</f>
        <v>zones</v>
      </c>
    </row>
    <row r="24921">
      <c r="A24921" s="1" t="s">
        <v>24920</v>
      </c>
      <c r="B24921" s="2" t="str">
        <f>IFERROR(__xludf.DUMMYFUNCTION("GOOGLETRANSLATE(A24921, ""de"", ""en"")"),"answered")</f>
        <v>answered</v>
      </c>
    </row>
    <row r="24922">
      <c r="A24922" s="1" t="s">
        <v>24921</v>
      </c>
      <c r="B24922" s="2" t="str">
        <f>IFERROR(__xludf.DUMMYFUNCTION("GOOGLETRANSLATE(A24922, ""de"", ""en"")"),"famous")</f>
        <v>famous</v>
      </c>
    </row>
    <row r="24923">
      <c r="A24923" s="1" t="s">
        <v>24922</v>
      </c>
      <c r="B24923" s="2" t="str">
        <f>IFERROR(__xludf.DUMMYFUNCTION("GOOGLETRANSLATE(A24923, ""de"", ""en"")"),"dawns")</f>
        <v>dawns</v>
      </c>
    </row>
    <row r="24924">
      <c r="A24924" s="1" t="s">
        <v>24923</v>
      </c>
      <c r="B24924" s="2" t="str">
        <f>IFERROR(__xludf.DUMMYFUNCTION("GOOGLETRANSLATE(A24924, ""de"", ""en"")"),"confused")</f>
        <v>confused</v>
      </c>
    </row>
    <row r="24925">
      <c r="A24925" s="1" t="s">
        <v>24924</v>
      </c>
      <c r="B24925" s="2" t="str">
        <f>IFERROR(__xludf.DUMMYFUNCTION("GOOGLETRANSLATE(A24925, ""de"", ""en"")"),"kubrick")</f>
        <v>kubrick</v>
      </c>
    </row>
    <row r="24926">
      <c r="A24926" s="1" t="s">
        <v>24925</v>
      </c>
      <c r="B24926" s="2" t="str">
        <f>IFERROR(__xludf.DUMMYFUNCTION("GOOGLETRANSLATE(A24926, ""de"", ""en"")"),"tense")</f>
        <v>tense</v>
      </c>
    </row>
    <row r="24927">
      <c r="A24927" s="1" t="s">
        <v>24926</v>
      </c>
      <c r="B24927" s="2" t="str">
        <f>IFERROR(__xludf.DUMMYFUNCTION("GOOGLETRANSLATE(A24927, ""de"", ""en"")"),"Bene")</f>
        <v>Bene</v>
      </c>
    </row>
    <row r="24928">
      <c r="A24928" s="1" t="s">
        <v>24927</v>
      </c>
      <c r="B24928" s="2" t="str">
        <f>IFERROR(__xludf.DUMMYFUNCTION("GOOGLETRANSLATE(A24928, ""de"", ""en"")"),"impossible")</f>
        <v>impossible</v>
      </c>
    </row>
    <row r="24929">
      <c r="A24929" s="1" t="s">
        <v>24928</v>
      </c>
      <c r="B24929" s="2" t="str">
        <f>IFERROR(__xludf.DUMMYFUNCTION("GOOGLETRANSLATE(A24929, ""de"", ""en"")"),"comrade")</f>
        <v>comrade</v>
      </c>
    </row>
    <row r="24930">
      <c r="A24930" s="1" t="s">
        <v>24929</v>
      </c>
      <c r="B24930" s="2" t="str">
        <f>IFERROR(__xludf.DUMMYFUNCTION("GOOGLETRANSLATE(A24930, ""de"", ""en"")"),"tilted")</f>
        <v>tilted</v>
      </c>
    </row>
    <row r="24931">
      <c r="A24931" s="1" t="s">
        <v>24930</v>
      </c>
      <c r="B24931" s="2" t="str">
        <f>IFERROR(__xludf.DUMMYFUNCTION("GOOGLETRANSLATE(A24931, ""de"", ""en"")"),"ballad")</f>
        <v>ballad</v>
      </c>
    </row>
    <row r="24932">
      <c r="A24932" s="1" t="s">
        <v>24931</v>
      </c>
      <c r="B24932" s="2" t="str">
        <f>IFERROR(__xludf.DUMMYFUNCTION("GOOGLETRANSLATE(A24932, ""de"", ""en"")"),"turn it up")</f>
        <v>turn it up</v>
      </c>
    </row>
    <row r="24933">
      <c r="A24933" s="1" t="s">
        <v>24932</v>
      </c>
      <c r="B24933" s="2" t="str">
        <f>IFERROR(__xludf.DUMMYFUNCTION("GOOGLETRANSLATE(A24933, ""de"", ""en"")"),"weighed")</f>
        <v>weighed</v>
      </c>
    </row>
    <row r="24934">
      <c r="A24934" s="1" t="s">
        <v>24933</v>
      </c>
      <c r="B24934" s="2" t="str">
        <f>IFERROR(__xludf.DUMMYFUNCTION("GOOGLETRANSLATE(A24934, ""de"", ""en"")"),"defeated")</f>
        <v>defeated</v>
      </c>
    </row>
    <row r="24935">
      <c r="A24935" s="1" t="s">
        <v>24934</v>
      </c>
      <c r="B24935" s="2" t="str">
        <f>IFERROR(__xludf.DUMMYFUNCTION("GOOGLETRANSLATE(A24935, ""de"", ""en"")"),"sound")</f>
        <v>sound</v>
      </c>
    </row>
    <row r="24936">
      <c r="A24936" s="1" t="s">
        <v>24935</v>
      </c>
      <c r="B24936" s="2" t="str">
        <f>IFERROR(__xludf.DUMMYFUNCTION("GOOGLETRANSLATE(A24936, ""de"", ""en"")"),"comprehensive")</f>
        <v>comprehensive</v>
      </c>
    </row>
    <row r="24937">
      <c r="A24937" s="1" t="s">
        <v>24936</v>
      </c>
      <c r="B24937" s="2" t="str">
        <f>IFERROR(__xludf.DUMMYFUNCTION("GOOGLETRANSLATE(A24937, ""de"", ""en"")"),"dog shit")</f>
        <v>dog shit</v>
      </c>
    </row>
    <row r="24938">
      <c r="A24938" s="1" t="s">
        <v>24937</v>
      </c>
      <c r="B24938" s="2" t="str">
        <f>IFERROR(__xludf.DUMMYFUNCTION("GOOGLETRANSLATE(A24938, ""de"", ""en"")"),"surveillance video")</f>
        <v>surveillance video</v>
      </c>
    </row>
    <row r="24939">
      <c r="A24939" s="1" t="s">
        <v>24938</v>
      </c>
      <c r="B24939" s="2" t="str">
        <f>IFERROR(__xludf.DUMMYFUNCTION("GOOGLETRANSLATE(A24939, ""de"", ""en"")"),"bent")</f>
        <v>bent</v>
      </c>
    </row>
    <row r="24940">
      <c r="A24940" s="1" t="s">
        <v>24939</v>
      </c>
      <c r="B24940" s="2" t="str">
        <f>IFERROR(__xludf.DUMMYFUNCTION("GOOGLETRANSLATE(A24940, ""de"", ""en"")"),"shatterhand")</f>
        <v>shatterhand</v>
      </c>
    </row>
    <row r="24941">
      <c r="A24941" s="1" t="s">
        <v>24940</v>
      </c>
      <c r="B24941" s="2" t="str">
        <f>IFERROR(__xludf.DUMMYFUNCTION("GOOGLETRANSLATE(A24941, ""de"", ""en"")"),"access code")</f>
        <v>access code</v>
      </c>
    </row>
    <row r="24942">
      <c r="A24942" s="1" t="s">
        <v>24941</v>
      </c>
      <c r="B24942" s="2" t="str">
        <f>IFERROR(__xludf.DUMMYFUNCTION("GOOGLETRANSLATE(A24942, ""de"", ""en"")"),"doubt")</f>
        <v>doubt</v>
      </c>
    </row>
    <row r="24943">
      <c r="A24943" s="1" t="s">
        <v>24942</v>
      </c>
      <c r="B24943" s="2" t="str">
        <f>IFERROR(__xludf.DUMMYFUNCTION("GOOGLETRANSLATE(A24943, ""de"", ""en"")"),"theirs")</f>
        <v>theirs</v>
      </c>
    </row>
    <row r="24944">
      <c r="A24944" s="1" t="s">
        <v>24943</v>
      </c>
      <c r="B24944" s="2" t="str">
        <f>IFERROR(__xludf.DUMMYFUNCTION("GOOGLETRANSLATE(A24944, ""de"", ""en"")"),"babbles")</f>
        <v>babbles</v>
      </c>
    </row>
    <row r="24945">
      <c r="A24945" s="1" t="s">
        <v>24944</v>
      </c>
      <c r="B24945" s="2" t="str">
        <f>IFERROR(__xludf.DUMMYFUNCTION("GOOGLETRANSLATE(A24945, ""de"", ""en"")"),"notre")</f>
        <v>notre</v>
      </c>
    </row>
    <row r="24946">
      <c r="A24946" s="1" t="s">
        <v>24945</v>
      </c>
      <c r="B24946" s="2" t="str">
        <f>IFERROR(__xludf.DUMMYFUNCTION("GOOGLETRANSLATE(A24946, ""de"", ""en"")"),"hellish")</f>
        <v>hellish</v>
      </c>
    </row>
    <row r="24947">
      <c r="A24947" s="1" t="s">
        <v>24946</v>
      </c>
      <c r="B24947" s="2" t="str">
        <f>IFERROR(__xludf.DUMMYFUNCTION("GOOGLETRANSLATE(A24947, ""de"", ""en"")"),"starts")</f>
        <v>starts</v>
      </c>
    </row>
    <row r="24948">
      <c r="A24948" s="1" t="s">
        <v>24947</v>
      </c>
      <c r="B24948" s="2" t="str">
        <f>IFERROR(__xludf.DUMMYFUNCTION("GOOGLETRANSLATE(A24948, ""de"", ""en"")"),"verde")</f>
        <v>verde</v>
      </c>
    </row>
    <row r="24949">
      <c r="A24949" s="1" t="s">
        <v>24948</v>
      </c>
      <c r="B24949" s="2" t="str">
        <f>IFERROR(__xludf.DUMMYFUNCTION("GOOGLETRANSLATE(A24949, ""de"", ""en"")"),"in advance")</f>
        <v>in advance</v>
      </c>
    </row>
    <row r="24950">
      <c r="A24950" s="1" t="s">
        <v>24949</v>
      </c>
      <c r="B24950" s="2" t="str">
        <f>IFERROR(__xludf.DUMMYFUNCTION("GOOGLETRANSLATE(A24950, ""de"", ""en"")"),"lawless")</f>
        <v>lawless</v>
      </c>
    </row>
    <row r="24951">
      <c r="A24951" s="1" t="s">
        <v>24950</v>
      </c>
      <c r="B24951" s="2" t="str">
        <f>IFERROR(__xludf.DUMMYFUNCTION("GOOGLETRANSLATE(A24951, ""de"", ""en"")"),"nonsensical")</f>
        <v>nonsensical</v>
      </c>
    </row>
    <row r="24952">
      <c r="A24952" s="1" t="s">
        <v>24951</v>
      </c>
      <c r="B24952" s="2" t="str">
        <f>IFERROR(__xludf.DUMMYFUNCTION("GOOGLETRANSLATE(A24952, ""de"", ""en"")"),"mashed potatoes")</f>
        <v>mashed potatoes</v>
      </c>
    </row>
    <row r="24953">
      <c r="A24953" s="1" t="s">
        <v>24952</v>
      </c>
      <c r="B24953" s="2" t="str">
        <f>IFERROR(__xludf.DUMMYFUNCTION("GOOGLETRANSLATE(A24953, ""de"", ""en"")"),"family tradition")</f>
        <v>family tradition</v>
      </c>
    </row>
    <row r="24954">
      <c r="A24954" s="1" t="s">
        <v>24953</v>
      </c>
      <c r="B24954" s="2" t="str">
        <f>IFERROR(__xludf.DUMMYFUNCTION("GOOGLETRANSLATE(A24954, ""de"", ""en"")"),"butcher")</f>
        <v>butcher</v>
      </c>
    </row>
    <row r="24955">
      <c r="A24955" s="1" t="s">
        <v>24954</v>
      </c>
      <c r="B24955" s="2" t="str">
        <f>IFERROR(__xludf.DUMMYFUNCTION("GOOGLETRANSLATE(A24955, ""de"", ""en"")"),"fatal")</f>
        <v>fatal</v>
      </c>
    </row>
    <row r="24956">
      <c r="A24956" s="1" t="s">
        <v>24955</v>
      </c>
      <c r="B24956" s="2" t="str">
        <f>IFERROR(__xludf.DUMMYFUNCTION("GOOGLETRANSLATE(A24956, ""de"", ""en"")"),"payne")</f>
        <v>payne</v>
      </c>
    </row>
    <row r="24957">
      <c r="A24957" s="1" t="s">
        <v>24956</v>
      </c>
      <c r="B24957" s="2" t="str">
        <f>IFERROR(__xludf.DUMMYFUNCTION("GOOGLETRANSLATE(A24957, ""de"", ""en"")"),"supper")</f>
        <v>supper</v>
      </c>
    </row>
    <row r="24958">
      <c r="A24958" s="1" t="s">
        <v>24957</v>
      </c>
      <c r="B24958" s="2" t="str">
        <f>IFERROR(__xludf.DUMMYFUNCTION("GOOGLETRANSLATE(A24958, ""de"", ""en"")"),"chamberlain")</f>
        <v>chamberlain</v>
      </c>
    </row>
    <row r="24959">
      <c r="A24959" s="1" t="s">
        <v>24958</v>
      </c>
      <c r="B24959" s="2" t="str">
        <f>IFERROR(__xludf.DUMMYFUNCTION("GOOGLETRANSLATE(A24959, ""de"", ""en"")"),"tigger")</f>
        <v>tigger</v>
      </c>
    </row>
    <row r="24960">
      <c r="A24960" s="1" t="s">
        <v>24959</v>
      </c>
      <c r="B24960" s="2" t="str">
        <f>IFERROR(__xludf.DUMMYFUNCTION("GOOGLETRANSLATE(A24960, ""de"", ""en"")"),"teamwork")</f>
        <v>teamwork</v>
      </c>
    </row>
    <row r="24961">
      <c r="A24961" s="1" t="s">
        <v>24960</v>
      </c>
      <c r="B24961" s="2" t="str">
        <f>IFERROR(__xludf.DUMMYFUNCTION("GOOGLETRANSLATE(A24961, ""de"", ""en"")"),"deserved")</f>
        <v>deserved</v>
      </c>
    </row>
    <row r="24962">
      <c r="A24962" s="1" t="s">
        <v>24961</v>
      </c>
      <c r="B24962" s="2" t="str">
        <f>IFERROR(__xludf.DUMMYFUNCTION("GOOGLETRANSLATE(A24962, ""de"", ""en"")"),"perch")</f>
        <v>perch</v>
      </c>
    </row>
    <row r="24963">
      <c r="A24963" s="1" t="s">
        <v>24962</v>
      </c>
      <c r="B24963" s="2" t="str">
        <f>IFERROR(__xludf.DUMMYFUNCTION("GOOGLETRANSLATE(A24963, ""de"", ""en"")"),"world record")</f>
        <v>world record</v>
      </c>
    </row>
    <row r="24964">
      <c r="A24964" s="1" t="s">
        <v>24963</v>
      </c>
      <c r="B24964" s="2" t="str">
        <f>IFERROR(__xludf.DUMMYFUNCTION("GOOGLETRANSLATE(A24964, ""de"", ""en"")"),"Norwegian")</f>
        <v>Norwegian</v>
      </c>
    </row>
    <row r="24965">
      <c r="A24965" s="1" t="s">
        <v>24964</v>
      </c>
      <c r="B24965" s="2" t="str">
        <f>IFERROR(__xludf.DUMMYFUNCTION("GOOGLETRANSLATE(A24965, ""de"", ""en"")"),"soaked")</f>
        <v>soaked</v>
      </c>
    </row>
    <row r="24966">
      <c r="A24966" s="1" t="s">
        <v>24965</v>
      </c>
      <c r="B24966" s="2" t="str">
        <f>IFERROR(__xludf.DUMMYFUNCTION("GOOGLETRANSLATE(A24966, ""de"", ""en"")"),"idea")</f>
        <v>idea</v>
      </c>
    </row>
    <row r="24967">
      <c r="A24967" s="1" t="s">
        <v>24966</v>
      </c>
      <c r="B24967" s="2" t="str">
        <f>IFERROR(__xludf.DUMMYFUNCTION("GOOGLETRANSLATE(A24967, ""de"", ""en"")"),"sha")</f>
        <v>sha</v>
      </c>
    </row>
    <row r="24968">
      <c r="A24968" s="1" t="s">
        <v>24967</v>
      </c>
      <c r="B24968" s="2" t="str">
        <f>IFERROR(__xludf.DUMMYFUNCTION("GOOGLETRANSLATE(A24968, ""de"", ""en"")"),"polish")</f>
        <v>polish</v>
      </c>
    </row>
    <row r="24969">
      <c r="A24969" s="1" t="s">
        <v>24968</v>
      </c>
      <c r="B24969" s="2" t="str">
        <f>IFERROR(__xludf.DUMMYFUNCTION("GOOGLETRANSLATE(A24969, ""de"", ""en"")"),"late")</f>
        <v>late</v>
      </c>
    </row>
    <row r="24970">
      <c r="A24970" s="1" t="s">
        <v>24969</v>
      </c>
      <c r="B24970" s="2" t="str">
        <f>IFERROR(__xludf.DUMMYFUNCTION("GOOGLETRANSLATE(A24970, ""de"", ""en"")"),"grammar")</f>
        <v>grammar</v>
      </c>
    </row>
    <row r="24971">
      <c r="A24971" s="1" t="s">
        <v>24970</v>
      </c>
      <c r="B24971" s="2" t="str">
        <f>IFERROR(__xludf.DUMMYFUNCTION("GOOGLETRANSLATE(A24971, ""de"", ""en"")"),"collected")</f>
        <v>collected</v>
      </c>
    </row>
    <row r="24972">
      <c r="A24972" s="1" t="s">
        <v>24971</v>
      </c>
      <c r="B24972" s="2" t="str">
        <f>IFERROR(__xludf.DUMMYFUNCTION("GOOGLETRANSLATE(A24972, ""de"", ""en"")"),"scared")</f>
        <v>scared</v>
      </c>
    </row>
    <row r="24973">
      <c r="A24973" s="1" t="s">
        <v>24972</v>
      </c>
      <c r="B24973" s="2" t="str">
        <f>IFERROR(__xludf.DUMMYFUNCTION("GOOGLETRANSLATE(A24973, ""de"", ""en"")"),"retaliate")</f>
        <v>retaliate</v>
      </c>
    </row>
    <row r="24974">
      <c r="A24974" s="1" t="s">
        <v>24973</v>
      </c>
      <c r="B24974" s="2" t="str">
        <f>IFERROR(__xludf.DUMMYFUNCTION("GOOGLETRANSLATE(A24974, ""de"", ""en"")"),"repeat")</f>
        <v>repeat</v>
      </c>
    </row>
    <row r="24975">
      <c r="A24975" s="1" t="s">
        <v>24974</v>
      </c>
      <c r="B24975" s="2" t="str">
        <f>IFERROR(__xludf.DUMMYFUNCTION("GOOGLETRANSLATE(A24975, ""de"", ""en"")"),"postpone")</f>
        <v>postpone</v>
      </c>
    </row>
    <row r="24976">
      <c r="A24976" s="1" t="s">
        <v>24975</v>
      </c>
      <c r="B24976" s="2" t="str">
        <f>IFERROR(__xludf.DUMMYFUNCTION("GOOGLETRANSLATE(A24976, ""de"", ""en"")"),"police car")</f>
        <v>police car</v>
      </c>
    </row>
    <row r="24977">
      <c r="A24977" s="1" t="s">
        <v>24976</v>
      </c>
      <c r="B24977" s="2" t="str">
        <f>IFERROR(__xludf.DUMMYFUNCTION("GOOGLETRANSLATE(A24977, ""de"", ""en"")"),"locusts")</f>
        <v>locusts</v>
      </c>
    </row>
    <row r="24978">
      <c r="A24978" s="1" t="s">
        <v>24977</v>
      </c>
      <c r="B24978" s="2" t="str">
        <f>IFERROR(__xludf.DUMMYFUNCTION("GOOGLETRANSLATE(A24978, ""de"", ""en"")"),"Wolowitz")</f>
        <v>Wolowitz</v>
      </c>
    </row>
    <row r="24979">
      <c r="A24979" s="1" t="s">
        <v>24978</v>
      </c>
      <c r="B24979" s="2" t="str">
        <f>IFERROR(__xludf.DUMMYFUNCTION("GOOGLETRANSLATE(A24979, ""de"", ""en"")"),"broke out")</f>
        <v>broke out</v>
      </c>
    </row>
    <row r="24980">
      <c r="A24980" s="1" t="s">
        <v>24979</v>
      </c>
      <c r="B24980" s="2" t="str">
        <f>IFERROR(__xludf.DUMMYFUNCTION("GOOGLETRANSLATE(A24980, ""de"", ""en"")"),"seafood")</f>
        <v>seafood</v>
      </c>
    </row>
    <row r="24981">
      <c r="A24981" s="1" t="s">
        <v>24980</v>
      </c>
      <c r="B24981" s="2" t="str">
        <f>IFERROR(__xludf.DUMMYFUNCTION("GOOGLETRANSLATE(A24981, ""de"", ""en"")"),"massaged")</f>
        <v>massaged</v>
      </c>
    </row>
    <row r="24982">
      <c r="A24982" s="1" t="s">
        <v>24981</v>
      </c>
      <c r="B24982" s="2" t="str">
        <f>IFERROR(__xludf.DUMMYFUNCTION("GOOGLETRANSLATE(A24982, ""de"", ""en"")"),"blew")</f>
        <v>blew</v>
      </c>
    </row>
    <row r="24983">
      <c r="A24983" s="1" t="s">
        <v>24982</v>
      </c>
      <c r="B24983" s="2" t="str">
        <f>IFERROR(__xludf.DUMMYFUNCTION("GOOGLETRANSLATE(A24983, ""de"", ""en"")"),"veronica")</f>
        <v>veronica</v>
      </c>
    </row>
    <row r="24984">
      <c r="A24984" s="1" t="s">
        <v>24983</v>
      </c>
      <c r="B24984" s="2" t="str">
        <f>IFERROR(__xludf.DUMMYFUNCTION("GOOGLETRANSLATE(A24984, ""de"", ""en"")"),"shower")</f>
        <v>shower</v>
      </c>
    </row>
    <row r="24985">
      <c r="A24985" s="1" t="s">
        <v>24984</v>
      </c>
      <c r="B24985" s="2" t="str">
        <f>IFERROR(__xludf.DUMMYFUNCTION("GOOGLETRANSLATE(A24985, ""de"", ""en"")"),"loco")</f>
        <v>loco</v>
      </c>
    </row>
    <row r="24986">
      <c r="A24986" s="1" t="s">
        <v>24985</v>
      </c>
      <c r="B24986" s="2" t="str">
        <f>IFERROR(__xludf.DUMMYFUNCTION("GOOGLETRANSLATE(A24986, ""de"", ""en"")"),"function")</f>
        <v>function</v>
      </c>
    </row>
    <row r="24987">
      <c r="A24987" s="1" t="s">
        <v>24986</v>
      </c>
      <c r="B24987" s="2" t="str">
        <f>IFERROR(__xludf.DUMMYFUNCTION("GOOGLETRANSLATE(A24987, ""de"", ""en"")"),"toulouse")</f>
        <v>toulouse</v>
      </c>
    </row>
    <row r="24988">
      <c r="A24988" s="1" t="s">
        <v>24987</v>
      </c>
      <c r="B24988" s="2" t="str">
        <f>IFERROR(__xludf.DUMMYFUNCTION("GOOGLETRANSLATE(A24988, ""de"", ""en"")"),"jet lag")</f>
        <v>jet lag</v>
      </c>
    </row>
    <row r="24989">
      <c r="A24989" s="1" t="s">
        <v>24988</v>
      </c>
      <c r="B24989" s="2" t="str">
        <f>IFERROR(__xludf.DUMMYFUNCTION("GOOGLETRANSLATE(A24989, ""de"", ""en"")"),"categories")</f>
        <v>categories</v>
      </c>
    </row>
    <row r="24990">
      <c r="A24990" s="1" t="s">
        <v>24989</v>
      </c>
      <c r="B24990" s="2" t="str">
        <f>IFERROR(__xludf.DUMMYFUNCTION("GOOGLETRANSLATE(A24990, ""de"", ""en"")"),"more incomprehensible")</f>
        <v>more incomprehensible</v>
      </c>
    </row>
    <row r="24991">
      <c r="A24991" s="1" t="s">
        <v>24990</v>
      </c>
      <c r="B24991" s="2" t="str">
        <f>IFERROR(__xludf.DUMMYFUNCTION("GOOGLETRANSLATE(A24991, ""de"", ""en"")"),"devastation")</f>
        <v>devastation</v>
      </c>
    </row>
    <row r="24992">
      <c r="A24992" s="1" t="s">
        <v>24991</v>
      </c>
      <c r="B24992" s="2" t="str">
        <f>IFERROR(__xludf.DUMMYFUNCTION("GOOGLETRANSLATE(A24992, ""de"", ""en"")"),"defeated")</f>
        <v>defeated</v>
      </c>
    </row>
    <row r="24993">
      <c r="A24993" s="1" t="s">
        <v>24992</v>
      </c>
      <c r="B24993" s="2" t="str">
        <f>IFERROR(__xludf.DUMMYFUNCTION("GOOGLETRANSLATE(A24993, ""de"", ""en"")"),"painful")</f>
        <v>painful</v>
      </c>
    </row>
    <row r="24994">
      <c r="A24994" s="1" t="s">
        <v>24993</v>
      </c>
      <c r="B24994" s="2" t="str">
        <f>IFERROR(__xludf.DUMMYFUNCTION("GOOGLETRANSLATE(A24994, ""de"", ""en"")"),"growing")</f>
        <v>growing</v>
      </c>
    </row>
    <row r="24995">
      <c r="A24995" s="1" t="s">
        <v>24994</v>
      </c>
      <c r="B24995" s="2" t="str">
        <f>IFERROR(__xludf.DUMMYFUNCTION("GOOGLETRANSLATE(A24995, ""de"", ""en"")"),"collateral")</f>
        <v>collateral</v>
      </c>
    </row>
    <row r="24996">
      <c r="A24996" s="1" t="s">
        <v>24995</v>
      </c>
      <c r="B24996" s="2" t="str">
        <f>IFERROR(__xludf.DUMMYFUNCTION("GOOGLETRANSLATE(A24996, ""de"", ""en"")"),"sera")</f>
        <v>sera</v>
      </c>
    </row>
    <row r="24997">
      <c r="A24997" s="1" t="s">
        <v>24996</v>
      </c>
      <c r="B24997" s="2" t="str">
        <f>IFERROR(__xludf.DUMMYFUNCTION("GOOGLETRANSLATE(A24997, ""de"", ""en"")"),"dossier")</f>
        <v>dossier</v>
      </c>
    </row>
    <row r="24998">
      <c r="A24998" s="1" t="s">
        <v>24997</v>
      </c>
      <c r="B24998" s="2" t="str">
        <f>IFERROR(__xludf.DUMMYFUNCTION("GOOGLETRANSLATE(A24998, ""de"", ""en"")"),"hawke")</f>
        <v>hawke</v>
      </c>
    </row>
    <row r="24999">
      <c r="A24999" s="1" t="s">
        <v>24998</v>
      </c>
      <c r="B24999" s="2" t="str">
        <f>IFERROR(__xludf.DUMMYFUNCTION("GOOGLETRANSLATE(A24999, ""de"", ""en"")"),"hep")</f>
        <v>hep</v>
      </c>
    </row>
    <row r="25000">
      <c r="A25000" s="1" t="s">
        <v>24999</v>
      </c>
      <c r="B25000" s="2" t="str">
        <f>IFERROR(__xludf.DUMMYFUNCTION("GOOGLETRANSLATE(A25000, ""de"", ""en"")"),"cartoons")</f>
        <v>cartoons</v>
      </c>
    </row>
    <row r="25001">
      <c r="A25001" s="1" t="s">
        <v>25000</v>
      </c>
      <c r="B25001" s="2" t="str">
        <f>IFERROR(__xludf.DUMMYFUNCTION("GOOGLETRANSLATE(A25001, ""de"", ""en"")"),"guardian")</f>
        <v>guardian</v>
      </c>
    </row>
    <row r="25002">
      <c r="A25002" s="1" t="s">
        <v>25001</v>
      </c>
      <c r="B25002" s="2" t="str">
        <f>IFERROR(__xludf.DUMMYFUNCTION("GOOGLETRANSLATE(A25002, ""de"", ""en"")"),"whole")</f>
        <v>whole</v>
      </c>
    </row>
    <row r="25003">
      <c r="A25003" s="1" t="s">
        <v>25002</v>
      </c>
      <c r="B25003" s="2" t="str">
        <f>IFERROR(__xludf.DUMMYFUNCTION("GOOGLETRANSLATE(A25003, ""de"", ""en"")"),"spinal cord")</f>
        <v>spinal cord</v>
      </c>
    </row>
    <row r="25004">
      <c r="A25004" s="1" t="s">
        <v>25003</v>
      </c>
      <c r="B25004" s="2" t="str">
        <f>IFERROR(__xludf.DUMMYFUNCTION("GOOGLETRANSLATE(A25004, ""de"", ""en"")"),"benito")</f>
        <v>benito</v>
      </c>
    </row>
    <row r="25005">
      <c r="A25005" s="1" t="s">
        <v>25004</v>
      </c>
      <c r="B25005" s="2" t="str">
        <f>IFERROR(__xludf.DUMMYFUNCTION("GOOGLETRANSLATE(A25005, ""de"", ""en"")"),"make cold")</f>
        <v>make cold</v>
      </c>
    </row>
    <row r="25006">
      <c r="A25006" s="1" t="s">
        <v>25005</v>
      </c>
      <c r="B25006" s="2" t="str">
        <f>IFERROR(__xludf.DUMMYFUNCTION("GOOGLETRANSLATE(A25006, ""de"", ""en"")"),"traveling")</f>
        <v>traveling</v>
      </c>
    </row>
    <row r="25007">
      <c r="A25007" s="1" t="s">
        <v>25006</v>
      </c>
      <c r="B25007" s="2" t="str">
        <f>IFERROR(__xludf.DUMMYFUNCTION("GOOGLETRANSLATE(A25007, ""de"", ""en"")"),"taro")</f>
        <v>taro</v>
      </c>
    </row>
    <row r="25008">
      <c r="A25008" s="1" t="s">
        <v>25007</v>
      </c>
      <c r="B25008" s="2" t="str">
        <f>IFERROR(__xludf.DUMMYFUNCTION("GOOGLETRANSLATE(A25008, ""de"", ""en"")"),"ether")</f>
        <v>ether</v>
      </c>
    </row>
    <row r="25009">
      <c r="A25009" s="1" t="s">
        <v>25008</v>
      </c>
      <c r="B25009" s="2" t="str">
        <f>IFERROR(__xludf.DUMMYFUNCTION("GOOGLETRANSLATE(A25009, ""de"", ""en"")"),"savitar")</f>
        <v>savitar</v>
      </c>
    </row>
    <row r="25010">
      <c r="A25010" s="1" t="s">
        <v>25009</v>
      </c>
      <c r="B25010" s="2" t="str">
        <f>IFERROR(__xludf.DUMMYFUNCTION("GOOGLETRANSLATE(A25010, ""de"", ""en"")"),"escape plan")</f>
        <v>escape plan</v>
      </c>
    </row>
    <row r="25011">
      <c r="A25011" s="1" t="s">
        <v>25010</v>
      </c>
      <c r="B25011" s="2" t="str">
        <f>IFERROR(__xludf.DUMMYFUNCTION("GOOGLETRANSLATE(A25011, ""de"", ""en"")"),"family history")</f>
        <v>family history</v>
      </c>
    </row>
    <row r="25012">
      <c r="A25012" s="1" t="s">
        <v>25011</v>
      </c>
      <c r="B25012" s="2" t="str">
        <f>IFERROR(__xludf.DUMMYFUNCTION("GOOGLETRANSLATE(A25012, ""de"", ""en"")"),"universes")</f>
        <v>universes</v>
      </c>
    </row>
    <row r="25013">
      <c r="A25013" s="1" t="s">
        <v>25012</v>
      </c>
      <c r="B25013" s="2" t="str">
        <f>IFERROR(__xludf.DUMMYFUNCTION("GOOGLETRANSLATE(A25013, ""de"", ""en"")"),"berman")</f>
        <v>berman</v>
      </c>
    </row>
    <row r="25014">
      <c r="A25014" s="1" t="s">
        <v>25013</v>
      </c>
      <c r="B25014" s="2" t="str">
        <f>IFERROR(__xludf.DUMMYFUNCTION("GOOGLETRANSLATE(A25014, ""de"", ""en"")"),"orientate")</f>
        <v>orientate</v>
      </c>
    </row>
    <row r="25015">
      <c r="A25015" s="1" t="s">
        <v>25014</v>
      </c>
      <c r="B25015" s="2" t="str">
        <f>IFERROR(__xludf.DUMMYFUNCTION("GOOGLETRANSLATE(A25015, ""de"", ""en"")"),"formally")</f>
        <v>formally</v>
      </c>
    </row>
    <row r="25016">
      <c r="A25016" s="1" t="s">
        <v>25015</v>
      </c>
      <c r="B25016" s="2" t="str">
        <f>IFERROR(__xludf.DUMMYFUNCTION("GOOGLETRANSLATE(A25016, ""de"", ""en"")"),"poorest")</f>
        <v>poorest</v>
      </c>
    </row>
    <row r="25017">
      <c r="A25017" s="1" t="s">
        <v>25016</v>
      </c>
      <c r="B25017" s="2" t="str">
        <f>IFERROR(__xludf.DUMMYFUNCTION("GOOGLETRANSLATE(A25017, ""de"", ""en"")"),"liquor store")</f>
        <v>liquor store</v>
      </c>
    </row>
    <row r="25018">
      <c r="A25018" s="1" t="s">
        <v>25017</v>
      </c>
      <c r="B25018" s="2" t="str">
        <f>IFERROR(__xludf.DUMMYFUNCTION("GOOGLETRANSLATE(A25018, ""de"", ""en"")"),"scared shitless")</f>
        <v>scared shitless</v>
      </c>
    </row>
    <row r="25019">
      <c r="A25019" s="1" t="s">
        <v>25018</v>
      </c>
      <c r="B25019" s="2" t="str">
        <f>IFERROR(__xludf.DUMMYFUNCTION("GOOGLETRANSLATE(A25019, ""de"", ""en"")"),"snoop around")</f>
        <v>snoop around</v>
      </c>
    </row>
    <row r="25020">
      <c r="A25020" s="1" t="s">
        <v>25019</v>
      </c>
      <c r="B25020" s="2" t="str">
        <f>IFERROR(__xludf.DUMMYFUNCTION("GOOGLETRANSLATE(A25020, ""de"", ""en"")"),"trapdoor")</f>
        <v>trapdoor</v>
      </c>
    </row>
    <row r="25021">
      <c r="A25021" s="1" t="s">
        <v>25020</v>
      </c>
      <c r="B25021" s="2" t="str">
        <f>IFERROR(__xludf.DUMMYFUNCTION("GOOGLETRANSLATE(A25021, ""de"", ""en"")"),"whiners")</f>
        <v>whiners</v>
      </c>
    </row>
    <row r="25022">
      <c r="A25022" s="1" t="s">
        <v>25021</v>
      </c>
      <c r="B25022" s="2" t="str">
        <f>IFERROR(__xludf.DUMMYFUNCTION("GOOGLETRANSLATE(A25022, ""de"", ""en"")"),"lizard")</f>
        <v>lizard</v>
      </c>
    </row>
    <row r="25023">
      <c r="A25023" s="1" t="s">
        <v>25022</v>
      </c>
      <c r="B25023" s="2" t="str">
        <f>IFERROR(__xludf.DUMMYFUNCTION("GOOGLETRANSLATE(A25023, ""de"", ""en"")"),"suspend")</f>
        <v>suspend</v>
      </c>
    </row>
    <row r="25024">
      <c r="A25024" s="1" t="s">
        <v>25023</v>
      </c>
      <c r="B25024" s="2" t="str">
        <f>IFERROR(__xludf.DUMMYFUNCTION("GOOGLETRANSLATE(A25024, ""de"", ""en"")"),"destination")</f>
        <v>destination</v>
      </c>
    </row>
    <row r="25025">
      <c r="A25025" s="1" t="s">
        <v>25024</v>
      </c>
      <c r="B25025" s="2" t="str">
        <f>IFERROR(__xludf.DUMMYFUNCTION("GOOGLETRANSLATE(A25025, ""de"", ""en"")"),"routes")</f>
        <v>routes</v>
      </c>
    </row>
    <row r="25026">
      <c r="A25026" s="1" t="s">
        <v>25025</v>
      </c>
      <c r="B25026" s="2" t="str">
        <f>IFERROR(__xludf.DUMMYFUNCTION("GOOGLETRANSLATE(A25026, ""de"", ""en"")"),"wai")</f>
        <v>wai</v>
      </c>
    </row>
    <row r="25027">
      <c r="A25027" s="1" t="s">
        <v>25026</v>
      </c>
      <c r="B25027" s="2" t="str">
        <f>IFERROR(__xludf.DUMMYFUNCTION("GOOGLETRANSLATE(A25027, ""de"", ""en"")"),"chill")</f>
        <v>chill</v>
      </c>
    </row>
    <row r="25028">
      <c r="A25028" s="1" t="s">
        <v>25027</v>
      </c>
      <c r="B25028" s="2" t="str">
        <f>IFERROR(__xludf.DUMMYFUNCTION("GOOGLETRANSLATE(A25028, ""de"", ""en"")"),"understated")</f>
        <v>understated</v>
      </c>
    </row>
    <row r="25029">
      <c r="A25029" s="1" t="s">
        <v>25028</v>
      </c>
      <c r="B25029" s="2" t="str">
        <f>IFERROR(__xludf.DUMMYFUNCTION("GOOGLETRANSLATE(A25029, ""de"", ""en"")"),"asphalt")</f>
        <v>asphalt</v>
      </c>
    </row>
    <row r="25030">
      <c r="A25030" s="1" t="s">
        <v>25029</v>
      </c>
      <c r="B25030" s="2" t="str">
        <f>IFERROR(__xludf.DUMMYFUNCTION("GOOGLETRANSLATE(A25030, ""de"", ""en"")"),"delfino")</f>
        <v>delfino</v>
      </c>
    </row>
    <row r="25031">
      <c r="A25031" s="1" t="s">
        <v>25030</v>
      </c>
      <c r="B25031" s="2" t="str">
        <f>IFERROR(__xludf.DUMMYFUNCTION("GOOGLETRANSLATE(A25031, ""de"", ""en"")"),"warrior")</f>
        <v>warrior</v>
      </c>
    </row>
    <row r="25032">
      <c r="A25032" s="1" t="s">
        <v>25031</v>
      </c>
      <c r="B25032" s="2" t="str">
        <f>IFERROR(__xludf.DUMMYFUNCTION("GOOGLETRANSLATE(A25032, ""de"", ""en"")"),"Lebanon")</f>
        <v>Lebanon</v>
      </c>
    </row>
    <row r="25033">
      <c r="A25033" s="1" t="s">
        <v>25032</v>
      </c>
      <c r="B25033" s="2" t="str">
        <f>IFERROR(__xludf.DUMMYFUNCTION("GOOGLETRANSLATE(A25033, ""de"", ""en"")"),"bunch")</f>
        <v>bunch</v>
      </c>
    </row>
    <row r="25034">
      <c r="A25034" s="1" t="s">
        <v>25033</v>
      </c>
      <c r="B25034" s="2" t="str">
        <f>IFERROR(__xludf.DUMMYFUNCTION("GOOGLETRANSLATE(A25034, ""de"", ""en"")"),"exotic")</f>
        <v>exotic</v>
      </c>
    </row>
    <row r="25035">
      <c r="A25035" s="1" t="s">
        <v>25034</v>
      </c>
      <c r="B25035" s="2" t="str">
        <f>IFERROR(__xludf.DUMMYFUNCTION("GOOGLETRANSLATE(A25035, ""de"", ""en"")"),"lian")</f>
        <v>lian</v>
      </c>
    </row>
    <row r="25036">
      <c r="A25036" s="1" t="s">
        <v>25035</v>
      </c>
      <c r="B25036" s="2" t="str">
        <f>IFERROR(__xludf.DUMMYFUNCTION("GOOGLETRANSLATE(A25036, ""de"", ""en"")"),"nineteen")</f>
        <v>nineteen</v>
      </c>
    </row>
    <row r="25037">
      <c r="A25037" s="1" t="s">
        <v>25036</v>
      </c>
      <c r="B25037" s="2" t="str">
        <f>IFERROR(__xludf.DUMMYFUNCTION("GOOGLETRANSLATE(A25037, ""de"", ""en"")"),"acquittal")</f>
        <v>acquittal</v>
      </c>
    </row>
    <row r="25038">
      <c r="A25038" s="1" t="s">
        <v>25037</v>
      </c>
      <c r="B25038" s="2" t="str">
        <f>IFERROR(__xludf.DUMMYFUNCTION("GOOGLETRANSLATE(A25038, ""de"", ""en"")"),"kyoko")</f>
        <v>kyoko</v>
      </c>
    </row>
    <row r="25039">
      <c r="A25039" s="1" t="s">
        <v>25038</v>
      </c>
      <c r="B25039" s="2" t="str">
        <f>IFERROR(__xludf.DUMMYFUNCTION("GOOGLETRANSLATE(A25039, ""de"", ""en"")"),"town")</f>
        <v>town</v>
      </c>
    </row>
    <row r="25040">
      <c r="A25040" s="1" t="s">
        <v>25039</v>
      </c>
      <c r="B25040" s="2" t="str">
        <f>IFERROR(__xludf.DUMMYFUNCTION("GOOGLETRANSLATE(A25040, ""de"", ""en"")"),"documentary")</f>
        <v>documentary</v>
      </c>
    </row>
    <row r="25041">
      <c r="A25041" s="1" t="s">
        <v>25040</v>
      </c>
      <c r="B25041" s="2" t="str">
        <f>IFERROR(__xludf.DUMMYFUNCTION("GOOGLETRANSLATE(A25041, ""de"", ""en"")"),"bosco")</f>
        <v>bosco</v>
      </c>
    </row>
    <row r="25042">
      <c r="A25042" s="1" t="s">
        <v>25041</v>
      </c>
      <c r="B25042" s="2" t="str">
        <f>IFERROR(__xludf.DUMMYFUNCTION("GOOGLETRANSLATE(A25042, ""de"", ""en"")"),"clubs")</f>
        <v>clubs</v>
      </c>
    </row>
    <row r="25043">
      <c r="A25043" s="1" t="s">
        <v>25042</v>
      </c>
      <c r="B25043" s="2" t="str">
        <f>IFERROR(__xludf.DUMMYFUNCTION("GOOGLETRANSLATE(A25043, ""de"", ""en"")"),"darts")</f>
        <v>darts</v>
      </c>
    </row>
    <row r="25044">
      <c r="A25044" s="1" t="s">
        <v>25043</v>
      </c>
      <c r="B25044" s="2" t="str">
        <f>IFERROR(__xludf.DUMMYFUNCTION("GOOGLETRANSLATE(A25044, ""de"", ""en"")"),"sucked")</f>
        <v>sucked</v>
      </c>
    </row>
    <row r="25045">
      <c r="A25045" s="1" t="s">
        <v>25044</v>
      </c>
      <c r="B25045" s="2" t="str">
        <f>IFERROR(__xludf.DUMMYFUNCTION("GOOGLETRANSLATE(A25045, ""de"", ""en"")"),"shy away")</f>
        <v>shy away</v>
      </c>
    </row>
    <row r="25046">
      <c r="A25046" s="1" t="s">
        <v>25045</v>
      </c>
      <c r="B25046" s="2" t="str">
        <f>IFERROR(__xludf.DUMMYFUNCTION("GOOGLETRANSLATE(A25046, ""de"", ""en"")"),"half dead")</f>
        <v>half dead</v>
      </c>
    </row>
    <row r="25047">
      <c r="A25047" s="1" t="s">
        <v>25046</v>
      </c>
      <c r="B25047" s="2" t="str">
        <f>IFERROR(__xludf.DUMMYFUNCTION("GOOGLETRANSLATE(A25047, ""de"", ""en"")"),"Sodom")</f>
        <v>Sodom</v>
      </c>
    </row>
    <row r="25048">
      <c r="A25048" s="1" t="s">
        <v>25047</v>
      </c>
      <c r="B25048" s="2" t="str">
        <f>IFERROR(__xludf.DUMMYFUNCTION("GOOGLETRANSLATE(A25048, ""de"", ""en"")"),"acts")</f>
        <v>acts</v>
      </c>
    </row>
    <row r="25049">
      <c r="A25049" s="1" t="s">
        <v>25048</v>
      </c>
      <c r="B25049" s="2" t="str">
        <f>IFERROR(__xludf.DUMMYFUNCTION("GOOGLETRANSLATE(A25049, ""de"", ""en"")"),"similarities")</f>
        <v>similarities</v>
      </c>
    </row>
    <row r="25050">
      <c r="A25050" s="1" t="s">
        <v>25049</v>
      </c>
      <c r="B25050" s="2" t="str">
        <f>IFERROR(__xludf.DUMMYFUNCTION("GOOGLETRANSLATE(A25050, ""de"", ""en"")"),"salute")</f>
        <v>salute</v>
      </c>
    </row>
    <row r="25051">
      <c r="A25051" s="1" t="s">
        <v>25050</v>
      </c>
      <c r="B25051" s="2" t="str">
        <f>IFERROR(__xludf.DUMMYFUNCTION("GOOGLETRANSLATE(A25051, ""de"", ""en"")"),"specified")</f>
        <v>specified</v>
      </c>
    </row>
    <row r="25052">
      <c r="A25052" s="1" t="s">
        <v>25051</v>
      </c>
      <c r="B25052" s="2" t="str">
        <f>IFERROR(__xludf.DUMMYFUNCTION("GOOGLETRANSLATE(A25052, ""de"", ""en"")"),"atoms")</f>
        <v>atoms</v>
      </c>
    </row>
    <row r="25053">
      <c r="A25053" s="1" t="s">
        <v>25052</v>
      </c>
      <c r="B25053" s="2" t="str">
        <f>IFERROR(__xludf.DUMMYFUNCTION("GOOGLETRANSLATE(A25053, ""de"", ""en"")"),"overloaded")</f>
        <v>overloaded</v>
      </c>
    </row>
    <row r="25054">
      <c r="A25054" s="1" t="s">
        <v>25053</v>
      </c>
      <c r="B25054" s="2" t="str">
        <f>IFERROR(__xludf.DUMMYFUNCTION("GOOGLETRANSLATE(A25054, ""de"", ""en"")"),"straight away")</f>
        <v>straight away</v>
      </c>
    </row>
    <row r="25055">
      <c r="A25055" s="1" t="s">
        <v>25054</v>
      </c>
      <c r="B25055" s="2" t="str">
        <f>IFERROR(__xludf.DUMMYFUNCTION("GOOGLETRANSLATE(A25055, ""de"", ""en"")"),"blinds")</f>
        <v>blinds</v>
      </c>
    </row>
    <row r="25056">
      <c r="A25056" s="1" t="s">
        <v>25055</v>
      </c>
      <c r="B25056" s="2" t="str">
        <f>IFERROR(__xludf.DUMMYFUNCTION("GOOGLETRANSLATE(A25056, ""de"", ""en"")"),"hermit")</f>
        <v>hermit</v>
      </c>
    </row>
    <row r="25057">
      <c r="A25057" s="1" t="s">
        <v>25056</v>
      </c>
      <c r="B25057" s="2" t="str">
        <f>IFERROR(__xludf.DUMMYFUNCTION("GOOGLETRANSLATE(A25057, ""de"", ""en"")"),"red")</f>
        <v>red</v>
      </c>
    </row>
    <row r="25058">
      <c r="A25058" s="1" t="s">
        <v>25057</v>
      </c>
      <c r="B25058" s="2" t="str">
        <f>IFERROR(__xludf.DUMMYFUNCTION("GOOGLETRANSLATE(A25058, ""de"", ""en"")"),"crenshaw")</f>
        <v>crenshaw</v>
      </c>
    </row>
    <row r="25059">
      <c r="A25059" s="1" t="s">
        <v>25058</v>
      </c>
      <c r="B25059" s="2" t="str">
        <f>IFERROR(__xludf.DUMMYFUNCTION("GOOGLETRANSLATE(A25059, ""de"", ""en"")"),"Wilson's")</f>
        <v>Wilson's</v>
      </c>
    </row>
    <row r="25060">
      <c r="A25060" s="1" t="s">
        <v>25059</v>
      </c>
      <c r="B25060" s="2" t="str">
        <f>IFERROR(__xludf.DUMMYFUNCTION("GOOGLETRANSLATE(A25060, ""de"", ""en"")"),"piazza")</f>
        <v>piazza</v>
      </c>
    </row>
    <row r="25061">
      <c r="A25061" s="1" t="s">
        <v>25060</v>
      </c>
      <c r="B25061" s="2" t="str">
        <f>IFERROR(__xludf.DUMMYFUNCTION("GOOGLETRANSLATE(A25061, ""de"", ""en"")"),"contradict")</f>
        <v>contradict</v>
      </c>
    </row>
    <row r="25062">
      <c r="A25062" s="1" t="s">
        <v>25061</v>
      </c>
      <c r="B25062" s="2" t="str">
        <f>IFERROR(__xludf.DUMMYFUNCTION("GOOGLETRANSLATE(A25062, ""de"", ""en"")"),"ueo")</f>
        <v>ueo</v>
      </c>
    </row>
    <row r="25063">
      <c r="A25063" s="1" t="s">
        <v>25062</v>
      </c>
      <c r="B25063" s="2" t="str">
        <f>IFERROR(__xludf.DUMMYFUNCTION("GOOGLETRANSLATE(A25063, ""de"", ""en"")"),"divorces")</f>
        <v>divorces</v>
      </c>
    </row>
    <row r="25064">
      <c r="A25064" s="1" t="s">
        <v>25063</v>
      </c>
      <c r="B25064" s="2" t="str">
        <f>IFERROR(__xludf.DUMMYFUNCTION("GOOGLETRANSLATE(A25064, ""de"", ""en"")"),"explosive device")</f>
        <v>explosive device</v>
      </c>
    </row>
    <row r="25065">
      <c r="A25065" s="1" t="s">
        <v>25064</v>
      </c>
      <c r="B25065" s="2" t="str">
        <f>IFERROR(__xludf.DUMMYFUNCTION("GOOGLETRANSLATE(A25065, ""de"", ""en"")"),"restrict")</f>
        <v>restrict</v>
      </c>
    </row>
    <row r="25066">
      <c r="A25066" s="1" t="s">
        <v>25065</v>
      </c>
      <c r="B25066" s="2" t="str">
        <f>IFERROR(__xludf.DUMMYFUNCTION("GOOGLETRANSLATE(A25066, ""de"", ""en"")"),"pioneers")</f>
        <v>pioneers</v>
      </c>
    </row>
    <row r="25067">
      <c r="A25067" s="1" t="s">
        <v>25066</v>
      </c>
      <c r="B25067" s="2" t="str">
        <f>IFERROR(__xludf.DUMMYFUNCTION("GOOGLETRANSLATE(A25067, ""de"", ""en"")"),"algae")</f>
        <v>algae</v>
      </c>
    </row>
    <row r="25068">
      <c r="A25068" s="1" t="s">
        <v>25067</v>
      </c>
      <c r="B25068" s="2" t="str">
        <f>IFERROR(__xludf.DUMMYFUNCTION("GOOGLETRANSLATE(A25068, ""de"", ""en"")"),"shu")</f>
        <v>shu</v>
      </c>
    </row>
    <row r="25069">
      <c r="A25069" s="1" t="s">
        <v>25068</v>
      </c>
      <c r="B25069" s="2" t="str">
        <f>IFERROR(__xludf.DUMMYFUNCTION("GOOGLETRANSLATE(A25069, ""de"", ""en"")"),"increased")</f>
        <v>increased</v>
      </c>
    </row>
    <row r="25070">
      <c r="A25070" s="1" t="s">
        <v>25069</v>
      </c>
      <c r="B25070" s="2" t="str">
        <f>IFERROR(__xludf.DUMMYFUNCTION("GOOGLETRANSLATE(A25070, ""de"", ""en"")"),"painful")</f>
        <v>painful</v>
      </c>
    </row>
    <row r="25071">
      <c r="A25071" s="1" t="s">
        <v>25070</v>
      </c>
      <c r="B25071" s="2" t="str">
        <f>IFERROR(__xludf.DUMMYFUNCTION("GOOGLETRANSLATE(A25071, ""de"", ""en"")"),"look")</f>
        <v>look</v>
      </c>
    </row>
    <row r="25072">
      <c r="A25072" s="1" t="s">
        <v>25071</v>
      </c>
      <c r="B25072" s="2" t="str">
        <f>IFERROR(__xludf.DUMMYFUNCTION("GOOGLETRANSLATE(A25072, ""de"", ""en"")"),"excite")</f>
        <v>excite</v>
      </c>
    </row>
    <row r="25073">
      <c r="A25073" s="1" t="s">
        <v>25072</v>
      </c>
      <c r="B25073" s="2" t="str">
        <f>IFERROR(__xludf.DUMMYFUNCTION("GOOGLETRANSLATE(A25073, ""de"", ""en"")"),"bulldozer")</f>
        <v>bulldozer</v>
      </c>
    </row>
    <row r="25074">
      <c r="A25074" s="1" t="s">
        <v>25073</v>
      </c>
      <c r="B25074" s="2" t="str">
        <f>IFERROR(__xludf.DUMMYFUNCTION("GOOGLETRANSLATE(A25074, ""de"", ""en"")"),"enslaved")</f>
        <v>enslaved</v>
      </c>
    </row>
    <row r="25075">
      <c r="A25075" s="1" t="s">
        <v>25074</v>
      </c>
      <c r="B25075" s="2" t="str">
        <f>IFERROR(__xludf.DUMMYFUNCTION("GOOGLETRANSLATE(A25075, ""de"", ""en"")"),"shatter")</f>
        <v>shatter</v>
      </c>
    </row>
    <row r="25076">
      <c r="A25076" s="1" t="s">
        <v>25075</v>
      </c>
      <c r="B25076" s="2" t="str">
        <f>IFERROR(__xludf.DUMMYFUNCTION("GOOGLETRANSLATE(A25076, ""de"", ""en"")"),"more extreme")</f>
        <v>more extreme</v>
      </c>
    </row>
    <row r="25077">
      <c r="A25077" s="1" t="s">
        <v>25076</v>
      </c>
      <c r="B25077" s="2" t="str">
        <f>IFERROR(__xludf.DUMMYFUNCTION("GOOGLETRANSLATE(A25077, ""de"", ""en"")"),"inspiration")</f>
        <v>inspiration</v>
      </c>
    </row>
    <row r="25078">
      <c r="A25078" s="1" t="s">
        <v>25077</v>
      </c>
      <c r="B25078" s="2" t="str">
        <f>IFERROR(__xludf.DUMMYFUNCTION("GOOGLETRANSLATE(A25078, ""de"", ""en"")"),"to align")</f>
        <v>to align</v>
      </c>
    </row>
    <row r="25079">
      <c r="A25079" s="1" t="s">
        <v>25078</v>
      </c>
      <c r="B25079" s="2" t="str">
        <f>IFERROR(__xludf.DUMMYFUNCTION("GOOGLETRANSLATE(A25079, ""de"", ""en"")"),"to pretend")</f>
        <v>to pretend</v>
      </c>
    </row>
    <row r="25080">
      <c r="A25080" s="1" t="s">
        <v>25079</v>
      </c>
      <c r="B25080" s="2" t="str">
        <f>IFERROR(__xludf.DUMMYFUNCTION("GOOGLETRANSLATE(A25080, ""de"", ""en"")"),"arrive")</f>
        <v>arrive</v>
      </c>
    </row>
    <row r="25081">
      <c r="A25081" s="1" t="s">
        <v>25080</v>
      </c>
      <c r="B25081" s="2" t="str">
        <f>IFERROR(__xludf.DUMMYFUNCTION("GOOGLETRANSLATE(A25081, ""de"", ""en"")"),"myles")</f>
        <v>myles</v>
      </c>
    </row>
    <row r="25082">
      <c r="A25082" s="1" t="s">
        <v>25081</v>
      </c>
      <c r="B25082" s="2" t="str">
        <f>IFERROR(__xludf.DUMMYFUNCTION("GOOGLETRANSLATE(A25082, ""de"", ""en"")"),"radioed")</f>
        <v>radioed</v>
      </c>
    </row>
    <row r="25083">
      <c r="A25083" s="1" t="s">
        <v>25082</v>
      </c>
      <c r="B25083" s="2" t="str">
        <f>IFERROR(__xludf.DUMMYFUNCTION("GOOGLETRANSLATE(A25083, ""de"", ""en"")"),"nerds")</f>
        <v>nerds</v>
      </c>
    </row>
    <row r="25084">
      <c r="A25084" s="1" t="s">
        <v>25083</v>
      </c>
      <c r="B25084" s="2" t="str">
        <f>IFERROR(__xludf.DUMMYFUNCTION("GOOGLETRANSLATE(A25084, ""de"", ""en"")"),"testimonials")</f>
        <v>testimonials</v>
      </c>
    </row>
    <row r="25085">
      <c r="A25085" s="1" t="s">
        <v>25084</v>
      </c>
      <c r="B25085" s="2" t="str">
        <f>IFERROR(__xludf.DUMMYFUNCTION("GOOGLETRANSLATE(A25085, ""de"", ""en"")"),"spiritual")</f>
        <v>spiritual</v>
      </c>
    </row>
    <row r="25086">
      <c r="A25086" s="1" t="s">
        <v>25085</v>
      </c>
      <c r="B25086" s="2" t="str">
        <f>IFERROR(__xludf.DUMMYFUNCTION("GOOGLETRANSLATE(A25086, ""de"", ""en"")"),"felt")</f>
        <v>felt</v>
      </c>
    </row>
    <row r="25087">
      <c r="A25087" s="1" t="s">
        <v>25086</v>
      </c>
      <c r="B25087" s="2" t="str">
        <f>IFERROR(__xludf.DUMMYFUNCTION("GOOGLETRANSLATE(A25087, ""de"", ""en"")"),"amys")</f>
        <v>amys</v>
      </c>
    </row>
    <row r="25088">
      <c r="A25088" s="1" t="s">
        <v>25087</v>
      </c>
      <c r="B25088" s="2" t="str">
        <f>IFERROR(__xludf.DUMMYFUNCTION("GOOGLETRANSLATE(A25088, ""de"", ""en"")"),"more appropriate")</f>
        <v>more appropriate</v>
      </c>
    </row>
    <row r="25089">
      <c r="A25089" s="1" t="s">
        <v>25088</v>
      </c>
      <c r="B25089" s="2" t="str">
        <f>IFERROR(__xludf.DUMMYFUNCTION("GOOGLETRANSLATE(A25089, ""de"", ""en"")"),"family")</f>
        <v>family</v>
      </c>
    </row>
    <row r="25090">
      <c r="A25090" s="1" t="s">
        <v>25089</v>
      </c>
      <c r="B25090" s="2" t="str">
        <f>IFERROR(__xludf.DUMMYFUNCTION("GOOGLETRANSLATE(A25090, ""de"", ""en"")"),"field service")</f>
        <v>field service</v>
      </c>
    </row>
    <row r="25091">
      <c r="A25091" s="1" t="s">
        <v>25090</v>
      </c>
      <c r="B25091" s="2" t="str">
        <f>IFERROR(__xludf.DUMMYFUNCTION("GOOGLETRANSLATE(A25091, ""de"", ""en"")"),"consistently")</f>
        <v>consistently</v>
      </c>
    </row>
    <row r="25092">
      <c r="A25092" s="1" t="s">
        <v>25091</v>
      </c>
      <c r="B25092" s="2" t="str">
        <f>IFERROR(__xludf.DUMMYFUNCTION("GOOGLETRANSLATE(A25092, ""de"", ""en"")"),"calves")</f>
        <v>calves</v>
      </c>
    </row>
    <row r="25093">
      <c r="A25093" s="1" t="s">
        <v>25092</v>
      </c>
      <c r="B25093" s="2" t="str">
        <f>IFERROR(__xludf.DUMMYFUNCTION("GOOGLETRANSLATE(A25093, ""de"", ""en"")"),"fresno")</f>
        <v>fresno</v>
      </c>
    </row>
    <row r="25094">
      <c r="A25094" s="1" t="s">
        <v>25093</v>
      </c>
      <c r="B25094" s="2" t="str">
        <f>IFERROR(__xludf.DUMMYFUNCTION("GOOGLETRANSLATE(A25094, ""de"", ""en"")"),"miyagi")</f>
        <v>miyagi</v>
      </c>
    </row>
    <row r="25095">
      <c r="A25095" s="1" t="s">
        <v>25094</v>
      </c>
      <c r="B25095" s="2" t="str">
        <f>IFERROR(__xludf.DUMMYFUNCTION("GOOGLETRANSLATE(A25095, ""de"", ""en"")"),"captain")</f>
        <v>captain</v>
      </c>
    </row>
    <row r="25096">
      <c r="A25096" s="1" t="s">
        <v>25095</v>
      </c>
      <c r="B25096" s="2" t="str">
        <f>IFERROR(__xludf.DUMMYFUNCTION("GOOGLETRANSLATE(A25096, ""de"", ""en"")"),"trace")</f>
        <v>trace</v>
      </c>
    </row>
    <row r="25097">
      <c r="A25097" s="1" t="s">
        <v>25096</v>
      </c>
      <c r="B25097" s="2" t="str">
        <f>IFERROR(__xludf.DUMMYFUNCTION("GOOGLETRANSLATE(A25097, ""de"", ""en"")"),"fresher")</f>
        <v>fresher</v>
      </c>
    </row>
    <row r="25098">
      <c r="A25098" s="1" t="s">
        <v>25097</v>
      </c>
      <c r="B25098" s="2" t="str">
        <f>IFERROR(__xludf.DUMMYFUNCTION("GOOGLETRANSLATE(A25098, ""de"", ""en"")"),"walked around")</f>
        <v>walked around</v>
      </c>
    </row>
    <row r="25099">
      <c r="A25099" s="1" t="s">
        <v>25098</v>
      </c>
      <c r="B25099" s="2" t="str">
        <f>IFERROR(__xludf.DUMMYFUNCTION("GOOGLETRANSLATE(A25099, ""de"", ""en"")"),"throb")</f>
        <v>throb</v>
      </c>
    </row>
    <row r="25100">
      <c r="A25100" s="1" t="s">
        <v>25099</v>
      </c>
      <c r="B25100" s="2" t="str">
        <f>IFERROR(__xludf.DUMMYFUNCTION("GOOGLETRANSLATE(A25100, ""de"", ""en"")"),"terrorist")</f>
        <v>terrorist</v>
      </c>
    </row>
    <row r="25101">
      <c r="A25101" s="1" t="s">
        <v>25100</v>
      </c>
      <c r="B25101" s="2" t="str">
        <f>IFERROR(__xludf.DUMMYFUNCTION("GOOGLETRANSLATE(A25101, ""de"", ""en"")"),"Balthazar")</f>
        <v>Balthazar</v>
      </c>
    </row>
    <row r="25102">
      <c r="A25102" s="1" t="s">
        <v>25101</v>
      </c>
      <c r="B25102" s="2" t="str">
        <f>IFERROR(__xludf.DUMMYFUNCTION("GOOGLETRANSLATE(A25102, ""de"", ""en"")"),"Sanderson")</f>
        <v>Sanderson</v>
      </c>
    </row>
    <row r="25103">
      <c r="A25103" s="1" t="s">
        <v>25102</v>
      </c>
      <c r="B25103" s="2" t="str">
        <f>IFERROR(__xludf.DUMMYFUNCTION("GOOGLETRANSLATE(A25103, ""de"", ""en"")"),"sweets")</f>
        <v>sweets</v>
      </c>
    </row>
    <row r="25104">
      <c r="A25104" s="1" t="s">
        <v>25103</v>
      </c>
      <c r="B25104" s="2" t="str">
        <f>IFERROR(__xludf.DUMMYFUNCTION("GOOGLETRANSLATE(A25104, ""de"", ""en"")"),"ripped out")</f>
        <v>ripped out</v>
      </c>
    </row>
    <row r="25105">
      <c r="A25105" s="1" t="s">
        <v>25104</v>
      </c>
      <c r="B25105" s="2" t="str">
        <f>IFERROR(__xludf.DUMMYFUNCTION("GOOGLETRANSLATE(A25105, ""de"", ""en"")"),"aft")</f>
        <v>aft</v>
      </c>
    </row>
    <row r="25106">
      <c r="A25106" s="1" t="s">
        <v>25105</v>
      </c>
      <c r="B25106" s="2" t="str">
        <f>IFERROR(__xludf.DUMMYFUNCTION("GOOGLETRANSLATE(A25106, ""de"", ""en"")"),"avoid")</f>
        <v>avoid</v>
      </c>
    </row>
    <row r="25107">
      <c r="A25107" s="1" t="s">
        <v>25106</v>
      </c>
      <c r="B25107" s="2" t="str">
        <f>IFERROR(__xludf.DUMMYFUNCTION("GOOGLETRANSLATE(A25107, ""de"", ""en"")"),"crown prince")</f>
        <v>crown prince</v>
      </c>
    </row>
    <row r="25108">
      <c r="A25108" s="1" t="s">
        <v>25107</v>
      </c>
      <c r="B25108" s="2" t="str">
        <f>IFERROR(__xludf.DUMMYFUNCTION("GOOGLETRANSLATE(A25108, ""de"", ""en"")"),"crackles")</f>
        <v>crackles</v>
      </c>
    </row>
    <row r="25109">
      <c r="A25109" s="1" t="s">
        <v>25108</v>
      </c>
      <c r="B25109" s="2" t="str">
        <f>IFERROR(__xludf.DUMMYFUNCTION("GOOGLETRANSLATE(A25109, ""de"", ""en"")"),"lay out")</f>
        <v>lay out</v>
      </c>
    </row>
    <row r="25110">
      <c r="A25110" s="1" t="s">
        <v>25109</v>
      </c>
      <c r="B25110" s="2" t="str">
        <f>IFERROR(__xludf.DUMMYFUNCTION("GOOGLETRANSLATE(A25110, ""de"", ""en"")"),"Freemasons")</f>
        <v>Freemasons</v>
      </c>
    </row>
    <row r="25111">
      <c r="A25111" s="1" t="s">
        <v>25110</v>
      </c>
      <c r="B25111" s="2" t="str">
        <f>IFERROR(__xludf.DUMMYFUNCTION("GOOGLETRANSLATE(A25111, ""de"", ""en"")"),"evidence chamber")</f>
        <v>evidence chamber</v>
      </c>
    </row>
    <row r="25112">
      <c r="A25112" s="1" t="s">
        <v>25111</v>
      </c>
      <c r="B25112" s="2" t="str">
        <f>IFERROR(__xludf.DUMMYFUNCTION("GOOGLETRANSLATE(A25112, ""de"", ""en"")"),"arvin")</f>
        <v>arvin</v>
      </c>
    </row>
    <row r="25113">
      <c r="A25113" s="1" t="s">
        <v>25112</v>
      </c>
      <c r="B25113" s="2" t="str">
        <f>IFERROR(__xludf.DUMMYFUNCTION("GOOGLETRANSLATE(A25113, ""de"", ""en"")"),"re-election")</f>
        <v>re-election</v>
      </c>
    </row>
    <row r="25114">
      <c r="A25114" s="1" t="s">
        <v>25113</v>
      </c>
      <c r="B25114" s="2" t="str">
        <f>IFERROR(__xludf.DUMMYFUNCTION("GOOGLETRANSLATE(A25114, ""de"", ""en"")"),"cherie")</f>
        <v>cherie</v>
      </c>
    </row>
    <row r="25115">
      <c r="A25115" s="1" t="s">
        <v>25114</v>
      </c>
      <c r="B25115" s="2" t="str">
        <f>IFERROR(__xludf.DUMMYFUNCTION("GOOGLETRANSLATE(A25115, ""de"", ""en"")"),"suppressed")</f>
        <v>suppressed</v>
      </c>
    </row>
    <row r="25116">
      <c r="A25116" s="1" t="s">
        <v>25115</v>
      </c>
      <c r="B25116" s="2" t="str">
        <f>IFERROR(__xludf.DUMMYFUNCTION("GOOGLETRANSLATE(A25116, ""de"", ""en"")"),"hearing aid")</f>
        <v>hearing aid</v>
      </c>
    </row>
    <row r="25117">
      <c r="A25117" s="1" t="s">
        <v>25116</v>
      </c>
      <c r="B25117" s="2" t="str">
        <f>IFERROR(__xludf.DUMMYFUNCTION("GOOGLETRANSLATE(A25117, ""de"", ""en"")"),"Kaspar")</f>
        <v>Kaspar</v>
      </c>
    </row>
    <row r="25118">
      <c r="A25118" s="1" t="s">
        <v>25117</v>
      </c>
      <c r="B25118" s="2" t="str">
        <f>IFERROR(__xludf.DUMMYFUNCTION("GOOGLETRANSLATE(A25118, ""de"", ""en"")"),"python")</f>
        <v>python</v>
      </c>
    </row>
    <row r="25119">
      <c r="A25119" s="1" t="s">
        <v>25118</v>
      </c>
      <c r="B25119" s="2" t="str">
        <f>IFERROR(__xludf.DUMMYFUNCTION("GOOGLETRANSLATE(A25119, ""de"", ""en"")"),"miserable")</f>
        <v>miserable</v>
      </c>
    </row>
    <row r="25120">
      <c r="A25120" s="1" t="s">
        <v>25119</v>
      </c>
      <c r="B25120" s="2" t="str">
        <f>IFERROR(__xludf.DUMMYFUNCTION("GOOGLETRANSLATE(A25120, ""de"", ""en"")"),"narrow")</f>
        <v>narrow</v>
      </c>
    </row>
    <row r="25121">
      <c r="A25121" s="1" t="s">
        <v>25120</v>
      </c>
      <c r="B25121" s="2" t="str">
        <f>IFERROR(__xludf.DUMMYFUNCTION("GOOGLETRANSLATE(A25121, ""de"", ""en"")"),"face each other")</f>
        <v>face each other</v>
      </c>
    </row>
    <row r="25122">
      <c r="A25122" s="1" t="s">
        <v>25121</v>
      </c>
      <c r="B25122" s="2" t="str">
        <f>IFERROR(__xludf.DUMMYFUNCTION("GOOGLETRANSLATE(A25122, ""de"", ""en"")"),"oasis")</f>
        <v>oasis</v>
      </c>
    </row>
    <row r="25123">
      <c r="A25123" s="1" t="s">
        <v>25122</v>
      </c>
      <c r="B25123" s="2" t="str">
        <f>IFERROR(__xludf.DUMMYFUNCTION("GOOGLETRANSLATE(A25123, ""de"", ""en"")"),"brand new")</f>
        <v>brand new</v>
      </c>
    </row>
    <row r="25124">
      <c r="A25124" s="1" t="s">
        <v>25123</v>
      </c>
      <c r="B25124" s="2" t="str">
        <f>IFERROR(__xludf.DUMMYFUNCTION("GOOGLETRANSLATE(A25124, ""de"", ""en"")"),"adhere")</f>
        <v>adhere</v>
      </c>
    </row>
    <row r="25125">
      <c r="A25125" s="1" t="s">
        <v>25124</v>
      </c>
      <c r="B25125" s="2" t="str">
        <f>IFERROR(__xludf.DUMMYFUNCTION("GOOGLETRANSLATE(A25125, ""de"", ""en"")"),"indicate")</f>
        <v>indicate</v>
      </c>
    </row>
    <row r="25126">
      <c r="A25126" s="1" t="s">
        <v>25125</v>
      </c>
      <c r="B25126" s="2" t="str">
        <f>IFERROR(__xludf.DUMMYFUNCTION("GOOGLETRANSLATE(A25126, ""de"", ""en"")"),"treatise")</f>
        <v>treatise</v>
      </c>
    </row>
    <row r="25127">
      <c r="A25127" s="1" t="s">
        <v>25126</v>
      </c>
      <c r="B25127" s="2" t="str">
        <f>IFERROR(__xludf.DUMMYFUNCTION("GOOGLETRANSLATE(A25127, ""de"", ""en"")"),"macarthur")</f>
        <v>macarthur</v>
      </c>
    </row>
    <row r="25128">
      <c r="A25128" s="1" t="s">
        <v>25127</v>
      </c>
      <c r="B25128" s="2" t="str">
        <f>IFERROR(__xludf.DUMMYFUNCTION("GOOGLETRANSLATE(A25128, ""de"", ""en"")"),"arminius")</f>
        <v>arminius</v>
      </c>
    </row>
    <row r="25129">
      <c r="A25129" s="1" t="s">
        <v>25128</v>
      </c>
      <c r="B25129" s="2" t="str">
        <f>IFERROR(__xludf.DUMMYFUNCTION("GOOGLETRANSLATE(A25129, ""de"", ""en"")"),"ie")</f>
        <v>ie</v>
      </c>
    </row>
    <row r="25130">
      <c r="A25130" s="1" t="s">
        <v>25129</v>
      </c>
      <c r="B25130" s="2" t="str">
        <f>IFERROR(__xludf.DUMMYFUNCTION("GOOGLETRANSLATE(A25130, ""de"", ""en"")"),"city ​​center")</f>
        <v>city ​​center</v>
      </c>
    </row>
    <row r="25131">
      <c r="A25131" s="1" t="s">
        <v>25130</v>
      </c>
      <c r="B25131" s="2" t="str">
        <f>IFERROR(__xludf.DUMMYFUNCTION("GOOGLETRANSLATE(A25131, ""de"", ""en"")"),"handshake")</f>
        <v>handshake</v>
      </c>
    </row>
    <row r="25132">
      <c r="A25132" s="1" t="s">
        <v>25131</v>
      </c>
      <c r="B25132" s="2" t="str">
        <f>IFERROR(__xludf.DUMMYFUNCTION("GOOGLETRANSLATE(A25132, ""de"", ""en"")"),"lefty")</f>
        <v>lefty</v>
      </c>
    </row>
    <row r="25133">
      <c r="A25133" s="1" t="s">
        <v>25132</v>
      </c>
      <c r="B25133" s="2" t="str">
        <f>IFERROR(__xludf.DUMMYFUNCTION("GOOGLETRANSLATE(A25133, ""de"", ""en"")"),"uneasy")</f>
        <v>uneasy</v>
      </c>
    </row>
    <row r="25134">
      <c r="A25134" s="1" t="s">
        <v>25133</v>
      </c>
      <c r="B25134" s="2" t="str">
        <f>IFERROR(__xludf.DUMMYFUNCTION("GOOGLETRANSLATE(A25134, ""de"", ""en"")"),"johansson")</f>
        <v>johansson</v>
      </c>
    </row>
    <row r="25135">
      <c r="A25135" s="1" t="s">
        <v>25134</v>
      </c>
      <c r="B25135" s="2" t="str">
        <f>IFERROR(__xludf.DUMMYFUNCTION("GOOGLETRANSLATE(A25135, ""de"", ""en"")"),"indiscreet")</f>
        <v>indiscreet</v>
      </c>
    </row>
    <row r="25136">
      <c r="A25136" s="1" t="s">
        <v>25135</v>
      </c>
      <c r="B25136" s="2" t="str">
        <f>IFERROR(__xludf.DUMMYFUNCTION("GOOGLETRANSLATE(A25136, ""de"", ""en"")"),"break through")</f>
        <v>break through</v>
      </c>
    </row>
    <row r="25137">
      <c r="A25137" s="1" t="s">
        <v>25136</v>
      </c>
      <c r="B25137" s="2" t="str">
        <f>IFERROR(__xludf.DUMMYFUNCTION("GOOGLETRANSLATE(A25137, ""de"", ""en"")"),"spherical")</f>
        <v>spherical</v>
      </c>
    </row>
    <row r="25138">
      <c r="A25138" s="1" t="s">
        <v>25137</v>
      </c>
      <c r="B25138" s="2" t="str">
        <f>IFERROR(__xludf.DUMMYFUNCTION("GOOGLETRANSLATE(A25138, ""de"", ""en"")"),"descendant")</f>
        <v>descendant</v>
      </c>
    </row>
    <row r="25139">
      <c r="A25139" s="1" t="s">
        <v>25138</v>
      </c>
      <c r="B25139" s="2" t="str">
        <f>IFERROR(__xludf.DUMMYFUNCTION("GOOGLETRANSLATE(A25139, ""de"", ""en"")"),"scavo")</f>
        <v>scavo</v>
      </c>
    </row>
    <row r="25140">
      <c r="A25140" s="1" t="s">
        <v>25139</v>
      </c>
      <c r="B25140" s="2" t="str">
        <f>IFERROR(__xludf.DUMMYFUNCTION("GOOGLETRANSLATE(A25140, ""de"", ""en"")"),"seals")</f>
        <v>seals</v>
      </c>
    </row>
    <row r="25141">
      <c r="A25141" s="1" t="s">
        <v>25140</v>
      </c>
      <c r="B25141" s="2" t="str">
        <f>IFERROR(__xludf.DUMMYFUNCTION("GOOGLETRANSLATE(A25141, ""de"", ""en"")"),"intellectually")</f>
        <v>intellectually</v>
      </c>
    </row>
    <row r="25142">
      <c r="A25142" s="1" t="s">
        <v>25141</v>
      </c>
      <c r="B25142" s="2" t="str">
        <f>IFERROR(__xludf.DUMMYFUNCTION("GOOGLETRANSLATE(A25142, ""de"", ""en"")"),"financial support")</f>
        <v>financial support</v>
      </c>
    </row>
    <row r="25143">
      <c r="A25143" s="1" t="s">
        <v>25142</v>
      </c>
      <c r="B25143" s="2" t="str">
        <f>IFERROR(__xludf.DUMMYFUNCTION("GOOGLETRANSLATE(A25143, ""de"", ""en"")"),"Mariah")</f>
        <v>Mariah</v>
      </c>
    </row>
    <row r="25144">
      <c r="A25144" s="1" t="s">
        <v>25143</v>
      </c>
      <c r="B25144" s="2" t="str">
        <f>IFERROR(__xludf.DUMMYFUNCTION("GOOGLETRANSLATE(A25144, ""de"", ""en"")"),"claudio")</f>
        <v>claudio</v>
      </c>
    </row>
    <row r="25145">
      <c r="A25145" s="1" t="s">
        <v>25144</v>
      </c>
      <c r="B25145" s="2" t="str">
        <f>IFERROR(__xludf.DUMMYFUNCTION("GOOGLETRANSLATE(A25145, ""de"", ""en"")"),"free")</f>
        <v>free</v>
      </c>
    </row>
    <row r="25146">
      <c r="A25146" s="1" t="s">
        <v>25145</v>
      </c>
      <c r="B25146" s="2" t="str">
        <f>IFERROR(__xludf.DUMMYFUNCTION("GOOGLETRANSLATE(A25146, ""de"", ""en"")"),"cargo space")</f>
        <v>cargo space</v>
      </c>
    </row>
    <row r="25147">
      <c r="A25147" s="1" t="s">
        <v>25146</v>
      </c>
      <c r="B25147" s="2" t="str">
        <f>IFERROR(__xludf.DUMMYFUNCTION("GOOGLETRANSLATE(A25147, ""de"", ""en"")"),"outnumbered")</f>
        <v>outnumbered</v>
      </c>
    </row>
    <row r="25148">
      <c r="A25148" s="1" t="s">
        <v>25147</v>
      </c>
      <c r="B25148" s="2" t="str">
        <f>IFERROR(__xludf.DUMMYFUNCTION("GOOGLETRANSLATE(A25148, ""de"", ""en"")"),"pediatrician")</f>
        <v>pediatrician</v>
      </c>
    </row>
    <row r="25149">
      <c r="A25149" s="1" t="s">
        <v>25148</v>
      </c>
      <c r="B25149" s="2" t="str">
        <f>IFERROR(__xludf.DUMMYFUNCTION("GOOGLETRANSLATE(A25149, ""de"", ""en"")"),"flower")</f>
        <v>flower</v>
      </c>
    </row>
    <row r="25150">
      <c r="A25150" s="1" t="s">
        <v>25149</v>
      </c>
      <c r="B25150" s="2" t="str">
        <f>IFERROR(__xludf.DUMMYFUNCTION("GOOGLETRANSLATE(A25150, ""de"", ""en"")"),"conversational")</f>
        <v>conversational</v>
      </c>
    </row>
    <row r="25151">
      <c r="A25151" s="1" t="s">
        <v>25150</v>
      </c>
      <c r="B25151" s="2" t="str">
        <f>IFERROR(__xludf.DUMMYFUNCTION("GOOGLETRANSLATE(A25151, ""de"", ""en"")"),"matter")</f>
        <v>matter</v>
      </c>
    </row>
    <row r="25152">
      <c r="A25152" s="1" t="s">
        <v>25151</v>
      </c>
      <c r="B25152" s="2" t="str">
        <f>IFERROR(__xludf.DUMMYFUNCTION("GOOGLETRANSLATE(A25152, ""de"", ""en"")"),"borland")</f>
        <v>borland</v>
      </c>
    </row>
    <row r="25153">
      <c r="A25153" s="1" t="s">
        <v>25152</v>
      </c>
      <c r="B25153" s="2" t="str">
        <f>IFERROR(__xludf.DUMMYFUNCTION("GOOGLETRANSLATE(A25153, ""de"", ""en"")"),"embezzle")</f>
        <v>embezzle</v>
      </c>
    </row>
    <row r="25154">
      <c r="A25154" s="1" t="s">
        <v>25153</v>
      </c>
      <c r="B25154" s="2" t="str">
        <f>IFERROR(__xludf.DUMMYFUNCTION("GOOGLETRANSLATE(A25154, ""de"", ""en"")"),"soo")</f>
        <v>soo</v>
      </c>
    </row>
    <row r="25155">
      <c r="A25155" s="1" t="s">
        <v>25154</v>
      </c>
      <c r="B25155" s="2" t="str">
        <f>IFERROR(__xludf.DUMMYFUNCTION("GOOGLETRANSLATE(A25155, ""de"", ""en"")"),"aids")</f>
        <v>aids</v>
      </c>
    </row>
    <row r="25156">
      <c r="A25156" s="1" t="s">
        <v>25155</v>
      </c>
      <c r="B25156" s="2" t="str">
        <f>IFERROR(__xludf.DUMMYFUNCTION("GOOGLETRANSLATE(A25156, ""de"", ""en"")"),"posterity")</f>
        <v>posterity</v>
      </c>
    </row>
    <row r="25157">
      <c r="A25157" s="1" t="s">
        <v>25156</v>
      </c>
      <c r="B25157" s="2" t="str">
        <f>IFERROR(__xludf.DUMMYFUNCTION("GOOGLETRANSLATE(A25157, ""de"", ""en"")"),"envied")</f>
        <v>envied</v>
      </c>
    </row>
    <row r="25158">
      <c r="A25158" s="1" t="s">
        <v>25157</v>
      </c>
      <c r="B25158" s="2" t="str">
        <f>IFERROR(__xludf.DUMMYFUNCTION("GOOGLETRANSLATE(A25158, ""de"", ""en"")"),"guan")</f>
        <v>guan</v>
      </c>
    </row>
    <row r="25159">
      <c r="A25159" s="1" t="s">
        <v>25158</v>
      </c>
      <c r="B25159" s="2" t="str">
        <f>IFERROR(__xludf.DUMMYFUNCTION("GOOGLETRANSLATE(A25159, ""de"", ""en"")"),"entries")</f>
        <v>entries</v>
      </c>
    </row>
    <row r="25160">
      <c r="A25160" s="1" t="s">
        <v>25159</v>
      </c>
      <c r="B25160" s="2" t="str">
        <f>IFERROR(__xludf.DUMMYFUNCTION("GOOGLETRANSLATE(A25160, ""de"", ""en"")"),"swallowed")</f>
        <v>swallowed</v>
      </c>
    </row>
    <row r="25161">
      <c r="A25161" s="1" t="s">
        <v>25160</v>
      </c>
      <c r="B25161" s="2" t="str">
        <f>IFERROR(__xludf.DUMMYFUNCTION("GOOGLETRANSLATE(A25161, ""de"", ""en"")"),"lie")</f>
        <v>lie</v>
      </c>
    </row>
    <row r="25162">
      <c r="A25162" s="1" t="s">
        <v>25161</v>
      </c>
      <c r="B25162" s="2" t="str">
        <f>IFERROR(__xludf.DUMMYFUNCTION("GOOGLETRANSLATE(A25162, ""de"", ""en"")"),"flip")</f>
        <v>flip</v>
      </c>
    </row>
    <row r="25163">
      <c r="A25163" s="1" t="s">
        <v>25162</v>
      </c>
      <c r="B25163" s="2" t="str">
        <f>IFERROR(__xludf.DUMMYFUNCTION("GOOGLETRANSLATE(A25163, ""de"", ""en"")"),"ibrahim")</f>
        <v>ibrahim</v>
      </c>
    </row>
    <row r="25164">
      <c r="A25164" s="1" t="s">
        <v>25163</v>
      </c>
      <c r="B25164" s="2" t="str">
        <f>IFERROR(__xludf.DUMMYFUNCTION("GOOGLETRANSLATE(A25164, ""de"", ""en"")"),"susceptible")</f>
        <v>susceptible</v>
      </c>
    </row>
    <row r="25165">
      <c r="A25165" s="1" t="s">
        <v>25164</v>
      </c>
      <c r="B25165" s="2" t="str">
        <f>IFERROR(__xludf.DUMMYFUNCTION("GOOGLETRANSLATE(A25165, ""de"", ""en"")"),"recognizable")</f>
        <v>recognizable</v>
      </c>
    </row>
    <row r="25166">
      <c r="A25166" s="1" t="s">
        <v>25165</v>
      </c>
      <c r="B25166" s="2" t="str">
        <f>IFERROR(__xludf.DUMMYFUNCTION("GOOGLETRANSLATE(A25166, ""de"", ""en"")"),"jaz")</f>
        <v>jaz</v>
      </c>
    </row>
    <row r="25167">
      <c r="A25167" s="1" t="s">
        <v>25166</v>
      </c>
      <c r="B25167" s="2" t="str">
        <f>IFERROR(__xludf.DUMMYFUNCTION("GOOGLETRANSLATE(A25167, ""de"", ""en"")"),"strings")</f>
        <v>strings</v>
      </c>
    </row>
    <row r="25168">
      <c r="A25168" s="1" t="s">
        <v>25167</v>
      </c>
      <c r="B25168" s="2" t="str">
        <f>IFERROR(__xludf.DUMMYFUNCTION("GOOGLETRANSLATE(A25168, ""de"", ""en"")"),"paycheck")</f>
        <v>paycheck</v>
      </c>
    </row>
    <row r="25169">
      <c r="A25169" s="1" t="s">
        <v>25168</v>
      </c>
      <c r="B25169" s="2" t="str">
        <f>IFERROR(__xludf.DUMMYFUNCTION("GOOGLETRANSLATE(A25169, ""de"", ""en"")"),"snort")</f>
        <v>snort</v>
      </c>
    </row>
    <row r="25170">
      <c r="A25170" s="1" t="s">
        <v>25169</v>
      </c>
      <c r="B25170" s="2" t="str">
        <f>IFERROR(__xludf.DUMMYFUNCTION("GOOGLETRANSLATE(A25170, ""de"", ""en"")"),"injections")</f>
        <v>injections</v>
      </c>
    </row>
    <row r="25171">
      <c r="A25171" s="1" t="s">
        <v>25170</v>
      </c>
      <c r="B25171" s="2" t="str">
        <f>IFERROR(__xludf.DUMMYFUNCTION("GOOGLETRANSLATE(A25171, ""de"", ""en"")"),"fall off")</f>
        <v>fall off</v>
      </c>
    </row>
    <row r="25172">
      <c r="A25172" s="1" t="s">
        <v>25171</v>
      </c>
      <c r="B25172" s="2" t="str">
        <f>IFERROR(__xludf.DUMMYFUNCTION("GOOGLETRANSLATE(A25172, ""de"", ""en"")"),"Andersen")</f>
        <v>Andersen</v>
      </c>
    </row>
    <row r="25173">
      <c r="A25173" s="1" t="s">
        <v>25172</v>
      </c>
      <c r="B25173" s="2" t="str">
        <f>IFERROR(__xludf.DUMMYFUNCTION("GOOGLETRANSLATE(A25173, ""de"", ""en"")"),"bungalow")</f>
        <v>bungalow</v>
      </c>
    </row>
    <row r="25174">
      <c r="A25174" s="1" t="s">
        <v>25173</v>
      </c>
      <c r="B25174" s="2" t="str">
        <f>IFERROR(__xludf.DUMMYFUNCTION("GOOGLETRANSLATE(A25174, ""de"", ""en"")"),"usable")</f>
        <v>usable</v>
      </c>
    </row>
    <row r="25175">
      <c r="A25175" s="1" t="s">
        <v>25174</v>
      </c>
      <c r="B25175" s="2" t="str">
        <f>IFERROR(__xludf.DUMMYFUNCTION("GOOGLETRANSLATE(A25175, ""de"", ""en"")"),"scrabble")</f>
        <v>scrabble</v>
      </c>
    </row>
    <row r="25176">
      <c r="A25176" s="1" t="s">
        <v>25175</v>
      </c>
      <c r="B25176" s="2" t="str">
        <f>IFERROR(__xludf.DUMMYFUNCTION("GOOGLETRANSLATE(A25176, ""de"", ""en"")"),"slept well")</f>
        <v>slept well</v>
      </c>
    </row>
    <row r="25177">
      <c r="A25177" s="1" t="s">
        <v>25176</v>
      </c>
      <c r="B25177" s="2" t="str">
        <f>IFERROR(__xludf.DUMMYFUNCTION("GOOGLETRANSLATE(A25177, ""de"", ""en"")"),"Scotsman")</f>
        <v>Scotsman</v>
      </c>
    </row>
    <row r="25178">
      <c r="A25178" s="1" t="s">
        <v>25177</v>
      </c>
      <c r="B25178" s="2" t="str">
        <f>IFERROR(__xludf.DUMMYFUNCTION("GOOGLETRANSLATE(A25178, ""de"", ""en"")"),"golf clubs")</f>
        <v>golf clubs</v>
      </c>
    </row>
    <row r="25179">
      <c r="A25179" s="1" t="s">
        <v>25178</v>
      </c>
      <c r="B25179" s="2" t="str">
        <f>IFERROR(__xludf.DUMMYFUNCTION("GOOGLETRANSLATE(A25179, ""de"", ""en"")"),"Hartford")</f>
        <v>Hartford</v>
      </c>
    </row>
    <row r="25180">
      <c r="A25180" s="1" t="s">
        <v>25179</v>
      </c>
      <c r="B25180" s="2" t="str">
        <f>IFERROR(__xludf.DUMMYFUNCTION("GOOGLETRANSLATE(A25180, ""de"", ""en"")"),"can")</f>
        <v>can</v>
      </c>
    </row>
    <row r="25181">
      <c r="A25181" s="1" t="s">
        <v>25180</v>
      </c>
      <c r="B25181" s="2" t="str">
        <f>IFERROR(__xludf.DUMMYFUNCTION("GOOGLETRANSLATE(A25181, ""de"", ""en"")"),"quick")</f>
        <v>quick</v>
      </c>
    </row>
    <row r="25182">
      <c r="A25182" s="1" t="s">
        <v>25181</v>
      </c>
      <c r="B25182" s="2" t="str">
        <f>IFERROR(__xludf.DUMMYFUNCTION("GOOGLETRANSLATE(A25182, ""de"", ""en"")"),"undermined")</f>
        <v>undermined</v>
      </c>
    </row>
    <row r="25183">
      <c r="A25183" s="1" t="s">
        <v>25182</v>
      </c>
      <c r="B25183" s="2" t="str">
        <f>IFERROR(__xludf.DUMMYFUNCTION("GOOGLETRANSLATE(A25183, ""de"", ""en"")"),"verse")</f>
        <v>verse</v>
      </c>
    </row>
    <row r="25184">
      <c r="A25184" s="1" t="s">
        <v>25183</v>
      </c>
      <c r="B25184" s="2" t="str">
        <f>IFERROR(__xludf.DUMMYFUNCTION("GOOGLETRANSLATE(A25184, ""de"", ""en"")"),"mountains")</f>
        <v>mountains</v>
      </c>
    </row>
    <row r="25185">
      <c r="A25185" s="1" t="s">
        <v>25184</v>
      </c>
      <c r="B25185" s="2" t="str">
        <f>IFERROR(__xludf.DUMMYFUNCTION("GOOGLETRANSLATE(A25185, ""de"", ""en"")"),"montague")</f>
        <v>montague</v>
      </c>
    </row>
    <row r="25186">
      <c r="A25186" s="1" t="s">
        <v>25185</v>
      </c>
      <c r="B25186" s="2" t="str">
        <f>IFERROR(__xludf.DUMMYFUNCTION("GOOGLETRANSLATE(A25186, ""de"", ""en"")"),"first class")</f>
        <v>first class</v>
      </c>
    </row>
    <row r="25187">
      <c r="A25187" s="1" t="s">
        <v>25186</v>
      </c>
      <c r="B25187" s="2" t="str">
        <f>IFERROR(__xludf.DUMMYFUNCTION("GOOGLETRANSLATE(A25187, ""de"", ""en"")"),"accommodated")</f>
        <v>accommodated</v>
      </c>
    </row>
    <row r="25188">
      <c r="A25188" s="1" t="s">
        <v>25187</v>
      </c>
      <c r="B25188" s="2" t="str">
        <f>IFERROR(__xludf.DUMMYFUNCTION("GOOGLETRANSLATE(A25188, ""de"", ""en"")"),"accuracy")</f>
        <v>accuracy</v>
      </c>
    </row>
    <row r="25189">
      <c r="A25189" s="1" t="s">
        <v>25188</v>
      </c>
      <c r="B25189" s="2" t="str">
        <f>IFERROR(__xludf.DUMMYFUNCTION("GOOGLETRANSLATE(A25189, ""de"", ""en"")"),"pizzas")</f>
        <v>pizzas</v>
      </c>
    </row>
    <row r="25190">
      <c r="A25190" s="1" t="s">
        <v>25189</v>
      </c>
      <c r="B25190" s="2" t="str">
        <f>IFERROR(__xludf.DUMMYFUNCTION("GOOGLETRANSLATE(A25190, ""de"", ""en"")"),"starved")</f>
        <v>starved</v>
      </c>
    </row>
    <row r="25191">
      <c r="A25191" s="1" t="s">
        <v>25190</v>
      </c>
      <c r="B25191" s="2" t="str">
        <f>IFERROR(__xludf.DUMMYFUNCTION("GOOGLETRANSLATE(A25191, ""de"", ""en"")"),"Giselle")</f>
        <v>Giselle</v>
      </c>
    </row>
    <row r="25192">
      <c r="A25192" s="1" t="s">
        <v>25191</v>
      </c>
      <c r="B25192" s="2" t="str">
        <f>IFERROR(__xludf.DUMMYFUNCTION("GOOGLETRANSLATE(A25192, ""de"", ""en"")"),"put on")</f>
        <v>put on</v>
      </c>
    </row>
    <row r="25193">
      <c r="A25193" s="1" t="s">
        <v>25192</v>
      </c>
      <c r="B25193" s="2" t="str">
        <f>IFERROR(__xludf.DUMMYFUNCTION("GOOGLETRANSLATE(A25193, ""de"", ""en"")"),"light switch")</f>
        <v>light switch</v>
      </c>
    </row>
    <row r="25194">
      <c r="A25194" s="1" t="s">
        <v>25193</v>
      </c>
      <c r="B25194" s="2" t="str">
        <f>IFERROR(__xludf.DUMMYFUNCTION("GOOGLETRANSLATE(A25194, ""de"", ""en"")"),"vita")</f>
        <v>vita</v>
      </c>
    </row>
    <row r="25195">
      <c r="A25195" s="1" t="s">
        <v>25194</v>
      </c>
      <c r="B25195" s="2" t="str">
        <f>IFERROR(__xludf.DUMMYFUNCTION("GOOGLETRANSLATE(A25195, ""de"", ""en"")"),"heavy")</f>
        <v>heavy</v>
      </c>
    </row>
    <row r="25196">
      <c r="A25196" s="1" t="s">
        <v>25195</v>
      </c>
      <c r="B25196" s="2" t="str">
        <f>IFERROR(__xludf.DUMMYFUNCTION("GOOGLETRANSLATE(A25196, ""de"", ""en"")"),"plays along")</f>
        <v>plays along</v>
      </c>
    </row>
    <row r="25197">
      <c r="A25197" s="1" t="s">
        <v>25196</v>
      </c>
      <c r="B25197" s="2" t="str">
        <f>IFERROR(__xludf.DUMMYFUNCTION("GOOGLETRANSLATE(A25197, ""de"", ""en"")"),"strikes")</f>
        <v>strikes</v>
      </c>
    </row>
    <row r="25198">
      <c r="A25198" s="1" t="s">
        <v>25197</v>
      </c>
      <c r="B25198" s="2" t="str">
        <f>IFERROR(__xludf.DUMMYFUNCTION("GOOGLETRANSLATE(A25198, ""de"", ""en"")"),"emailed")</f>
        <v>emailed</v>
      </c>
    </row>
    <row r="25199">
      <c r="A25199" s="1" t="s">
        <v>25198</v>
      </c>
      <c r="B25199" s="2" t="str">
        <f>IFERROR(__xludf.DUMMYFUNCTION("GOOGLETRANSLATE(A25199, ""de"", ""en"")"),"rollins")</f>
        <v>rollins</v>
      </c>
    </row>
    <row r="25200">
      <c r="A25200" s="1" t="s">
        <v>25199</v>
      </c>
      <c r="B25200" s="2" t="str">
        <f>IFERROR(__xludf.DUMMYFUNCTION("GOOGLETRANSLATE(A25200, ""de"", ""en"")"),"mansfield")</f>
        <v>mansfield</v>
      </c>
    </row>
    <row r="25201">
      <c r="A25201" s="1" t="s">
        <v>25200</v>
      </c>
      <c r="B25201" s="2" t="str">
        <f>IFERROR(__xludf.DUMMYFUNCTION("GOOGLETRANSLATE(A25201, ""de"", ""en"")"),"runner")</f>
        <v>runner</v>
      </c>
    </row>
    <row r="25202">
      <c r="A25202" s="1" t="s">
        <v>25201</v>
      </c>
      <c r="B25202" s="2" t="str">
        <f>IFERROR(__xludf.DUMMYFUNCTION("GOOGLETRANSLATE(A25202, ""de"", ""en"")"),"public defender")</f>
        <v>public defender</v>
      </c>
    </row>
    <row r="25203">
      <c r="A25203" s="1" t="s">
        <v>25202</v>
      </c>
      <c r="B25203" s="2" t="str">
        <f>IFERROR(__xludf.DUMMYFUNCTION("GOOGLETRANSLATE(A25203, ""de"", ""en"")"),"Arigold")</f>
        <v>Arigold</v>
      </c>
    </row>
    <row r="25204">
      <c r="A25204" s="1" t="s">
        <v>25203</v>
      </c>
      <c r="B25204" s="2" t="str">
        <f>IFERROR(__xludf.DUMMYFUNCTION("GOOGLETRANSLATE(A25204, ""de"", ""en"")"),"Edwina")</f>
        <v>Edwina</v>
      </c>
    </row>
    <row r="25205">
      <c r="A25205" s="1" t="s">
        <v>25204</v>
      </c>
      <c r="B25205" s="2" t="str">
        <f>IFERROR(__xludf.DUMMYFUNCTION("GOOGLETRANSLATE(A25205, ""de"", ""en"")"),"bookstore")</f>
        <v>bookstore</v>
      </c>
    </row>
    <row r="25206">
      <c r="A25206" s="1" t="s">
        <v>25205</v>
      </c>
      <c r="B25206" s="2" t="str">
        <f>IFERROR(__xludf.DUMMYFUNCTION("GOOGLETRANSLATE(A25206, ""de"", ""en"")"),"belong")</f>
        <v>belong</v>
      </c>
    </row>
    <row r="25207">
      <c r="A25207" s="1" t="s">
        <v>25206</v>
      </c>
      <c r="B25207" s="2" t="str">
        <f>IFERROR(__xludf.DUMMYFUNCTION("GOOGLETRANSLATE(A25207, ""de"", ""en"")"),"Bannon")</f>
        <v>Bannon</v>
      </c>
    </row>
    <row r="25208">
      <c r="A25208" s="1" t="s">
        <v>25207</v>
      </c>
      <c r="B25208" s="2" t="str">
        <f>IFERROR(__xludf.DUMMYFUNCTION("GOOGLETRANSLATE(A25208, ""de"", ""en"")"),"mmm")</f>
        <v>mmm</v>
      </c>
    </row>
    <row r="25209">
      <c r="A25209" s="1" t="s">
        <v>25208</v>
      </c>
      <c r="B25209" s="2" t="str">
        <f>IFERROR(__xludf.DUMMYFUNCTION("GOOGLETRANSLATE(A25209, ""de"", ""en"")"),"eau")</f>
        <v>eau</v>
      </c>
    </row>
    <row r="25210">
      <c r="A25210" s="1" t="s">
        <v>25209</v>
      </c>
      <c r="B25210" s="2" t="str">
        <f>IFERROR(__xludf.DUMMYFUNCTION("GOOGLETRANSLATE(A25210, ""de"", ""en"")"),"visit")</f>
        <v>visit</v>
      </c>
    </row>
    <row r="25211">
      <c r="A25211" s="1" t="s">
        <v>25210</v>
      </c>
      <c r="B25211" s="2" t="str">
        <f>IFERROR(__xludf.DUMMYFUNCTION("GOOGLETRANSLATE(A25211, ""de"", ""en"")"),"siblings")</f>
        <v>siblings</v>
      </c>
    </row>
    <row r="25212">
      <c r="A25212" s="1" t="s">
        <v>25211</v>
      </c>
      <c r="B25212" s="2" t="str">
        <f>IFERROR(__xludf.DUMMYFUNCTION("GOOGLETRANSLATE(A25212, ""de"", ""en"")"),"censorship")</f>
        <v>censorship</v>
      </c>
    </row>
    <row r="25213">
      <c r="A25213" s="1" t="s">
        <v>25212</v>
      </c>
      <c r="B25213" s="2" t="str">
        <f>IFERROR(__xludf.DUMMYFUNCTION("GOOGLETRANSLATE(A25213, ""de"", ""en"")"),"bachelor party")</f>
        <v>bachelor party</v>
      </c>
    </row>
    <row r="25214">
      <c r="A25214" s="1" t="s">
        <v>25213</v>
      </c>
      <c r="B25214" s="2" t="str">
        <f>IFERROR(__xludf.DUMMYFUNCTION("GOOGLETRANSLATE(A25214, ""de"", ""en"")"),"capped")</f>
        <v>capped</v>
      </c>
    </row>
    <row r="25215">
      <c r="A25215" s="1" t="s">
        <v>25214</v>
      </c>
      <c r="B25215" s="2" t="str">
        <f>IFERROR(__xludf.DUMMYFUNCTION("GOOGLETRANSLATE(A25215, ""de"", ""en"")"),"farmer's wife")</f>
        <v>farmer's wife</v>
      </c>
    </row>
    <row r="25216">
      <c r="A25216" s="1" t="s">
        <v>25215</v>
      </c>
      <c r="B25216" s="2" t="str">
        <f>IFERROR(__xludf.DUMMYFUNCTION("GOOGLETRANSLATE(A25216, ""de"", ""en"")"),"means of transport")</f>
        <v>means of transport</v>
      </c>
    </row>
    <row r="25217">
      <c r="A25217" s="1" t="s">
        <v>25216</v>
      </c>
      <c r="B25217" s="2" t="str">
        <f>IFERROR(__xludf.DUMMYFUNCTION("GOOGLETRANSLATE(A25217, ""de"", ""en"")"),"half-half")</f>
        <v>half-half</v>
      </c>
    </row>
    <row r="25218">
      <c r="A25218" s="1" t="s">
        <v>25217</v>
      </c>
      <c r="B25218" s="2" t="str">
        <f>IFERROR(__xludf.DUMMYFUNCTION("GOOGLETRANSLATE(A25218, ""de"", ""en"")"),"klinks")</f>
        <v>klinks</v>
      </c>
    </row>
    <row r="25219">
      <c r="A25219" s="1" t="s">
        <v>25218</v>
      </c>
      <c r="B25219" s="2" t="str">
        <f>IFERROR(__xludf.DUMMYFUNCTION("GOOGLETRANSLATE(A25219, ""de"", ""en"")"),"chat")</f>
        <v>chat</v>
      </c>
    </row>
    <row r="25220">
      <c r="A25220" s="1" t="s">
        <v>25219</v>
      </c>
      <c r="B25220" s="2" t="str">
        <f>IFERROR(__xludf.DUMMYFUNCTION("GOOGLETRANSLATE(A25220, ""de"", ""en"")"),"reminder")</f>
        <v>reminder</v>
      </c>
    </row>
    <row r="25221">
      <c r="A25221" s="1" t="s">
        <v>25220</v>
      </c>
      <c r="B25221" s="2" t="str">
        <f>IFERROR(__xludf.DUMMYFUNCTION("GOOGLETRANSLATE(A25221, ""de"", ""en"")"),"haunt")</f>
        <v>haunt</v>
      </c>
    </row>
    <row r="25222">
      <c r="A25222" s="1" t="s">
        <v>25221</v>
      </c>
      <c r="B25222" s="2" t="str">
        <f>IFERROR(__xludf.DUMMYFUNCTION("GOOGLETRANSLATE(A25222, ""de"", ""en"")"),"argued")</f>
        <v>argued</v>
      </c>
    </row>
    <row r="25223">
      <c r="A25223" s="1" t="s">
        <v>25222</v>
      </c>
      <c r="B25223" s="2" t="str">
        <f>IFERROR(__xludf.DUMMYFUNCTION("GOOGLETRANSLATE(A25223, ""de"", ""en"")"),"Domingo")</f>
        <v>Domingo</v>
      </c>
    </row>
    <row r="25224">
      <c r="A25224" s="1" t="s">
        <v>25223</v>
      </c>
      <c r="B25224" s="2" t="str">
        <f>IFERROR(__xludf.DUMMYFUNCTION("GOOGLETRANSLATE(A25224, ""de"", ""en"")"),"previous")</f>
        <v>previous</v>
      </c>
    </row>
    <row r="25225">
      <c r="A25225" s="1" t="s">
        <v>25224</v>
      </c>
      <c r="B25225" s="2" t="str">
        <f>IFERROR(__xludf.DUMMYFUNCTION("GOOGLETRANSLATE(A25225, ""de"", ""en"")"),"hodges")</f>
        <v>hodges</v>
      </c>
    </row>
    <row r="25226">
      <c r="A25226" s="1" t="s">
        <v>25225</v>
      </c>
      <c r="B25226" s="2" t="str">
        <f>IFERROR(__xludf.DUMMYFUNCTION("GOOGLETRANSLATE(A25226, ""de"", ""en"")"),"apple juice")</f>
        <v>apple juice</v>
      </c>
    </row>
    <row r="25227">
      <c r="A25227" s="1" t="s">
        <v>25226</v>
      </c>
      <c r="B25227" s="2" t="str">
        <f>IFERROR(__xludf.DUMMYFUNCTION("GOOGLETRANSLATE(A25227, ""de"", ""en"")"),"communist")</f>
        <v>communist</v>
      </c>
    </row>
    <row r="25228">
      <c r="A25228" s="1" t="s">
        <v>25227</v>
      </c>
      <c r="B25228" s="2" t="str">
        <f>IFERROR(__xludf.DUMMYFUNCTION("GOOGLETRANSLATE(A25228, ""de"", ""en"")"),"pedestrian")</f>
        <v>pedestrian</v>
      </c>
    </row>
    <row r="25229">
      <c r="A25229" s="1" t="s">
        <v>25228</v>
      </c>
      <c r="B25229" s="2" t="str">
        <f>IFERROR(__xludf.DUMMYFUNCTION("GOOGLETRANSLATE(A25229, ""de"", ""en"")"),"weirder")</f>
        <v>weirder</v>
      </c>
    </row>
    <row r="25230">
      <c r="A25230" s="1" t="s">
        <v>25229</v>
      </c>
      <c r="B25230" s="2" t="str">
        <f>IFERROR(__xludf.DUMMYFUNCTION("GOOGLETRANSLATE(A25230, ""de"", ""en"")"),"delicious")</f>
        <v>delicious</v>
      </c>
    </row>
    <row r="25231">
      <c r="A25231" s="1" t="s">
        <v>25230</v>
      </c>
      <c r="B25231" s="2" t="str">
        <f>IFERROR(__xludf.DUMMYFUNCTION("GOOGLETRANSLATE(A25231, ""de"", ""en"")"),"fiber")</f>
        <v>fiber</v>
      </c>
    </row>
    <row r="25232">
      <c r="A25232" s="1" t="s">
        <v>25231</v>
      </c>
      <c r="B25232" s="2" t="str">
        <f>IFERROR(__xludf.DUMMYFUNCTION("GOOGLETRANSLATE(A25232, ""de"", ""en"")"),"burst")</f>
        <v>burst</v>
      </c>
    </row>
    <row r="25233">
      <c r="A25233" s="1" t="s">
        <v>25232</v>
      </c>
      <c r="B25233" s="2" t="str">
        <f>IFERROR(__xludf.DUMMYFUNCTION("GOOGLETRANSLATE(A25233, ""de"", ""en"")"),"serenity")</f>
        <v>serenity</v>
      </c>
    </row>
    <row r="25234">
      <c r="A25234" s="1" t="s">
        <v>25233</v>
      </c>
      <c r="B25234" s="2" t="str">
        <f>IFERROR(__xludf.DUMMYFUNCTION("GOOGLETRANSLATE(A25234, ""de"", ""en"")"),"mushrooms")</f>
        <v>mushrooms</v>
      </c>
    </row>
    <row r="25235">
      <c r="A25235" s="1" t="s">
        <v>25234</v>
      </c>
      <c r="B25235" s="2" t="str">
        <f>IFERROR(__xludf.DUMMYFUNCTION("GOOGLETRANSLATE(A25235, ""de"", ""en"")"),"flirt")</f>
        <v>flirt</v>
      </c>
    </row>
    <row r="25236">
      <c r="A25236" s="1" t="s">
        <v>25235</v>
      </c>
      <c r="B25236" s="2" t="str">
        <f>IFERROR(__xludf.DUMMYFUNCTION("GOOGLETRANSLATE(A25236, ""de"", ""en"")"),"stuck")</f>
        <v>stuck</v>
      </c>
    </row>
    <row r="25237">
      <c r="A25237" s="1" t="s">
        <v>25236</v>
      </c>
      <c r="B25237" s="2" t="str">
        <f>IFERROR(__xludf.DUMMYFUNCTION("GOOGLETRANSLATE(A25237, ""de"", ""en"")"),"use")</f>
        <v>use</v>
      </c>
    </row>
    <row r="25238">
      <c r="A25238" s="1" t="s">
        <v>25237</v>
      </c>
      <c r="B25238" s="2" t="str">
        <f>IFERROR(__xludf.DUMMYFUNCTION("GOOGLETRANSLATE(A25238, ""de"", ""en"")"),"Hansi")</f>
        <v>Hansi</v>
      </c>
    </row>
    <row r="25239">
      <c r="A25239" s="1" t="s">
        <v>25238</v>
      </c>
      <c r="B25239" s="2" t="str">
        <f>IFERROR(__xludf.DUMMYFUNCTION("GOOGLETRANSLATE(A25239, ""de"", ""en"")"),"pornography")</f>
        <v>pornography</v>
      </c>
    </row>
    <row r="25240">
      <c r="A25240" s="1" t="s">
        <v>25239</v>
      </c>
      <c r="B25240" s="2" t="str">
        <f>IFERROR(__xludf.DUMMYFUNCTION("GOOGLETRANSLATE(A25240, ""de"", ""en"")"),"proud")</f>
        <v>proud</v>
      </c>
    </row>
    <row r="25241">
      <c r="A25241" s="1" t="s">
        <v>25240</v>
      </c>
      <c r="B25241" s="2" t="str">
        <f>IFERROR(__xludf.DUMMYFUNCTION("GOOGLETRANSLATE(A25241, ""de"", ""en"")"),"huge thing")</f>
        <v>huge thing</v>
      </c>
    </row>
    <row r="25242">
      <c r="A25242" s="1" t="s">
        <v>25241</v>
      </c>
      <c r="B25242" s="2" t="str">
        <f>IFERROR(__xludf.DUMMYFUNCTION("GOOGLETRANSLATE(A25242, ""de"", ""en"")"),"scarier")</f>
        <v>scarier</v>
      </c>
    </row>
    <row r="25243">
      <c r="A25243" s="1" t="s">
        <v>25242</v>
      </c>
      <c r="B25243" s="2" t="str">
        <f>IFERROR(__xludf.DUMMYFUNCTION("GOOGLETRANSLATE(A25243, ""de"", ""en"")"),"most important")</f>
        <v>most important</v>
      </c>
    </row>
    <row r="25244">
      <c r="A25244" s="1" t="s">
        <v>25243</v>
      </c>
      <c r="B25244" s="2" t="str">
        <f>IFERROR(__xludf.DUMMYFUNCTION("GOOGLETRANSLATE(A25244, ""de"", ""en"")"),"ironically")</f>
        <v>ironically</v>
      </c>
    </row>
    <row r="25245">
      <c r="A25245" s="1" t="s">
        <v>25244</v>
      </c>
      <c r="B25245" s="2" t="str">
        <f>IFERROR(__xludf.DUMMYFUNCTION("GOOGLETRANSLATE(A25245, ""de"", ""en"")"),"enrichment")</f>
        <v>enrichment</v>
      </c>
    </row>
    <row r="25246">
      <c r="A25246" s="1" t="s">
        <v>25245</v>
      </c>
      <c r="B25246" s="2" t="str">
        <f>IFERROR(__xludf.DUMMYFUNCTION("GOOGLETRANSLATE(A25246, ""de"", ""en"")"),"general")</f>
        <v>general</v>
      </c>
    </row>
    <row r="25247">
      <c r="A25247" s="1" t="s">
        <v>25246</v>
      </c>
      <c r="B25247" s="2" t="str">
        <f>IFERROR(__xludf.DUMMYFUNCTION("GOOGLETRANSLATE(A25247, ""de"", ""en"")"),"yeah")</f>
        <v>yeah</v>
      </c>
    </row>
    <row r="25248">
      <c r="A25248" s="1" t="s">
        <v>25247</v>
      </c>
      <c r="B25248" s="2" t="str">
        <f>IFERROR(__xludf.DUMMYFUNCTION("GOOGLETRANSLATE(A25248, ""de"", ""en"")"),"stomach ache")</f>
        <v>stomach ache</v>
      </c>
    </row>
    <row r="25249">
      <c r="A25249" s="1" t="s">
        <v>25248</v>
      </c>
      <c r="B25249" s="2" t="str">
        <f>IFERROR(__xludf.DUMMYFUNCTION("GOOGLETRANSLATE(A25249, ""de"", ""en"")"),"indispensable")</f>
        <v>indispensable</v>
      </c>
    </row>
    <row r="25250">
      <c r="A25250" s="1" t="s">
        <v>25249</v>
      </c>
      <c r="B25250" s="2" t="str">
        <f>IFERROR(__xludf.DUMMYFUNCTION("GOOGLETRANSLATE(A25250, ""de"", ""en"")"),"simeon")</f>
        <v>simeon</v>
      </c>
    </row>
    <row r="25251">
      <c r="A25251" s="1" t="s">
        <v>25250</v>
      </c>
      <c r="B25251" s="2" t="str">
        <f>IFERROR(__xludf.DUMMYFUNCTION("GOOGLETRANSLATE(A25251, ""de"", ""en"")"),"changeling")</f>
        <v>changeling</v>
      </c>
    </row>
    <row r="25252">
      <c r="A25252" s="1" t="s">
        <v>25251</v>
      </c>
      <c r="B25252" s="2" t="str">
        <f>IFERROR(__xludf.DUMMYFUNCTION("GOOGLETRANSLATE(A25252, ""de"", ""en"")"),"bowling alley")</f>
        <v>bowling alley</v>
      </c>
    </row>
    <row r="25253">
      <c r="A25253" s="1" t="s">
        <v>25252</v>
      </c>
      <c r="B25253" s="2" t="str">
        <f>IFERROR(__xludf.DUMMYFUNCTION("GOOGLETRANSLATE(A25253, ""de"", ""en"")"),"forensic scientist")</f>
        <v>forensic scientist</v>
      </c>
    </row>
    <row r="25254">
      <c r="A25254" s="1" t="s">
        <v>25253</v>
      </c>
      <c r="B25254" s="2" t="str">
        <f>IFERROR(__xludf.DUMMYFUNCTION("GOOGLETRANSLATE(A25254, ""de"", ""en"")"),"nourishes")</f>
        <v>nourishes</v>
      </c>
    </row>
    <row r="25255">
      <c r="A25255" s="1" t="s">
        <v>25254</v>
      </c>
      <c r="B25255" s="2" t="str">
        <f>IFERROR(__xludf.DUMMYFUNCTION("GOOGLETRANSLATE(A25255, ""de"", ""en"")"),"Genevieve")</f>
        <v>Genevieve</v>
      </c>
    </row>
    <row r="25256">
      <c r="A25256" s="1" t="s">
        <v>25255</v>
      </c>
      <c r="B25256" s="2" t="str">
        <f>IFERROR(__xludf.DUMMYFUNCTION("GOOGLETRANSLATE(A25256, ""de"", ""en"")"),"shithouse")</f>
        <v>shithouse</v>
      </c>
    </row>
    <row r="25257">
      <c r="A25257" s="1" t="s">
        <v>25256</v>
      </c>
      <c r="B25257" s="2" t="str">
        <f>IFERROR(__xludf.DUMMYFUNCTION("GOOGLETRANSLATE(A25257, ""de"", ""en"")"),"about")</f>
        <v>about</v>
      </c>
    </row>
    <row r="25258">
      <c r="A25258" s="1" t="s">
        <v>25257</v>
      </c>
      <c r="B25258" s="2" t="str">
        <f>IFERROR(__xludf.DUMMYFUNCTION("GOOGLETRANSLATE(A25258, ""de"", ""en"")"),"r2")</f>
        <v>r2</v>
      </c>
    </row>
    <row r="25259">
      <c r="A25259" s="1" t="s">
        <v>25258</v>
      </c>
      <c r="B25259" s="2" t="str">
        <f>IFERROR(__xludf.DUMMYFUNCTION("GOOGLETRANSLATE(A25259, ""de"", ""en"")"),"best")</f>
        <v>best</v>
      </c>
    </row>
    <row r="25260">
      <c r="A25260" s="1" t="s">
        <v>25259</v>
      </c>
      <c r="B25260" s="2" t="str">
        <f>IFERROR(__xludf.DUMMYFUNCTION("GOOGLETRANSLATE(A25260, ""de"", ""en"")"),"relax")</f>
        <v>relax</v>
      </c>
    </row>
    <row r="25261">
      <c r="A25261" s="1" t="s">
        <v>25260</v>
      </c>
      <c r="B25261" s="2" t="str">
        <f>IFERROR(__xludf.DUMMYFUNCTION("GOOGLETRANSLATE(A25261, ""de"", ""en"")"),"range")</f>
        <v>range</v>
      </c>
    </row>
    <row r="25262">
      <c r="A25262" s="1" t="s">
        <v>25261</v>
      </c>
      <c r="B25262" s="2" t="str">
        <f>IFERROR(__xludf.DUMMYFUNCTION("GOOGLETRANSLATE(A25262, ""de"", ""en"")"),"hanni")</f>
        <v>hanni</v>
      </c>
    </row>
    <row r="25263">
      <c r="A25263" s="1" t="s">
        <v>25262</v>
      </c>
      <c r="B25263" s="2" t="str">
        <f>IFERROR(__xludf.DUMMYFUNCTION("GOOGLETRANSLATE(A25263, ""de"", ""en"")"),"fallen off")</f>
        <v>fallen off</v>
      </c>
    </row>
    <row r="25264">
      <c r="A25264" s="1" t="s">
        <v>25263</v>
      </c>
      <c r="B25264" s="2" t="str">
        <f>IFERROR(__xludf.DUMMYFUNCTION("GOOGLETRANSLATE(A25264, ""de"", ""en"")"),"drugstore")</f>
        <v>drugstore</v>
      </c>
    </row>
    <row r="25265">
      <c r="A25265" s="1" t="s">
        <v>25264</v>
      </c>
      <c r="B25265" s="2" t="str">
        <f>IFERROR(__xludf.DUMMYFUNCTION("GOOGLETRANSLATE(A25265, ""de"", ""en"")"),"Egyptian")</f>
        <v>Egyptian</v>
      </c>
    </row>
    <row r="25266">
      <c r="A25266" s="1" t="s">
        <v>25265</v>
      </c>
      <c r="B25266" s="2" t="str">
        <f>IFERROR(__xludf.DUMMYFUNCTION("GOOGLETRANSLATE(A25266, ""de"", ""en"")"),"programmer")</f>
        <v>programmer</v>
      </c>
    </row>
    <row r="25267">
      <c r="A25267" s="1" t="s">
        <v>25266</v>
      </c>
      <c r="B25267" s="2" t="str">
        <f>IFERROR(__xludf.DUMMYFUNCTION("GOOGLETRANSLATE(A25267, ""de"", ""en"")"),"maker")</f>
        <v>maker</v>
      </c>
    </row>
    <row r="25268">
      <c r="A25268" s="1" t="s">
        <v>25267</v>
      </c>
      <c r="B25268" s="2" t="str">
        <f>IFERROR(__xludf.DUMMYFUNCTION("GOOGLETRANSLATE(A25268, ""de"", ""en"")"),"beep")</f>
        <v>beep</v>
      </c>
    </row>
    <row r="25269">
      <c r="A25269" s="1" t="s">
        <v>25268</v>
      </c>
      <c r="B25269" s="2" t="str">
        <f>IFERROR(__xludf.DUMMYFUNCTION("GOOGLETRANSLATE(A25269, ""de"", ""en"")"),"failed")</f>
        <v>failed</v>
      </c>
    </row>
    <row r="25270">
      <c r="A25270" s="1" t="s">
        <v>25269</v>
      </c>
      <c r="B25270" s="2" t="str">
        <f>IFERROR(__xludf.DUMMYFUNCTION("GOOGLETRANSLATE(A25270, ""de"", ""en"")"),"dough")</f>
        <v>dough</v>
      </c>
    </row>
    <row r="25271">
      <c r="A25271" s="1" t="s">
        <v>25270</v>
      </c>
      <c r="B25271" s="2" t="str">
        <f>IFERROR(__xludf.DUMMYFUNCTION("GOOGLETRANSLATE(A25271, ""de"", ""en"")"),"flying")</f>
        <v>flying</v>
      </c>
    </row>
    <row r="25272">
      <c r="A25272" s="1" t="s">
        <v>25271</v>
      </c>
      <c r="B25272" s="2" t="str">
        <f>IFERROR(__xludf.DUMMYFUNCTION("GOOGLETRANSLATE(A25272, ""de"", ""en"")"),"spice")</f>
        <v>spice</v>
      </c>
    </row>
    <row r="25273">
      <c r="A25273" s="1" t="s">
        <v>25272</v>
      </c>
      <c r="B25273" s="2" t="str">
        <f>IFERROR(__xludf.DUMMYFUNCTION("GOOGLETRANSLATE(A25273, ""de"", ""en"")"),"busier")</f>
        <v>busier</v>
      </c>
    </row>
    <row r="25274">
      <c r="A25274" s="1" t="s">
        <v>25273</v>
      </c>
      <c r="B25274" s="2" t="str">
        <f>IFERROR(__xludf.DUMMYFUNCTION("GOOGLETRANSLATE(A25274, ""de"", ""en"")"),"arrest cell")</f>
        <v>arrest cell</v>
      </c>
    </row>
    <row r="25275">
      <c r="A25275" s="1" t="s">
        <v>25274</v>
      </c>
      <c r="B25275" s="2" t="str">
        <f>IFERROR(__xludf.DUMMYFUNCTION("GOOGLETRANSLATE(A25275, ""de"", ""en"")"),"phenomena")</f>
        <v>phenomena</v>
      </c>
    </row>
    <row r="25276">
      <c r="A25276" s="1" t="s">
        <v>25275</v>
      </c>
      <c r="B25276" s="2" t="str">
        <f>IFERROR(__xludf.DUMMYFUNCTION("GOOGLETRANSLATE(A25276, ""de"", ""en"")"),"seal")</f>
        <v>seal</v>
      </c>
    </row>
    <row r="25277">
      <c r="A25277" s="1" t="s">
        <v>25276</v>
      </c>
      <c r="B25277" s="2" t="str">
        <f>IFERROR(__xludf.DUMMYFUNCTION("GOOGLETRANSLATE(A25277, ""de"", ""en"")"),"rothstein")</f>
        <v>rothstein</v>
      </c>
    </row>
    <row r="25278">
      <c r="A25278" s="1" t="s">
        <v>25277</v>
      </c>
      <c r="B25278" s="2" t="str">
        <f>IFERROR(__xludf.DUMMYFUNCTION("GOOGLETRANSLATE(A25278, ""de"", ""en"")"),"fantasy")</f>
        <v>fantasy</v>
      </c>
    </row>
    <row r="25279">
      <c r="A25279" s="1" t="s">
        <v>25278</v>
      </c>
      <c r="B25279" s="2" t="str">
        <f>IFERROR(__xludf.DUMMYFUNCTION("GOOGLETRANSLATE(A25279, ""de"", ""en"")"),"slides")</f>
        <v>slides</v>
      </c>
    </row>
    <row r="25280">
      <c r="A25280" s="1" t="s">
        <v>25279</v>
      </c>
      <c r="B25280" s="2" t="str">
        <f>IFERROR(__xludf.DUMMYFUNCTION("GOOGLETRANSLATE(A25280, ""de"", ""en"")"),"space")</f>
        <v>space</v>
      </c>
    </row>
    <row r="25281">
      <c r="A25281" s="1" t="s">
        <v>25280</v>
      </c>
      <c r="B25281" s="2" t="str">
        <f>IFERROR(__xludf.DUMMYFUNCTION("GOOGLETRANSLATE(A25281, ""de"", ""en"")"),"archangel")</f>
        <v>archangel</v>
      </c>
    </row>
    <row r="25282">
      <c r="A25282" s="1" t="s">
        <v>25281</v>
      </c>
      <c r="B25282" s="2" t="str">
        <f>IFERROR(__xludf.DUMMYFUNCTION("GOOGLETRANSLATE(A25282, ""de"", ""en"")"),"lamar")</f>
        <v>lamar</v>
      </c>
    </row>
    <row r="25283">
      <c r="A25283" s="1" t="s">
        <v>25282</v>
      </c>
      <c r="B25283" s="2" t="str">
        <f>IFERROR(__xludf.DUMMYFUNCTION("GOOGLETRANSLATE(A25283, ""de"", ""en"")"),"zora")</f>
        <v>zora</v>
      </c>
    </row>
    <row r="25284">
      <c r="A25284" s="1" t="s">
        <v>25283</v>
      </c>
      <c r="B25284" s="2" t="str">
        <f>IFERROR(__xludf.DUMMYFUNCTION("GOOGLETRANSLATE(A25284, ""de"", ""en"")"),"otter")</f>
        <v>otter</v>
      </c>
    </row>
    <row r="25285">
      <c r="A25285" s="1" t="s">
        <v>25284</v>
      </c>
      <c r="B25285" s="2" t="str">
        <f>IFERROR(__xludf.DUMMYFUNCTION("GOOGLETRANSLATE(A25285, ""de"", ""en"")"),"touché")</f>
        <v>touché</v>
      </c>
    </row>
    <row r="25286">
      <c r="A25286" s="1" t="s">
        <v>25285</v>
      </c>
      <c r="B25286" s="2" t="str">
        <f>IFERROR(__xludf.DUMMYFUNCTION("GOOGLETRANSLATE(A25286, ""de"", ""en"")"),"sung")</f>
        <v>sung</v>
      </c>
    </row>
    <row r="25287">
      <c r="A25287" s="1" t="s">
        <v>25286</v>
      </c>
      <c r="B25287" s="2" t="str">
        <f>IFERROR(__xludf.DUMMYFUNCTION("GOOGLETRANSLATE(A25287, ""de"", ""en"")"),"Japanese")</f>
        <v>Japanese</v>
      </c>
    </row>
    <row r="25288">
      <c r="A25288" s="1" t="s">
        <v>25287</v>
      </c>
      <c r="B25288" s="2" t="str">
        <f>IFERROR(__xludf.DUMMYFUNCTION("GOOGLETRANSLATE(A25288, ""de"", ""en"")"),"regular")</f>
        <v>regular</v>
      </c>
    </row>
    <row r="25289">
      <c r="A25289" s="1" t="s">
        <v>25288</v>
      </c>
      <c r="B25289" s="2" t="str">
        <f>IFERROR(__xludf.DUMMYFUNCTION("GOOGLETRANSLATE(A25289, ""de"", ""en"")"),"tarnished")</f>
        <v>tarnished</v>
      </c>
    </row>
    <row r="25290">
      <c r="A25290" s="1" t="s">
        <v>25289</v>
      </c>
      <c r="B25290" s="2" t="str">
        <f>IFERROR(__xludf.DUMMYFUNCTION("GOOGLETRANSLATE(A25290, ""de"", ""en"")"),"excalibur")</f>
        <v>excalibur</v>
      </c>
    </row>
    <row r="25291">
      <c r="A25291" s="1" t="s">
        <v>25290</v>
      </c>
      <c r="B25291" s="2" t="str">
        <f>IFERROR(__xludf.DUMMYFUNCTION("GOOGLETRANSLATE(A25291, ""de"", ""en"")"),"task.task")</f>
        <v>task.task</v>
      </c>
    </row>
    <row r="25292">
      <c r="A25292" s="1" t="s">
        <v>25291</v>
      </c>
      <c r="B25292" s="2" t="str">
        <f>IFERROR(__xludf.DUMMYFUNCTION("GOOGLETRANSLATE(A25292, ""de"", ""en"")"),"master's degree")</f>
        <v>master's degree</v>
      </c>
    </row>
    <row r="25293">
      <c r="A25293" s="1" t="s">
        <v>25292</v>
      </c>
      <c r="B25293" s="2" t="str">
        <f>IFERROR(__xludf.DUMMYFUNCTION("GOOGLETRANSLATE(A25293, ""de"", ""en"")"),"conditions")</f>
        <v>conditions</v>
      </c>
    </row>
    <row r="25294">
      <c r="A25294" s="1" t="s">
        <v>25293</v>
      </c>
      <c r="B25294" s="2" t="str">
        <f>IFERROR(__xludf.DUMMYFUNCTION("GOOGLETRANSLATE(A25294, ""de"", ""en"")"),"meng")</f>
        <v>meng</v>
      </c>
    </row>
    <row r="25295">
      <c r="A25295" s="1" t="s">
        <v>25294</v>
      </c>
      <c r="B25295" s="2" t="str">
        <f>IFERROR(__xludf.DUMMYFUNCTION("GOOGLETRANSLATE(A25295, ""de"", ""en"")"),"justice")</f>
        <v>justice</v>
      </c>
    </row>
    <row r="25296">
      <c r="A25296" s="1" t="s">
        <v>25295</v>
      </c>
      <c r="B25296" s="2" t="str">
        <f>IFERROR(__xludf.DUMMYFUNCTION("GOOGLETRANSLATE(A25296, ""de"", ""en"")"),"academic")</f>
        <v>academic</v>
      </c>
    </row>
    <row r="25297">
      <c r="A25297" s="1" t="s">
        <v>25296</v>
      </c>
      <c r="B25297" s="2" t="str">
        <f>IFERROR(__xludf.DUMMYFUNCTION("GOOGLETRANSLATE(A25297, ""de"", ""en"")"),"traitor")</f>
        <v>traitor</v>
      </c>
    </row>
    <row r="25298">
      <c r="A25298" s="1" t="s">
        <v>25297</v>
      </c>
      <c r="B25298" s="2" t="str">
        <f>IFERROR(__xludf.DUMMYFUNCTION("GOOGLETRANSLATE(A25298, ""de"", ""en"")"),"juarez")</f>
        <v>juarez</v>
      </c>
    </row>
    <row r="25299">
      <c r="A25299" s="1" t="s">
        <v>25298</v>
      </c>
      <c r="B25299" s="2" t="str">
        <f>IFERROR(__xludf.DUMMYFUNCTION("GOOGLETRANSLATE(A25299, ""de"", ""en"")"),"glasses")</f>
        <v>glasses</v>
      </c>
    </row>
    <row r="25300">
      <c r="A25300" s="1" t="s">
        <v>25299</v>
      </c>
      <c r="B25300" s="2" t="str">
        <f>IFERROR(__xludf.DUMMYFUNCTION("GOOGLETRANSLATE(A25300, ""de"", ""en"")"),"yoshida")</f>
        <v>yoshida</v>
      </c>
    </row>
    <row r="25301">
      <c r="A25301" s="1" t="s">
        <v>25300</v>
      </c>
      <c r="B25301" s="2" t="str">
        <f>IFERROR(__xludf.DUMMYFUNCTION("GOOGLETRANSLATE(A25301, ""de"", ""en"")"),"housing")</f>
        <v>housing</v>
      </c>
    </row>
    <row r="25302">
      <c r="A25302" s="1" t="s">
        <v>25301</v>
      </c>
      <c r="B25302" s="2" t="str">
        <f>IFERROR(__xludf.DUMMYFUNCTION("GOOGLETRANSLATE(A25302, ""de"", ""en"")"),"chain reaction")</f>
        <v>chain reaction</v>
      </c>
    </row>
    <row r="25303">
      <c r="A25303" s="1" t="s">
        <v>25302</v>
      </c>
      <c r="B25303" s="2" t="str">
        <f>IFERROR(__xludf.DUMMYFUNCTION("GOOGLETRANSLATE(A25303, ""de"", ""en"")"),"Wait")</f>
        <v>Wait</v>
      </c>
    </row>
    <row r="25304">
      <c r="A25304" s="1" t="s">
        <v>25303</v>
      </c>
      <c r="B25304" s="2" t="str">
        <f>IFERROR(__xludf.DUMMYFUNCTION("GOOGLETRANSLATE(A25304, ""de"", ""en"")"),"recorded")</f>
        <v>recorded</v>
      </c>
    </row>
    <row r="25305">
      <c r="A25305" s="1" t="s">
        <v>25304</v>
      </c>
      <c r="B25305" s="2" t="str">
        <f>IFERROR(__xludf.DUMMYFUNCTION("GOOGLETRANSLATE(A25305, ""de"", ""en"")"),"dam")</f>
        <v>dam</v>
      </c>
    </row>
    <row r="25306">
      <c r="A25306" s="1" t="s">
        <v>25305</v>
      </c>
      <c r="B25306" s="2" t="str">
        <f>IFERROR(__xludf.DUMMYFUNCTION("GOOGLETRANSLATE(A25306, ""de"", ""en"")"),"conan")</f>
        <v>conan</v>
      </c>
    </row>
    <row r="25307">
      <c r="A25307" s="1" t="s">
        <v>25306</v>
      </c>
      <c r="B25307" s="2" t="str">
        <f>IFERROR(__xludf.DUMMYFUNCTION("GOOGLETRANSLATE(A25307, ""de"", ""en"")"),"disputes")</f>
        <v>disputes</v>
      </c>
    </row>
    <row r="25308">
      <c r="A25308" s="1" t="s">
        <v>25307</v>
      </c>
      <c r="B25308" s="2" t="str">
        <f>IFERROR(__xludf.DUMMYFUNCTION("GOOGLETRANSLATE(A25308, ""de"", ""en"")"),"skins")</f>
        <v>skins</v>
      </c>
    </row>
    <row r="25309">
      <c r="A25309" s="1" t="s">
        <v>25308</v>
      </c>
      <c r="B25309" s="2" t="str">
        <f>IFERROR(__xludf.DUMMYFUNCTION("GOOGLETRANSLATE(A25309, ""de"", ""en"")"),"Baal")</f>
        <v>Baal</v>
      </c>
    </row>
    <row r="25310">
      <c r="A25310" s="1" t="s">
        <v>25309</v>
      </c>
      <c r="B25310" s="2" t="str">
        <f>IFERROR(__xludf.DUMMYFUNCTION("GOOGLETRANSLATE(A25310, ""de"", ""en"")"),"scan")</f>
        <v>scan</v>
      </c>
    </row>
    <row r="25311">
      <c r="A25311" s="1" t="s">
        <v>25310</v>
      </c>
      <c r="B25311" s="2" t="str">
        <f>IFERROR(__xludf.DUMMYFUNCTION("GOOGLETRANSLATE(A25311, ""de"", ""en"")"),"celery")</f>
        <v>celery</v>
      </c>
    </row>
    <row r="25312">
      <c r="A25312" s="1" t="s">
        <v>25311</v>
      </c>
      <c r="B25312" s="2" t="str">
        <f>IFERROR(__xludf.DUMMYFUNCTION("GOOGLETRANSLATE(A25312, ""de"", ""en"")"),"crapped on")</f>
        <v>crapped on</v>
      </c>
    </row>
    <row r="25313">
      <c r="A25313" s="1" t="s">
        <v>25312</v>
      </c>
      <c r="B25313" s="2" t="str">
        <f>IFERROR(__xludf.DUMMYFUNCTION("GOOGLETRANSLATE(A25313, ""de"", ""en"")"),"whip")</f>
        <v>whip</v>
      </c>
    </row>
    <row r="25314">
      <c r="A25314" s="1" t="s">
        <v>25313</v>
      </c>
      <c r="B25314" s="2" t="str">
        <f>IFERROR(__xludf.DUMMYFUNCTION("GOOGLETRANSLATE(A25314, ""de"", ""en"")"),"Wickham")</f>
        <v>Wickham</v>
      </c>
    </row>
    <row r="25315">
      <c r="A25315" s="1" t="s">
        <v>25314</v>
      </c>
      <c r="B25315" s="2" t="str">
        <f>IFERROR(__xludf.DUMMYFUNCTION("GOOGLETRANSLATE(A25315, ""de"", ""en"")"),"prostate")</f>
        <v>prostate</v>
      </c>
    </row>
    <row r="25316">
      <c r="A25316" s="1" t="s">
        <v>25315</v>
      </c>
      <c r="B25316" s="2" t="str">
        <f>IFERROR(__xludf.DUMMYFUNCTION("GOOGLETRANSLATE(A25316, ""de"", ""en"")"),"diagram")</f>
        <v>diagram</v>
      </c>
    </row>
    <row r="25317">
      <c r="A25317" s="1" t="s">
        <v>25316</v>
      </c>
      <c r="B25317" s="2" t="str">
        <f>IFERROR(__xludf.DUMMYFUNCTION("GOOGLETRANSLATE(A25317, ""de"", ""en"")"),"sunny")</f>
        <v>sunny</v>
      </c>
    </row>
    <row r="25318">
      <c r="A25318" s="1" t="s">
        <v>25317</v>
      </c>
      <c r="B25318" s="2" t="str">
        <f>IFERROR(__xludf.DUMMYFUNCTION("GOOGLETRANSLATE(A25318, ""de"", ""en"")"),"allez")</f>
        <v>allez</v>
      </c>
    </row>
    <row r="25319">
      <c r="A25319" s="1" t="s">
        <v>25318</v>
      </c>
      <c r="B25319" s="2" t="str">
        <f>IFERROR(__xludf.DUMMYFUNCTION("GOOGLETRANSLATE(A25319, ""de"", ""en"")"),"alligators")</f>
        <v>alligators</v>
      </c>
    </row>
    <row r="25320">
      <c r="A25320" s="1" t="s">
        <v>25319</v>
      </c>
      <c r="B25320" s="2" t="str">
        <f>IFERROR(__xludf.DUMMYFUNCTION("GOOGLETRANSLATE(A25320, ""de"", ""en"")"),"working")</f>
        <v>working</v>
      </c>
    </row>
    <row r="25321">
      <c r="A25321" s="1" t="s">
        <v>25320</v>
      </c>
      <c r="B25321" s="2" t="str">
        <f>IFERROR(__xludf.DUMMYFUNCTION("GOOGLETRANSLATE(A25321, ""de"", ""en"")"),"Albanian")</f>
        <v>Albanian</v>
      </c>
    </row>
    <row r="25322">
      <c r="A25322" s="1" t="s">
        <v>25321</v>
      </c>
      <c r="B25322" s="2" t="str">
        <f>IFERROR(__xludf.DUMMYFUNCTION("GOOGLETRANSLATE(A25322, ""de"", ""en"")"),"coercion")</f>
        <v>coercion</v>
      </c>
    </row>
    <row r="25323">
      <c r="A25323" s="1" t="s">
        <v>25322</v>
      </c>
      <c r="B25323" s="2" t="str">
        <f>IFERROR(__xludf.DUMMYFUNCTION("GOOGLETRANSLATE(A25323, ""de"", ""en"")"),"Coles")</f>
        <v>Coles</v>
      </c>
    </row>
    <row r="25324">
      <c r="A25324" s="1" t="s">
        <v>25323</v>
      </c>
      <c r="B25324" s="2" t="str">
        <f>IFERROR(__xludf.DUMMYFUNCTION("GOOGLETRANSLATE(A25324, ""de"", ""en"")"),"miss")</f>
        <v>miss</v>
      </c>
    </row>
    <row r="25325">
      <c r="A25325" s="1" t="s">
        <v>25324</v>
      </c>
      <c r="B25325" s="2" t="str">
        <f>IFERROR(__xludf.DUMMYFUNCTION("GOOGLETRANSLATE(A25325, ""de"", ""en"")"),"as a result")</f>
        <v>as a result</v>
      </c>
    </row>
    <row r="25326">
      <c r="A25326" s="1" t="s">
        <v>25325</v>
      </c>
      <c r="B25326" s="2" t="str">
        <f>IFERROR(__xludf.DUMMYFUNCTION("GOOGLETRANSLATE(A25326, ""de"", ""en"")"),"added")</f>
        <v>added</v>
      </c>
    </row>
    <row r="25327">
      <c r="A25327" s="1" t="s">
        <v>25326</v>
      </c>
      <c r="B25327" s="2" t="str">
        <f>IFERROR(__xludf.DUMMYFUNCTION("GOOGLETRANSLATE(A25327, ""de"", ""en"")"),"dupree")</f>
        <v>dupree</v>
      </c>
    </row>
    <row r="25328">
      <c r="A25328" s="1" t="s">
        <v>25327</v>
      </c>
      <c r="B25328" s="2" t="str">
        <f>IFERROR(__xludf.DUMMYFUNCTION("GOOGLETRANSLATE(A25328, ""de"", ""en"")"),"advance")</f>
        <v>advance</v>
      </c>
    </row>
    <row r="25329">
      <c r="A25329" s="1" t="s">
        <v>25328</v>
      </c>
      <c r="B25329" s="2" t="str">
        <f>IFERROR(__xludf.DUMMYFUNCTION("GOOGLETRANSLATE(A25329, ""de"", ""en"")"),"liked")</f>
        <v>liked</v>
      </c>
    </row>
    <row r="25330">
      <c r="A25330" s="1" t="s">
        <v>25329</v>
      </c>
      <c r="B25330" s="2" t="str">
        <f>IFERROR(__xludf.DUMMYFUNCTION("GOOGLETRANSLATE(A25330, ""de"", ""en"")"),"heated")</f>
        <v>heated</v>
      </c>
    </row>
    <row r="25331">
      <c r="A25331" s="1" t="s">
        <v>25330</v>
      </c>
      <c r="B25331" s="2" t="str">
        <f>IFERROR(__xludf.DUMMYFUNCTION("GOOGLETRANSLATE(A25331, ""de"", ""en"")"),"rochelle")</f>
        <v>rochelle</v>
      </c>
    </row>
    <row r="25332">
      <c r="A25332" s="1" t="s">
        <v>25331</v>
      </c>
      <c r="B25332" s="2" t="str">
        <f>IFERROR(__xludf.DUMMYFUNCTION("GOOGLETRANSLATE(A25332, ""de"", ""en"")"),"charity")</f>
        <v>charity</v>
      </c>
    </row>
    <row r="25333">
      <c r="A25333" s="1" t="s">
        <v>25332</v>
      </c>
      <c r="B25333" s="2" t="str">
        <f>IFERROR(__xludf.DUMMYFUNCTION("GOOGLETRANSLATE(A25333, ""de"", ""en"")"),"years")</f>
        <v>years</v>
      </c>
    </row>
    <row r="25334">
      <c r="A25334" s="1" t="s">
        <v>25333</v>
      </c>
      <c r="B25334" s="2" t="str">
        <f>IFERROR(__xludf.DUMMYFUNCTION("GOOGLETRANSLATE(A25334, ""de"", ""en"")"),"work out")</f>
        <v>work out</v>
      </c>
    </row>
    <row r="25335">
      <c r="A25335" s="1" t="s">
        <v>25334</v>
      </c>
      <c r="B25335" s="2" t="str">
        <f>IFERROR(__xludf.DUMMYFUNCTION("GOOGLETRANSLATE(A25335, ""de"", ""en"")"),"fifth")</f>
        <v>fifth</v>
      </c>
    </row>
    <row r="25336">
      <c r="A25336" s="1" t="s">
        <v>25335</v>
      </c>
      <c r="B25336" s="2" t="str">
        <f>IFERROR(__xludf.DUMMYFUNCTION("GOOGLETRANSLATE(A25336, ""de"", ""en"")"),"dawn")</f>
        <v>dawn</v>
      </c>
    </row>
    <row r="25337">
      <c r="A25337" s="1" t="s">
        <v>25336</v>
      </c>
      <c r="B25337" s="2" t="str">
        <f>IFERROR(__xludf.DUMMYFUNCTION("GOOGLETRANSLATE(A25337, ""de"", ""en"")"),"demolished")</f>
        <v>demolished</v>
      </c>
    </row>
    <row r="25338">
      <c r="A25338" s="1" t="s">
        <v>25337</v>
      </c>
      <c r="B25338" s="2" t="str">
        <f>IFERROR(__xludf.DUMMYFUNCTION("GOOGLETRANSLATE(A25338, ""de"", ""en"")"),"suzaku")</f>
        <v>suzaku</v>
      </c>
    </row>
    <row r="25339">
      <c r="A25339" s="1" t="s">
        <v>25338</v>
      </c>
      <c r="B25339" s="2" t="str">
        <f>IFERROR(__xludf.DUMMYFUNCTION("GOOGLETRANSLATE(A25339, ""de"", ""en"")"),"vultures")</f>
        <v>vultures</v>
      </c>
    </row>
    <row r="25340">
      <c r="A25340" s="1" t="s">
        <v>25339</v>
      </c>
      <c r="B25340" s="2" t="str">
        <f>IFERROR(__xludf.DUMMYFUNCTION("GOOGLETRANSLATE(A25340, ""de"", ""en"")"),"stomp")</f>
        <v>stomp</v>
      </c>
    </row>
    <row r="25341">
      <c r="A25341" s="1" t="s">
        <v>25340</v>
      </c>
      <c r="B25341" s="2" t="str">
        <f>IFERROR(__xludf.DUMMYFUNCTION("GOOGLETRANSLATE(A25341, ""de"", ""en"")"),"dedicated")</f>
        <v>dedicated</v>
      </c>
    </row>
    <row r="25342">
      <c r="A25342" s="1" t="s">
        <v>25341</v>
      </c>
      <c r="B25342" s="2" t="str">
        <f>IFERROR(__xludf.DUMMYFUNCTION("GOOGLETRANSLATE(A25342, ""de"", ""en"")"),"surprise")</f>
        <v>surprise</v>
      </c>
    </row>
    <row r="25343">
      <c r="A25343" s="1" t="s">
        <v>25342</v>
      </c>
      <c r="B25343" s="2" t="str">
        <f>IFERROR(__xludf.DUMMYFUNCTION("GOOGLETRANSLATE(A25343, ""de"", ""en"")"),"project")</f>
        <v>project</v>
      </c>
    </row>
    <row r="25344">
      <c r="A25344" s="1" t="s">
        <v>25343</v>
      </c>
      <c r="B25344" s="2" t="str">
        <f>IFERROR(__xludf.DUMMYFUNCTION("GOOGLETRANSLATE(A25344, ""de"", ""en"")"),"hurry up")</f>
        <v>hurry up</v>
      </c>
    </row>
    <row r="25345">
      <c r="A25345" s="1" t="s">
        <v>25344</v>
      </c>
      <c r="B25345" s="2" t="str">
        <f>IFERROR(__xludf.DUMMYFUNCTION("GOOGLETRANSLATE(A25345, ""de"", ""en"")"),"tax advisor")</f>
        <v>tax advisor</v>
      </c>
    </row>
    <row r="25346">
      <c r="A25346" s="1" t="s">
        <v>25345</v>
      </c>
      <c r="B25346" s="2" t="str">
        <f>IFERROR(__xludf.DUMMYFUNCTION("GOOGLETRANSLATE(A25346, ""de"", ""en"")"),"advises")</f>
        <v>advises</v>
      </c>
    </row>
    <row r="25347">
      <c r="A25347" s="1" t="s">
        <v>25346</v>
      </c>
      <c r="B25347" s="2" t="str">
        <f>IFERROR(__xludf.DUMMYFUNCTION("GOOGLETRANSLATE(A25347, ""de"", ""en"")"),"tick off")</f>
        <v>tick off</v>
      </c>
    </row>
    <row r="25348">
      <c r="A25348" s="1" t="s">
        <v>25347</v>
      </c>
      <c r="B25348" s="2" t="str">
        <f>IFERROR(__xludf.DUMMYFUNCTION("GOOGLETRANSLATE(A25348, ""de"", ""en"")"),"departed")</f>
        <v>departed</v>
      </c>
    </row>
    <row r="25349">
      <c r="A25349" s="1" t="s">
        <v>25348</v>
      </c>
      <c r="B25349" s="2" t="str">
        <f>IFERROR(__xludf.DUMMYFUNCTION("GOOGLETRANSLATE(A25349, ""de"", ""en"")"),"charmer")</f>
        <v>charmer</v>
      </c>
    </row>
    <row r="25350">
      <c r="A25350" s="1" t="s">
        <v>25349</v>
      </c>
      <c r="B25350" s="2" t="str">
        <f>IFERROR(__xludf.DUMMYFUNCTION("GOOGLETRANSLATE(A25350, ""de"", ""en"")"),"Irish")</f>
        <v>Irish</v>
      </c>
    </row>
    <row r="25351">
      <c r="A25351" s="1" t="s">
        <v>25350</v>
      </c>
      <c r="B25351" s="2" t="str">
        <f>IFERROR(__xludf.DUMMYFUNCTION("GOOGLETRANSLATE(A25351, ""de"", ""en"")"),"convert")</f>
        <v>convert</v>
      </c>
    </row>
    <row r="25352">
      <c r="A25352" s="1" t="s">
        <v>25351</v>
      </c>
      <c r="B25352" s="2" t="str">
        <f>IFERROR(__xludf.DUMMYFUNCTION("GOOGLETRANSLATE(A25352, ""de"", ""en"")"),"player")</f>
        <v>player</v>
      </c>
    </row>
    <row r="25353">
      <c r="A25353" s="1" t="s">
        <v>25352</v>
      </c>
      <c r="B25353" s="2" t="str">
        <f>IFERROR(__xludf.DUMMYFUNCTION("GOOGLETRANSLATE(A25353, ""de"", ""en"")"),"drive out")</f>
        <v>drive out</v>
      </c>
    </row>
    <row r="25354">
      <c r="A25354" s="1" t="s">
        <v>25353</v>
      </c>
      <c r="B25354" s="2" t="str">
        <f>IFERROR(__xludf.DUMMYFUNCTION("GOOGLETRANSLATE(A25354, ""de"", ""en"")"),"jodie")</f>
        <v>jodie</v>
      </c>
    </row>
    <row r="25355">
      <c r="A25355" s="1" t="s">
        <v>25354</v>
      </c>
      <c r="B25355" s="2" t="str">
        <f>IFERROR(__xludf.DUMMYFUNCTION("GOOGLETRANSLATE(A25355, ""de"", ""en"")"),"arcade")</f>
        <v>arcade</v>
      </c>
    </row>
    <row r="25356">
      <c r="A25356" s="1" t="s">
        <v>25355</v>
      </c>
      <c r="B25356" s="2" t="str">
        <f>IFERROR(__xludf.DUMMYFUNCTION("GOOGLETRANSLATE(A25356, ""de"", ""en"")"),"rainforest")</f>
        <v>rainforest</v>
      </c>
    </row>
    <row r="25357">
      <c r="A25357" s="1" t="s">
        <v>25356</v>
      </c>
      <c r="B25357" s="2" t="str">
        <f>IFERROR(__xludf.DUMMYFUNCTION("GOOGLETRANSLATE(A25357, ""de"", ""en"")"),"irrelevant")</f>
        <v>irrelevant</v>
      </c>
    </row>
    <row r="25358">
      <c r="A25358" s="1" t="s">
        <v>25357</v>
      </c>
      <c r="B25358" s="2" t="str">
        <f>IFERROR(__xludf.DUMMYFUNCTION("GOOGLETRANSLATE(A25358, ""de"", ""en"")"),"bills")</f>
        <v>bills</v>
      </c>
    </row>
    <row r="25359">
      <c r="A25359" s="1" t="s">
        <v>25358</v>
      </c>
      <c r="B25359" s="2" t="str">
        <f>IFERROR(__xludf.DUMMYFUNCTION("GOOGLETRANSLATE(A25359, ""de"", ""en"")"),"collateral damage")</f>
        <v>collateral damage</v>
      </c>
    </row>
    <row r="25360">
      <c r="A25360" s="1" t="s">
        <v>25359</v>
      </c>
      <c r="B25360" s="2" t="str">
        <f>IFERROR(__xludf.DUMMYFUNCTION("GOOGLETRANSLATE(A25360, ""de"", ""en"")"),"olivers")</f>
        <v>olivers</v>
      </c>
    </row>
    <row r="25361">
      <c r="A25361" s="1" t="s">
        <v>25360</v>
      </c>
      <c r="B25361" s="2" t="str">
        <f>IFERROR(__xludf.DUMMYFUNCTION("GOOGLETRANSLATE(A25361, ""de"", ""en"")"),"imitation")</f>
        <v>imitation</v>
      </c>
    </row>
    <row r="25362">
      <c r="A25362" s="1" t="s">
        <v>25361</v>
      </c>
      <c r="B25362" s="2" t="str">
        <f>IFERROR(__xludf.DUMMYFUNCTION("GOOGLETRANSLATE(A25362, ""de"", ""en"")"),"ratings")</f>
        <v>ratings</v>
      </c>
    </row>
    <row r="25363">
      <c r="A25363" s="1" t="s">
        <v>25362</v>
      </c>
      <c r="B25363" s="2" t="str">
        <f>IFERROR(__xludf.DUMMYFUNCTION("GOOGLETRANSLATE(A25363, ""de"", ""en"")"),"ice cold")</f>
        <v>ice cold</v>
      </c>
    </row>
    <row r="25364">
      <c r="A25364" s="1" t="s">
        <v>25363</v>
      </c>
      <c r="B25364" s="2" t="str">
        <f>IFERROR(__xludf.DUMMYFUNCTION("GOOGLETRANSLATE(A25364, ""de"", ""en"")"),"hilarious")</f>
        <v>hilarious</v>
      </c>
    </row>
    <row r="25365">
      <c r="A25365" s="1" t="s">
        <v>25364</v>
      </c>
      <c r="B25365" s="2" t="str">
        <f>IFERROR(__xludf.DUMMYFUNCTION("GOOGLETRANSLATE(A25365, ""de"", ""en"")"),"annoy")</f>
        <v>annoy</v>
      </c>
    </row>
    <row r="25366">
      <c r="A25366" s="1" t="s">
        <v>25365</v>
      </c>
      <c r="B25366" s="2" t="str">
        <f>IFERROR(__xludf.DUMMYFUNCTION("GOOGLETRANSLATE(A25366, ""de"", ""en"")"),"noticed")</f>
        <v>noticed</v>
      </c>
    </row>
    <row r="25367">
      <c r="A25367" s="1" t="s">
        <v>25366</v>
      </c>
      <c r="B25367" s="2" t="str">
        <f>IFERROR(__xludf.DUMMYFUNCTION("GOOGLETRANSLATE(A25367, ""de"", ""en"")"),"rewind")</f>
        <v>rewind</v>
      </c>
    </row>
    <row r="25368">
      <c r="A25368" s="1" t="s">
        <v>25367</v>
      </c>
      <c r="B25368" s="2" t="str">
        <f>IFERROR(__xludf.DUMMYFUNCTION("GOOGLETRANSLATE(A25368, ""de"", ""en"")"),"to light")</f>
        <v>to light</v>
      </c>
    </row>
    <row r="25369">
      <c r="A25369" s="1" t="s">
        <v>25368</v>
      </c>
      <c r="B25369" s="2" t="str">
        <f>IFERROR(__xludf.DUMMYFUNCTION("GOOGLETRANSLATE(A25369, ""de"", ""en"")"),"limited")</f>
        <v>limited</v>
      </c>
    </row>
    <row r="25370">
      <c r="A25370" s="1" t="s">
        <v>25369</v>
      </c>
      <c r="B25370" s="2" t="str">
        <f>IFERROR(__xludf.DUMMYFUNCTION("GOOGLETRANSLATE(A25370, ""de"", ""en"")"),"hanks")</f>
        <v>hanks</v>
      </c>
    </row>
    <row r="25371">
      <c r="A25371" s="1" t="s">
        <v>25370</v>
      </c>
      <c r="B25371" s="2" t="str">
        <f>IFERROR(__xludf.DUMMYFUNCTION("GOOGLETRANSLATE(A25371, ""de"", ""en"")"),"over")</f>
        <v>over</v>
      </c>
    </row>
    <row r="25372">
      <c r="A25372" s="1" t="s">
        <v>25371</v>
      </c>
      <c r="B25372" s="2" t="str">
        <f>IFERROR(__xludf.DUMMYFUNCTION("GOOGLETRANSLATE(A25372, ""de"", ""en"")"),"dearest")</f>
        <v>dearest</v>
      </c>
    </row>
    <row r="25373">
      <c r="A25373" s="1" t="s">
        <v>25372</v>
      </c>
      <c r="B25373" s="2" t="str">
        <f>IFERROR(__xludf.DUMMYFUNCTION("GOOGLETRANSLATE(A25373, ""de"", ""en"")"),"grey")</f>
        <v>grey</v>
      </c>
    </row>
    <row r="25374">
      <c r="A25374" s="1" t="s">
        <v>25373</v>
      </c>
      <c r="B25374" s="2" t="str">
        <f>IFERROR(__xludf.DUMMYFUNCTION("GOOGLETRANSLATE(A25374, ""de"", ""en"")"),"strengthening")</f>
        <v>strengthening</v>
      </c>
    </row>
    <row r="25375">
      <c r="A25375" s="1" t="s">
        <v>25374</v>
      </c>
      <c r="B25375" s="2" t="str">
        <f>IFERROR(__xludf.DUMMYFUNCTION("GOOGLETRANSLATE(A25375, ""de"", ""en"")"),"guarantees")</f>
        <v>guarantees</v>
      </c>
    </row>
    <row r="25376">
      <c r="A25376" s="1" t="s">
        <v>25375</v>
      </c>
      <c r="B25376" s="2" t="str">
        <f>IFERROR(__xludf.DUMMYFUNCTION("GOOGLETRANSLATE(A25376, ""de"", ""en"")"),"found")</f>
        <v>found</v>
      </c>
    </row>
    <row r="25377">
      <c r="A25377" s="1" t="s">
        <v>25376</v>
      </c>
      <c r="B25377" s="2" t="str">
        <f>IFERROR(__xludf.DUMMYFUNCTION("GOOGLETRANSLATE(A25377, ""de"", ""en"")"),"dashboard")</f>
        <v>dashboard</v>
      </c>
    </row>
    <row r="25378">
      <c r="A25378" s="1" t="s">
        <v>25377</v>
      </c>
      <c r="B25378" s="2" t="str">
        <f>IFERROR(__xludf.DUMMYFUNCTION("GOOGLETRANSLATE(A25378, ""de"", ""en"")"),"you swim")</f>
        <v>you swim</v>
      </c>
    </row>
    <row r="25379">
      <c r="A25379" s="1" t="s">
        <v>25378</v>
      </c>
      <c r="B25379" s="2" t="str">
        <f>IFERROR(__xludf.DUMMYFUNCTION("GOOGLETRANSLATE(A25379, ""de"", ""en"")"),"female students")</f>
        <v>female students</v>
      </c>
    </row>
    <row r="25380">
      <c r="A25380" s="1" t="s">
        <v>25379</v>
      </c>
      <c r="B25380" s="2" t="str">
        <f>IFERROR(__xludf.DUMMYFUNCTION("GOOGLETRANSLATE(A25380, ""de"", ""en"")"),"capture")</f>
        <v>capture</v>
      </c>
    </row>
    <row r="25381">
      <c r="A25381" s="1" t="s">
        <v>25380</v>
      </c>
      <c r="B25381" s="2" t="str">
        <f>IFERROR(__xludf.DUMMYFUNCTION("GOOGLETRANSLATE(A25381, ""de"", ""en"")"),"voice")</f>
        <v>voice</v>
      </c>
    </row>
    <row r="25382">
      <c r="A25382" s="1" t="s">
        <v>25381</v>
      </c>
      <c r="B25382" s="2" t="str">
        <f>IFERROR(__xludf.DUMMYFUNCTION("GOOGLETRANSLATE(A25382, ""de"", ""en"")"),"extra sheet")</f>
        <v>extra sheet</v>
      </c>
    </row>
    <row r="25383">
      <c r="A25383" s="1" t="s">
        <v>25382</v>
      </c>
      <c r="B25383" s="2" t="str">
        <f>IFERROR(__xludf.DUMMYFUNCTION("GOOGLETRANSLATE(A25383, ""de"", ""en"")"),"waiting")</f>
        <v>waiting</v>
      </c>
    </row>
    <row r="25384">
      <c r="A25384" s="1" t="s">
        <v>25383</v>
      </c>
      <c r="B25384" s="2" t="str">
        <f>IFERROR(__xludf.DUMMYFUNCTION("GOOGLETRANSLATE(A25384, ""de"", ""en"")"),"dip")</f>
        <v>dip</v>
      </c>
    </row>
    <row r="25385">
      <c r="A25385" s="1" t="s">
        <v>25384</v>
      </c>
      <c r="B25385" s="2" t="str">
        <f>IFERROR(__xludf.DUMMYFUNCTION("GOOGLETRANSLATE(A25385, ""de"", ""en"")"),"rearview mirror")</f>
        <v>rearview mirror</v>
      </c>
    </row>
    <row r="25386">
      <c r="A25386" s="1" t="s">
        <v>25385</v>
      </c>
      <c r="B25386" s="2" t="str">
        <f>IFERROR(__xludf.DUMMYFUNCTION("GOOGLETRANSLATE(A25386, ""de"", ""en"")"),"predetermined")</f>
        <v>predetermined</v>
      </c>
    </row>
    <row r="25387">
      <c r="A25387" s="1" t="s">
        <v>25386</v>
      </c>
      <c r="B25387" s="2" t="str">
        <f>IFERROR(__xludf.DUMMYFUNCTION("GOOGLETRANSLATE(A25387, ""de"", ""en"")"),"carp")</f>
        <v>carp</v>
      </c>
    </row>
    <row r="25388">
      <c r="A25388" s="1" t="s">
        <v>25387</v>
      </c>
      <c r="B25388" s="2" t="str">
        <f>IFERROR(__xludf.DUMMYFUNCTION("GOOGLETRANSLATE(A25388, ""de"", ""en"")"),"judge")</f>
        <v>judge</v>
      </c>
    </row>
    <row r="25389">
      <c r="A25389" s="1" t="s">
        <v>25388</v>
      </c>
      <c r="B25389" s="2" t="str">
        <f>IFERROR(__xludf.DUMMYFUNCTION("GOOGLETRANSLATE(A25389, ""de"", ""en"")"),"closing hour")</f>
        <v>closing hour</v>
      </c>
    </row>
    <row r="25390">
      <c r="A25390" s="1" t="s">
        <v>25389</v>
      </c>
      <c r="B25390" s="2" t="str">
        <f>IFERROR(__xludf.DUMMYFUNCTION("GOOGLETRANSLATE(A25390, ""de"", ""en"")"),"monitors")</f>
        <v>monitors</v>
      </c>
    </row>
    <row r="25391">
      <c r="A25391" s="1" t="s">
        <v>25390</v>
      </c>
      <c r="B25391" s="2" t="str">
        <f>IFERROR(__xludf.DUMMYFUNCTION("GOOGLETRANSLATE(A25391, ""de"", ""en"")"),"Tully")</f>
        <v>Tully</v>
      </c>
    </row>
    <row r="25392">
      <c r="A25392" s="1" t="s">
        <v>25391</v>
      </c>
      <c r="B25392" s="2" t="str">
        <f>IFERROR(__xludf.DUMMYFUNCTION("GOOGLETRANSLATE(A25392, ""de"", ""en"")"),"eddy")</f>
        <v>eddy</v>
      </c>
    </row>
    <row r="25393">
      <c r="A25393" s="1" t="s">
        <v>25392</v>
      </c>
      <c r="B25393" s="2" t="str">
        <f>IFERROR(__xludf.DUMMYFUNCTION("GOOGLETRANSLATE(A25393, ""de"", ""en"")"),"blood tests")</f>
        <v>blood tests</v>
      </c>
    </row>
    <row r="25394">
      <c r="A25394" s="1" t="s">
        <v>25393</v>
      </c>
      <c r="B25394" s="2" t="str">
        <f>IFERROR(__xludf.DUMMYFUNCTION("GOOGLETRANSLATE(A25394, ""de"", ""en"")"),"baton")</f>
        <v>baton</v>
      </c>
    </row>
    <row r="25395">
      <c r="A25395" s="1" t="s">
        <v>25394</v>
      </c>
      <c r="B25395" s="2" t="str">
        <f>IFERROR(__xludf.DUMMYFUNCTION("GOOGLETRANSLATE(A25395, ""de"", ""en"")"),"fracture")</f>
        <v>fracture</v>
      </c>
    </row>
    <row r="25396">
      <c r="A25396" s="1" t="s">
        <v>25395</v>
      </c>
      <c r="B25396" s="2" t="str">
        <f>IFERROR(__xludf.DUMMYFUNCTION("GOOGLETRANSLATE(A25396, ""de"", ""en"")"),"albums")</f>
        <v>albums</v>
      </c>
    </row>
    <row r="25397">
      <c r="A25397" s="1" t="s">
        <v>25396</v>
      </c>
      <c r="B25397" s="2" t="str">
        <f>IFERROR(__xludf.DUMMYFUNCTION("GOOGLETRANSLATE(A25397, ""de"", ""en"")"),"regents")</f>
        <v>regents</v>
      </c>
    </row>
    <row r="25398">
      <c r="A25398" s="1" t="s">
        <v>25397</v>
      </c>
      <c r="B25398" s="2" t="str">
        <f>IFERROR(__xludf.DUMMYFUNCTION("GOOGLETRANSLATE(A25398, ""de"", ""en"")"),"crossfire")</f>
        <v>crossfire</v>
      </c>
    </row>
    <row r="25399">
      <c r="A25399" s="1" t="s">
        <v>25398</v>
      </c>
      <c r="B25399" s="2" t="str">
        <f>IFERROR(__xludf.DUMMYFUNCTION("GOOGLETRANSLATE(A25399, ""de"", ""en"")"),"look away")</f>
        <v>look away</v>
      </c>
    </row>
    <row r="25400">
      <c r="A25400" s="1" t="s">
        <v>25399</v>
      </c>
      <c r="B25400" s="2" t="str">
        <f>IFERROR(__xludf.DUMMYFUNCTION("GOOGLETRANSLATE(A25400, ""de"", ""en"")"),"vivien")</f>
        <v>vivien</v>
      </c>
    </row>
    <row r="25401">
      <c r="A25401" s="1" t="s">
        <v>25400</v>
      </c>
      <c r="B25401" s="2" t="str">
        <f>IFERROR(__xludf.DUMMYFUNCTION("GOOGLETRANSLATE(A25401, ""de"", ""en"")"),"trident")</f>
        <v>trident</v>
      </c>
    </row>
    <row r="25402">
      <c r="A25402" s="1" t="s">
        <v>25401</v>
      </c>
      <c r="B25402" s="2" t="str">
        <f>IFERROR(__xludf.DUMMYFUNCTION("GOOGLETRANSLATE(A25402, ""de"", ""en"")"),"shark")</f>
        <v>shark</v>
      </c>
    </row>
    <row r="25403">
      <c r="A25403" s="1" t="s">
        <v>25402</v>
      </c>
      <c r="B25403" s="2" t="str">
        <f>IFERROR(__xludf.DUMMYFUNCTION("GOOGLETRANSLATE(A25403, ""de"", ""en"")"),"is sufficient")</f>
        <v>is sufficient</v>
      </c>
    </row>
    <row r="25404">
      <c r="A25404" s="1" t="s">
        <v>25403</v>
      </c>
      <c r="B25404" s="2" t="str">
        <f>IFERROR(__xludf.DUMMYFUNCTION("GOOGLETRANSLATE(A25404, ""de"", ""en"")"),"skyscraper")</f>
        <v>skyscraper</v>
      </c>
    </row>
    <row r="25405">
      <c r="A25405" s="1" t="s">
        <v>25404</v>
      </c>
      <c r="B25405" s="2" t="str">
        <f>IFERROR(__xludf.DUMMYFUNCTION("GOOGLETRANSLATE(A25405, ""de"", ""en"")"),"radios")</f>
        <v>radios</v>
      </c>
    </row>
    <row r="25406">
      <c r="A25406" s="1" t="s">
        <v>25405</v>
      </c>
      <c r="B25406" s="2" t="str">
        <f>IFERROR(__xludf.DUMMYFUNCTION("GOOGLETRANSLATE(A25406, ""de"", ""en"")"),"fingers")</f>
        <v>fingers</v>
      </c>
    </row>
    <row r="25407">
      <c r="A25407" s="1" t="s">
        <v>25406</v>
      </c>
      <c r="B25407" s="2" t="str">
        <f>IFERROR(__xludf.DUMMYFUNCTION("GOOGLETRANSLATE(A25407, ""de"", ""en"")"),"goes wrong")</f>
        <v>goes wrong</v>
      </c>
    </row>
    <row r="25408">
      <c r="A25408" s="1" t="s">
        <v>25407</v>
      </c>
      <c r="B25408" s="2" t="str">
        <f>IFERROR(__xludf.DUMMYFUNCTION("GOOGLETRANSLATE(A25408, ""de"", ""en"")"),"got out")</f>
        <v>got out</v>
      </c>
    </row>
    <row r="25409">
      <c r="A25409" s="1" t="s">
        <v>25408</v>
      </c>
      <c r="B25409" s="2" t="str">
        <f>IFERROR(__xludf.DUMMYFUNCTION("GOOGLETRANSLATE(A25409, ""de"", ""en"")"),"works together")</f>
        <v>works together</v>
      </c>
    </row>
    <row r="25410">
      <c r="A25410" s="1" t="s">
        <v>25409</v>
      </c>
      <c r="B25410" s="2" t="str">
        <f>IFERROR(__xludf.DUMMYFUNCTION("GOOGLETRANSLATE(A25410, ""de"", ""en"")"),"subs")</f>
        <v>subs</v>
      </c>
    </row>
    <row r="25411">
      <c r="A25411" s="1" t="s">
        <v>25410</v>
      </c>
      <c r="B25411" s="2" t="str">
        <f>IFERROR(__xludf.DUMMYFUNCTION("GOOGLETRANSLATE(A25411, ""de"", ""en"")"),"pretty boy")</f>
        <v>pretty boy</v>
      </c>
    </row>
    <row r="25412">
      <c r="A25412" s="1" t="s">
        <v>25411</v>
      </c>
      <c r="B25412" s="2" t="str">
        <f>IFERROR(__xludf.DUMMYFUNCTION("GOOGLETRANSLATE(A25412, ""de"", ""en"")"),"avalon")</f>
        <v>avalon</v>
      </c>
    </row>
    <row r="25413">
      <c r="A25413" s="1" t="s">
        <v>25412</v>
      </c>
      <c r="B25413" s="2" t="str">
        <f>IFERROR(__xludf.DUMMYFUNCTION("GOOGLETRANSLATE(A25413, ""de"", ""en"")"),"money problems")</f>
        <v>money problems</v>
      </c>
    </row>
    <row r="25414">
      <c r="A25414" s="1" t="s">
        <v>25413</v>
      </c>
      <c r="B25414" s="2" t="str">
        <f>IFERROR(__xludf.DUMMYFUNCTION("GOOGLETRANSLATE(A25414, ""de"", ""en"")"),"shapeshifter")</f>
        <v>shapeshifter</v>
      </c>
    </row>
    <row r="25415">
      <c r="A25415" s="1" t="s">
        <v>25414</v>
      </c>
      <c r="B25415" s="2" t="str">
        <f>IFERROR(__xludf.DUMMYFUNCTION("GOOGLETRANSLATE(A25415, ""de"", ""en"")"),"resync")</f>
        <v>resync</v>
      </c>
    </row>
    <row r="25416">
      <c r="A25416" s="1" t="s">
        <v>25415</v>
      </c>
      <c r="B25416" s="2" t="str">
        <f>IFERROR(__xludf.DUMMYFUNCTION("GOOGLETRANSLATE(A25416, ""de"", ""en"")"),"prom queen")</f>
        <v>prom queen</v>
      </c>
    </row>
    <row r="25417">
      <c r="A25417" s="1" t="s">
        <v>25416</v>
      </c>
      <c r="B25417" s="2" t="str">
        <f>IFERROR(__xludf.DUMMYFUNCTION("GOOGLETRANSLATE(A25417, ""de"", ""en"")"),"medusa")</f>
        <v>medusa</v>
      </c>
    </row>
    <row r="25418">
      <c r="A25418" s="1" t="s">
        <v>25417</v>
      </c>
      <c r="B25418" s="2" t="str">
        <f>IFERROR(__xludf.DUMMYFUNCTION("GOOGLETRANSLATE(A25418, ""de"", ""en"")"),"praises")</f>
        <v>praises</v>
      </c>
    </row>
    <row r="25419">
      <c r="A25419" s="1" t="s">
        <v>25418</v>
      </c>
      <c r="B25419" s="2" t="str">
        <f>IFERROR(__xludf.DUMMYFUNCTION("GOOGLETRANSLATE(A25419, ""de"", ""en"")"),"ivo")</f>
        <v>ivo</v>
      </c>
    </row>
    <row r="25420">
      <c r="A25420" s="1" t="s">
        <v>25419</v>
      </c>
      <c r="B25420" s="2" t="str">
        <f>IFERROR(__xludf.DUMMYFUNCTION("GOOGLETRANSLATE(A25420, ""de"", ""en"")"),"drained")</f>
        <v>drained</v>
      </c>
    </row>
    <row r="25421">
      <c r="A25421" s="1" t="s">
        <v>25420</v>
      </c>
      <c r="B25421" s="2" t="str">
        <f>IFERROR(__xludf.DUMMYFUNCTION("GOOGLETRANSLATE(A25421, ""de"", ""en"")"),"Burbank")</f>
        <v>Burbank</v>
      </c>
    </row>
    <row r="25422">
      <c r="A25422" s="1" t="s">
        <v>25421</v>
      </c>
      <c r="B25422" s="2" t="str">
        <f>IFERROR(__xludf.DUMMYFUNCTION("GOOGLETRANSLATE(A25422, ""de"", ""en"")"),"killers")</f>
        <v>killers</v>
      </c>
    </row>
    <row r="25423">
      <c r="A25423" s="1" t="s">
        <v>25422</v>
      </c>
      <c r="B25423" s="2" t="str">
        <f>IFERROR(__xludf.DUMMYFUNCTION("GOOGLETRANSLATE(A25423, ""de"", ""en"")"),"kali")</f>
        <v>kali</v>
      </c>
    </row>
    <row r="25424">
      <c r="A25424" s="1" t="s">
        <v>25423</v>
      </c>
      <c r="B25424" s="2" t="str">
        <f>IFERROR(__xludf.DUMMYFUNCTION("GOOGLETRANSLATE(A25424, ""de"", ""en"")"),"stuffy")</f>
        <v>stuffy</v>
      </c>
    </row>
    <row r="25425">
      <c r="A25425" s="1" t="s">
        <v>25424</v>
      </c>
      <c r="B25425" s="2" t="str">
        <f>IFERROR(__xludf.DUMMYFUNCTION("GOOGLETRANSLATE(A25425, ""de"", ""en"")"),"mega")</f>
        <v>mega</v>
      </c>
    </row>
    <row r="25426">
      <c r="A25426" s="1" t="s">
        <v>25425</v>
      </c>
      <c r="B25426" s="2" t="str">
        <f>IFERROR(__xludf.DUMMYFUNCTION("GOOGLETRANSLATE(A25426, ""de"", ""en"")"),"someone")</f>
        <v>someone</v>
      </c>
    </row>
    <row r="25427">
      <c r="A25427" s="1" t="s">
        <v>25426</v>
      </c>
      <c r="B25427" s="2" t="str">
        <f>IFERROR(__xludf.DUMMYFUNCTION("GOOGLETRANSLATE(A25427, ""de"", ""en"")"),"ass-kisser")</f>
        <v>ass-kisser</v>
      </c>
    </row>
    <row r="25428">
      <c r="A25428" s="1" t="s">
        <v>25427</v>
      </c>
      <c r="B25428" s="2" t="str">
        <f>IFERROR(__xludf.DUMMYFUNCTION("GOOGLETRANSLATE(A25428, ""de"", ""en"")"),"irradiation")</f>
        <v>irradiation</v>
      </c>
    </row>
    <row r="25429">
      <c r="A25429" s="1" t="s">
        <v>25428</v>
      </c>
      <c r="B25429" s="2" t="str">
        <f>IFERROR(__xludf.DUMMYFUNCTION("GOOGLETRANSLATE(A25429, ""de"", ""en"")"),"intelligence service")</f>
        <v>intelligence service</v>
      </c>
    </row>
    <row r="25430">
      <c r="A25430" s="1" t="s">
        <v>25429</v>
      </c>
      <c r="B25430" s="2" t="str">
        <f>IFERROR(__xludf.DUMMYFUNCTION("GOOGLETRANSLATE(A25430, ""de"", ""en"")"),"brownie")</f>
        <v>brownie</v>
      </c>
    </row>
    <row r="25431">
      <c r="A25431" s="1" t="s">
        <v>25430</v>
      </c>
      <c r="B25431" s="2" t="str">
        <f>IFERROR(__xludf.DUMMYFUNCTION("GOOGLETRANSLATE(A25431, ""de"", ""en"")"),"resigned")</f>
        <v>resigned</v>
      </c>
    </row>
    <row r="25432">
      <c r="A25432" s="1" t="s">
        <v>25431</v>
      </c>
      <c r="B25432" s="2" t="str">
        <f>IFERROR(__xludf.DUMMYFUNCTION("GOOGLETRANSLATE(A25432, ""de"", ""en"")"),"bastille")</f>
        <v>bastille</v>
      </c>
    </row>
    <row r="25433">
      <c r="A25433" s="1" t="s">
        <v>25432</v>
      </c>
      <c r="B25433" s="2" t="str">
        <f>IFERROR(__xludf.DUMMYFUNCTION("GOOGLETRANSLATE(A25433, ""de"", ""en"")"),"pot")</f>
        <v>pot</v>
      </c>
    </row>
    <row r="25434">
      <c r="A25434" s="1" t="s">
        <v>25433</v>
      </c>
      <c r="B25434" s="2" t="str">
        <f>IFERROR(__xludf.DUMMYFUNCTION("GOOGLETRANSLATE(A25434, ""de"", ""en"")"),"yoda")</f>
        <v>yoda</v>
      </c>
    </row>
    <row r="25435">
      <c r="A25435" s="1" t="s">
        <v>25434</v>
      </c>
      <c r="B25435" s="2" t="str">
        <f>IFERROR(__xludf.DUMMYFUNCTION("GOOGLETRANSLATE(A25435, ""de"", ""en"")"),"connections")</f>
        <v>connections</v>
      </c>
    </row>
    <row r="25436">
      <c r="A25436" s="1" t="s">
        <v>25435</v>
      </c>
      <c r="B25436" s="2" t="str">
        <f>IFERROR(__xludf.DUMMYFUNCTION("GOOGLETRANSLATE(A25436, ""de"", ""en"")"),"bullshit")</f>
        <v>bullshit</v>
      </c>
    </row>
    <row r="25437">
      <c r="A25437" s="1" t="s">
        <v>25436</v>
      </c>
      <c r="B25437" s="2" t="str">
        <f>IFERROR(__xludf.DUMMYFUNCTION("GOOGLETRANSLATE(A25437, ""de"", ""en"")"),"uncomplicated")</f>
        <v>uncomplicated</v>
      </c>
    </row>
    <row r="25438">
      <c r="A25438" s="1" t="s">
        <v>25437</v>
      </c>
      <c r="B25438" s="2" t="str">
        <f>IFERROR(__xludf.DUMMYFUNCTION("GOOGLETRANSLATE(A25438, ""de"", ""en"")"),"jeffries")</f>
        <v>jeffries</v>
      </c>
    </row>
    <row r="25439">
      <c r="A25439" s="1" t="s">
        <v>25438</v>
      </c>
      <c r="B25439" s="2" t="str">
        <f>IFERROR(__xludf.DUMMYFUNCTION("GOOGLETRANSLATE(A25439, ""de"", ""en"")"),"formed")</f>
        <v>formed</v>
      </c>
    </row>
    <row r="25440">
      <c r="A25440" s="1" t="s">
        <v>25439</v>
      </c>
      <c r="B25440" s="2" t="str">
        <f>IFERROR(__xludf.DUMMYFUNCTION("GOOGLETRANSLATE(A25440, ""de"", ""en"")"),"puma")</f>
        <v>puma</v>
      </c>
    </row>
    <row r="25441">
      <c r="A25441" s="1" t="s">
        <v>25440</v>
      </c>
      <c r="B25441" s="2" t="str">
        <f>IFERROR(__xludf.DUMMYFUNCTION("GOOGLETRANSLATE(A25441, ""de"", ""en"")"),"disturbed")</f>
        <v>disturbed</v>
      </c>
    </row>
    <row r="25442">
      <c r="A25442" s="1" t="s">
        <v>25441</v>
      </c>
      <c r="B25442" s="2" t="str">
        <f>IFERROR(__xludf.DUMMYFUNCTION("GOOGLETRANSLATE(A25442, ""de"", ""en"")"),"arrival time")</f>
        <v>arrival time</v>
      </c>
    </row>
    <row r="25443">
      <c r="A25443" s="1" t="s">
        <v>25442</v>
      </c>
      <c r="B25443" s="2" t="str">
        <f>IFERROR(__xludf.DUMMYFUNCTION("GOOGLETRANSLATE(A25443, ""de"", ""en"")"),"plymouth")</f>
        <v>plymouth</v>
      </c>
    </row>
    <row r="25444">
      <c r="A25444" s="1" t="s">
        <v>25443</v>
      </c>
      <c r="B25444" s="2" t="str">
        <f>IFERROR(__xludf.DUMMYFUNCTION("GOOGLETRANSLATE(A25444, ""de"", ""en"")"),"combed through")</f>
        <v>combed through</v>
      </c>
    </row>
    <row r="25445">
      <c r="A25445" s="1" t="s">
        <v>25444</v>
      </c>
      <c r="B25445" s="2" t="str">
        <f>IFERROR(__xludf.DUMMYFUNCTION("GOOGLETRANSLATE(A25445, ""de"", ""en"")"),"improved")</f>
        <v>improved</v>
      </c>
    </row>
    <row r="25446">
      <c r="A25446" s="1" t="s">
        <v>25445</v>
      </c>
      <c r="B25446" s="2" t="str">
        <f>IFERROR(__xludf.DUMMYFUNCTION("GOOGLETRANSLATE(A25446, ""de"", ""en"")"),"record company")</f>
        <v>record company</v>
      </c>
    </row>
    <row r="25447">
      <c r="A25447" s="1" t="s">
        <v>25446</v>
      </c>
      <c r="B25447" s="2" t="str">
        <f>IFERROR(__xludf.DUMMYFUNCTION("GOOGLETRANSLATE(A25447, ""de"", ""en"")"),"directive")</f>
        <v>directive</v>
      </c>
    </row>
    <row r="25448">
      <c r="A25448" s="1" t="s">
        <v>25447</v>
      </c>
      <c r="B25448" s="2" t="str">
        <f>IFERROR(__xludf.DUMMYFUNCTION("GOOGLETRANSLATE(A25448, ""de"", ""en"")"),"use")</f>
        <v>use</v>
      </c>
    </row>
    <row r="25449">
      <c r="A25449" s="1" t="s">
        <v>25448</v>
      </c>
      <c r="B25449" s="2" t="str">
        <f>IFERROR(__xludf.DUMMYFUNCTION("GOOGLETRANSLATE(A25449, ""de"", ""en"")"),"related")</f>
        <v>related</v>
      </c>
    </row>
    <row r="25450">
      <c r="A25450" s="1" t="s">
        <v>25449</v>
      </c>
      <c r="B25450" s="2" t="str">
        <f>IFERROR(__xludf.DUMMYFUNCTION("GOOGLETRANSLATE(A25450, ""de"", ""en"")"),"polar bears")</f>
        <v>polar bears</v>
      </c>
    </row>
    <row r="25451">
      <c r="A25451" s="1" t="s">
        <v>25450</v>
      </c>
      <c r="B25451" s="2" t="str">
        <f>IFERROR(__xludf.DUMMYFUNCTION("GOOGLETRANSLATE(A25451, ""de"", ""en"")"),"forgetful")</f>
        <v>forgetful</v>
      </c>
    </row>
    <row r="25452">
      <c r="A25452" s="1" t="s">
        <v>25451</v>
      </c>
      <c r="B25452" s="2" t="str">
        <f>IFERROR(__xludf.DUMMYFUNCTION("GOOGLETRANSLATE(A25452, ""de"", ""en"")"),"harmless")</f>
        <v>harmless</v>
      </c>
    </row>
    <row r="25453">
      <c r="A25453" s="1" t="s">
        <v>25452</v>
      </c>
      <c r="B25453" s="2" t="str">
        <f>IFERROR(__xludf.DUMMYFUNCTION("GOOGLETRANSLATE(A25453, ""de"", ""en"")"),"used")</f>
        <v>used</v>
      </c>
    </row>
    <row r="25454">
      <c r="A25454" s="1" t="s">
        <v>25453</v>
      </c>
      <c r="B25454" s="2" t="str">
        <f>IFERROR(__xludf.DUMMYFUNCTION("GOOGLETRANSLATE(A25454, ""de"", ""en"")"),"indignation")</f>
        <v>indignation</v>
      </c>
    </row>
    <row r="25455">
      <c r="A25455" s="1" t="s">
        <v>25454</v>
      </c>
      <c r="B25455" s="2" t="str">
        <f>IFERROR(__xludf.DUMMYFUNCTION("GOOGLETRANSLATE(A25455, ""de"", ""en"")"),"Sunday morning")</f>
        <v>Sunday morning</v>
      </c>
    </row>
    <row r="25456">
      <c r="A25456" s="1" t="s">
        <v>25455</v>
      </c>
      <c r="B25456" s="2" t="str">
        <f>IFERROR(__xludf.DUMMYFUNCTION("GOOGLETRANSLATE(A25456, ""de"", ""en"")"),"Capitol")</f>
        <v>Capitol</v>
      </c>
    </row>
    <row r="25457">
      <c r="A25457" s="1" t="s">
        <v>25456</v>
      </c>
      <c r="B25457" s="2" t="str">
        <f>IFERROR(__xludf.DUMMYFUNCTION("GOOGLETRANSLATE(A25457, ""de"", ""en"")"),"santo")</f>
        <v>santo</v>
      </c>
    </row>
    <row r="25458">
      <c r="A25458" s="1" t="s">
        <v>25457</v>
      </c>
      <c r="B25458" s="2" t="str">
        <f>IFERROR(__xludf.DUMMYFUNCTION("GOOGLETRANSLATE(A25458, ""de"", ""en"")"),"castrated")</f>
        <v>castrated</v>
      </c>
    </row>
    <row r="25459">
      <c r="A25459" s="1" t="s">
        <v>25458</v>
      </c>
      <c r="B25459" s="2" t="str">
        <f>IFERROR(__xludf.DUMMYFUNCTION("GOOGLETRANSLATE(A25459, ""de"", ""en"")"),"violations")</f>
        <v>violations</v>
      </c>
    </row>
    <row r="25460">
      <c r="A25460" s="1" t="s">
        <v>25459</v>
      </c>
      <c r="B25460" s="2" t="str">
        <f>IFERROR(__xludf.DUMMYFUNCTION("GOOGLETRANSLATE(A25460, ""de"", ""en"")"),"police officers")</f>
        <v>police officers</v>
      </c>
    </row>
    <row r="25461">
      <c r="A25461" s="1" t="s">
        <v>25460</v>
      </c>
      <c r="B25461" s="2" t="str">
        <f>IFERROR(__xludf.DUMMYFUNCTION("GOOGLETRANSLATE(A25461, ""de"", ""en"")"),"remember")</f>
        <v>remember</v>
      </c>
    </row>
    <row r="25462">
      <c r="A25462" s="1" t="s">
        <v>25461</v>
      </c>
      <c r="B25462" s="2" t="str">
        <f>IFERROR(__xludf.DUMMYFUNCTION("GOOGLETRANSLATE(A25462, ""de"", ""en"")"),"potty")</f>
        <v>potty</v>
      </c>
    </row>
    <row r="25463">
      <c r="A25463" s="1" t="s">
        <v>25462</v>
      </c>
      <c r="B25463" s="2" t="str">
        <f>IFERROR(__xludf.DUMMYFUNCTION("GOOGLETRANSLATE(A25463, ""de"", ""en"")"),"most necessary")</f>
        <v>most necessary</v>
      </c>
    </row>
    <row r="25464">
      <c r="A25464" s="1" t="s">
        <v>25463</v>
      </c>
      <c r="B25464" s="2" t="str">
        <f>IFERROR(__xludf.DUMMYFUNCTION("GOOGLETRANSLATE(A25464, ""de"", ""en"")"),"committee")</f>
        <v>committee</v>
      </c>
    </row>
    <row r="25465">
      <c r="A25465" s="1" t="s">
        <v>25464</v>
      </c>
      <c r="B25465" s="2" t="str">
        <f>IFERROR(__xludf.DUMMYFUNCTION("GOOGLETRANSLATE(A25465, ""de"", ""en"")"),"cordial")</f>
        <v>cordial</v>
      </c>
    </row>
    <row r="25466">
      <c r="A25466" s="1" t="s">
        <v>25465</v>
      </c>
      <c r="B25466" s="2" t="str">
        <f>IFERROR(__xludf.DUMMYFUNCTION("GOOGLETRANSLATE(A25466, ""de"", ""en"")"),"tough")</f>
        <v>tough</v>
      </c>
    </row>
    <row r="25467">
      <c r="A25467" s="1" t="s">
        <v>25466</v>
      </c>
      <c r="B25467" s="2" t="str">
        <f>IFERROR(__xludf.DUMMYFUNCTION("GOOGLETRANSLATE(A25467, ""de"", ""en"")"),"four and a half")</f>
        <v>four and a half</v>
      </c>
    </row>
    <row r="25468">
      <c r="A25468" s="1" t="s">
        <v>25467</v>
      </c>
      <c r="B25468" s="2" t="str">
        <f>IFERROR(__xludf.DUMMYFUNCTION("GOOGLETRANSLATE(A25468, ""de"", ""en"")"),"compassionate")</f>
        <v>compassionate</v>
      </c>
    </row>
    <row r="25469">
      <c r="A25469" s="1" t="s">
        <v>25468</v>
      </c>
      <c r="B25469" s="2" t="str">
        <f>IFERROR(__xludf.DUMMYFUNCTION("GOOGLETRANSLATE(A25469, ""de"", ""en"")"),"rachels")</f>
        <v>rachels</v>
      </c>
    </row>
    <row r="25470">
      <c r="A25470" s="1" t="s">
        <v>25469</v>
      </c>
      <c r="B25470" s="2" t="str">
        <f>IFERROR(__xludf.DUMMYFUNCTION("GOOGLETRANSLATE(A25470, ""de"", ""en"")"),"police")</f>
        <v>police</v>
      </c>
    </row>
    <row r="25471">
      <c r="A25471" s="1" t="s">
        <v>25470</v>
      </c>
      <c r="B25471" s="2" t="str">
        <f>IFERROR(__xludf.DUMMYFUNCTION("GOOGLETRANSLATE(A25471, ""de"", ""en"")"),"ramblings")</f>
        <v>ramblings</v>
      </c>
    </row>
    <row r="25472">
      <c r="A25472" s="1" t="s">
        <v>25471</v>
      </c>
      <c r="B25472" s="2" t="str">
        <f>IFERROR(__xludf.DUMMYFUNCTION("GOOGLETRANSLATE(A25472, ""de"", ""en"")"),"to ward off")</f>
        <v>to ward off</v>
      </c>
    </row>
    <row r="25473">
      <c r="A25473" s="1" t="s">
        <v>25472</v>
      </c>
      <c r="B25473" s="2" t="str">
        <f>IFERROR(__xludf.DUMMYFUNCTION("GOOGLETRANSLATE(A25473, ""de"", ""en"")"),"residents")</f>
        <v>residents</v>
      </c>
    </row>
    <row r="25474">
      <c r="A25474" s="1" t="s">
        <v>25473</v>
      </c>
      <c r="B25474" s="2" t="str">
        <f>IFERROR(__xludf.DUMMYFUNCTION("GOOGLETRANSLATE(A25474, ""de"", ""en"")"),"to turn on")</f>
        <v>to turn on</v>
      </c>
    </row>
    <row r="25475">
      <c r="A25475" s="1" t="s">
        <v>25474</v>
      </c>
      <c r="B25475" s="2" t="str">
        <f>IFERROR(__xludf.DUMMYFUNCTION("GOOGLETRANSLATE(A25475, ""de"", ""en"")"),"softitarian")</f>
        <v>softitarian</v>
      </c>
    </row>
    <row r="25476">
      <c r="A25476" s="1" t="s">
        <v>25475</v>
      </c>
      <c r="B25476" s="2" t="str">
        <f>IFERROR(__xludf.DUMMYFUNCTION("GOOGLETRANSLATE(A25476, ""de"", ""en"")"),"many")</f>
        <v>many</v>
      </c>
    </row>
    <row r="25477">
      <c r="A25477" s="1" t="s">
        <v>25476</v>
      </c>
      <c r="B25477" s="2" t="str">
        <f>IFERROR(__xludf.DUMMYFUNCTION("GOOGLETRANSLATE(A25477, ""de"", ""en"")"),"pencils")</f>
        <v>pencils</v>
      </c>
    </row>
    <row r="25478">
      <c r="A25478" s="1" t="s">
        <v>25477</v>
      </c>
      <c r="B25478" s="2" t="str">
        <f>IFERROR(__xludf.DUMMYFUNCTION("GOOGLETRANSLATE(A25478, ""de"", ""en"")"),"close")</f>
        <v>close</v>
      </c>
    </row>
    <row r="25479">
      <c r="A25479" s="1" t="s">
        <v>25478</v>
      </c>
      <c r="B25479" s="2" t="str">
        <f>IFERROR(__xludf.DUMMYFUNCTION("GOOGLETRANSLATE(A25479, ""de"", ""en"")"),"deathbed")</f>
        <v>deathbed</v>
      </c>
    </row>
    <row r="25480">
      <c r="A25480" s="1" t="s">
        <v>25479</v>
      </c>
      <c r="B25480" s="2" t="str">
        <f>IFERROR(__xludf.DUMMYFUNCTION("GOOGLETRANSLATE(A25480, ""de"", ""en"")"),"problemo")</f>
        <v>problemo</v>
      </c>
    </row>
    <row r="25481">
      <c r="A25481" s="1" t="s">
        <v>25480</v>
      </c>
      <c r="B25481" s="2" t="str">
        <f>IFERROR(__xludf.DUMMYFUNCTION("GOOGLETRANSLATE(A25481, ""de"", ""en"")"),"kimble")</f>
        <v>kimble</v>
      </c>
    </row>
    <row r="25482">
      <c r="A25482" s="1" t="s">
        <v>25481</v>
      </c>
      <c r="B25482" s="2" t="str">
        <f>IFERROR(__xludf.DUMMYFUNCTION("GOOGLETRANSLATE(A25482, ""de"", ""en"")"),"imitates")</f>
        <v>imitates</v>
      </c>
    </row>
    <row r="25483">
      <c r="A25483" s="1" t="s">
        <v>25482</v>
      </c>
      <c r="B25483" s="2" t="str">
        <f>IFERROR(__xludf.DUMMYFUNCTION("GOOGLETRANSLATE(A25483, ""de"", ""en"")"),"ripped off")</f>
        <v>ripped off</v>
      </c>
    </row>
    <row r="25484">
      <c r="A25484" s="1" t="s">
        <v>25483</v>
      </c>
      <c r="B25484" s="2" t="str">
        <f>IFERROR(__xludf.DUMMYFUNCTION("GOOGLETRANSLATE(A25484, ""de"", ""en"")"),"available")</f>
        <v>available</v>
      </c>
    </row>
    <row r="25485">
      <c r="A25485" s="1" t="s">
        <v>25484</v>
      </c>
      <c r="B25485" s="2" t="str">
        <f>IFERROR(__xludf.DUMMYFUNCTION("GOOGLETRANSLATE(A25485, ""de"", ""en"")"),"outed")</f>
        <v>outed</v>
      </c>
    </row>
    <row r="25486">
      <c r="A25486" s="1" t="s">
        <v>25485</v>
      </c>
      <c r="B25486" s="2" t="str">
        <f>IFERROR(__xludf.DUMMYFUNCTION("GOOGLETRANSLATE(A25486, ""de"", ""en"")"),"sauerkraut")</f>
        <v>sauerkraut</v>
      </c>
    </row>
    <row r="25487">
      <c r="A25487" s="1" t="s">
        <v>25486</v>
      </c>
      <c r="B25487" s="2" t="str">
        <f>IFERROR(__xludf.DUMMYFUNCTION("GOOGLETRANSLATE(A25487, ""de"", ""en"")"),"to specify")</f>
        <v>to specify</v>
      </c>
    </row>
    <row r="25488">
      <c r="A25488" s="1" t="s">
        <v>25487</v>
      </c>
      <c r="B25488" s="2" t="str">
        <f>IFERROR(__xludf.DUMMYFUNCTION("GOOGLETRANSLATE(A25488, ""de"", ""en"")"),"equipment")</f>
        <v>equipment</v>
      </c>
    </row>
    <row r="25489">
      <c r="A25489" s="1" t="s">
        <v>25488</v>
      </c>
      <c r="B25489" s="2" t="str">
        <f>IFERROR(__xludf.DUMMYFUNCTION("GOOGLETRANSLATE(A25489, ""de"", ""en"")"),"gives away")</f>
        <v>gives away</v>
      </c>
    </row>
    <row r="25490">
      <c r="A25490" s="1" t="s">
        <v>25489</v>
      </c>
      <c r="B25490" s="2" t="str">
        <f>IFERROR(__xludf.DUMMYFUNCTION("GOOGLETRANSLATE(A25490, ""de"", ""en"")"),"softest")</f>
        <v>softest</v>
      </c>
    </row>
    <row r="25491">
      <c r="A25491" s="1" t="s">
        <v>25490</v>
      </c>
      <c r="B25491" s="2" t="str">
        <f>IFERROR(__xludf.DUMMYFUNCTION("GOOGLETRANSLATE(A25491, ""de"", ""en"")"),"Augustine")</f>
        <v>Augustine</v>
      </c>
    </row>
    <row r="25492">
      <c r="A25492" s="1" t="s">
        <v>25491</v>
      </c>
      <c r="B25492" s="2" t="str">
        <f>IFERROR(__xludf.DUMMYFUNCTION("GOOGLETRANSLATE(A25492, ""de"", ""en"")"),"right-handed")</f>
        <v>right-handed</v>
      </c>
    </row>
    <row r="25493">
      <c r="A25493" s="1" t="s">
        <v>25492</v>
      </c>
      <c r="B25493" s="2" t="str">
        <f>IFERROR(__xludf.DUMMYFUNCTION("GOOGLETRANSLATE(A25493, ""de"", ""en"")"),"watermelon")</f>
        <v>watermelon</v>
      </c>
    </row>
    <row r="25494">
      <c r="A25494" s="1" t="s">
        <v>25493</v>
      </c>
      <c r="B25494" s="2" t="str">
        <f>IFERROR(__xludf.DUMMYFUNCTION("GOOGLETRANSLATE(A25494, ""de"", ""en"")"),"democratically")</f>
        <v>democratically</v>
      </c>
    </row>
    <row r="25495">
      <c r="A25495" s="1" t="s">
        <v>25494</v>
      </c>
      <c r="B25495" s="2" t="str">
        <f>IFERROR(__xludf.DUMMYFUNCTION("GOOGLETRANSLATE(A25495, ""de"", ""en"")"),"monument")</f>
        <v>monument</v>
      </c>
    </row>
    <row r="25496">
      <c r="A25496" s="1" t="s">
        <v>25495</v>
      </c>
      <c r="B25496" s="2" t="str">
        <f>IFERROR(__xludf.DUMMYFUNCTION("GOOGLETRANSLATE(A25496, ""de"", ""en"")"),"alcatraz")</f>
        <v>alcatraz</v>
      </c>
    </row>
    <row r="25497">
      <c r="A25497" s="1" t="s">
        <v>25496</v>
      </c>
      <c r="B25497" s="2" t="str">
        <f>IFERROR(__xludf.DUMMYFUNCTION("GOOGLETRANSLATE(A25497, ""de"", ""en"")"),"temple")</f>
        <v>temple</v>
      </c>
    </row>
    <row r="25498">
      <c r="A25498" s="1" t="s">
        <v>25497</v>
      </c>
      <c r="B25498" s="2" t="str">
        <f>IFERROR(__xludf.DUMMYFUNCTION("GOOGLETRANSLATE(A25498, ""de"", ""en"")"),"bye")</f>
        <v>bye</v>
      </c>
    </row>
    <row r="25499">
      <c r="A25499" s="1" t="s">
        <v>25498</v>
      </c>
      <c r="B25499" s="2" t="str">
        <f>IFERROR(__xludf.DUMMYFUNCTION("GOOGLETRANSLATE(A25499, ""de"", ""en"")"),"Tory")</f>
        <v>Tory</v>
      </c>
    </row>
    <row r="25500">
      <c r="A25500" s="1" t="s">
        <v>25499</v>
      </c>
      <c r="B25500" s="2" t="str">
        <f>IFERROR(__xludf.DUMMYFUNCTION("GOOGLETRANSLATE(A25500, ""de"", ""en"")"),"planted")</f>
        <v>planted</v>
      </c>
    </row>
    <row r="25501">
      <c r="A25501" s="1" t="s">
        <v>25500</v>
      </c>
      <c r="B25501" s="2" t="str">
        <f>IFERROR(__xludf.DUMMYFUNCTION("GOOGLETRANSLATE(A25501, ""de"", ""en"")"),"pathology")</f>
        <v>pathology</v>
      </c>
    </row>
    <row r="25502">
      <c r="A25502" s="1" t="s">
        <v>25501</v>
      </c>
      <c r="B25502" s="2" t="str">
        <f>IFERROR(__xludf.DUMMYFUNCTION("GOOGLETRANSLATE(A25502, ""de"", ""en"")"),"bad")</f>
        <v>bad</v>
      </c>
    </row>
    <row r="25503">
      <c r="A25503" s="1" t="s">
        <v>25502</v>
      </c>
      <c r="B25503" s="2" t="str">
        <f>IFERROR(__xludf.DUMMYFUNCTION("GOOGLETRANSLATE(A25503, ""de"", ""en"")"),"pak")</f>
        <v>pak</v>
      </c>
    </row>
    <row r="25504">
      <c r="A25504" s="1" t="s">
        <v>25503</v>
      </c>
      <c r="B25504" s="2" t="str">
        <f>IFERROR(__xludf.DUMMYFUNCTION("GOOGLETRANSLATE(A25504, ""de"", ""en"")"),"crime time")</f>
        <v>crime time</v>
      </c>
    </row>
    <row r="25505">
      <c r="A25505" s="1" t="s">
        <v>25504</v>
      </c>
      <c r="B25505" s="2" t="str">
        <f>IFERROR(__xludf.DUMMYFUNCTION("GOOGLETRANSLATE(A25505, ""de"", ""en"")"),"revel")</f>
        <v>revel</v>
      </c>
    </row>
    <row r="25506">
      <c r="A25506" s="1" t="s">
        <v>25505</v>
      </c>
      <c r="B25506" s="2" t="str">
        <f>IFERROR(__xludf.DUMMYFUNCTION("GOOGLETRANSLATE(A25506, ""de"", ""en"")"),"volcanic")</f>
        <v>volcanic</v>
      </c>
    </row>
    <row r="25507">
      <c r="A25507" s="1" t="s">
        <v>25506</v>
      </c>
      <c r="B25507" s="2" t="str">
        <f>IFERROR(__xludf.DUMMYFUNCTION("GOOGLETRANSLATE(A25507, ""de"", ""en"")"),"pitbull")</f>
        <v>pitbull</v>
      </c>
    </row>
    <row r="25508">
      <c r="A25508" s="1" t="s">
        <v>25507</v>
      </c>
      <c r="B25508" s="2" t="str">
        <f>IFERROR(__xludf.DUMMYFUNCTION("GOOGLETRANSLATE(A25508, ""de"", ""en"")"),"you-")</f>
        <v>you-</v>
      </c>
    </row>
    <row r="25509">
      <c r="A25509" s="1" t="s">
        <v>25508</v>
      </c>
      <c r="B25509" s="2" t="str">
        <f>IFERROR(__xludf.DUMMYFUNCTION("GOOGLETRANSLATE(A25509, ""de"", ""en"")"),"recognizable")</f>
        <v>recognizable</v>
      </c>
    </row>
    <row r="25510">
      <c r="A25510" s="1" t="s">
        <v>25509</v>
      </c>
      <c r="B25510" s="2" t="str">
        <f>IFERROR(__xludf.DUMMYFUNCTION("GOOGLETRANSLATE(A25510, ""de"", ""en"")"),"TV series")</f>
        <v>TV series</v>
      </c>
    </row>
    <row r="25511">
      <c r="A25511" s="1" t="s">
        <v>25510</v>
      </c>
      <c r="B25511" s="2" t="str">
        <f>IFERROR(__xludf.DUMMYFUNCTION("GOOGLETRANSLATE(A25511, ""de"", ""en"")"),"diaries")</f>
        <v>diaries</v>
      </c>
    </row>
    <row r="25512">
      <c r="A25512" s="1" t="s">
        <v>25511</v>
      </c>
      <c r="B25512" s="2" t="str">
        <f>IFERROR(__xludf.DUMMYFUNCTION("GOOGLETRANSLATE(A25512, ""de"", ""en"")"),"daughter")</f>
        <v>daughter</v>
      </c>
    </row>
    <row r="25513">
      <c r="A25513" s="1" t="s">
        <v>25512</v>
      </c>
      <c r="B25513" s="2" t="str">
        <f>IFERROR(__xludf.DUMMYFUNCTION("GOOGLETRANSLATE(A25513, ""de"", ""en"")"),"Clark")</f>
        <v>Clark</v>
      </c>
    </row>
    <row r="25514">
      <c r="A25514" s="1" t="s">
        <v>25513</v>
      </c>
      <c r="B25514" s="2" t="str">
        <f>IFERROR(__xludf.DUMMYFUNCTION("GOOGLETRANSLATE(A25514, ""de"", ""en"")"),"medici")</f>
        <v>medici</v>
      </c>
    </row>
    <row r="25515">
      <c r="A25515" s="1" t="s">
        <v>25514</v>
      </c>
      <c r="B25515" s="2" t="str">
        <f>IFERROR(__xludf.DUMMYFUNCTION("GOOGLETRANSLATE(A25515, ""de"", ""en"")"),"vomit")</f>
        <v>vomit</v>
      </c>
    </row>
    <row r="25516">
      <c r="A25516" s="1" t="s">
        <v>25515</v>
      </c>
      <c r="B25516" s="2" t="str">
        <f>IFERROR(__xludf.DUMMYFUNCTION("GOOGLETRANSLATE(A25516, ""de"", ""en"")"),"shake")</f>
        <v>shake</v>
      </c>
    </row>
    <row r="25517">
      <c r="A25517" s="1" t="s">
        <v>25516</v>
      </c>
      <c r="B25517" s="2" t="str">
        <f>IFERROR(__xludf.DUMMYFUNCTION("GOOGLETRANSLATE(A25517, ""de"", ""en"")"),"lower")</f>
        <v>lower</v>
      </c>
    </row>
    <row r="25518">
      <c r="A25518" s="1" t="s">
        <v>25517</v>
      </c>
      <c r="B25518" s="2" t="str">
        <f>IFERROR(__xludf.DUMMYFUNCTION("GOOGLETRANSLATE(A25518, ""de"", ""en"")"),"primary")</f>
        <v>primary</v>
      </c>
    </row>
    <row r="25519">
      <c r="A25519" s="1" t="s">
        <v>25518</v>
      </c>
      <c r="B25519" s="2" t="str">
        <f>IFERROR(__xludf.DUMMYFUNCTION("GOOGLETRANSLATE(A25519, ""de"", ""en"")"),"fit in")</f>
        <v>fit in</v>
      </c>
    </row>
    <row r="25520">
      <c r="A25520" s="1" t="s">
        <v>25519</v>
      </c>
      <c r="B25520" s="2" t="str">
        <f>IFERROR(__xludf.DUMMYFUNCTION("GOOGLETRANSLATE(A25520, ""de"", ""en"")"),"quarters")</f>
        <v>quarters</v>
      </c>
    </row>
    <row r="25521">
      <c r="A25521" s="1" t="s">
        <v>25520</v>
      </c>
      <c r="B25521" s="2" t="str">
        <f>IFERROR(__xludf.DUMMYFUNCTION("GOOGLETRANSLATE(A25521, ""de"", ""en"")"),"damn it")</f>
        <v>damn it</v>
      </c>
    </row>
    <row r="25522">
      <c r="A25522" s="1" t="s">
        <v>25521</v>
      </c>
      <c r="B25522" s="2" t="str">
        <f>IFERROR(__xludf.DUMMYFUNCTION("GOOGLETRANSLATE(A25522, ""de"", ""en"")"),"come from")</f>
        <v>come from</v>
      </c>
    </row>
    <row r="25523">
      <c r="A25523" s="1" t="s">
        <v>25522</v>
      </c>
      <c r="B25523" s="2" t="str">
        <f>IFERROR(__xludf.DUMMYFUNCTION("GOOGLETRANSLATE(A25523, ""de"", ""en"")"),"drago")</f>
        <v>drago</v>
      </c>
    </row>
    <row r="25524">
      <c r="A25524" s="1" t="s">
        <v>25523</v>
      </c>
      <c r="B25524" s="2" t="str">
        <f>IFERROR(__xludf.DUMMYFUNCTION("GOOGLETRANSLATE(A25524, ""de"", ""en"")"),"catering")</f>
        <v>catering</v>
      </c>
    </row>
    <row r="25525">
      <c r="A25525" s="1" t="s">
        <v>25524</v>
      </c>
      <c r="B25525" s="2" t="str">
        <f>IFERROR(__xludf.DUMMYFUNCTION("GOOGLETRANSLATE(A25525, ""de"", ""en"")"),"niels")</f>
        <v>niels</v>
      </c>
    </row>
    <row r="25526">
      <c r="A25526" s="1" t="s">
        <v>25525</v>
      </c>
      <c r="B25526" s="2" t="str">
        <f>IFERROR(__xludf.DUMMYFUNCTION("GOOGLETRANSLATE(A25526, ""de"", ""en"")"),"mecca")</f>
        <v>mecca</v>
      </c>
    </row>
    <row r="25527">
      <c r="A25527" s="1" t="s">
        <v>25526</v>
      </c>
      <c r="B25527" s="2" t="str">
        <f>IFERROR(__xludf.DUMMYFUNCTION("GOOGLETRANSLATE(A25527, ""de"", ""en"")"),"virtual")</f>
        <v>virtual</v>
      </c>
    </row>
    <row r="25528">
      <c r="A25528" s="1" t="s">
        <v>25527</v>
      </c>
      <c r="B25528" s="2" t="str">
        <f>IFERROR(__xludf.DUMMYFUNCTION("GOOGLETRANSLATE(A25528, ""de"", ""en"")"),"gums")</f>
        <v>gums</v>
      </c>
    </row>
    <row r="25529">
      <c r="A25529" s="1" t="s">
        <v>25528</v>
      </c>
      <c r="B25529" s="2" t="str">
        <f>IFERROR(__xludf.DUMMYFUNCTION("GOOGLETRANSLATE(A25529, ""de"", ""en"")"),"shoot at")</f>
        <v>shoot at</v>
      </c>
    </row>
    <row r="25530">
      <c r="A25530" s="1" t="s">
        <v>25529</v>
      </c>
      <c r="B25530" s="2" t="str">
        <f>IFERROR(__xludf.DUMMYFUNCTION("GOOGLETRANSLATE(A25530, ""de"", ""en"")"),"passers-by")</f>
        <v>passers-by</v>
      </c>
    </row>
    <row r="25531">
      <c r="A25531" s="1" t="s">
        <v>25530</v>
      </c>
      <c r="B25531" s="2" t="str">
        <f>IFERROR(__xludf.DUMMYFUNCTION("GOOGLETRANSLATE(A25531, ""de"", ""en"")"),"husband's")</f>
        <v>husband's</v>
      </c>
    </row>
    <row r="25532">
      <c r="A25532" s="1" t="s">
        <v>25531</v>
      </c>
      <c r="B25532" s="2" t="str">
        <f>IFERROR(__xludf.DUMMYFUNCTION("GOOGLETRANSLATE(A25532, ""de"", ""en"")"),"a team")</f>
        <v>a team</v>
      </c>
    </row>
    <row r="25533">
      <c r="A25533" s="1" t="s">
        <v>25532</v>
      </c>
      <c r="B25533" s="2" t="str">
        <f>IFERROR(__xludf.DUMMYFUNCTION("GOOGLETRANSLATE(A25533, ""de"", ""en"")"),"iphone")</f>
        <v>iphone</v>
      </c>
    </row>
    <row r="25534">
      <c r="A25534" s="1" t="s">
        <v>25533</v>
      </c>
      <c r="B25534" s="2" t="str">
        <f>IFERROR(__xludf.DUMMYFUNCTION("GOOGLETRANSLATE(A25534, ""de"", ""en"")"),"south")</f>
        <v>south</v>
      </c>
    </row>
    <row r="25535">
      <c r="A25535" s="1" t="s">
        <v>25534</v>
      </c>
      <c r="B25535" s="2" t="str">
        <f>IFERROR(__xludf.DUMMYFUNCTION("GOOGLETRANSLATE(A25535, ""de"", ""en"")"),"ystad")</f>
        <v>ystad</v>
      </c>
    </row>
    <row r="25536">
      <c r="A25536" s="1" t="s">
        <v>25535</v>
      </c>
      <c r="B25536" s="2" t="str">
        <f>IFERROR(__xludf.DUMMYFUNCTION("GOOGLETRANSLATE(A25536, ""de"", ""en"")"),"doorstep")</f>
        <v>doorstep</v>
      </c>
    </row>
    <row r="25537">
      <c r="A25537" s="1" t="s">
        <v>25536</v>
      </c>
      <c r="B25537" s="2" t="str">
        <f>IFERROR(__xludf.DUMMYFUNCTION("GOOGLETRANSLATE(A25537, ""de"", ""en"")"),"caravan")</f>
        <v>caravan</v>
      </c>
    </row>
    <row r="25538">
      <c r="A25538" s="1" t="s">
        <v>25537</v>
      </c>
      <c r="B25538" s="2" t="str">
        <f>IFERROR(__xludf.DUMMYFUNCTION("GOOGLETRANSLATE(A25538, ""de"", ""en"")"),"counterattack")</f>
        <v>counterattack</v>
      </c>
    </row>
    <row r="25539">
      <c r="A25539" s="1" t="s">
        <v>25538</v>
      </c>
      <c r="B25539" s="2" t="str">
        <f>IFERROR(__xludf.DUMMYFUNCTION("GOOGLETRANSLATE(A25539, ""de"", ""en"")"),"acapulco")</f>
        <v>acapulco</v>
      </c>
    </row>
    <row r="25540">
      <c r="A25540" s="1" t="s">
        <v>25539</v>
      </c>
      <c r="B25540" s="2" t="str">
        <f>IFERROR(__xludf.DUMMYFUNCTION("GOOGLETRANSLATE(A25540, ""de"", ""en"")"),"more charming")</f>
        <v>more charming</v>
      </c>
    </row>
    <row r="25541">
      <c r="A25541" s="1" t="s">
        <v>25540</v>
      </c>
      <c r="B25541" s="2" t="str">
        <f>IFERROR(__xludf.DUMMYFUNCTION("GOOGLETRANSLATE(A25541, ""de"", ""en"")"),"abstract")</f>
        <v>abstract</v>
      </c>
    </row>
    <row r="25542">
      <c r="A25542" s="1" t="s">
        <v>25541</v>
      </c>
      <c r="B25542" s="2" t="str">
        <f>IFERROR(__xludf.DUMMYFUNCTION("GOOGLETRANSLATE(A25542, ""de"", ""en"")"),"brush")</f>
        <v>brush</v>
      </c>
    </row>
    <row r="25543">
      <c r="A25543" s="1" t="s">
        <v>25542</v>
      </c>
      <c r="B25543" s="2" t="str">
        <f>IFERROR(__xludf.DUMMYFUNCTION("GOOGLETRANSLATE(A25543, ""de"", ""en"")"),"patrol")</f>
        <v>patrol</v>
      </c>
    </row>
    <row r="25544">
      <c r="A25544" s="1" t="s">
        <v>25543</v>
      </c>
      <c r="B25544" s="2" t="str">
        <f>IFERROR(__xludf.DUMMYFUNCTION("GOOGLETRANSLATE(A25544, ""de"", ""en"")"),"stuck")</f>
        <v>stuck</v>
      </c>
    </row>
    <row r="25545">
      <c r="A25545" s="1" t="s">
        <v>25544</v>
      </c>
      <c r="B25545" s="2" t="str">
        <f>IFERROR(__xludf.DUMMYFUNCTION("GOOGLETRANSLATE(A25545, ""de"", ""en"")"),"no man's land")</f>
        <v>no man's land</v>
      </c>
    </row>
    <row r="25546">
      <c r="A25546" s="1" t="s">
        <v>25545</v>
      </c>
      <c r="B25546" s="2" t="str">
        <f>IFERROR(__xludf.DUMMYFUNCTION("GOOGLETRANSLATE(A25546, ""de"", ""en"")"),"regular guest")</f>
        <v>regular guest</v>
      </c>
    </row>
    <row r="25547">
      <c r="A25547" s="1" t="s">
        <v>25546</v>
      </c>
      <c r="B25547" s="2" t="str">
        <f>IFERROR(__xludf.DUMMYFUNCTION("GOOGLETRANSLATE(A25547, ""de"", ""en"")"),"protective shields")</f>
        <v>protective shields</v>
      </c>
    </row>
    <row r="25548">
      <c r="A25548" s="1" t="s">
        <v>25547</v>
      </c>
      <c r="B25548" s="2" t="str">
        <f>IFERROR(__xludf.DUMMYFUNCTION("GOOGLETRANSLATE(A25548, ""de"", ""en"")"),"American")</f>
        <v>American</v>
      </c>
    </row>
    <row r="25549">
      <c r="A25549" s="1" t="s">
        <v>25548</v>
      </c>
      <c r="B25549" s="2" t="str">
        <f>IFERROR(__xludf.DUMMYFUNCTION("GOOGLETRANSLATE(A25549, ""de"", ""en"")"),"impact")</f>
        <v>impact</v>
      </c>
    </row>
    <row r="25550">
      <c r="A25550" s="1" t="s">
        <v>25549</v>
      </c>
      <c r="B25550" s="2" t="str">
        <f>IFERROR(__xludf.DUMMYFUNCTION("GOOGLETRANSLATE(A25550, ""de"", ""en"")"),"dingsda")</f>
        <v>dingsda</v>
      </c>
    </row>
    <row r="25551">
      <c r="A25551" s="1" t="s">
        <v>25550</v>
      </c>
      <c r="B25551" s="2" t="str">
        <f>IFERROR(__xludf.DUMMYFUNCTION("GOOGLETRANSLATE(A25551, ""de"", ""en"")"),"Dorrit")</f>
        <v>Dorrit</v>
      </c>
    </row>
    <row r="25552">
      <c r="A25552" s="1" t="s">
        <v>25551</v>
      </c>
      <c r="B25552" s="2" t="str">
        <f>IFERROR(__xludf.DUMMYFUNCTION("GOOGLETRANSLATE(A25552, ""de"", ""en"")"),"hoo")</f>
        <v>hoo</v>
      </c>
    </row>
    <row r="25553">
      <c r="A25553" s="1" t="s">
        <v>25552</v>
      </c>
      <c r="B25553" s="2" t="str">
        <f>IFERROR(__xludf.DUMMYFUNCTION("GOOGLETRANSLATE(A25553, ""de"", ""en"")"),"flag")</f>
        <v>flag</v>
      </c>
    </row>
    <row r="25554">
      <c r="A25554" s="1" t="s">
        <v>25553</v>
      </c>
      <c r="B25554" s="2" t="str">
        <f>IFERROR(__xludf.DUMMYFUNCTION("GOOGLETRANSLATE(A25554, ""de"", ""en"")"),"sneer")</f>
        <v>sneer</v>
      </c>
    </row>
    <row r="25555">
      <c r="A25555" s="1" t="s">
        <v>25554</v>
      </c>
      <c r="B25555" s="2" t="str">
        <f>IFERROR(__xludf.DUMMYFUNCTION("GOOGLETRANSLATE(A25555, ""de"", ""en"")"),"leech")</f>
        <v>leech</v>
      </c>
    </row>
    <row r="25556">
      <c r="A25556" s="1" t="s">
        <v>25555</v>
      </c>
      <c r="B25556" s="2" t="str">
        <f>IFERROR(__xludf.DUMMYFUNCTION("GOOGLETRANSLATE(A25556, ""de"", ""en"")"),"petrov")</f>
        <v>petrov</v>
      </c>
    </row>
    <row r="25557">
      <c r="A25557" s="1" t="s">
        <v>25556</v>
      </c>
      <c r="B25557" s="2" t="str">
        <f>IFERROR(__xludf.DUMMYFUNCTION("GOOGLETRANSLATE(A25557, ""de"", ""en"")"),"jazzhead")</f>
        <v>jazzhead</v>
      </c>
    </row>
    <row r="25558">
      <c r="A25558" s="1" t="s">
        <v>25557</v>
      </c>
      <c r="B25558" s="2" t="str">
        <f>IFERROR(__xludf.DUMMYFUNCTION("GOOGLETRANSLATE(A25558, ""de"", ""en"")"),"work colleagues")</f>
        <v>work colleagues</v>
      </c>
    </row>
    <row r="25559">
      <c r="A25559" s="1" t="s">
        <v>25558</v>
      </c>
      <c r="B25559" s="2" t="str">
        <f>IFERROR(__xludf.DUMMYFUNCTION("GOOGLETRANSLATE(A25559, ""de"", ""en"")"),"boiler")</f>
        <v>boiler</v>
      </c>
    </row>
    <row r="25560">
      <c r="A25560" s="1" t="s">
        <v>25559</v>
      </c>
      <c r="B25560" s="2" t="str">
        <f>IFERROR(__xludf.DUMMYFUNCTION("GOOGLETRANSLATE(A25560, ""de"", ""en"")"),"improvements")</f>
        <v>improvements</v>
      </c>
    </row>
    <row r="25561">
      <c r="A25561" s="1" t="s">
        <v>25560</v>
      </c>
      <c r="B25561" s="2" t="str">
        <f>IFERROR(__xludf.DUMMYFUNCTION("GOOGLETRANSLATE(A25561, ""de"", ""en"")"),"japs")</f>
        <v>japs</v>
      </c>
    </row>
    <row r="25562">
      <c r="A25562" s="1" t="s">
        <v>25561</v>
      </c>
      <c r="B25562" s="2" t="str">
        <f>IFERROR(__xludf.DUMMYFUNCTION("GOOGLETRANSLATE(A25562, ""de"", ""en"")"),"Renee")</f>
        <v>Renee</v>
      </c>
    </row>
    <row r="25563">
      <c r="A25563" s="1" t="s">
        <v>25562</v>
      </c>
      <c r="B25563" s="2" t="str">
        <f>IFERROR(__xludf.DUMMYFUNCTION("GOOGLETRANSLATE(A25563, ""de"", ""en"")"),"cardinals")</f>
        <v>cardinals</v>
      </c>
    </row>
    <row r="25564">
      <c r="A25564" s="1" t="s">
        <v>25563</v>
      </c>
      <c r="B25564" s="2" t="str">
        <f>IFERROR(__xludf.DUMMYFUNCTION("GOOGLETRANSLATE(A25564, ""de"", ""en"")"),"decorated")</f>
        <v>decorated</v>
      </c>
    </row>
    <row r="25565">
      <c r="A25565" s="1" t="s">
        <v>25564</v>
      </c>
      <c r="B25565" s="2" t="str">
        <f>IFERROR(__xludf.DUMMYFUNCTION("GOOGLETRANSLATE(A25565, ""de"", ""en"")"),"limit")</f>
        <v>limit</v>
      </c>
    </row>
    <row r="25566">
      <c r="A25566" s="1" t="s">
        <v>25565</v>
      </c>
      <c r="B25566" s="2" t="str">
        <f>IFERROR(__xludf.DUMMYFUNCTION("GOOGLETRANSLATE(A25566, ""de"", ""en"")"),"omni")</f>
        <v>omni</v>
      </c>
    </row>
    <row r="25567">
      <c r="A25567" s="1" t="s">
        <v>25566</v>
      </c>
      <c r="B25567" s="2" t="str">
        <f>IFERROR(__xludf.DUMMYFUNCTION("GOOGLETRANSLATE(A25567, ""de"", ""en"")"),"displeased")</f>
        <v>displeased</v>
      </c>
    </row>
    <row r="25568">
      <c r="A25568" s="1" t="s">
        <v>25567</v>
      </c>
      <c r="B25568" s="2" t="str">
        <f>IFERROR(__xludf.DUMMYFUNCTION("GOOGLETRANSLATE(A25568, ""de"", ""en"")"),"next")</f>
        <v>next</v>
      </c>
    </row>
    <row r="25569">
      <c r="A25569" s="1" t="s">
        <v>25568</v>
      </c>
      <c r="B25569" s="2" t="str">
        <f>IFERROR(__xludf.DUMMYFUNCTION("GOOGLETRANSLATE(A25569, ""de"", ""en"")"),"clairvoyant")</f>
        <v>clairvoyant</v>
      </c>
    </row>
    <row r="25570">
      <c r="A25570" s="1" t="s">
        <v>25569</v>
      </c>
      <c r="B25570" s="2" t="str">
        <f>IFERROR(__xludf.DUMMYFUNCTION("GOOGLETRANSLATE(A25570, ""de"", ""en"")"),"bell")</f>
        <v>bell</v>
      </c>
    </row>
    <row r="25571">
      <c r="A25571" s="1" t="s">
        <v>25570</v>
      </c>
      <c r="B25571" s="2" t="str">
        <f>IFERROR(__xludf.DUMMYFUNCTION("GOOGLETRANSLATE(A25571, ""de"", ""en"")"),"beacon")</f>
        <v>beacon</v>
      </c>
    </row>
    <row r="25572">
      <c r="A25572" s="1" t="s">
        <v>25571</v>
      </c>
      <c r="B25572" s="2" t="str">
        <f>IFERROR(__xludf.DUMMYFUNCTION("GOOGLETRANSLATE(A25572, ""de"", ""en"")"),"jackal")</f>
        <v>jackal</v>
      </c>
    </row>
    <row r="25573">
      <c r="A25573" s="1" t="s">
        <v>25572</v>
      </c>
      <c r="B25573" s="2" t="str">
        <f>IFERROR(__xludf.DUMMYFUNCTION("GOOGLETRANSLATE(A25573, ""de"", ""en"")"),"harp")</f>
        <v>harp</v>
      </c>
    </row>
    <row r="25574">
      <c r="A25574" s="1" t="s">
        <v>25573</v>
      </c>
      <c r="B25574" s="2" t="str">
        <f>IFERROR(__xludf.DUMMYFUNCTION("GOOGLETRANSLATE(A25574, ""de"", ""en"")"),"alcohol problem")</f>
        <v>alcohol problem</v>
      </c>
    </row>
    <row r="25575">
      <c r="A25575" s="1" t="s">
        <v>25574</v>
      </c>
      <c r="B25575" s="2" t="str">
        <f>IFERROR(__xludf.DUMMYFUNCTION("GOOGLETRANSLATE(A25575, ""de"", ""en"")"),"ignored")</f>
        <v>ignored</v>
      </c>
    </row>
    <row r="25576">
      <c r="A25576" s="1" t="s">
        <v>25575</v>
      </c>
      <c r="B25576" s="2" t="str">
        <f>IFERROR(__xludf.DUMMYFUNCTION("GOOGLETRANSLATE(A25576, ""de"", ""en"")"),"called")</f>
        <v>called</v>
      </c>
    </row>
    <row r="25577">
      <c r="A25577" s="1" t="s">
        <v>25576</v>
      </c>
      <c r="B25577" s="2" t="str">
        <f>IFERROR(__xludf.DUMMYFUNCTION("GOOGLETRANSLATE(A25577, ""de"", ""en"")"),"more strenuous")</f>
        <v>more strenuous</v>
      </c>
    </row>
    <row r="25578">
      <c r="A25578" s="1" t="s">
        <v>25577</v>
      </c>
      <c r="B25578" s="2" t="str">
        <f>IFERROR(__xludf.DUMMYFUNCTION("GOOGLETRANSLATE(A25578, ""de"", ""en"")"),"bile")</f>
        <v>bile</v>
      </c>
    </row>
    <row r="25579">
      <c r="A25579" s="1" t="s">
        <v>25578</v>
      </c>
      <c r="B25579" s="2" t="str">
        <f>IFERROR(__xludf.DUMMYFUNCTION("GOOGLETRANSLATE(A25579, ""de"", ""en"")"),"orchid")</f>
        <v>orchid</v>
      </c>
    </row>
    <row r="25580">
      <c r="A25580" s="1" t="s">
        <v>25579</v>
      </c>
      <c r="B25580" s="2" t="str">
        <f>IFERROR(__xludf.DUMMYFUNCTION("GOOGLETRANSLATE(A25580, ""de"", ""en"")"),"tusk")</f>
        <v>tusk</v>
      </c>
    </row>
    <row r="25581">
      <c r="A25581" s="1" t="s">
        <v>25580</v>
      </c>
      <c r="B25581" s="2" t="str">
        <f>IFERROR(__xludf.DUMMYFUNCTION("GOOGLETRANSLATE(A25581, ""de"", ""en"")"),"pelted")</f>
        <v>pelted</v>
      </c>
    </row>
    <row r="25582">
      <c r="A25582" s="1" t="s">
        <v>25581</v>
      </c>
      <c r="B25582" s="2" t="str">
        <f>IFERROR(__xludf.DUMMYFUNCTION("GOOGLETRANSLATE(A25582, ""de"", ""en"")"),"driver")</f>
        <v>driver</v>
      </c>
    </row>
    <row r="25583">
      <c r="A25583" s="1" t="s">
        <v>25582</v>
      </c>
      <c r="B25583" s="2" t="str">
        <f>IFERROR(__xludf.DUMMYFUNCTION("GOOGLETRANSLATE(A25583, ""de"", ""en"")"),"peaches")</f>
        <v>peaches</v>
      </c>
    </row>
    <row r="25584">
      <c r="A25584" s="1" t="s">
        <v>25583</v>
      </c>
      <c r="B25584" s="2" t="str">
        <f>IFERROR(__xludf.DUMMYFUNCTION("GOOGLETRANSLATE(A25584, ""de"", ""en"")"),"vice")</f>
        <v>vice</v>
      </c>
    </row>
    <row r="25585">
      <c r="A25585" s="1" t="s">
        <v>25584</v>
      </c>
      <c r="B25585" s="2" t="str">
        <f>IFERROR(__xludf.DUMMYFUNCTION("GOOGLETRANSLATE(A25585, ""de"", ""en"")"),"sublime")</f>
        <v>sublime</v>
      </c>
    </row>
    <row r="25586">
      <c r="A25586" s="1" t="s">
        <v>25585</v>
      </c>
      <c r="B25586" s="2" t="str">
        <f>IFERROR(__xludf.DUMMYFUNCTION("GOOGLETRANSLATE(A25586, ""de"", ""en"")"),"whitmore")</f>
        <v>whitmore</v>
      </c>
    </row>
    <row r="25587">
      <c r="A25587" s="1" t="s">
        <v>25586</v>
      </c>
      <c r="B25587" s="2" t="str">
        <f>IFERROR(__xludf.DUMMYFUNCTION("GOOGLETRANSLATE(A25587, ""de"", ""en"")"),"family affair")</f>
        <v>family affair</v>
      </c>
    </row>
    <row r="25588">
      <c r="A25588" s="1" t="s">
        <v>25587</v>
      </c>
      <c r="B25588" s="2" t="str">
        <f>IFERROR(__xludf.DUMMYFUNCTION("GOOGLETRANSLATE(A25588, ""de"", ""en"")"),"hoot")</f>
        <v>hoot</v>
      </c>
    </row>
    <row r="25589">
      <c r="A25589" s="1" t="s">
        <v>25588</v>
      </c>
      <c r="B25589" s="2" t="str">
        <f>IFERROR(__xludf.DUMMYFUNCTION("GOOGLETRANSLATE(A25589, ""de"", ""en"")"),"slit eye")</f>
        <v>slit eye</v>
      </c>
    </row>
    <row r="25590">
      <c r="A25590" s="1" t="s">
        <v>25589</v>
      </c>
      <c r="B25590" s="2" t="str">
        <f>IFERROR(__xludf.DUMMYFUNCTION("GOOGLETRANSLATE(A25590, ""de"", ""en"")"),"had")</f>
        <v>had</v>
      </c>
    </row>
    <row r="25591">
      <c r="A25591" s="1" t="s">
        <v>25590</v>
      </c>
      <c r="B25591" s="2" t="str">
        <f>IFERROR(__xludf.DUMMYFUNCTION("GOOGLETRANSLATE(A25591, ""de"", ""en"")"),"according to")</f>
        <v>according to</v>
      </c>
    </row>
    <row r="25592">
      <c r="A25592" s="1" t="s">
        <v>25591</v>
      </c>
      <c r="B25592" s="2" t="str">
        <f>IFERROR(__xludf.DUMMYFUNCTION("GOOGLETRANSLATE(A25592, ""de"", ""en"")"),"bathrooms")</f>
        <v>bathrooms</v>
      </c>
    </row>
    <row r="25593">
      <c r="A25593" s="1" t="s">
        <v>25592</v>
      </c>
      <c r="B25593" s="2" t="str">
        <f>IFERROR(__xludf.DUMMYFUNCTION("GOOGLETRANSLATE(A25593, ""de"", ""en"")"),"black-and-white")</f>
        <v>black-and-white</v>
      </c>
    </row>
    <row r="25594">
      <c r="A25594" s="1" t="s">
        <v>25593</v>
      </c>
      <c r="B25594" s="2" t="str">
        <f>IFERROR(__xludf.DUMMYFUNCTION("GOOGLETRANSLATE(A25594, ""de"", ""en"")"),"valet")</f>
        <v>valet</v>
      </c>
    </row>
    <row r="25595">
      <c r="A25595" s="1" t="s">
        <v>25594</v>
      </c>
      <c r="B25595" s="2" t="str">
        <f>IFERROR(__xludf.DUMMYFUNCTION("GOOGLETRANSLATE(A25595, ""de"", ""en"")"),"amelie")</f>
        <v>amelie</v>
      </c>
    </row>
    <row r="25596">
      <c r="A25596" s="1" t="s">
        <v>25595</v>
      </c>
      <c r="B25596" s="2" t="str">
        <f>IFERROR(__xludf.DUMMYFUNCTION("GOOGLETRANSLATE(A25596, ""de"", ""en"")"),"Mathison")</f>
        <v>Mathison</v>
      </c>
    </row>
    <row r="25597">
      <c r="A25597" s="1" t="s">
        <v>25596</v>
      </c>
      <c r="B25597" s="2" t="str">
        <f>IFERROR(__xludf.DUMMYFUNCTION("GOOGLETRANSLATE(A25597, ""de"", ""en"")"),"Africa")</f>
        <v>Africa</v>
      </c>
    </row>
    <row r="25598">
      <c r="A25598" s="1" t="s">
        <v>25597</v>
      </c>
      <c r="B25598" s="2" t="str">
        <f>IFERROR(__xludf.DUMMYFUNCTION("GOOGLETRANSLATE(A25598, ""de"", ""en"")"),"six times")</f>
        <v>six times</v>
      </c>
    </row>
    <row r="25599">
      <c r="A25599" s="1" t="s">
        <v>25598</v>
      </c>
      <c r="B25599" s="2" t="str">
        <f>IFERROR(__xludf.DUMMYFUNCTION("GOOGLETRANSLATE(A25599, ""de"", ""en"")"),"toledo")</f>
        <v>toledo</v>
      </c>
    </row>
    <row r="25600">
      <c r="A25600" s="1" t="s">
        <v>25599</v>
      </c>
      <c r="B25600" s="2" t="str">
        <f>IFERROR(__xludf.DUMMYFUNCTION("GOOGLETRANSLATE(A25600, ""de"", ""en"")"),"favorite")</f>
        <v>favorite</v>
      </c>
    </row>
    <row r="25601">
      <c r="A25601" s="1" t="s">
        <v>25600</v>
      </c>
      <c r="B25601" s="2" t="str">
        <f>IFERROR(__xludf.DUMMYFUNCTION("GOOGLETRANSLATE(A25601, ""de"", ""en"")"),"Washington")</f>
        <v>Washington</v>
      </c>
    </row>
    <row r="25602">
      <c r="A25602" s="1" t="s">
        <v>25601</v>
      </c>
      <c r="B25602" s="2" t="str">
        <f>IFERROR(__xludf.DUMMYFUNCTION("GOOGLETRANSLATE(A25602, ""de"", ""en"")"),"mini-bar")</f>
        <v>mini-bar</v>
      </c>
    </row>
    <row r="25603">
      <c r="A25603" s="1" t="s">
        <v>25602</v>
      </c>
      <c r="B25603" s="2" t="str">
        <f>IFERROR(__xludf.DUMMYFUNCTION("GOOGLETRANSLATE(A25603, ""de"", ""en"")"),"newborn")</f>
        <v>newborn</v>
      </c>
    </row>
    <row r="25604">
      <c r="A25604" s="1" t="s">
        <v>25603</v>
      </c>
      <c r="B25604" s="2" t="str">
        <f>IFERROR(__xludf.DUMMYFUNCTION("GOOGLETRANSLATE(A25604, ""de"", ""en"")"),"cloudy")</f>
        <v>cloudy</v>
      </c>
    </row>
    <row r="25605">
      <c r="A25605" s="1" t="s">
        <v>25604</v>
      </c>
      <c r="B25605" s="2" t="str">
        <f>IFERROR(__xludf.DUMMYFUNCTION("GOOGLETRANSLATE(A25605, ""de"", ""en"")"),"no indication")</f>
        <v>no indication</v>
      </c>
    </row>
    <row r="25606">
      <c r="A25606" s="1" t="s">
        <v>25605</v>
      </c>
      <c r="B25606" s="2" t="str">
        <f>IFERROR(__xludf.DUMMYFUNCTION("GOOGLETRANSLATE(A25606, ""de"", ""en"")"),"deadly serious")</f>
        <v>deadly serious</v>
      </c>
    </row>
    <row r="25607">
      <c r="A25607" s="1" t="s">
        <v>25606</v>
      </c>
      <c r="B25607" s="2" t="str">
        <f>IFERROR(__xludf.DUMMYFUNCTION("GOOGLETRANSLATE(A25607, ""de"", ""en"")"),"stannis")</f>
        <v>stannis</v>
      </c>
    </row>
    <row r="25608">
      <c r="A25608" s="1" t="s">
        <v>25607</v>
      </c>
      <c r="B25608" s="2" t="str">
        <f>IFERROR(__xludf.DUMMYFUNCTION("GOOGLETRANSLATE(A25608, ""de"", ""en"")"),"lioness")</f>
        <v>lioness</v>
      </c>
    </row>
    <row r="25609">
      <c r="A25609" s="1" t="s">
        <v>25608</v>
      </c>
      <c r="B25609" s="2" t="str">
        <f>IFERROR(__xludf.DUMMYFUNCTION("GOOGLETRANSLATE(A25609, ""de"", ""en"")"),"cared for")</f>
        <v>cared for</v>
      </c>
    </row>
    <row r="25610">
      <c r="A25610" s="1" t="s">
        <v>25609</v>
      </c>
      <c r="B25610" s="2" t="str">
        <f>IFERROR(__xludf.DUMMYFUNCTION("GOOGLETRANSLATE(A25610, ""de"", ""en"")"),"embarrass")</f>
        <v>embarrass</v>
      </c>
    </row>
    <row r="25611">
      <c r="A25611" s="1" t="s">
        <v>25610</v>
      </c>
      <c r="B25611" s="2" t="str">
        <f>IFERROR(__xludf.DUMMYFUNCTION("GOOGLETRANSLATE(A25611, ""de"", ""en"")"),"unarmed")</f>
        <v>unarmed</v>
      </c>
    </row>
    <row r="25612">
      <c r="A25612" s="1" t="s">
        <v>25611</v>
      </c>
      <c r="B25612" s="2" t="str">
        <f>IFERROR(__xludf.DUMMYFUNCTION("GOOGLETRANSLATE(A25612, ""de"", ""en"")"),"slaughterhouse")</f>
        <v>slaughterhouse</v>
      </c>
    </row>
    <row r="25613">
      <c r="A25613" s="1" t="s">
        <v>25612</v>
      </c>
      <c r="B25613" s="2" t="str">
        <f>IFERROR(__xludf.DUMMYFUNCTION("GOOGLETRANSLATE(A25613, ""de"", ""en"")"),"hearing impaired")</f>
        <v>hearing impaired</v>
      </c>
    </row>
    <row r="25614">
      <c r="A25614" s="1" t="s">
        <v>25613</v>
      </c>
      <c r="B25614" s="2" t="str">
        <f>IFERROR(__xludf.DUMMYFUNCTION("GOOGLETRANSLATE(A25614, ""de"", ""en"")"),"precedent")</f>
        <v>precedent</v>
      </c>
    </row>
    <row r="25615">
      <c r="A25615" s="1" t="s">
        <v>25614</v>
      </c>
      <c r="B25615" s="2" t="str">
        <f>IFERROR(__xludf.DUMMYFUNCTION("GOOGLETRANSLATE(A25615, ""de"", ""en"")"),"vibrator")</f>
        <v>vibrator</v>
      </c>
    </row>
    <row r="25616">
      <c r="A25616" s="1" t="s">
        <v>25615</v>
      </c>
      <c r="B25616" s="2" t="str">
        <f>IFERROR(__xludf.DUMMYFUNCTION("GOOGLETRANSLATE(A25616, ""de"", ""en"")"),"himmler")</f>
        <v>himmler</v>
      </c>
    </row>
    <row r="25617">
      <c r="A25617" s="1" t="s">
        <v>25616</v>
      </c>
      <c r="B25617" s="2" t="str">
        <f>IFERROR(__xludf.DUMMYFUNCTION("GOOGLETRANSLATE(A25617, ""de"", ""en"")"),"redheads")</f>
        <v>redheads</v>
      </c>
    </row>
    <row r="25618">
      <c r="A25618" s="1" t="s">
        <v>25617</v>
      </c>
      <c r="B25618" s="2" t="str">
        <f>IFERROR(__xludf.DUMMYFUNCTION("GOOGLETRANSLATE(A25618, ""de"", ""en"")"),"full")</f>
        <v>full</v>
      </c>
    </row>
    <row r="25619">
      <c r="A25619" s="1" t="s">
        <v>25618</v>
      </c>
      <c r="B25619" s="2" t="str">
        <f>IFERROR(__xludf.DUMMYFUNCTION("GOOGLETRANSLATE(A25619, ""de"", ""en"")"),"fanfare")</f>
        <v>fanfare</v>
      </c>
    </row>
    <row r="25620">
      <c r="A25620" s="1" t="s">
        <v>25619</v>
      </c>
      <c r="B25620" s="2" t="str">
        <f>IFERROR(__xludf.DUMMYFUNCTION("GOOGLETRANSLATE(A25620, ""de"", ""en"")"),"more physical")</f>
        <v>more physical</v>
      </c>
    </row>
    <row r="25621">
      <c r="A25621" s="1" t="s">
        <v>25620</v>
      </c>
      <c r="B25621" s="2" t="str">
        <f>IFERROR(__xludf.DUMMYFUNCTION("GOOGLETRANSLATE(A25621, ""de"", ""en"")"),"acts")</f>
        <v>acts</v>
      </c>
    </row>
    <row r="25622">
      <c r="A25622" s="1" t="s">
        <v>25621</v>
      </c>
      <c r="B25622" s="2" t="str">
        <f>IFERROR(__xludf.DUMMYFUNCTION("GOOGLETRANSLATE(A25622, ""de"", ""en"")"),"completed")</f>
        <v>completed</v>
      </c>
    </row>
    <row r="25623">
      <c r="A25623" s="1" t="s">
        <v>25622</v>
      </c>
      <c r="B25623" s="2" t="str">
        <f>IFERROR(__xludf.DUMMYFUNCTION("GOOGLETRANSLATE(A25623, ""de"", ""en"")"),"sanded")</f>
        <v>sanded</v>
      </c>
    </row>
    <row r="25624">
      <c r="A25624" s="1" t="s">
        <v>25623</v>
      </c>
      <c r="B25624" s="2" t="str">
        <f>IFERROR(__xludf.DUMMYFUNCTION("GOOGLETRANSLATE(A25624, ""de"", ""en"")"),"beacon")</f>
        <v>beacon</v>
      </c>
    </row>
    <row r="25625">
      <c r="A25625" s="1" t="s">
        <v>25624</v>
      </c>
      <c r="B25625" s="2" t="str">
        <f>IFERROR(__xludf.DUMMYFUNCTION("GOOGLETRANSLATE(A25625, ""de"", ""en"")"),"Mayans")</f>
        <v>Mayans</v>
      </c>
    </row>
    <row r="25626">
      <c r="A25626" s="1" t="s">
        <v>25625</v>
      </c>
      <c r="B25626" s="2" t="str">
        <f>IFERROR(__xludf.DUMMYFUNCTION("GOOGLETRANSLATE(A25626, ""de"", ""en"")"),"real estate")</f>
        <v>real estate</v>
      </c>
    </row>
    <row r="25627">
      <c r="A25627" s="1" t="s">
        <v>25626</v>
      </c>
      <c r="B25627" s="2" t="str">
        <f>IFERROR(__xludf.DUMMYFUNCTION("GOOGLETRANSLATE(A25627, ""de"", ""en"")"),"boots")</f>
        <v>boots</v>
      </c>
    </row>
    <row r="25628">
      <c r="A25628" s="1" t="s">
        <v>25627</v>
      </c>
      <c r="B25628" s="2" t="str">
        <f>IFERROR(__xludf.DUMMYFUNCTION("GOOGLETRANSLATE(A25628, ""de"", ""en"")"),"hijack")</f>
        <v>hijack</v>
      </c>
    </row>
    <row r="25629">
      <c r="A25629" s="1" t="s">
        <v>25628</v>
      </c>
      <c r="B25629" s="2" t="str">
        <f>IFERROR(__xludf.DUMMYFUNCTION("GOOGLETRANSLATE(A25629, ""de"", ""en"")"),"kellogg")</f>
        <v>kellogg</v>
      </c>
    </row>
    <row r="25630">
      <c r="A25630" s="1" t="s">
        <v>25629</v>
      </c>
      <c r="B25630" s="2" t="str">
        <f>IFERROR(__xludf.DUMMYFUNCTION("GOOGLETRANSLATE(A25630, ""de"", ""en"")"),"unmarried")</f>
        <v>unmarried</v>
      </c>
    </row>
    <row r="25631">
      <c r="A25631" s="1" t="s">
        <v>25630</v>
      </c>
      <c r="B25631" s="2" t="str">
        <f>IFERROR(__xludf.DUMMYFUNCTION("GOOGLETRANSLATE(A25631, ""de"", ""en"")"),"deducts")</f>
        <v>deducts</v>
      </c>
    </row>
    <row r="25632">
      <c r="A25632" s="1" t="s">
        <v>25631</v>
      </c>
      <c r="B25632" s="2" t="str">
        <f>IFERROR(__xludf.DUMMYFUNCTION("GOOGLETRANSLATE(A25632, ""de"", ""en"")"),"merciful")</f>
        <v>merciful</v>
      </c>
    </row>
    <row r="25633">
      <c r="A25633" s="1" t="s">
        <v>25632</v>
      </c>
      <c r="B25633" s="2" t="str">
        <f>IFERROR(__xludf.DUMMYFUNCTION("GOOGLETRANSLATE(A25633, ""de"", ""en"")"),"imam")</f>
        <v>imam</v>
      </c>
    </row>
    <row r="25634">
      <c r="A25634" s="1" t="s">
        <v>25633</v>
      </c>
      <c r="B25634" s="2" t="str">
        <f>IFERROR(__xludf.DUMMYFUNCTION("GOOGLETRANSLATE(A25634, ""de"", ""en"")"),"mocked")</f>
        <v>mocked</v>
      </c>
    </row>
    <row r="25635">
      <c r="A25635" s="1" t="s">
        <v>25634</v>
      </c>
      <c r="B25635" s="2" t="str">
        <f>IFERROR(__xludf.DUMMYFUNCTION("GOOGLETRANSLATE(A25635, ""de"", ""en"")"),"enter")</f>
        <v>enter</v>
      </c>
    </row>
    <row r="25636">
      <c r="A25636" s="1" t="s">
        <v>25635</v>
      </c>
      <c r="B25636" s="2" t="str">
        <f>IFERROR(__xludf.DUMMYFUNCTION("GOOGLETRANSLATE(A25636, ""de"", ""en"")"),"upcoming")</f>
        <v>upcoming</v>
      </c>
    </row>
    <row r="25637">
      <c r="A25637" s="1" t="s">
        <v>25636</v>
      </c>
      <c r="B25637" s="2" t="str">
        <f>IFERROR(__xludf.DUMMYFUNCTION("GOOGLETRANSLATE(A25637, ""de"", ""en"")"),"donaghy")</f>
        <v>donaghy</v>
      </c>
    </row>
    <row r="25638">
      <c r="A25638" s="1" t="s">
        <v>25637</v>
      </c>
      <c r="B25638" s="2" t="str">
        <f>IFERROR(__xludf.DUMMYFUNCTION("GOOGLETRANSLATE(A25638, ""de"", ""en"")"),"push-ups")</f>
        <v>push-ups</v>
      </c>
    </row>
    <row r="25639">
      <c r="A25639" s="1" t="s">
        <v>25638</v>
      </c>
      <c r="B25639" s="2" t="str">
        <f>IFERROR(__xludf.DUMMYFUNCTION("GOOGLETRANSLATE(A25639, ""de"", ""en"")"),"poppins")</f>
        <v>poppins</v>
      </c>
    </row>
    <row r="25640">
      <c r="A25640" s="1" t="s">
        <v>25639</v>
      </c>
      <c r="B25640" s="2" t="str">
        <f>IFERROR(__xludf.DUMMYFUNCTION("GOOGLETRANSLATE(A25640, ""de"", ""en"")"),"ice cream")</f>
        <v>ice cream</v>
      </c>
    </row>
    <row r="25641">
      <c r="A25641" s="1" t="s">
        <v>25640</v>
      </c>
      <c r="B25641" s="2" t="str">
        <f>IFERROR(__xludf.DUMMYFUNCTION("GOOGLETRANSLATE(A25641, ""de"", ""en"")"),"aoki")</f>
        <v>aoki</v>
      </c>
    </row>
    <row r="25642">
      <c r="A25642" s="1" t="s">
        <v>25641</v>
      </c>
      <c r="B25642" s="2" t="str">
        <f>IFERROR(__xludf.DUMMYFUNCTION("GOOGLETRANSLATE(A25642, ""de"", ""en"")"),"heavyweight")</f>
        <v>heavyweight</v>
      </c>
    </row>
    <row r="25643">
      <c r="A25643" s="1" t="s">
        <v>25642</v>
      </c>
      <c r="B25643" s="2" t="str">
        <f>IFERROR(__xludf.DUMMYFUNCTION("GOOGLETRANSLATE(A25643, ""de"", ""en"")"),"pumps")</f>
        <v>pumps</v>
      </c>
    </row>
    <row r="25644">
      <c r="A25644" s="1" t="s">
        <v>25643</v>
      </c>
      <c r="B25644" s="2" t="str">
        <f>IFERROR(__xludf.DUMMYFUNCTION("GOOGLETRANSLATE(A25644, ""de"", ""en"")"),"dodd")</f>
        <v>dodd</v>
      </c>
    </row>
    <row r="25645">
      <c r="A25645" s="1" t="s">
        <v>25644</v>
      </c>
      <c r="B25645" s="2" t="str">
        <f>IFERROR(__xludf.DUMMYFUNCTION("GOOGLETRANSLATE(A25645, ""de"", ""en"")"),"pages")</f>
        <v>pages</v>
      </c>
    </row>
    <row r="25646">
      <c r="A25646" s="1" t="s">
        <v>25645</v>
      </c>
      <c r="B25646" s="2" t="str">
        <f>IFERROR(__xludf.DUMMYFUNCTION("GOOGLETRANSLATE(A25646, ""de"", ""en"")"),"higher")</f>
        <v>higher</v>
      </c>
    </row>
    <row r="25647">
      <c r="A25647" s="1" t="s">
        <v>25646</v>
      </c>
      <c r="B25647" s="2" t="str">
        <f>IFERROR(__xludf.DUMMYFUNCTION("GOOGLETRANSLATE(A25647, ""de"", ""en"")"),"rance")</f>
        <v>rance</v>
      </c>
    </row>
    <row r="25648">
      <c r="A25648" s="1" t="s">
        <v>25647</v>
      </c>
      <c r="B25648" s="2" t="str">
        <f>IFERROR(__xludf.DUMMYFUNCTION("GOOGLETRANSLATE(A25648, ""de"", ""en"")"),"drusilla")</f>
        <v>drusilla</v>
      </c>
    </row>
    <row r="25649">
      <c r="A25649" s="1" t="s">
        <v>25648</v>
      </c>
      <c r="B25649" s="2" t="str">
        <f>IFERROR(__xludf.DUMMYFUNCTION("GOOGLETRANSLATE(A25649, ""de"", ""en"")"),"Austrian")</f>
        <v>Austrian</v>
      </c>
    </row>
    <row r="25650">
      <c r="A25650" s="1" t="s">
        <v>25649</v>
      </c>
      <c r="B25650" s="2" t="str">
        <f>IFERROR(__xludf.DUMMYFUNCTION("GOOGLETRANSLATE(A25650, ""de"", ""en"")"),"British")</f>
        <v>British</v>
      </c>
    </row>
    <row r="25651">
      <c r="A25651" s="1" t="s">
        <v>25650</v>
      </c>
      <c r="B25651" s="2" t="str">
        <f>IFERROR(__xludf.DUMMYFUNCTION("GOOGLETRANSLATE(A25651, ""de"", ""en"")"),"jumping")</f>
        <v>jumping</v>
      </c>
    </row>
    <row r="25652">
      <c r="A25652" s="1" t="s">
        <v>25651</v>
      </c>
      <c r="B25652" s="2" t="str">
        <f>IFERROR(__xludf.DUMMYFUNCTION("GOOGLETRANSLATE(A25652, ""de"", ""en"")"),"consecration")</f>
        <v>consecration</v>
      </c>
    </row>
    <row r="25653">
      <c r="A25653" s="1" t="s">
        <v>25652</v>
      </c>
      <c r="B25653" s="2" t="str">
        <f>IFERROR(__xludf.DUMMYFUNCTION("GOOGLETRANSLATE(A25653, ""de"", ""en"")"),"Ferris wheel")</f>
        <v>Ferris wheel</v>
      </c>
    </row>
    <row r="25654">
      <c r="A25654" s="1" t="s">
        <v>25653</v>
      </c>
      <c r="B25654" s="2" t="str">
        <f>IFERROR(__xludf.DUMMYFUNCTION("GOOGLETRANSLATE(A25654, ""de"", ""en"")"),"Christo")</f>
        <v>Christo</v>
      </c>
    </row>
    <row r="25655">
      <c r="A25655" s="1" t="s">
        <v>25654</v>
      </c>
      <c r="B25655" s="2" t="str">
        <f>IFERROR(__xludf.DUMMYFUNCTION("GOOGLETRANSLATE(A25655, ""de"", ""en"")"),"more polite")</f>
        <v>more polite</v>
      </c>
    </row>
    <row r="25656">
      <c r="A25656" s="1" t="s">
        <v>25655</v>
      </c>
      <c r="B25656" s="2" t="str">
        <f>IFERROR(__xludf.DUMMYFUNCTION("GOOGLETRANSLATE(A25656, ""de"", ""en"")"),"street corner")</f>
        <v>street corner</v>
      </c>
    </row>
    <row r="25657">
      <c r="A25657" s="1" t="s">
        <v>25656</v>
      </c>
      <c r="B25657" s="2" t="str">
        <f>IFERROR(__xludf.DUMMYFUNCTION("GOOGLETRANSLATE(A25657, ""de"", ""en"")"),"south side")</f>
        <v>south side</v>
      </c>
    </row>
    <row r="25658">
      <c r="A25658" s="1" t="s">
        <v>25657</v>
      </c>
      <c r="B25658" s="2" t="str">
        <f>IFERROR(__xludf.DUMMYFUNCTION("GOOGLETRANSLATE(A25658, ""de"", ""en"")"),"curious ones")</f>
        <v>curious ones</v>
      </c>
    </row>
    <row r="25659">
      <c r="A25659" s="1" t="s">
        <v>25658</v>
      </c>
      <c r="B25659" s="2" t="str">
        <f>IFERROR(__xludf.DUMMYFUNCTION("GOOGLETRANSLATE(A25659, ""de"", ""en"")"),"catheter")</f>
        <v>catheter</v>
      </c>
    </row>
    <row r="25660">
      <c r="A25660" s="1" t="s">
        <v>25659</v>
      </c>
      <c r="B25660" s="2" t="str">
        <f>IFERROR(__xludf.DUMMYFUNCTION("GOOGLETRANSLATE(A25660, ""de"", ""en"")"),"kobayashi")</f>
        <v>kobayashi</v>
      </c>
    </row>
    <row r="25661">
      <c r="A25661" s="1" t="s">
        <v>25660</v>
      </c>
      <c r="B25661" s="2" t="str">
        <f>IFERROR(__xludf.DUMMYFUNCTION("GOOGLETRANSLATE(A25661, ""de"", ""en"")"),"tandy")</f>
        <v>tandy</v>
      </c>
    </row>
    <row r="25662">
      <c r="A25662" s="1" t="s">
        <v>25661</v>
      </c>
      <c r="B25662" s="2" t="str">
        <f>IFERROR(__xludf.DUMMYFUNCTION("GOOGLETRANSLATE(A25662, ""de"", ""en"")"),"mode")</f>
        <v>mode</v>
      </c>
    </row>
    <row r="25663">
      <c r="A25663" s="1" t="s">
        <v>25662</v>
      </c>
      <c r="B25663" s="2" t="str">
        <f>IFERROR(__xludf.DUMMYFUNCTION("GOOGLETRANSLATE(A25663, ""de"", ""en"")"),"perverse")</f>
        <v>perverse</v>
      </c>
    </row>
    <row r="25664">
      <c r="A25664" s="1" t="s">
        <v>25663</v>
      </c>
      <c r="B25664" s="2" t="str">
        <f>IFERROR(__xludf.DUMMYFUNCTION("GOOGLETRANSLATE(A25664, ""de"", ""en"")"),"stabbed")</f>
        <v>stabbed</v>
      </c>
    </row>
    <row r="25665">
      <c r="A25665" s="1" t="s">
        <v>25664</v>
      </c>
      <c r="B25665" s="2" t="str">
        <f>IFERROR(__xludf.DUMMYFUNCTION("GOOGLETRANSLATE(A25665, ""de"", ""en"")"),"counterfeiter")</f>
        <v>counterfeiter</v>
      </c>
    </row>
    <row r="25666">
      <c r="A25666" s="1" t="s">
        <v>25665</v>
      </c>
      <c r="B25666" s="2" t="str">
        <f>IFERROR(__xludf.DUMMYFUNCTION("GOOGLETRANSLATE(A25666, ""de"", ""en"")"),"bigger")</f>
        <v>bigger</v>
      </c>
    </row>
    <row r="25667">
      <c r="A25667" s="1" t="s">
        <v>25666</v>
      </c>
      <c r="B25667" s="2" t="str">
        <f>IFERROR(__xludf.DUMMYFUNCTION("GOOGLETRANSLATE(A25667, ""de"", ""en"")"),"more talented")</f>
        <v>more talented</v>
      </c>
    </row>
    <row r="25668">
      <c r="A25668" s="1" t="s">
        <v>25667</v>
      </c>
      <c r="B25668" s="2" t="str">
        <f>IFERROR(__xludf.DUMMYFUNCTION("GOOGLETRANSLATE(A25668, ""de"", ""en"")"),"meteorite")</f>
        <v>meteorite</v>
      </c>
    </row>
    <row r="25669">
      <c r="A25669" s="1" t="s">
        <v>25668</v>
      </c>
      <c r="B25669" s="2" t="str">
        <f>IFERROR(__xludf.DUMMYFUNCTION("GOOGLETRANSLATE(A25669, ""de"", ""en"")"),"to perform")</f>
        <v>to perform</v>
      </c>
    </row>
    <row r="25670">
      <c r="A25670" s="1" t="s">
        <v>25669</v>
      </c>
      <c r="B25670" s="2" t="str">
        <f>IFERROR(__xludf.DUMMYFUNCTION("GOOGLETRANSLATE(A25670, ""de"", ""en"")"),"contract killer")</f>
        <v>contract killer</v>
      </c>
    </row>
    <row r="25671">
      <c r="A25671" s="1" t="s">
        <v>25670</v>
      </c>
      <c r="B25671" s="2" t="str">
        <f>IFERROR(__xludf.DUMMYFUNCTION("GOOGLETRANSLATE(A25671, ""de"", ""en"")"),"blows")</f>
        <v>blows</v>
      </c>
    </row>
    <row r="25672">
      <c r="A25672" s="1" t="s">
        <v>25671</v>
      </c>
      <c r="B25672" s="2" t="str">
        <f>IFERROR(__xludf.DUMMYFUNCTION("GOOGLETRANSLATE(A25672, ""de"", ""en"")"),"Ariane")</f>
        <v>Ariane</v>
      </c>
    </row>
    <row r="25673">
      <c r="A25673" s="1" t="s">
        <v>25672</v>
      </c>
      <c r="B25673" s="2" t="str">
        <f>IFERROR(__xludf.DUMMYFUNCTION("GOOGLETRANSLATE(A25673, ""de"", ""en"")"),"Baumann")</f>
        <v>Baumann</v>
      </c>
    </row>
    <row r="25674">
      <c r="A25674" s="1" t="s">
        <v>25673</v>
      </c>
      <c r="B25674" s="2" t="str">
        <f>IFERROR(__xludf.DUMMYFUNCTION("GOOGLETRANSLATE(A25674, ""de"", ""en"")"),"elegant")</f>
        <v>elegant</v>
      </c>
    </row>
    <row r="25675">
      <c r="A25675" s="1" t="s">
        <v>25674</v>
      </c>
      <c r="B25675" s="2" t="str">
        <f>IFERROR(__xludf.DUMMYFUNCTION("GOOGLETRANSLATE(A25675, ""de"", ""en"")"),"beenthere")</f>
        <v>beenthere</v>
      </c>
    </row>
    <row r="25676">
      <c r="A25676" s="1" t="s">
        <v>25675</v>
      </c>
      <c r="B25676" s="2" t="str">
        <f>IFERROR(__xludf.DUMMYFUNCTION("GOOGLETRANSLATE(A25676, ""de"", ""en"")"),"ulrik")</f>
        <v>ulrik</v>
      </c>
    </row>
    <row r="25677">
      <c r="A25677" s="1" t="s">
        <v>25676</v>
      </c>
      <c r="B25677" s="2" t="str">
        <f>IFERROR(__xludf.DUMMYFUNCTION("GOOGLETRANSLATE(A25677, ""de"", ""en"")"),"video recorder")</f>
        <v>video recorder</v>
      </c>
    </row>
    <row r="25678">
      <c r="A25678" s="1" t="s">
        <v>25677</v>
      </c>
      <c r="B25678" s="2" t="str">
        <f>IFERROR(__xludf.DUMMYFUNCTION("GOOGLETRANSLATE(A25678, ""de"", ""en"")"),"pubs")</f>
        <v>pubs</v>
      </c>
    </row>
    <row r="25679">
      <c r="A25679" s="1" t="s">
        <v>25678</v>
      </c>
      <c r="B25679" s="2" t="str">
        <f>IFERROR(__xludf.DUMMYFUNCTION("GOOGLETRANSLATE(A25679, ""de"", ""en"")"),"oooh")</f>
        <v>oooh</v>
      </c>
    </row>
    <row r="25680">
      <c r="A25680" s="1" t="s">
        <v>25679</v>
      </c>
      <c r="B25680" s="2" t="str">
        <f>IFERROR(__xludf.DUMMYFUNCTION("GOOGLETRANSLATE(A25680, ""de"", ""en"")"),"capua")</f>
        <v>capua</v>
      </c>
    </row>
    <row r="25681">
      <c r="A25681" s="1" t="s">
        <v>25680</v>
      </c>
      <c r="B25681" s="2" t="str">
        <f>IFERROR(__xludf.DUMMYFUNCTION("GOOGLETRANSLATE(A25681, ""de"", ""en"")"),"comfortable")</f>
        <v>comfortable</v>
      </c>
    </row>
    <row r="25682">
      <c r="A25682" s="1" t="s">
        <v>25681</v>
      </c>
      <c r="B25682" s="2" t="str">
        <f>IFERROR(__xludf.DUMMYFUNCTION("GOOGLETRANSLATE(A25682, ""de"", ""en"")"),"hierarchy")</f>
        <v>hierarchy</v>
      </c>
    </row>
    <row r="25683">
      <c r="A25683" s="1" t="s">
        <v>25682</v>
      </c>
      <c r="B25683" s="2" t="str">
        <f>IFERROR(__xludf.DUMMYFUNCTION("GOOGLETRANSLATE(A25683, ""de"", ""en"")"),"elixir")</f>
        <v>elixir</v>
      </c>
    </row>
    <row r="25684">
      <c r="A25684" s="1" t="s">
        <v>25683</v>
      </c>
      <c r="B25684" s="2" t="str">
        <f>IFERROR(__xludf.DUMMYFUNCTION("GOOGLETRANSLATE(A25684, ""de"", ""en"")"),"letty")</f>
        <v>letty</v>
      </c>
    </row>
    <row r="25685">
      <c r="A25685" s="1" t="s">
        <v>25684</v>
      </c>
      <c r="B25685" s="2" t="str">
        <f>IFERROR(__xludf.DUMMYFUNCTION("GOOGLETRANSLATE(A25685, ""de"", ""en"")"),"moves in")</f>
        <v>moves in</v>
      </c>
    </row>
    <row r="25686">
      <c r="A25686" s="1" t="s">
        <v>25685</v>
      </c>
      <c r="B25686" s="2" t="str">
        <f>IFERROR(__xludf.DUMMYFUNCTION("GOOGLETRANSLATE(A25686, ""de"", ""en"")"),"senior partner")</f>
        <v>senior partner</v>
      </c>
    </row>
    <row r="25687">
      <c r="A25687" s="1" t="s">
        <v>25686</v>
      </c>
      <c r="B25687" s="2" t="str">
        <f>IFERROR(__xludf.DUMMYFUNCTION("GOOGLETRANSLATE(A25687, ""de"", ""en"")"),"detour")</f>
        <v>detour</v>
      </c>
    </row>
    <row r="25688">
      <c r="A25688" s="1" t="s">
        <v>25687</v>
      </c>
      <c r="B25688" s="2" t="str">
        <f>IFERROR(__xludf.DUMMYFUNCTION("GOOGLETRANSLATE(A25688, ""de"", ""en"")"),"book")</f>
        <v>book</v>
      </c>
    </row>
    <row r="25689">
      <c r="A25689" s="1" t="s">
        <v>25688</v>
      </c>
      <c r="B25689" s="2" t="str">
        <f>IFERROR(__xludf.DUMMYFUNCTION("GOOGLETRANSLATE(A25689, ""de"", ""en"")"),"do")</f>
        <v>do</v>
      </c>
    </row>
    <row r="25690">
      <c r="A25690" s="1" t="s">
        <v>25689</v>
      </c>
      <c r="B25690" s="2" t="str">
        <f>IFERROR(__xludf.DUMMYFUNCTION("GOOGLETRANSLATE(A25690, ""de"", ""en"")"),"responsible")</f>
        <v>responsible</v>
      </c>
    </row>
    <row r="25691">
      <c r="A25691" s="1" t="s">
        <v>25690</v>
      </c>
      <c r="B25691" s="2" t="str">
        <f>IFERROR(__xludf.DUMMYFUNCTION("GOOGLETRANSLATE(A25691, ""de"", ""en"")"),"trample")</f>
        <v>trample</v>
      </c>
    </row>
    <row r="25692">
      <c r="A25692" s="1" t="s">
        <v>25691</v>
      </c>
      <c r="B25692" s="2" t="str">
        <f>IFERROR(__xludf.DUMMYFUNCTION("GOOGLETRANSLATE(A25692, ""de"", ""en"")"),"paradox")</f>
        <v>paradox</v>
      </c>
    </row>
    <row r="25693">
      <c r="A25693" s="1" t="s">
        <v>25692</v>
      </c>
      <c r="B25693" s="2" t="str">
        <f>IFERROR(__xludf.DUMMYFUNCTION("GOOGLETRANSLATE(A25693, ""de"", ""en"")"),"tight")</f>
        <v>tight</v>
      </c>
    </row>
    <row r="25694">
      <c r="A25694" s="1" t="s">
        <v>25693</v>
      </c>
      <c r="B25694" s="2" t="str">
        <f>IFERROR(__xludf.DUMMYFUNCTION("GOOGLETRANSLATE(A25694, ""de"", ""en"")"),"maynard")</f>
        <v>maynard</v>
      </c>
    </row>
    <row r="25695">
      <c r="A25695" s="1" t="s">
        <v>25694</v>
      </c>
      <c r="B25695" s="2" t="str">
        <f>IFERROR(__xludf.DUMMYFUNCTION("GOOGLETRANSLATE(A25695, ""de"", ""en"")"),"ch33fa33")</f>
        <v>ch33fa33</v>
      </c>
    </row>
    <row r="25696">
      <c r="A25696" s="1" t="s">
        <v>25695</v>
      </c>
      <c r="B25696" s="2" t="str">
        <f>IFERROR(__xludf.DUMMYFUNCTION("GOOGLETRANSLATE(A25696, ""de"", ""en"")"),"pepperoni")</f>
        <v>pepperoni</v>
      </c>
    </row>
    <row r="25697">
      <c r="A25697" s="1" t="s">
        <v>25696</v>
      </c>
      <c r="B25697" s="2" t="str">
        <f>IFERROR(__xludf.DUMMYFUNCTION("GOOGLETRANSLATE(A25697, ""de"", ""en"")"),"Gospel")</f>
        <v>Gospel</v>
      </c>
    </row>
    <row r="25698">
      <c r="A25698" s="1" t="s">
        <v>25697</v>
      </c>
      <c r="B25698" s="2" t="str">
        <f>IFERROR(__xludf.DUMMYFUNCTION("GOOGLETRANSLATE(A25698, ""de"", ""en"")"),"profound")</f>
        <v>profound</v>
      </c>
    </row>
    <row r="25699">
      <c r="A25699" s="1" t="s">
        <v>25698</v>
      </c>
      <c r="B25699" s="2" t="str">
        <f>IFERROR(__xludf.DUMMYFUNCTION("GOOGLETRANSLATE(A25699, ""de"", ""en"")"),"francie")</f>
        <v>francie</v>
      </c>
    </row>
    <row r="25700">
      <c r="A25700" s="1" t="s">
        <v>25699</v>
      </c>
      <c r="B25700" s="2" t="str">
        <f>IFERROR(__xludf.DUMMYFUNCTION("GOOGLETRANSLATE(A25700, ""de"", ""en"")"),"Colombian")</f>
        <v>Colombian</v>
      </c>
    </row>
    <row r="25701">
      <c r="A25701" s="1" t="s">
        <v>25700</v>
      </c>
      <c r="B25701" s="2" t="str">
        <f>IFERROR(__xludf.DUMMYFUNCTION("GOOGLETRANSLATE(A25701, ""de"", ""en"")"),"guillotine")</f>
        <v>guillotine</v>
      </c>
    </row>
    <row r="25702">
      <c r="A25702" s="1" t="s">
        <v>25701</v>
      </c>
      <c r="B25702" s="2" t="str">
        <f>IFERROR(__xludf.DUMMYFUNCTION("GOOGLETRANSLATE(A25702, ""de"", ""en"")"),"branded")</f>
        <v>branded</v>
      </c>
    </row>
    <row r="25703">
      <c r="A25703" s="1" t="s">
        <v>25702</v>
      </c>
      <c r="B25703" s="2" t="str">
        <f>IFERROR(__xludf.DUMMYFUNCTION("GOOGLETRANSLATE(A25703, ""de"", ""en"")"),"edit")</f>
        <v>edit</v>
      </c>
    </row>
    <row r="25704">
      <c r="A25704" s="1" t="s">
        <v>25703</v>
      </c>
      <c r="B25704" s="2" t="str">
        <f>IFERROR(__xludf.DUMMYFUNCTION("GOOGLETRANSLATE(A25704, ""de"", ""en"")"),"Elena")</f>
        <v>Elena</v>
      </c>
    </row>
    <row r="25705">
      <c r="A25705" s="1" t="s">
        <v>25704</v>
      </c>
      <c r="B25705" s="2" t="str">
        <f>IFERROR(__xludf.DUMMYFUNCTION("GOOGLETRANSLATE(A25705, ""de"", ""en"")"),"houseboat")</f>
        <v>houseboat</v>
      </c>
    </row>
    <row r="25706">
      <c r="A25706" s="1" t="s">
        <v>25705</v>
      </c>
      <c r="B25706" s="2" t="str">
        <f>IFERROR(__xludf.DUMMYFUNCTION("GOOGLETRANSLATE(A25706, ""de"", ""en"")"),"Renault")</f>
        <v>Renault</v>
      </c>
    </row>
    <row r="25707">
      <c r="A25707" s="1" t="s">
        <v>25706</v>
      </c>
      <c r="B25707" s="2" t="str">
        <f>IFERROR(__xludf.DUMMYFUNCTION("GOOGLETRANSLATE(A25707, ""de"", ""en"")"),"symbiont")</f>
        <v>symbiont</v>
      </c>
    </row>
    <row r="25708">
      <c r="A25708" s="1" t="s">
        <v>25707</v>
      </c>
      <c r="B25708" s="2" t="str">
        <f>IFERROR(__xludf.DUMMYFUNCTION("GOOGLETRANSLATE(A25708, ""de"", ""en"")"),"ter")</f>
        <v>ter</v>
      </c>
    </row>
    <row r="25709">
      <c r="A25709" s="1" t="s">
        <v>25708</v>
      </c>
      <c r="B25709" s="2" t="str">
        <f>IFERROR(__xludf.DUMMYFUNCTION("GOOGLETRANSLATE(A25709, ""de"", ""en"")"),"life expectancy")</f>
        <v>life expectancy</v>
      </c>
    </row>
    <row r="25710">
      <c r="A25710" s="1" t="s">
        <v>25709</v>
      </c>
      <c r="B25710" s="2" t="str">
        <f>IFERROR(__xludf.DUMMYFUNCTION("GOOGLETRANSLATE(A25710, ""de"", ""en"")"),"hua")</f>
        <v>hua</v>
      </c>
    </row>
    <row r="25711">
      <c r="A25711" s="1" t="s">
        <v>25710</v>
      </c>
      <c r="B25711" s="2" t="str">
        <f>IFERROR(__xludf.DUMMYFUNCTION("GOOGLETRANSLATE(A25711, ""de"", ""en"")"),"increased")</f>
        <v>increased</v>
      </c>
    </row>
    <row r="25712">
      <c r="A25712" s="1" t="s">
        <v>25711</v>
      </c>
      <c r="B25712" s="2" t="str">
        <f>IFERROR(__xludf.DUMMYFUNCTION("GOOGLETRANSLATE(A25712, ""de"", ""en"")"),"gambling debts")</f>
        <v>gambling debts</v>
      </c>
    </row>
    <row r="25713">
      <c r="A25713" s="1" t="s">
        <v>25712</v>
      </c>
      <c r="B25713" s="2" t="str">
        <f>IFERROR(__xludf.DUMMYFUNCTION("GOOGLETRANSLATE(A25713, ""de"", ""en"")"),"piccolo")</f>
        <v>piccolo</v>
      </c>
    </row>
    <row r="25714">
      <c r="A25714" s="1" t="s">
        <v>25713</v>
      </c>
      <c r="B25714" s="2" t="str">
        <f>IFERROR(__xludf.DUMMYFUNCTION("GOOGLETRANSLATE(A25714, ""de"", ""en"")"),"espheni")</f>
        <v>espheni</v>
      </c>
    </row>
    <row r="25715">
      <c r="A25715" s="1" t="s">
        <v>25714</v>
      </c>
      <c r="B25715" s="2" t="str">
        <f>IFERROR(__xludf.DUMMYFUNCTION("GOOGLETRANSLATE(A25715, ""de"", ""en"")"),"atypical")</f>
        <v>atypical</v>
      </c>
    </row>
    <row r="25716">
      <c r="A25716" s="1" t="s">
        <v>25715</v>
      </c>
      <c r="B25716" s="2" t="str">
        <f>IFERROR(__xludf.DUMMYFUNCTION("GOOGLETRANSLATE(A25716, ""de"", ""en"")"),"cardboard")</f>
        <v>cardboard</v>
      </c>
    </row>
    <row r="25717">
      <c r="A25717" s="1" t="s">
        <v>25716</v>
      </c>
      <c r="B25717" s="2" t="str">
        <f>IFERROR(__xludf.DUMMYFUNCTION("GOOGLETRANSLATE(A25717, ""de"", ""en"")"),"Sure")</f>
        <v>Sure</v>
      </c>
    </row>
    <row r="25718">
      <c r="A25718" s="1" t="s">
        <v>25717</v>
      </c>
      <c r="B25718" s="2" t="str">
        <f>IFERROR(__xludf.DUMMYFUNCTION("GOOGLETRANSLATE(A25718, ""de"", ""en"")"),"kick")</f>
        <v>kick</v>
      </c>
    </row>
    <row r="25719">
      <c r="A25719" s="1" t="s">
        <v>25718</v>
      </c>
      <c r="B25719" s="2" t="str">
        <f>IFERROR(__xludf.DUMMYFUNCTION("GOOGLETRANSLATE(A25719, ""de"", ""en"")"),"record")</f>
        <v>record</v>
      </c>
    </row>
    <row r="25720">
      <c r="A25720" s="1" t="s">
        <v>25719</v>
      </c>
      <c r="B25720" s="2" t="str">
        <f>IFERROR(__xludf.DUMMYFUNCTION("GOOGLETRANSLATE(A25720, ""de"", ""en"")"),"nuisance")</f>
        <v>nuisance</v>
      </c>
    </row>
    <row r="25721">
      <c r="A25721" s="1" t="s">
        <v>25720</v>
      </c>
      <c r="B25721" s="2" t="str">
        <f>IFERROR(__xludf.DUMMYFUNCTION("GOOGLETRANSLATE(A25721, ""de"", ""en"")"),"storm")</f>
        <v>storm</v>
      </c>
    </row>
    <row r="25722">
      <c r="A25722" s="1" t="s">
        <v>25721</v>
      </c>
      <c r="B25722" s="2" t="str">
        <f>IFERROR(__xludf.DUMMYFUNCTION("GOOGLETRANSLATE(A25722, ""de"", ""en"")"),"given")</f>
        <v>given</v>
      </c>
    </row>
    <row r="25723">
      <c r="A25723" s="1" t="s">
        <v>25722</v>
      </c>
      <c r="B25723" s="2" t="str">
        <f>IFERROR(__xludf.DUMMYFUNCTION("GOOGLETRANSLATE(A25723, ""de"", ""en"")"),"reforms")</f>
        <v>reforms</v>
      </c>
    </row>
    <row r="25724">
      <c r="A25724" s="1" t="s">
        <v>25723</v>
      </c>
      <c r="B25724" s="2" t="str">
        <f>IFERROR(__xludf.DUMMYFUNCTION("GOOGLETRANSLATE(A25724, ""de"", ""en"")"),"co.")</f>
        <v>co.</v>
      </c>
    </row>
    <row r="25725">
      <c r="A25725" s="1" t="s">
        <v>25724</v>
      </c>
      <c r="B25725" s="2" t="str">
        <f>IFERROR(__xludf.DUMMYFUNCTION("GOOGLETRANSLATE(A25725, ""de"", ""en"")"),"frozen")</f>
        <v>frozen</v>
      </c>
    </row>
    <row r="25726">
      <c r="A25726" s="1" t="s">
        <v>25725</v>
      </c>
      <c r="B25726" s="2" t="str">
        <f>IFERROR(__xludf.DUMMYFUNCTION("GOOGLETRANSLATE(A25726, ""de"", ""en"")"),"detailed")</f>
        <v>detailed</v>
      </c>
    </row>
    <row r="25727">
      <c r="A25727" s="1" t="s">
        <v>25726</v>
      </c>
      <c r="B25727" s="2" t="str">
        <f>IFERROR(__xludf.DUMMYFUNCTION("GOOGLETRANSLATE(A25727, ""de"", ""en"")"),"to allow")</f>
        <v>to allow</v>
      </c>
    </row>
    <row r="25728">
      <c r="A25728" s="1" t="s">
        <v>25727</v>
      </c>
      <c r="B25728" s="2" t="str">
        <f>IFERROR(__xludf.DUMMYFUNCTION("GOOGLETRANSLATE(A25728, ""de"", ""en"")"),"lenin")</f>
        <v>lenin</v>
      </c>
    </row>
    <row r="25729">
      <c r="A25729" s="1" t="s">
        <v>25728</v>
      </c>
      <c r="B25729" s="2" t="str">
        <f>IFERROR(__xludf.DUMMYFUNCTION("GOOGLETRANSLATE(A25729, ""de"", ""en"")"),"Genghis")</f>
        <v>Genghis</v>
      </c>
    </row>
    <row r="25730">
      <c r="A25730" s="1" t="s">
        <v>25729</v>
      </c>
      <c r="B25730" s="2" t="str">
        <f>IFERROR(__xludf.DUMMYFUNCTION("GOOGLETRANSLATE(A25730, ""de"", ""en"")"),"dimple")</f>
        <v>dimple</v>
      </c>
    </row>
    <row r="25731">
      <c r="A25731" s="1" t="s">
        <v>25730</v>
      </c>
      <c r="B25731" s="2" t="str">
        <f>IFERROR(__xludf.DUMMYFUNCTION("GOOGLETRANSLATE(A25731, ""de"", ""en"")"),"baird")</f>
        <v>baird</v>
      </c>
    </row>
    <row r="25732">
      <c r="A25732" s="1" t="s">
        <v>25731</v>
      </c>
      <c r="B25732" s="2" t="str">
        <f>IFERROR(__xludf.DUMMYFUNCTION("GOOGLETRANSLATE(A25732, ""de"", ""en"")"),"enrolled")</f>
        <v>enrolled</v>
      </c>
    </row>
    <row r="25733">
      <c r="A25733" s="1" t="s">
        <v>25732</v>
      </c>
      <c r="B25733" s="2" t="str">
        <f>IFERROR(__xludf.DUMMYFUNCTION("GOOGLETRANSLATE(A25733, ""de"", ""en"")"),"fixed")</f>
        <v>fixed</v>
      </c>
    </row>
    <row r="25734">
      <c r="A25734" s="1" t="s">
        <v>25733</v>
      </c>
      <c r="B25734" s="2" t="str">
        <f>IFERROR(__xludf.DUMMYFUNCTION("GOOGLETRANSLATE(A25734, ""de"", ""en"")"),"roofs")</f>
        <v>roofs</v>
      </c>
    </row>
    <row r="25735">
      <c r="A25735" s="1" t="s">
        <v>25734</v>
      </c>
      <c r="B25735" s="2" t="str">
        <f>IFERROR(__xludf.DUMMYFUNCTION("GOOGLETRANSLATE(A25735, ""de"", ""en"")"),"warehouse")</f>
        <v>warehouse</v>
      </c>
    </row>
    <row r="25736">
      <c r="A25736" s="1" t="s">
        <v>25735</v>
      </c>
      <c r="B25736" s="2" t="str">
        <f>IFERROR(__xludf.DUMMYFUNCTION("GOOGLETRANSLATE(A25736, ""de"", ""en"")"),"tricky")</f>
        <v>tricky</v>
      </c>
    </row>
    <row r="25737">
      <c r="A25737" s="1" t="s">
        <v>25736</v>
      </c>
      <c r="B25737" s="2" t="str">
        <f>IFERROR(__xludf.DUMMYFUNCTION("GOOGLETRANSLATE(A25737, ""de"", ""en"")"),"goalkeeper")</f>
        <v>goalkeeper</v>
      </c>
    </row>
    <row r="25738">
      <c r="A25738" s="1" t="s">
        <v>25737</v>
      </c>
      <c r="B25738" s="2" t="str">
        <f>IFERROR(__xludf.DUMMYFUNCTION("GOOGLETRANSLATE(A25738, ""de"", ""en"")"),"artists")</f>
        <v>artists</v>
      </c>
    </row>
    <row r="25739">
      <c r="A25739" s="1" t="s">
        <v>25738</v>
      </c>
      <c r="B25739" s="2" t="str">
        <f>IFERROR(__xludf.DUMMYFUNCTION("GOOGLETRANSLATE(A25739, ""de"", ""en"")"),"maguire")</f>
        <v>maguire</v>
      </c>
    </row>
    <row r="25740">
      <c r="A25740" s="1" t="s">
        <v>25739</v>
      </c>
      <c r="B25740" s="2" t="str">
        <f>IFERROR(__xludf.DUMMYFUNCTION("GOOGLETRANSLATE(A25740, ""de"", ""en"")"),"jelly")</f>
        <v>jelly</v>
      </c>
    </row>
    <row r="25741">
      <c r="A25741" s="1" t="s">
        <v>25740</v>
      </c>
      <c r="B25741" s="2" t="str">
        <f>IFERROR(__xludf.DUMMYFUNCTION("GOOGLETRANSLATE(A25741, ""de"", ""en"")"),"agree")</f>
        <v>agree</v>
      </c>
    </row>
    <row r="25742">
      <c r="A25742" s="1" t="s">
        <v>25741</v>
      </c>
      <c r="B25742" s="2" t="str">
        <f>IFERROR(__xludf.DUMMYFUNCTION("GOOGLETRANSLATE(A25742, ""de"", ""en"")"),"smellier")</f>
        <v>smellier</v>
      </c>
    </row>
    <row r="25743">
      <c r="A25743" s="1" t="s">
        <v>25742</v>
      </c>
      <c r="B25743" s="2" t="str">
        <f>IFERROR(__xludf.DUMMYFUNCTION("GOOGLETRANSLATE(A25743, ""de"", ""en"")"),"winger")</f>
        <v>winger</v>
      </c>
    </row>
    <row r="25744">
      <c r="A25744" s="1" t="s">
        <v>25743</v>
      </c>
      <c r="B25744" s="2" t="str">
        <f>IFERROR(__xludf.DUMMYFUNCTION("GOOGLETRANSLATE(A25744, ""de"", ""en"")"),"braids")</f>
        <v>braids</v>
      </c>
    </row>
    <row r="25745">
      <c r="A25745" s="1" t="s">
        <v>25744</v>
      </c>
      <c r="B25745" s="2" t="str">
        <f>IFERROR(__xludf.DUMMYFUNCTION("GOOGLETRANSLATE(A25745, ""de"", ""en"")"),"question")</f>
        <v>question</v>
      </c>
    </row>
    <row r="25746">
      <c r="A25746" s="1" t="s">
        <v>25745</v>
      </c>
      <c r="B25746" s="2" t="str">
        <f>IFERROR(__xludf.DUMMYFUNCTION("GOOGLETRANSLATE(A25746, ""de"", ""en"")"),"Kingston")</f>
        <v>Kingston</v>
      </c>
    </row>
    <row r="25747">
      <c r="A25747" s="1" t="s">
        <v>25746</v>
      </c>
      <c r="B25747" s="2" t="str">
        <f>IFERROR(__xludf.DUMMYFUNCTION("GOOGLETRANSLATE(A25747, ""de"", ""en"")"),"bloodline")</f>
        <v>bloodline</v>
      </c>
    </row>
    <row r="25748">
      <c r="A25748" s="1" t="s">
        <v>25747</v>
      </c>
      <c r="B25748" s="2" t="str">
        <f>IFERROR(__xludf.DUMMYFUNCTION("GOOGLETRANSLATE(A25748, ""de"", ""en"")"),"bobs")</f>
        <v>bobs</v>
      </c>
    </row>
    <row r="25749">
      <c r="A25749" s="1" t="s">
        <v>25748</v>
      </c>
      <c r="B25749" s="2" t="str">
        <f>IFERROR(__xludf.DUMMYFUNCTION("GOOGLETRANSLATE(A25749, ""de"", ""en"")"),"barneys")</f>
        <v>barneys</v>
      </c>
    </row>
    <row r="25750">
      <c r="A25750" s="1" t="s">
        <v>25749</v>
      </c>
      <c r="B25750" s="2" t="str">
        <f>IFERROR(__xludf.DUMMYFUNCTION("GOOGLETRANSLATE(A25750, ""de"", ""en"")"),"broadcast")</f>
        <v>broadcast</v>
      </c>
    </row>
    <row r="25751">
      <c r="A25751" s="1" t="s">
        <v>25750</v>
      </c>
      <c r="B25751" s="2" t="str">
        <f>IFERROR(__xludf.DUMMYFUNCTION("GOOGLETRANSLATE(A25751, ""de"", ""en"")"),"undetected")</f>
        <v>undetected</v>
      </c>
    </row>
    <row r="25752">
      <c r="A25752" s="1" t="s">
        <v>25751</v>
      </c>
      <c r="B25752" s="2" t="str">
        <f>IFERROR(__xludf.DUMMYFUNCTION("GOOGLETRANSLATE(A25752, ""de"", ""en"")"),"confesses")</f>
        <v>confesses</v>
      </c>
    </row>
    <row r="25753">
      <c r="A25753" s="1" t="s">
        <v>25752</v>
      </c>
      <c r="B25753" s="2" t="str">
        <f>IFERROR(__xludf.DUMMYFUNCTION("GOOGLETRANSLATE(A25753, ""de"", ""en"")"),"officer")</f>
        <v>officer</v>
      </c>
    </row>
    <row r="25754">
      <c r="A25754" s="1" t="s">
        <v>25753</v>
      </c>
      <c r="B25754" s="2" t="str">
        <f>IFERROR(__xludf.DUMMYFUNCTION("GOOGLETRANSLATE(A25754, ""de"", ""en"")"),"Norrie")</f>
        <v>Norrie</v>
      </c>
    </row>
    <row r="25755">
      <c r="A25755" s="1" t="s">
        <v>25754</v>
      </c>
      <c r="B25755" s="2" t="str">
        <f>IFERROR(__xludf.DUMMYFUNCTION("GOOGLETRANSLATE(A25755, ""de"", ""en"")"),"commanded")</f>
        <v>commanded</v>
      </c>
    </row>
    <row r="25756">
      <c r="A25756" s="1" t="s">
        <v>25755</v>
      </c>
      <c r="B25756" s="2" t="str">
        <f>IFERROR(__xludf.DUMMYFUNCTION("GOOGLETRANSLATE(A25756, ""de"", ""en"")"),"imaginary")</f>
        <v>imaginary</v>
      </c>
    </row>
    <row r="25757">
      <c r="A25757" s="1" t="s">
        <v>25756</v>
      </c>
      <c r="B25757" s="2" t="str">
        <f>IFERROR(__xludf.DUMMYFUNCTION("GOOGLETRANSLATE(A25757, ""de"", ""en"")"),"look")</f>
        <v>look</v>
      </c>
    </row>
    <row r="25758">
      <c r="A25758" s="1" t="s">
        <v>25757</v>
      </c>
      <c r="B25758" s="2" t="str">
        <f>IFERROR(__xludf.DUMMYFUNCTION("GOOGLETRANSLATE(A25758, ""de"", ""en"")"),"flushing")</f>
        <v>flushing</v>
      </c>
    </row>
    <row r="25759">
      <c r="A25759" s="1" t="s">
        <v>25758</v>
      </c>
      <c r="B25759" s="2" t="str">
        <f>IFERROR(__xludf.DUMMYFUNCTION("GOOGLETRANSLATE(A25759, ""de"", ""en"")"),"to repay")</f>
        <v>to repay</v>
      </c>
    </row>
    <row r="25760">
      <c r="A25760" s="1" t="s">
        <v>25759</v>
      </c>
      <c r="B25760" s="2" t="str">
        <f>IFERROR(__xludf.DUMMYFUNCTION("GOOGLETRANSLATE(A25760, ""de"", ""en"")"),"unfounded")</f>
        <v>unfounded</v>
      </c>
    </row>
    <row r="25761">
      <c r="A25761" s="1" t="s">
        <v>25760</v>
      </c>
      <c r="B25761" s="2" t="str">
        <f>IFERROR(__xludf.DUMMYFUNCTION("GOOGLETRANSLATE(A25761, ""de"", ""en"")"),"hippopotamus")</f>
        <v>hippopotamus</v>
      </c>
    </row>
    <row r="25762">
      <c r="A25762" s="1" t="s">
        <v>25761</v>
      </c>
      <c r="B25762" s="2" t="str">
        <f>IFERROR(__xludf.DUMMYFUNCTION("GOOGLETRANSLATE(A25762, ""de"", ""en"")"),"civilized")</f>
        <v>civilized</v>
      </c>
    </row>
    <row r="25763">
      <c r="A25763" s="1" t="s">
        <v>25762</v>
      </c>
      <c r="B25763" s="2" t="str">
        <f>IFERROR(__xludf.DUMMYFUNCTION("GOOGLETRANSLATE(A25763, ""de"", ""en"")"),"past")</f>
        <v>past</v>
      </c>
    </row>
    <row r="25764">
      <c r="A25764" s="1" t="s">
        <v>25763</v>
      </c>
      <c r="B25764" s="2" t="str">
        <f>IFERROR(__xludf.DUMMYFUNCTION("GOOGLETRANSLATE(A25764, ""de"", ""en"")"),"extraordinary")</f>
        <v>extraordinary</v>
      </c>
    </row>
    <row r="25765">
      <c r="A25765" s="1" t="s">
        <v>25764</v>
      </c>
      <c r="B25765" s="2" t="str">
        <f>IFERROR(__xludf.DUMMYFUNCTION("GOOGLETRANSLATE(A25765, ""de"", ""en"")"),"single people")</f>
        <v>single people</v>
      </c>
    </row>
    <row r="25766">
      <c r="A25766" s="1" t="s">
        <v>25765</v>
      </c>
      <c r="B25766" s="2" t="str">
        <f>IFERROR(__xludf.DUMMYFUNCTION("GOOGLETRANSLATE(A25766, ""de"", ""en"")"),"spirited")</f>
        <v>spirited</v>
      </c>
    </row>
    <row r="25767">
      <c r="A25767" s="1" t="s">
        <v>25766</v>
      </c>
      <c r="B25767" s="2" t="str">
        <f>IFERROR(__xludf.DUMMYFUNCTION("GOOGLETRANSLATE(A25767, ""de"", ""en"")"),"sensitive")</f>
        <v>sensitive</v>
      </c>
    </row>
    <row r="25768">
      <c r="A25768" s="1" t="s">
        <v>25767</v>
      </c>
      <c r="B25768" s="2" t="str">
        <f>IFERROR(__xludf.DUMMYFUNCTION("GOOGLETRANSLATE(A25768, ""de"", ""en"")"),"simplify")</f>
        <v>simplify</v>
      </c>
    </row>
    <row r="25769">
      <c r="A25769" s="1" t="s">
        <v>25768</v>
      </c>
      <c r="B25769" s="2" t="str">
        <f>IFERROR(__xludf.DUMMYFUNCTION("GOOGLETRANSLATE(A25769, ""de"", ""en"")"),"upgrade")</f>
        <v>upgrade</v>
      </c>
    </row>
    <row r="25770">
      <c r="A25770" s="1" t="s">
        <v>25769</v>
      </c>
      <c r="B25770" s="2" t="str">
        <f>IFERROR(__xludf.DUMMYFUNCTION("GOOGLETRANSLATE(A25770, ""de"", ""en"")"),"morpheus")</f>
        <v>morpheus</v>
      </c>
    </row>
    <row r="25771">
      <c r="A25771" s="1" t="s">
        <v>25770</v>
      </c>
      <c r="B25771" s="2" t="str">
        <f>IFERROR(__xludf.DUMMYFUNCTION("GOOGLETRANSLATE(A25771, ""de"", ""en"")"),"numerous")</f>
        <v>numerous</v>
      </c>
    </row>
    <row r="25772">
      <c r="A25772" s="1" t="s">
        <v>25771</v>
      </c>
      <c r="B25772" s="2" t="str">
        <f>IFERROR(__xludf.DUMMYFUNCTION("GOOGLETRANSLATE(A25772, ""de"", ""en"")"),"chef")</f>
        <v>chef</v>
      </c>
    </row>
    <row r="25773">
      <c r="A25773" s="1" t="s">
        <v>25772</v>
      </c>
      <c r="B25773" s="2" t="str">
        <f>IFERROR(__xludf.DUMMYFUNCTION("GOOGLETRANSLATE(A25773, ""de"", ""en"")"),"violins")</f>
        <v>violins</v>
      </c>
    </row>
    <row r="25774">
      <c r="A25774" s="1" t="s">
        <v>25773</v>
      </c>
      <c r="B25774" s="2" t="str">
        <f>IFERROR(__xludf.DUMMYFUNCTION("GOOGLETRANSLATE(A25774, ""de"", ""en"")"),"outside")</f>
        <v>outside</v>
      </c>
    </row>
    <row r="25775">
      <c r="A25775" s="1" t="s">
        <v>25774</v>
      </c>
      <c r="B25775" s="2" t="str">
        <f>IFERROR(__xludf.DUMMYFUNCTION("GOOGLETRANSLATE(A25775, ""de"", ""en"")"),"internal")</f>
        <v>internal</v>
      </c>
    </row>
    <row r="25776">
      <c r="A25776" s="1" t="s">
        <v>25775</v>
      </c>
      <c r="B25776" s="2" t="str">
        <f>IFERROR(__xludf.DUMMYFUNCTION("GOOGLETRANSLATE(A25776, ""de"", ""en"")"),"disgrace")</f>
        <v>disgrace</v>
      </c>
    </row>
    <row r="25777">
      <c r="A25777" s="1" t="s">
        <v>25776</v>
      </c>
      <c r="B25777" s="2" t="str">
        <f>IFERROR(__xludf.DUMMYFUNCTION("GOOGLETRANSLATE(A25777, ""de"", ""en"")"),"reserved")</f>
        <v>reserved</v>
      </c>
    </row>
    <row r="25778">
      <c r="A25778" s="1" t="s">
        <v>25777</v>
      </c>
      <c r="B25778" s="2" t="str">
        <f>IFERROR(__xludf.DUMMYFUNCTION("GOOGLETRANSLATE(A25778, ""de"", ""en"")"),"inflation")</f>
        <v>inflation</v>
      </c>
    </row>
    <row r="25779">
      <c r="A25779" s="1" t="s">
        <v>25778</v>
      </c>
      <c r="B25779" s="2" t="str">
        <f>IFERROR(__xludf.DUMMYFUNCTION("GOOGLETRANSLATE(A25779, ""de"", ""en"")"),"feud")</f>
        <v>feud</v>
      </c>
    </row>
    <row r="25780">
      <c r="A25780" s="1" t="s">
        <v>25779</v>
      </c>
      <c r="B25780" s="2" t="str">
        <f>IFERROR(__xludf.DUMMYFUNCTION("GOOGLETRANSLATE(A25780, ""de"", ""en"")"),"stepdaughter")</f>
        <v>stepdaughter</v>
      </c>
    </row>
    <row r="25781">
      <c r="A25781" s="1" t="s">
        <v>25780</v>
      </c>
      <c r="B25781" s="2" t="str">
        <f>IFERROR(__xludf.DUMMYFUNCTION("GOOGLETRANSLATE(A25781, ""de"", ""en"")"),"Hussein")</f>
        <v>Hussein</v>
      </c>
    </row>
    <row r="25782">
      <c r="A25782" s="1" t="s">
        <v>25781</v>
      </c>
      <c r="B25782" s="2" t="str">
        <f>IFERROR(__xludf.DUMMYFUNCTION("GOOGLETRANSLATE(A25782, ""de"", ""en"")"),"whispered")</f>
        <v>whispered</v>
      </c>
    </row>
    <row r="25783">
      <c r="A25783" s="1" t="s">
        <v>25782</v>
      </c>
      <c r="B25783" s="2" t="str">
        <f>IFERROR(__xludf.DUMMYFUNCTION("GOOGLETRANSLATE(A25783, ""de"", ""en"")"),"protected")</f>
        <v>protected</v>
      </c>
    </row>
    <row r="25784">
      <c r="A25784" s="1" t="s">
        <v>25783</v>
      </c>
      <c r="B25784" s="2" t="str">
        <f>IFERROR(__xludf.DUMMYFUNCTION("GOOGLETRANSLATE(A25784, ""de"", ""en"")"),"pelt")</f>
        <v>pelt</v>
      </c>
    </row>
    <row r="25785">
      <c r="A25785" s="1" t="s">
        <v>25784</v>
      </c>
      <c r="B25785" s="2" t="str">
        <f>IFERROR(__xludf.DUMMYFUNCTION("GOOGLETRANSLATE(A25785, ""de"", ""en"")"),"award")</f>
        <v>award</v>
      </c>
    </row>
    <row r="25786">
      <c r="A25786" s="1" t="s">
        <v>25785</v>
      </c>
      <c r="B25786" s="2" t="str">
        <f>IFERROR(__xludf.DUMMYFUNCTION("GOOGLETRANSLATE(A25786, ""de"", ""en"")"),"racing car")</f>
        <v>racing car</v>
      </c>
    </row>
    <row r="25787">
      <c r="A25787" s="1" t="s">
        <v>25786</v>
      </c>
      <c r="B25787" s="2" t="str">
        <f>IFERROR(__xludf.DUMMYFUNCTION("GOOGLETRANSLATE(A25787, ""de"", ""en"")"),"anke")</f>
        <v>anke</v>
      </c>
    </row>
    <row r="25788">
      <c r="A25788" s="1" t="s">
        <v>25787</v>
      </c>
      <c r="B25788" s="2" t="str">
        <f>IFERROR(__xludf.DUMMYFUNCTION("GOOGLETRANSLATE(A25788, ""de"", ""en"")"),"liked")</f>
        <v>liked</v>
      </c>
    </row>
    <row r="25789">
      <c r="A25789" s="1" t="s">
        <v>25788</v>
      </c>
      <c r="B25789" s="2" t="str">
        <f>IFERROR(__xludf.DUMMYFUNCTION("GOOGLETRANSLATE(A25789, ""de"", ""en"")"),"finest")</f>
        <v>finest</v>
      </c>
    </row>
    <row r="25790">
      <c r="A25790" s="1" t="s">
        <v>25789</v>
      </c>
      <c r="B25790" s="2" t="str">
        <f>IFERROR(__xludf.DUMMYFUNCTION("GOOGLETRANSLATE(A25790, ""de"", ""en"")"),"forced")</f>
        <v>forced</v>
      </c>
    </row>
    <row r="25791">
      <c r="A25791" s="1" t="s">
        <v>25790</v>
      </c>
      <c r="B25791" s="2" t="str">
        <f>IFERROR(__xludf.DUMMYFUNCTION("GOOGLETRANSLATE(A25791, ""de"", ""en"")"),"holds together")</f>
        <v>holds together</v>
      </c>
    </row>
    <row r="25792">
      <c r="A25792" s="1" t="s">
        <v>25791</v>
      </c>
      <c r="B25792" s="2" t="str">
        <f>IFERROR(__xludf.DUMMYFUNCTION("GOOGLETRANSLATE(A25792, ""de"", ""en"")"),"securities")</f>
        <v>securities</v>
      </c>
    </row>
    <row r="25793">
      <c r="A25793" s="1" t="s">
        <v>25792</v>
      </c>
      <c r="B25793" s="2" t="str">
        <f>IFERROR(__xludf.DUMMYFUNCTION("GOOGLETRANSLATE(A25793, ""de"", ""en"")"),"shepherds")</f>
        <v>shepherds</v>
      </c>
    </row>
    <row r="25794">
      <c r="A25794" s="1" t="s">
        <v>25793</v>
      </c>
      <c r="B25794" s="2" t="str">
        <f>IFERROR(__xludf.DUMMYFUNCTION("GOOGLETRANSLATE(A25794, ""de"", ""en"")"),"clinics")</f>
        <v>clinics</v>
      </c>
    </row>
    <row r="25795">
      <c r="A25795" s="1" t="s">
        <v>25794</v>
      </c>
      <c r="B25795" s="2" t="str">
        <f>IFERROR(__xludf.DUMMYFUNCTION("GOOGLETRANSLATE(A25795, ""de"", ""en"")"),"absorb")</f>
        <v>absorb</v>
      </c>
    </row>
    <row r="25796">
      <c r="A25796" s="1" t="s">
        <v>25795</v>
      </c>
      <c r="B25796" s="2" t="str">
        <f>IFERROR(__xludf.DUMMYFUNCTION("GOOGLETRANSLATE(A25796, ""de"", ""en"")"),"rocks")</f>
        <v>rocks</v>
      </c>
    </row>
    <row r="25797">
      <c r="A25797" s="1" t="s">
        <v>25796</v>
      </c>
      <c r="B25797" s="2" t="str">
        <f>IFERROR(__xludf.DUMMYFUNCTION("GOOGLETRANSLATE(A25797, ""de"", ""en"")"),"treated")</f>
        <v>treated</v>
      </c>
    </row>
    <row r="25798">
      <c r="A25798" s="1" t="s">
        <v>25797</v>
      </c>
      <c r="B25798" s="2" t="str">
        <f>IFERROR(__xludf.DUMMYFUNCTION("GOOGLETRANSLATE(A25798, ""de"", ""en"")"),"climber")</f>
        <v>climber</v>
      </c>
    </row>
    <row r="25799">
      <c r="A25799" s="1" t="s">
        <v>25798</v>
      </c>
      <c r="B25799" s="2" t="str">
        <f>IFERROR(__xludf.DUMMYFUNCTION("GOOGLETRANSLATE(A25799, ""de"", ""en"")"),"Israel")</f>
        <v>Israel</v>
      </c>
    </row>
    <row r="25800">
      <c r="A25800" s="1" t="s">
        <v>25799</v>
      </c>
      <c r="B25800" s="2" t="str">
        <f>IFERROR(__xludf.DUMMYFUNCTION("GOOGLETRANSLATE(A25800, ""de"", ""en"")"),"caramel")</f>
        <v>caramel</v>
      </c>
    </row>
    <row r="25801">
      <c r="A25801" s="1" t="s">
        <v>25800</v>
      </c>
      <c r="B25801" s="2" t="str">
        <f>IFERROR(__xludf.DUMMYFUNCTION("GOOGLETRANSLATE(A25801, ""de"", ""en"")"),"maverick")</f>
        <v>maverick</v>
      </c>
    </row>
    <row r="25802">
      <c r="A25802" s="1" t="s">
        <v>25801</v>
      </c>
      <c r="B25802" s="2" t="str">
        <f>IFERROR(__xludf.DUMMYFUNCTION("GOOGLETRANSLATE(A25802, ""de"", ""en"")"),"cold room")</f>
        <v>cold room</v>
      </c>
    </row>
    <row r="25803">
      <c r="A25803" s="1" t="s">
        <v>25802</v>
      </c>
      <c r="B25803" s="2" t="str">
        <f>IFERROR(__xludf.DUMMYFUNCTION("GOOGLETRANSLATE(A25803, ""de"", ""en"")"),"children's stuff")</f>
        <v>children's stuff</v>
      </c>
    </row>
    <row r="25804">
      <c r="A25804" s="1" t="s">
        <v>25803</v>
      </c>
      <c r="B25804" s="2" t="str">
        <f>IFERROR(__xludf.DUMMYFUNCTION("GOOGLETRANSLATE(A25804, ""de"", ""en"")"),"chong")</f>
        <v>chong</v>
      </c>
    </row>
    <row r="25805">
      <c r="A25805" s="1" t="s">
        <v>25804</v>
      </c>
      <c r="B25805" s="2" t="str">
        <f>IFERROR(__xludf.DUMMYFUNCTION("GOOGLETRANSLATE(A25805, ""de"", ""en"")"),"woodward")</f>
        <v>woodward</v>
      </c>
    </row>
    <row r="25806">
      <c r="A25806" s="1" t="s">
        <v>25805</v>
      </c>
      <c r="B25806" s="2" t="str">
        <f>IFERROR(__xludf.DUMMYFUNCTION("GOOGLETRANSLATE(A25806, ""de"", ""en"")"),"mangled")</f>
        <v>mangled</v>
      </c>
    </row>
    <row r="25807">
      <c r="A25807" s="1" t="s">
        <v>25806</v>
      </c>
      <c r="B25807" s="2" t="str">
        <f>IFERROR(__xludf.DUMMYFUNCTION("GOOGLETRANSLATE(A25807, ""de"", ""en"")"),"Ministry of Interior")</f>
        <v>Ministry of Interior</v>
      </c>
    </row>
    <row r="25808">
      <c r="A25808" s="1" t="s">
        <v>25807</v>
      </c>
      <c r="B25808" s="2" t="str">
        <f>IFERROR(__xludf.DUMMYFUNCTION("GOOGLETRANSLATE(A25808, ""de"", ""en"")"),"leftover")</f>
        <v>leftover</v>
      </c>
    </row>
    <row r="25809">
      <c r="A25809" s="1" t="s">
        <v>25808</v>
      </c>
      <c r="B25809" s="2" t="str">
        <f>IFERROR(__xludf.DUMMYFUNCTION("GOOGLETRANSLATE(A25809, ""de"", ""en"")"),"burr")</f>
        <v>burr</v>
      </c>
    </row>
    <row r="25810">
      <c r="A25810" s="1" t="s">
        <v>25809</v>
      </c>
      <c r="B25810" s="2" t="str">
        <f>IFERROR(__xludf.DUMMYFUNCTION("GOOGLETRANSLATE(A25810, ""de"", ""en"")"),"countless")</f>
        <v>countless</v>
      </c>
    </row>
    <row r="25811">
      <c r="A25811" s="1" t="s">
        <v>25810</v>
      </c>
      <c r="B25811" s="2" t="str">
        <f>IFERROR(__xludf.DUMMYFUNCTION("GOOGLETRANSLATE(A25811, ""de"", ""en"")"),"elevators")</f>
        <v>elevators</v>
      </c>
    </row>
    <row r="25812">
      <c r="A25812" s="1" t="s">
        <v>25811</v>
      </c>
      <c r="B25812" s="2" t="str">
        <f>IFERROR(__xludf.DUMMYFUNCTION("GOOGLETRANSLATE(A25812, ""de"", ""en"")"),"gamble")</f>
        <v>gamble</v>
      </c>
    </row>
    <row r="25813">
      <c r="A25813" s="1" t="s">
        <v>25812</v>
      </c>
      <c r="B25813" s="2" t="str">
        <f>IFERROR(__xludf.DUMMYFUNCTION("GOOGLETRANSLATE(A25813, ""de"", ""en"")"),"cut")</f>
        <v>cut</v>
      </c>
    </row>
    <row r="25814">
      <c r="A25814" s="1" t="s">
        <v>25813</v>
      </c>
      <c r="B25814" s="2" t="str">
        <f>IFERROR(__xludf.DUMMYFUNCTION("GOOGLETRANSLATE(A25814, ""de"", ""en"")"),"crawl")</f>
        <v>crawl</v>
      </c>
    </row>
    <row r="25815">
      <c r="A25815" s="1" t="s">
        <v>25814</v>
      </c>
      <c r="B25815" s="2" t="str">
        <f>IFERROR(__xludf.DUMMYFUNCTION("GOOGLETRANSLATE(A25815, ""de"", ""en"")"),"beaten up")</f>
        <v>beaten up</v>
      </c>
    </row>
    <row r="25816">
      <c r="A25816" s="1" t="s">
        <v>25815</v>
      </c>
      <c r="B25816" s="2" t="str">
        <f>IFERROR(__xludf.DUMMYFUNCTION("GOOGLETRANSLATE(A25816, ""de"", ""en"")"),"lets go")</f>
        <v>lets go</v>
      </c>
    </row>
    <row r="25817">
      <c r="A25817" s="1" t="s">
        <v>25816</v>
      </c>
      <c r="B25817" s="2" t="str">
        <f>IFERROR(__xludf.DUMMYFUNCTION("GOOGLETRANSLATE(A25817, ""de"", ""en"")"),"legitimate")</f>
        <v>legitimate</v>
      </c>
    </row>
    <row r="25818">
      <c r="A25818" s="1" t="s">
        <v>25817</v>
      </c>
      <c r="B25818" s="2" t="str">
        <f>IFERROR(__xludf.DUMMYFUNCTION("GOOGLETRANSLATE(A25818, ""de"", ""en"")"),"daily")</f>
        <v>daily</v>
      </c>
    </row>
    <row r="25819">
      <c r="A25819" s="1" t="s">
        <v>25818</v>
      </c>
      <c r="B25819" s="2" t="str">
        <f>IFERROR(__xludf.DUMMYFUNCTION("GOOGLETRANSLATE(A25819, ""de"", ""en"")"),"to select")</f>
        <v>to select</v>
      </c>
    </row>
    <row r="25820">
      <c r="A25820" s="1" t="s">
        <v>25819</v>
      </c>
      <c r="B25820" s="2" t="str">
        <f>IFERROR(__xludf.DUMMYFUNCTION("GOOGLETRANSLATE(A25820, ""de"", ""en"")"),"surf")</f>
        <v>surf</v>
      </c>
    </row>
    <row r="25821">
      <c r="A25821" s="1" t="s">
        <v>25820</v>
      </c>
      <c r="B25821" s="2" t="str">
        <f>IFERROR(__xludf.DUMMYFUNCTION("GOOGLETRANSLATE(A25821, ""de"", ""en"")"),"brand new")</f>
        <v>brand new</v>
      </c>
    </row>
    <row r="25822">
      <c r="A25822" s="1" t="s">
        <v>25821</v>
      </c>
      <c r="B25822" s="2" t="str">
        <f>IFERROR(__xludf.DUMMYFUNCTION("GOOGLETRANSLATE(A25822, ""de"", ""en"")"),"breed")</f>
        <v>breed</v>
      </c>
    </row>
    <row r="25823">
      <c r="A25823" s="1" t="s">
        <v>25822</v>
      </c>
      <c r="B25823" s="2" t="str">
        <f>IFERROR(__xludf.DUMMYFUNCTION("GOOGLETRANSLATE(A25823, ""de"", ""en"")"),"brewery")</f>
        <v>brewery</v>
      </c>
    </row>
    <row r="25824">
      <c r="A25824" s="1" t="s">
        <v>25823</v>
      </c>
      <c r="B25824" s="2" t="str">
        <f>IFERROR(__xludf.DUMMYFUNCTION("GOOGLETRANSLATE(A25824, ""de"", ""en"")"),"noble")</f>
        <v>noble</v>
      </c>
    </row>
    <row r="25825">
      <c r="A25825" s="1" t="s">
        <v>25824</v>
      </c>
      <c r="B25825" s="2" t="str">
        <f>IFERROR(__xludf.DUMMYFUNCTION("GOOGLETRANSLATE(A25825, ""de"", ""en"")"),"silencer")</f>
        <v>silencer</v>
      </c>
    </row>
    <row r="25826">
      <c r="A25826" s="1" t="s">
        <v>25825</v>
      </c>
      <c r="B25826" s="2" t="str">
        <f>IFERROR(__xludf.DUMMYFUNCTION("GOOGLETRANSLATE(A25826, ""de"", ""en"")"),"smuggles")</f>
        <v>smuggles</v>
      </c>
    </row>
    <row r="25827">
      <c r="A25827" s="1" t="s">
        <v>25826</v>
      </c>
      <c r="B25827" s="2" t="str">
        <f>IFERROR(__xludf.DUMMYFUNCTION("GOOGLETRANSLATE(A25827, ""de"", ""en"")"),"watchtower")</f>
        <v>watchtower</v>
      </c>
    </row>
    <row r="25828">
      <c r="A25828" s="1" t="s">
        <v>25827</v>
      </c>
      <c r="B25828" s="2" t="str">
        <f>IFERROR(__xludf.DUMMYFUNCTION("GOOGLETRANSLATE(A25828, ""de"", ""en"")"),"fido")</f>
        <v>fido</v>
      </c>
    </row>
    <row r="25829">
      <c r="A25829" s="1" t="s">
        <v>25828</v>
      </c>
      <c r="B25829" s="2" t="str">
        <f>IFERROR(__xludf.DUMMYFUNCTION("GOOGLETRANSLATE(A25829, ""de"", ""en"")"),"meanwhile")</f>
        <v>meanwhile</v>
      </c>
    </row>
    <row r="25830">
      <c r="A25830" s="1" t="s">
        <v>25829</v>
      </c>
      <c r="B25830" s="2" t="str">
        <f>IFERROR(__xludf.DUMMYFUNCTION("GOOGLETRANSLATE(A25830, ""de"", ""en"")"),"guard")</f>
        <v>guard</v>
      </c>
    </row>
    <row r="25831">
      <c r="A25831" s="1" t="s">
        <v>25830</v>
      </c>
      <c r="B25831" s="2" t="str">
        <f>IFERROR(__xludf.DUMMYFUNCTION("GOOGLETRANSLATE(A25831, ""de"", ""en"")"),"Israeli")</f>
        <v>Israeli</v>
      </c>
    </row>
    <row r="25832">
      <c r="A25832" s="1" t="s">
        <v>25831</v>
      </c>
      <c r="B25832" s="2" t="str">
        <f>IFERROR(__xludf.DUMMYFUNCTION("GOOGLETRANSLATE(A25832, ""de"", ""en"")"),"tiptoe")</f>
        <v>tiptoe</v>
      </c>
    </row>
    <row r="25833">
      <c r="A25833" s="1" t="s">
        <v>25832</v>
      </c>
      <c r="B25833" s="2" t="str">
        <f>IFERROR(__xludf.DUMMYFUNCTION("GOOGLETRANSLATE(A25833, ""de"", ""en"")"),"mobilize")</f>
        <v>mobilize</v>
      </c>
    </row>
    <row r="25834">
      <c r="A25834" s="1" t="s">
        <v>25833</v>
      </c>
      <c r="B25834" s="2" t="str">
        <f>IFERROR(__xludf.DUMMYFUNCTION("GOOGLETRANSLATE(A25834, ""de"", ""en"")"),"seal")</f>
        <v>seal</v>
      </c>
    </row>
    <row r="25835">
      <c r="A25835" s="1" t="s">
        <v>25834</v>
      </c>
      <c r="B25835" s="2" t="str">
        <f>IFERROR(__xludf.DUMMYFUNCTION("GOOGLETRANSLATE(A25835, ""de"", ""en"")"),"war zone")</f>
        <v>war zone</v>
      </c>
    </row>
    <row r="25836">
      <c r="A25836" s="1" t="s">
        <v>25835</v>
      </c>
      <c r="B25836" s="2" t="str">
        <f>IFERROR(__xludf.DUMMYFUNCTION("GOOGLETRANSLATE(A25836, ""de"", ""en"")"),"Levy")</f>
        <v>Levy</v>
      </c>
    </row>
    <row r="25837">
      <c r="A25837" s="1" t="s">
        <v>25836</v>
      </c>
      <c r="B25837" s="2" t="str">
        <f>IFERROR(__xludf.DUMMYFUNCTION("GOOGLETRANSLATE(A25837, ""de"", ""en"")"),"razor")</f>
        <v>razor</v>
      </c>
    </row>
    <row r="25838">
      <c r="A25838" s="1" t="s">
        <v>25837</v>
      </c>
      <c r="B25838" s="2" t="str">
        <f>IFERROR(__xludf.DUMMYFUNCTION("GOOGLETRANSLATE(A25838, ""de"", ""en"")"),"firefighters")</f>
        <v>firefighters</v>
      </c>
    </row>
    <row r="25839">
      <c r="A25839" s="1" t="s">
        <v>25838</v>
      </c>
      <c r="B25839" s="2" t="str">
        <f>IFERROR(__xludf.DUMMYFUNCTION("GOOGLETRANSLATE(A25839, ""de"", ""en"")"),"poker game")</f>
        <v>poker game</v>
      </c>
    </row>
    <row r="25840">
      <c r="A25840" s="1" t="s">
        <v>25839</v>
      </c>
      <c r="B25840" s="2" t="str">
        <f>IFERROR(__xludf.DUMMYFUNCTION("GOOGLETRANSLATE(A25840, ""de"", ""en"")"),"inmate")</f>
        <v>inmate</v>
      </c>
    </row>
    <row r="25841">
      <c r="A25841" s="1" t="s">
        <v>25840</v>
      </c>
      <c r="B25841" s="2" t="str">
        <f>IFERROR(__xludf.DUMMYFUNCTION("GOOGLETRANSLATE(A25841, ""de"", ""en"")"),"Zulu")</f>
        <v>Zulu</v>
      </c>
    </row>
    <row r="25842">
      <c r="A25842" s="1" t="s">
        <v>25841</v>
      </c>
      <c r="B25842" s="2" t="str">
        <f>IFERROR(__xludf.DUMMYFUNCTION("GOOGLETRANSLATE(A25842, ""de"", ""en"")"),"Bolivia")</f>
        <v>Bolivia</v>
      </c>
    </row>
    <row r="25843">
      <c r="A25843" s="1" t="s">
        <v>25842</v>
      </c>
      <c r="B25843" s="2" t="str">
        <f>IFERROR(__xludf.DUMMYFUNCTION("GOOGLETRANSLATE(A25843, ""de"", ""en"")"),"reindeer")</f>
        <v>reindeer</v>
      </c>
    </row>
    <row r="25844">
      <c r="A25844" s="1" t="s">
        <v>25843</v>
      </c>
      <c r="B25844" s="2" t="str">
        <f>IFERROR(__xludf.DUMMYFUNCTION("GOOGLETRANSLATE(A25844, ""de"", ""en"")"),"reservations")</f>
        <v>reservations</v>
      </c>
    </row>
    <row r="25845">
      <c r="A25845" s="1" t="s">
        <v>25844</v>
      </c>
      <c r="B25845" s="2" t="str">
        <f>IFERROR(__xludf.DUMMYFUNCTION("GOOGLETRANSLATE(A25845, ""de"", ""en"")"),"clause")</f>
        <v>clause</v>
      </c>
    </row>
    <row r="25846">
      <c r="A25846" s="1" t="s">
        <v>25845</v>
      </c>
      <c r="B25846" s="2" t="str">
        <f>IFERROR(__xludf.DUMMYFUNCTION("GOOGLETRANSLATE(A25846, ""de"", ""en"")"),"write to")</f>
        <v>write to</v>
      </c>
    </row>
    <row r="25847">
      <c r="A25847" s="1" t="s">
        <v>25846</v>
      </c>
      <c r="B25847" s="2" t="str">
        <f>IFERROR(__xludf.DUMMYFUNCTION("GOOGLETRANSLATE(A25847, ""de"", ""en"")"),"gowron")</f>
        <v>gowron</v>
      </c>
    </row>
    <row r="25848">
      <c r="A25848" s="1" t="s">
        <v>25847</v>
      </c>
      <c r="B25848" s="2" t="str">
        <f>IFERROR(__xludf.DUMMYFUNCTION("GOOGLETRANSLATE(A25848, ""de"", ""en"")"),"bland")</f>
        <v>bland</v>
      </c>
    </row>
    <row r="25849">
      <c r="A25849" s="1" t="s">
        <v>25848</v>
      </c>
      <c r="B25849" s="2" t="str">
        <f>IFERROR(__xludf.DUMMYFUNCTION("GOOGLETRANSLATE(A25849, ""de"", ""en"")"),"human child")</f>
        <v>human child</v>
      </c>
    </row>
    <row r="25850">
      <c r="A25850" s="1" t="s">
        <v>25849</v>
      </c>
      <c r="B25850" s="2" t="str">
        <f>IFERROR(__xludf.DUMMYFUNCTION("GOOGLETRANSLATE(A25850, ""de"", ""en"")"),"put through")</f>
        <v>put through</v>
      </c>
    </row>
    <row r="25851">
      <c r="A25851" s="1" t="s">
        <v>25850</v>
      </c>
      <c r="B25851" s="2" t="str">
        <f>IFERROR(__xludf.DUMMYFUNCTION("GOOGLETRANSLATE(A25851, ""de"", ""en"")"),"put forward")</f>
        <v>put forward</v>
      </c>
    </row>
    <row r="25852">
      <c r="A25852" s="1" t="s">
        <v>25851</v>
      </c>
      <c r="B25852" s="2" t="str">
        <f>IFERROR(__xludf.DUMMYFUNCTION("GOOGLETRANSLATE(A25852, ""de"", ""en"")"),"track")</f>
        <v>track</v>
      </c>
    </row>
    <row r="25853">
      <c r="A25853" s="1" t="s">
        <v>25852</v>
      </c>
      <c r="B25853" s="2" t="str">
        <f>IFERROR(__xludf.DUMMYFUNCTION("GOOGLETRANSLATE(A25853, ""de"", ""en"")"),"woodsen")</f>
        <v>woodsen</v>
      </c>
    </row>
    <row r="25854">
      <c r="A25854" s="1" t="s">
        <v>25853</v>
      </c>
      <c r="B25854" s="2" t="str">
        <f>IFERROR(__xludf.DUMMYFUNCTION("GOOGLETRANSLATE(A25854, ""de"", ""en"")"),"wow")</f>
        <v>wow</v>
      </c>
    </row>
    <row r="25855">
      <c r="A25855" s="1" t="s">
        <v>25854</v>
      </c>
      <c r="B25855" s="2" t="str">
        <f>IFERROR(__xludf.DUMMYFUNCTION("GOOGLETRANSLATE(A25855, ""de"", ""en"")"),"supporters")</f>
        <v>supporters</v>
      </c>
    </row>
    <row r="25856">
      <c r="A25856" s="1" t="s">
        <v>25855</v>
      </c>
      <c r="B25856" s="2" t="str">
        <f>IFERROR(__xludf.DUMMYFUNCTION("GOOGLETRANSLATE(A25856, ""de"", ""en"")"),"nerve")</f>
        <v>nerve</v>
      </c>
    </row>
    <row r="25857">
      <c r="A25857" s="1" t="s">
        <v>25856</v>
      </c>
      <c r="B25857" s="2" t="str">
        <f>IFERROR(__xludf.DUMMYFUNCTION("GOOGLETRANSLATE(A25857, ""de"", ""en"")"),"all around")</f>
        <v>all around</v>
      </c>
    </row>
    <row r="25858">
      <c r="A25858" s="1" t="s">
        <v>25857</v>
      </c>
      <c r="B25858" s="2" t="str">
        <f>IFERROR(__xludf.DUMMYFUNCTION("GOOGLETRANSLATE(A25858, ""de"", ""en"")"),"unload")</f>
        <v>unload</v>
      </c>
    </row>
    <row r="25859">
      <c r="A25859" s="1" t="s">
        <v>25858</v>
      </c>
      <c r="B25859" s="2" t="str">
        <f>IFERROR(__xludf.DUMMYFUNCTION("GOOGLETRANSLATE(A25859, ""de"", ""en"")"),"lovelace")</f>
        <v>lovelace</v>
      </c>
    </row>
    <row r="25860">
      <c r="A25860" s="1" t="s">
        <v>25859</v>
      </c>
      <c r="B25860" s="2" t="str">
        <f>IFERROR(__xludf.DUMMYFUNCTION("GOOGLETRANSLATE(A25860, ""de"", ""en"")"),"quickly")</f>
        <v>quickly</v>
      </c>
    </row>
    <row r="25861">
      <c r="A25861" s="1" t="s">
        <v>25860</v>
      </c>
      <c r="B25861" s="2" t="str">
        <f>IFERROR(__xludf.DUMMYFUNCTION("GOOGLETRANSLATE(A25861, ""de"", ""en"")"),"strives")</f>
        <v>strives</v>
      </c>
    </row>
    <row r="25862">
      <c r="A25862" s="1" t="s">
        <v>25861</v>
      </c>
      <c r="B25862" s="2" t="str">
        <f>IFERROR(__xludf.DUMMYFUNCTION("GOOGLETRANSLATE(A25862, ""de"", ""en"")"),"tulip")</f>
        <v>tulip</v>
      </c>
    </row>
    <row r="25863">
      <c r="A25863" s="1" t="s">
        <v>25862</v>
      </c>
      <c r="B25863" s="2" t="str">
        <f>IFERROR(__xludf.DUMMYFUNCTION("GOOGLETRANSLATE(A25863, ""de"", ""en"")"),"enlargement")</f>
        <v>enlargement</v>
      </c>
    </row>
    <row r="25864">
      <c r="A25864" s="1" t="s">
        <v>25863</v>
      </c>
      <c r="B25864" s="2" t="str">
        <f>IFERROR(__xludf.DUMMYFUNCTION("GOOGLETRANSLATE(A25864, ""de"", ""en"")"),"furs")</f>
        <v>furs</v>
      </c>
    </row>
    <row r="25865">
      <c r="A25865" s="1" t="s">
        <v>25864</v>
      </c>
      <c r="B25865" s="2" t="str">
        <f>IFERROR(__xludf.DUMMYFUNCTION("GOOGLETRANSLATE(A25865, ""de"", ""en"")"),"fussy")</f>
        <v>fussy</v>
      </c>
    </row>
    <row r="25866">
      <c r="A25866" s="1" t="s">
        <v>25865</v>
      </c>
      <c r="B25866" s="2" t="str">
        <f>IFERROR(__xludf.DUMMYFUNCTION("GOOGLETRANSLATE(A25866, ""de"", ""en"")"),"pier")</f>
        <v>pier</v>
      </c>
    </row>
    <row r="25867">
      <c r="A25867" s="1" t="s">
        <v>25866</v>
      </c>
      <c r="B25867" s="2" t="str">
        <f>IFERROR(__xludf.DUMMYFUNCTION("GOOGLETRANSLATE(A25867, ""de"", ""en"")"),"to get out")</f>
        <v>to get out</v>
      </c>
    </row>
    <row r="25868">
      <c r="A25868" s="1" t="s">
        <v>25867</v>
      </c>
      <c r="B25868" s="2" t="str">
        <f>IFERROR(__xludf.DUMMYFUNCTION("GOOGLETRANSLATE(A25868, ""de"", ""en"")"),"brians")</f>
        <v>brians</v>
      </c>
    </row>
    <row r="25869">
      <c r="A25869" s="1" t="s">
        <v>25868</v>
      </c>
      <c r="B25869" s="2" t="str">
        <f>IFERROR(__xludf.DUMMYFUNCTION("GOOGLETRANSLATE(A25869, ""de"", ""en"")"),"authority")</f>
        <v>authority</v>
      </c>
    </row>
    <row r="25870">
      <c r="A25870" s="1" t="s">
        <v>25869</v>
      </c>
      <c r="B25870" s="2" t="str">
        <f>IFERROR(__xludf.DUMMYFUNCTION("GOOGLETRANSLATE(A25870, ""de"", ""en"")"),"mambo")</f>
        <v>mambo</v>
      </c>
    </row>
    <row r="25871">
      <c r="A25871" s="1" t="s">
        <v>25870</v>
      </c>
      <c r="B25871" s="2" t="str">
        <f>IFERROR(__xludf.DUMMYFUNCTION("GOOGLETRANSLATE(A25871, ""de"", ""en"")"),"grim reaper")</f>
        <v>grim reaper</v>
      </c>
    </row>
    <row r="25872">
      <c r="A25872" s="1" t="s">
        <v>25871</v>
      </c>
      <c r="B25872" s="2" t="str">
        <f>IFERROR(__xludf.DUMMYFUNCTION("GOOGLETRANSLATE(A25872, ""de"", ""en"")"),"caressed")</f>
        <v>caressed</v>
      </c>
    </row>
    <row r="25873">
      <c r="A25873" s="1" t="s">
        <v>25872</v>
      </c>
      <c r="B25873" s="2" t="str">
        <f>IFERROR(__xludf.DUMMYFUNCTION("GOOGLETRANSLATE(A25873, ""de"", ""en"")"),"legal system")</f>
        <v>legal system</v>
      </c>
    </row>
    <row r="25874">
      <c r="A25874" s="1" t="s">
        <v>25873</v>
      </c>
      <c r="B25874" s="2" t="str">
        <f>IFERROR(__xludf.DUMMYFUNCTION("GOOGLETRANSLATE(A25874, ""de"", ""en"")"),"trans")</f>
        <v>trans</v>
      </c>
    </row>
    <row r="25875">
      <c r="A25875" s="1" t="s">
        <v>25874</v>
      </c>
      <c r="B25875" s="2" t="str">
        <f>IFERROR(__xludf.DUMMYFUNCTION("GOOGLETRANSLATE(A25875, ""de"", ""en"")"),"presents")</f>
        <v>presents</v>
      </c>
    </row>
    <row r="25876">
      <c r="A25876" s="1" t="s">
        <v>25875</v>
      </c>
      <c r="B25876" s="2" t="str">
        <f>IFERROR(__xludf.DUMMYFUNCTION("GOOGLETRANSLATE(A25876, ""de"", ""en"")"),"refund")</f>
        <v>refund</v>
      </c>
    </row>
    <row r="25877">
      <c r="A25877" s="1" t="s">
        <v>25876</v>
      </c>
      <c r="B25877" s="2" t="str">
        <f>IFERROR(__xludf.DUMMYFUNCTION("GOOGLETRANSLATE(A25877, ""de"", ""en"")"),"fairbanks")</f>
        <v>fairbanks</v>
      </c>
    </row>
    <row r="25878">
      <c r="A25878" s="1" t="s">
        <v>25877</v>
      </c>
      <c r="B25878" s="2" t="str">
        <f>IFERROR(__xludf.DUMMYFUNCTION("GOOGLETRANSLATE(A25878, ""de"", ""en"")"),"attacked")</f>
        <v>attacked</v>
      </c>
    </row>
    <row r="25879">
      <c r="A25879" s="1" t="s">
        <v>25878</v>
      </c>
      <c r="B25879" s="2" t="str">
        <f>IFERROR(__xludf.DUMMYFUNCTION("GOOGLETRANSLATE(A25879, ""de"", ""en"")"),"Renaissance")</f>
        <v>Renaissance</v>
      </c>
    </row>
    <row r="25880">
      <c r="A25880" s="1" t="s">
        <v>25879</v>
      </c>
      <c r="B25880" s="2" t="str">
        <f>IFERROR(__xludf.DUMMYFUNCTION("GOOGLETRANSLATE(A25880, ""de"", ""en"")"),"Kurtz")</f>
        <v>Kurtz</v>
      </c>
    </row>
    <row r="25881">
      <c r="A25881" s="1" t="s">
        <v>25880</v>
      </c>
      <c r="B25881" s="2" t="str">
        <f>IFERROR(__xludf.DUMMYFUNCTION("GOOGLETRANSLATE(A25881, ""de"", ""en"")"),"lovebirds")</f>
        <v>lovebirds</v>
      </c>
    </row>
    <row r="25882">
      <c r="A25882" s="1" t="s">
        <v>25881</v>
      </c>
      <c r="B25882" s="2" t="str">
        <f>IFERROR(__xludf.DUMMYFUNCTION("GOOGLETRANSLATE(A25882, ""de"", ""en"")"),"desecrated")</f>
        <v>desecrated</v>
      </c>
    </row>
    <row r="25883">
      <c r="A25883" s="1" t="s">
        <v>25882</v>
      </c>
      <c r="B25883" s="2" t="str">
        <f>IFERROR(__xludf.DUMMYFUNCTION("GOOGLETRANSLATE(A25883, ""de"", ""en"")"),"docking")</f>
        <v>docking</v>
      </c>
    </row>
    <row r="25884">
      <c r="A25884" s="1" t="s">
        <v>25883</v>
      </c>
      <c r="B25884" s="2" t="str">
        <f>IFERROR(__xludf.DUMMYFUNCTION("GOOGLETRANSLATE(A25884, ""de"", ""en"")"),"more corrupt")</f>
        <v>more corrupt</v>
      </c>
    </row>
    <row r="25885">
      <c r="A25885" s="1" t="s">
        <v>25884</v>
      </c>
      <c r="B25885" s="2" t="str">
        <f>IFERROR(__xludf.DUMMYFUNCTION("GOOGLETRANSLATE(A25885, ""de"", ""en"")"),"toyota")</f>
        <v>toyota</v>
      </c>
    </row>
    <row r="25886">
      <c r="A25886" s="1" t="s">
        <v>25885</v>
      </c>
      <c r="B25886" s="2" t="str">
        <f>IFERROR(__xludf.DUMMYFUNCTION("GOOGLETRANSLATE(A25886, ""de"", ""en"")"),"Cantonese")</f>
        <v>Cantonese</v>
      </c>
    </row>
    <row r="25887">
      <c r="A25887" s="1" t="s">
        <v>25886</v>
      </c>
      <c r="B25887" s="2" t="str">
        <f>IFERROR(__xludf.DUMMYFUNCTION("GOOGLETRANSLATE(A25887, ""de"", ""en"")"),"main prize")</f>
        <v>main prize</v>
      </c>
    </row>
    <row r="25888">
      <c r="A25888" s="1" t="s">
        <v>25887</v>
      </c>
      <c r="B25888" s="2" t="str">
        <f>IFERROR(__xludf.DUMMYFUNCTION("GOOGLETRANSLATE(A25888, ""de"", ""en"")"),"arrows")</f>
        <v>arrows</v>
      </c>
    </row>
    <row r="25889">
      <c r="A25889" s="1" t="s">
        <v>25888</v>
      </c>
      <c r="B25889" s="2" t="str">
        <f>IFERROR(__xludf.DUMMYFUNCTION("GOOGLETRANSLATE(A25889, ""de"", ""en"")"),"gram")</f>
        <v>gram</v>
      </c>
    </row>
    <row r="25890">
      <c r="A25890" s="1" t="s">
        <v>25889</v>
      </c>
      <c r="B25890" s="2" t="str">
        <f>IFERROR(__xludf.DUMMYFUNCTION("GOOGLETRANSLATE(A25890, ""de"", ""en"")"),"pong")</f>
        <v>pong</v>
      </c>
    </row>
    <row r="25891">
      <c r="A25891" s="1" t="s">
        <v>25890</v>
      </c>
      <c r="B25891" s="2" t="str">
        <f>IFERROR(__xludf.DUMMYFUNCTION("GOOGLETRANSLATE(A25891, ""de"", ""en"")"),"fabrice")</f>
        <v>fabrice</v>
      </c>
    </row>
    <row r="25892">
      <c r="A25892" s="1" t="s">
        <v>25891</v>
      </c>
      <c r="B25892" s="2" t="str">
        <f>IFERROR(__xludf.DUMMYFUNCTION("GOOGLETRANSLATE(A25892, ""de"", ""en"")"),"any")</f>
        <v>any</v>
      </c>
    </row>
    <row r="25893">
      <c r="A25893" s="1" t="s">
        <v>25892</v>
      </c>
      <c r="B25893" s="2" t="str">
        <f>IFERROR(__xludf.DUMMYFUNCTION("GOOGLETRANSLATE(A25893, ""de"", ""en"")"),"clean")</f>
        <v>clean</v>
      </c>
    </row>
    <row r="25894">
      <c r="A25894" s="1" t="s">
        <v>25893</v>
      </c>
      <c r="B25894" s="2" t="str">
        <f>IFERROR(__xludf.DUMMYFUNCTION("GOOGLETRANSLATE(A25894, ""de"", ""en"")"),"accesories")</f>
        <v>accesories</v>
      </c>
    </row>
    <row r="25895">
      <c r="A25895" s="1" t="s">
        <v>25894</v>
      </c>
      <c r="B25895" s="2" t="str">
        <f>IFERROR(__xludf.DUMMYFUNCTION("GOOGLETRANSLATE(A25895, ""de"", ""en"")"),"lion")</f>
        <v>lion</v>
      </c>
    </row>
    <row r="25896">
      <c r="A25896" s="1" t="s">
        <v>25895</v>
      </c>
      <c r="B25896" s="2" t="str">
        <f>IFERROR(__xludf.DUMMYFUNCTION("GOOGLETRANSLATE(A25896, ""de"", ""en"")"),"snoop around")</f>
        <v>snoop around</v>
      </c>
    </row>
    <row r="25897">
      <c r="A25897" s="1" t="s">
        <v>25896</v>
      </c>
      <c r="B25897" s="2" t="str">
        <f>IFERROR(__xludf.DUMMYFUNCTION("GOOGLETRANSLATE(A25897, ""de"", ""en"")"),"hitman")</f>
        <v>hitman</v>
      </c>
    </row>
    <row r="25898">
      <c r="A25898" s="1" t="s">
        <v>25897</v>
      </c>
      <c r="B25898" s="2" t="str">
        <f>IFERROR(__xludf.DUMMYFUNCTION("GOOGLETRANSLATE(A25898, ""de"", ""en"")"),"Krause")</f>
        <v>Krause</v>
      </c>
    </row>
    <row r="25899">
      <c r="A25899" s="1" t="s">
        <v>25898</v>
      </c>
      <c r="B25899" s="2" t="str">
        <f>IFERROR(__xludf.DUMMYFUNCTION("GOOGLETRANSLATE(A25899, ""de"", ""en"")"),"slots")</f>
        <v>slots</v>
      </c>
    </row>
    <row r="25900">
      <c r="A25900" s="1" t="s">
        <v>25899</v>
      </c>
      <c r="B25900" s="2" t="str">
        <f>IFERROR(__xludf.DUMMYFUNCTION("GOOGLETRANSLATE(A25900, ""de"", ""en"")"),"deunan")</f>
        <v>deunan</v>
      </c>
    </row>
    <row r="25901">
      <c r="A25901" s="1" t="s">
        <v>25900</v>
      </c>
      <c r="B25901" s="2" t="str">
        <f>IFERROR(__xludf.DUMMYFUNCTION("GOOGLETRANSLATE(A25901, ""de"", ""en"")"),"focus")</f>
        <v>focus</v>
      </c>
    </row>
    <row r="25902">
      <c r="A25902" s="1" t="s">
        <v>25901</v>
      </c>
      <c r="B25902" s="2" t="str">
        <f>IFERROR(__xludf.DUMMYFUNCTION("GOOGLETRANSLATE(A25902, ""de"", ""en"")"),"doolittle")</f>
        <v>doolittle</v>
      </c>
    </row>
    <row r="25903">
      <c r="A25903" s="1" t="s">
        <v>25902</v>
      </c>
      <c r="B25903" s="2" t="str">
        <f>IFERROR(__xludf.DUMMYFUNCTION("GOOGLETRANSLATE(A25903, ""de"", ""en"")"),"get out")</f>
        <v>get out</v>
      </c>
    </row>
    <row r="25904">
      <c r="A25904" s="1" t="s">
        <v>25903</v>
      </c>
      <c r="B25904" s="2" t="str">
        <f>IFERROR(__xludf.DUMMYFUNCTION("GOOGLETRANSLATE(A25904, ""de"", ""en"")"),"live out")</f>
        <v>live out</v>
      </c>
    </row>
    <row r="25905">
      <c r="A25905" s="1" t="s">
        <v>25904</v>
      </c>
      <c r="B25905" s="2" t="str">
        <f>IFERROR(__xludf.DUMMYFUNCTION("GOOGLETRANSLATE(A25905, ""de"", ""en"")"),"charitable")</f>
        <v>charitable</v>
      </c>
    </row>
    <row r="25906">
      <c r="A25906" s="1" t="s">
        <v>25905</v>
      </c>
      <c r="B25906" s="2" t="str">
        <f>IFERROR(__xludf.DUMMYFUNCTION("GOOGLETRANSLATE(A25906, ""de"", ""en"")"),"considerations")</f>
        <v>considerations</v>
      </c>
    </row>
    <row r="25907">
      <c r="A25907" s="1" t="s">
        <v>25906</v>
      </c>
      <c r="B25907" s="2" t="str">
        <f>IFERROR(__xludf.DUMMYFUNCTION("GOOGLETRANSLATE(A25907, ""de"", ""en"")"),"saddest")</f>
        <v>saddest</v>
      </c>
    </row>
    <row r="25908">
      <c r="A25908" s="1" t="s">
        <v>25907</v>
      </c>
      <c r="B25908" s="2" t="str">
        <f>IFERROR(__xludf.DUMMYFUNCTION("GOOGLETRANSLATE(A25908, ""de"", ""en"")"),"snoop")</f>
        <v>snoop</v>
      </c>
    </row>
    <row r="25909">
      <c r="A25909" s="1" t="s">
        <v>25908</v>
      </c>
      <c r="B25909" s="2" t="str">
        <f>IFERROR(__xludf.DUMMYFUNCTION("GOOGLETRANSLATE(A25909, ""de"", ""en"")"),"riverside")</f>
        <v>riverside</v>
      </c>
    </row>
    <row r="25910">
      <c r="A25910" s="1" t="s">
        <v>25909</v>
      </c>
      <c r="B25910" s="2" t="str">
        <f>IFERROR(__xludf.DUMMYFUNCTION("GOOGLETRANSLATE(A25910, ""de"", ""en"")"),"defector")</f>
        <v>defector</v>
      </c>
    </row>
    <row r="25911">
      <c r="A25911" s="1" t="s">
        <v>25910</v>
      </c>
      <c r="B25911" s="2" t="str">
        <f>IFERROR(__xludf.DUMMYFUNCTION("GOOGLETRANSLATE(A25911, ""de"", ""en"")"),"yelp")</f>
        <v>yelp</v>
      </c>
    </row>
    <row r="25912">
      <c r="A25912" s="1" t="s">
        <v>25911</v>
      </c>
      <c r="B25912" s="2" t="str">
        <f>IFERROR(__xludf.DUMMYFUNCTION("GOOGLETRANSLATE(A25912, ""de"", ""en"")"),"listed")</f>
        <v>listed</v>
      </c>
    </row>
    <row r="25913">
      <c r="A25913" s="1" t="s">
        <v>25912</v>
      </c>
      <c r="B25913" s="2" t="str">
        <f>IFERROR(__xludf.DUMMYFUNCTION("GOOGLETRANSLATE(A25913, ""de"", ""en"")"),"catch")</f>
        <v>catch</v>
      </c>
    </row>
    <row r="25914">
      <c r="A25914" s="1" t="s">
        <v>25913</v>
      </c>
      <c r="B25914" s="2" t="str">
        <f>IFERROR(__xludf.DUMMYFUNCTION("GOOGLETRANSLATE(A25914, ""de"", ""en"")"),"crisp")</f>
        <v>crisp</v>
      </c>
    </row>
    <row r="25915">
      <c r="A25915" s="1" t="s">
        <v>25914</v>
      </c>
      <c r="B25915" s="2" t="str">
        <f>IFERROR(__xludf.DUMMYFUNCTION("GOOGLETRANSLATE(A25915, ""de"", ""en"")"),"burn")</f>
        <v>burn</v>
      </c>
    </row>
    <row r="25916">
      <c r="A25916" s="1" t="s">
        <v>25915</v>
      </c>
      <c r="B25916" s="2" t="str">
        <f>IFERROR(__xludf.DUMMYFUNCTION("GOOGLETRANSLATE(A25916, ""de"", ""en"")"),"detective")</f>
        <v>detective</v>
      </c>
    </row>
    <row r="25917">
      <c r="A25917" s="1" t="s">
        <v>25916</v>
      </c>
      <c r="B25917" s="2" t="str">
        <f>IFERROR(__xludf.DUMMYFUNCTION("GOOGLETRANSLATE(A25917, ""de"", ""en"")"),"disciplined")</f>
        <v>disciplined</v>
      </c>
    </row>
    <row r="25918">
      <c r="A25918" s="1" t="s">
        <v>25917</v>
      </c>
      <c r="B25918" s="2" t="str">
        <f>IFERROR(__xludf.DUMMYFUNCTION("GOOGLETRANSLATE(A25918, ""de"", ""en"")"),"minimal")</f>
        <v>minimal</v>
      </c>
    </row>
    <row r="25919">
      <c r="A25919" s="1" t="s">
        <v>25918</v>
      </c>
      <c r="B25919" s="2" t="str">
        <f>IFERROR(__xludf.DUMMYFUNCTION("GOOGLETRANSLATE(A25919, ""de"", ""en"")"),"promenade")</f>
        <v>promenade</v>
      </c>
    </row>
    <row r="25920">
      <c r="A25920" s="1" t="s">
        <v>25919</v>
      </c>
      <c r="B25920" s="2" t="str">
        <f>IFERROR(__xludf.DUMMYFUNCTION("GOOGLETRANSLATE(A25920, ""de"", ""en"")"),"incidents")</f>
        <v>incidents</v>
      </c>
    </row>
    <row r="25921">
      <c r="A25921" s="1" t="s">
        <v>25920</v>
      </c>
      <c r="B25921" s="2" t="str">
        <f>IFERROR(__xludf.DUMMYFUNCTION("GOOGLETRANSLATE(A25921, ""de"", ""en"")"),"future")</f>
        <v>future</v>
      </c>
    </row>
    <row r="25922">
      <c r="A25922" s="1" t="s">
        <v>25921</v>
      </c>
      <c r="B25922" s="2" t="str">
        <f>IFERROR(__xludf.DUMMYFUNCTION("GOOGLETRANSLATE(A25922, ""de"", ""en"")"),"nightly")</f>
        <v>nightly</v>
      </c>
    </row>
    <row r="25923">
      <c r="A25923" s="1" t="s">
        <v>25922</v>
      </c>
      <c r="B25923" s="2" t="str">
        <f>IFERROR(__xludf.DUMMYFUNCTION("GOOGLETRANSLATE(A25923, ""de"", ""en"")"),"ibm")</f>
        <v>ibm</v>
      </c>
    </row>
    <row r="25924">
      <c r="A25924" s="1" t="s">
        <v>25923</v>
      </c>
      <c r="B25924" s="2" t="str">
        <f>IFERROR(__xludf.DUMMYFUNCTION("GOOGLETRANSLATE(A25924, ""de"", ""en"")"),"Bonaparte")</f>
        <v>Bonaparte</v>
      </c>
    </row>
    <row r="25925">
      <c r="A25925" s="1" t="s">
        <v>25924</v>
      </c>
      <c r="B25925" s="2" t="str">
        <f>IFERROR(__xludf.DUMMYFUNCTION("GOOGLETRANSLATE(A25925, ""de"", ""en"")"),"integrate")</f>
        <v>integrate</v>
      </c>
    </row>
    <row r="25926">
      <c r="A25926" s="1" t="s">
        <v>25925</v>
      </c>
      <c r="B25926" s="2" t="str">
        <f>IFERROR(__xludf.DUMMYFUNCTION("GOOGLETRANSLATE(A25926, ""de"", ""en"")"),"fell")</f>
        <v>fell</v>
      </c>
    </row>
    <row r="25927">
      <c r="A25927" s="1" t="s">
        <v>25926</v>
      </c>
      <c r="B25927" s="2" t="str">
        <f>IFERROR(__xludf.DUMMYFUNCTION("GOOGLETRANSLATE(A25927, ""de"", ""en"")"),"celebrations")</f>
        <v>celebrations</v>
      </c>
    </row>
    <row r="25928">
      <c r="A25928" s="1" t="s">
        <v>25927</v>
      </c>
      <c r="B25928" s="2" t="str">
        <f>IFERROR(__xludf.DUMMYFUNCTION("GOOGLETRANSLATE(A25928, ""de"", ""en"")"),"deadly")</f>
        <v>deadly</v>
      </c>
    </row>
    <row r="25929">
      <c r="A25929" s="1" t="s">
        <v>25928</v>
      </c>
      <c r="B25929" s="2" t="str">
        <f>IFERROR(__xludf.DUMMYFUNCTION("GOOGLETRANSLATE(A25929, ""de"", ""en"")"),"celebs")</f>
        <v>celebs</v>
      </c>
    </row>
    <row r="25930">
      <c r="A25930" s="1" t="s">
        <v>25929</v>
      </c>
      <c r="B25930" s="2" t="str">
        <f>IFERROR(__xludf.DUMMYFUNCTION("GOOGLETRANSLATE(A25930, ""de"", ""en"")"),"to intercept")</f>
        <v>to intercept</v>
      </c>
    </row>
    <row r="25931">
      <c r="A25931" s="1" t="s">
        <v>25930</v>
      </c>
      <c r="B25931" s="2" t="str">
        <f>IFERROR(__xludf.DUMMYFUNCTION("GOOGLETRANSLATE(A25931, ""de"", ""en"")"),"abba")</f>
        <v>abba</v>
      </c>
    </row>
    <row r="25932">
      <c r="A25932" s="1" t="s">
        <v>25931</v>
      </c>
      <c r="B25932" s="2" t="str">
        <f>IFERROR(__xludf.DUMMYFUNCTION("GOOGLETRANSLATE(A25932, ""de"", ""en"")"),"flirt")</f>
        <v>flirt</v>
      </c>
    </row>
    <row r="25933">
      <c r="A25933" s="1" t="s">
        <v>25932</v>
      </c>
      <c r="B25933" s="2" t="str">
        <f>IFERROR(__xludf.DUMMYFUNCTION("GOOGLETRANSLATE(A25933, ""de"", ""en"")"),"mcbeal")</f>
        <v>mcbeal</v>
      </c>
    </row>
    <row r="25934">
      <c r="A25934" s="1" t="s">
        <v>25933</v>
      </c>
      <c r="B25934" s="2" t="str">
        <f>IFERROR(__xludf.DUMMYFUNCTION("GOOGLETRANSLATE(A25934, ""de"", ""en"")"),"Korean")</f>
        <v>Korean</v>
      </c>
    </row>
    <row r="25935">
      <c r="A25935" s="1" t="s">
        <v>25934</v>
      </c>
      <c r="B25935" s="2" t="str">
        <f>IFERROR(__xludf.DUMMYFUNCTION("GOOGLETRANSLATE(A25935, ""de"", ""en"")"),"gendarmes")</f>
        <v>gendarmes</v>
      </c>
    </row>
    <row r="25936">
      <c r="A25936" s="1" t="s">
        <v>25935</v>
      </c>
      <c r="B25936" s="2" t="str">
        <f>IFERROR(__xludf.DUMMYFUNCTION("GOOGLETRANSLATE(A25936, ""de"", ""en"")"),"entangle")</f>
        <v>entangle</v>
      </c>
    </row>
    <row r="25937">
      <c r="A25937" s="1" t="s">
        <v>25936</v>
      </c>
      <c r="B25937" s="2" t="str">
        <f>IFERROR(__xludf.DUMMYFUNCTION("GOOGLETRANSLATE(A25937, ""de"", ""en"")"),"clooney")</f>
        <v>clooney</v>
      </c>
    </row>
    <row r="25938">
      <c r="A25938" s="1" t="s">
        <v>25937</v>
      </c>
      <c r="B25938" s="2" t="str">
        <f>IFERROR(__xludf.DUMMYFUNCTION("GOOGLETRANSLATE(A25938, ""de"", ""en"")"),"confused")</f>
        <v>confused</v>
      </c>
    </row>
    <row r="25939">
      <c r="A25939" s="1" t="s">
        <v>25938</v>
      </c>
      <c r="B25939" s="2" t="str">
        <f>IFERROR(__xludf.DUMMYFUNCTION("GOOGLETRANSLATE(A25939, ""de"", ""en"")"),"more talented")</f>
        <v>more talented</v>
      </c>
    </row>
    <row r="25940">
      <c r="A25940" s="1" t="s">
        <v>25939</v>
      </c>
      <c r="B25940" s="2" t="str">
        <f>IFERROR(__xludf.DUMMYFUNCTION("GOOGLETRANSLATE(A25940, ""de"", ""en"")"),"tens of thousands")</f>
        <v>tens of thousands</v>
      </c>
    </row>
    <row r="25941">
      <c r="A25941" s="1" t="s">
        <v>25940</v>
      </c>
      <c r="B25941" s="2" t="str">
        <f>IFERROR(__xludf.DUMMYFUNCTION("GOOGLETRANSLATE(A25941, ""de"", ""en"")"),"made possible")</f>
        <v>made possible</v>
      </c>
    </row>
    <row r="25942">
      <c r="A25942" s="1" t="s">
        <v>25941</v>
      </c>
      <c r="B25942" s="2" t="str">
        <f>IFERROR(__xludf.DUMMYFUNCTION("GOOGLETRANSLATE(A25942, ""de"", ""en"")"),"clunker")</f>
        <v>clunker</v>
      </c>
    </row>
    <row r="25943">
      <c r="A25943" s="1" t="s">
        <v>25942</v>
      </c>
      <c r="B25943" s="2" t="str">
        <f>IFERROR(__xludf.DUMMYFUNCTION("GOOGLETRANSLATE(A25943, ""de"", ""en"")"),"third")</f>
        <v>third</v>
      </c>
    </row>
    <row r="25944">
      <c r="A25944" s="1" t="s">
        <v>25943</v>
      </c>
      <c r="B25944" s="2" t="str">
        <f>IFERROR(__xludf.DUMMYFUNCTION("GOOGLETRANSLATE(A25944, ""de"", ""en"")"),"Ralphie")</f>
        <v>Ralphie</v>
      </c>
    </row>
    <row r="25945">
      <c r="A25945" s="1" t="s">
        <v>25944</v>
      </c>
      <c r="B25945" s="2" t="str">
        <f>IFERROR(__xludf.DUMMYFUNCTION("GOOGLETRANSLATE(A25945, ""de"", ""en"")"),"vehicles")</f>
        <v>vehicles</v>
      </c>
    </row>
    <row r="25946">
      <c r="A25946" s="1" t="s">
        <v>25945</v>
      </c>
      <c r="B25946" s="2" t="str">
        <f>IFERROR(__xludf.DUMMYFUNCTION("GOOGLETRANSLATE(A25946, ""de"", ""en"")"),"Christmas time")</f>
        <v>Christmas time</v>
      </c>
    </row>
    <row r="25947">
      <c r="A25947" s="1" t="s">
        <v>25946</v>
      </c>
      <c r="B25947" s="2" t="str">
        <f>IFERROR(__xludf.DUMMYFUNCTION("GOOGLETRANSLATE(A25947, ""de"", ""en"")"),"Wehrmacht")</f>
        <v>Wehrmacht</v>
      </c>
    </row>
    <row r="25948">
      <c r="A25948" s="1" t="s">
        <v>25947</v>
      </c>
      <c r="B25948" s="2" t="str">
        <f>IFERROR(__xludf.DUMMYFUNCTION("GOOGLETRANSLATE(A25948, ""de"", ""en"")"),"founded")</f>
        <v>founded</v>
      </c>
    </row>
    <row r="25949">
      <c r="A25949" s="1" t="s">
        <v>25948</v>
      </c>
      <c r="B25949" s="2" t="str">
        <f>IFERROR(__xludf.DUMMYFUNCTION("GOOGLETRANSLATE(A25949, ""de"", ""en"")"),"one way street")</f>
        <v>one way street</v>
      </c>
    </row>
    <row r="25950">
      <c r="A25950" s="1" t="s">
        <v>25949</v>
      </c>
      <c r="B25950" s="2" t="str">
        <f>IFERROR(__xludf.DUMMYFUNCTION("GOOGLETRANSLATE(A25950, ""de"", ""en"")"),"committed")</f>
        <v>committed</v>
      </c>
    </row>
    <row r="25951">
      <c r="A25951" s="1" t="s">
        <v>25950</v>
      </c>
      <c r="B25951" s="2" t="str">
        <f>IFERROR(__xludf.DUMMYFUNCTION("GOOGLETRANSLATE(A25951, ""de"", ""en"")"),"codenames")</f>
        <v>codenames</v>
      </c>
    </row>
    <row r="25952">
      <c r="A25952" s="1" t="s">
        <v>25951</v>
      </c>
      <c r="B25952" s="2" t="str">
        <f>IFERROR(__xludf.DUMMYFUNCTION("GOOGLETRANSLATE(A25952, ""de"", ""en"")"),"compensated")</f>
        <v>compensated</v>
      </c>
    </row>
    <row r="25953">
      <c r="A25953" s="1" t="s">
        <v>25952</v>
      </c>
      <c r="B25953" s="2" t="str">
        <f>IFERROR(__xludf.DUMMYFUNCTION("GOOGLETRANSLATE(A25953, ""de"", ""en"")"),"asteroid")</f>
        <v>asteroid</v>
      </c>
    </row>
    <row r="25954">
      <c r="A25954" s="1" t="s">
        <v>25953</v>
      </c>
      <c r="B25954" s="2" t="str">
        <f>IFERROR(__xludf.DUMMYFUNCTION("GOOGLETRANSLATE(A25954, ""de"", ""en"")"),"doubtful")</f>
        <v>doubtful</v>
      </c>
    </row>
    <row r="25955">
      <c r="A25955" s="1" t="s">
        <v>25954</v>
      </c>
      <c r="B25955" s="2" t="str">
        <f>IFERROR(__xludf.DUMMYFUNCTION("GOOGLETRANSLATE(A25955, ""de"", ""en"")"),"extension")</f>
        <v>extension</v>
      </c>
    </row>
    <row r="25956">
      <c r="A25956" s="1" t="s">
        <v>25955</v>
      </c>
      <c r="B25956" s="2" t="str">
        <f>IFERROR(__xludf.DUMMYFUNCTION("GOOGLETRANSLATE(A25956, ""de"", ""en"")"),"ahmet")</f>
        <v>ahmet</v>
      </c>
    </row>
    <row r="25957">
      <c r="A25957" s="1" t="s">
        <v>25956</v>
      </c>
      <c r="B25957" s="2" t="str">
        <f>IFERROR(__xludf.DUMMYFUNCTION("GOOGLETRANSLATE(A25957, ""de"", ""en"")"),"olof")</f>
        <v>olof</v>
      </c>
    </row>
    <row r="25958">
      <c r="A25958" s="1" t="s">
        <v>25957</v>
      </c>
      <c r="B25958" s="2" t="str">
        <f>IFERROR(__xludf.DUMMYFUNCTION("GOOGLETRANSLATE(A25958, ""de"", ""en"")"),"rough")</f>
        <v>rough</v>
      </c>
    </row>
    <row r="25959">
      <c r="A25959" s="1" t="s">
        <v>25958</v>
      </c>
      <c r="B25959" s="2" t="str">
        <f>IFERROR(__xludf.DUMMYFUNCTION("GOOGLETRANSLATE(A25959, ""de"", ""en"")"),"popular")</f>
        <v>popular</v>
      </c>
    </row>
    <row r="25960">
      <c r="A25960" s="1" t="s">
        <v>25959</v>
      </c>
      <c r="B25960" s="2" t="str">
        <f>IFERROR(__xludf.DUMMYFUNCTION("GOOGLETRANSLATE(A25960, ""de"", ""en"")"),"Korean")</f>
        <v>Korean</v>
      </c>
    </row>
    <row r="25961">
      <c r="A25961" s="1" t="s">
        <v>25960</v>
      </c>
      <c r="B25961" s="2" t="str">
        <f>IFERROR(__xludf.DUMMYFUNCTION("GOOGLETRANSLATE(A25961, ""de"", ""en"")"),"joints")</f>
        <v>joints</v>
      </c>
    </row>
    <row r="25962">
      <c r="A25962" s="1" t="s">
        <v>25961</v>
      </c>
      <c r="B25962" s="2" t="str">
        <f>IFERROR(__xludf.DUMMYFUNCTION("GOOGLETRANSLATE(A25962, ""de"", ""en"")"),"directors")</f>
        <v>directors</v>
      </c>
    </row>
    <row r="25963">
      <c r="A25963" s="1" t="s">
        <v>25962</v>
      </c>
      <c r="B25963" s="2" t="str">
        <f>IFERROR(__xludf.DUMMYFUNCTION("GOOGLETRANSLATE(A25963, ""de"", ""en"")"),"hourly")</f>
        <v>hourly</v>
      </c>
    </row>
    <row r="25964">
      <c r="A25964" s="1" t="s">
        <v>25963</v>
      </c>
      <c r="B25964" s="2" t="str">
        <f>IFERROR(__xludf.DUMMYFUNCTION("GOOGLETRANSLATE(A25964, ""de"", ""en"")"),"chop")</f>
        <v>chop</v>
      </c>
    </row>
    <row r="25965">
      <c r="A25965" s="1" t="s">
        <v>25964</v>
      </c>
      <c r="B25965" s="2" t="str">
        <f>IFERROR(__xludf.DUMMYFUNCTION("GOOGLETRANSLATE(A25965, ""de"", ""en"")"),"shave")</f>
        <v>shave</v>
      </c>
    </row>
    <row r="25966">
      <c r="A25966" s="1" t="s">
        <v>25965</v>
      </c>
      <c r="B25966" s="2" t="str">
        <f>IFERROR(__xludf.DUMMYFUNCTION("GOOGLETRANSLATE(A25966, ""de"", ""en"")"),"rides")</f>
        <v>rides</v>
      </c>
    </row>
    <row r="25967">
      <c r="A25967" s="1" t="s">
        <v>25966</v>
      </c>
      <c r="B25967" s="2" t="str">
        <f>IFERROR(__xludf.DUMMYFUNCTION("GOOGLETRANSLATE(A25967, ""de"", ""en"")"),"regenerate")</f>
        <v>regenerate</v>
      </c>
    </row>
    <row r="25968">
      <c r="A25968" s="1" t="s">
        <v>25967</v>
      </c>
      <c r="B25968" s="2" t="str">
        <f>IFERROR(__xludf.DUMMYFUNCTION("GOOGLETRANSLATE(A25968, ""de"", ""en"")"),"trick question")</f>
        <v>trick question</v>
      </c>
    </row>
    <row r="25969">
      <c r="A25969" s="1" t="s">
        <v>25968</v>
      </c>
      <c r="B25969" s="2" t="str">
        <f>IFERROR(__xludf.DUMMYFUNCTION("GOOGLETRANSLATE(A25969, ""de"", ""en"")"),"sometimes")</f>
        <v>sometimes</v>
      </c>
    </row>
    <row r="25970">
      <c r="A25970" s="1" t="s">
        <v>25969</v>
      </c>
      <c r="B25970" s="2" t="str">
        <f>IFERROR(__xludf.DUMMYFUNCTION("GOOGLETRANSLATE(A25970, ""de"", ""en"")"),"tempted")</f>
        <v>tempted</v>
      </c>
    </row>
    <row r="25971">
      <c r="A25971" s="1" t="s">
        <v>25970</v>
      </c>
      <c r="B25971" s="2" t="str">
        <f>IFERROR(__xludf.DUMMYFUNCTION("GOOGLETRANSLATE(A25971, ""de"", ""en"")"),"vilde")</f>
        <v>vilde</v>
      </c>
    </row>
    <row r="25972">
      <c r="A25972" s="1" t="s">
        <v>25971</v>
      </c>
      <c r="B25972" s="2" t="str">
        <f>IFERROR(__xludf.DUMMYFUNCTION("GOOGLETRANSLATE(A25972, ""de"", ""en"")"),"wife")</f>
        <v>wife</v>
      </c>
    </row>
    <row r="25973">
      <c r="A25973" s="1" t="s">
        <v>25972</v>
      </c>
      <c r="B25973" s="2" t="str">
        <f>IFERROR(__xludf.DUMMYFUNCTION("GOOGLETRANSLATE(A25973, ""de"", ""en"")"),"ting")</f>
        <v>ting</v>
      </c>
    </row>
    <row r="25974">
      <c r="A25974" s="1" t="s">
        <v>25973</v>
      </c>
      <c r="B25974" s="2" t="str">
        <f>IFERROR(__xludf.DUMMYFUNCTION("GOOGLETRANSLATE(A25974, ""de"", ""en"")"),"barts")</f>
        <v>barts</v>
      </c>
    </row>
    <row r="25975">
      <c r="A25975" s="1" t="s">
        <v>25974</v>
      </c>
      <c r="B25975" s="2" t="str">
        <f>IFERROR(__xludf.DUMMYFUNCTION("GOOGLETRANSLATE(A25975, ""de"", ""en"")"),"fair")</f>
        <v>fair</v>
      </c>
    </row>
    <row r="25976">
      <c r="A25976" s="1" t="s">
        <v>25975</v>
      </c>
      <c r="B25976" s="2" t="str">
        <f>IFERROR(__xludf.DUMMYFUNCTION("GOOGLETRANSLATE(A25976, ""de"", ""en"")"),"security")</f>
        <v>security</v>
      </c>
    </row>
    <row r="25977">
      <c r="A25977" s="1" t="s">
        <v>25976</v>
      </c>
      <c r="B25977" s="2" t="str">
        <f>IFERROR(__xludf.DUMMYFUNCTION("GOOGLETRANSLATE(A25977, ""de"", ""en"")"),"invite")</f>
        <v>invite</v>
      </c>
    </row>
    <row r="25978">
      <c r="A25978" s="1" t="s">
        <v>25977</v>
      </c>
      <c r="B25978" s="2" t="str">
        <f>IFERROR(__xludf.DUMMYFUNCTION("GOOGLETRANSLATE(A25978, ""de"", ""en"")"),"as is well known")</f>
        <v>as is well known</v>
      </c>
    </row>
    <row r="25979">
      <c r="A25979" s="1" t="s">
        <v>25978</v>
      </c>
      <c r="B25979" s="2" t="str">
        <f>IFERROR(__xludf.DUMMYFUNCTION("GOOGLETRANSLATE(A25979, ""de"", ""en"")"),"joker")</f>
        <v>joker</v>
      </c>
    </row>
    <row r="25980">
      <c r="A25980" s="1" t="s">
        <v>25979</v>
      </c>
      <c r="B25980" s="2" t="str">
        <f>IFERROR(__xludf.DUMMYFUNCTION("GOOGLETRANSLATE(A25980, ""de"", ""en"")"),"swear")</f>
        <v>swear</v>
      </c>
    </row>
    <row r="25981">
      <c r="A25981" s="1" t="s">
        <v>25980</v>
      </c>
      <c r="B25981" s="2" t="str">
        <f>IFERROR(__xludf.DUMMYFUNCTION("GOOGLETRANSLATE(A25981, ""de"", ""en"")"),"windmill")</f>
        <v>windmill</v>
      </c>
    </row>
    <row r="25982">
      <c r="A25982" s="1" t="s">
        <v>25981</v>
      </c>
      <c r="B25982" s="2" t="str">
        <f>IFERROR(__xludf.DUMMYFUNCTION("GOOGLETRANSLATE(A25982, ""de"", ""en"")"),"telephone operator")</f>
        <v>telephone operator</v>
      </c>
    </row>
    <row r="25983">
      <c r="A25983" s="1" t="s">
        <v>25982</v>
      </c>
      <c r="B25983" s="2" t="str">
        <f>IFERROR(__xludf.DUMMYFUNCTION("GOOGLETRANSLATE(A25983, ""de"", ""en"")"),"repel")</f>
        <v>repel</v>
      </c>
    </row>
    <row r="25984">
      <c r="A25984" s="1" t="s">
        <v>25983</v>
      </c>
      <c r="B25984" s="2" t="str">
        <f>IFERROR(__xludf.DUMMYFUNCTION("GOOGLETRANSLATE(A25984, ""de"", ""en"")"),"fertilization")</f>
        <v>fertilization</v>
      </c>
    </row>
    <row r="25985">
      <c r="A25985" s="1" t="s">
        <v>25984</v>
      </c>
      <c r="B25985" s="2" t="str">
        <f>IFERROR(__xludf.DUMMYFUNCTION("GOOGLETRANSLATE(A25985, ""de"", ""en"")"),"vir")</f>
        <v>vir</v>
      </c>
    </row>
    <row r="25986">
      <c r="A25986" s="1" t="s">
        <v>25985</v>
      </c>
      <c r="B25986" s="2" t="str">
        <f>IFERROR(__xludf.DUMMYFUNCTION("GOOGLETRANSLATE(A25986, ""de"", ""en"")"),"magnificent")</f>
        <v>magnificent</v>
      </c>
    </row>
    <row r="25987">
      <c r="A25987" s="1" t="s">
        <v>25986</v>
      </c>
      <c r="B25987" s="2" t="str">
        <f>IFERROR(__xludf.DUMMYFUNCTION("GOOGLETRANSLATE(A25987, ""de"", ""en"")"),"to get it done")</f>
        <v>to get it done</v>
      </c>
    </row>
    <row r="25988">
      <c r="A25988" s="1" t="s">
        <v>25987</v>
      </c>
      <c r="B25988" s="2" t="str">
        <f>IFERROR(__xludf.DUMMYFUNCTION("GOOGLETRANSLATE(A25988, ""de"", ""en"")"),"sews")</f>
        <v>sews</v>
      </c>
    </row>
    <row r="25989">
      <c r="A25989" s="1" t="s">
        <v>25988</v>
      </c>
      <c r="B25989" s="2" t="str">
        <f>IFERROR(__xludf.DUMMYFUNCTION("GOOGLETRANSLATE(A25989, ""de"", ""en"")"),"henshaw")</f>
        <v>henshaw</v>
      </c>
    </row>
    <row r="25990">
      <c r="A25990" s="1" t="s">
        <v>25989</v>
      </c>
      <c r="B25990" s="2" t="str">
        <f>IFERROR(__xludf.DUMMYFUNCTION("GOOGLETRANSLATE(A25990, ""de"", ""en"")"),"Spanish")</f>
        <v>Spanish</v>
      </c>
    </row>
    <row r="25991">
      <c r="A25991" s="1" t="s">
        <v>25990</v>
      </c>
      <c r="B25991" s="2" t="str">
        <f>IFERROR(__xludf.DUMMYFUNCTION("GOOGLETRANSLATE(A25991, ""de"", ""en"")"),"flower shop")</f>
        <v>flower shop</v>
      </c>
    </row>
    <row r="25992">
      <c r="A25992" s="1" t="s">
        <v>25991</v>
      </c>
      <c r="B25992" s="2" t="str">
        <f>IFERROR(__xludf.DUMMYFUNCTION("GOOGLETRANSLATE(A25992, ""de"", ""en"")"),"dwindle")</f>
        <v>dwindle</v>
      </c>
    </row>
    <row r="25993">
      <c r="A25993" s="1" t="s">
        <v>25992</v>
      </c>
      <c r="B25993" s="2" t="str">
        <f>IFERROR(__xludf.DUMMYFUNCTION("GOOGLETRANSLATE(A25993, ""de"", ""en"")"),"resigned")</f>
        <v>resigned</v>
      </c>
    </row>
    <row r="25994">
      <c r="A25994" s="1" t="s">
        <v>25993</v>
      </c>
      <c r="B25994" s="2" t="str">
        <f>IFERROR(__xludf.DUMMYFUNCTION("GOOGLETRANSLATE(A25994, ""de"", ""en"")"),"feat")</f>
        <v>feat</v>
      </c>
    </row>
    <row r="25995">
      <c r="A25995" s="1" t="s">
        <v>25994</v>
      </c>
      <c r="B25995" s="2" t="str">
        <f>IFERROR(__xludf.DUMMYFUNCTION("GOOGLETRANSLATE(A25995, ""de"", ""en"")"),"coney")</f>
        <v>coney</v>
      </c>
    </row>
    <row r="25996">
      <c r="A25996" s="1" t="s">
        <v>25995</v>
      </c>
      <c r="B25996" s="2" t="str">
        <f>IFERROR(__xludf.DUMMYFUNCTION("GOOGLETRANSLATE(A25996, ""de"", ""en"")"),"stutter")</f>
        <v>stutter</v>
      </c>
    </row>
    <row r="25997">
      <c r="A25997" s="1" t="s">
        <v>25996</v>
      </c>
      <c r="B25997" s="2" t="str">
        <f>IFERROR(__xludf.DUMMYFUNCTION("GOOGLETRANSLATE(A25997, ""de"", ""en"")"),"ennis")</f>
        <v>ennis</v>
      </c>
    </row>
    <row r="25998">
      <c r="A25998" s="1" t="s">
        <v>25997</v>
      </c>
      <c r="B25998" s="2" t="str">
        <f>IFERROR(__xludf.DUMMYFUNCTION("GOOGLETRANSLATE(A25998, ""de"", ""en"")"),"tsunami")</f>
        <v>tsunami</v>
      </c>
    </row>
    <row r="25999">
      <c r="A25999" s="1" t="s">
        <v>25998</v>
      </c>
      <c r="B25999" s="2" t="str">
        <f>IFERROR(__xludf.DUMMYFUNCTION("GOOGLETRANSLATE(A25999, ""de"", ""en"")"),"shortest")</f>
        <v>shortest</v>
      </c>
    </row>
    <row r="26000">
      <c r="A26000" s="1" t="s">
        <v>25999</v>
      </c>
      <c r="B26000" s="2" t="str">
        <f>IFERROR(__xludf.DUMMYFUNCTION("GOOGLETRANSLATE(A26000, ""de"", ""en"")"),"look back")</f>
        <v>look back</v>
      </c>
    </row>
    <row r="26001">
      <c r="A26001" s="1" t="s">
        <v>26000</v>
      </c>
      <c r="B26001" s="2" t="str">
        <f>IFERROR(__xludf.DUMMYFUNCTION("GOOGLETRANSLATE(A26001, ""de"", ""en"")"),"paralyzed")</f>
        <v>paralyzed</v>
      </c>
    </row>
    <row r="26002">
      <c r="A26002" s="1" t="s">
        <v>26001</v>
      </c>
      <c r="B26002" s="2" t="str">
        <f>IFERROR(__xludf.DUMMYFUNCTION("GOOGLETRANSLATE(A26002, ""de"", ""en"")"),"reverse gear")</f>
        <v>reverse gear</v>
      </c>
    </row>
    <row r="26003">
      <c r="A26003" s="1" t="s">
        <v>26002</v>
      </c>
      <c r="B26003" s="2" t="str">
        <f>IFERROR(__xludf.DUMMYFUNCTION("GOOGLETRANSLATE(A26003, ""de"", ""en"")"),"stark naked")</f>
        <v>stark naked</v>
      </c>
    </row>
    <row r="26004">
      <c r="A26004" s="1" t="s">
        <v>26003</v>
      </c>
      <c r="B26004" s="2" t="str">
        <f>IFERROR(__xludf.DUMMYFUNCTION("GOOGLETRANSLATE(A26004, ""de"", ""en"")"),"mones")</f>
        <v>mones</v>
      </c>
    </row>
    <row r="26005">
      <c r="A26005" s="1" t="s">
        <v>26004</v>
      </c>
      <c r="B26005" s="2" t="str">
        <f>IFERROR(__xludf.DUMMYFUNCTION("GOOGLETRANSLATE(A26005, ""de"", ""en"")"),"wish")</f>
        <v>wish</v>
      </c>
    </row>
    <row r="26006">
      <c r="A26006" s="1" t="s">
        <v>26005</v>
      </c>
      <c r="B26006" s="2" t="str">
        <f>IFERROR(__xludf.DUMMYFUNCTION("GOOGLETRANSLATE(A26006, ""de"", ""en"")"),"hoarse")</f>
        <v>hoarse</v>
      </c>
    </row>
    <row r="26007">
      <c r="A26007" s="1" t="s">
        <v>26006</v>
      </c>
      <c r="B26007" s="2" t="str">
        <f>IFERROR(__xludf.DUMMYFUNCTION("GOOGLETRANSLATE(A26007, ""de"", ""en"")"),"spears")</f>
        <v>spears</v>
      </c>
    </row>
    <row r="26008">
      <c r="A26008" s="1" t="s">
        <v>26007</v>
      </c>
      <c r="B26008" s="2" t="str">
        <f>IFERROR(__xludf.DUMMYFUNCTION("GOOGLETRANSLATE(A26008, ""de"", ""en"")"),"newborn")</f>
        <v>newborn</v>
      </c>
    </row>
    <row r="26009">
      <c r="A26009" s="1" t="s">
        <v>26008</v>
      </c>
      <c r="B26009" s="2" t="str">
        <f>IFERROR(__xludf.DUMMYFUNCTION("GOOGLETRANSLATE(A26009, ""de"", ""en"")"),"championships")</f>
        <v>championships</v>
      </c>
    </row>
    <row r="26010">
      <c r="A26010" s="1" t="s">
        <v>26009</v>
      </c>
      <c r="B26010" s="2" t="str">
        <f>IFERROR(__xludf.DUMMYFUNCTION("GOOGLETRANSLATE(A26010, ""de"", ""en"")"),"affection")</f>
        <v>affection</v>
      </c>
    </row>
    <row r="26011">
      <c r="A26011" s="1" t="s">
        <v>26010</v>
      </c>
      <c r="B26011" s="2" t="str">
        <f>IFERROR(__xludf.DUMMYFUNCTION("GOOGLETRANSLATE(A26011, ""de"", ""en"")"),"compatible")</f>
        <v>compatible</v>
      </c>
    </row>
    <row r="26012">
      <c r="A26012" s="1" t="s">
        <v>26011</v>
      </c>
      <c r="B26012" s="2" t="str">
        <f>IFERROR(__xludf.DUMMYFUNCTION("GOOGLETRANSLATE(A26012, ""de"", ""en"")"),"die of thirst")</f>
        <v>die of thirst</v>
      </c>
    </row>
    <row r="26013">
      <c r="A26013" s="1" t="s">
        <v>26012</v>
      </c>
      <c r="B26013" s="2" t="str">
        <f>IFERROR(__xludf.DUMMYFUNCTION("GOOGLETRANSLATE(A26013, ""de"", ""en"")"),"lazy")</f>
        <v>lazy</v>
      </c>
    </row>
    <row r="26014">
      <c r="A26014" s="1" t="s">
        <v>26013</v>
      </c>
      <c r="B26014" s="2" t="str">
        <f>IFERROR(__xludf.DUMMYFUNCTION("GOOGLETRANSLATE(A26014, ""de"", ""en"")"),"relax")</f>
        <v>relax</v>
      </c>
    </row>
    <row r="26015">
      <c r="A26015" s="1" t="s">
        <v>26014</v>
      </c>
      <c r="B26015" s="2" t="str">
        <f>IFERROR(__xludf.DUMMYFUNCTION("GOOGLETRANSLATE(A26015, ""de"", ""en"")"),"cute")</f>
        <v>cute</v>
      </c>
    </row>
    <row r="26016">
      <c r="A26016" s="1" t="s">
        <v>26015</v>
      </c>
      <c r="B26016" s="2" t="str">
        <f>IFERROR(__xludf.DUMMYFUNCTION("GOOGLETRANSLATE(A26016, ""de"", ""en"")"),"charlatan")</f>
        <v>charlatan</v>
      </c>
    </row>
    <row r="26017">
      <c r="A26017" s="1" t="s">
        <v>26016</v>
      </c>
      <c r="B26017" s="2" t="str">
        <f>IFERROR(__xludf.DUMMYFUNCTION("GOOGLETRANSLATE(A26017, ""de"", ""en"")"),"flown in")</f>
        <v>flown in</v>
      </c>
    </row>
    <row r="26018">
      <c r="A26018" s="1" t="s">
        <v>26017</v>
      </c>
      <c r="B26018" s="2" t="str">
        <f>IFERROR(__xludf.DUMMYFUNCTION("GOOGLETRANSLATE(A26018, ""de"", ""en"")"),"claudette")</f>
        <v>claudette</v>
      </c>
    </row>
    <row r="26019">
      <c r="A26019" s="1" t="s">
        <v>26018</v>
      </c>
      <c r="B26019" s="2" t="str">
        <f>IFERROR(__xludf.DUMMYFUNCTION("GOOGLETRANSLATE(A26019, ""de"", ""en"")"),"truckers")</f>
        <v>truckers</v>
      </c>
    </row>
    <row r="26020">
      <c r="A26020" s="1" t="s">
        <v>26019</v>
      </c>
      <c r="B26020" s="2" t="str">
        <f>IFERROR(__xludf.DUMMYFUNCTION("GOOGLETRANSLATE(A26020, ""de"", ""en"")"),"golf")</f>
        <v>golf</v>
      </c>
    </row>
    <row r="26021">
      <c r="A26021" s="1" t="s">
        <v>26020</v>
      </c>
      <c r="B26021" s="2" t="str">
        <f>IFERROR(__xludf.DUMMYFUNCTION("GOOGLETRANSLATE(A26021, ""de"", ""en"")"),"force")</f>
        <v>force</v>
      </c>
    </row>
    <row r="26022">
      <c r="A26022" s="1" t="s">
        <v>26021</v>
      </c>
      <c r="B26022" s="2" t="str">
        <f>IFERROR(__xludf.DUMMYFUNCTION("GOOGLETRANSLATE(A26022, ""de"", ""en"")"),"fire")</f>
        <v>fire</v>
      </c>
    </row>
    <row r="26023">
      <c r="A26023" s="1" t="s">
        <v>26022</v>
      </c>
      <c r="B26023" s="2" t="str">
        <f>IFERROR(__xludf.DUMMYFUNCTION("GOOGLETRANSLATE(A26023, ""de"", ""en"")"),"holy")</f>
        <v>holy</v>
      </c>
    </row>
    <row r="26024">
      <c r="A26024" s="1" t="s">
        <v>26023</v>
      </c>
      <c r="B26024" s="2" t="str">
        <f>IFERROR(__xludf.DUMMYFUNCTION("GOOGLETRANSLATE(A26024, ""de"", ""en"")"),"experiments")</f>
        <v>experiments</v>
      </c>
    </row>
    <row r="26025">
      <c r="A26025" s="1" t="s">
        <v>26024</v>
      </c>
      <c r="B26025" s="2" t="str">
        <f>IFERROR(__xludf.DUMMYFUNCTION("GOOGLETRANSLATE(A26025, ""de"", ""en"")"),"lennart")</f>
        <v>lennart</v>
      </c>
    </row>
    <row r="26026">
      <c r="A26026" s="1" t="s">
        <v>26025</v>
      </c>
      <c r="B26026" s="2" t="str">
        <f>IFERROR(__xludf.DUMMYFUNCTION("GOOGLETRANSLATE(A26026, ""de"", ""en"")"),"bestow")</f>
        <v>bestow</v>
      </c>
    </row>
    <row r="26027">
      <c r="A26027" s="1" t="s">
        <v>26026</v>
      </c>
      <c r="B26027" s="2" t="str">
        <f>IFERROR(__xludf.DUMMYFUNCTION("GOOGLETRANSLATE(A26027, ""de"", ""en"")"),"final line")</f>
        <v>final line</v>
      </c>
    </row>
    <row r="26028">
      <c r="A26028" s="1" t="s">
        <v>26027</v>
      </c>
      <c r="B26028" s="2" t="str">
        <f>IFERROR(__xludf.DUMMYFUNCTION("GOOGLETRANSLATE(A26028, ""de"", ""en"")"),"kaufman")</f>
        <v>kaufman</v>
      </c>
    </row>
    <row r="26029">
      <c r="A26029" s="1" t="s">
        <v>26028</v>
      </c>
      <c r="B26029" s="2" t="str">
        <f>IFERROR(__xludf.DUMMYFUNCTION("GOOGLETRANSLATE(A26029, ""de"", ""en"")"),"funky")</f>
        <v>funky</v>
      </c>
    </row>
    <row r="26030">
      <c r="A26030" s="1" t="s">
        <v>26029</v>
      </c>
      <c r="B26030" s="2" t="str">
        <f>IFERROR(__xludf.DUMMYFUNCTION("GOOGLETRANSLATE(A26030, ""de"", ""en"")"),"sculptor")</f>
        <v>sculptor</v>
      </c>
    </row>
    <row r="26031">
      <c r="A26031" s="1" t="s">
        <v>26030</v>
      </c>
      <c r="B26031" s="2" t="str">
        <f>IFERROR(__xludf.DUMMYFUNCTION("GOOGLETRANSLATE(A26031, ""de"", ""en"")"),"arturo")</f>
        <v>arturo</v>
      </c>
    </row>
    <row r="26032">
      <c r="A26032" s="1" t="s">
        <v>26031</v>
      </c>
      <c r="B26032" s="2" t="str">
        <f>IFERROR(__xludf.DUMMYFUNCTION("GOOGLETRANSLATE(A26032, ""de"", ""en"")"),"kendrick")</f>
        <v>kendrick</v>
      </c>
    </row>
    <row r="26033">
      <c r="A26033" s="1" t="s">
        <v>26032</v>
      </c>
      <c r="B26033" s="2" t="str">
        <f>IFERROR(__xludf.DUMMYFUNCTION("GOOGLETRANSLATE(A26033, ""de"", ""en"")"),"pressed")</f>
        <v>pressed</v>
      </c>
    </row>
    <row r="26034">
      <c r="A26034" s="1" t="s">
        <v>26033</v>
      </c>
      <c r="B26034" s="2" t="str">
        <f>IFERROR(__xludf.DUMMYFUNCTION("GOOGLETRANSLATE(A26034, ""de"", ""en"")"),"football player")</f>
        <v>football player</v>
      </c>
    </row>
    <row r="26035">
      <c r="A26035" s="1" t="s">
        <v>26034</v>
      </c>
      <c r="B26035" s="2" t="str">
        <f>IFERROR(__xludf.DUMMYFUNCTION("GOOGLETRANSLATE(A26035, ""de"", ""en"")"),"to strike")</f>
        <v>to strike</v>
      </c>
    </row>
    <row r="26036">
      <c r="A26036" s="1" t="s">
        <v>26035</v>
      </c>
      <c r="B26036" s="2" t="str">
        <f>IFERROR(__xludf.DUMMYFUNCTION("GOOGLETRANSLATE(A26036, ""de"", ""en"")"),"stollen")</f>
        <v>stollen</v>
      </c>
    </row>
    <row r="26037">
      <c r="A26037" s="1" t="s">
        <v>26036</v>
      </c>
      <c r="B26037" s="2" t="str">
        <f>IFERROR(__xludf.DUMMYFUNCTION("GOOGLETRANSLATE(A26037, ""de"", ""en"")"),"truffle")</f>
        <v>truffle</v>
      </c>
    </row>
    <row r="26038">
      <c r="A26038" s="1" t="s">
        <v>26037</v>
      </c>
      <c r="B26038" s="2" t="str">
        <f>IFERROR(__xludf.DUMMYFUNCTION("GOOGLETRANSLATE(A26038, ""de"", ""en"")"),"cookbook")</f>
        <v>cookbook</v>
      </c>
    </row>
    <row r="26039">
      <c r="A26039" s="1" t="s">
        <v>26038</v>
      </c>
      <c r="B26039" s="2" t="str">
        <f>IFERROR(__xludf.DUMMYFUNCTION("GOOGLETRANSLATE(A26039, ""de"", ""en"")"),"flattery")</f>
        <v>flattery</v>
      </c>
    </row>
    <row r="26040">
      <c r="A26040" s="1" t="s">
        <v>26039</v>
      </c>
      <c r="B26040" s="2" t="str">
        <f>IFERROR(__xludf.DUMMYFUNCTION("GOOGLETRANSLATE(A26040, ""de"", ""en"")"),"hungover")</f>
        <v>hungover</v>
      </c>
    </row>
    <row r="26041">
      <c r="A26041" s="1" t="s">
        <v>26040</v>
      </c>
      <c r="B26041" s="2" t="str">
        <f>IFERROR(__xludf.DUMMYFUNCTION("GOOGLETRANSLATE(A26041, ""de"", ""en"")"),"premature")</f>
        <v>premature</v>
      </c>
    </row>
    <row r="26042">
      <c r="A26042" s="1" t="s">
        <v>26041</v>
      </c>
      <c r="B26042" s="2" t="str">
        <f>IFERROR(__xludf.DUMMYFUNCTION("GOOGLETRANSLATE(A26042, ""de"", ""en"")"),"Suzette")</f>
        <v>Suzette</v>
      </c>
    </row>
    <row r="26043">
      <c r="A26043" s="1" t="s">
        <v>26042</v>
      </c>
      <c r="B26043" s="2" t="str">
        <f>IFERROR(__xludf.DUMMYFUNCTION("GOOGLETRANSLATE(A26043, ""de"", ""en"")"),"ogden")</f>
        <v>ogden</v>
      </c>
    </row>
    <row r="26044">
      <c r="A26044" s="1" t="s">
        <v>26043</v>
      </c>
      <c r="B26044" s="2" t="str">
        <f>IFERROR(__xludf.DUMMYFUNCTION("GOOGLETRANSLATE(A26044, ""de"", ""en"")"),"barnabas")</f>
        <v>barnabas</v>
      </c>
    </row>
    <row r="26045">
      <c r="A26045" s="1" t="s">
        <v>26044</v>
      </c>
      <c r="B26045" s="2" t="str">
        <f>IFERROR(__xludf.DUMMYFUNCTION("GOOGLETRANSLATE(A26045, ""de"", ""en"")"),"wolff")</f>
        <v>wolff</v>
      </c>
    </row>
    <row r="26046">
      <c r="A26046" s="1" t="s">
        <v>26045</v>
      </c>
      <c r="B26046" s="2" t="str">
        <f>IFERROR(__xludf.DUMMYFUNCTION("GOOGLETRANSLATE(A26046, ""de"", ""en"")"),"stabbed")</f>
        <v>stabbed</v>
      </c>
    </row>
    <row r="26047">
      <c r="A26047" s="1" t="s">
        <v>26046</v>
      </c>
      <c r="B26047" s="2" t="str">
        <f>IFERROR(__xludf.DUMMYFUNCTION("GOOGLETRANSLATE(A26047, ""de"", ""en"")"),"implanted")</f>
        <v>implanted</v>
      </c>
    </row>
    <row r="26048">
      <c r="A26048" s="1" t="s">
        <v>26047</v>
      </c>
      <c r="B26048" s="2" t="str">
        <f>IFERROR(__xludf.DUMMYFUNCTION("GOOGLETRANSLATE(A26048, ""de"", ""en"")"),"violent")</f>
        <v>violent</v>
      </c>
    </row>
    <row r="26049">
      <c r="A26049" s="1" t="s">
        <v>26048</v>
      </c>
      <c r="B26049" s="2" t="str">
        <f>IFERROR(__xludf.DUMMYFUNCTION("GOOGLETRANSLATE(A26049, ""de"", ""en"")"),"wonderland")</f>
        <v>wonderland</v>
      </c>
    </row>
    <row r="26050">
      <c r="A26050" s="1" t="s">
        <v>26049</v>
      </c>
      <c r="B26050" s="2" t="str">
        <f>IFERROR(__xludf.DUMMYFUNCTION("GOOGLETRANSLATE(A26050, ""de"", ""en"")"),"order")</f>
        <v>order</v>
      </c>
    </row>
    <row r="26051">
      <c r="A26051" s="1" t="s">
        <v>26050</v>
      </c>
      <c r="B26051" s="2" t="str">
        <f>IFERROR(__xludf.DUMMYFUNCTION("GOOGLETRANSLATE(A26051, ""de"", ""en"")"),"reference")</f>
        <v>reference</v>
      </c>
    </row>
    <row r="26052">
      <c r="A26052" s="1" t="s">
        <v>26051</v>
      </c>
      <c r="B26052" s="2" t="str">
        <f>IFERROR(__xludf.DUMMYFUNCTION("GOOGLETRANSLATE(A26052, ""de"", ""en"")"),"essential")</f>
        <v>essential</v>
      </c>
    </row>
    <row r="26053">
      <c r="A26053" s="1" t="s">
        <v>26052</v>
      </c>
      <c r="B26053" s="2" t="str">
        <f>IFERROR(__xludf.DUMMYFUNCTION("GOOGLETRANSLATE(A26053, ""de"", ""en"")"),"ghoul")</f>
        <v>ghoul</v>
      </c>
    </row>
    <row r="26054">
      <c r="A26054" s="1" t="s">
        <v>26053</v>
      </c>
      <c r="B26054" s="2" t="str">
        <f>IFERROR(__xludf.DUMMYFUNCTION("GOOGLETRANSLATE(A26054, ""de"", ""en"")"),"understand")</f>
        <v>understand</v>
      </c>
    </row>
    <row r="26055">
      <c r="A26055" s="1" t="s">
        <v>26054</v>
      </c>
      <c r="B26055" s="2" t="str">
        <f>IFERROR(__xludf.DUMMYFUNCTION("GOOGLETRANSLATE(A26055, ""de"", ""en"")"),"flee")</f>
        <v>flee</v>
      </c>
    </row>
    <row r="26056">
      <c r="A26056" s="1" t="s">
        <v>26055</v>
      </c>
      <c r="B26056" s="2" t="str">
        <f>IFERROR(__xludf.DUMMYFUNCTION("GOOGLETRANSLATE(A26056, ""de"", ""en"")"),"potential")</f>
        <v>potential</v>
      </c>
    </row>
    <row r="26057">
      <c r="A26057" s="1" t="s">
        <v>26056</v>
      </c>
      <c r="B26057" s="2" t="str">
        <f>IFERROR(__xludf.DUMMYFUNCTION("GOOGLETRANSLATE(A26057, ""de"", ""en"")"),"mckinley")</f>
        <v>mckinley</v>
      </c>
    </row>
    <row r="26058">
      <c r="A26058" s="1" t="s">
        <v>26057</v>
      </c>
      <c r="B26058" s="2" t="str">
        <f>IFERROR(__xludf.DUMMYFUNCTION("GOOGLETRANSLATE(A26058, ""de"", ""en"")"),"bizarre")</f>
        <v>bizarre</v>
      </c>
    </row>
    <row r="26059">
      <c r="A26059" s="1" t="s">
        <v>26058</v>
      </c>
      <c r="B26059" s="2" t="str">
        <f>IFERROR(__xludf.DUMMYFUNCTION("GOOGLETRANSLATE(A26059, ""de"", ""en"")"),"lon")</f>
        <v>lon</v>
      </c>
    </row>
    <row r="26060">
      <c r="A26060" s="1" t="s">
        <v>26059</v>
      </c>
      <c r="B26060" s="2" t="str">
        <f>IFERROR(__xludf.DUMMYFUNCTION("GOOGLETRANSLATE(A26060, ""de"", ""en"")"),"transfusion")</f>
        <v>transfusion</v>
      </c>
    </row>
    <row r="26061">
      <c r="A26061" s="1" t="s">
        <v>26060</v>
      </c>
      <c r="B26061" s="2" t="str">
        <f>IFERROR(__xludf.DUMMYFUNCTION("GOOGLETRANSLATE(A26061, ""de"", ""en"")"),"Andersson")</f>
        <v>Andersson</v>
      </c>
    </row>
    <row r="26062">
      <c r="A26062" s="1" t="s">
        <v>26061</v>
      </c>
      <c r="B26062" s="2" t="str">
        <f>IFERROR(__xludf.DUMMYFUNCTION("GOOGLETRANSLATE(A26062, ""de"", ""en"")"),"seize")</f>
        <v>seize</v>
      </c>
    </row>
    <row r="26063">
      <c r="A26063" s="1" t="s">
        <v>26062</v>
      </c>
      <c r="B26063" s="2" t="str">
        <f>IFERROR(__xludf.DUMMYFUNCTION("GOOGLETRANSLATE(A26063, ""de"", ""en"")"),"erna")</f>
        <v>erna</v>
      </c>
    </row>
    <row r="26064">
      <c r="A26064" s="1" t="s">
        <v>26063</v>
      </c>
      <c r="B26064" s="2" t="str">
        <f>IFERROR(__xludf.DUMMYFUNCTION("GOOGLETRANSLATE(A26064, ""de"", ""en"")"),"oblique")</f>
        <v>oblique</v>
      </c>
    </row>
    <row r="26065">
      <c r="A26065" s="1" t="s">
        <v>26064</v>
      </c>
      <c r="B26065" s="2" t="str">
        <f>IFERROR(__xludf.DUMMYFUNCTION("GOOGLETRANSLATE(A26065, ""de"", ""en"")"),"more cunning")</f>
        <v>more cunning</v>
      </c>
    </row>
    <row r="26066">
      <c r="A26066" s="1" t="s">
        <v>26065</v>
      </c>
      <c r="B26066" s="2" t="str">
        <f>IFERROR(__xludf.DUMMYFUNCTION("GOOGLETRANSLATE(A26066, ""de"", ""en"")"),"film")</f>
        <v>film</v>
      </c>
    </row>
    <row r="26067">
      <c r="A26067" s="1" t="s">
        <v>26066</v>
      </c>
      <c r="B26067" s="2" t="str">
        <f>IFERROR(__xludf.DUMMYFUNCTION("GOOGLETRANSLATE(A26067, ""de"", ""en"")"),"hide and seek")</f>
        <v>hide and seek</v>
      </c>
    </row>
    <row r="26068">
      <c r="A26068" s="1" t="s">
        <v>26067</v>
      </c>
      <c r="B26068" s="2" t="str">
        <f>IFERROR(__xludf.DUMMYFUNCTION("GOOGLETRANSLATE(A26068, ""de"", ""en"")"),"check")</f>
        <v>check</v>
      </c>
    </row>
    <row r="26069">
      <c r="A26069" s="1" t="s">
        <v>26068</v>
      </c>
      <c r="B26069" s="2" t="str">
        <f>IFERROR(__xludf.DUMMYFUNCTION("GOOGLETRANSLATE(A26069, ""de"", ""en"")"),"projection")</f>
        <v>projection</v>
      </c>
    </row>
    <row r="26070">
      <c r="A26070" s="1" t="s">
        <v>26069</v>
      </c>
      <c r="B26070" s="2" t="str">
        <f>IFERROR(__xludf.DUMMYFUNCTION("GOOGLETRANSLATE(A26070, ""de"", ""en"")"),"universities")</f>
        <v>universities</v>
      </c>
    </row>
    <row r="26071">
      <c r="A26071" s="1" t="s">
        <v>26070</v>
      </c>
      <c r="B26071" s="2" t="str">
        <f>IFERROR(__xludf.DUMMYFUNCTION("GOOGLETRANSLATE(A26071, ""de"", ""en"")"),"Palermo")</f>
        <v>Palermo</v>
      </c>
    </row>
    <row r="26072">
      <c r="A26072" s="1" t="s">
        <v>26071</v>
      </c>
      <c r="B26072" s="2" t="str">
        <f>IFERROR(__xludf.DUMMYFUNCTION("GOOGLETRANSLATE(A26072, ""de"", ""en"")"),"grandson")</f>
        <v>grandson</v>
      </c>
    </row>
    <row r="26073">
      <c r="A26073" s="1" t="s">
        <v>26072</v>
      </c>
      <c r="B26073" s="2" t="str">
        <f>IFERROR(__xludf.DUMMYFUNCTION("GOOGLETRANSLATE(A26073, ""de"", ""en"")"),"everyone")</f>
        <v>everyone</v>
      </c>
    </row>
    <row r="26074">
      <c r="A26074" s="1" t="s">
        <v>26073</v>
      </c>
      <c r="B26074" s="2" t="str">
        <f>IFERROR(__xludf.DUMMYFUNCTION("GOOGLETRANSLATE(A26074, ""de"", ""en"")"),"findus")</f>
        <v>findus</v>
      </c>
    </row>
    <row r="26075">
      <c r="A26075" s="1" t="s">
        <v>26074</v>
      </c>
      <c r="B26075" s="2" t="str">
        <f>IFERROR(__xludf.DUMMYFUNCTION("GOOGLETRANSLATE(A26075, ""de"", ""en"")"),"diverse")</f>
        <v>diverse</v>
      </c>
    </row>
    <row r="26076">
      <c r="A26076" s="1" t="s">
        <v>26075</v>
      </c>
      <c r="B26076" s="2" t="str">
        <f>IFERROR(__xludf.DUMMYFUNCTION("GOOGLETRANSLATE(A26076, ""de"", ""en"")"),"equip")</f>
        <v>equip</v>
      </c>
    </row>
    <row r="26077">
      <c r="A26077" s="1" t="s">
        <v>26076</v>
      </c>
      <c r="B26077" s="2" t="str">
        <f>IFERROR(__xludf.DUMMYFUNCTION("GOOGLETRANSLATE(A26077, ""de"", ""en"")"),"flirt")</f>
        <v>flirt</v>
      </c>
    </row>
    <row r="26078">
      <c r="A26078" s="1" t="s">
        <v>26077</v>
      </c>
      <c r="B26078" s="2" t="str">
        <f>IFERROR(__xludf.DUMMYFUNCTION("GOOGLETRANSLATE(A26078, ""de"", ""en"")"),"epitome")</f>
        <v>epitome</v>
      </c>
    </row>
    <row r="26079">
      <c r="A26079" s="1" t="s">
        <v>26078</v>
      </c>
      <c r="B26079" s="2" t="str">
        <f>IFERROR(__xludf.DUMMYFUNCTION("GOOGLETRANSLATE(A26079, ""de"", ""en"")"),"Maria")</f>
        <v>Maria</v>
      </c>
    </row>
    <row r="26080">
      <c r="A26080" s="1" t="s">
        <v>26079</v>
      </c>
      <c r="B26080" s="2" t="str">
        <f>IFERROR(__xludf.DUMMYFUNCTION("GOOGLETRANSLATE(A26080, ""de"", ""en"")"),"cade")</f>
        <v>cade</v>
      </c>
    </row>
    <row r="26081">
      <c r="A26081" s="1" t="s">
        <v>26080</v>
      </c>
      <c r="B26081" s="2" t="str">
        <f>IFERROR(__xludf.DUMMYFUNCTION("GOOGLETRANSLATE(A26081, ""de"", ""en"")"),"hit on")</f>
        <v>hit on</v>
      </c>
    </row>
    <row r="26082">
      <c r="A26082" s="1" t="s">
        <v>26081</v>
      </c>
      <c r="B26082" s="2" t="str">
        <f>IFERROR(__xludf.DUMMYFUNCTION("GOOGLETRANSLATE(A26082, ""de"", ""en"")"),"plants")</f>
        <v>plants</v>
      </c>
    </row>
    <row r="26083">
      <c r="A26083" s="1" t="s">
        <v>26082</v>
      </c>
      <c r="B26083" s="2" t="str">
        <f>IFERROR(__xludf.DUMMYFUNCTION("GOOGLETRANSLATE(A26083, ""de"", ""en"")"),"unannounced")</f>
        <v>unannounced</v>
      </c>
    </row>
    <row r="26084">
      <c r="A26084" s="1" t="s">
        <v>26083</v>
      </c>
      <c r="B26084" s="2" t="str">
        <f>IFERROR(__xludf.DUMMYFUNCTION("GOOGLETRANSLATE(A26084, ""de"", ""en"")"),"intimately")</f>
        <v>intimately</v>
      </c>
    </row>
    <row r="26085">
      <c r="A26085" s="1" t="s">
        <v>26084</v>
      </c>
      <c r="B26085" s="2" t="str">
        <f>IFERROR(__xludf.DUMMYFUNCTION("GOOGLETRANSLATE(A26085, ""de"", ""en"")"),"fog")</f>
        <v>fog</v>
      </c>
    </row>
    <row r="26086">
      <c r="A26086" s="1" t="s">
        <v>26085</v>
      </c>
      <c r="B26086" s="2" t="str">
        <f>IFERROR(__xludf.DUMMYFUNCTION("GOOGLETRANSLATE(A26086, ""de"", ""en"")"),"mccall")</f>
        <v>mccall</v>
      </c>
    </row>
    <row r="26087">
      <c r="A26087" s="1" t="s">
        <v>26086</v>
      </c>
      <c r="B26087" s="2" t="str">
        <f>IFERROR(__xludf.DUMMYFUNCTION("GOOGLETRANSLATE(A26087, ""de"", ""en"")"),"disagreements")</f>
        <v>disagreements</v>
      </c>
    </row>
    <row r="26088">
      <c r="A26088" s="1" t="s">
        <v>26087</v>
      </c>
      <c r="B26088" s="2" t="str">
        <f>IFERROR(__xludf.DUMMYFUNCTION("GOOGLETRANSLATE(A26088, ""de"", ""en"")"),"measurements")</f>
        <v>measurements</v>
      </c>
    </row>
    <row r="26089">
      <c r="A26089" s="1" t="s">
        <v>26088</v>
      </c>
      <c r="B26089" s="2" t="str">
        <f>IFERROR(__xludf.DUMMYFUNCTION("GOOGLETRANSLATE(A26089, ""de"", ""en"")"),"tried")</f>
        <v>tried</v>
      </c>
    </row>
    <row r="26090">
      <c r="A26090" s="1" t="s">
        <v>26089</v>
      </c>
      <c r="B26090" s="2" t="str">
        <f>IFERROR(__xludf.DUMMYFUNCTION("GOOGLETRANSLATE(A26090, ""de"", ""en"")"),"came home")</f>
        <v>came home</v>
      </c>
    </row>
    <row r="26091">
      <c r="A26091" s="1" t="s">
        <v>26090</v>
      </c>
      <c r="B26091" s="2" t="str">
        <f>IFERROR(__xludf.DUMMYFUNCTION("GOOGLETRANSLATE(A26091, ""de"", ""en"")"),"branch")</f>
        <v>branch</v>
      </c>
    </row>
    <row r="26092">
      <c r="A26092" s="1" t="s">
        <v>26091</v>
      </c>
      <c r="B26092" s="2" t="str">
        <f>IFERROR(__xludf.DUMMYFUNCTION("GOOGLETRANSLATE(A26092, ""de"", ""en"")"),"check")</f>
        <v>check</v>
      </c>
    </row>
    <row r="26093">
      <c r="A26093" s="1" t="s">
        <v>26092</v>
      </c>
      <c r="B26093" s="2" t="str">
        <f>IFERROR(__xludf.DUMMYFUNCTION("GOOGLETRANSLATE(A26093, ""de"", ""en"")"),"pocket knife")</f>
        <v>pocket knife</v>
      </c>
    </row>
    <row r="26094">
      <c r="A26094" s="1" t="s">
        <v>26093</v>
      </c>
      <c r="B26094" s="2" t="str">
        <f>IFERROR(__xludf.DUMMYFUNCTION("GOOGLETRANSLATE(A26094, ""de"", ""en"")"),"most expensive")</f>
        <v>most expensive</v>
      </c>
    </row>
    <row r="26095">
      <c r="A26095" s="1" t="s">
        <v>26094</v>
      </c>
      <c r="B26095" s="2" t="str">
        <f>IFERROR(__xludf.DUMMYFUNCTION("GOOGLETRANSLATE(A26095, ""de"", ""en"")"),"Schmeling")</f>
        <v>Schmeling</v>
      </c>
    </row>
    <row r="26096">
      <c r="A26096" s="1" t="s">
        <v>26095</v>
      </c>
      <c r="B26096" s="2" t="str">
        <f>IFERROR(__xludf.DUMMYFUNCTION("GOOGLETRANSLATE(A26096, ""de"", ""en"")"),"eager")</f>
        <v>eager</v>
      </c>
    </row>
    <row r="26097">
      <c r="A26097" s="1" t="s">
        <v>26096</v>
      </c>
      <c r="B26097" s="2" t="str">
        <f>IFERROR(__xludf.DUMMYFUNCTION("GOOGLETRANSLATE(A26097, ""de"", ""en"")"),"swans")</f>
        <v>swans</v>
      </c>
    </row>
    <row r="26098">
      <c r="A26098" s="1" t="s">
        <v>26097</v>
      </c>
      <c r="B26098" s="2" t="str">
        <f>IFERROR(__xludf.DUMMYFUNCTION("GOOGLETRANSLATE(A26098, ""de"", ""en"")"),"more reliable")</f>
        <v>more reliable</v>
      </c>
    </row>
    <row r="26099">
      <c r="A26099" s="1" t="s">
        <v>26098</v>
      </c>
      <c r="B26099" s="2" t="str">
        <f>IFERROR(__xludf.DUMMYFUNCTION("GOOGLETRANSLATE(A26099, ""de"", ""en"")"),"chai")</f>
        <v>chai</v>
      </c>
    </row>
    <row r="26100">
      <c r="A26100" s="1" t="s">
        <v>26099</v>
      </c>
      <c r="B26100" s="2" t="str">
        <f>IFERROR(__xludf.DUMMYFUNCTION("GOOGLETRANSLATE(A26100, ""de"", ""en"")"),"deceives")</f>
        <v>deceives</v>
      </c>
    </row>
    <row r="26101">
      <c r="A26101" s="1" t="s">
        <v>26100</v>
      </c>
      <c r="B26101" s="2" t="str">
        <f>IFERROR(__xludf.DUMMYFUNCTION("GOOGLETRANSLATE(A26101, ""de"", ""en"")"),"Ezekiel")</f>
        <v>Ezekiel</v>
      </c>
    </row>
    <row r="26102">
      <c r="A26102" s="1" t="s">
        <v>26101</v>
      </c>
      <c r="B26102" s="2" t="str">
        <f>IFERROR(__xludf.DUMMYFUNCTION("GOOGLETRANSLATE(A26102, ""de"", ""en"")"),"In any")</f>
        <v>In any</v>
      </c>
    </row>
    <row r="26103">
      <c r="A26103" s="1" t="s">
        <v>26102</v>
      </c>
      <c r="B26103" s="2" t="str">
        <f>IFERROR(__xludf.DUMMYFUNCTION("GOOGLETRANSLATE(A26103, ""de"", ""en"")"),"Californian")</f>
        <v>Californian</v>
      </c>
    </row>
    <row r="26104">
      <c r="A26104" s="1" t="s">
        <v>26103</v>
      </c>
      <c r="B26104" s="2" t="str">
        <f>IFERROR(__xludf.DUMMYFUNCTION("GOOGLETRANSLATE(A26104, ""de"", ""en"")"),"splash")</f>
        <v>splash</v>
      </c>
    </row>
    <row r="26105">
      <c r="A26105" s="1" t="s">
        <v>26104</v>
      </c>
      <c r="B26105" s="2" t="str">
        <f>IFERROR(__xludf.DUMMYFUNCTION("GOOGLETRANSLATE(A26105, ""de"", ""en"")"),"oatmeal")</f>
        <v>oatmeal</v>
      </c>
    </row>
    <row r="26106">
      <c r="A26106" s="1" t="s">
        <v>26105</v>
      </c>
      <c r="B26106" s="2" t="str">
        <f>IFERROR(__xludf.DUMMYFUNCTION("GOOGLETRANSLATE(A26106, ""de"", ""en"")"),"shilling")</f>
        <v>shilling</v>
      </c>
    </row>
    <row r="26107">
      <c r="A26107" s="1" t="s">
        <v>26106</v>
      </c>
      <c r="B26107" s="2" t="str">
        <f>IFERROR(__xludf.DUMMYFUNCTION("GOOGLETRANSLATE(A26107, ""de"", ""en"")"),"Rutherford")</f>
        <v>Rutherford</v>
      </c>
    </row>
    <row r="26108">
      <c r="A26108" s="1" t="s">
        <v>26107</v>
      </c>
      <c r="B26108" s="2" t="str">
        <f>IFERROR(__xludf.DUMMYFUNCTION("GOOGLETRANSLATE(A26108, ""de"", ""en"")"),"secret services")</f>
        <v>secret services</v>
      </c>
    </row>
    <row r="26109">
      <c r="A26109" s="1" t="s">
        <v>26108</v>
      </c>
      <c r="B26109" s="2" t="str">
        <f>IFERROR(__xludf.DUMMYFUNCTION("GOOGLETRANSLATE(A26109, ""de"", ""en"")"),"graduating class")</f>
        <v>graduating class</v>
      </c>
    </row>
    <row r="26110">
      <c r="A26110" s="1" t="s">
        <v>26109</v>
      </c>
      <c r="B26110" s="2" t="str">
        <f>IFERROR(__xludf.DUMMYFUNCTION("GOOGLETRANSLATE(A26110, ""de"", ""en"")"),"defended")</f>
        <v>defended</v>
      </c>
    </row>
    <row r="26111">
      <c r="A26111" s="1" t="s">
        <v>26110</v>
      </c>
      <c r="B26111" s="2" t="str">
        <f>IFERROR(__xludf.DUMMYFUNCTION("GOOGLETRANSLATE(A26111, ""de"", ""en"")"),"xu")</f>
        <v>xu</v>
      </c>
    </row>
    <row r="26112">
      <c r="A26112" s="1" t="s">
        <v>26111</v>
      </c>
      <c r="B26112" s="2" t="str">
        <f>IFERROR(__xludf.DUMMYFUNCTION("GOOGLETRANSLATE(A26112, ""de"", ""en"")"),"bottled")</f>
        <v>bottled</v>
      </c>
    </row>
    <row r="26113">
      <c r="A26113" s="1" t="s">
        <v>26112</v>
      </c>
      <c r="B26113" s="2" t="str">
        <f>IFERROR(__xludf.DUMMYFUNCTION("GOOGLETRANSLATE(A26113, ""de"", ""en"")"),"Albania")</f>
        <v>Albania</v>
      </c>
    </row>
    <row r="26114">
      <c r="A26114" s="1" t="s">
        <v>26113</v>
      </c>
      <c r="B26114" s="2" t="str">
        <f>IFERROR(__xludf.DUMMYFUNCTION("GOOGLETRANSLATE(A26114, ""de"", ""en"")"),"testified")</f>
        <v>testified</v>
      </c>
    </row>
    <row r="26115">
      <c r="A26115" s="1" t="s">
        <v>26114</v>
      </c>
      <c r="B26115" s="2" t="str">
        <f>IFERROR(__xludf.DUMMYFUNCTION("GOOGLETRANSLATE(A26115, ""de"", ""en"")"),"lj")</f>
        <v>lj</v>
      </c>
    </row>
    <row r="26116">
      <c r="A26116" s="1" t="s">
        <v>26115</v>
      </c>
      <c r="B26116" s="2" t="str">
        <f>IFERROR(__xludf.DUMMYFUNCTION("GOOGLETRANSLATE(A26116, ""de"", ""en"")"),"control")</f>
        <v>control</v>
      </c>
    </row>
    <row r="26117">
      <c r="A26117" s="1" t="s">
        <v>26116</v>
      </c>
      <c r="B26117" s="2" t="str">
        <f>IFERROR(__xludf.DUMMYFUNCTION("GOOGLETRANSLATE(A26117, ""de"", ""en"")"),"sweatshirt")</f>
        <v>sweatshirt</v>
      </c>
    </row>
    <row r="26118">
      <c r="A26118" s="1" t="s">
        <v>26117</v>
      </c>
      <c r="B26118" s="2" t="str">
        <f>IFERROR(__xludf.DUMMYFUNCTION("GOOGLETRANSLATE(A26118, ""de"", ""en"")"),"knew")</f>
        <v>knew</v>
      </c>
    </row>
    <row r="26119">
      <c r="A26119" s="1" t="s">
        <v>26118</v>
      </c>
      <c r="B26119" s="2" t="str">
        <f>IFERROR(__xludf.DUMMYFUNCTION("GOOGLETRANSLATE(A26119, ""de"", ""en"")"),"doubted")</f>
        <v>doubted</v>
      </c>
    </row>
    <row r="26120">
      <c r="A26120" s="1" t="s">
        <v>26119</v>
      </c>
      <c r="B26120" s="2" t="str">
        <f>IFERROR(__xludf.DUMMYFUNCTION("GOOGLETRANSLATE(A26120, ""de"", ""en"")"),"masseur")</f>
        <v>masseur</v>
      </c>
    </row>
    <row r="26121">
      <c r="A26121" s="1" t="s">
        <v>26120</v>
      </c>
      <c r="B26121" s="2" t="str">
        <f>IFERROR(__xludf.DUMMYFUNCTION("GOOGLETRANSLATE(A26121, ""de"", ""en"")"),"cruel")</f>
        <v>cruel</v>
      </c>
    </row>
    <row r="26122">
      <c r="A26122" s="1" t="s">
        <v>26121</v>
      </c>
      <c r="B26122" s="2" t="str">
        <f>IFERROR(__xludf.DUMMYFUNCTION("GOOGLETRANSLATE(A26122, ""de"", ""en"")"),"mystical")</f>
        <v>mystical</v>
      </c>
    </row>
    <row r="26123">
      <c r="A26123" s="1" t="s">
        <v>26122</v>
      </c>
      <c r="B26123" s="2" t="str">
        <f>IFERROR(__xludf.DUMMYFUNCTION("GOOGLETRANSLATE(A26123, ""de"", ""en"")"),"sterile")</f>
        <v>sterile</v>
      </c>
    </row>
    <row r="26124">
      <c r="A26124" s="1" t="s">
        <v>26123</v>
      </c>
      <c r="B26124" s="2" t="str">
        <f>IFERROR(__xludf.DUMMYFUNCTION("GOOGLETRANSLATE(A26124, ""de"", ""en"")"),"in this respect")</f>
        <v>in this respect</v>
      </c>
    </row>
    <row r="26125">
      <c r="A26125" s="1" t="s">
        <v>26124</v>
      </c>
      <c r="B26125" s="2" t="str">
        <f>IFERROR(__xludf.DUMMYFUNCTION("GOOGLETRANSLATE(A26125, ""de"", ""en"")"),"invigorate")</f>
        <v>invigorate</v>
      </c>
    </row>
    <row r="26126">
      <c r="A26126" s="1" t="s">
        <v>26125</v>
      </c>
      <c r="B26126" s="2" t="str">
        <f>IFERROR(__xludf.DUMMYFUNCTION("GOOGLETRANSLATE(A26126, ""de"", ""en"")"),"concentration camp")</f>
        <v>concentration camp</v>
      </c>
    </row>
    <row r="26127">
      <c r="A26127" s="1" t="s">
        <v>26126</v>
      </c>
      <c r="B26127" s="2" t="str">
        <f>IFERROR(__xludf.DUMMYFUNCTION("GOOGLETRANSLATE(A26127, ""de"", ""en"")"),"carried away")</f>
        <v>carried away</v>
      </c>
    </row>
    <row r="26128">
      <c r="A26128" s="1" t="s">
        <v>26127</v>
      </c>
      <c r="B26128" s="2" t="str">
        <f>IFERROR(__xludf.DUMMYFUNCTION("GOOGLETRANSLATE(A26128, ""de"", ""en"")"),"submerge")</f>
        <v>submerge</v>
      </c>
    </row>
    <row r="26129">
      <c r="A26129" s="1" t="s">
        <v>26128</v>
      </c>
      <c r="B26129" s="2" t="str">
        <f>IFERROR(__xludf.DUMMYFUNCTION("GOOGLETRANSLATE(A26129, ""de"", ""en"")"),"Poseidon")</f>
        <v>Poseidon</v>
      </c>
    </row>
    <row r="26130">
      <c r="A26130" s="1" t="s">
        <v>26129</v>
      </c>
      <c r="B26130" s="2" t="str">
        <f>IFERROR(__xludf.DUMMYFUNCTION("GOOGLETRANSLATE(A26130, ""de"", ""en"")"),"fatherhood")</f>
        <v>fatherhood</v>
      </c>
    </row>
    <row r="26131">
      <c r="A26131" s="1" t="s">
        <v>26130</v>
      </c>
      <c r="B26131" s="2" t="str">
        <f>IFERROR(__xludf.DUMMYFUNCTION("GOOGLETRANSLATE(A26131, ""de"", ""en"")"),"chimpanzee")</f>
        <v>chimpanzee</v>
      </c>
    </row>
    <row r="26132">
      <c r="A26132" s="1" t="s">
        <v>26131</v>
      </c>
      <c r="B26132" s="2" t="str">
        <f>IFERROR(__xludf.DUMMYFUNCTION("GOOGLETRANSLATE(A26132, ""de"", ""en"")"),"way of life")</f>
        <v>way of life</v>
      </c>
    </row>
    <row r="26133">
      <c r="A26133" s="1" t="s">
        <v>26132</v>
      </c>
      <c r="B26133" s="2" t="str">
        <f>IFERROR(__xludf.DUMMYFUNCTION("GOOGLETRANSLATE(A26133, ""de"", ""en"")"),"corner")</f>
        <v>corner</v>
      </c>
    </row>
    <row r="26134">
      <c r="A26134" s="1" t="s">
        <v>26133</v>
      </c>
      <c r="B26134" s="2" t="str">
        <f>IFERROR(__xludf.DUMMYFUNCTION("GOOGLETRANSLATE(A26134, ""de"", ""en"")"),"delivery")</f>
        <v>delivery</v>
      </c>
    </row>
    <row r="26135">
      <c r="A26135" s="1" t="s">
        <v>26134</v>
      </c>
      <c r="B26135" s="2" t="str">
        <f>IFERROR(__xludf.DUMMYFUNCTION("GOOGLETRANSLATE(A26135, ""de"", ""en"")"),"meet")</f>
        <v>meet</v>
      </c>
    </row>
    <row r="26136">
      <c r="A26136" s="1" t="s">
        <v>26135</v>
      </c>
      <c r="B26136" s="2" t="str">
        <f>IFERROR(__xludf.DUMMYFUNCTION("GOOGLETRANSLATE(A26136, ""de"", ""en"")"),"downloaded")</f>
        <v>downloaded</v>
      </c>
    </row>
    <row r="26137">
      <c r="A26137" s="1" t="s">
        <v>26136</v>
      </c>
      <c r="B26137" s="2" t="str">
        <f>IFERROR(__xludf.DUMMYFUNCTION("GOOGLETRANSLATE(A26137, ""de"", ""en"")"),"tancredi")</f>
        <v>tancredi</v>
      </c>
    </row>
    <row r="26138">
      <c r="A26138" s="1" t="s">
        <v>26137</v>
      </c>
      <c r="B26138" s="2" t="str">
        <f>IFERROR(__xludf.DUMMYFUNCTION("GOOGLETRANSLATE(A26138, ""de"", ""en"")"),"use")</f>
        <v>use</v>
      </c>
    </row>
    <row r="26139">
      <c r="A26139" s="1" t="s">
        <v>26138</v>
      </c>
      <c r="B26139" s="2" t="str">
        <f>IFERROR(__xludf.DUMMYFUNCTION("GOOGLETRANSLATE(A26139, ""de"", ""en"")"),"appear")</f>
        <v>appear</v>
      </c>
    </row>
    <row r="26140">
      <c r="A26140" s="1" t="s">
        <v>26139</v>
      </c>
      <c r="B26140" s="2" t="str">
        <f>IFERROR(__xludf.DUMMYFUNCTION("GOOGLETRANSLATE(A26140, ""de"", ""en"")"),"lying")</f>
        <v>lying</v>
      </c>
    </row>
    <row r="26141">
      <c r="A26141" s="1" t="s">
        <v>26140</v>
      </c>
      <c r="B26141" s="2" t="str">
        <f>IFERROR(__xludf.DUMMYFUNCTION("GOOGLETRANSLATE(A26141, ""de"", ""en"")"),"augie")</f>
        <v>augie</v>
      </c>
    </row>
    <row r="26142">
      <c r="A26142" s="1" t="s">
        <v>26141</v>
      </c>
      <c r="B26142" s="2" t="str">
        <f>IFERROR(__xludf.DUMMYFUNCTION("GOOGLETRANSLATE(A26142, ""de"", ""en"")"),"jørgen")</f>
        <v>jørgen</v>
      </c>
    </row>
    <row r="26143">
      <c r="A26143" s="1" t="s">
        <v>26142</v>
      </c>
      <c r="B26143" s="2" t="str">
        <f>IFERROR(__xludf.DUMMYFUNCTION("GOOGLETRANSLATE(A26143, ""de"", ""en"")"),"constant")</f>
        <v>constant</v>
      </c>
    </row>
    <row r="26144">
      <c r="A26144" s="1" t="s">
        <v>26143</v>
      </c>
      <c r="B26144" s="2" t="str">
        <f>IFERROR(__xludf.DUMMYFUNCTION("GOOGLETRANSLATE(A26144, ""de"", ""en"")"),"buried")</f>
        <v>buried</v>
      </c>
    </row>
    <row r="26145">
      <c r="A26145" s="1" t="s">
        <v>26144</v>
      </c>
      <c r="B26145" s="2" t="str">
        <f>IFERROR(__xludf.DUMMYFUNCTION("GOOGLETRANSLATE(A26145, ""de"", ""en"")"),"Muslim")</f>
        <v>Muslim</v>
      </c>
    </row>
    <row r="26146">
      <c r="A26146" s="1" t="s">
        <v>26145</v>
      </c>
      <c r="B26146" s="2" t="str">
        <f>IFERROR(__xludf.DUMMYFUNCTION("GOOGLETRANSLATE(A26146, ""de"", ""en"")"),"dialogues")</f>
        <v>dialogues</v>
      </c>
    </row>
    <row r="26147">
      <c r="A26147" s="1" t="s">
        <v>26146</v>
      </c>
      <c r="B26147" s="2" t="str">
        <f>IFERROR(__xludf.DUMMYFUNCTION("GOOGLETRANSLATE(A26147, ""de"", ""en"")"),"Canterbury")</f>
        <v>Canterbury</v>
      </c>
    </row>
    <row r="26148">
      <c r="A26148" s="1" t="s">
        <v>26147</v>
      </c>
      <c r="B26148" s="2" t="str">
        <f>IFERROR(__xludf.DUMMYFUNCTION("GOOGLETRANSLATE(A26148, ""de"", ""en"")"),"pontus")</f>
        <v>pontus</v>
      </c>
    </row>
    <row r="26149">
      <c r="A26149" s="1" t="s">
        <v>26148</v>
      </c>
      <c r="B26149" s="2" t="str">
        <f>IFERROR(__xludf.DUMMYFUNCTION("GOOGLETRANSLATE(A26149, ""de"", ""en"")"),"freebo")</f>
        <v>freebo</v>
      </c>
    </row>
    <row r="26150">
      <c r="A26150" s="1" t="s">
        <v>26149</v>
      </c>
      <c r="B26150" s="2" t="str">
        <f>IFERROR(__xludf.DUMMYFUNCTION("GOOGLETRANSLATE(A26150, ""de"", ""en"")"),"personnel file")</f>
        <v>personnel file</v>
      </c>
    </row>
    <row r="26151">
      <c r="A26151" s="1" t="s">
        <v>26150</v>
      </c>
      <c r="B26151" s="2" t="str">
        <f>IFERROR(__xludf.DUMMYFUNCTION("GOOGLETRANSLATE(A26151, ""de"", ""en"")"),"basket")</f>
        <v>basket</v>
      </c>
    </row>
    <row r="26152">
      <c r="A26152" s="1" t="s">
        <v>26151</v>
      </c>
      <c r="B26152" s="2" t="str">
        <f>IFERROR(__xludf.DUMMYFUNCTION("GOOGLETRANSLATE(A26152, ""de"", ""en"")"),"radios")</f>
        <v>radios</v>
      </c>
    </row>
    <row r="26153">
      <c r="A26153" s="1" t="s">
        <v>26152</v>
      </c>
      <c r="B26153" s="2" t="str">
        <f>IFERROR(__xludf.DUMMYFUNCTION("GOOGLETRANSLATE(A26153, ""de"", ""en"")"),"recruited")</f>
        <v>recruited</v>
      </c>
    </row>
    <row r="26154">
      <c r="A26154" s="1" t="s">
        <v>26153</v>
      </c>
      <c r="B26154" s="2" t="str">
        <f>IFERROR(__xludf.DUMMYFUNCTION("GOOGLETRANSLATE(A26154, ""de"", ""en"")"),"transfer")</f>
        <v>transfer</v>
      </c>
    </row>
    <row r="26155">
      <c r="A26155" s="1" t="s">
        <v>26154</v>
      </c>
      <c r="B26155" s="2" t="str">
        <f>IFERROR(__xludf.DUMMYFUNCTION("GOOGLETRANSLATE(A26155, ""de"", ""en"")"),"treat")</f>
        <v>treat</v>
      </c>
    </row>
    <row r="26156">
      <c r="A26156" s="1" t="s">
        <v>26155</v>
      </c>
      <c r="B26156" s="2" t="str">
        <f>IFERROR(__xludf.DUMMYFUNCTION("GOOGLETRANSLATE(A26156, ""de"", ""en"")"),"searched")</f>
        <v>searched</v>
      </c>
    </row>
    <row r="26157">
      <c r="A26157" s="1" t="s">
        <v>26156</v>
      </c>
      <c r="B26157" s="2" t="str">
        <f>IFERROR(__xludf.DUMMYFUNCTION("GOOGLETRANSLATE(A26157, ""de"", ""en"")"),"to spy")</f>
        <v>to spy</v>
      </c>
    </row>
    <row r="26158">
      <c r="A26158" s="1" t="s">
        <v>26157</v>
      </c>
      <c r="B26158" s="2" t="str">
        <f>IFERROR(__xludf.DUMMYFUNCTION("GOOGLETRANSLATE(A26158, ""de"", ""en"")"),"cleaned up")</f>
        <v>cleaned up</v>
      </c>
    </row>
    <row r="26159">
      <c r="A26159" s="1" t="s">
        <v>26158</v>
      </c>
      <c r="B26159" s="2" t="str">
        <f>IFERROR(__xludf.DUMMYFUNCTION("GOOGLETRANSLATE(A26159, ""de"", ""en"")"),"wooden head")</f>
        <v>wooden head</v>
      </c>
    </row>
    <row r="26160">
      <c r="A26160" s="1" t="s">
        <v>26159</v>
      </c>
      <c r="B26160" s="2" t="str">
        <f>IFERROR(__xludf.DUMMYFUNCTION("GOOGLETRANSLATE(A26160, ""de"", ""en"")"),"the latter")</f>
        <v>the latter</v>
      </c>
    </row>
    <row r="26161">
      <c r="A26161" s="1" t="s">
        <v>26160</v>
      </c>
      <c r="B26161" s="2" t="str">
        <f>IFERROR(__xludf.DUMMYFUNCTION("GOOGLETRANSLATE(A26161, ""de"", ""en"")"),"mansion")</f>
        <v>mansion</v>
      </c>
    </row>
    <row r="26162">
      <c r="A26162" s="1" t="s">
        <v>26161</v>
      </c>
      <c r="B26162" s="2" t="str">
        <f>IFERROR(__xludf.DUMMYFUNCTION("GOOGLETRANSLATE(A26162, ""de"", ""en"")"),"glenda")</f>
        <v>glenda</v>
      </c>
    </row>
    <row r="26163">
      <c r="A26163" s="1" t="s">
        <v>26162</v>
      </c>
      <c r="B26163" s="2" t="str">
        <f>IFERROR(__xludf.DUMMYFUNCTION("GOOGLETRANSLATE(A26163, ""de"", ""en"")"),"pedicure")</f>
        <v>pedicure</v>
      </c>
    </row>
    <row r="26164">
      <c r="A26164" s="1" t="s">
        <v>26163</v>
      </c>
      <c r="B26164" s="2" t="str">
        <f>IFERROR(__xludf.DUMMYFUNCTION("GOOGLETRANSLATE(A26164, ""de"", ""en"")"),"suitcases")</f>
        <v>suitcases</v>
      </c>
    </row>
    <row r="26165">
      <c r="A26165" s="1" t="s">
        <v>26164</v>
      </c>
      <c r="B26165" s="2" t="str">
        <f>IFERROR(__xludf.DUMMYFUNCTION("GOOGLETRANSLATE(A26165, ""de"", ""en"")"),"rolled over")</f>
        <v>rolled over</v>
      </c>
    </row>
    <row r="26166">
      <c r="A26166" s="1" t="s">
        <v>26165</v>
      </c>
      <c r="B26166" s="2" t="str">
        <f>IFERROR(__xludf.DUMMYFUNCTION("GOOGLETRANSLATE(A26166, ""de"", ""en"")"),"patel")</f>
        <v>patel</v>
      </c>
    </row>
    <row r="26167">
      <c r="A26167" s="1" t="s">
        <v>26166</v>
      </c>
      <c r="B26167" s="2" t="str">
        <f>IFERROR(__xludf.DUMMYFUNCTION("GOOGLETRANSLATE(A26167, ""de"", ""en"")"),"text")</f>
        <v>text</v>
      </c>
    </row>
    <row r="26168">
      <c r="A26168" s="1" t="s">
        <v>26167</v>
      </c>
      <c r="B26168" s="2" t="str">
        <f>IFERROR(__xludf.DUMMYFUNCTION("GOOGLETRANSLATE(A26168, ""de"", ""en"")"),"disgusting")</f>
        <v>disgusting</v>
      </c>
    </row>
    <row r="26169">
      <c r="A26169" s="1" t="s">
        <v>26168</v>
      </c>
      <c r="B26169" s="2" t="str">
        <f>IFERROR(__xludf.DUMMYFUNCTION("GOOGLETRANSLATE(A26169, ""de"", ""en"")"),"piece of gold")</f>
        <v>piece of gold</v>
      </c>
    </row>
    <row r="26170">
      <c r="A26170" s="1" t="s">
        <v>26169</v>
      </c>
      <c r="B26170" s="2" t="str">
        <f>IFERROR(__xludf.DUMMYFUNCTION("GOOGLETRANSLATE(A26170, ""de"", ""en"")"),"occasions")</f>
        <v>occasions</v>
      </c>
    </row>
    <row r="26171">
      <c r="A26171" s="1" t="s">
        <v>26170</v>
      </c>
      <c r="B26171" s="2" t="str">
        <f>IFERROR(__xludf.DUMMYFUNCTION("GOOGLETRANSLATE(A26171, ""de"", ""en"")"),"rde")</f>
        <v>rde</v>
      </c>
    </row>
    <row r="26172">
      <c r="A26172" s="1" t="s">
        <v>26171</v>
      </c>
      <c r="B26172" s="2" t="str">
        <f>IFERROR(__xludf.DUMMYFUNCTION("GOOGLETRANSLATE(A26172, ""de"", ""en"")"),"rhyme")</f>
        <v>rhyme</v>
      </c>
    </row>
    <row r="26173">
      <c r="A26173" s="1" t="s">
        <v>26172</v>
      </c>
      <c r="B26173" s="2" t="str">
        <f>IFERROR(__xludf.DUMMYFUNCTION("GOOGLETRANSLATE(A26173, ""de"", ""en"")"),"head nurse")</f>
        <v>head nurse</v>
      </c>
    </row>
    <row r="26174">
      <c r="A26174" s="1" t="s">
        <v>26173</v>
      </c>
      <c r="B26174" s="2" t="str">
        <f>IFERROR(__xludf.DUMMYFUNCTION("GOOGLETRANSLATE(A26174, ""de"", ""en"")"),"sundance")</f>
        <v>sundance</v>
      </c>
    </row>
    <row r="26175">
      <c r="A26175" s="1" t="s">
        <v>26174</v>
      </c>
      <c r="B26175" s="2" t="str">
        <f>IFERROR(__xludf.DUMMYFUNCTION("GOOGLETRANSLATE(A26175, ""de"", ""en"")"),"deeper")</f>
        <v>deeper</v>
      </c>
    </row>
    <row r="26176">
      <c r="A26176" s="1" t="s">
        <v>26175</v>
      </c>
      <c r="B26176" s="2" t="str">
        <f>IFERROR(__xludf.DUMMYFUNCTION("GOOGLETRANSLATE(A26176, ""de"", ""en"")"),"radio operator")</f>
        <v>radio operator</v>
      </c>
    </row>
    <row r="26177">
      <c r="A26177" s="1" t="s">
        <v>26176</v>
      </c>
      <c r="B26177" s="2" t="str">
        <f>IFERROR(__xludf.DUMMYFUNCTION("GOOGLETRANSLATE(A26177, ""de"", ""en"")"),"mistreatment")</f>
        <v>mistreatment</v>
      </c>
    </row>
    <row r="26178">
      <c r="A26178" s="1" t="s">
        <v>26177</v>
      </c>
      <c r="B26178" s="2" t="str">
        <f>IFERROR(__xludf.DUMMYFUNCTION("GOOGLETRANSLATE(A26178, ""de"", ""en"")"),"Danish")</f>
        <v>Danish</v>
      </c>
    </row>
    <row r="26179">
      <c r="A26179" s="1" t="s">
        <v>26178</v>
      </c>
      <c r="B26179" s="2" t="str">
        <f>IFERROR(__xludf.DUMMYFUNCTION("GOOGLETRANSLATE(A26179, ""de"", ""en"")"),"racehorse")</f>
        <v>racehorse</v>
      </c>
    </row>
    <row r="26180">
      <c r="A26180" s="1" t="s">
        <v>26179</v>
      </c>
      <c r="B26180" s="2" t="str">
        <f>IFERROR(__xludf.DUMMYFUNCTION("GOOGLETRANSLATE(A26180, ""de"", ""en"")"),"ia")</f>
        <v>ia</v>
      </c>
    </row>
    <row r="26181">
      <c r="A26181" s="1" t="s">
        <v>26180</v>
      </c>
      <c r="B26181" s="2" t="str">
        <f>IFERROR(__xludf.DUMMYFUNCTION("GOOGLETRANSLATE(A26181, ""de"", ""en"")"),"in advance")</f>
        <v>in advance</v>
      </c>
    </row>
    <row r="26182">
      <c r="A26182" s="1" t="s">
        <v>26181</v>
      </c>
      <c r="B26182" s="2" t="str">
        <f>IFERROR(__xludf.DUMMYFUNCTION("GOOGLETRANSLATE(A26182, ""de"", ""en"")"),"granted")</f>
        <v>granted</v>
      </c>
    </row>
    <row r="26183">
      <c r="A26183" s="1" t="s">
        <v>26182</v>
      </c>
      <c r="B26183" s="2" t="str">
        <f>IFERROR(__xludf.DUMMYFUNCTION("GOOGLETRANSLATE(A26183, ""de"", ""en"")"),"stage")</f>
        <v>stage</v>
      </c>
    </row>
    <row r="26184">
      <c r="A26184" s="1" t="s">
        <v>26183</v>
      </c>
      <c r="B26184" s="2" t="str">
        <f>IFERROR(__xludf.DUMMYFUNCTION("GOOGLETRANSLATE(A26184, ""de"", ""en"")"),"kiriu")</f>
        <v>kiriu</v>
      </c>
    </row>
    <row r="26185">
      <c r="A26185" s="1" t="s">
        <v>26184</v>
      </c>
      <c r="B26185" s="2" t="str">
        <f>IFERROR(__xludf.DUMMYFUNCTION("GOOGLETRANSLATE(A26185, ""de"", ""en"")"),"to persuade")</f>
        <v>to persuade</v>
      </c>
    </row>
    <row r="26186">
      <c r="A26186" s="1" t="s">
        <v>26185</v>
      </c>
      <c r="B26186" s="2" t="str">
        <f>IFERROR(__xludf.DUMMYFUNCTION("GOOGLETRANSLATE(A26186, ""de"", ""en"")"),"to bring together")</f>
        <v>to bring together</v>
      </c>
    </row>
    <row r="26187">
      <c r="A26187" s="1" t="s">
        <v>26186</v>
      </c>
      <c r="B26187" s="2" t="str">
        <f>IFERROR(__xludf.DUMMYFUNCTION("GOOGLETRANSLATE(A26187, ""de"", ""en"")"),"jansen")</f>
        <v>jansen</v>
      </c>
    </row>
    <row r="26188">
      <c r="A26188" s="1" t="s">
        <v>26187</v>
      </c>
      <c r="B26188" s="2" t="str">
        <f>IFERROR(__xludf.DUMMYFUNCTION("GOOGLETRANSLATE(A26188, ""de"", ""en"")"),"goes out")</f>
        <v>goes out</v>
      </c>
    </row>
    <row r="26189">
      <c r="A26189" s="1" t="s">
        <v>26188</v>
      </c>
      <c r="B26189" s="2" t="str">
        <f>IFERROR(__xludf.DUMMYFUNCTION("GOOGLETRANSLATE(A26189, ""de"", ""en"")"),"revenge campaign")</f>
        <v>revenge campaign</v>
      </c>
    </row>
    <row r="26190">
      <c r="A26190" s="1" t="s">
        <v>26189</v>
      </c>
      <c r="B26190" s="2" t="str">
        <f>IFERROR(__xludf.DUMMYFUNCTION("GOOGLETRANSLATE(A26190, ""de"", ""en"")"),"advocate")</f>
        <v>advocate</v>
      </c>
    </row>
    <row r="26191">
      <c r="A26191" s="1" t="s">
        <v>26190</v>
      </c>
      <c r="B26191" s="2" t="str">
        <f>IFERROR(__xludf.DUMMYFUNCTION("GOOGLETRANSLATE(A26191, ""de"", ""en"")"),"hilde")</f>
        <v>hilde</v>
      </c>
    </row>
    <row r="26192">
      <c r="A26192" s="1" t="s">
        <v>26191</v>
      </c>
      <c r="B26192" s="2" t="str">
        <f>IFERROR(__xludf.DUMMYFUNCTION("GOOGLETRANSLATE(A26192, ""de"", ""en"")"),"fellow")</f>
        <v>fellow</v>
      </c>
    </row>
    <row r="26193">
      <c r="A26193" s="1" t="s">
        <v>26192</v>
      </c>
      <c r="B26193" s="2" t="str">
        <f>IFERROR(__xludf.DUMMYFUNCTION("GOOGLETRANSLATE(A26193, ""de"", ""en"")"),"abolish")</f>
        <v>abolish</v>
      </c>
    </row>
    <row r="26194">
      <c r="A26194" s="1" t="s">
        <v>26193</v>
      </c>
      <c r="B26194" s="2" t="str">
        <f>IFERROR(__xludf.DUMMYFUNCTION("GOOGLETRANSLATE(A26194, ""de"", ""en"")"),"brush off")</f>
        <v>brush off</v>
      </c>
    </row>
    <row r="26195">
      <c r="A26195" s="1" t="s">
        <v>26194</v>
      </c>
      <c r="B26195" s="2" t="str">
        <f>IFERROR(__xludf.DUMMYFUNCTION("GOOGLETRANSLATE(A26195, ""de"", ""en"")"),"botched")</f>
        <v>botched</v>
      </c>
    </row>
    <row r="26196">
      <c r="A26196" s="1" t="s">
        <v>26195</v>
      </c>
      <c r="B26196" s="2" t="str">
        <f>IFERROR(__xludf.DUMMYFUNCTION("GOOGLETRANSLATE(A26196, ""de"", ""en"")"),"show")</f>
        <v>show</v>
      </c>
    </row>
    <row r="26197">
      <c r="A26197" s="1" t="s">
        <v>26196</v>
      </c>
      <c r="B26197" s="2" t="str">
        <f>IFERROR(__xludf.DUMMYFUNCTION("GOOGLETRANSLATE(A26197, ""de"", ""en"")"),"military")</f>
        <v>military</v>
      </c>
    </row>
    <row r="26198">
      <c r="A26198" s="1" t="s">
        <v>26197</v>
      </c>
      <c r="B26198" s="2" t="str">
        <f>IFERROR(__xludf.DUMMYFUNCTION("GOOGLETRANSLATE(A26198, ""de"", ""en"")"),"glades")</f>
        <v>glades</v>
      </c>
    </row>
    <row r="26199">
      <c r="A26199" s="1" t="s">
        <v>26198</v>
      </c>
      <c r="B26199" s="2" t="str">
        <f>IFERROR(__xludf.DUMMYFUNCTION("GOOGLETRANSLATE(A26199, ""de"", ""en"")"),"camels")</f>
        <v>camels</v>
      </c>
    </row>
    <row r="26200">
      <c r="A26200" s="1" t="s">
        <v>26199</v>
      </c>
      <c r="B26200" s="2" t="str">
        <f>IFERROR(__xludf.DUMMYFUNCTION("GOOGLETRANSLATE(A26200, ""de"", ""en"")"),"to come here")</f>
        <v>to come here</v>
      </c>
    </row>
    <row r="26201">
      <c r="A26201" s="1" t="s">
        <v>26200</v>
      </c>
      <c r="B26201" s="2" t="str">
        <f>IFERROR(__xludf.DUMMYFUNCTION("GOOGLETRANSLATE(A26201, ""de"", ""en"")"),"join in")</f>
        <v>join in</v>
      </c>
    </row>
    <row r="26202">
      <c r="A26202" s="1" t="s">
        <v>26201</v>
      </c>
      <c r="B26202" s="2" t="str">
        <f>IFERROR(__xludf.DUMMYFUNCTION("GOOGLETRANSLATE(A26202, ""de"", ""en"")"),"bulls")</f>
        <v>bulls</v>
      </c>
    </row>
    <row r="26203">
      <c r="A26203" s="1" t="s">
        <v>26202</v>
      </c>
      <c r="B26203" s="2" t="str">
        <f>IFERROR(__xludf.DUMMYFUNCTION("GOOGLETRANSLATE(A26203, ""de"", ""en"")"),"Aristotle")</f>
        <v>Aristotle</v>
      </c>
    </row>
    <row r="26204">
      <c r="A26204" s="1" t="s">
        <v>26203</v>
      </c>
      <c r="B26204" s="2" t="str">
        <f>IFERROR(__xludf.DUMMYFUNCTION("GOOGLETRANSLATE(A26204, ""de"", ""en"")"),"blunt")</f>
        <v>blunt</v>
      </c>
    </row>
    <row r="26205">
      <c r="A26205" s="1" t="s">
        <v>26204</v>
      </c>
      <c r="B26205" s="2" t="str">
        <f>IFERROR(__xludf.DUMMYFUNCTION("GOOGLETRANSLATE(A26205, ""de"", ""en"")"),"beauty contest")</f>
        <v>beauty contest</v>
      </c>
    </row>
    <row r="26206">
      <c r="A26206" s="1" t="s">
        <v>26205</v>
      </c>
      <c r="B26206" s="2" t="str">
        <f>IFERROR(__xludf.DUMMYFUNCTION("GOOGLETRANSLATE(A26206, ""de"", ""en"")"),"voluntarily")</f>
        <v>voluntarily</v>
      </c>
    </row>
    <row r="26207">
      <c r="A26207" s="1" t="s">
        <v>26206</v>
      </c>
      <c r="B26207" s="2" t="str">
        <f>IFERROR(__xludf.DUMMYFUNCTION("GOOGLETRANSLATE(A26207, ""de"", ""en"")"),"mussolini")</f>
        <v>mussolini</v>
      </c>
    </row>
    <row r="26208">
      <c r="A26208" s="1" t="s">
        <v>26207</v>
      </c>
      <c r="B26208" s="2" t="str">
        <f>IFERROR(__xludf.DUMMYFUNCTION("GOOGLETRANSLATE(A26208, ""de"", ""en"")"),"tie up")</f>
        <v>tie up</v>
      </c>
    </row>
    <row r="26209">
      <c r="A26209" s="1" t="s">
        <v>26208</v>
      </c>
      <c r="B26209" s="2" t="str">
        <f>IFERROR(__xludf.DUMMYFUNCTION("GOOGLETRANSLATE(A26209, ""de"", ""en"")"),"travel guide")</f>
        <v>travel guide</v>
      </c>
    </row>
    <row r="26210">
      <c r="A26210" s="1" t="s">
        <v>26209</v>
      </c>
      <c r="B26210" s="2" t="str">
        <f>IFERROR(__xludf.DUMMYFUNCTION("GOOGLETRANSLATE(A26210, ""de"", ""en"")"),"more complex")</f>
        <v>more complex</v>
      </c>
    </row>
    <row r="26211">
      <c r="A26211" s="1" t="s">
        <v>26210</v>
      </c>
      <c r="B26211" s="2" t="str">
        <f>IFERROR(__xludf.DUMMYFUNCTION("GOOGLETRANSLATE(A26211, ""de"", ""en"")"),"blunt")</f>
        <v>blunt</v>
      </c>
    </row>
    <row r="26212">
      <c r="A26212" s="1" t="s">
        <v>26211</v>
      </c>
      <c r="B26212" s="2" t="str">
        <f>IFERROR(__xludf.DUMMYFUNCTION("GOOGLETRANSLATE(A26212, ""de"", ""en"")"),"that one")</f>
        <v>that one</v>
      </c>
    </row>
    <row r="26213">
      <c r="A26213" s="1" t="s">
        <v>26212</v>
      </c>
      <c r="B26213" s="2" t="str">
        <f>IFERROR(__xludf.DUMMYFUNCTION("GOOGLETRANSLATE(A26213, ""de"", ""en"")"),"caligula")</f>
        <v>caligula</v>
      </c>
    </row>
    <row r="26214">
      <c r="A26214" s="1" t="s">
        <v>26213</v>
      </c>
      <c r="B26214" s="2" t="str">
        <f>IFERROR(__xludf.DUMMYFUNCTION("GOOGLETRANSLATE(A26214, ""de"", ""en"")"),"mop")</f>
        <v>mop</v>
      </c>
    </row>
    <row r="26215">
      <c r="A26215" s="1" t="s">
        <v>26214</v>
      </c>
      <c r="B26215" s="2" t="str">
        <f>IFERROR(__xludf.DUMMYFUNCTION("GOOGLETRANSLATE(A26215, ""de"", ""en"")"),"chopped")</f>
        <v>chopped</v>
      </c>
    </row>
    <row r="26216">
      <c r="A26216" s="1" t="s">
        <v>26215</v>
      </c>
      <c r="B26216" s="2" t="str">
        <f>IFERROR(__xludf.DUMMYFUNCTION("GOOGLETRANSLATE(A26216, ""de"", ""en"")"),"hostel")</f>
        <v>hostel</v>
      </c>
    </row>
    <row r="26217">
      <c r="A26217" s="1" t="s">
        <v>26216</v>
      </c>
      <c r="B26217" s="2" t="str">
        <f>IFERROR(__xludf.DUMMYFUNCTION("GOOGLETRANSLATE(A26217, ""de"", ""en"")"),"silently")</f>
        <v>silently</v>
      </c>
    </row>
    <row r="26218">
      <c r="A26218" s="1" t="s">
        <v>26217</v>
      </c>
      <c r="B26218" s="2" t="str">
        <f>IFERROR(__xludf.DUMMYFUNCTION("GOOGLETRANSLATE(A26218, ""de"", ""en"")"),"coyote")</f>
        <v>coyote</v>
      </c>
    </row>
    <row r="26219">
      <c r="A26219" s="1" t="s">
        <v>26218</v>
      </c>
      <c r="B26219" s="2" t="str">
        <f>IFERROR(__xludf.DUMMYFUNCTION("GOOGLETRANSLATE(A26219, ""de"", ""en"")"),"escape")</f>
        <v>escape</v>
      </c>
    </row>
    <row r="26220">
      <c r="A26220" s="1" t="s">
        <v>26219</v>
      </c>
      <c r="B26220" s="2" t="str">
        <f>IFERROR(__xludf.DUMMYFUNCTION("GOOGLETRANSLATE(A26220, ""de"", ""en"")"),"bogart")</f>
        <v>bogart</v>
      </c>
    </row>
    <row r="26221">
      <c r="A26221" s="1" t="s">
        <v>26220</v>
      </c>
      <c r="B26221" s="2" t="str">
        <f>IFERROR(__xludf.DUMMYFUNCTION("GOOGLETRANSLATE(A26221, ""de"", ""en"")"),"eagles")</f>
        <v>eagles</v>
      </c>
    </row>
    <row r="26222">
      <c r="A26222" s="1" t="s">
        <v>26221</v>
      </c>
      <c r="B26222" s="2" t="str">
        <f>IFERROR(__xludf.DUMMYFUNCTION("GOOGLETRANSLATE(A26222, ""de"", ""en"")"),"carve")</f>
        <v>carve</v>
      </c>
    </row>
    <row r="26223">
      <c r="A26223" s="1" t="s">
        <v>26222</v>
      </c>
      <c r="B26223" s="2" t="str">
        <f>IFERROR(__xludf.DUMMYFUNCTION("GOOGLETRANSLATE(A26223, ""de"", ""en"")"),"gifted")</f>
        <v>gifted</v>
      </c>
    </row>
    <row r="26224">
      <c r="A26224" s="1" t="s">
        <v>26223</v>
      </c>
      <c r="B26224" s="2" t="str">
        <f>IFERROR(__xludf.DUMMYFUNCTION("GOOGLETRANSLATE(A26224, ""de"", ""en"")"),"laundromat")</f>
        <v>laundromat</v>
      </c>
    </row>
    <row r="26225">
      <c r="A26225" s="1" t="s">
        <v>26224</v>
      </c>
      <c r="B26225" s="2" t="str">
        <f>IFERROR(__xludf.DUMMYFUNCTION("GOOGLETRANSLATE(A26225, ""de"", ""en"")"),"calculated")</f>
        <v>calculated</v>
      </c>
    </row>
    <row r="26226">
      <c r="A26226" s="1" t="s">
        <v>26225</v>
      </c>
      <c r="B26226" s="2" t="str">
        <f>IFERROR(__xludf.DUMMYFUNCTION("GOOGLETRANSLATE(A26226, ""de"", ""en"")"),"barbaric")</f>
        <v>barbaric</v>
      </c>
    </row>
    <row r="26227">
      <c r="A26227" s="1" t="s">
        <v>26226</v>
      </c>
      <c r="B26227" s="2" t="str">
        <f>IFERROR(__xludf.DUMMYFUNCTION("GOOGLETRANSLATE(A26227, ""de"", ""en"")"),"anticipated")</f>
        <v>anticipated</v>
      </c>
    </row>
    <row r="26228">
      <c r="A26228" s="1" t="s">
        <v>26227</v>
      </c>
      <c r="B26228" s="2" t="str">
        <f>IFERROR(__xludf.DUMMYFUNCTION("GOOGLETRANSLATE(A26228, ""de"", ""en"")"),"network")</f>
        <v>network</v>
      </c>
    </row>
    <row r="26229">
      <c r="A26229" s="1" t="s">
        <v>26228</v>
      </c>
      <c r="B26229" s="2" t="str">
        <f>IFERROR(__xludf.DUMMYFUNCTION("GOOGLETRANSLATE(A26229, ""de"", ""en"")"),"unlimited")</f>
        <v>unlimited</v>
      </c>
    </row>
    <row r="26230">
      <c r="A26230" s="1" t="s">
        <v>26229</v>
      </c>
      <c r="B26230" s="2" t="str">
        <f>IFERROR(__xludf.DUMMYFUNCTION("GOOGLETRANSLATE(A26230, ""de"", ""en"")"),"carola")</f>
        <v>carola</v>
      </c>
    </row>
    <row r="26231">
      <c r="A26231" s="1" t="s">
        <v>26230</v>
      </c>
      <c r="B26231" s="2" t="str">
        <f>IFERROR(__xludf.DUMMYFUNCTION("GOOGLETRANSLATE(A26231, ""de"", ""en"")"),"simplify")</f>
        <v>simplify</v>
      </c>
    </row>
    <row r="26232">
      <c r="A26232" s="1" t="s">
        <v>26231</v>
      </c>
      <c r="B26232" s="2" t="str">
        <f>IFERROR(__xludf.DUMMYFUNCTION("GOOGLETRANSLATE(A26232, ""de"", ""en"")"),"torture")</f>
        <v>torture</v>
      </c>
    </row>
    <row r="26233">
      <c r="A26233" s="1" t="s">
        <v>26232</v>
      </c>
      <c r="B26233" s="2" t="str">
        <f>IFERROR(__xludf.DUMMYFUNCTION("GOOGLETRANSLATE(A26233, ""de"", ""en"")"),"crises")</f>
        <v>crises</v>
      </c>
    </row>
    <row r="26234">
      <c r="A26234" s="1" t="s">
        <v>26233</v>
      </c>
      <c r="B26234" s="2" t="str">
        <f>IFERROR(__xludf.DUMMYFUNCTION("GOOGLETRANSLATE(A26234, ""de"", ""en"")"),"virtual")</f>
        <v>virtual</v>
      </c>
    </row>
    <row r="26235">
      <c r="A26235" s="1" t="s">
        <v>26234</v>
      </c>
      <c r="B26235" s="2" t="str">
        <f>IFERROR(__xludf.DUMMYFUNCTION("GOOGLETRANSLATE(A26235, ""de"", ""en"")"),"hearsay")</f>
        <v>hearsay</v>
      </c>
    </row>
    <row r="26236">
      <c r="A26236" s="1" t="s">
        <v>26235</v>
      </c>
      <c r="B26236" s="2" t="str">
        <f>IFERROR(__xludf.DUMMYFUNCTION("GOOGLETRANSLATE(A26236, ""de"", ""en"")"),"fernand")</f>
        <v>fernand</v>
      </c>
    </row>
    <row r="26237">
      <c r="A26237" s="1" t="s">
        <v>26236</v>
      </c>
      <c r="B26237" s="2" t="str">
        <f>IFERROR(__xludf.DUMMYFUNCTION("GOOGLETRANSLATE(A26237, ""de"", ""en"")"),"tolerated")</f>
        <v>tolerated</v>
      </c>
    </row>
    <row r="26238">
      <c r="A26238" s="1" t="s">
        <v>26237</v>
      </c>
      <c r="B26238" s="2" t="str">
        <f>IFERROR(__xludf.DUMMYFUNCTION("GOOGLETRANSLATE(A26238, ""de"", ""en"")"),"to catch up")</f>
        <v>to catch up</v>
      </c>
    </row>
    <row r="26239">
      <c r="A26239" s="1" t="s">
        <v>26238</v>
      </c>
      <c r="B26239" s="2" t="str">
        <f>IFERROR(__xludf.DUMMYFUNCTION("GOOGLETRANSLATE(A26239, ""de"", ""en"")"),"fresh")</f>
        <v>fresh</v>
      </c>
    </row>
    <row r="26240">
      <c r="A26240" s="1" t="s">
        <v>26239</v>
      </c>
      <c r="B26240" s="2" t="str">
        <f>IFERROR(__xludf.DUMMYFUNCTION("GOOGLETRANSLATE(A26240, ""de"", ""en"")"),"steed")</f>
        <v>steed</v>
      </c>
    </row>
    <row r="26241">
      <c r="A26241" s="1" t="s">
        <v>26240</v>
      </c>
      <c r="B26241" s="2" t="str">
        <f>IFERROR(__xludf.DUMMYFUNCTION("GOOGLETRANSLATE(A26241, ""de"", ""en"")"),"same")</f>
        <v>same</v>
      </c>
    </row>
    <row r="26242">
      <c r="A26242" s="1" t="s">
        <v>26241</v>
      </c>
      <c r="B26242" s="2" t="str">
        <f>IFERROR(__xludf.DUMMYFUNCTION("GOOGLETRANSLATE(A26242, ""de"", ""en"")"),"gravedigger")</f>
        <v>gravedigger</v>
      </c>
    </row>
    <row r="26243">
      <c r="A26243" s="1" t="s">
        <v>26242</v>
      </c>
      <c r="B26243" s="2" t="str">
        <f>IFERROR(__xludf.DUMMYFUNCTION("GOOGLETRANSLATE(A26243, ""de"", ""en"")"),"tribunal")</f>
        <v>tribunal</v>
      </c>
    </row>
    <row r="26244">
      <c r="A26244" s="1" t="s">
        <v>26243</v>
      </c>
      <c r="B26244" s="2" t="str">
        <f>IFERROR(__xludf.DUMMYFUNCTION("GOOGLETRANSLATE(A26244, ""de"", ""en"")"),"tactless")</f>
        <v>tactless</v>
      </c>
    </row>
    <row r="26245">
      <c r="A26245" s="1" t="s">
        <v>26244</v>
      </c>
      <c r="B26245" s="2" t="str">
        <f>IFERROR(__xludf.DUMMYFUNCTION("GOOGLETRANSLATE(A26245, ""de"", ""en"")"),"inscription")</f>
        <v>inscription</v>
      </c>
    </row>
    <row r="26246">
      <c r="A26246" s="1" t="s">
        <v>26245</v>
      </c>
      <c r="B26246" s="2" t="str">
        <f>IFERROR(__xludf.DUMMYFUNCTION("GOOGLETRANSLATE(A26246, ""de"", ""en"")"),"relaxing")</f>
        <v>relaxing</v>
      </c>
    </row>
    <row r="26247">
      <c r="A26247" s="1" t="s">
        <v>26246</v>
      </c>
      <c r="B26247" s="2" t="str">
        <f>IFERROR(__xludf.DUMMYFUNCTION("GOOGLETRANSLATE(A26247, ""de"", ""en"")"),"delay")</f>
        <v>delay</v>
      </c>
    </row>
    <row r="26248">
      <c r="A26248" s="1" t="s">
        <v>26247</v>
      </c>
      <c r="B26248" s="2" t="str">
        <f>IFERROR(__xludf.DUMMYFUNCTION("GOOGLETRANSLATE(A26248, ""de"", ""en"")"),"more skillful")</f>
        <v>more skillful</v>
      </c>
    </row>
    <row r="26249">
      <c r="A26249" s="1" t="s">
        <v>26248</v>
      </c>
      <c r="B26249" s="2" t="str">
        <f>IFERROR(__xludf.DUMMYFUNCTION("GOOGLETRANSLATE(A26249, ""de"", ""en"")"),"postmen")</f>
        <v>postmen</v>
      </c>
    </row>
    <row r="26250">
      <c r="A26250" s="1" t="s">
        <v>26249</v>
      </c>
      <c r="B26250" s="2" t="str">
        <f>IFERROR(__xludf.DUMMYFUNCTION("GOOGLETRANSLATE(A26250, ""de"", ""en"")"),"javi")</f>
        <v>javi</v>
      </c>
    </row>
    <row r="26251">
      <c r="A26251" s="1" t="s">
        <v>26250</v>
      </c>
      <c r="B26251" s="2" t="str">
        <f>IFERROR(__xludf.DUMMYFUNCTION("GOOGLETRANSLATE(A26251, ""de"", ""en"")"),"Pavel")</f>
        <v>Pavel</v>
      </c>
    </row>
    <row r="26252">
      <c r="A26252" s="1" t="s">
        <v>26251</v>
      </c>
      <c r="B26252" s="2" t="str">
        <f>IFERROR(__xludf.DUMMYFUNCTION("GOOGLETRANSLATE(A26252, ""de"", ""en"")"),"suzuki")</f>
        <v>suzuki</v>
      </c>
    </row>
    <row r="26253">
      <c r="A26253" s="1" t="s">
        <v>26252</v>
      </c>
      <c r="B26253" s="2" t="str">
        <f>IFERROR(__xludf.DUMMYFUNCTION("GOOGLETRANSLATE(A26253, ""de"", ""en"")"),"modify")</f>
        <v>modify</v>
      </c>
    </row>
    <row r="26254">
      <c r="A26254" s="1" t="s">
        <v>26253</v>
      </c>
      <c r="B26254" s="2" t="str">
        <f>IFERROR(__xludf.DUMMYFUNCTION("GOOGLETRANSLATE(A26254, ""de"", ""en"")"),"archaeologist")</f>
        <v>archaeologist</v>
      </c>
    </row>
    <row r="26255">
      <c r="A26255" s="1" t="s">
        <v>26254</v>
      </c>
      <c r="B26255" s="2" t="str">
        <f>IFERROR(__xludf.DUMMYFUNCTION("GOOGLETRANSLATE(A26255, ""de"", ""en"")"),"wonderful")</f>
        <v>wonderful</v>
      </c>
    </row>
    <row r="26256">
      <c r="A26256" s="1" t="s">
        <v>26255</v>
      </c>
      <c r="B26256" s="2" t="str">
        <f>IFERROR(__xludf.DUMMYFUNCTION("GOOGLETRANSLATE(A26256, ""de"", ""en"")"),"vigilantism")</f>
        <v>vigilantism</v>
      </c>
    </row>
    <row r="26257">
      <c r="A26257" s="1" t="s">
        <v>26256</v>
      </c>
      <c r="B26257" s="2" t="str">
        <f>IFERROR(__xludf.DUMMYFUNCTION("GOOGLETRANSLATE(A26257, ""de"", ""en"")"),"indeed")</f>
        <v>indeed</v>
      </c>
    </row>
    <row r="26258">
      <c r="A26258" s="1" t="s">
        <v>26257</v>
      </c>
      <c r="B26258" s="2" t="str">
        <f>IFERROR(__xludf.DUMMYFUNCTION("GOOGLETRANSLATE(A26258, ""de"", ""en"")"),"to reveal")</f>
        <v>to reveal</v>
      </c>
    </row>
    <row r="26259">
      <c r="A26259" s="1" t="s">
        <v>26258</v>
      </c>
      <c r="B26259" s="2" t="str">
        <f>IFERROR(__xludf.DUMMYFUNCTION("GOOGLETRANSLATE(A26259, ""de"", ""en"")"),"dirty")</f>
        <v>dirty</v>
      </c>
    </row>
    <row r="26260">
      <c r="A26260" s="1" t="s">
        <v>26259</v>
      </c>
      <c r="B26260" s="2" t="str">
        <f>IFERROR(__xludf.DUMMYFUNCTION("GOOGLETRANSLATE(A26260, ""de"", ""en"")"),"passwords")</f>
        <v>passwords</v>
      </c>
    </row>
    <row r="26261">
      <c r="A26261" s="1" t="s">
        <v>26260</v>
      </c>
      <c r="B26261" s="2" t="str">
        <f>IFERROR(__xludf.DUMMYFUNCTION("GOOGLETRANSLATE(A26261, ""de"", ""en"")"),"slit eyes")</f>
        <v>slit eyes</v>
      </c>
    </row>
    <row r="26262">
      <c r="A26262" s="1" t="s">
        <v>26261</v>
      </c>
      <c r="B26262" s="2" t="str">
        <f>IFERROR(__xludf.DUMMYFUNCTION("GOOGLETRANSLATE(A26262, ""de"", ""en"")"),"preliminary")</f>
        <v>preliminary</v>
      </c>
    </row>
    <row r="26263">
      <c r="A26263" s="1" t="s">
        <v>26262</v>
      </c>
      <c r="B26263" s="2" t="str">
        <f>IFERROR(__xludf.DUMMYFUNCTION("GOOGLETRANSLATE(A26263, ""de"", ""en"")"),"series")</f>
        <v>series</v>
      </c>
    </row>
    <row r="26264">
      <c r="A26264" s="1" t="s">
        <v>26263</v>
      </c>
      <c r="B26264" s="2" t="str">
        <f>IFERROR(__xludf.DUMMYFUNCTION("GOOGLETRANSLATE(A26264, ""de"", ""en"")"),"Matteo")</f>
        <v>Matteo</v>
      </c>
    </row>
    <row r="26265">
      <c r="A26265" s="1" t="s">
        <v>26264</v>
      </c>
      <c r="B26265" s="2" t="str">
        <f>IFERROR(__xludf.DUMMYFUNCTION("GOOGLETRANSLATE(A26265, ""de"", ""en"")"),"Massey")</f>
        <v>Massey</v>
      </c>
    </row>
    <row r="26266">
      <c r="A26266" s="1" t="s">
        <v>26265</v>
      </c>
      <c r="B26266" s="2" t="str">
        <f>IFERROR(__xludf.DUMMYFUNCTION("GOOGLETRANSLATE(A26266, ""de"", ""en"")"),"absurd")</f>
        <v>absurd</v>
      </c>
    </row>
    <row r="26267">
      <c r="A26267" s="1" t="s">
        <v>26266</v>
      </c>
      <c r="B26267" s="2" t="str">
        <f>IFERROR(__xludf.DUMMYFUNCTION("GOOGLETRANSLATE(A26267, ""de"", ""en"")"),"worthy")</f>
        <v>worthy</v>
      </c>
    </row>
    <row r="26268">
      <c r="A26268" s="1" t="s">
        <v>26267</v>
      </c>
      <c r="B26268" s="2" t="str">
        <f>IFERROR(__xludf.DUMMYFUNCTION("GOOGLETRANSLATE(A26268, ""de"", ""en"")"),"envoys")</f>
        <v>envoys</v>
      </c>
    </row>
    <row r="26269">
      <c r="A26269" s="1" t="s">
        <v>26268</v>
      </c>
      <c r="B26269" s="2" t="str">
        <f>IFERROR(__xludf.DUMMYFUNCTION("GOOGLETRANSLATE(A26269, ""de"", ""en"")"),"sound")</f>
        <v>sound</v>
      </c>
    </row>
    <row r="26270">
      <c r="A26270" s="1" t="s">
        <v>26269</v>
      </c>
      <c r="B26270" s="2" t="str">
        <f>IFERROR(__xludf.DUMMYFUNCTION("GOOGLETRANSLATE(A26270, ""de"", ""en"")"),"approached")</f>
        <v>approached</v>
      </c>
    </row>
    <row r="26271">
      <c r="A26271" s="1" t="s">
        <v>26270</v>
      </c>
      <c r="B26271" s="2" t="str">
        <f>IFERROR(__xludf.DUMMYFUNCTION("GOOGLETRANSLATE(A26271, ""de"", ""en"")"),"capri")</f>
        <v>capri</v>
      </c>
    </row>
    <row r="26272">
      <c r="A26272" s="1" t="s">
        <v>26271</v>
      </c>
      <c r="B26272" s="2" t="str">
        <f>IFERROR(__xludf.DUMMYFUNCTION("GOOGLETRANSLATE(A26272, ""de"", ""en"")"),"paid off")</f>
        <v>paid off</v>
      </c>
    </row>
    <row r="26273">
      <c r="A26273" s="1" t="s">
        <v>26272</v>
      </c>
      <c r="B26273" s="2" t="str">
        <f>IFERROR(__xludf.DUMMYFUNCTION("GOOGLETRANSLATE(A26273, ""de"", ""en"")"),"were sleeping")</f>
        <v>were sleeping</v>
      </c>
    </row>
    <row r="26274">
      <c r="A26274" s="1" t="s">
        <v>26273</v>
      </c>
      <c r="B26274" s="2" t="str">
        <f>IFERROR(__xludf.DUMMYFUNCTION("GOOGLETRANSLATE(A26274, ""de"", ""en"")"),"castrate")</f>
        <v>castrate</v>
      </c>
    </row>
    <row r="26275">
      <c r="A26275" s="1" t="s">
        <v>26274</v>
      </c>
      <c r="B26275" s="2" t="str">
        <f>IFERROR(__xludf.DUMMYFUNCTION("GOOGLETRANSLATE(A26275, ""de"", ""en"")"),"blow away")</f>
        <v>blow away</v>
      </c>
    </row>
    <row r="26276">
      <c r="A26276" s="1" t="s">
        <v>26275</v>
      </c>
      <c r="B26276" s="2" t="str">
        <f>IFERROR(__xludf.DUMMYFUNCTION("GOOGLETRANSLATE(A26276, ""de"", ""en"")"),"to pass on")</f>
        <v>to pass on</v>
      </c>
    </row>
    <row r="26277">
      <c r="A26277" s="1" t="s">
        <v>26276</v>
      </c>
      <c r="B26277" s="2" t="str">
        <f>IFERROR(__xludf.DUMMYFUNCTION("GOOGLETRANSLATE(A26277, ""de"", ""en"")"),"lousy")</f>
        <v>lousy</v>
      </c>
    </row>
    <row r="26278">
      <c r="A26278" s="1" t="s">
        <v>26277</v>
      </c>
      <c r="B26278" s="2" t="str">
        <f>IFERROR(__xludf.DUMMYFUNCTION("GOOGLETRANSLATE(A26278, ""de"", ""en"")"),"aspen")</f>
        <v>aspen</v>
      </c>
    </row>
    <row r="26279">
      <c r="A26279" s="1" t="s">
        <v>26278</v>
      </c>
      <c r="B26279" s="2" t="str">
        <f>IFERROR(__xludf.DUMMYFUNCTION("GOOGLETRANSLATE(A26279, ""de"", ""en"")"),"pit")</f>
        <v>pit</v>
      </c>
    </row>
    <row r="26280">
      <c r="A26280" s="1" t="s">
        <v>26279</v>
      </c>
      <c r="B26280" s="2" t="str">
        <f>IFERROR(__xludf.DUMMYFUNCTION("GOOGLETRANSLATE(A26280, ""de"", ""en"")"),"ryu")</f>
        <v>ryu</v>
      </c>
    </row>
    <row r="26281">
      <c r="A26281" s="1" t="s">
        <v>26280</v>
      </c>
      <c r="B26281" s="2" t="str">
        <f>IFERROR(__xludf.DUMMYFUNCTION("GOOGLETRANSLATE(A26281, ""de"", ""en"")"),"compliance")</f>
        <v>compliance</v>
      </c>
    </row>
    <row r="26282">
      <c r="A26282" s="1" t="s">
        <v>26281</v>
      </c>
      <c r="B26282" s="2" t="str">
        <f>IFERROR(__xludf.DUMMYFUNCTION("GOOGLETRANSLATE(A26282, ""de"", ""en"")"),"fifth")</f>
        <v>fifth</v>
      </c>
    </row>
    <row r="26283">
      <c r="A26283" s="1" t="s">
        <v>26282</v>
      </c>
      <c r="B26283" s="2" t="str">
        <f>IFERROR(__xludf.DUMMYFUNCTION("GOOGLETRANSLATE(A26283, ""de"", ""en"")"),"stone age")</f>
        <v>stone age</v>
      </c>
    </row>
    <row r="26284">
      <c r="A26284" s="1" t="s">
        <v>26283</v>
      </c>
      <c r="B26284" s="2" t="str">
        <f>IFERROR(__xludf.DUMMYFUNCTION("GOOGLETRANSLATE(A26284, ""de"", ""en"")"),"wich")</f>
        <v>wich</v>
      </c>
    </row>
    <row r="26285">
      <c r="A26285" s="1" t="s">
        <v>26284</v>
      </c>
      <c r="B26285" s="2" t="str">
        <f>IFERROR(__xludf.DUMMYFUNCTION("GOOGLETRANSLATE(A26285, ""de"", ""en"")"),"Britain")</f>
        <v>Britain</v>
      </c>
    </row>
    <row r="26286">
      <c r="A26286" s="1" t="s">
        <v>26285</v>
      </c>
      <c r="B26286" s="2" t="str">
        <f>IFERROR(__xludf.DUMMYFUNCTION("GOOGLETRANSLATE(A26286, ""de"", ""en"")"),"mortality")</f>
        <v>mortality</v>
      </c>
    </row>
    <row r="26287">
      <c r="A26287" s="1" t="s">
        <v>26286</v>
      </c>
      <c r="B26287" s="2" t="str">
        <f>IFERROR(__xludf.DUMMYFUNCTION("GOOGLETRANSLATE(A26287, ""de"", ""en"")"),"family doctor")</f>
        <v>family doctor</v>
      </c>
    </row>
    <row r="26288">
      <c r="A26288" s="1" t="s">
        <v>26287</v>
      </c>
      <c r="B26288" s="2" t="str">
        <f>IFERROR(__xludf.DUMMYFUNCTION("GOOGLETRANSLATE(A26288, ""de"", ""en"")"),"diabetic")</f>
        <v>diabetic</v>
      </c>
    </row>
    <row r="26289">
      <c r="A26289" s="1" t="s">
        <v>26288</v>
      </c>
      <c r="B26289" s="2" t="str">
        <f>IFERROR(__xludf.DUMMYFUNCTION("GOOGLETRANSLATE(A26289, ""de"", ""en"")"),"vala")</f>
        <v>vala</v>
      </c>
    </row>
    <row r="26290">
      <c r="A26290" s="1" t="s">
        <v>26289</v>
      </c>
      <c r="B26290" s="2" t="str">
        <f>IFERROR(__xludf.DUMMYFUNCTION("GOOGLETRANSLATE(A26290, ""de"", ""en"")"),"immigrants")</f>
        <v>immigrants</v>
      </c>
    </row>
    <row r="26291">
      <c r="A26291" s="1" t="s">
        <v>26290</v>
      </c>
      <c r="B26291" s="2" t="str">
        <f>IFERROR(__xludf.DUMMYFUNCTION("GOOGLETRANSLATE(A26291, ""de"", ""en"")"),"Vladimir")</f>
        <v>Vladimir</v>
      </c>
    </row>
    <row r="26292">
      <c r="A26292" s="1" t="s">
        <v>26291</v>
      </c>
      <c r="B26292" s="2" t="str">
        <f>IFERROR(__xludf.DUMMYFUNCTION("GOOGLETRANSLATE(A26292, ""de"", ""en"")"),"to be added")</f>
        <v>to be added</v>
      </c>
    </row>
    <row r="26293">
      <c r="A26293" s="1" t="s">
        <v>26292</v>
      </c>
      <c r="B26293" s="2" t="str">
        <f>IFERROR(__xludf.DUMMYFUNCTION("GOOGLETRANSLATE(A26293, ""de"", ""en"")"),"agreements")</f>
        <v>agreements</v>
      </c>
    </row>
    <row r="26294">
      <c r="A26294" s="1" t="s">
        <v>26293</v>
      </c>
      <c r="B26294" s="2" t="str">
        <f>IFERROR(__xludf.DUMMYFUNCTION("GOOGLETRANSLATE(A26294, ""de"", ""en"")"),"senores")</f>
        <v>senores</v>
      </c>
    </row>
    <row r="26295">
      <c r="A26295" s="1" t="s">
        <v>26294</v>
      </c>
      <c r="B26295" s="2" t="str">
        <f>IFERROR(__xludf.DUMMYFUNCTION("GOOGLETRANSLATE(A26295, ""de"", ""en"")"),"Australian")</f>
        <v>Australian</v>
      </c>
    </row>
    <row r="26296">
      <c r="A26296" s="1" t="s">
        <v>26295</v>
      </c>
      <c r="B26296" s="2" t="str">
        <f>IFERROR(__xludf.DUMMYFUNCTION("GOOGLETRANSLATE(A26296, ""de"", ""en"")"),"lea")</f>
        <v>lea</v>
      </c>
    </row>
    <row r="26297">
      <c r="A26297" s="1" t="s">
        <v>26296</v>
      </c>
      <c r="B26297" s="2" t="str">
        <f>IFERROR(__xludf.DUMMYFUNCTION("GOOGLETRANSLATE(A26297, ""de"", ""en"")"),"staff")</f>
        <v>staff</v>
      </c>
    </row>
    <row r="26298">
      <c r="A26298" s="1" t="s">
        <v>26297</v>
      </c>
      <c r="B26298" s="2" t="str">
        <f>IFERROR(__xludf.DUMMYFUNCTION("GOOGLETRANSLATE(A26298, ""de"", ""en"")"),"broken")</f>
        <v>broken</v>
      </c>
    </row>
    <row r="26299">
      <c r="A26299" s="1" t="s">
        <v>26298</v>
      </c>
      <c r="B26299" s="2" t="str">
        <f>IFERROR(__xludf.DUMMYFUNCTION("GOOGLETRANSLATE(A26299, ""de"", ""en"")"),"radcliffe")</f>
        <v>radcliffe</v>
      </c>
    </row>
    <row r="26300">
      <c r="A26300" s="1" t="s">
        <v>26299</v>
      </c>
      <c r="B26300" s="2" t="str">
        <f>IFERROR(__xludf.DUMMYFUNCTION("GOOGLETRANSLATE(A26300, ""de"", ""en"")"),"save")</f>
        <v>save</v>
      </c>
    </row>
    <row r="26301">
      <c r="A26301" s="1" t="s">
        <v>26300</v>
      </c>
      <c r="B26301" s="2" t="str">
        <f>IFERROR(__xludf.DUMMYFUNCTION("GOOGLETRANSLATE(A26301, ""de"", ""en"")"),"seat belt")</f>
        <v>seat belt</v>
      </c>
    </row>
    <row r="26302">
      <c r="A26302" s="1" t="s">
        <v>26301</v>
      </c>
      <c r="B26302" s="2" t="str">
        <f>IFERROR(__xludf.DUMMYFUNCTION("GOOGLETRANSLATE(A26302, ""de"", ""en"")"),"shabby")</f>
        <v>shabby</v>
      </c>
    </row>
    <row r="26303">
      <c r="A26303" s="1" t="s">
        <v>26302</v>
      </c>
      <c r="B26303" s="2" t="str">
        <f>IFERROR(__xludf.DUMMYFUNCTION("GOOGLETRANSLATE(A26303, ""de"", ""en"")"),"al-Qaeda")</f>
        <v>al-Qaeda</v>
      </c>
    </row>
    <row r="26304">
      <c r="A26304" s="1" t="s">
        <v>26303</v>
      </c>
      <c r="B26304" s="2" t="str">
        <f>IFERROR(__xludf.DUMMYFUNCTION("GOOGLETRANSLATE(A26304, ""de"", ""en"")"),"know-it-all")</f>
        <v>know-it-all</v>
      </c>
    </row>
    <row r="26305">
      <c r="A26305" s="1" t="s">
        <v>26304</v>
      </c>
      <c r="B26305" s="2" t="str">
        <f>IFERROR(__xludf.DUMMYFUNCTION("GOOGLETRANSLATE(A26305, ""de"", ""en"")"),"barnett")</f>
        <v>barnett</v>
      </c>
    </row>
    <row r="26306">
      <c r="A26306" s="1" t="s">
        <v>26305</v>
      </c>
      <c r="B26306" s="2" t="str">
        <f>IFERROR(__xludf.DUMMYFUNCTION("GOOGLETRANSLATE(A26306, ""de"", ""en"")"),"goddammit")</f>
        <v>goddammit</v>
      </c>
    </row>
    <row r="26307">
      <c r="A26307" s="1" t="s">
        <v>26306</v>
      </c>
      <c r="B26307" s="2" t="str">
        <f>IFERROR(__xludf.DUMMYFUNCTION("GOOGLETRANSLATE(A26307, ""de"", ""en"")"),"emergence")</f>
        <v>emergence</v>
      </c>
    </row>
    <row r="26308">
      <c r="A26308" s="1" t="s">
        <v>26307</v>
      </c>
      <c r="B26308" s="2" t="str">
        <f>IFERROR(__xludf.DUMMYFUNCTION("GOOGLETRANSLATE(A26308, ""de"", ""en"")"),"it's working")</f>
        <v>it's working</v>
      </c>
    </row>
    <row r="26309">
      <c r="A26309" s="1" t="s">
        <v>26308</v>
      </c>
      <c r="B26309" s="2" t="str">
        <f>IFERROR(__xludf.DUMMYFUNCTION("GOOGLETRANSLATE(A26309, ""de"", ""en"")"),"drive over")</f>
        <v>drive over</v>
      </c>
    </row>
    <row r="26310">
      <c r="A26310" s="1" t="s">
        <v>26309</v>
      </c>
      <c r="B26310" s="2" t="str">
        <f>IFERROR(__xludf.DUMMYFUNCTION("GOOGLETRANSLATE(A26310, ""de"", ""en"")"),"scaffolding")</f>
        <v>scaffolding</v>
      </c>
    </row>
    <row r="26311">
      <c r="A26311" s="1" t="s">
        <v>26310</v>
      </c>
      <c r="B26311" s="2" t="str">
        <f>IFERROR(__xludf.DUMMYFUNCTION("GOOGLETRANSLATE(A26311, ""de"", ""en"")"),"initiate")</f>
        <v>initiate</v>
      </c>
    </row>
    <row r="26312">
      <c r="A26312" s="1" t="s">
        <v>26311</v>
      </c>
      <c r="B26312" s="2" t="str">
        <f>IFERROR(__xludf.DUMMYFUNCTION("GOOGLETRANSLATE(A26312, ""de"", ""en"")"),"vegetarian")</f>
        <v>vegetarian</v>
      </c>
    </row>
    <row r="26313">
      <c r="A26313" s="1" t="s">
        <v>26312</v>
      </c>
      <c r="B26313" s="2" t="str">
        <f>IFERROR(__xludf.DUMMYFUNCTION("GOOGLETRANSLATE(A26313, ""de"", ""en"")"),"rattles")</f>
        <v>rattles</v>
      </c>
    </row>
    <row r="26314">
      <c r="A26314" s="1" t="s">
        <v>26313</v>
      </c>
      <c r="B26314" s="2" t="str">
        <f>IFERROR(__xludf.DUMMYFUNCTION("GOOGLETRANSLATE(A26314, ""de"", ""en"")"),"overwritten")</f>
        <v>overwritten</v>
      </c>
    </row>
    <row r="26315">
      <c r="A26315" s="1" t="s">
        <v>26314</v>
      </c>
      <c r="B26315" s="2" t="str">
        <f>IFERROR(__xludf.DUMMYFUNCTION("GOOGLETRANSLATE(A26315, ""de"", ""en"")"),"concocted")</f>
        <v>concocted</v>
      </c>
    </row>
    <row r="26316">
      <c r="A26316" s="1" t="s">
        <v>26315</v>
      </c>
      <c r="B26316" s="2" t="str">
        <f>IFERROR(__xludf.DUMMYFUNCTION("GOOGLETRANSLATE(A26316, ""de"", ""en"")"),"aston")</f>
        <v>aston</v>
      </c>
    </row>
    <row r="26317">
      <c r="A26317" s="1" t="s">
        <v>26316</v>
      </c>
      <c r="B26317" s="2" t="str">
        <f>IFERROR(__xludf.DUMMYFUNCTION("GOOGLETRANSLATE(A26317, ""de"", ""en"")"),"emitter")</f>
        <v>emitter</v>
      </c>
    </row>
    <row r="26318">
      <c r="A26318" s="1" t="s">
        <v>26317</v>
      </c>
      <c r="B26318" s="2" t="str">
        <f>IFERROR(__xludf.DUMMYFUNCTION("GOOGLETRANSLATE(A26318, ""de"", ""en"")"),"residential building")</f>
        <v>residential building</v>
      </c>
    </row>
    <row r="26319">
      <c r="A26319" s="1" t="s">
        <v>26318</v>
      </c>
      <c r="B26319" s="2" t="str">
        <f>IFERROR(__xludf.DUMMYFUNCTION("GOOGLETRANSLATE(A26319, ""de"", ""en"")"),"discussed")</f>
        <v>discussed</v>
      </c>
    </row>
    <row r="26320">
      <c r="A26320" s="1" t="s">
        <v>26319</v>
      </c>
      <c r="B26320" s="2" t="str">
        <f>IFERROR(__xludf.DUMMYFUNCTION("GOOGLETRANSLATE(A26320, ""de"", ""en"")"),"sincere")</f>
        <v>sincere</v>
      </c>
    </row>
    <row r="26321">
      <c r="A26321" s="1" t="s">
        <v>26320</v>
      </c>
      <c r="B26321" s="2" t="str">
        <f>IFERROR(__xludf.DUMMYFUNCTION("GOOGLETRANSLATE(A26321, ""de"", ""en"")"),"to hunt down")</f>
        <v>to hunt down</v>
      </c>
    </row>
    <row r="26322">
      <c r="A26322" s="1" t="s">
        <v>26321</v>
      </c>
      <c r="B26322" s="2" t="str">
        <f>IFERROR(__xludf.DUMMYFUNCTION("GOOGLETRANSLATE(A26322, ""de"", ""en"")"),"angel of death")</f>
        <v>angel of death</v>
      </c>
    </row>
    <row r="26323">
      <c r="A26323" s="1" t="s">
        <v>26322</v>
      </c>
      <c r="B26323" s="2" t="str">
        <f>IFERROR(__xludf.DUMMYFUNCTION("GOOGLETRANSLATE(A26323, ""de"", ""en"")"),"haggle")</f>
        <v>haggle</v>
      </c>
    </row>
    <row r="26324">
      <c r="A26324" s="1" t="s">
        <v>26323</v>
      </c>
      <c r="B26324" s="2" t="str">
        <f>IFERROR(__xludf.DUMMYFUNCTION("GOOGLETRANSLATE(A26324, ""de"", ""en"")"),"morten")</f>
        <v>morten</v>
      </c>
    </row>
    <row r="26325">
      <c r="A26325" s="1" t="s">
        <v>26324</v>
      </c>
      <c r="B26325" s="2" t="str">
        <f>IFERROR(__xludf.DUMMYFUNCTION("GOOGLETRANSLATE(A26325, ""de"", ""en"")"),"applies")</f>
        <v>applies</v>
      </c>
    </row>
    <row r="26326">
      <c r="A26326" s="1" t="s">
        <v>26325</v>
      </c>
      <c r="B26326" s="2" t="str">
        <f>IFERROR(__xludf.DUMMYFUNCTION("GOOGLETRANSLATE(A26326, ""de"", ""en"")"),"delays")</f>
        <v>delays</v>
      </c>
    </row>
    <row r="26327">
      <c r="A26327" s="1" t="s">
        <v>26326</v>
      </c>
      <c r="B26327" s="2" t="str">
        <f>IFERROR(__xludf.DUMMYFUNCTION("GOOGLETRANSLATE(A26327, ""de"", ""en"")"),"blackouts")</f>
        <v>blackouts</v>
      </c>
    </row>
    <row r="26328">
      <c r="A26328" s="1" t="s">
        <v>26327</v>
      </c>
      <c r="B26328" s="2" t="str">
        <f>IFERROR(__xludf.DUMMYFUNCTION("GOOGLETRANSLATE(A26328, ""de"", ""en"")"),"Lisa")</f>
        <v>Lisa</v>
      </c>
    </row>
    <row r="26329">
      <c r="A26329" s="1" t="s">
        <v>26328</v>
      </c>
      <c r="B26329" s="2" t="str">
        <f>IFERROR(__xludf.DUMMYFUNCTION("GOOGLETRANSLATE(A26329, ""de"", ""en"")"),"preferably")</f>
        <v>preferably</v>
      </c>
    </row>
    <row r="26330">
      <c r="A26330" s="1" t="s">
        <v>26329</v>
      </c>
      <c r="B26330" s="2" t="str">
        <f>IFERROR(__xludf.DUMMYFUNCTION("GOOGLETRANSLATE(A26330, ""de"", ""en"")"),"crazy")</f>
        <v>crazy</v>
      </c>
    </row>
    <row r="26331">
      <c r="A26331" s="1" t="s">
        <v>26330</v>
      </c>
      <c r="B26331" s="2" t="str">
        <f>IFERROR(__xludf.DUMMYFUNCTION("GOOGLETRANSLATE(A26331, ""de"", ""en"")"),"oval")</f>
        <v>oval</v>
      </c>
    </row>
    <row r="26332">
      <c r="A26332" s="1" t="s">
        <v>26331</v>
      </c>
      <c r="B26332" s="2" t="str">
        <f>IFERROR(__xludf.DUMMYFUNCTION("GOOGLETRANSLATE(A26332, ""de"", ""en"")"),"preferred")</f>
        <v>preferred</v>
      </c>
    </row>
    <row r="26333">
      <c r="A26333" s="1" t="s">
        <v>26332</v>
      </c>
      <c r="B26333" s="2" t="str">
        <f>IFERROR(__xludf.DUMMYFUNCTION("GOOGLETRANSLATE(A26333, ""de"", ""en"")"),"lucinda")</f>
        <v>lucinda</v>
      </c>
    </row>
    <row r="26334">
      <c r="A26334" s="1" t="s">
        <v>26333</v>
      </c>
      <c r="B26334" s="2" t="str">
        <f>IFERROR(__xludf.DUMMYFUNCTION("GOOGLETRANSLATE(A26334, ""de"", ""en"")"),"germs")</f>
        <v>germs</v>
      </c>
    </row>
    <row r="26335">
      <c r="A26335" s="1" t="s">
        <v>26334</v>
      </c>
      <c r="B26335" s="2" t="str">
        <f>IFERROR(__xludf.DUMMYFUNCTION("GOOGLETRANSLATE(A26335, ""de"", ""en"")"),"dive")</f>
        <v>dive</v>
      </c>
    </row>
    <row r="26336">
      <c r="A26336" s="1" t="s">
        <v>26335</v>
      </c>
      <c r="B26336" s="2" t="str">
        <f>IFERROR(__xludf.DUMMYFUNCTION("GOOGLETRANSLATE(A26336, ""de"", ""en"")"),"suicides")</f>
        <v>suicides</v>
      </c>
    </row>
    <row r="26337">
      <c r="A26337" s="1" t="s">
        <v>26336</v>
      </c>
      <c r="B26337" s="2" t="str">
        <f>IFERROR(__xludf.DUMMYFUNCTION("GOOGLETRANSLATE(A26337, ""de"", ""en"")"),"comforted")</f>
        <v>comforted</v>
      </c>
    </row>
    <row r="26338">
      <c r="A26338" s="1" t="s">
        <v>26337</v>
      </c>
      <c r="B26338" s="2" t="str">
        <f>IFERROR(__xludf.DUMMYFUNCTION("GOOGLETRANSLATE(A26338, ""de"", ""en"")"),"official")</f>
        <v>official</v>
      </c>
    </row>
    <row r="26339">
      <c r="A26339" s="1" t="s">
        <v>26338</v>
      </c>
      <c r="B26339" s="2" t="str">
        <f>IFERROR(__xludf.DUMMYFUNCTION("GOOGLETRANSLATE(A26339, ""de"", ""en"")"),"intrigue")</f>
        <v>intrigue</v>
      </c>
    </row>
    <row r="26340">
      <c r="A26340" s="1" t="s">
        <v>26339</v>
      </c>
      <c r="B26340" s="2" t="str">
        <f>IFERROR(__xludf.DUMMYFUNCTION("GOOGLETRANSLATE(A26340, ""de"", ""en"")"),"circle")</f>
        <v>circle</v>
      </c>
    </row>
    <row r="26341">
      <c r="A26341" s="1" t="s">
        <v>26340</v>
      </c>
      <c r="B26341" s="2" t="str">
        <f>IFERROR(__xludf.DUMMYFUNCTION("GOOGLETRANSLATE(A26341, ""de"", ""en"")"),"of Spain")</f>
        <v>of Spain</v>
      </c>
    </row>
    <row r="26342">
      <c r="A26342" s="1" t="s">
        <v>26341</v>
      </c>
      <c r="B26342" s="2" t="str">
        <f>IFERROR(__xludf.DUMMYFUNCTION("GOOGLETRANSLATE(A26342, ""de"", ""en"")"),"behest")</f>
        <v>behest</v>
      </c>
    </row>
    <row r="26343">
      <c r="A26343" s="1" t="s">
        <v>26342</v>
      </c>
      <c r="B26343" s="2" t="str">
        <f>IFERROR(__xludf.DUMMYFUNCTION("GOOGLETRANSLATE(A26343, ""de"", ""en"")"),"dear")</f>
        <v>dear</v>
      </c>
    </row>
    <row r="26344">
      <c r="A26344" s="1" t="s">
        <v>26343</v>
      </c>
      <c r="B26344" s="2" t="str">
        <f>IFERROR(__xludf.DUMMYFUNCTION("GOOGLETRANSLATE(A26344, ""de"", ""en"")"),"cesar")</f>
        <v>cesar</v>
      </c>
    </row>
    <row r="26345">
      <c r="A26345" s="1" t="s">
        <v>26344</v>
      </c>
      <c r="B26345" s="2" t="str">
        <f>IFERROR(__xludf.DUMMYFUNCTION("GOOGLETRANSLATE(A26345, ""de"", ""en"")"),"dance")</f>
        <v>dance</v>
      </c>
    </row>
    <row r="26346">
      <c r="A26346" s="1" t="s">
        <v>26345</v>
      </c>
      <c r="B26346" s="2" t="str">
        <f>IFERROR(__xludf.DUMMYFUNCTION("GOOGLETRANSLATE(A26346, ""de"", ""en"")"),"intervene")</f>
        <v>intervene</v>
      </c>
    </row>
    <row r="26347">
      <c r="A26347" s="1" t="s">
        <v>26346</v>
      </c>
      <c r="B26347" s="2" t="str">
        <f>IFERROR(__xludf.DUMMYFUNCTION("GOOGLETRANSLATE(A26347, ""de"", ""en"")"),"standing")</f>
        <v>standing</v>
      </c>
    </row>
    <row r="26348">
      <c r="A26348" s="1" t="s">
        <v>26347</v>
      </c>
      <c r="B26348" s="2" t="str">
        <f>IFERROR(__xludf.DUMMYFUNCTION("GOOGLETRANSLATE(A26348, ""de"", ""en"")"),"consult")</f>
        <v>consult</v>
      </c>
    </row>
    <row r="26349">
      <c r="A26349" s="1" t="s">
        <v>26348</v>
      </c>
      <c r="B26349" s="2" t="str">
        <f>IFERROR(__xludf.DUMMYFUNCTION("GOOGLETRANSLATE(A26349, ""de"", ""en"")"),"Cape Town")</f>
        <v>Cape Town</v>
      </c>
    </row>
    <row r="26350">
      <c r="A26350" s="1" t="s">
        <v>26349</v>
      </c>
      <c r="B26350" s="2" t="str">
        <f>IFERROR(__xludf.DUMMYFUNCTION("GOOGLETRANSLATE(A26350, ""de"", ""en"")"),"law degree")</f>
        <v>law degree</v>
      </c>
    </row>
    <row r="26351">
      <c r="A26351" s="1" t="s">
        <v>26350</v>
      </c>
      <c r="B26351" s="2" t="str">
        <f>IFERROR(__xludf.DUMMYFUNCTION("GOOGLETRANSLATE(A26351, ""de"", ""en"")"),"razor blade")</f>
        <v>razor blade</v>
      </c>
    </row>
    <row r="26352">
      <c r="A26352" s="1" t="s">
        <v>26351</v>
      </c>
      <c r="B26352" s="2" t="str">
        <f>IFERROR(__xludf.DUMMYFUNCTION("GOOGLETRANSLATE(A26352, ""de"", ""en"")"),"oats")</f>
        <v>oats</v>
      </c>
    </row>
    <row r="26353">
      <c r="A26353" s="1" t="s">
        <v>26352</v>
      </c>
      <c r="B26353" s="2" t="str">
        <f>IFERROR(__xludf.DUMMYFUNCTION("GOOGLETRANSLATE(A26353, ""de"", ""en"")"),"attachment")</f>
        <v>attachment</v>
      </c>
    </row>
    <row r="26354">
      <c r="A26354" s="1" t="s">
        <v>26353</v>
      </c>
      <c r="B26354" s="2" t="str">
        <f>IFERROR(__xludf.DUMMYFUNCTION("GOOGLETRANSLATE(A26354, ""de"", ""en"")"),"providence")</f>
        <v>providence</v>
      </c>
    </row>
    <row r="26355">
      <c r="A26355" s="1" t="s">
        <v>26354</v>
      </c>
      <c r="B26355" s="2" t="str">
        <f>IFERROR(__xludf.DUMMYFUNCTION("GOOGLETRANSLATE(A26355, ""de"", ""en"")"),"gibbons")</f>
        <v>gibbons</v>
      </c>
    </row>
    <row r="26356">
      <c r="A26356" s="1" t="s">
        <v>26355</v>
      </c>
      <c r="B26356" s="2" t="str">
        <f>IFERROR(__xludf.DUMMYFUNCTION("GOOGLETRANSLATE(A26356, ""de"", ""en"")"),"Leviathan")</f>
        <v>Leviathan</v>
      </c>
    </row>
    <row r="26357">
      <c r="A26357" s="1" t="s">
        <v>26356</v>
      </c>
      <c r="B26357" s="2" t="str">
        <f>IFERROR(__xludf.DUMMYFUNCTION("GOOGLETRANSLATE(A26357, ""de"", ""en"")"),"invest")</f>
        <v>invest</v>
      </c>
    </row>
    <row r="26358">
      <c r="A26358" s="1" t="s">
        <v>26357</v>
      </c>
      <c r="B26358" s="2" t="str">
        <f>IFERROR(__xludf.DUMMYFUNCTION("GOOGLETRANSLATE(A26358, ""de"", ""en"")"),"Como")</f>
        <v>Como</v>
      </c>
    </row>
    <row r="26359">
      <c r="A26359" s="1" t="s">
        <v>26358</v>
      </c>
      <c r="B26359" s="2" t="str">
        <f>IFERROR(__xludf.DUMMYFUNCTION("GOOGLETRANSLATE(A26359, ""de"", ""en"")"),"throats")</f>
        <v>throats</v>
      </c>
    </row>
    <row r="26360">
      <c r="A26360" s="1" t="s">
        <v>26359</v>
      </c>
      <c r="B26360" s="2" t="str">
        <f>IFERROR(__xludf.DUMMYFUNCTION("GOOGLETRANSLATE(A26360, ""de"", ""en"")"),"stay away")</f>
        <v>stay away</v>
      </c>
    </row>
    <row r="26361">
      <c r="A26361" s="1" t="s">
        <v>26360</v>
      </c>
      <c r="B26361" s="2" t="str">
        <f>IFERROR(__xludf.DUMMYFUNCTION("GOOGLETRANSLATE(A26361, ""de"", ""en"")"),"cuddly")</f>
        <v>cuddly</v>
      </c>
    </row>
    <row r="26362">
      <c r="A26362" s="1" t="s">
        <v>26361</v>
      </c>
      <c r="B26362" s="2" t="str">
        <f>IFERROR(__xludf.DUMMYFUNCTION("GOOGLETRANSLATE(A26362, ""de"", ""en"")"),"cape")</f>
        <v>cape</v>
      </c>
    </row>
    <row r="26363">
      <c r="A26363" s="1" t="s">
        <v>26362</v>
      </c>
      <c r="B26363" s="2" t="str">
        <f>IFERROR(__xludf.DUMMYFUNCTION("GOOGLETRANSLATE(A26363, ""de"", ""en"")"),"send")</f>
        <v>send</v>
      </c>
    </row>
    <row r="26364">
      <c r="A26364" s="1" t="s">
        <v>26363</v>
      </c>
      <c r="B26364" s="2" t="str">
        <f>IFERROR(__xludf.DUMMYFUNCTION("GOOGLETRANSLATE(A26364, ""de"", ""en"")"),"jule")</f>
        <v>jule</v>
      </c>
    </row>
    <row r="26365">
      <c r="A26365" s="1" t="s">
        <v>26364</v>
      </c>
      <c r="B26365" s="2" t="str">
        <f>IFERROR(__xludf.DUMMYFUNCTION("GOOGLETRANSLATE(A26365, ""de"", ""en"")"),"raid")</f>
        <v>raid</v>
      </c>
    </row>
    <row r="26366">
      <c r="A26366" s="1" t="s">
        <v>26365</v>
      </c>
      <c r="B26366" s="2" t="str">
        <f>IFERROR(__xludf.DUMMYFUNCTION("GOOGLETRANSLATE(A26366, ""de"", ""en"")"),"qi")</f>
        <v>qi</v>
      </c>
    </row>
    <row r="26367">
      <c r="A26367" s="1" t="s">
        <v>26366</v>
      </c>
      <c r="B26367" s="2" t="str">
        <f>IFERROR(__xludf.DUMMYFUNCTION("GOOGLETRANSLATE(A26367, ""de"", ""en"")"),"instigate")</f>
        <v>instigate</v>
      </c>
    </row>
    <row r="26368">
      <c r="A26368" s="1" t="s">
        <v>26367</v>
      </c>
      <c r="B26368" s="2" t="str">
        <f>IFERROR(__xludf.DUMMYFUNCTION("GOOGLETRANSLATE(A26368, ""de"", ""en"")"),"shot down")</f>
        <v>shot down</v>
      </c>
    </row>
    <row r="26369">
      <c r="A26369" s="1" t="s">
        <v>26368</v>
      </c>
      <c r="B26369" s="2" t="str">
        <f>IFERROR(__xludf.DUMMYFUNCTION("GOOGLETRANSLATE(A26369, ""de"", ""en"")"),"wyler")</f>
        <v>wyler</v>
      </c>
    </row>
    <row r="26370">
      <c r="A26370" s="1" t="s">
        <v>26369</v>
      </c>
      <c r="B26370" s="2" t="str">
        <f>IFERROR(__xludf.DUMMYFUNCTION("GOOGLETRANSLATE(A26370, ""de"", ""en"")"),"geometry")</f>
        <v>geometry</v>
      </c>
    </row>
    <row r="26371">
      <c r="A26371" s="1" t="s">
        <v>26370</v>
      </c>
      <c r="B26371" s="2" t="str">
        <f>IFERROR(__xludf.DUMMYFUNCTION("GOOGLETRANSLATE(A26371, ""de"", ""en"")"),"dream man")</f>
        <v>dream man</v>
      </c>
    </row>
    <row r="26372">
      <c r="A26372" s="1" t="s">
        <v>26371</v>
      </c>
      <c r="B26372" s="2" t="str">
        <f>IFERROR(__xludf.DUMMYFUNCTION("GOOGLETRANSLATE(A26372, ""de"", ""en"")"),"aggressions")</f>
        <v>aggressions</v>
      </c>
    </row>
    <row r="26373">
      <c r="A26373" s="1" t="s">
        <v>26372</v>
      </c>
      <c r="B26373" s="2" t="str">
        <f>IFERROR(__xludf.DUMMYFUNCTION("GOOGLETRANSLATE(A26373, ""de"", ""en"")"),"antique")</f>
        <v>antique</v>
      </c>
    </row>
    <row r="26374">
      <c r="A26374" s="1" t="s">
        <v>26373</v>
      </c>
      <c r="B26374" s="2" t="str">
        <f>IFERROR(__xludf.DUMMYFUNCTION("GOOGLETRANSLATE(A26374, ""de"", ""en"")"),"stop")</f>
        <v>stop</v>
      </c>
    </row>
    <row r="26375">
      <c r="A26375" s="1" t="s">
        <v>26374</v>
      </c>
      <c r="B26375" s="2" t="str">
        <f>IFERROR(__xludf.DUMMYFUNCTION("GOOGLETRANSLATE(A26375, ""de"", ""en"")"),"sidewalk")</f>
        <v>sidewalk</v>
      </c>
    </row>
    <row r="26376">
      <c r="A26376" s="1" t="s">
        <v>26375</v>
      </c>
      <c r="B26376" s="2" t="str">
        <f>IFERROR(__xludf.DUMMYFUNCTION("GOOGLETRANSLATE(A26376, ""de"", ""en"")"),"husband")</f>
        <v>husband</v>
      </c>
    </row>
    <row r="26377">
      <c r="A26377" s="1" t="s">
        <v>26376</v>
      </c>
      <c r="B26377" s="2" t="str">
        <f>IFERROR(__xludf.DUMMYFUNCTION("GOOGLETRANSLATE(A26377, ""de"", ""en"")"),"opera")</f>
        <v>opera</v>
      </c>
    </row>
    <row r="26378">
      <c r="A26378" s="1" t="s">
        <v>26377</v>
      </c>
      <c r="B26378" s="2" t="str">
        <f>IFERROR(__xludf.DUMMYFUNCTION("GOOGLETRANSLATE(A26378, ""de"", ""en"")"),"regis")</f>
        <v>regis</v>
      </c>
    </row>
    <row r="26379">
      <c r="A26379" s="1" t="s">
        <v>26378</v>
      </c>
      <c r="B26379" s="2" t="str">
        <f>IFERROR(__xludf.DUMMYFUNCTION("GOOGLETRANSLATE(A26379, ""de"", ""en"")"),"Nietzsche")</f>
        <v>Nietzsche</v>
      </c>
    </row>
    <row r="26380">
      <c r="A26380" s="1" t="s">
        <v>26379</v>
      </c>
      <c r="B26380" s="2" t="str">
        <f>IFERROR(__xludf.DUMMYFUNCTION("GOOGLETRANSLATE(A26380, ""de"", ""en"")"),"ornamental")</f>
        <v>ornamental</v>
      </c>
    </row>
    <row r="26381">
      <c r="A26381" s="1" t="s">
        <v>26380</v>
      </c>
      <c r="B26381" s="2" t="str">
        <f>IFERROR(__xludf.DUMMYFUNCTION("GOOGLETRANSLATE(A26381, ""de"", ""en"")"),"deserve")</f>
        <v>deserve</v>
      </c>
    </row>
    <row r="26382">
      <c r="A26382" s="1" t="s">
        <v>26381</v>
      </c>
      <c r="B26382" s="2" t="str">
        <f>IFERROR(__xludf.DUMMYFUNCTION("GOOGLETRANSLATE(A26382, ""de"", ""en"")"),"go up")</f>
        <v>go up</v>
      </c>
    </row>
    <row r="26383">
      <c r="A26383" s="1" t="s">
        <v>26382</v>
      </c>
      <c r="B26383" s="2" t="str">
        <f>IFERROR(__xludf.DUMMYFUNCTION("GOOGLETRANSLATE(A26383, ""de"", ""en"")"),"foxy")</f>
        <v>foxy</v>
      </c>
    </row>
    <row r="26384">
      <c r="A26384" s="1" t="s">
        <v>26383</v>
      </c>
      <c r="B26384" s="2" t="str">
        <f>IFERROR(__xludf.DUMMYFUNCTION("GOOGLETRANSLATE(A26384, ""de"", ""en"")"),"to be alone")</f>
        <v>to be alone</v>
      </c>
    </row>
    <row r="26385">
      <c r="A26385" s="1" t="s">
        <v>26384</v>
      </c>
      <c r="B26385" s="2" t="str">
        <f>IFERROR(__xludf.DUMMYFUNCTION("GOOGLETRANSLATE(A26385, ""de"", ""en"")"),"rehabilitation")</f>
        <v>rehabilitation</v>
      </c>
    </row>
    <row r="26386">
      <c r="A26386" s="1" t="s">
        <v>26385</v>
      </c>
      <c r="B26386" s="2" t="str">
        <f>IFERROR(__xludf.DUMMYFUNCTION("GOOGLETRANSLATE(A26386, ""de"", ""en"")"),"hepatitis")</f>
        <v>hepatitis</v>
      </c>
    </row>
    <row r="26387">
      <c r="A26387" s="1" t="s">
        <v>26386</v>
      </c>
      <c r="B26387" s="2" t="str">
        <f>IFERROR(__xludf.DUMMYFUNCTION("GOOGLETRANSLATE(A26387, ""de"", ""en"")"),"caterer")</f>
        <v>caterer</v>
      </c>
    </row>
    <row r="26388">
      <c r="A26388" s="1" t="s">
        <v>26387</v>
      </c>
      <c r="B26388" s="2" t="str">
        <f>IFERROR(__xludf.DUMMYFUNCTION("GOOGLETRANSLATE(A26388, ""de"", ""en"")"),"industrial")</f>
        <v>industrial</v>
      </c>
    </row>
    <row r="26389">
      <c r="A26389" s="1" t="s">
        <v>26388</v>
      </c>
      <c r="B26389" s="2" t="str">
        <f>IFERROR(__xludf.DUMMYFUNCTION("GOOGLETRANSLATE(A26389, ""de"", ""en"")"),"malicious")</f>
        <v>malicious</v>
      </c>
    </row>
    <row r="26390">
      <c r="A26390" s="1" t="s">
        <v>26389</v>
      </c>
      <c r="B26390" s="2" t="str">
        <f>IFERROR(__xludf.DUMMYFUNCTION("GOOGLETRANSLATE(A26390, ""de"", ""en"")"),"disturbance of the peace")</f>
        <v>disturbance of the peace</v>
      </c>
    </row>
    <row r="26391">
      <c r="A26391" s="1" t="s">
        <v>26390</v>
      </c>
      <c r="B26391" s="2" t="str">
        <f>IFERROR(__xludf.DUMMYFUNCTION("GOOGLETRANSLATE(A26391, ""de"", ""en"")"),"Nazareth")</f>
        <v>Nazareth</v>
      </c>
    </row>
    <row r="26392">
      <c r="A26392" s="1" t="s">
        <v>26391</v>
      </c>
      <c r="B26392" s="2" t="str">
        <f>IFERROR(__xludf.DUMMYFUNCTION("GOOGLETRANSLATE(A26392, ""de"", ""en"")"),"transponder")</f>
        <v>transponder</v>
      </c>
    </row>
    <row r="26393">
      <c r="A26393" s="1" t="s">
        <v>26392</v>
      </c>
      <c r="B26393" s="2" t="str">
        <f>IFERROR(__xludf.DUMMYFUNCTION("GOOGLETRANSLATE(A26393, ""de"", ""en"")"),"kimura")</f>
        <v>kimura</v>
      </c>
    </row>
    <row r="26394">
      <c r="A26394" s="1" t="s">
        <v>26393</v>
      </c>
      <c r="B26394" s="2" t="str">
        <f>IFERROR(__xludf.DUMMYFUNCTION("GOOGLETRANSLATE(A26394, ""de"", ""en"")"),"executions")</f>
        <v>executions</v>
      </c>
    </row>
    <row r="26395">
      <c r="A26395" s="1" t="s">
        <v>26394</v>
      </c>
      <c r="B26395" s="2" t="str">
        <f>IFERROR(__xludf.DUMMYFUNCTION("GOOGLETRANSLATE(A26395, ""de"", ""en"")"),"properly")</f>
        <v>properly</v>
      </c>
    </row>
    <row r="26396">
      <c r="A26396" s="1" t="s">
        <v>26395</v>
      </c>
      <c r="B26396" s="2" t="str">
        <f>IFERROR(__xludf.DUMMYFUNCTION("GOOGLETRANSLATE(A26396, ""de"", ""en"")"),"salute")</f>
        <v>salute</v>
      </c>
    </row>
    <row r="26397">
      <c r="A26397" s="1" t="s">
        <v>26396</v>
      </c>
      <c r="B26397" s="2" t="str">
        <f>IFERROR(__xludf.DUMMYFUNCTION("GOOGLETRANSLATE(A26397, ""de"", ""en"")"),"security team")</f>
        <v>security team</v>
      </c>
    </row>
    <row r="26398">
      <c r="A26398" s="1" t="s">
        <v>26397</v>
      </c>
      <c r="B26398" s="2" t="str">
        <f>IFERROR(__xludf.DUMMYFUNCTION("GOOGLETRANSLATE(A26398, ""de"", ""en"")"),"useless")</f>
        <v>useless</v>
      </c>
    </row>
    <row r="26399">
      <c r="A26399" s="1" t="s">
        <v>26398</v>
      </c>
      <c r="B26399" s="2" t="str">
        <f>IFERROR(__xludf.DUMMYFUNCTION("GOOGLETRANSLATE(A26399, ""de"", ""en"")"),"examined")</f>
        <v>examined</v>
      </c>
    </row>
    <row r="26400">
      <c r="A26400" s="1" t="s">
        <v>26399</v>
      </c>
      <c r="B26400" s="2" t="str">
        <f>IFERROR(__xludf.DUMMYFUNCTION("GOOGLETRANSLATE(A26400, ""de"", ""en"")"),"mcnamara")</f>
        <v>mcnamara</v>
      </c>
    </row>
    <row r="26401">
      <c r="A26401" s="1" t="s">
        <v>26400</v>
      </c>
      <c r="B26401" s="2" t="str">
        <f>IFERROR(__xludf.DUMMYFUNCTION("GOOGLETRANSLATE(A26401, ""de"", ""en"")"),"anticipate")</f>
        <v>anticipate</v>
      </c>
    </row>
    <row r="26402">
      <c r="A26402" s="1" t="s">
        <v>26401</v>
      </c>
      <c r="B26402" s="2" t="str">
        <f>IFERROR(__xludf.DUMMYFUNCTION("GOOGLETRANSLATE(A26402, ""de"", ""en"")"),"pop")</f>
        <v>pop</v>
      </c>
    </row>
    <row r="26403">
      <c r="A26403" s="1" t="s">
        <v>26402</v>
      </c>
      <c r="B26403" s="2" t="str">
        <f>IFERROR(__xludf.DUMMYFUNCTION("GOOGLETRANSLATE(A26403, ""de"", ""en"")"),"faraday")</f>
        <v>faraday</v>
      </c>
    </row>
    <row r="26404">
      <c r="A26404" s="1" t="s">
        <v>26403</v>
      </c>
      <c r="B26404" s="2" t="str">
        <f>IFERROR(__xludf.DUMMYFUNCTION("GOOGLETRANSLATE(A26404, ""de"", ""en"")"),"otherwise")</f>
        <v>otherwise</v>
      </c>
    </row>
    <row r="26405">
      <c r="A26405" s="1" t="s">
        <v>26404</v>
      </c>
      <c r="B26405" s="2" t="str">
        <f>IFERROR(__xludf.DUMMYFUNCTION("GOOGLETRANSLATE(A26405, ""de"", ""en"")"),"crown jewels")</f>
        <v>crown jewels</v>
      </c>
    </row>
    <row r="26406">
      <c r="A26406" s="1" t="s">
        <v>26405</v>
      </c>
      <c r="B26406" s="2" t="str">
        <f>IFERROR(__xludf.DUMMYFUNCTION("GOOGLETRANSLATE(A26406, ""de"", ""en"")"),"cheap")</f>
        <v>cheap</v>
      </c>
    </row>
    <row r="26407">
      <c r="A26407" s="1" t="s">
        <v>26406</v>
      </c>
      <c r="B26407" s="2" t="str">
        <f>IFERROR(__xludf.DUMMYFUNCTION("GOOGLETRANSLATE(A26407, ""de"", ""en"")"),"peculiar")</f>
        <v>peculiar</v>
      </c>
    </row>
    <row r="26408">
      <c r="A26408" s="1" t="s">
        <v>26407</v>
      </c>
      <c r="B26408" s="2" t="str">
        <f>IFERROR(__xludf.DUMMYFUNCTION("GOOGLETRANSLATE(A26408, ""de"", ""en"")"),"ros")</f>
        <v>ros</v>
      </c>
    </row>
    <row r="26409">
      <c r="A26409" s="1" t="s">
        <v>26408</v>
      </c>
      <c r="B26409" s="2" t="str">
        <f>IFERROR(__xludf.DUMMYFUNCTION("GOOGLETRANSLATE(A26409, ""de"", ""en"")"),"servants")</f>
        <v>servants</v>
      </c>
    </row>
    <row r="26410">
      <c r="A26410" s="1" t="s">
        <v>26409</v>
      </c>
      <c r="B26410" s="2" t="str">
        <f>IFERROR(__xludf.DUMMYFUNCTION("GOOGLETRANSLATE(A26410, ""de"", ""en"")"),"accommodated")</f>
        <v>accommodated</v>
      </c>
    </row>
    <row r="26411">
      <c r="A26411" s="1" t="s">
        <v>26410</v>
      </c>
      <c r="B26411" s="2" t="str">
        <f>IFERROR(__xludf.DUMMYFUNCTION("GOOGLETRANSLATE(A26411, ""de"", ""en"")"),"étienne")</f>
        <v>étienne</v>
      </c>
    </row>
    <row r="26412">
      <c r="A26412" s="1" t="s">
        <v>26411</v>
      </c>
      <c r="B26412" s="2" t="str">
        <f>IFERROR(__xludf.DUMMYFUNCTION("GOOGLETRANSLATE(A26412, ""de"", ""en"")"),"hectic")</f>
        <v>hectic</v>
      </c>
    </row>
    <row r="26413">
      <c r="A26413" s="1" t="s">
        <v>26412</v>
      </c>
      <c r="B26413" s="2" t="str">
        <f>IFERROR(__xludf.DUMMYFUNCTION("GOOGLETRANSLATE(A26413, ""de"", ""en"")"),"ground")</f>
        <v>ground</v>
      </c>
    </row>
    <row r="26414">
      <c r="A26414" s="1" t="s">
        <v>26413</v>
      </c>
      <c r="B26414" s="2" t="str">
        <f>IFERROR(__xludf.DUMMYFUNCTION("GOOGLETRANSLATE(A26414, ""de"", ""en"")"),"loophole")</f>
        <v>loophole</v>
      </c>
    </row>
    <row r="26415">
      <c r="A26415" s="1" t="s">
        <v>26414</v>
      </c>
      <c r="B26415" s="2" t="str">
        <f>IFERROR(__xludf.DUMMYFUNCTION("GOOGLETRANSLATE(A26415, ""de"", ""en"")"),"uh-oh")</f>
        <v>uh-oh</v>
      </c>
    </row>
    <row r="26416">
      <c r="A26416" s="1" t="s">
        <v>26415</v>
      </c>
      <c r="B26416" s="2" t="str">
        <f>IFERROR(__xludf.DUMMYFUNCTION("GOOGLETRANSLATE(A26416, ""de"", ""en"")"),"clarinet")</f>
        <v>clarinet</v>
      </c>
    </row>
    <row r="26417">
      <c r="A26417" s="1" t="s">
        <v>26416</v>
      </c>
      <c r="B26417" s="2" t="str">
        <f>IFERROR(__xludf.DUMMYFUNCTION("GOOGLETRANSLATE(A26417, ""de"", ""en"")"),"vulnerable")</f>
        <v>vulnerable</v>
      </c>
    </row>
    <row r="26418">
      <c r="A26418" s="1" t="s">
        <v>26417</v>
      </c>
      <c r="B26418" s="2" t="str">
        <f>IFERROR(__xludf.DUMMYFUNCTION("GOOGLETRANSLATE(A26418, ""de"", ""en"")"),"cultivation")</f>
        <v>cultivation</v>
      </c>
    </row>
    <row r="26419">
      <c r="A26419" s="1" t="s">
        <v>26418</v>
      </c>
      <c r="B26419" s="2" t="str">
        <f>IFERROR(__xludf.DUMMYFUNCTION("GOOGLETRANSLATE(A26419, ""de"", ""en"")"),"supreme")</f>
        <v>supreme</v>
      </c>
    </row>
    <row r="26420">
      <c r="A26420" s="1" t="s">
        <v>26419</v>
      </c>
      <c r="B26420" s="2" t="str">
        <f>IFERROR(__xludf.DUMMYFUNCTION("GOOGLETRANSLATE(A26420, ""de"", ""en"")"),"merciless")</f>
        <v>merciless</v>
      </c>
    </row>
    <row r="26421">
      <c r="A26421" s="1" t="s">
        <v>26420</v>
      </c>
      <c r="B26421" s="2" t="str">
        <f>IFERROR(__xludf.DUMMYFUNCTION("GOOGLETRANSLATE(A26421, ""de"", ""en"")"),"devastating")</f>
        <v>devastating</v>
      </c>
    </row>
    <row r="26422">
      <c r="A26422" s="1" t="s">
        <v>26421</v>
      </c>
      <c r="B26422" s="2" t="str">
        <f>IFERROR(__xludf.DUMMYFUNCTION("GOOGLETRANSLATE(A26422, ""de"", ""en"")"),"secretary general")</f>
        <v>secretary general</v>
      </c>
    </row>
    <row r="26423">
      <c r="A26423" s="1" t="s">
        <v>26422</v>
      </c>
      <c r="B26423" s="2" t="str">
        <f>IFERROR(__xludf.DUMMYFUNCTION("GOOGLETRANSLATE(A26423, ""de"", ""en"")"),"mama's boy")</f>
        <v>mama's boy</v>
      </c>
    </row>
    <row r="26424">
      <c r="A26424" s="1" t="s">
        <v>26423</v>
      </c>
      <c r="B26424" s="2" t="str">
        <f>IFERROR(__xludf.DUMMYFUNCTION("GOOGLETRANSLATE(A26424, ""de"", ""en"")"),"papal")</f>
        <v>papal</v>
      </c>
    </row>
    <row r="26425">
      <c r="A26425" s="1" t="s">
        <v>26424</v>
      </c>
      <c r="B26425" s="2" t="str">
        <f>IFERROR(__xludf.DUMMYFUNCTION("GOOGLETRANSLATE(A26425, ""de"", ""en"")"),"Adonis")</f>
        <v>Adonis</v>
      </c>
    </row>
    <row r="26426">
      <c r="A26426" s="1" t="s">
        <v>26425</v>
      </c>
      <c r="B26426" s="2" t="str">
        <f>IFERROR(__xludf.DUMMYFUNCTION("GOOGLETRANSLATE(A26426, ""de"", ""en"")"),"simply")</f>
        <v>simply</v>
      </c>
    </row>
    <row r="26427">
      <c r="A26427" s="1" t="s">
        <v>26426</v>
      </c>
      <c r="B26427" s="2" t="str">
        <f>IFERROR(__xludf.DUMMYFUNCTION("GOOGLETRANSLATE(A26427, ""de"", ""en"")"),"wipe up")</f>
        <v>wipe up</v>
      </c>
    </row>
    <row r="26428">
      <c r="A26428" s="1" t="s">
        <v>26427</v>
      </c>
      <c r="B26428" s="2" t="str">
        <f>IFERROR(__xludf.DUMMYFUNCTION("GOOGLETRANSLATE(A26428, ""de"", ""en"")"),"hyenas")</f>
        <v>hyenas</v>
      </c>
    </row>
    <row r="26429">
      <c r="A26429" s="1" t="s">
        <v>26428</v>
      </c>
      <c r="B26429" s="2" t="str">
        <f>IFERROR(__xludf.DUMMYFUNCTION("GOOGLETRANSLATE(A26429, ""de"", ""en"")"),"mon")</f>
        <v>mon</v>
      </c>
    </row>
    <row r="26430">
      <c r="A26430" s="1" t="s">
        <v>26429</v>
      </c>
      <c r="B26430" s="2" t="str">
        <f>IFERROR(__xludf.DUMMYFUNCTION("GOOGLETRANSLATE(A26430, ""de"", ""en"")"),"security company")</f>
        <v>security company</v>
      </c>
    </row>
    <row r="26431">
      <c r="A26431" s="1" t="s">
        <v>26430</v>
      </c>
      <c r="B26431" s="2" t="str">
        <f>IFERROR(__xludf.DUMMYFUNCTION("GOOGLETRANSLATE(A26431, ""de"", ""en"")"),"cos")</f>
        <v>cos</v>
      </c>
    </row>
    <row r="26432">
      <c r="A26432" s="1" t="s">
        <v>26431</v>
      </c>
      <c r="B26432" s="2" t="str">
        <f>IFERROR(__xludf.DUMMYFUNCTION("GOOGLETRANSLATE(A26432, ""de"", ""en"")"),"citizen")</f>
        <v>citizen</v>
      </c>
    </row>
    <row r="26433">
      <c r="A26433" s="1" t="s">
        <v>26432</v>
      </c>
      <c r="B26433" s="2" t="str">
        <f>IFERROR(__xludf.DUMMYFUNCTION("GOOGLETRANSLATE(A26433, ""de"", ""en"")"),"bailiff")</f>
        <v>bailiff</v>
      </c>
    </row>
    <row r="26434">
      <c r="A26434" s="1" t="s">
        <v>26433</v>
      </c>
      <c r="B26434" s="2" t="str">
        <f>IFERROR(__xludf.DUMMYFUNCTION("GOOGLETRANSLATE(A26434, ""de"", ""en"")"),"companionship")</f>
        <v>companionship</v>
      </c>
    </row>
    <row r="26435">
      <c r="A26435" s="1" t="s">
        <v>26434</v>
      </c>
      <c r="B26435" s="2" t="str">
        <f>IFERROR(__xludf.DUMMYFUNCTION("GOOGLETRANSLATE(A26435, ""de"", ""en"")"),"penetrates")</f>
        <v>penetrates</v>
      </c>
    </row>
    <row r="26436">
      <c r="A26436" s="1" t="s">
        <v>26435</v>
      </c>
      <c r="B26436" s="2" t="str">
        <f>IFERROR(__xludf.DUMMYFUNCTION("GOOGLETRANSLATE(A26436, ""de"", ""en"")"),"heavenly")</f>
        <v>heavenly</v>
      </c>
    </row>
    <row r="26437">
      <c r="A26437" s="1" t="s">
        <v>26436</v>
      </c>
      <c r="B26437" s="2" t="str">
        <f>IFERROR(__xludf.DUMMYFUNCTION("GOOGLETRANSLATE(A26437, ""de"", ""en"")"),"kilgrave")</f>
        <v>kilgrave</v>
      </c>
    </row>
    <row r="26438">
      <c r="A26438" s="1" t="s">
        <v>26437</v>
      </c>
      <c r="B26438" s="2" t="str">
        <f>IFERROR(__xludf.DUMMYFUNCTION("GOOGLETRANSLATE(A26438, ""de"", ""en"")"),"needy")</f>
        <v>needy</v>
      </c>
    </row>
    <row r="26439">
      <c r="A26439" s="1" t="s">
        <v>26438</v>
      </c>
      <c r="B26439" s="2" t="str">
        <f>IFERROR(__xludf.DUMMYFUNCTION("GOOGLETRANSLATE(A26439, ""de"", ""en"")"),"drummond")</f>
        <v>drummond</v>
      </c>
    </row>
    <row r="26440">
      <c r="A26440" s="1" t="s">
        <v>26439</v>
      </c>
      <c r="B26440" s="2" t="str">
        <f>IFERROR(__xludf.DUMMYFUNCTION("GOOGLETRANSLATE(A26440, ""de"", ""en"")"),"used")</f>
        <v>used</v>
      </c>
    </row>
    <row r="26441">
      <c r="A26441" s="1" t="s">
        <v>26440</v>
      </c>
      <c r="B26441" s="2" t="str">
        <f>IFERROR(__xludf.DUMMYFUNCTION("GOOGLETRANSLATE(A26441, ""de"", ""en"")"),"thrown in")</f>
        <v>thrown in</v>
      </c>
    </row>
    <row r="26442">
      <c r="A26442" s="1" t="s">
        <v>26441</v>
      </c>
      <c r="B26442" s="2" t="str">
        <f>IFERROR(__xludf.DUMMYFUNCTION("GOOGLETRANSLATE(A26442, ""de"", ""en"")"),"kept")</f>
        <v>kept</v>
      </c>
    </row>
    <row r="26443">
      <c r="A26443" s="1" t="s">
        <v>26442</v>
      </c>
      <c r="B26443" s="2" t="str">
        <f>IFERROR(__xludf.DUMMYFUNCTION("GOOGLETRANSLATE(A26443, ""de"", ""en"")"),"called")</f>
        <v>called</v>
      </c>
    </row>
    <row r="26444">
      <c r="A26444" s="1" t="s">
        <v>26443</v>
      </c>
      <c r="B26444" s="2" t="str">
        <f>IFERROR(__xludf.DUMMYFUNCTION("GOOGLETRANSLATE(A26444, ""de"", ""en"")"),"joeys")</f>
        <v>joeys</v>
      </c>
    </row>
    <row r="26445">
      <c r="A26445" s="1" t="s">
        <v>26444</v>
      </c>
      <c r="B26445" s="2" t="str">
        <f>IFERROR(__xludf.DUMMYFUNCTION("GOOGLETRANSLATE(A26445, ""de"", ""en"")"),"harsh")</f>
        <v>harsh</v>
      </c>
    </row>
    <row r="26446">
      <c r="A26446" s="1" t="s">
        <v>26445</v>
      </c>
      <c r="B26446" s="2" t="str">
        <f>IFERROR(__xludf.DUMMYFUNCTION("GOOGLETRANSLATE(A26446, ""de"", ""en"")"),"stab wound")</f>
        <v>stab wound</v>
      </c>
    </row>
    <row r="26447">
      <c r="A26447" s="1" t="s">
        <v>26446</v>
      </c>
      <c r="B26447" s="2" t="str">
        <f>IFERROR(__xludf.DUMMYFUNCTION("GOOGLETRANSLATE(A26447, ""de"", ""en"")"),"Jeppe")</f>
        <v>Jeppe</v>
      </c>
    </row>
    <row r="26448">
      <c r="A26448" s="1" t="s">
        <v>26447</v>
      </c>
      <c r="B26448" s="2" t="str">
        <f>IFERROR(__xludf.DUMMYFUNCTION("GOOGLETRANSLATE(A26448, ""de"", ""en"")"),"coven")</f>
        <v>coven</v>
      </c>
    </row>
    <row r="26449">
      <c r="A26449" s="1" t="s">
        <v>26448</v>
      </c>
      <c r="B26449" s="2" t="str">
        <f>IFERROR(__xludf.DUMMYFUNCTION("GOOGLETRANSLATE(A26449, ""de"", ""en"")"),"pai")</f>
        <v>pai</v>
      </c>
    </row>
    <row r="26450">
      <c r="A26450" s="1" t="s">
        <v>26449</v>
      </c>
      <c r="B26450" s="2" t="str">
        <f>IFERROR(__xludf.DUMMYFUNCTION("GOOGLETRANSLATE(A26450, ""de"", ""en"")"),"termites")</f>
        <v>termites</v>
      </c>
    </row>
    <row r="26451">
      <c r="A26451" s="1" t="s">
        <v>26450</v>
      </c>
      <c r="B26451" s="2" t="str">
        <f>IFERROR(__xludf.DUMMYFUNCTION("GOOGLETRANSLATE(A26451, ""de"", ""en"")"),"Hewitt")</f>
        <v>Hewitt</v>
      </c>
    </row>
    <row r="26452">
      <c r="A26452" s="1" t="s">
        <v>26451</v>
      </c>
      <c r="B26452" s="2" t="str">
        <f>IFERROR(__xludf.DUMMYFUNCTION("GOOGLETRANSLATE(A26452, ""de"", ""en"")"),"honda")</f>
        <v>honda</v>
      </c>
    </row>
    <row r="26453">
      <c r="A26453" s="1" t="s">
        <v>26452</v>
      </c>
      <c r="B26453" s="2" t="str">
        <f>IFERROR(__xludf.DUMMYFUNCTION("GOOGLETRANSLATE(A26453, ""de"", ""en"")"),"adhesive")</f>
        <v>adhesive</v>
      </c>
    </row>
    <row r="26454">
      <c r="A26454" s="1" t="s">
        <v>26453</v>
      </c>
      <c r="B26454" s="2" t="str">
        <f>IFERROR(__xludf.DUMMYFUNCTION("GOOGLETRANSLATE(A26454, ""de"", ""en"")"),"twine")</f>
        <v>twine</v>
      </c>
    </row>
    <row r="26455">
      <c r="A26455" s="1" t="s">
        <v>26454</v>
      </c>
      <c r="B26455" s="2" t="str">
        <f>IFERROR(__xludf.DUMMYFUNCTION("GOOGLETRANSLATE(A26455, ""de"", ""en"")"),"wiped off")</f>
        <v>wiped off</v>
      </c>
    </row>
    <row r="26456">
      <c r="A26456" s="1" t="s">
        <v>26455</v>
      </c>
      <c r="B26456" s="2" t="str">
        <f>IFERROR(__xludf.DUMMYFUNCTION("GOOGLETRANSLATE(A26456, ""de"", ""en"")"),"forensic")</f>
        <v>forensic</v>
      </c>
    </row>
    <row r="26457">
      <c r="A26457" s="1" t="s">
        <v>26456</v>
      </c>
      <c r="B26457" s="2" t="str">
        <f>IFERROR(__xludf.DUMMYFUNCTION("GOOGLETRANSLATE(A26457, ""de"", ""en"")"),"operating room")</f>
        <v>operating room</v>
      </c>
    </row>
    <row r="26458">
      <c r="A26458" s="1" t="s">
        <v>26457</v>
      </c>
      <c r="B26458" s="2" t="str">
        <f>IFERROR(__xludf.DUMMYFUNCTION("GOOGLETRANSLATE(A26458, ""de"", ""en"")"),"fire station")</f>
        <v>fire station</v>
      </c>
    </row>
    <row r="26459">
      <c r="A26459" s="1" t="s">
        <v>26458</v>
      </c>
      <c r="B26459" s="2" t="str">
        <f>IFERROR(__xludf.DUMMYFUNCTION("GOOGLETRANSLATE(A26459, ""de"", ""en"")"),"adios")</f>
        <v>adios</v>
      </c>
    </row>
    <row r="26460">
      <c r="A26460" s="1" t="s">
        <v>26459</v>
      </c>
      <c r="B26460" s="2" t="str">
        <f>IFERROR(__xludf.DUMMYFUNCTION("GOOGLETRANSLATE(A26460, ""de"", ""en"")"),"promissory note")</f>
        <v>promissory note</v>
      </c>
    </row>
    <row r="26461">
      <c r="A26461" s="1" t="s">
        <v>26460</v>
      </c>
      <c r="B26461" s="2" t="str">
        <f>IFERROR(__xludf.DUMMYFUNCTION("GOOGLETRANSLATE(A26461, ""de"", ""en"")"),"surgical")</f>
        <v>surgical</v>
      </c>
    </row>
    <row r="26462">
      <c r="A26462" s="1" t="s">
        <v>26461</v>
      </c>
      <c r="B26462" s="2" t="str">
        <f>IFERROR(__xludf.DUMMYFUNCTION("GOOGLETRANSLATE(A26462, ""de"", ""en"")"),"handmade")</f>
        <v>handmade</v>
      </c>
    </row>
    <row r="26463">
      <c r="A26463" s="1" t="s">
        <v>26462</v>
      </c>
      <c r="B26463" s="2" t="str">
        <f>IFERROR(__xludf.DUMMYFUNCTION("GOOGLETRANSLATE(A26463, ""de"", ""en"")"),"retirement")</f>
        <v>retirement</v>
      </c>
    </row>
    <row r="26464">
      <c r="A26464" s="1" t="s">
        <v>26463</v>
      </c>
      <c r="B26464" s="2" t="str">
        <f>IFERROR(__xludf.DUMMYFUNCTION("GOOGLETRANSLATE(A26464, ""de"", ""en"")"),"more divine")</f>
        <v>more divine</v>
      </c>
    </row>
    <row r="26465">
      <c r="A26465" s="1" t="s">
        <v>26464</v>
      </c>
      <c r="B26465" s="2" t="str">
        <f>IFERROR(__xludf.DUMMYFUNCTION("GOOGLETRANSLATE(A26465, ""de"", ""en"")"),"related")</f>
        <v>related</v>
      </c>
    </row>
    <row r="26466">
      <c r="A26466" s="1" t="s">
        <v>26465</v>
      </c>
      <c r="B26466" s="2" t="str">
        <f>IFERROR(__xludf.DUMMYFUNCTION("GOOGLETRANSLATE(A26466, ""de"", ""en"")"),"more serious")</f>
        <v>more serious</v>
      </c>
    </row>
    <row r="26467">
      <c r="A26467" s="1" t="s">
        <v>26466</v>
      </c>
      <c r="B26467" s="2" t="str">
        <f>IFERROR(__xludf.DUMMYFUNCTION("GOOGLETRANSLATE(A26467, ""de"", ""en"")"),"tribune")</f>
        <v>tribune</v>
      </c>
    </row>
    <row r="26468">
      <c r="A26468" s="1" t="s">
        <v>26467</v>
      </c>
      <c r="B26468" s="2" t="str">
        <f>IFERROR(__xludf.DUMMYFUNCTION("GOOGLETRANSLATE(A26468, ""de"", ""en"")"),"she-")</f>
        <v>she-</v>
      </c>
    </row>
    <row r="26469">
      <c r="A26469" s="1" t="s">
        <v>26468</v>
      </c>
      <c r="B26469" s="2" t="str">
        <f>IFERROR(__xludf.DUMMYFUNCTION("GOOGLETRANSLATE(A26469, ""de"", ""en"")"),"pik")</f>
        <v>pik</v>
      </c>
    </row>
    <row r="26470">
      <c r="A26470" s="1" t="s">
        <v>26469</v>
      </c>
      <c r="B26470" s="2" t="str">
        <f>IFERROR(__xludf.DUMMYFUNCTION("GOOGLETRANSLATE(A26470, ""de"", ""en"")"),"shiva")</f>
        <v>shiva</v>
      </c>
    </row>
    <row r="26471">
      <c r="A26471" s="1" t="s">
        <v>26470</v>
      </c>
      <c r="B26471" s="2" t="str">
        <f>IFERROR(__xludf.DUMMYFUNCTION("GOOGLETRANSLATE(A26471, ""de"", ""en"")"),"annoying")</f>
        <v>annoying</v>
      </c>
    </row>
    <row r="26472">
      <c r="A26472" s="1" t="s">
        <v>26471</v>
      </c>
      <c r="B26472" s="2" t="str">
        <f>IFERROR(__xludf.DUMMYFUNCTION("GOOGLETRANSLATE(A26472, ""de"", ""en"")"),"pancho")</f>
        <v>pancho</v>
      </c>
    </row>
    <row r="26473">
      <c r="A26473" s="1" t="s">
        <v>26472</v>
      </c>
      <c r="B26473" s="2" t="str">
        <f>IFERROR(__xludf.DUMMYFUNCTION("GOOGLETRANSLATE(A26473, ""de"", ""en"")"),"time to think about it")</f>
        <v>time to think about it</v>
      </c>
    </row>
    <row r="26474">
      <c r="A26474" s="1" t="s">
        <v>26473</v>
      </c>
      <c r="B26474" s="2" t="str">
        <f>IFERROR(__xludf.DUMMYFUNCTION("GOOGLETRANSLATE(A26474, ""de"", ""en"")"),"Romans")</f>
        <v>Romans</v>
      </c>
    </row>
    <row r="26475">
      <c r="A26475" s="1" t="s">
        <v>26474</v>
      </c>
      <c r="B26475" s="2" t="str">
        <f>IFERROR(__xludf.DUMMYFUNCTION("GOOGLETRANSLATE(A26475, ""de"", ""en"")"),"electronically")</f>
        <v>electronically</v>
      </c>
    </row>
    <row r="26476">
      <c r="A26476" s="1" t="s">
        <v>26475</v>
      </c>
      <c r="B26476" s="2" t="str">
        <f>IFERROR(__xludf.DUMMYFUNCTION("GOOGLETRANSLATE(A26476, ""de"", ""en"")"),"additional")</f>
        <v>additional</v>
      </c>
    </row>
    <row r="26477">
      <c r="A26477" s="1" t="s">
        <v>26476</v>
      </c>
      <c r="B26477" s="2" t="str">
        <f>IFERROR(__xludf.DUMMYFUNCTION("GOOGLETRANSLATE(A26477, ""de"", ""en"")"),"exit")</f>
        <v>exit</v>
      </c>
    </row>
    <row r="26478">
      <c r="A26478" s="1" t="s">
        <v>26477</v>
      </c>
      <c r="B26478" s="2" t="str">
        <f>IFERROR(__xludf.DUMMYFUNCTION("GOOGLETRANSLATE(A26478, ""de"", ""en"")"),"stuffed")</f>
        <v>stuffed</v>
      </c>
    </row>
    <row r="26479">
      <c r="A26479" s="1" t="s">
        <v>26478</v>
      </c>
      <c r="B26479" s="2" t="str">
        <f>IFERROR(__xludf.DUMMYFUNCTION("GOOGLETRANSLATE(A26479, ""de"", ""en"")"),"elements")</f>
        <v>elements</v>
      </c>
    </row>
    <row r="26480">
      <c r="A26480" s="1" t="s">
        <v>26479</v>
      </c>
      <c r="B26480" s="2" t="str">
        <f>IFERROR(__xludf.DUMMYFUNCTION("GOOGLETRANSLATE(A26480, ""de"", ""en"")"),"silent")</f>
        <v>silent</v>
      </c>
    </row>
    <row r="26481">
      <c r="A26481" s="1" t="s">
        <v>26480</v>
      </c>
      <c r="B26481" s="2" t="str">
        <f>IFERROR(__xludf.DUMMYFUNCTION("GOOGLETRANSLATE(A26481, ""de"", ""en"")"),"more passionate")</f>
        <v>more passionate</v>
      </c>
    </row>
    <row r="26482">
      <c r="A26482" s="1" t="s">
        <v>26481</v>
      </c>
      <c r="B26482" s="2" t="str">
        <f>IFERROR(__xludf.DUMMYFUNCTION("GOOGLETRANSLATE(A26482, ""de"", ""en"")"),"dayton")</f>
        <v>dayton</v>
      </c>
    </row>
    <row r="26483">
      <c r="A26483" s="1" t="s">
        <v>26482</v>
      </c>
      <c r="B26483" s="2" t="str">
        <f>IFERROR(__xludf.DUMMYFUNCTION("GOOGLETRANSLATE(A26483, ""de"", ""en"")"),"coordinated")</f>
        <v>coordinated</v>
      </c>
    </row>
    <row r="26484">
      <c r="A26484" s="1" t="s">
        <v>26483</v>
      </c>
      <c r="B26484" s="2" t="str">
        <f>IFERROR(__xludf.DUMMYFUNCTION("GOOGLETRANSLATE(A26484, ""de"", ""en"")"),"patron")</f>
        <v>patron</v>
      </c>
    </row>
    <row r="26485">
      <c r="A26485" s="1" t="s">
        <v>26484</v>
      </c>
      <c r="B26485" s="2" t="str">
        <f>IFERROR(__xludf.DUMMYFUNCTION("GOOGLETRANSLATE(A26485, ""de"", ""en"")"),"temporarily")</f>
        <v>temporarily</v>
      </c>
    </row>
    <row r="26486">
      <c r="A26486" s="1" t="s">
        <v>26485</v>
      </c>
      <c r="B26486" s="2" t="str">
        <f>IFERROR(__xludf.DUMMYFUNCTION("GOOGLETRANSLATE(A26486, ""de"", ""en"")"),"shrill")</f>
        <v>shrill</v>
      </c>
    </row>
    <row r="26487">
      <c r="A26487" s="1" t="s">
        <v>26486</v>
      </c>
      <c r="B26487" s="2" t="str">
        <f>IFERROR(__xludf.DUMMYFUNCTION("GOOGLETRANSLATE(A26487, ""de"", ""en"")"),"booked")</f>
        <v>booked</v>
      </c>
    </row>
    <row r="26488">
      <c r="A26488" s="1" t="s">
        <v>26487</v>
      </c>
      <c r="B26488" s="2" t="str">
        <f>IFERROR(__xludf.DUMMYFUNCTION("GOOGLETRANSLATE(A26488, ""de"", ""en"")"),"most popular")</f>
        <v>most popular</v>
      </c>
    </row>
    <row r="26489">
      <c r="A26489" s="1" t="s">
        <v>26488</v>
      </c>
      <c r="B26489" s="2" t="str">
        <f>IFERROR(__xludf.DUMMYFUNCTION("GOOGLETRANSLATE(A26489, ""de"", ""en"")"),"authenticity")</f>
        <v>authenticity</v>
      </c>
    </row>
    <row r="26490">
      <c r="A26490" s="1" t="s">
        <v>26489</v>
      </c>
      <c r="B26490" s="2" t="str">
        <f>IFERROR(__xludf.DUMMYFUNCTION("GOOGLETRANSLATE(A26490, ""de"", ""en"")"),"cheat")</f>
        <v>cheat</v>
      </c>
    </row>
    <row r="26491">
      <c r="A26491" s="1" t="s">
        <v>26490</v>
      </c>
      <c r="B26491" s="2" t="str">
        <f>IFERROR(__xludf.DUMMYFUNCTION("GOOGLETRANSLATE(A26491, ""de"", ""en"")"),"ministers")</f>
        <v>ministers</v>
      </c>
    </row>
    <row r="26492">
      <c r="A26492" s="1" t="s">
        <v>26491</v>
      </c>
      <c r="B26492" s="2" t="str">
        <f>IFERROR(__xludf.DUMMYFUNCTION("GOOGLETRANSLATE(A26492, ""de"", ""en"")"),"golden")</f>
        <v>golden</v>
      </c>
    </row>
    <row r="26493">
      <c r="A26493" s="1" t="s">
        <v>26492</v>
      </c>
      <c r="B26493" s="2" t="str">
        <f>IFERROR(__xludf.DUMMYFUNCTION("GOOGLETRANSLATE(A26493, ""de"", ""en"")"),"quirks")</f>
        <v>quirks</v>
      </c>
    </row>
    <row r="26494">
      <c r="A26494" s="1" t="s">
        <v>26493</v>
      </c>
      <c r="B26494" s="2" t="str">
        <f>IFERROR(__xludf.DUMMYFUNCTION("GOOGLETRANSLATE(A26494, ""de"", ""en"")"),"baby shower")</f>
        <v>baby shower</v>
      </c>
    </row>
    <row r="26495">
      <c r="A26495" s="1" t="s">
        <v>26494</v>
      </c>
      <c r="B26495" s="2" t="str">
        <f>IFERROR(__xludf.DUMMYFUNCTION("GOOGLETRANSLATE(A26495, ""de"", ""en"")"),"apologized")</f>
        <v>apologized</v>
      </c>
    </row>
    <row r="26496">
      <c r="A26496" s="1" t="s">
        <v>26495</v>
      </c>
      <c r="B26496" s="2" t="str">
        <f>IFERROR(__xludf.DUMMYFUNCTION("GOOGLETRANSLATE(A26496, ""de"", ""en"")"),"power supply")</f>
        <v>power supply</v>
      </c>
    </row>
    <row r="26497">
      <c r="A26497" s="1" t="s">
        <v>26496</v>
      </c>
      <c r="B26497" s="2" t="str">
        <f>IFERROR(__xludf.DUMMYFUNCTION("GOOGLETRANSLATE(A26497, ""de"", ""en"")"),"freckles")</f>
        <v>freckles</v>
      </c>
    </row>
    <row r="26498">
      <c r="A26498" s="1" t="s">
        <v>26497</v>
      </c>
      <c r="B26498" s="2" t="str">
        <f>IFERROR(__xludf.DUMMYFUNCTION("GOOGLETRANSLATE(A26498, ""de"", ""en"")"),"chiang")</f>
        <v>chiang</v>
      </c>
    </row>
    <row r="26499">
      <c r="A26499" s="1" t="s">
        <v>26498</v>
      </c>
      <c r="B26499" s="2" t="str">
        <f>IFERROR(__xludf.DUMMYFUNCTION("GOOGLETRANSLATE(A26499, ""de"", ""en"")"),"rochester")</f>
        <v>rochester</v>
      </c>
    </row>
    <row r="26500">
      <c r="A26500" s="1" t="s">
        <v>26499</v>
      </c>
      <c r="B26500" s="2" t="str">
        <f>IFERROR(__xludf.DUMMYFUNCTION("GOOGLETRANSLATE(A26500, ""de"", ""en"")"),"tribune")</f>
        <v>tribune</v>
      </c>
    </row>
    <row r="26501">
      <c r="A26501" s="1" t="s">
        <v>26500</v>
      </c>
      <c r="B26501" s="2" t="str">
        <f>IFERROR(__xludf.DUMMYFUNCTION("GOOGLETRANSLATE(A26501, ""de"", ""en"")"),"feedback")</f>
        <v>feedback</v>
      </c>
    </row>
    <row r="26502">
      <c r="A26502" s="1" t="s">
        <v>26501</v>
      </c>
      <c r="B26502" s="2" t="str">
        <f>IFERROR(__xludf.DUMMYFUNCTION("GOOGLETRANSLATE(A26502, ""de"", ""en"")"),"sniff")</f>
        <v>sniff</v>
      </c>
    </row>
    <row r="26503">
      <c r="A26503" s="1" t="s">
        <v>26502</v>
      </c>
      <c r="B26503" s="2" t="str">
        <f>IFERROR(__xludf.DUMMYFUNCTION("GOOGLETRANSLATE(A26503, ""de"", ""en"")"),"boat")</f>
        <v>boat</v>
      </c>
    </row>
    <row r="26504">
      <c r="A26504" s="1" t="s">
        <v>26503</v>
      </c>
      <c r="B26504" s="2" t="str">
        <f>IFERROR(__xludf.DUMMYFUNCTION("GOOGLETRANSLATE(A26504, ""de"", ""en"")"),"been there")</f>
        <v>been there</v>
      </c>
    </row>
    <row r="26505">
      <c r="A26505" s="1" t="s">
        <v>26504</v>
      </c>
      <c r="B26505" s="2" t="str">
        <f>IFERROR(__xludf.DUMMYFUNCTION("GOOGLETRANSLATE(A26505, ""de"", ""en"")"),"psychological")</f>
        <v>psychological</v>
      </c>
    </row>
    <row r="26506">
      <c r="A26506" s="1" t="s">
        <v>26505</v>
      </c>
      <c r="B26506" s="2" t="str">
        <f>IFERROR(__xludf.DUMMYFUNCTION("GOOGLETRANSLATE(A26506, ""de"", ""en"")"),"self")</f>
        <v>self</v>
      </c>
    </row>
    <row r="26507">
      <c r="A26507" s="1" t="s">
        <v>26506</v>
      </c>
      <c r="B26507" s="2" t="str">
        <f>IFERROR(__xludf.DUMMYFUNCTION("GOOGLETRANSLATE(A26507, ""de"", ""en"")"),"esposito")</f>
        <v>esposito</v>
      </c>
    </row>
    <row r="26508">
      <c r="A26508" s="1" t="s">
        <v>26507</v>
      </c>
      <c r="B26508" s="2" t="str">
        <f>IFERROR(__xludf.DUMMYFUNCTION("GOOGLETRANSLATE(A26508, ""de"", ""en"")"),"incident")</f>
        <v>incident</v>
      </c>
    </row>
    <row r="26509">
      <c r="A26509" s="1" t="s">
        <v>26508</v>
      </c>
      <c r="B26509" s="2" t="str">
        <f>IFERROR(__xludf.DUMMYFUNCTION("GOOGLETRANSLATE(A26509, ""de"", ""en"")"),"chic")</f>
        <v>chic</v>
      </c>
    </row>
    <row r="26510">
      <c r="A26510" s="1" t="s">
        <v>26509</v>
      </c>
      <c r="B26510" s="2" t="str">
        <f>IFERROR(__xludf.DUMMYFUNCTION("GOOGLETRANSLATE(A26510, ""de"", ""en"")"),"to assess")</f>
        <v>to assess</v>
      </c>
    </row>
    <row r="26511">
      <c r="A26511" s="1" t="s">
        <v>26510</v>
      </c>
      <c r="B26511" s="2" t="str">
        <f>IFERROR(__xludf.DUMMYFUNCTION("GOOGLETRANSLATE(A26511, ""de"", ""en"")"),"pooped")</f>
        <v>pooped</v>
      </c>
    </row>
    <row r="26512">
      <c r="A26512" s="1" t="s">
        <v>26511</v>
      </c>
      <c r="B26512" s="2" t="str">
        <f>IFERROR(__xludf.DUMMYFUNCTION("GOOGLETRANSLATE(A26512, ""de"", ""en"")"),"ampoules")</f>
        <v>ampoules</v>
      </c>
    </row>
    <row r="26513">
      <c r="A26513" s="1" t="s">
        <v>26512</v>
      </c>
      <c r="B26513" s="2" t="str">
        <f>IFERROR(__xludf.DUMMYFUNCTION("GOOGLETRANSLATE(A26513, ""de"", ""en"")"),"wipe")</f>
        <v>wipe</v>
      </c>
    </row>
    <row r="26514">
      <c r="A26514" s="1" t="s">
        <v>26513</v>
      </c>
      <c r="B26514" s="2" t="str">
        <f>IFERROR(__xludf.DUMMYFUNCTION("GOOGLETRANSLATE(A26514, ""de"", ""en"")"),"went up")</f>
        <v>went up</v>
      </c>
    </row>
    <row r="26515">
      <c r="A26515" s="1" t="s">
        <v>26514</v>
      </c>
      <c r="B26515" s="2" t="str">
        <f>IFERROR(__xludf.DUMMYFUNCTION("GOOGLETRANSLATE(A26515, ""de"", ""en"")"),"traipse")</f>
        <v>traipse</v>
      </c>
    </row>
    <row r="26516">
      <c r="A26516" s="1" t="s">
        <v>26515</v>
      </c>
      <c r="B26516" s="2" t="str">
        <f>IFERROR(__xludf.DUMMYFUNCTION("GOOGLETRANSLATE(A26516, ""de"", ""en"")"),"tireless")</f>
        <v>tireless</v>
      </c>
    </row>
    <row r="26517">
      <c r="A26517" s="1" t="s">
        <v>26516</v>
      </c>
      <c r="B26517" s="2" t="str">
        <f>IFERROR(__xludf.DUMMYFUNCTION("GOOGLETRANSLATE(A26517, ""de"", ""en"")"),"Schulze")</f>
        <v>Schulze</v>
      </c>
    </row>
    <row r="26518">
      <c r="A26518" s="1" t="s">
        <v>26517</v>
      </c>
      <c r="B26518" s="2" t="str">
        <f>IFERROR(__xludf.DUMMYFUNCTION("GOOGLETRANSLATE(A26518, ""de"", ""en"")"),"evil")</f>
        <v>evil</v>
      </c>
    </row>
    <row r="26519">
      <c r="A26519" s="1" t="s">
        <v>26518</v>
      </c>
      <c r="B26519" s="2" t="str">
        <f>IFERROR(__xludf.DUMMYFUNCTION("GOOGLETRANSLATE(A26519, ""de"", ""en"")"),"string music")</f>
        <v>string music</v>
      </c>
    </row>
    <row r="26520">
      <c r="A26520" s="1" t="s">
        <v>26519</v>
      </c>
      <c r="B26520" s="2" t="str">
        <f>IFERROR(__xludf.DUMMYFUNCTION("GOOGLETRANSLATE(A26520, ""de"", ""en"")"),"rambaldi")</f>
        <v>rambaldi</v>
      </c>
    </row>
    <row r="26521">
      <c r="A26521" s="1" t="s">
        <v>26520</v>
      </c>
      <c r="B26521" s="2" t="str">
        <f>IFERROR(__xludf.DUMMYFUNCTION("GOOGLETRANSLATE(A26521, ""de"", ""en"")"),"comes there")</f>
        <v>comes there</v>
      </c>
    </row>
    <row r="26522">
      <c r="A26522" s="1" t="s">
        <v>26521</v>
      </c>
      <c r="B26522" s="2" t="str">
        <f>IFERROR(__xludf.DUMMYFUNCTION("GOOGLETRANSLATE(A26522, ""de"", ""en"")"),"worth living")</f>
        <v>worth living</v>
      </c>
    </row>
    <row r="26523">
      <c r="A26523" s="1" t="s">
        <v>26522</v>
      </c>
      <c r="B26523" s="2" t="str">
        <f>IFERROR(__xludf.DUMMYFUNCTION("GOOGLETRANSLATE(A26523, ""de"", ""en"")"),"twisted")</f>
        <v>twisted</v>
      </c>
    </row>
    <row r="26524">
      <c r="A26524" s="1" t="s">
        <v>26523</v>
      </c>
      <c r="B26524" s="2" t="str">
        <f>IFERROR(__xludf.DUMMYFUNCTION("GOOGLETRANSLATE(A26524, ""de"", ""en"")"),"massive")</f>
        <v>massive</v>
      </c>
    </row>
    <row r="26525">
      <c r="A26525" s="1" t="s">
        <v>26524</v>
      </c>
      <c r="B26525" s="2" t="str">
        <f>IFERROR(__xludf.DUMMYFUNCTION("GOOGLETRANSLATE(A26525, ""de"", ""en"")"),"trunk")</f>
        <v>trunk</v>
      </c>
    </row>
    <row r="26526">
      <c r="A26526" s="1" t="s">
        <v>26525</v>
      </c>
      <c r="B26526" s="2" t="str">
        <f>IFERROR(__xludf.DUMMYFUNCTION("GOOGLETRANSLATE(A26526, ""de"", ""en"")"),"revolutionary")</f>
        <v>revolutionary</v>
      </c>
    </row>
    <row r="26527">
      <c r="A26527" s="1" t="s">
        <v>26526</v>
      </c>
      <c r="B26527" s="2" t="str">
        <f>IFERROR(__xludf.DUMMYFUNCTION("GOOGLETRANSLATE(A26527, ""de"", ""en"")"),"fringe")</f>
        <v>fringe</v>
      </c>
    </row>
    <row r="26528">
      <c r="A26528" s="1" t="s">
        <v>26527</v>
      </c>
      <c r="B26528" s="2" t="str">
        <f>IFERROR(__xludf.DUMMYFUNCTION("GOOGLETRANSLATE(A26528, ""de"", ""en"")"),"Anne Marie")</f>
        <v>Anne Marie</v>
      </c>
    </row>
    <row r="26529">
      <c r="A26529" s="1" t="s">
        <v>26528</v>
      </c>
      <c r="B26529" s="2" t="str">
        <f>IFERROR(__xludf.DUMMYFUNCTION("GOOGLETRANSLATE(A26529, ""de"", ""en"")"),"Antwerp")</f>
        <v>Antwerp</v>
      </c>
    </row>
    <row r="26530">
      <c r="A26530" s="1" t="s">
        <v>26529</v>
      </c>
      <c r="B26530" s="2" t="str">
        <f>IFERROR(__xludf.DUMMYFUNCTION("GOOGLETRANSLATE(A26530, ""de"", ""en"")"),"matter")</f>
        <v>matter</v>
      </c>
    </row>
    <row r="26531">
      <c r="A26531" s="1" t="s">
        <v>26530</v>
      </c>
      <c r="B26531" s="2" t="str">
        <f>IFERROR(__xludf.DUMMYFUNCTION("GOOGLETRANSLATE(A26531, ""de"", ""en"")"),"veiled")</f>
        <v>veiled</v>
      </c>
    </row>
    <row r="26532">
      <c r="A26532" s="1" t="s">
        <v>26531</v>
      </c>
      <c r="B26532" s="2" t="str">
        <f>IFERROR(__xludf.DUMMYFUNCTION("GOOGLETRANSLATE(A26532, ""de"", ""en"")"),"cheers")</f>
        <v>cheers</v>
      </c>
    </row>
    <row r="26533">
      <c r="A26533" s="1" t="s">
        <v>26532</v>
      </c>
      <c r="B26533" s="2" t="str">
        <f>IFERROR(__xludf.DUMMYFUNCTION("GOOGLETRANSLATE(A26533, ""de"", ""en"")"),"wanted")</f>
        <v>wanted</v>
      </c>
    </row>
    <row r="26534">
      <c r="A26534" s="1" t="s">
        <v>26533</v>
      </c>
      <c r="B26534" s="2" t="str">
        <f>IFERROR(__xludf.DUMMYFUNCTION("GOOGLETRANSLATE(A26534, ""de"", ""en"")"),"shoplifting")</f>
        <v>shoplifting</v>
      </c>
    </row>
    <row r="26535">
      <c r="A26535" s="1" t="s">
        <v>26534</v>
      </c>
      <c r="B26535" s="2" t="str">
        <f>IFERROR(__xludf.DUMMYFUNCTION("GOOGLETRANSLATE(A26535, ""de"", ""en"")"),"qualification")</f>
        <v>qualification</v>
      </c>
    </row>
    <row r="26536">
      <c r="A26536" s="1" t="s">
        <v>26535</v>
      </c>
      <c r="B26536" s="2" t="str">
        <f>IFERROR(__xludf.DUMMYFUNCTION("GOOGLETRANSLATE(A26536, ""de"", ""en"")"),"advance")</f>
        <v>advance</v>
      </c>
    </row>
    <row r="26537">
      <c r="A26537" s="1" t="s">
        <v>26536</v>
      </c>
      <c r="B26537" s="2" t="str">
        <f>IFERROR(__xludf.DUMMYFUNCTION("GOOGLETRANSLATE(A26537, ""de"", ""en"")"),"x-ray")</f>
        <v>x-ray</v>
      </c>
    </row>
    <row r="26538">
      <c r="A26538" s="1" t="s">
        <v>26537</v>
      </c>
      <c r="B26538" s="2" t="str">
        <f>IFERROR(__xludf.DUMMYFUNCTION("GOOGLETRANSLATE(A26538, ""de"", ""en"")"),"sharpness")</f>
        <v>sharpness</v>
      </c>
    </row>
    <row r="26539">
      <c r="A26539" s="1" t="s">
        <v>26538</v>
      </c>
      <c r="B26539" s="2" t="str">
        <f>IFERROR(__xludf.DUMMYFUNCTION("GOOGLETRANSLATE(A26539, ""de"", ""en"")"),"avoided")</f>
        <v>avoided</v>
      </c>
    </row>
    <row r="26540">
      <c r="A26540" s="1" t="s">
        <v>26539</v>
      </c>
      <c r="B26540" s="2" t="str">
        <f>IFERROR(__xludf.DUMMYFUNCTION("GOOGLETRANSLATE(A26540, ""de"", ""en"")"),"preload")</f>
        <v>preload</v>
      </c>
    </row>
    <row r="26541">
      <c r="A26541" s="1" t="s">
        <v>26540</v>
      </c>
      <c r="B26541" s="2" t="str">
        <f>IFERROR(__xludf.DUMMYFUNCTION("GOOGLETRANSLATE(A26541, ""de"", ""en"")"),"father figure")</f>
        <v>father figure</v>
      </c>
    </row>
    <row r="26542">
      <c r="A26542" s="1" t="s">
        <v>26541</v>
      </c>
      <c r="B26542" s="2" t="str">
        <f>IFERROR(__xludf.DUMMYFUNCTION("GOOGLETRANSLATE(A26542, ""de"", ""en"")"),"morley")</f>
        <v>morley</v>
      </c>
    </row>
    <row r="26543">
      <c r="A26543" s="1" t="s">
        <v>26542</v>
      </c>
      <c r="B26543" s="2" t="str">
        <f>IFERROR(__xludf.DUMMYFUNCTION("GOOGLETRANSLATE(A26543, ""de"", ""en"")"),"afternoon nap")</f>
        <v>afternoon nap</v>
      </c>
    </row>
    <row r="26544">
      <c r="A26544" s="1" t="s">
        <v>26543</v>
      </c>
      <c r="B26544" s="2" t="str">
        <f>IFERROR(__xludf.DUMMYFUNCTION("GOOGLETRANSLATE(A26544, ""de"", ""en"")"),"carpenter")</f>
        <v>carpenter</v>
      </c>
    </row>
    <row r="26545">
      <c r="A26545" s="1" t="s">
        <v>26544</v>
      </c>
      <c r="B26545" s="2" t="str">
        <f>IFERROR(__xludf.DUMMYFUNCTION("GOOGLETRANSLATE(A26545, ""de"", ""en"")"),"nbc")</f>
        <v>nbc</v>
      </c>
    </row>
    <row r="26546">
      <c r="A26546" s="1" t="s">
        <v>26545</v>
      </c>
      <c r="B26546" s="2" t="str">
        <f>IFERROR(__xludf.DUMMYFUNCTION("GOOGLETRANSLATE(A26546, ""de"", ""en"")"),"undecided")</f>
        <v>undecided</v>
      </c>
    </row>
    <row r="26547">
      <c r="A26547" s="1" t="s">
        <v>26546</v>
      </c>
      <c r="B26547" s="2" t="str">
        <f>IFERROR(__xludf.DUMMYFUNCTION("GOOGLETRANSLATE(A26547, ""de"", ""en"")"),"passed by")</f>
        <v>passed by</v>
      </c>
    </row>
    <row r="26548">
      <c r="A26548" s="1" t="s">
        <v>26547</v>
      </c>
      <c r="B26548" s="2" t="str">
        <f>IFERROR(__xludf.DUMMYFUNCTION("GOOGLETRANSLATE(A26548, ""de"", ""en"")"),"milieu")</f>
        <v>milieu</v>
      </c>
    </row>
    <row r="26549">
      <c r="A26549" s="1" t="s">
        <v>26548</v>
      </c>
      <c r="B26549" s="2" t="str">
        <f>IFERROR(__xludf.DUMMYFUNCTION("GOOGLETRANSLATE(A26549, ""de"", ""en"")"),"eeg")</f>
        <v>eeg</v>
      </c>
    </row>
    <row r="26550">
      <c r="A26550" s="1" t="s">
        <v>26549</v>
      </c>
      <c r="B26550" s="2" t="str">
        <f>IFERROR(__xludf.DUMMYFUNCTION("GOOGLETRANSLATE(A26550, ""de"", ""en"")"),"grievous")</f>
        <v>grievous</v>
      </c>
    </row>
    <row r="26551">
      <c r="A26551" s="1" t="s">
        <v>26550</v>
      </c>
      <c r="B26551" s="2" t="str">
        <f>IFERROR(__xludf.DUMMYFUNCTION("GOOGLETRANSLATE(A26551, ""de"", ""en"")"),"attributed")</f>
        <v>attributed</v>
      </c>
    </row>
    <row r="26552">
      <c r="A26552" s="1" t="s">
        <v>26551</v>
      </c>
      <c r="B26552" s="2" t="str">
        <f>IFERROR(__xludf.DUMMYFUNCTION("GOOGLETRANSLATE(A26552, ""de"", ""en"")"),"lumens")</f>
        <v>lumens</v>
      </c>
    </row>
    <row r="26553">
      <c r="A26553" s="1" t="s">
        <v>26552</v>
      </c>
      <c r="B26553" s="2" t="str">
        <f>IFERROR(__xludf.DUMMYFUNCTION("GOOGLETRANSLATE(A26553, ""de"", ""en"")"),"runkle")</f>
        <v>runkle</v>
      </c>
    </row>
    <row r="26554">
      <c r="A26554" s="1" t="s">
        <v>26553</v>
      </c>
      <c r="B26554" s="2" t="str">
        <f>IFERROR(__xludf.DUMMYFUNCTION("GOOGLETRANSLATE(A26554, ""de"", ""en"")"),"concubine")</f>
        <v>concubine</v>
      </c>
    </row>
    <row r="26555">
      <c r="A26555" s="1" t="s">
        <v>26554</v>
      </c>
      <c r="B26555" s="2" t="str">
        <f>IFERROR(__xludf.DUMMYFUNCTION("GOOGLETRANSLATE(A26555, ""de"", ""en"")"),"muy")</f>
        <v>muy</v>
      </c>
    </row>
    <row r="26556">
      <c r="A26556" s="1" t="s">
        <v>26555</v>
      </c>
      <c r="B26556" s="2" t="str">
        <f>IFERROR(__xludf.DUMMYFUNCTION("GOOGLETRANSLATE(A26556, ""de"", ""en"")"),"c-4")</f>
        <v>c-4</v>
      </c>
    </row>
    <row r="26557">
      <c r="A26557" s="1" t="s">
        <v>26556</v>
      </c>
      <c r="B26557" s="2" t="str">
        <f>IFERROR(__xludf.DUMMYFUNCTION("GOOGLETRANSLATE(A26557, ""de"", ""en"")"),"remaining")</f>
        <v>remaining</v>
      </c>
    </row>
    <row r="26558">
      <c r="A26558" s="1" t="s">
        <v>26557</v>
      </c>
      <c r="B26558" s="2" t="str">
        <f>IFERROR(__xludf.DUMMYFUNCTION("GOOGLETRANSLATE(A26558, ""de"", ""en"")"),"take advantage")</f>
        <v>take advantage</v>
      </c>
    </row>
    <row r="26559">
      <c r="A26559" s="1" t="s">
        <v>26558</v>
      </c>
      <c r="B26559" s="2" t="str">
        <f>IFERROR(__xludf.DUMMYFUNCTION("GOOGLETRANSLATE(A26559, ""de"", ""en"")"),"attributable")</f>
        <v>attributable</v>
      </c>
    </row>
    <row r="26560">
      <c r="A26560" s="1" t="s">
        <v>26559</v>
      </c>
      <c r="B26560" s="2" t="str">
        <f>IFERROR(__xludf.DUMMYFUNCTION("GOOGLETRANSLATE(A26560, ""de"", ""en"")"),"final exam")</f>
        <v>final exam</v>
      </c>
    </row>
    <row r="26561">
      <c r="A26561" s="1" t="s">
        <v>26560</v>
      </c>
      <c r="B26561" s="2" t="str">
        <f>IFERROR(__xludf.DUMMYFUNCTION("GOOGLETRANSLATE(A26561, ""de"", ""en"")"),"howe")</f>
        <v>howe</v>
      </c>
    </row>
    <row r="26562">
      <c r="A26562" s="1" t="s">
        <v>26561</v>
      </c>
      <c r="B26562" s="2" t="str">
        <f>IFERROR(__xludf.DUMMYFUNCTION("GOOGLETRANSLATE(A26562, ""de"", ""en"")"),"ponytail")</f>
        <v>ponytail</v>
      </c>
    </row>
    <row r="26563">
      <c r="A26563" s="1" t="s">
        <v>26562</v>
      </c>
      <c r="B26563" s="2" t="str">
        <f>IFERROR(__xludf.DUMMYFUNCTION("GOOGLETRANSLATE(A26563, ""de"", ""en"")"),"incessantly")</f>
        <v>incessantly</v>
      </c>
    </row>
    <row r="26564">
      <c r="A26564" s="1" t="s">
        <v>26563</v>
      </c>
      <c r="B26564" s="2" t="str">
        <f>IFERROR(__xludf.DUMMYFUNCTION("GOOGLETRANSLATE(A26564, ""de"", ""en"")"),"goad")</f>
        <v>goad</v>
      </c>
    </row>
    <row r="26565">
      <c r="A26565" s="1" t="s">
        <v>26564</v>
      </c>
      <c r="B26565" s="2" t="str">
        <f>IFERROR(__xludf.DUMMYFUNCTION("GOOGLETRANSLATE(A26565, ""de"", ""en"")"),"medical")</f>
        <v>medical</v>
      </c>
    </row>
    <row r="26566">
      <c r="A26566" s="1" t="s">
        <v>26565</v>
      </c>
      <c r="B26566" s="2" t="str">
        <f>IFERROR(__xludf.DUMMYFUNCTION("GOOGLETRANSLATE(A26566, ""de"", ""en"")"),"police school")</f>
        <v>police school</v>
      </c>
    </row>
    <row r="26567">
      <c r="A26567" s="1" t="s">
        <v>26566</v>
      </c>
      <c r="B26567" s="2" t="str">
        <f>IFERROR(__xludf.DUMMYFUNCTION("GOOGLETRANSLATE(A26567, ""de"", ""en"")"),"silent")</f>
        <v>silent</v>
      </c>
    </row>
    <row r="26568">
      <c r="A26568" s="1" t="s">
        <v>26567</v>
      </c>
      <c r="B26568" s="2" t="str">
        <f>IFERROR(__xludf.DUMMYFUNCTION("GOOGLETRANSLATE(A26568, ""de"", ""en"")"),"time of day")</f>
        <v>time of day</v>
      </c>
    </row>
    <row r="26569">
      <c r="A26569" s="1" t="s">
        <v>26568</v>
      </c>
      <c r="B26569" s="2" t="str">
        <f>IFERROR(__xludf.DUMMYFUNCTION("GOOGLETRANSLATE(A26569, ""de"", ""en"")"),"explorer")</f>
        <v>explorer</v>
      </c>
    </row>
    <row r="26570">
      <c r="A26570" s="1" t="s">
        <v>26569</v>
      </c>
      <c r="B26570" s="2" t="str">
        <f>IFERROR(__xludf.DUMMYFUNCTION("GOOGLETRANSLATE(A26570, ""de"", ""en"")"),"move out")</f>
        <v>move out</v>
      </c>
    </row>
    <row r="26571">
      <c r="A26571" s="1" t="s">
        <v>26570</v>
      </c>
      <c r="B26571" s="2" t="str">
        <f>IFERROR(__xludf.DUMMYFUNCTION("GOOGLETRANSLATE(A26571, ""de"", ""en"")"),"depressing")</f>
        <v>depressing</v>
      </c>
    </row>
    <row r="26572">
      <c r="A26572" s="1" t="s">
        <v>26571</v>
      </c>
      <c r="B26572" s="2" t="str">
        <f>IFERROR(__xludf.DUMMYFUNCTION("GOOGLETRANSLATE(A26572, ""de"", ""en"")"),"spread the word")</f>
        <v>spread the word</v>
      </c>
    </row>
    <row r="26573">
      <c r="A26573" s="1" t="s">
        <v>26572</v>
      </c>
      <c r="B26573" s="2" t="str">
        <f>IFERROR(__xludf.DUMMYFUNCTION("GOOGLETRANSLATE(A26573, ""de"", ""en"")"),"a formality")</f>
        <v>a formality</v>
      </c>
    </row>
    <row r="26574">
      <c r="A26574" s="1" t="s">
        <v>26573</v>
      </c>
      <c r="B26574" s="2" t="str">
        <f>IFERROR(__xludf.DUMMYFUNCTION("GOOGLETRANSLATE(A26574, ""de"", ""en"")"),"police officers")</f>
        <v>police officers</v>
      </c>
    </row>
    <row r="26575">
      <c r="A26575" s="1" t="s">
        <v>26574</v>
      </c>
      <c r="B26575" s="2" t="str">
        <f>IFERROR(__xludf.DUMMYFUNCTION("GOOGLETRANSLATE(A26575, ""de"", ""en"")"),"self-help group")</f>
        <v>self-help group</v>
      </c>
    </row>
    <row r="26576">
      <c r="A26576" s="1" t="s">
        <v>26575</v>
      </c>
      <c r="B26576" s="2" t="str">
        <f>IFERROR(__xludf.DUMMYFUNCTION("GOOGLETRANSLATE(A26576, ""de"", ""en"")"),"residues")</f>
        <v>residues</v>
      </c>
    </row>
    <row r="26577">
      <c r="A26577" s="1" t="s">
        <v>26576</v>
      </c>
      <c r="B26577" s="2" t="str">
        <f>IFERROR(__xludf.DUMMYFUNCTION("GOOGLETRANSLATE(A26577, ""de"", ""en"")"),"lowered")</f>
        <v>lowered</v>
      </c>
    </row>
    <row r="26578">
      <c r="A26578" s="1" t="s">
        <v>26577</v>
      </c>
      <c r="B26578" s="2" t="str">
        <f>IFERROR(__xludf.DUMMYFUNCTION("GOOGLETRANSLATE(A26578, ""de"", ""en"")"),"available")</f>
        <v>available</v>
      </c>
    </row>
    <row r="26579">
      <c r="A26579" s="1" t="s">
        <v>26578</v>
      </c>
      <c r="B26579" s="2" t="str">
        <f>IFERROR(__xludf.DUMMYFUNCTION("GOOGLETRANSLATE(A26579, ""de"", ""en"")"),"Eastern Europe")</f>
        <v>Eastern Europe</v>
      </c>
    </row>
    <row r="26580">
      <c r="A26580" s="1" t="s">
        <v>26579</v>
      </c>
      <c r="B26580" s="2" t="str">
        <f>IFERROR(__xludf.DUMMYFUNCTION("GOOGLETRANSLATE(A26580, ""de"", ""en"")"),"burp")</f>
        <v>burp</v>
      </c>
    </row>
    <row r="26581">
      <c r="A26581" s="1" t="s">
        <v>26580</v>
      </c>
      <c r="B26581" s="2" t="str">
        <f>IFERROR(__xludf.DUMMYFUNCTION("GOOGLETRANSLATE(A26581, ""de"", ""en"")"),"fingertips")</f>
        <v>fingertips</v>
      </c>
    </row>
    <row r="26582">
      <c r="A26582" s="1" t="s">
        <v>26581</v>
      </c>
      <c r="B26582" s="2" t="str">
        <f>IFERROR(__xludf.DUMMYFUNCTION("GOOGLETRANSLATE(A26582, ""de"", ""en"")"),"broken ones")</f>
        <v>broken ones</v>
      </c>
    </row>
    <row r="26583">
      <c r="A26583" s="1" t="s">
        <v>26582</v>
      </c>
      <c r="B26583" s="2" t="str">
        <f>IFERROR(__xludf.DUMMYFUNCTION("GOOGLETRANSLATE(A26583, ""de"", ""en"")"),"dehoh")</f>
        <v>dehoh</v>
      </c>
    </row>
    <row r="26584">
      <c r="A26584" s="1" t="s">
        <v>26583</v>
      </c>
      <c r="B26584" s="2" t="str">
        <f>IFERROR(__xludf.DUMMYFUNCTION("GOOGLETRANSLATE(A26584, ""de"", ""en"")"),"heels")</f>
        <v>heels</v>
      </c>
    </row>
    <row r="26585">
      <c r="A26585" s="1" t="s">
        <v>26584</v>
      </c>
      <c r="B26585" s="2" t="str">
        <f>IFERROR(__xludf.DUMMYFUNCTION("GOOGLETRANSLATE(A26585, ""de"", ""en"")"),"on the side")</f>
        <v>on the side</v>
      </c>
    </row>
    <row r="26586">
      <c r="A26586" s="1" t="s">
        <v>26585</v>
      </c>
      <c r="B26586" s="2" t="str">
        <f>IFERROR(__xludf.DUMMYFUNCTION("GOOGLETRANSLATE(A26586, ""de"", ""en"")"),"Abraham")</f>
        <v>Abraham</v>
      </c>
    </row>
    <row r="26587">
      <c r="A26587" s="1" t="s">
        <v>26586</v>
      </c>
      <c r="B26587" s="2" t="str">
        <f>IFERROR(__xludf.DUMMYFUNCTION("GOOGLETRANSLATE(A26587, ""de"", ""en"")"),"clement")</f>
        <v>clement</v>
      </c>
    </row>
    <row r="26588">
      <c r="A26588" s="1" t="s">
        <v>26587</v>
      </c>
      <c r="B26588" s="2" t="str">
        <f>IFERROR(__xludf.DUMMYFUNCTION("GOOGLETRANSLATE(A26588, ""de"", ""en"")"),"mute")</f>
        <v>mute</v>
      </c>
    </row>
    <row r="26589">
      <c r="A26589" s="1" t="s">
        <v>26588</v>
      </c>
      <c r="B26589" s="2" t="str">
        <f>IFERROR(__xludf.DUMMYFUNCTION("GOOGLETRANSLATE(A26589, ""de"", ""en"")"),"samba")</f>
        <v>samba</v>
      </c>
    </row>
    <row r="26590">
      <c r="A26590" s="1" t="s">
        <v>26589</v>
      </c>
      <c r="B26590" s="2" t="str">
        <f>IFERROR(__xludf.DUMMYFUNCTION("GOOGLETRANSLATE(A26590, ""de"", ""en"")"),"science fiction")</f>
        <v>science fiction</v>
      </c>
    </row>
    <row r="26591">
      <c r="A26591" s="1" t="s">
        <v>26590</v>
      </c>
      <c r="B26591" s="2" t="str">
        <f>IFERROR(__xludf.DUMMYFUNCTION("GOOGLETRANSLATE(A26591, ""de"", ""en"")"),"brainiac")</f>
        <v>brainiac</v>
      </c>
    </row>
    <row r="26592">
      <c r="A26592" s="1" t="s">
        <v>26591</v>
      </c>
      <c r="B26592" s="2" t="str">
        <f>IFERROR(__xludf.DUMMYFUNCTION("GOOGLETRANSLATE(A26592, ""de"", ""en"")"),"fillmore")</f>
        <v>fillmore</v>
      </c>
    </row>
    <row r="26593">
      <c r="A26593" s="1" t="s">
        <v>26592</v>
      </c>
      <c r="B26593" s="2" t="str">
        <f>IFERROR(__xludf.DUMMYFUNCTION("GOOGLETRANSLATE(A26593, ""de"", ""en"")"),"send off")</f>
        <v>send off</v>
      </c>
    </row>
    <row r="26594">
      <c r="A26594" s="1" t="s">
        <v>26593</v>
      </c>
      <c r="B26594" s="2" t="str">
        <f>IFERROR(__xludf.DUMMYFUNCTION("GOOGLETRANSLATE(A26594, ""de"", ""en"")"),"laird")</f>
        <v>laird</v>
      </c>
    </row>
    <row r="26595">
      <c r="A26595" s="1" t="s">
        <v>26594</v>
      </c>
      <c r="B26595" s="2" t="str">
        <f>IFERROR(__xludf.DUMMYFUNCTION("GOOGLETRANSLATE(A26595, ""de"", ""en"")"),"tantrum")</f>
        <v>tantrum</v>
      </c>
    </row>
    <row r="26596">
      <c r="A26596" s="1" t="s">
        <v>26595</v>
      </c>
      <c r="B26596" s="2" t="str">
        <f>IFERROR(__xludf.DUMMYFUNCTION("GOOGLETRANSLATE(A26596, ""de"", ""en"")"),"scrape off")</f>
        <v>scrape off</v>
      </c>
    </row>
    <row r="26597">
      <c r="A26597" s="1" t="s">
        <v>26596</v>
      </c>
      <c r="B26597" s="2" t="str">
        <f>IFERROR(__xludf.DUMMYFUNCTION("GOOGLETRANSLATE(A26597, ""de"", ""en"")"),"whitechapel")</f>
        <v>whitechapel</v>
      </c>
    </row>
    <row r="26598">
      <c r="A26598" s="1" t="s">
        <v>26597</v>
      </c>
      <c r="B26598" s="2" t="str">
        <f>IFERROR(__xludf.DUMMYFUNCTION("GOOGLETRANSLATE(A26598, ""de"", ""en"")"),"nudity")</f>
        <v>nudity</v>
      </c>
    </row>
    <row r="26599">
      <c r="A26599" s="1" t="s">
        <v>26598</v>
      </c>
      <c r="B26599" s="2" t="str">
        <f>IFERROR(__xludf.DUMMYFUNCTION("GOOGLETRANSLATE(A26599, ""de"", ""en"")"),"turkey")</f>
        <v>turkey</v>
      </c>
    </row>
    <row r="26600">
      <c r="A26600" s="1" t="s">
        <v>26599</v>
      </c>
      <c r="B26600" s="2" t="str">
        <f>IFERROR(__xludf.DUMMYFUNCTION("GOOGLETRANSLATE(A26600, ""de"", ""en"")"),"prisoners")</f>
        <v>prisoners</v>
      </c>
    </row>
    <row r="26601">
      <c r="A26601" s="1" t="s">
        <v>26600</v>
      </c>
      <c r="B26601" s="2" t="str">
        <f>IFERROR(__xludf.DUMMYFUNCTION("GOOGLETRANSLATE(A26601, ""de"", ""en"")"),"submission")</f>
        <v>submission</v>
      </c>
    </row>
    <row r="26602">
      <c r="A26602" s="1" t="s">
        <v>26601</v>
      </c>
      <c r="B26602" s="2" t="str">
        <f>IFERROR(__xludf.DUMMYFUNCTION("GOOGLETRANSLATE(A26602, ""de"", ""en"")"),"scabies")</f>
        <v>scabies</v>
      </c>
    </row>
    <row r="26603">
      <c r="A26603" s="1" t="s">
        <v>26602</v>
      </c>
      <c r="B26603" s="2" t="str">
        <f>IFERROR(__xludf.DUMMYFUNCTION("GOOGLETRANSLATE(A26603, ""de"", ""en"")"),"part time")</f>
        <v>part time</v>
      </c>
    </row>
    <row r="26604">
      <c r="A26604" s="1" t="s">
        <v>26603</v>
      </c>
      <c r="B26604" s="2" t="str">
        <f>IFERROR(__xludf.DUMMYFUNCTION("GOOGLETRANSLATE(A26604, ""de"", ""en"")"),"to make clear")</f>
        <v>to make clear</v>
      </c>
    </row>
    <row r="26605">
      <c r="A26605" s="1" t="s">
        <v>26604</v>
      </c>
      <c r="B26605" s="2" t="str">
        <f>IFERROR(__xludf.DUMMYFUNCTION("GOOGLETRANSLATE(A26605, ""de"", ""en"")"),"stock broker")</f>
        <v>stock broker</v>
      </c>
    </row>
    <row r="26606">
      <c r="A26606" s="1" t="s">
        <v>26605</v>
      </c>
      <c r="B26606" s="2" t="str">
        <f>IFERROR(__xludf.DUMMYFUNCTION("GOOGLETRANSLATE(A26606, ""de"", ""en"")"),"stores")</f>
        <v>stores</v>
      </c>
    </row>
    <row r="26607">
      <c r="A26607" s="1" t="s">
        <v>26606</v>
      </c>
      <c r="B26607" s="2" t="str">
        <f>IFERROR(__xludf.DUMMYFUNCTION("GOOGLETRANSLATE(A26607, ""de"", ""en"")"),"tobin")</f>
        <v>tobin</v>
      </c>
    </row>
    <row r="26608">
      <c r="A26608" s="1" t="s">
        <v>26607</v>
      </c>
      <c r="B26608" s="2" t="str">
        <f>IFERROR(__xludf.DUMMYFUNCTION("GOOGLETRANSLATE(A26608, ""de"", ""en"")"),"responsible")</f>
        <v>responsible</v>
      </c>
    </row>
    <row r="26609">
      <c r="A26609" s="1" t="s">
        <v>26608</v>
      </c>
      <c r="B26609" s="2" t="str">
        <f>IFERROR(__xludf.DUMMYFUNCTION("GOOGLETRANSLATE(A26609, ""de"", ""en"")"),"vault")</f>
        <v>vault</v>
      </c>
    </row>
    <row r="26610">
      <c r="A26610" s="1" t="s">
        <v>26609</v>
      </c>
      <c r="B26610" s="2" t="str">
        <f>IFERROR(__xludf.DUMMYFUNCTION("GOOGLETRANSLATE(A26610, ""de"", ""en"")"),"falls asleep")</f>
        <v>falls asleep</v>
      </c>
    </row>
    <row r="26611">
      <c r="A26611" s="1" t="s">
        <v>26610</v>
      </c>
      <c r="B26611" s="2" t="str">
        <f>IFERROR(__xludf.DUMMYFUNCTION("GOOGLETRANSLATE(A26611, ""de"", ""en"")"),"stories")</f>
        <v>stories</v>
      </c>
    </row>
    <row r="26612">
      <c r="A26612" s="1" t="s">
        <v>26611</v>
      </c>
      <c r="B26612" s="2" t="str">
        <f>IFERROR(__xludf.DUMMYFUNCTION("GOOGLETRANSLATE(A26612, ""de"", ""en"")"),"oil")</f>
        <v>oil</v>
      </c>
    </row>
    <row r="26613">
      <c r="A26613" s="1" t="s">
        <v>26612</v>
      </c>
      <c r="B26613" s="2" t="str">
        <f>IFERROR(__xludf.DUMMYFUNCTION("GOOGLETRANSLATE(A26613, ""de"", ""en"")"),"revue")</f>
        <v>revue</v>
      </c>
    </row>
    <row r="26614">
      <c r="A26614" s="1" t="s">
        <v>26613</v>
      </c>
      <c r="B26614" s="2" t="str">
        <f>IFERROR(__xludf.DUMMYFUNCTION("GOOGLETRANSLATE(A26614, ""de"", ""en"")"),"rat poison")</f>
        <v>rat poison</v>
      </c>
    </row>
    <row r="26615">
      <c r="A26615" s="1" t="s">
        <v>26614</v>
      </c>
      <c r="B26615" s="2" t="str">
        <f>IFERROR(__xludf.DUMMYFUNCTION("GOOGLETRANSLATE(A26615, ""de"", ""en"")"),"ope")</f>
        <v>ope</v>
      </c>
    </row>
    <row r="26616">
      <c r="A26616" s="1" t="s">
        <v>26615</v>
      </c>
      <c r="B26616" s="2" t="str">
        <f>IFERROR(__xludf.DUMMYFUNCTION("GOOGLETRANSLATE(A26616, ""de"", ""en"")"),"tulips")</f>
        <v>tulips</v>
      </c>
    </row>
    <row r="26617">
      <c r="A26617" s="1" t="s">
        <v>26616</v>
      </c>
      <c r="B26617" s="2" t="str">
        <f>IFERROR(__xludf.DUMMYFUNCTION("GOOGLETRANSLATE(A26617, ""de"", ""en"")"),"act")</f>
        <v>act</v>
      </c>
    </row>
    <row r="26618">
      <c r="A26618" s="1" t="s">
        <v>26617</v>
      </c>
      <c r="B26618" s="2" t="str">
        <f>IFERROR(__xludf.DUMMYFUNCTION("GOOGLETRANSLATE(A26618, ""de"", ""en"")"),"remembered")</f>
        <v>remembered</v>
      </c>
    </row>
    <row r="26619">
      <c r="A26619" s="1" t="s">
        <v>26618</v>
      </c>
      <c r="B26619" s="2" t="str">
        <f>IFERROR(__xludf.DUMMYFUNCTION("GOOGLETRANSLATE(A26619, ""de"", ""en"")"),"ih")</f>
        <v>ih</v>
      </c>
    </row>
    <row r="26620">
      <c r="A26620" s="1" t="s">
        <v>26619</v>
      </c>
      <c r="B26620" s="2" t="str">
        <f>IFERROR(__xludf.DUMMYFUNCTION("GOOGLETRANSLATE(A26620, ""de"", ""en"")"),"unclean")</f>
        <v>unclean</v>
      </c>
    </row>
    <row r="26621">
      <c r="A26621" s="1" t="s">
        <v>26620</v>
      </c>
      <c r="B26621" s="2" t="str">
        <f>IFERROR(__xludf.DUMMYFUNCTION("GOOGLETRANSLATE(A26621, ""de"", ""en"")"),"terrorist attack")</f>
        <v>terrorist attack</v>
      </c>
    </row>
    <row r="26622">
      <c r="A26622" s="1" t="s">
        <v>26621</v>
      </c>
      <c r="B26622" s="2" t="str">
        <f>IFERROR(__xludf.DUMMYFUNCTION("GOOGLETRANSLATE(A26622, ""de"", ""en"")"),"school fees")</f>
        <v>school fees</v>
      </c>
    </row>
    <row r="26623">
      <c r="A26623" s="1" t="s">
        <v>26622</v>
      </c>
      <c r="B26623" s="2" t="str">
        <f>IFERROR(__xludf.DUMMYFUNCTION("GOOGLETRANSLATE(A26623, ""de"", ""en"")"),"artistic")</f>
        <v>artistic</v>
      </c>
    </row>
    <row r="26624">
      <c r="A26624" s="1" t="s">
        <v>26623</v>
      </c>
      <c r="B26624" s="2" t="str">
        <f>IFERROR(__xludf.DUMMYFUNCTION("GOOGLETRANSLATE(A26624, ""de"", ""en"")"),"hawking")</f>
        <v>hawking</v>
      </c>
    </row>
    <row r="26625">
      <c r="A26625" s="1" t="s">
        <v>26624</v>
      </c>
      <c r="B26625" s="2" t="str">
        <f>IFERROR(__xludf.DUMMYFUNCTION("GOOGLETRANSLATE(A26625, ""de"", ""en"")"),"genius")</f>
        <v>genius</v>
      </c>
    </row>
    <row r="26626">
      <c r="A26626" s="1" t="s">
        <v>26625</v>
      </c>
      <c r="B26626" s="2" t="str">
        <f>IFERROR(__xludf.DUMMYFUNCTION("GOOGLETRANSLATE(A26626, ""de"", ""en"")"),"Ministry of Finance")</f>
        <v>Ministry of Finance</v>
      </c>
    </row>
    <row r="26627">
      <c r="A26627" s="1" t="s">
        <v>26626</v>
      </c>
      <c r="B26627" s="2" t="str">
        <f>IFERROR(__xludf.DUMMYFUNCTION("GOOGLETRANSLATE(A26627, ""de"", ""en"")"),"suits")</f>
        <v>suits</v>
      </c>
    </row>
    <row r="26628">
      <c r="A26628" s="1" t="s">
        <v>26627</v>
      </c>
      <c r="B26628" s="2" t="str">
        <f>IFERROR(__xludf.DUMMYFUNCTION("GOOGLETRANSLATE(A26628, ""de"", ""en"")"),"Brie")</f>
        <v>Brie</v>
      </c>
    </row>
    <row r="26629">
      <c r="A26629" s="1" t="s">
        <v>26628</v>
      </c>
      <c r="B26629" s="2" t="str">
        <f>IFERROR(__xludf.DUMMYFUNCTION("GOOGLETRANSLATE(A26629, ""de"", ""en"")"),"grotto")</f>
        <v>grotto</v>
      </c>
    </row>
    <row r="26630">
      <c r="A26630" s="1" t="s">
        <v>26629</v>
      </c>
      <c r="B26630" s="2" t="str">
        <f>IFERROR(__xludf.DUMMYFUNCTION("GOOGLETRANSLATE(A26630, ""de"", ""en"")"),"cultural")</f>
        <v>cultural</v>
      </c>
    </row>
    <row r="26631">
      <c r="A26631" s="1" t="s">
        <v>26630</v>
      </c>
      <c r="B26631" s="2" t="str">
        <f>IFERROR(__xludf.DUMMYFUNCTION("GOOGLETRANSLATE(A26631, ""de"", ""en"")"),"vw")</f>
        <v>vw</v>
      </c>
    </row>
    <row r="26632">
      <c r="A26632" s="1" t="s">
        <v>26631</v>
      </c>
      <c r="B26632" s="2" t="str">
        <f>IFERROR(__xludf.DUMMYFUNCTION("GOOGLETRANSLATE(A26632, ""de"", ""en"")"),"local council")</f>
        <v>local council</v>
      </c>
    </row>
    <row r="26633">
      <c r="A26633" s="1" t="s">
        <v>26632</v>
      </c>
      <c r="B26633" s="2" t="str">
        <f>IFERROR(__xludf.DUMMYFUNCTION("GOOGLETRANSLATE(A26633, ""de"", ""en"")"),"refugees")</f>
        <v>refugees</v>
      </c>
    </row>
    <row r="26634">
      <c r="A26634" s="1" t="s">
        <v>26633</v>
      </c>
      <c r="B26634" s="2" t="str">
        <f>IFERROR(__xludf.DUMMYFUNCTION("GOOGLETRANSLATE(A26634, ""de"", ""en"")"),"inc")</f>
        <v>inc</v>
      </c>
    </row>
    <row r="26635">
      <c r="A26635" s="1" t="s">
        <v>26634</v>
      </c>
      <c r="B26635" s="2" t="str">
        <f>IFERROR(__xludf.DUMMYFUNCTION("GOOGLETRANSLATE(A26635, ""de"", ""en"")"),"Goldstein")</f>
        <v>Goldstein</v>
      </c>
    </row>
    <row r="26636">
      <c r="A26636" s="1" t="s">
        <v>26635</v>
      </c>
      <c r="B26636" s="2" t="str">
        <f>IFERROR(__xludf.DUMMYFUNCTION("GOOGLETRANSLATE(A26636, ""de"", ""en"")"),"discourage")</f>
        <v>discourage</v>
      </c>
    </row>
    <row r="26637">
      <c r="A26637" s="1" t="s">
        <v>26636</v>
      </c>
      <c r="B26637" s="2" t="str">
        <f>IFERROR(__xludf.DUMMYFUNCTION("GOOGLETRANSLATE(A26637, ""de"", ""en"")"),"sarcophagus")</f>
        <v>sarcophagus</v>
      </c>
    </row>
    <row r="26638">
      <c r="A26638" s="1" t="s">
        <v>26637</v>
      </c>
      <c r="B26638" s="2" t="str">
        <f>IFERROR(__xludf.DUMMYFUNCTION("GOOGLETRANSLATE(A26638, ""de"", ""en"")"),"hair")</f>
        <v>hair</v>
      </c>
    </row>
    <row r="26639">
      <c r="A26639" s="1" t="s">
        <v>26638</v>
      </c>
      <c r="B26639" s="2" t="str">
        <f>IFERROR(__xludf.DUMMYFUNCTION("GOOGLETRANSLATE(A26639, ""de"", ""en"")"),"arden")</f>
        <v>arden</v>
      </c>
    </row>
    <row r="26640">
      <c r="A26640" s="1" t="s">
        <v>26639</v>
      </c>
      <c r="B26640" s="2" t="str">
        <f>IFERROR(__xludf.DUMMYFUNCTION("GOOGLETRANSLATE(A26640, ""de"", ""en"")"),"command")</f>
        <v>command</v>
      </c>
    </row>
    <row r="26641">
      <c r="A26641" s="1" t="s">
        <v>26640</v>
      </c>
      <c r="B26641" s="2" t="str">
        <f>IFERROR(__xludf.DUMMYFUNCTION("GOOGLETRANSLATE(A26641, ""de"", ""en"")"),"lubricates")</f>
        <v>lubricates</v>
      </c>
    </row>
    <row r="26642">
      <c r="A26642" s="1" t="s">
        <v>26641</v>
      </c>
      <c r="B26642" s="2" t="str">
        <f>IFERROR(__xludf.DUMMYFUNCTION("GOOGLETRANSLATE(A26642, ""de"", ""en"")"),"construction plans")</f>
        <v>construction plans</v>
      </c>
    </row>
    <row r="26643">
      <c r="A26643" s="1" t="s">
        <v>26642</v>
      </c>
      <c r="B26643" s="2" t="str">
        <f>IFERROR(__xludf.DUMMYFUNCTION("GOOGLETRANSLATE(A26643, ""de"", ""en"")"),"fortune")</f>
        <v>fortune</v>
      </c>
    </row>
    <row r="26644">
      <c r="A26644" s="1" t="s">
        <v>26643</v>
      </c>
      <c r="B26644" s="2" t="str">
        <f>IFERROR(__xludf.DUMMYFUNCTION("GOOGLETRANSLATE(A26644, ""de"", ""en"")"),"see")</f>
        <v>see</v>
      </c>
    </row>
    <row r="26645">
      <c r="A26645" s="1" t="s">
        <v>26644</v>
      </c>
      <c r="B26645" s="2" t="str">
        <f>IFERROR(__xludf.DUMMYFUNCTION("GOOGLETRANSLATE(A26645, ""de"", ""en"")"),"opponents")</f>
        <v>opponents</v>
      </c>
    </row>
    <row r="26646">
      <c r="A26646" s="1" t="s">
        <v>26645</v>
      </c>
      <c r="B26646" s="2" t="str">
        <f>IFERROR(__xludf.DUMMYFUNCTION("GOOGLETRANSLATE(A26646, ""de"", ""en"")"),"Bakersfield")</f>
        <v>Bakersfield</v>
      </c>
    </row>
    <row r="26647">
      <c r="A26647" s="1" t="s">
        <v>26646</v>
      </c>
      <c r="B26647" s="2" t="str">
        <f>IFERROR(__xludf.DUMMYFUNCTION("GOOGLETRANSLATE(A26647, ""de"", ""en"")"),"gallop")</f>
        <v>gallop</v>
      </c>
    </row>
    <row r="26648">
      <c r="A26648" s="1" t="s">
        <v>26647</v>
      </c>
      <c r="B26648" s="2" t="str">
        <f>IFERROR(__xludf.DUMMYFUNCTION("GOOGLETRANSLATE(A26648, ""de"", ""en"")"),"mosquitoes")</f>
        <v>mosquitoes</v>
      </c>
    </row>
    <row r="26649">
      <c r="A26649" s="1" t="s">
        <v>26648</v>
      </c>
      <c r="B26649" s="2" t="str">
        <f>IFERROR(__xludf.DUMMYFUNCTION("GOOGLETRANSLATE(A26649, ""de"", ""en"")"),"nostalgia")</f>
        <v>nostalgia</v>
      </c>
    </row>
    <row r="26650">
      <c r="A26650" s="1" t="s">
        <v>26649</v>
      </c>
      <c r="B26650" s="2" t="str">
        <f>IFERROR(__xludf.DUMMYFUNCTION("GOOGLETRANSLATE(A26650, ""de"", ""en"")"),"squeaks")</f>
        <v>squeaks</v>
      </c>
    </row>
    <row r="26651">
      <c r="A26651" s="1" t="s">
        <v>26650</v>
      </c>
      <c r="B26651" s="2" t="str">
        <f>IFERROR(__xludf.DUMMYFUNCTION("GOOGLETRANSLATE(A26651, ""de"", ""en"")"),"more outrageous")</f>
        <v>more outrageous</v>
      </c>
    </row>
    <row r="26652">
      <c r="A26652" s="1" t="s">
        <v>26651</v>
      </c>
      <c r="B26652" s="2" t="str">
        <f>IFERROR(__xludf.DUMMYFUNCTION("GOOGLETRANSLATE(A26652, ""de"", ""en"")"),"condemned")</f>
        <v>condemned</v>
      </c>
    </row>
    <row r="26653">
      <c r="A26653" s="1" t="s">
        <v>26652</v>
      </c>
      <c r="B26653" s="2" t="str">
        <f>IFERROR(__xludf.DUMMYFUNCTION("GOOGLETRANSLATE(A26653, ""de"", ""en"")"),"rugby")</f>
        <v>rugby</v>
      </c>
    </row>
    <row r="26654">
      <c r="A26654" s="1" t="s">
        <v>26653</v>
      </c>
      <c r="B26654" s="2" t="str">
        <f>IFERROR(__xludf.DUMMYFUNCTION("GOOGLETRANSLATE(A26654, ""de"", ""en"")"),"taught")</f>
        <v>taught</v>
      </c>
    </row>
    <row r="26655">
      <c r="A26655" s="1" t="s">
        <v>26654</v>
      </c>
      <c r="B26655" s="2" t="str">
        <f>IFERROR(__xludf.DUMMYFUNCTION("GOOGLETRANSLATE(A26655, ""de"", ""en"")"),"vigilante")</f>
        <v>vigilante</v>
      </c>
    </row>
    <row r="26656">
      <c r="A26656" s="1" t="s">
        <v>26655</v>
      </c>
      <c r="B26656" s="2" t="str">
        <f>IFERROR(__xludf.DUMMYFUNCTION("GOOGLETRANSLATE(A26656, ""de"", ""en"")"),"wake up")</f>
        <v>wake up</v>
      </c>
    </row>
    <row r="26657">
      <c r="A26657" s="1" t="s">
        <v>26656</v>
      </c>
      <c r="B26657" s="2" t="str">
        <f>IFERROR(__xludf.DUMMYFUNCTION("GOOGLETRANSLATE(A26657, ""de"", ""en"")"),"bend")</f>
        <v>bend</v>
      </c>
    </row>
    <row r="26658">
      <c r="A26658" s="1" t="s">
        <v>26657</v>
      </c>
      <c r="B26658" s="2" t="str">
        <f>IFERROR(__xludf.DUMMYFUNCTION("GOOGLETRANSLATE(A26658, ""de"", ""en"")"),"prison sentence")</f>
        <v>prison sentence</v>
      </c>
    </row>
    <row r="26659">
      <c r="A26659" s="1" t="s">
        <v>26658</v>
      </c>
      <c r="B26659" s="2" t="str">
        <f>IFERROR(__xludf.DUMMYFUNCTION("GOOGLETRANSLATE(A26659, ""de"", ""en"")"),"downey")</f>
        <v>downey</v>
      </c>
    </row>
    <row r="26660">
      <c r="A26660" s="1" t="s">
        <v>26659</v>
      </c>
      <c r="B26660" s="2" t="str">
        <f>IFERROR(__xludf.DUMMYFUNCTION("GOOGLETRANSLATE(A26660, ""de"", ""en"")"),"noticeable")</f>
        <v>noticeable</v>
      </c>
    </row>
    <row r="26661">
      <c r="A26661" s="1" t="s">
        <v>26660</v>
      </c>
      <c r="B26661" s="2" t="str">
        <f>IFERROR(__xludf.DUMMYFUNCTION("GOOGLETRANSLATE(A26661, ""de"", ""en"")"),"accordingly")</f>
        <v>accordingly</v>
      </c>
    </row>
    <row r="26662">
      <c r="A26662" s="1" t="s">
        <v>26661</v>
      </c>
      <c r="B26662" s="2" t="str">
        <f>IFERROR(__xludf.DUMMYFUNCTION("GOOGLETRANSLATE(A26662, ""de"", ""en"")"),"realized")</f>
        <v>realized</v>
      </c>
    </row>
    <row r="26663">
      <c r="A26663" s="1" t="s">
        <v>26662</v>
      </c>
      <c r="B26663" s="2" t="str">
        <f>IFERROR(__xludf.DUMMYFUNCTION("GOOGLETRANSLATE(A26663, ""de"", ""en"")"),"turtledoves")</f>
        <v>turtledoves</v>
      </c>
    </row>
    <row r="26664">
      <c r="A26664" s="1" t="s">
        <v>26663</v>
      </c>
      <c r="B26664" s="2" t="str">
        <f>IFERROR(__xludf.DUMMYFUNCTION("GOOGLETRANSLATE(A26664, ""de"", ""en"")"),"more secretive")</f>
        <v>more secretive</v>
      </c>
    </row>
    <row r="26665">
      <c r="A26665" s="1" t="s">
        <v>26664</v>
      </c>
      <c r="B26665" s="2" t="str">
        <f>IFERROR(__xludf.DUMMYFUNCTION("GOOGLETRANSLATE(A26665, ""de"", ""en"")"),"tempt")</f>
        <v>tempt</v>
      </c>
    </row>
    <row r="26666">
      <c r="A26666" s="1" t="s">
        <v>26665</v>
      </c>
      <c r="B26666" s="2" t="str">
        <f>IFERROR(__xludf.DUMMYFUNCTION("GOOGLETRANSLATE(A26666, ""de"", ""en"")"),"light guardian")</f>
        <v>light guardian</v>
      </c>
    </row>
    <row r="26667">
      <c r="A26667" s="1" t="s">
        <v>26666</v>
      </c>
      <c r="B26667" s="2" t="str">
        <f>IFERROR(__xludf.DUMMYFUNCTION("GOOGLETRANSLATE(A26667, ""de"", ""en"")"),"rosita")</f>
        <v>rosita</v>
      </c>
    </row>
    <row r="26668">
      <c r="A26668" s="1" t="s">
        <v>26667</v>
      </c>
      <c r="B26668" s="2" t="str">
        <f>IFERROR(__xludf.DUMMYFUNCTION("GOOGLETRANSLATE(A26668, ""de"", ""en"")"),"masterpiece")</f>
        <v>masterpiece</v>
      </c>
    </row>
    <row r="26669">
      <c r="A26669" s="1" t="s">
        <v>26668</v>
      </c>
      <c r="B26669" s="2" t="str">
        <f>IFERROR(__xludf.DUMMYFUNCTION("GOOGLETRANSLATE(A26669, ""de"", ""en"")"),"eye-catching")</f>
        <v>eye-catching</v>
      </c>
    </row>
    <row r="26670">
      <c r="A26670" s="1" t="s">
        <v>26669</v>
      </c>
      <c r="B26670" s="2" t="str">
        <f>IFERROR(__xludf.DUMMYFUNCTION("GOOGLETRANSLATE(A26670, ""de"", ""en"")"),"Martians")</f>
        <v>Martians</v>
      </c>
    </row>
    <row r="26671">
      <c r="A26671" s="1" t="s">
        <v>26670</v>
      </c>
      <c r="B26671" s="2" t="str">
        <f>IFERROR(__xludf.DUMMYFUNCTION("GOOGLETRANSLATE(A26671, ""de"", ""en"")"),"pad")</f>
        <v>pad</v>
      </c>
    </row>
    <row r="26672">
      <c r="A26672" s="1" t="s">
        <v>26671</v>
      </c>
      <c r="B26672" s="2" t="str">
        <f>IFERROR(__xludf.DUMMYFUNCTION("GOOGLETRANSLATE(A26672, ""de"", ""en"")"),"tesla")</f>
        <v>tesla</v>
      </c>
    </row>
    <row r="26673">
      <c r="A26673" s="1" t="s">
        <v>26672</v>
      </c>
      <c r="B26673" s="2" t="str">
        <f>IFERROR(__xludf.DUMMYFUNCTION("GOOGLETRANSLATE(A26673, ""de"", ""en"")"),"interference")</f>
        <v>interference</v>
      </c>
    </row>
    <row r="26674">
      <c r="A26674" s="1" t="s">
        <v>26673</v>
      </c>
      <c r="B26674" s="2" t="str">
        <f>IFERROR(__xludf.DUMMYFUNCTION("GOOGLETRANSLATE(A26674, ""de"", ""en"")"),"military service")</f>
        <v>military service</v>
      </c>
    </row>
    <row r="26675">
      <c r="A26675" s="1" t="s">
        <v>26674</v>
      </c>
      <c r="B26675" s="2" t="str">
        <f>IFERROR(__xludf.DUMMYFUNCTION("GOOGLETRANSLATE(A26675, ""de"", ""en"")"),"schizophrenic")</f>
        <v>schizophrenic</v>
      </c>
    </row>
    <row r="26676">
      <c r="A26676" s="1" t="s">
        <v>26675</v>
      </c>
      <c r="B26676" s="2" t="str">
        <f>IFERROR(__xludf.DUMMYFUNCTION("GOOGLETRANSLATE(A26676, ""de"", ""en"")"),"non-smoker")</f>
        <v>non-smoker</v>
      </c>
    </row>
    <row r="26677">
      <c r="A26677" s="1" t="s">
        <v>26676</v>
      </c>
      <c r="B26677" s="2" t="str">
        <f>IFERROR(__xludf.DUMMYFUNCTION("GOOGLETRANSLATE(A26677, ""de"", ""en"")"),"flight plan")</f>
        <v>flight plan</v>
      </c>
    </row>
    <row r="26678">
      <c r="A26678" s="1" t="s">
        <v>26677</v>
      </c>
      <c r="B26678" s="2" t="str">
        <f>IFERROR(__xludf.DUMMYFUNCTION("GOOGLETRANSLATE(A26678, ""de"", ""en"")"),"scandals")</f>
        <v>scandals</v>
      </c>
    </row>
    <row r="26679">
      <c r="A26679" s="1" t="s">
        <v>26678</v>
      </c>
      <c r="B26679" s="2" t="str">
        <f>IFERROR(__xludf.DUMMYFUNCTION("GOOGLETRANSLATE(A26679, ""de"", ""en"")"),"let you")</f>
        <v>let you</v>
      </c>
    </row>
    <row r="26680">
      <c r="A26680" s="1" t="s">
        <v>26679</v>
      </c>
      <c r="B26680" s="2" t="str">
        <f>IFERROR(__xludf.DUMMYFUNCTION("GOOGLETRANSLATE(A26680, ""de"", ""en"")"),"largo")</f>
        <v>largo</v>
      </c>
    </row>
    <row r="26681">
      <c r="A26681" s="1" t="s">
        <v>26680</v>
      </c>
      <c r="B26681" s="2" t="str">
        <f>IFERROR(__xludf.DUMMYFUNCTION("GOOGLETRANSLATE(A26681, ""de"", ""en"")"),"star")</f>
        <v>star</v>
      </c>
    </row>
    <row r="26682">
      <c r="A26682" s="1" t="s">
        <v>26681</v>
      </c>
      <c r="B26682" s="2" t="str">
        <f>IFERROR(__xludf.DUMMYFUNCTION("GOOGLETRANSLATE(A26682, ""de"", ""en"")"),"badger")</f>
        <v>badger</v>
      </c>
    </row>
    <row r="26683">
      <c r="A26683" s="1" t="s">
        <v>26682</v>
      </c>
      <c r="B26683" s="2" t="str">
        <f>IFERROR(__xludf.DUMMYFUNCTION("GOOGLETRANSLATE(A26683, ""de"", ""en"")"),"Jekyll")</f>
        <v>Jekyll</v>
      </c>
    </row>
    <row r="26684">
      <c r="A26684" s="1" t="s">
        <v>26683</v>
      </c>
      <c r="B26684" s="2" t="str">
        <f>IFERROR(__xludf.DUMMYFUNCTION("GOOGLETRANSLATE(A26684, ""de"", ""en"")"),"eyebrow")</f>
        <v>eyebrow</v>
      </c>
    </row>
    <row r="26685">
      <c r="A26685" s="1" t="s">
        <v>26684</v>
      </c>
      <c r="B26685" s="2" t="str">
        <f>IFERROR(__xludf.DUMMYFUNCTION("GOOGLETRANSLATE(A26685, ""de"", ""en"")"),"warships")</f>
        <v>warships</v>
      </c>
    </row>
    <row r="26686">
      <c r="A26686" s="1" t="s">
        <v>26685</v>
      </c>
      <c r="B26686" s="2" t="str">
        <f>IFERROR(__xludf.DUMMYFUNCTION("GOOGLETRANSLATE(A26686, ""de"", ""en"")"),"Spartacus")</f>
        <v>Spartacus</v>
      </c>
    </row>
    <row r="26687">
      <c r="A26687" s="1" t="s">
        <v>26686</v>
      </c>
      <c r="B26687" s="2" t="str">
        <f>IFERROR(__xludf.DUMMYFUNCTION("GOOGLETRANSLATE(A26687, ""de"", ""en"")"),"defects")</f>
        <v>defects</v>
      </c>
    </row>
    <row r="26688">
      <c r="A26688" s="1" t="s">
        <v>26687</v>
      </c>
      <c r="B26688" s="2" t="str">
        <f>IFERROR(__xludf.DUMMYFUNCTION("GOOGLETRANSLATE(A26688, ""de"", ""en"")"),"distracts")</f>
        <v>distracts</v>
      </c>
    </row>
    <row r="26689">
      <c r="A26689" s="1" t="s">
        <v>26688</v>
      </c>
      <c r="B26689" s="2" t="str">
        <f>IFERROR(__xludf.DUMMYFUNCTION("GOOGLETRANSLATE(A26689, ""de"", ""en"")"),"body bag")</f>
        <v>body bag</v>
      </c>
    </row>
    <row r="26690">
      <c r="A26690" s="1" t="s">
        <v>26689</v>
      </c>
      <c r="B26690" s="2" t="str">
        <f>IFERROR(__xludf.DUMMYFUNCTION("GOOGLETRANSLATE(A26690, ""de"", ""en"")"),"port wine")</f>
        <v>port wine</v>
      </c>
    </row>
    <row r="26691">
      <c r="A26691" s="1" t="s">
        <v>26690</v>
      </c>
      <c r="B26691" s="2" t="str">
        <f>IFERROR(__xludf.DUMMYFUNCTION("GOOGLETRANSLATE(A26691, ""de"", ""en"")"),"ultra")</f>
        <v>ultra</v>
      </c>
    </row>
    <row r="26692">
      <c r="A26692" s="1" t="s">
        <v>26691</v>
      </c>
      <c r="B26692" s="2" t="str">
        <f>IFERROR(__xludf.DUMMYFUNCTION("GOOGLETRANSLATE(A26692, ""de"", ""en"")"),"twitches")</f>
        <v>twitches</v>
      </c>
    </row>
    <row r="26693">
      <c r="A26693" s="1" t="s">
        <v>26692</v>
      </c>
      <c r="B26693" s="2" t="str">
        <f>IFERROR(__xludf.DUMMYFUNCTION("GOOGLETRANSLATE(A26693, ""de"", ""en"")"),"keys")</f>
        <v>keys</v>
      </c>
    </row>
    <row r="26694">
      <c r="A26694" s="1" t="s">
        <v>26693</v>
      </c>
      <c r="B26694" s="2" t="str">
        <f>IFERROR(__xludf.DUMMYFUNCTION("GOOGLETRANSLATE(A26694, ""de"", ""en"")"),"isl")</f>
        <v>isl</v>
      </c>
    </row>
    <row r="26695">
      <c r="A26695" s="1" t="s">
        <v>26694</v>
      </c>
      <c r="B26695" s="2" t="str">
        <f>IFERROR(__xludf.DUMMYFUNCTION("GOOGLETRANSLATE(A26695, ""de"", ""en"")"),"yawning")</f>
        <v>yawning</v>
      </c>
    </row>
    <row r="26696">
      <c r="A26696" s="1" t="s">
        <v>26695</v>
      </c>
      <c r="B26696" s="2" t="str">
        <f>IFERROR(__xludf.DUMMYFUNCTION("GOOGLETRANSLATE(A26696, ""de"", ""en"")"),"slam")</f>
        <v>slam</v>
      </c>
    </row>
    <row r="26697">
      <c r="A26697" s="1" t="s">
        <v>26696</v>
      </c>
      <c r="B26697" s="2" t="str">
        <f>IFERROR(__xludf.DUMMYFUNCTION("GOOGLETRANSLATE(A26697, ""de"", ""en"")"),"dumont")</f>
        <v>dumont</v>
      </c>
    </row>
    <row r="26698">
      <c r="A26698" s="1" t="s">
        <v>26697</v>
      </c>
      <c r="B26698" s="2" t="str">
        <f>IFERROR(__xludf.DUMMYFUNCTION("GOOGLETRANSLATE(A26698, ""de"", ""en"")"),"follow")</f>
        <v>follow</v>
      </c>
    </row>
    <row r="26699">
      <c r="A26699" s="1" t="s">
        <v>26698</v>
      </c>
      <c r="B26699" s="2" t="str">
        <f>IFERROR(__xludf.DUMMYFUNCTION("GOOGLETRANSLATE(A26699, ""de"", ""en"")"),"papal")</f>
        <v>papal</v>
      </c>
    </row>
    <row r="26700">
      <c r="A26700" s="1" t="s">
        <v>26699</v>
      </c>
      <c r="B26700" s="2" t="str">
        <f>IFERROR(__xludf.DUMMYFUNCTION("GOOGLETRANSLATE(A26700, ""de"", ""en"")"),"commonality")</f>
        <v>commonality</v>
      </c>
    </row>
    <row r="26701">
      <c r="A26701" s="1" t="s">
        <v>26700</v>
      </c>
      <c r="B26701" s="2" t="str">
        <f>IFERROR(__xludf.DUMMYFUNCTION("GOOGLETRANSLATE(A26701, ""de"", ""en"")"),"eldridge")</f>
        <v>eldridge</v>
      </c>
    </row>
    <row r="26702">
      <c r="A26702" s="1" t="s">
        <v>26701</v>
      </c>
      <c r="B26702" s="2" t="str">
        <f>IFERROR(__xludf.DUMMYFUNCTION("GOOGLETRANSLATE(A26702, ""de"", ""en"")"),"sook")</f>
        <v>sook</v>
      </c>
    </row>
    <row r="26703">
      <c r="A26703" s="1" t="s">
        <v>26702</v>
      </c>
      <c r="B26703" s="2" t="str">
        <f>IFERROR(__xludf.DUMMYFUNCTION("GOOGLETRANSLATE(A26703, ""de"", ""en"")"),"eyesight")</f>
        <v>eyesight</v>
      </c>
    </row>
    <row r="26704">
      <c r="A26704" s="1" t="s">
        <v>26703</v>
      </c>
      <c r="B26704" s="2" t="str">
        <f>IFERROR(__xludf.DUMMYFUNCTION("GOOGLETRANSLATE(A26704, ""de"", ""en"")"),"known")</f>
        <v>known</v>
      </c>
    </row>
    <row r="26705">
      <c r="A26705" s="1" t="s">
        <v>26704</v>
      </c>
      <c r="B26705" s="2" t="str">
        <f>IFERROR(__xludf.DUMMYFUNCTION("GOOGLETRANSLATE(A26705, ""de"", ""en"")"),"cared")</f>
        <v>cared</v>
      </c>
    </row>
    <row r="26706">
      <c r="A26706" s="1" t="s">
        <v>26705</v>
      </c>
      <c r="B26706" s="2" t="str">
        <f>IFERROR(__xludf.DUMMYFUNCTION("GOOGLETRANSLATE(A26706, ""de"", ""en"")"),"carrots")</f>
        <v>carrots</v>
      </c>
    </row>
    <row r="26707">
      <c r="A26707" s="1" t="s">
        <v>26706</v>
      </c>
      <c r="B26707" s="2" t="str">
        <f>IFERROR(__xludf.DUMMYFUNCTION("GOOGLETRANSLATE(A26707, ""de"", ""en"")"),"seeds")</f>
        <v>seeds</v>
      </c>
    </row>
    <row r="26708">
      <c r="A26708" s="1" t="s">
        <v>26707</v>
      </c>
      <c r="B26708" s="2" t="str">
        <f>IFERROR(__xludf.DUMMYFUNCTION("GOOGLETRANSLATE(A26708, ""de"", ""en"")"),"southerner")</f>
        <v>southerner</v>
      </c>
    </row>
    <row r="26709">
      <c r="A26709" s="1" t="s">
        <v>26708</v>
      </c>
      <c r="B26709" s="2" t="str">
        <f>IFERROR(__xludf.DUMMYFUNCTION("GOOGLETRANSLATE(A26709, ""de"", ""en"")"),"poisoned")</f>
        <v>poisoned</v>
      </c>
    </row>
    <row r="26710">
      <c r="A26710" s="1" t="s">
        <v>26709</v>
      </c>
      <c r="B26710" s="2" t="str">
        <f>IFERROR(__xludf.DUMMYFUNCTION("GOOGLETRANSLATE(A26710, ""de"", ""en"")"),"feed")</f>
        <v>feed</v>
      </c>
    </row>
    <row r="26711">
      <c r="A26711" s="1" t="s">
        <v>26710</v>
      </c>
      <c r="B26711" s="2" t="str">
        <f>IFERROR(__xludf.DUMMYFUNCTION("GOOGLETRANSLATE(A26711, ""de"", ""en"")"),"tulsa")</f>
        <v>tulsa</v>
      </c>
    </row>
    <row r="26712">
      <c r="A26712" s="1" t="s">
        <v>26711</v>
      </c>
      <c r="B26712" s="2" t="str">
        <f>IFERROR(__xludf.DUMMYFUNCTION("GOOGLETRANSLATE(A26712, ""de"", ""en"")"),"rhoda")</f>
        <v>rhoda</v>
      </c>
    </row>
    <row r="26713">
      <c r="A26713" s="1" t="s">
        <v>26712</v>
      </c>
      <c r="B26713" s="2" t="str">
        <f>IFERROR(__xludf.DUMMYFUNCTION("GOOGLETRANSLATE(A26713, ""de"", ""en"")"),"booker")</f>
        <v>booker</v>
      </c>
    </row>
    <row r="26714">
      <c r="A26714" s="1" t="s">
        <v>26713</v>
      </c>
      <c r="B26714" s="2" t="str">
        <f>IFERROR(__xludf.DUMMYFUNCTION("GOOGLETRANSLATE(A26714, ""de"", ""en"")"),"helmer")</f>
        <v>helmer</v>
      </c>
    </row>
    <row r="26715">
      <c r="A26715" s="1" t="s">
        <v>26714</v>
      </c>
      <c r="B26715" s="2" t="str">
        <f>IFERROR(__xludf.DUMMYFUNCTION("GOOGLETRANSLATE(A26715, ""de"", ""en"")"),"Gabriella")</f>
        <v>Gabriella</v>
      </c>
    </row>
    <row r="26716">
      <c r="A26716" s="1" t="s">
        <v>26715</v>
      </c>
      <c r="B26716" s="2" t="str">
        <f>IFERROR(__xludf.DUMMYFUNCTION("GOOGLETRANSLATE(A26716, ""de"", ""en"")"),"deceived")</f>
        <v>deceived</v>
      </c>
    </row>
    <row r="26717">
      <c r="A26717" s="1" t="s">
        <v>26716</v>
      </c>
      <c r="B26717" s="2" t="str">
        <f>IFERROR(__xludf.DUMMYFUNCTION("GOOGLETRANSLATE(A26717, ""de"", ""en"")"),"glowing")</f>
        <v>glowing</v>
      </c>
    </row>
    <row r="26718">
      <c r="A26718" s="1" t="s">
        <v>26717</v>
      </c>
      <c r="B26718" s="2" t="str">
        <f>IFERROR(__xludf.DUMMYFUNCTION("GOOGLETRANSLATE(A26718, ""de"", ""en"")"),"omelette")</f>
        <v>omelette</v>
      </c>
    </row>
    <row r="26719">
      <c r="A26719" s="1" t="s">
        <v>26718</v>
      </c>
      <c r="B26719" s="2" t="str">
        <f>IFERROR(__xludf.DUMMYFUNCTION("GOOGLETRANSLATE(A26719, ""de"", ""en"")"),"insert")</f>
        <v>insert</v>
      </c>
    </row>
    <row r="26720">
      <c r="A26720" s="1" t="s">
        <v>26719</v>
      </c>
      <c r="B26720" s="2" t="str">
        <f>IFERROR(__xludf.DUMMYFUNCTION("GOOGLETRANSLATE(A26720, ""de"", ""en"")"),"sounded")</f>
        <v>sounded</v>
      </c>
    </row>
    <row r="26721">
      <c r="A26721" s="1" t="s">
        <v>26720</v>
      </c>
      <c r="B26721" s="2" t="str">
        <f>IFERROR(__xludf.DUMMYFUNCTION("GOOGLETRANSLATE(A26721, ""de"", ""en"")"),"outbreaks")</f>
        <v>outbreaks</v>
      </c>
    </row>
    <row r="26722">
      <c r="A26722" s="1" t="s">
        <v>26721</v>
      </c>
      <c r="B26722" s="2" t="str">
        <f>IFERROR(__xludf.DUMMYFUNCTION("GOOGLETRANSLATE(A26722, ""de"", ""en"")"),"gymnastics")</f>
        <v>gymnastics</v>
      </c>
    </row>
    <row r="26723">
      <c r="A26723" s="1" t="s">
        <v>26722</v>
      </c>
      <c r="B26723" s="2" t="str">
        <f>IFERROR(__xludf.DUMMYFUNCTION("GOOGLETRANSLATE(A26723, ""de"", ""en"")"),"ore")</f>
        <v>ore</v>
      </c>
    </row>
    <row r="26724">
      <c r="A26724" s="1" t="s">
        <v>26723</v>
      </c>
      <c r="B26724" s="2" t="str">
        <f>IFERROR(__xludf.DUMMYFUNCTION("GOOGLETRANSLATE(A26724, ""de"", ""en"")"),"songs")</f>
        <v>songs</v>
      </c>
    </row>
    <row r="26725">
      <c r="A26725" s="1" t="s">
        <v>26724</v>
      </c>
      <c r="B26725" s="2" t="str">
        <f>IFERROR(__xludf.DUMMYFUNCTION("GOOGLETRANSLATE(A26725, ""de"", ""en"")"),"mechanical")</f>
        <v>mechanical</v>
      </c>
    </row>
    <row r="26726">
      <c r="A26726" s="1" t="s">
        <v>26725</v>
      </c>
      <c r="B26726" s="2" t="str">
        <f>IFERROR(__xludf.DUMMYFUNCTION("GOOGLETRANSLATE(A26726, ""de"", ""en"")"),"incorrectly")</f>
        <v>incorrectly</v>
      </c>
    </row>
    <row r="26727">
      <c r="A26727" s="1" t="s">
        <v>26726</v>
      </c>
      <c r="B26727" s="2" t="str">
        <f>IFERROR(__xludf.DUMMYFUNCTION("GOOGLETRANSLATE(A26727, ""de"", ""en"")"),"hunger strike")</f>
        <v>hunger strike</v>
      </c>
    </row>
    <row r="26728">
      <c r="A26728" s="1" t="s">
        <v>26727</v>
      </c>
      <c r="B26728" s="2" t="str">
        <f>IFERROR(__xludf.DUMMYFUNCTION("GOOGLETRANSLATE(A26728, ""de"", ""en"")"),"piece of shit")</f>
        <v>piece of shit</v>
      </c>
    </row>
    <row r="26729">
      <c r="A26729" s="1" t="s">
        <v>26728</v>
      </c>
      <c r="B26729" s="2" t="str">
        <f>IFERROR(__xludf.DUMMYFUNCTION("GOOGLETRANSLATE(A26729, ""de"", ""en"")"),"accusations")</f>
        <v>accusations</v>
      </c>
    </row>
    <row r="26730">
      <c r="A26730" s="1" t="s">
        <v>26729</v>
      </c>
      <c r="B26730" s="2" t="str">
        <f>IFERROR(__xludf.DUMMYFUNCTION("GOOGLETRANSLATE(A26730, ""de"", ""en"")"),"female")</f>
        <v>female</v>
      </c>
    </row>
    <row r="26731">
      <c r="A26731" s="1" t="s">
        <v>26730</v>
      </c>
      <c r="B26731" s="2" t="str">
        <f>IFERROR(__xludf.DUMMYFUNCTION("GOOGLETRANSLATE(A26731, ""de"", ""en"")"),"praises")</f>
        <v>praises</v>
      </c>
    </row>
    <row r="26732">
      <c r="A26732" s="1" t="s">
        <v>26731</v>
      </c>
      <c r="B26732" s="2" t="str">
        <f>IFERROR(__xludf.DUMMYFUNCTION("GOOGLETRANSLATE(A26732, ""de"", ""en"")"),"series")</f>
        <v>series</v>
      </c>
    </row>
    <row r="26733">
      <c r="A26733" s="1" t="s">
        <v>26732</v>
      </c>
      <c r="B26733" s="2" t="str">
        <f>IFERROR(__xludf.DUMMYFUNCTION("GOOGLETRANSLATE(A26733, ""de"", ""en"")"),"WC")</f>
        <v>WC</v>
      </c>
    </row>
    <row r="26734">
      <c r="A26734" s="1" t="s">
        <v>26733</v>
      </c>
      <c r="B26734" s="2" t="str">
        <f>IFERROR(__xludf.DUMMYFUNCTION("GOOGLETRANSLATE(A26734, ""de"", ""en"")"),"spongebob")</f>
        <v>spongebob</v>
      </c>
    </row>
    <row r="26735">
      <c r="A26735" s="1" t="s">
        <v>26734</v>
      </c>
      <c r="B26735" s="2" t="str">
        <f>IFERROR(__xludf.DUMMYFUNCTION("GOOGLETRANSLATE(A26735, ""de"", ""en"")"),"eaten out")</f>
        <v>eaten out</v>
      </c>
    </row>
    <row r="26736">
      <c r="A26736" s="1" t="s">
        <v>26735</v>
      </c>
      <c r="B26736" s="2" t="str">
        <f>IFERROR(__xludf.DUMMYFUNCTION("GOOGLETRANSLATE(A26736, ""de"", ""en"")"),"arranged")</f>
        <v>arranged</v>
      </c>
    </row>
    <row r="26737">
      <c r="A26737" s="1" t="s">
        <v>26736</v>
      </c>
      <c r="B26737" s="2" t="str">
        <f>IFERROR(__xludf.DUMMYFUNCTION("GOOGLETRANSLATE(A26737, ""de"", ""en"")"),"guarantor")</f>
        <v>guarantor</v>
      </c>
    </row>
    <row r="26738">
      <c r="A26738" s="1" t="s">
        <v>26737</v>
      </c>
      <c r="B26738" s="2" t="str">
        <f>IFERROR(__xludf.DUMMYFUNCTION("GOOGLETRANSLATE(A26738, ""de"", ""en"")"),"kwon")</f>
        <v>kwon</v>
      </c>
    </row>
    <row r="26739">
      <c r="A26739" s="1" t="s">
        <v>26738</v>
      </c>
      <c r="B26739" s="2" t="str">
        <f>IFERROR(__xludf.DUMMYFUNCTION("GOOGLETRANSLATE(A26739, ""de"", ""en"")"),"driven")</f>
        <v>driven</v>
      </c>
    </row>
    <row r="26740">
      <c r="A26740" s="1" t="s">
        <v>26739</v>
      </c>
      <c r="B26740" s="2" t="str">
        <f>IFERROR(__xludf.DUMMYFUNCTION("GOOGLETRANSLATE(A26740, ""de"", ""en"")"),"ventilator")</f>
        <v>ventilator</v>
      </c>
    </row>
    <row r="26741">
      <c r="A26741" s="1" t="s">
        <v>26740</v>
      </c>
      <c r="B26741" s="2" t="str">
        <f>IFERROR(__xludf.DUMMYFUNCTION("GOOGLETRANSLATE(A26741, ""de"", ""en"")"),"threaten")</f>
        <v>threaten</v>
      </c>
    </row>
    <row r="26742">
      <c r="A26742" s="1" t="s">
        <v>26741</v>
      </c>
      <c r="B26742" s="2" t="str">
        <f>IFERROR(__xludf.DUMMYFUNCTION("GOOGLETRANSLATE(A26742, ""de"", ""en"")"),"dreamed")</f>
        <v>dreamed</v>
      </c>
    </row>
    <row r="26743">
      <c r="A26743" s="1" t="s">
        <v>26742</v>
      </c>
      <c r="B26743" s="2" t="str">
        <f>IFERROR(__xludf.DUMMYFUNCTION("GOOGLETRANSLATE(A26743, ""de"", ""en"")"),"corridors")</f>
        <v>corridors</v>
      </c>
    </row>
    <row r="26744">
      <c r="A26744" s="1" t="s">
        <v>26743</v>
      </c>
      <c r="B26744" s="2" t="str">
        <f>IFERROR(__xludf.DUMMYFUNCTION("GOOGLETRANSLATE(A26744, ""de"", ""en"")"),"deepen")</f>
        <v>deepen</v>
      </c>
    </row>
    <row r="26745">
      <c r="A26745" s="1" t="s">
        <v>26744</v>
      </c>
      <c r="B26745" s="2" t="str">
        <f>IFERROR(__xludf.DUMMYFUNCTION("GOOGLETRANSLATE(A26745, ""de"", ""en"")"),"scandalous")</f>
        <v>scandalous</v>
      </c>
    </row>
    <row r="26746">
      <c r="A26746" s="1" t="s">
        <v>26745</v>
      </c>
      <c r="B26746" s="2" t="str">
        <f>IFERROR(__xludf.DUMMYFUNCTION("GOOGLETRANSLATE(A26746, ""de"", ""en"")"),"raw")</f>
        <v>raw</v>
      </c>
    </row>
    <row r="26747">
      <c r="A26747" s="1" t="s">
        <v>26746</v>
      </c>
      <c r="B26747" s="2" t="str">
        <f>IFERROR(__xludf.DUMMYFUNCTION("GOOGLETRANSLATE(A26747, ""de"", ""en"")"),"browns")</f>
        <v>browns</v>
      </c>
    </row>
    <row r="26748">
      <c r="A26748" s="1" t="s">
        <v>26747</v>
      </c>
      <c r="B26748" s="2" t="str">
        <f>IFERROR(__xludf.DUMMYFUNCTION("GOOGLETRANSLATE(A26748, ""de"", ""en"")"),"gannicus")</f>
        <v>gannicus</v>
      </c>
    </row>
    <row r="26749">
      <c r="A26749" s="1" t="s">
        <v>26748</v>
      </c>
      <c r="B26749" s="2" t="str">
        <f>IFERROR(__xludf.DUMMYFUNCTION("GOOGLETRANSLATE(A26749, ""de"", ""en"")"),"patch")</f>
        <v>patch</v>
      </c>
    </row>
    <row r="26750">
      <c r="A26750" s="1" t="s">
        <v>26749</v>
      </c>
      <c r="B26750" s="2" t="str">
        <f>IFERROR(__xludf.DUMMYFUNCTION("GOOGLETRANSLATE(A26750, ""de"", ""en"")"),"generality")</f>
        <v>generality</v>
      </c>
    </row>
    <row r="26751">
      <c r="A26751" s="1" t="s">
        <v>26750</v>
      </c>
      <c r="B26751" s="2" t="str">
        <f>IFERROR(__xludf.DUMMYFUNCTION("GOOGLETRANSLATE(A26751, ""de"", ""en"")"),"unresolved")</f>
        <v>unresolved</v>
      </c>
    </row>
    <row r="26752">
      <c r="A26752" s="1" t="s">
        <v>26751</v>
      </c>
      <c r="B26752" s="2" t="str">
        <f>IFERROR(__xludf.DUMMYFUNCTION("GOOGLETRANSLATE(A26752, ""de"", ""en"")"),"milord")</f>
        <v>milord</v>
      </c>
    </row>
    <row r="26753">
      <c r="A26753" s="1" t="s">
        <v>26752</v>
      </c>
      <c r="B26753" s="2" t="str">
        <f>IFERROR(__xludf.DUMMYFUNCTION("GOOGLETRANSLATE(A26753, ""de"", ""en"")"),"denied")</f>
        <v>denied</v>
      </c>
    </row>
    <row r="26754">
      <c r="A26754" s="1" t="s">
        <v>26753</v>
      </c>
      <c r="B26754" s="2" t="str">
        <f>IFERROR(__xludf.DUMMYFUNCTION("GOOGLETRANSLATE(A26754, ""de"", ""en"")"),"emergency call center")</f>
        <v>emergency call center</v>
      </c>
    </row>
    <row r="26755">
      <c r="A26755" s="1" t="s">
        <v>26754</v>
      </c>
      <c r="B26755" s="2" t="str">
        <f>IFERROR(__xludf.DUMMYFUNCTION("GOOGLETRANSLATE(A26755, ""de"", ""en"")"),"arts")</f>
        <v>arts</v>
      </c>
    </row>
    <row r="26756">
      <c r="A26756" s="1" t="s">
        <v>26755</v>
      </c>
      <c r="B26756" s="2" t="str">
        <f>IFERROR(__xludf.DUMMYFUNCTION("GOOGLETRANSLATE(A26756, ""de"", ""en"")"),"crazy")</f>
        <v>crazy</v>
      </c>
    </row>
    <row r="26757">
      <c r="A26757" s="1" t="s">
        <v>26756</v>
      </c>
      <c r="B26757" s="2" t="str">
        <f>IFERROR(__xludf.DUMMYFUNCTION("GOOGLETRANSLATE(A26757, ""de"", ""en"")"),"hyperdrive")</f>
        <v>hyperdrive</v>
      </c>
    </row>
    <row r="26758">
      <c r="A26758" s="1" t="s">
        <v>26757</v>
      </c>
      <c r="B26758" s="2" t="str">
        <f>IFERROR(__xludf.DUMMYFUNCTION("GOOGLETRANSLATE(A26758, ""de"", ""en"")"),"delivered")</f>
        <v>delivered</v>
      </c>
    </row>
    <row r="26759">
      <c r="A26759" s="1" t="s">
        <v>26758</v>
      </c>
      <c r="B26759" s="2" t="str">
        <f>IFERROR(__xludf.DUMMYFUNCTION("GOOGLETRANSLATE(A26759, ""de"", ""en"")"),"impossible")</f>
        <v>impossible</v>
      </c>
    </row>
    <row r="26760">
      <c r="A26760" s="1" t="s">
        <v>26759</v>
      </c>
      <c r="B26760" s="2" t="str">
        <f>IFERROR(__xludf.DUMMYFUNCTION("GOOGLETRANSLATE(A26760, ""de"", ""en"")"),"blessed")</f>
        <v>blessed</v>
      </c>
    </row>
    <row r="26761">
      <c r="A26761" s="1" t="s">
        <v>26760</v>
      </c>
      <c r="B26761" s="2" t="str">
        <f>IFERROR(__xludf.DUMMYFUNCTION("GOOGLETRANSLATE(A26761, ""de"", ""en"")"),"What a shame")</f>
        <v>What a shame</v>
      </c>
    </row>
    <row r="26762">
      <c r="A26762" s="1" t="s">
        <v>26761</v>
      </c>
      <c r="B26762" s="2" t="str">
        <f>IFERROR(__xludf.DUMMYFUNCTION("GOOGLETRANSLATE(A26762, ""de"", ""en"")"),"climbed")</f>
        <v>climbed</v>
      </c>
    </row>
    <row r="26763">
      <c r="A26763" s="1" t="s">
        <v>26762</v>
      </c>
      <c r="B26763" s="2" t="str">
        <f>IFERROR(__xludf.DUMMYFUNCTION("GOOGLETRANSLATE(A26763, ""de"", ""en"")"),"records")</f>
        <v>records</v>
      </c>
    </row>
    <row r="26764">
      <c r="A26764" s="1" t="s">
        <v>26763</v>
      </c>
      <c r="B26764" s="2" t="str">
        <f>IFERROR(__xludf.DUMMYFUNCTION("GOOGLETRANSLATE(A26764, ""de"", ""en"")"),"zodiac")</f>
        <v>zodiac</v>
      </c>
    </row>
    <row r="26765">
      <c r="A26765" s="1" t="s">
        <v>26764</v>
      </c>
      <c r="B26765" s="2" t="str">
        <f>IFERROR(__xludf.DUMMYFUNCTION("GOOGLETRANSLATE(A26765, ""de"", ""en"")"),"provinces")</f>
        <v>provinces</v>
      </c>
    </row>
    <row r="26766">
      <c r="A26766" s="1" t="s">
        <v>26765</v>
      </c>
      <c r="B26766" s="2" t="str">
        <f>IFERROR(__xludf.DUMMYFUNCTION("GOOGLETRANSLATE(A26766, ""de"", ""en"")"),"field of view")</f>
        <v>field of view</v>
      </c>
    </row>
    <row r="26767">
      <c r="A26767" s="1" t="s">
        <v>26766</v>
      </c>
      <c r="B26767" s="2" t="str">
        <f>IFERROR(__xludf.DUMMYFUNCTION("GOOGLETRANSLATE(A26767, ""de"", ""en"")"),"artificial")</f>
        <v>artificial</v>
      </c>
    </row>
    <row r="26768">
      <c r="A26768" s="1" t="s">
        <v>26767</v>
      </c>
      <c r="B26768" s="2" t="str">
        <f>IFERROR(__xludf.DUMMYFUNCTION("GOOGLETRANSLATE(A26768, ""de"", ""en"")"),"archeology")</f>
        <v>archeology</v>
      </c>
    </row>
    <row r="26769">
      <c r="A26769" s="1" t="s">
        <v>26768</v>
      </c>
      <c r="B26769" s="2" t="str">
        <f>IFERROR(__xludf.DUMMYFUNCTION("GOOGLETRANSLATE(A26769, ""de"", ""en"")"),"text")</f>
        <v>text</v>
      </c>
    </row>
    <row r="26770">
      <c r="A26770" s="1" t="s">
        <v>26769</v>
      </c>
      <c r="B26770" s="2" t="str">
        <f>IFERROR(__xludf.DUMMYFUNCTION("GOOGLETRANSLATE(A26770, ""de"", ""en"")"),"finch")</f>
        <v>finch</v>
      </c>
    </row>
    <row r="26771">
      <c r="A26771" s="1" t="s">
        <v>26770</v>
      </c>
      <c r="B26771" s="2" t="str">
        <f>IFERROR(__xludf.DUMMYFUNCTION("GOOGLETRANSLATE(A26771, ""de"", ""en"")"),"avoids")</f>
        <v>avoids</v>
      </c>
    </row>
    <row r="26772">
      <c r="A26772" s="1" t="s">
        <v>26771</v>
      </c>
      <c r="B26772" s="2" t="str">
        <f>IFERROR(__xludf.DUMMYFUNCTION("GOOGLETRANSLATE(A26772, ""de"", ""en"")"),"amputate")</f>
        <v>amputate</v>
      </c>
    </row>
    <row r="26773">
      <c r="A26773" s="1" t="s">
        <v>26772</v>
      </c>
      <c r="B26773" s="2" t="str">
        <f>IFERROR(__xludf.DUMMYFUNCTION("GOOGLETRANSLATE(A26773, ""de"", ""en"")"),"warlock")</f>
        <v>warlock</v>
      </c>
    </row>
    <row r="26774">
      <c r="A26774" s="1" t="s">
        <v>26773</v>
      </c>
      <c r="B26774" s="2" t="str">
        <f>IFERROR(__xludf.DUMMYFUNCTION("GOOGLETRANSLATE(A26774, ""de"", ""en"")"),"under")</f>
        <v>under</v>
      </c>
    </row>
    <row r="26775">
      <c r="A26775" s="1" t="s">
        <v>26774</v>
      </c>
      <c r="B26775" s="2" t="str">
        <f>IFERROR(__xludf.DUMMYFUNCTION("GOOGLETRANSLATE(A26775, ""de"", ""en"")"),"century")</f>
        <v>century</v>
      </c>
    </row>
    <row r="26776">
      <c r="A26776" s="1" t="s">
        <v>26775</v>
      </c>
      <c r="B26776" s="2" t="str">
        <f>IFERROR(__xludf.DUMMYFUNCTION("GOOGLETRANSLATE(A26776, ""de"", ""en"")"),"sat")</f>
        <v>sat</v>
      </c>
    </row>
    <row r="26777">
      <c r="A26777" s="1" t="s">
        <v>26776</v>
      </c>
      <c r="B26777" s="2" t="str">
        <f>IFERROR(__xludf.DUMMYFUNCTION("GOOGLETRANSLATE(A26777, ""de"", ""en"")"),"babbles")</f>
        <v>babbles</v>
      </c>
    </row>
    <row r="26778">
      <c r="A26778" s="1" t="s">
        <v>26777</v>
      </c>
      <c r="B26778" s="2" t="str">
        <f>IFERROR(__xludf.DUMMYFUNCTION("GOOGLETRANSLATE(A26778, ""de"", ""en"")"),"eco")</f>
        <v>eco</v>
      </c>
    </row>
    <row r="26779">
      <c r="A26779" s="1" t="s">
        <v>26778</v>
      </c>
      <c r="B26779" s="2" t="str">
        <f>IFERROR(__xludf.DUMMYFUNCTION("GOOGLETRANSLATE(A26779, ""de"", ""en"")"),"algebra")</f>
        <v>algebra</v>
      </c>
    </row>
    <row r="26780">
      <c r="A26780" s="1" t="s">
        <v>26779</v>
      </c>
      <c r="B26780" s="2" t="str">
        <f>IFERROR(__xludf.DUMMYFUNCTION("GOOGLETRANSLATE(A26780, ""de"", ""en"")"),"legal")</f>
        <v>legal</v>
      </c>
    </row>
    <row r="26781">
      <c r="A26781" s="1" t="s">
        <v>26780</v>
      </c>
      <c r="B26781" s="2" t="str">
        <f>IFERROR(__xludf.DUMMYFUNCTION("GOOGLETRANSLATE(A26781, ""de"", ""en"")"),"no")</f>
        <v>no</v>
      </c>
    </row>
    <row r="26782">
      <c r="A26782" s="1" t="s">
        <v>26781</v>
      </c>
      <c r="B26782" s="2" t="str">
        <f>IFERROR(__xludf.DUMMYFUNCTION("GOOGLETRANSLATE(A26782, ""de"", ""en"")"),"hotline")</f>
        <v>hotline</v>
      </c>
    </row>
    <row r="26783">
      <c r="A26783" s="1" t="s">
        <v>26782</v>
      </c>
      <c r="B26783" s="2" t="str">
        <f>IFERROR(__xludf.DUMMYFUNCTION("GOOGLETRANSLATE(A26783, ""de"", ""en"")"),"trout")</f>
        <v>trout</v>
      </c>
    </row>
    <row r="26784">
      <c r="A26784" s="1" t="s">
        <v>26783</v>
      </c>
      <c r="B26784" s="2" t="str">
        <f>IFERROR(__xludf.DUMMYFUNCTION("GOOGLETRANSLATE(A26784, ""de"", ""en"")"),"real estate agent")</f>
        <v>real estate agent</v>
      </c>
    </row>
    <row r="26785">
      <c r="A26785" s="1" t="s">
        <v>26784</v>
      </c>
      <c r="B26785" s="2" t="str">
        <f>IFERROR(__xludf.DUMMYFUNCTION("GOOGLETRANSLATE(A26785, ""de"", ""en"")"),"gallant")</f>
        <v>gallant</v>
      </c>
    </row>
    <row r="26786">
      <c r="A26786" s="1" t="s">
        <v>26785</v>
      </c>
      <c r="B26786" s="2" t="str">
        <f>IFERROR(__xludf.DUMMYFUNCTION("GOOGLETRANSLATE(A26786, ""de"", ""en"")"),"platoon leader")</f>
        <v>platoon leader</v>
      </c>
    </row>
    <row r="26787">
      <c r="A26787" s="1" t="s">
        <v>26786</v>
      </c>
      <c r="B26787" s="2" t="str">
        <f>IFERROR(__xludf.DUMMYFUNCTION("GOOGLETRANSLATE(A26787, ""de"", ""en"")"),"advert")</f>
        <v>advert</v>
      </c>
    </row>
    <row r="26788">
      <c r="A26788" s="1" t="s">
        <v>26787</v>
      </c>
      <c r="B26788" s="2" t="str">
        <f>IFERROR(__xludf.DUMMYFUNCTION("GOOGLETRANSLATE(A26788, ""de"", ""en"")"),"scare away")</f>
        <v>scare away</v>
      </c>
    </row>
    <row r="26789">
      <c r="A26789" s="1" t="s">
        <v>26788</v>
      </c>
      <c r="B26789" s="2" t="str">
        <f>IFERROR(__xludf.DUMMYFUNCTION("GOOGLETRANSLATE(A26789, ""de"", ""en"")"),"epi")</f>
        <v>epi</v>
      </c>
    </row>
    <row r="26790">
      <c r="A26790" s="1" t="s">
        <v>26789</v>
      </c>
      <c r="B26790" s="2" t="str">
        <f>IFERROR(__xludf.DUMMYFUNCTION("GOOGLETRANSLATE(A26790, ""de"", ""en"")"),"tolerant")</f>
        <v>tolerant</v>
      </c>
    </row>
    <row r="26791">
      <c r="A26791" s="1" t="s">
        <v>26790</v>
      </c>
      <c r="B26791" s="2" t="str">
        <f>IFERROR(__xludf.DUMMYFUNCTION("GOOGLETRANSLATE(A26791, ""de"", ""en"")"),"penetrates")</f>
        <v>penetrates</v>
      </c>
    </row>
    <row r="26792">
      <c r="A26792" s="1" t="s">
        <v>26791</v>
      </c>
      <c r="B26792" s="2" t="str">
        <f>IFERROR(__xludf.DUMMYFUNCTION("GOOGLETRANSLATE(A26792, ""de"", ""en"")"),"bai")</f>
        <v>bai</v>
      </c>
    </row>
    <row r="26793">
      <c r="A26793" s="1" t="s">
        <v>26792</v>
      </c>
      <c r="B26793" s="2" t="str">
        <f>IFERROR(__xludf.DUMMYFUNCTION("GOOGLETRANSLATE(A26793, ""de"", ""en"")"),"ammonia")</f>
        <v>ammonia</v>
      </c>
    </row>
    <row r="26794">
      <c r="A26794" s="1" t="s">
        <v>26793</v>
      </c>
      <c r="B26794" s="2" t="str">
        <f>IFERROR(__xludf.DUMMYFUNCTION("GOOGLETRANSLATE(A26794, ""de"", ""en"")"),"fergus")</f>
        <v>fergus</v>
      </c>
    </row>
    <row r="26795">
      <c r="A26795" s="1" t="s">
        <v>26794</v>
      </c>
      <c r="B26795" s="2" t="str">
        <f>IFERROR(__xludf.DUMMYFUNCTION("GOOGLETRANSLATE(A26795, ""de"", ""en"")"),"parking spaces")</f>
        <v>parking spaces</v>
      </c>
    </row>
    <row r="26796">
      <c r="A26796" s="1" t="s">
        <v>26795</v>
      </c>
      <c r="B26796" s="2" t="str">
        <f>IFERROR(__xludf.DUMMYFUNCTION("GOOGLETRANSLATE(A26796, ""de"", ""en"")"),"liars")</f>
        <v>liars</v>
      </c>
    </row>
    <row r="26797">
      <c r="A26797" s="1" t="s">
        <v>26796</v>
      </c>
      <c r="B26797" s="2" t="str">
        <f>IFERROR(__xludf.DUMMYFUNCTION("GOOGLETRANSLATE(A26797, ""de"", ""en"")"),"revive")</f>
        <v>revive</v>
      </c>
    </row>
    <row r="26798">
      <c r="A26798" s="1" t="s">
        <v>26797</v>
      </c>
      <c r="B26798" s="2" t="str">
        <f>IFERROR(__xludf.DUMMYFUNCTION("GOOGLETRANSLATE(A26798, ""de"", ""en"")"),"feet")</f>
        <v>feet</v>
      </c>
    </row>
    <row r="26799">
      <c r="A26799" s="1" t="s">
        <v>26798</v>
      </c>
      <c r="B26799" s="2" t="str">
        <f>IFERROR(__xludf.DUMMYFUNCTION("GOOGLETRANSLATE(A26799, ""de"", ""en"")"),"packard")</f>
        <v>packard</v>
      </c>
    </row>
    <row r="26800">
      <c r="A26800" s="1" t="s">
        <v>26799</v>
      </c>
      <c r="B26800" s="2" t="str">
        <f>IFERROR(__xludf.DUMMYFUNCTION("GOOGLETRANSLATE(A26800, ""de"", ""en"")"),"optimist")</f>
        <v>optimist</v>
      </c>
    </row>
    <row r="26801">
      <c r="A26801" s="1" t="s">
        <v>26800</v>
      </c>
      <c r="B26801" s="2" t="str">
        <f>IFERROR(__xludf.DUMMYFUNCTION("GOOGLETRANSLATE(A26801, ""de"", ""en"")"),"more sneaky")</f>
        <v>more sneaky</v>
      </c>
    </row>
    <row r="26802">
      <c r="A26802" s="1" t="s">
        <v>26801</v>
      </c>
      <c r="B26802" s="2" t="str">
        <f>IFERROR(__xludf.DUMMYFUNCTION("GOOGLETRANSLATE(A26802, ""de"", ""en"")"),"animal")</f>
        <v>animal</v>
      </c>
    </row>
    <row r="26803">
      <c r="A26803" s="1" t="s">
        <v>26802</v>
      </c>
      <c r="B26803" s="2" t="str">
        <f>IFERROR(__xludf.DUMMYFUNCTION("GOOGLETRANSLATE(A26803, ""de"", ""en"")"),"Alfons")</f>
        <v>Alfons</v>
      </c>
    </row>
    <row r="26804">
      <c r="A26804" s="1" t="s">
        <v>26803</v>
      </c>
      <c r="B26804" s="2" t="str">
        <f>IFERROR(__xludf.DUMMYFUNCTION("GOOGLETRANSLATE(A26804, ""de"", ""en"")"),"got there")</f>
        <v>got there</v>
      </c>
    </row>
    <row r="26805">
      <c r="A26805" s="1" t="s">
        <v>26804</v>
      </c>
      <c r="B26805" s="2" t="str">
        <f>IFERROR(__xludf.DUMMYFUNCTION("GOOGLETRANSLATE(A26805, ""de"", ""en"")"),"librarian")</f>
        <v>librarian</v>
      </c>
    </row>
    <row r="26806">
      <c r="A26806" s="1" t="s">
        <v>26805</v>
      </c>
      <c r="B26806" s="2" t="str">
        <f>IFERROR(__xludf.DUMMYFUNCTION("GOOGLETRANSLATE(A26806, ""de"", ""en"")"),"tylers")</f>
        <v>tylers</v>
      </c>
    </row>
    <row r="26807">
      <c r="A26807" s="1" t="s">
        <v>26806</v>
      </c>
      <c r="B26807" s="2" t="str">
        <f>IFERROR(__xludf.DUMMYFUNCTION("GOOGLETRANSLATE(A26807, ""de"", ""en"")"),"exposed")</f>
        <v>exposed</v>
      </c>
    </row>
    <row r="26808">
      <c r="A26808" s="1" t="s">
        <v>26807</v>
      </c>
      <c r="B26808" s="2" t="str">
        <f>IFERROR(__xludf.DUMMYFUNCTION("GOOGLETRANSLATE(A26808, ""de"", ""en"")"),"talia")</f>
        <v>talia</v>
      </c>
    </row>
    <row r="26809">
      <c r="A26809" s="1" t="s">
        <v>26808</v>
      </c>
      <c r="B26809" s="2" t="str">
        <f>IFERROR(__xludf.DUMMYFUNCTION("GOOGLETRANSLATE(A26809, ""de"", ""en"")"),"to introduce")</f>
        <v>to introduce</v>
      </c>
    </row>
    <row r="26810">
      <c r="A26810" s="1" t="s">
        <v>26809</v>
      </c>
      <c r="B26810" s="2" t="str">
        <f>IFERROR(__xludf.DUMMYFUNCTION("GOOGLETRANSLATE(A26810, ""de"", ""en"")"),"secrecy")</f>
        <v>secrecy</v>
      </c>
    </row>
    <row r="26811">
      <c r="A26811" s="1" t="s">
        <v>26810</v>
      </c>
      <c r="B26811" s="2" t="str">
        <f>IFERROR(__xludf.DUMMYFUNCTION("GOOGLETRANSLATE(A26811, ""de"", ""en"")"),"death row")</f>
        <v>death row</v>
      </c>
    </row>
    <row r="26812">
      <c r="A26812" s="1" t="s">
        <v>26811</v>
      </c>
      <c r="B26812" s="2" t="str">
        <f>IFERROR(__xludf.DUMMYFUNCTION("GOOGLETRANSLATE(A26812, ""de"", ""en"")"),"corvette")</f>
        <v>corvette</v>
      </c>
    </row>
    <row r="26813">
      <c r="A26813" s="1" t="s">
        <v>26812</v>
      </c>
      <c r="B26813" s="2" t="str">
        <f>IFERROR(__xludf.DUMMYFUNCTION("GOOGLETRANSLATE(A26813, ""de"", ""en"")"),"turned away")</f>
        <v>turned away</v>
      </c>
    </row>
    <row r="26814">
      <c r="A26814" s="1" t="s">
        <v>26813</v>
      </c>
      <c r="B26814" s="2" t="str">
        <f>IFERROR(__xludf.DUMMYFUNCTION("GOOGLETRANSLATE(A26814, ""de"", ""en"")"),"Moscow")</f>
        <v>Moscow</v>
      </c>
    </row>
    <row r="26815">
      <c r="A26815" s="1" t="s">
        <v>26814</v>
      </c>
      <c r="B26815" s="2" t="str">
        <f>IFERROR(__xludf.DUMMYFUNCTION("GOOGLETRANSLATE(A26815, ""de"", ""en"")"),"conor")</f>
        <v>conor</v>
      </c>
    </row>
    <row r="26816">
      <c r="A26816" s="1" t="s">
        <v>26815</v>
      </c>
      <c r="B26816" s="2" t="str">
        <f>IFERROR(__xludf.DUMMYFUNCTION("GOOGLETRANSLATE(A26816, ""de"", ""en"")"),"smooth")</f>
        <v>smooth</v>
      </c>
    </row>
    <row r="26817">
      <c r="A26817" s="1" t="s">
        <v>26816</v>
      </c>
      <c r="B26817" s="2" t="str">
        <f>IFERROR(__xludf.DUMMYFUNCTION("GOOGLETRANSLATE(A26817, ""de"", ""en"")"),"summarize")</f>
        <v>summarize</v>
      </c>
    </row>
    <row r="26818">
      <c r="A26818" s="1" t="s">
        <v>26817</v>
      </c>
      <c r="B26818" s="2" t="str">
        <f>IFERROR(__xludf.DUMMYFUNCTION("GOOGLETRANSLATE(A26818, ""de"", ""en"")"),"arya")</f>
        <v>arya</v>
      </c>
    </row>
    <row r="26819">
      <c r="A26819" s="1" t="s">
        <v>26818</v>
      </c>
      <c r="B26819" s="2" t="str">
        <f>IFERROR(__xludf.DUMMYFUNCTION("GOOGLETRANSLATE(A26819, ""de"", ""en"")"),"extras")</f>
        <v>extras</v>
      </c>
    </row>
    <row r="26820">
      <c r="A26820" s="1" t="s">
        <v>26819</v>
      </c>
      <c r="B26820" s="2" t="str">
        <f>IFERROR(__xludf.DUMMYFUNCTION("GOOGLETRANSLATE(A26820, ""de"", ""en"")"),"narrator")</f>
        <v>narrator</v>
      </c>
    </row>
    <row r="26821">
      <c r="A26821" s="1" t="s">
        <v>26820</v>
      </c>
      <c r="B26821" s="2" t="str">
        <f>IFERROR(__xludf.DUMMYFUNCTION("GOOGLETRANSLATE(A26821, ""de"", ""en"")"),"amnesty")</f>
        <v>amnesty</v>
      </c>
    </row>
    <row r="26822">
      <c r="A26822" s="1" t="s">
        <v>26821</v>
      </c>
      <c r="B26822" s="2" t="str">
        <f>IFERROR(__xludf.DUMMYFUNCTION("GOOGLETRANSLATE(A26822, ""de"", ""en"")"),"tubes")</f>
        <v>tubes</v>
      </c>
    </row>
    <row r="26823">
      <c r="A26823" s="1" t="s">
        <v>26822</v>
      </c>
      <c r="B26823" s="2" t="str">
        <f>IFERROR(__xludf.DUMMYFUNCTION("GOOGLETRANSLATE(A26823, ""de"", ""en"")"),"celebrated")</f>
        <v>celebrated</v>
      </c>
    </row>
    <row r="26824">
      <c r="A26824" s="1" t="s">
        <v>26823</v>
      </c>
      <c r="B26824" s="2" t="str">
        <f>IFERROR(__xludf.DUMMYFUNCTION("GOOGLETRANSLATE(A26824, ""de"", ""en"")"),"loving")</f>
        <v>loving</v>
      </c>
    </row>
    <row r="26825">
      <c r="A26825" s="1" t="s">
        <v>26824</v>
      </c>
      <c r="B26825" s="2" t="str">
        <f>IFERROR(__xludf.DUMMYFUNCTION("GOOGLETRANSLATE(A26825, ""de"", ""en"")"),"comforting")</f>
        <v>comforting</v>
      </c>
    </row>
    <row r="26826">
      <c r="A26826" s="1" t="s">
        <v>26825</v>
      </c>
      <c r="B26826" s="2" t="str">
        <f>IFERROR(__xludf.DUMMYFUNCTION("GOOGLETRANSLATE(A26826, ""de"", ""en"")"),"crippled")</f>
        <v>crippled</v>
      </c>
    </row>
    <row r="26827">
      <c r="A26827" s="1" t="s">
        <v>26826</v>
      </c>
      <c r="B26827" s="2" t="str">
        <f>IFERROR(__xludf.DUMMYFUNCTION("GOOGLETRANSLATE(A26827, ""de"", ""en"")"),"curb")</f>
        <v>curb</v>
      </c>
    </row>
    <row r="26828">
      <c r="A26828" s="1" t="s">
        <v>26827</v>
      </c>
      <c r="B26828" s="2" t="str">
        <f>IFERROR(__xludf.DUMMYFUNCTION("GOOGLETRANSLATE(A26828, ""de"", ""en"")"),"skol")</f>
        <v>skol</v>
      </c>
    </row>
    <row r="26829">
      <c r="A26829" s="1" t="s">
        <v>26828</v>
      </c>
      <c r="B26829" s="2" t="str">
        <f>IFERROR(__xludf.DUMMYFUNCTION("GOOGLETRANSLATE(A26829, ""de"", ""en"")"),"volleyball")</f>
        <v>volleyball</v>
      </c>
    </row>
    <row r="26830">
      <c r="A26830" s="1" t="s">
        <v>26829</v>
      </c>
      <c r="B26830" s="2" t="str">
        <f>IFERROR(__xludf.DUMMYFUNCTION("GOOGLETRANSLATE(A26830, ""de"", ""en"")"),"horror films")</f>
        <v>horror films</v>
      </c>
    </row>
    <row r="26831">
      <c r="A26831" s="1" t="s">
        <v>26830</v>
      </c>
      <c r="B26831" s="2" t="str">
        <f>IFERROR(__xludf.DUMMYFUNCTION("GOOGLETRANSLATE(A26831, ""de"", ""en"")"),"reported")</f>
        <v>reported</v>
      </c>
    </row>
    <row r="26832">
      <c r="A26832" s="1" t="s">
        <v>26831</v>
      </c>
      <c r="B26832" s="2" t="str">
        <f>IFERROR(__xludf.DUMMYFUNCTION("GOOGLETRANSLATE(A26832, ""de"", ""en"")"),"deepthought42")</f>
        <v>deepthought42</v>
      </c>
    </row>
    <row r="26833">
      <c r="A26833" s="1" t="s">
        <v>26832</v>
      </c>
      <c r="B26833" s="2" t="str">
        <f>IFERROR(__xludf.DUMMYFUNCTION("GOOGLETRANSLATE(A26833, ""de"", ""en"")"),"stampede")</f>
        <v>stampede</v>
      </c>
    </row>
    <row r="26834">
      <c r="A26834" s="1" t="s">
        <v>26833</v>
      </c>
      <c r="B26834" s="2" t="str">
        <f>IFERROR(__xludf.DUMMYFUNCTION("GOOGLETRANSLATE(A26834, ""de"", ""en"")"),"completed")</f>
        <v>completed</v>
      </c>
    </row>
    <row r="26835">
      <c r="A26835" s="1" t="s">
        <v>26834</v>
      </c>
      <c r="B26835" s="2" t="str">
        <f>IFERROR(__xludf.DUMMYFUNCTION("GOOGLETRANSLATE(A26835, ""de"", ""en"")"),"parsley")</f>
        <v>parsley</v>
      </c>
    </row>
    <row r="26836">
      <c r="A26836" s="1" t="s">
        <v>26835</v>
      </c>
      <c r="B26836" s="2" t="str">
        <f>IFERROR(__xludf.DUMMYFUNCTION("GOOGLETRANSLATE(A26836, ""de"", ""en"")"),"chocolate cake")</f>
        <v>chocolate cake</v>
      </c>
    </row>
    <row r="26837">
      <c r="A26837" s="1" t="s">
        <v>26836</v>
      </c>
      <c r="B26837" s="2" t="str">
        <f>IFERROR(__xludf.DUMMYFUNCTION("GOOGLETRANSLATE(A26837, ""de"", ""en"")"),"Mexican")</f>
        <v>Mexican</v>
      </c>
    </row>
    <row r="26838">
      <c r="A26838" s="1" t="s">
        <v>26837</v>
      </c>
      <c r="B26838" s="2" t="str">
        <f>IFERROR(__xludf.DUMMYFUNCTION("GOOGLETRANSLATE(A26838, ""de"", ""en"")"),"light up")</f>
        <v>light up</v>
      </c>
    </row>
    <row r="26839">
      <c r="A26839" s="1" t="s">
        <v>26838</v>
      </c>
      <c r="B26839" s="2" t="str">
        <f>IFERROR(__xludf.DUMMYFUNCTION("GOOGLETRANSLATE(A26839, ""de"", ""en"")"),"flock")</f>
        <v>flock</v>
      </c>
    </row>
    <row r="26840">
      <c r="A26840" s="1" t="s">
        <v>26839</v>
      </c>
      <c r="B26840" s="2" t="str">
        <f>IFERROR(__xludf.DUMMYFUNCTION("GOOGLETRANSLATE(A26840, ""de"", ""en"")"),"held")</f>
        <v>held</v>
      </c>
    </row>
    <row r="26841">
      <c r="A26841" s="1" t="s">
        <v>26840</v>
      </c>
      <c r="B26841" s="2" t="str">
        <f>IFERROR(__xludf.DUMMYFUNCTION("GOOGLETRANSLATE(A26841, ""de"", ""en"")"),"McCann")</f>
        <v>McCann</v>
      </c>
    </row>
    <row r="26842">
      <c r="A26842" s="1" t="s">
        <v>26841</v>
      </c>
      <c r="B26842" s="2" t="str">
        <f>IFERROR(__xludf.DUMMYFUNCTION("GOOGLETRANSLATE(A26842, ""de"", ""en"")"),"reinhold")</f>
        <v>reinhold</v>
      </c>
    </row>
    <row r="26843">
      <c r="A26843" s="1" t="s">
        <v>26842</v>
      </c>
      <c r="B26843" s="2" t="str">
        <f>IFERROR(__xludf.DUMMYFUNCTION("GOOGLETRANSLATE(A26843, ""de"", ""en"")"),"hit it")</f>
        <v>hit it</v>
      </c>
    </row>
    <row r="26844">
      <c r="A26844" s="1" t="s">
        <v>26843</v>
      </c>
      <c r="B26844" s="2" t="str">
        <f>IFERROR(__xludf.DUMMYFUNCTION("GOOGLETRANSLATE(A26844, ""de"", ""en"")"),"go out")</f>
        <v>go out</v>
      </c>
    </row>
    <row r="26845">
      <c r="A26845" s="1" t="s">
        <v>26844</v>
      </c>
      <c r="B26845" s="2" t="str">
        <f>IFERROR(__xludf.DUMMYFUNCTION("GOOGLETRANSLATE(A26845, ""de"", ""en"")"),"rob")</f>
        <v>rob</v>
      </c>
    </row>
    <row r="26846">
      <c r="A26846" s="1" t="s">
        <v>26845</v>
      </c>
      <c r="B26846" s="2" t="str">
        <f>IFERROR(__xludf.DUMMYFUNCTION("GOOGLETRANSLATE(A26846, ""de"", ""en"")"),"kree")</f>
        <v>kree</v>
      </c>
    </row>
    <row r="26847">
      <c r="A26847" s="1" t="s">
        <v>26846</v>
      </c>
      <c r="B26847" s="2" t="str">
        <f>IFERROR(__xludf.DUMMYFUNCTION("GOOGLETRANSLATE(A26847, ""de"", ""en"")"),"obeys")</f>
        <v>obeys</v>
      </c>
    </row>
    <row r="26848">
      <c r="A26848" s="1" t="s">
        <v>26847</v>
      </c>
      <c r="B26848" s="2" t="str">
        <f>IFERROR(__xludf.DUMMYFUNCTION("GOOGLETRANSLATE(A26848, ""de"", ""en"")"),"ventricular fibrillation")</f>
        <v>ventricular fibrillation</v>
      </c>
    </row>
    <row r="26849">
      <c r="A26849" s="1" t="s">
        <v>26848</v>
      </c>
      <c r="B26849" s="2" t="str">
        <f>IFERROR(__xludf.DUMMYFUNCTION("GOOGLETRANSLATE(A26849, ""de"", ""en"")"),"terrorist")</f>
        <v>terrorist</v>
      </c>
    </row>
    <row r="26850">
      <c r="A26850" s="1" t="s">
        <v>26849</v>
      </c>
      <c r="B26850" s="2" t="str">
        <f>IFERROR(__xludf.DUMMYFUNCTION("GOOGLETRANSLATE(A26850, ""de"", ""en"")"),"undertake")</f>
        <v>undertake</v>
      </c>
    </row>
    <row r="26851">
      <c r="A26851" s="1" t="s">
        <v>26850</v>
      </c>
      <c r="B26851" s="2" t="str">
        <f>IFERROR(__xludf.DUMMYFUNCTION("GOOGLETRANSLATE(A26851, ""de"", ""en"")"),"crossed")</f>
        <v>crossed</v>
      </c>
    </row>
    <row r="26852">
      <c r="A26852" s="1" t="s">
        <v>26851</v>
      </c>
      <c r="B26852" s="2" t="str">
        <f>IFERROR(__xludf.DUMMYFUNCTION("GOOGLETRANSLATE(A26852, ""de"", ""en"")"),"hyena")</f>
        <v>hyena</v>
      </c>
    </row>
    <row r="26853">
      <c r="A26853" s="1" t="s">
        <v>26852</v>
      </c>
      <c r="B26853" s="2" t="str">
        <f>IFERROR(__xludf.DUMMYFUNCTION("GOOGLETRANSLATE(A26853, ""de"", ""en"")"),"gave up")</f>
        <v>gave up</v>
      </c>
    </row>
    <row r="26854">
      <c r="A26854" s="1" t="s">
        <v>26853</v>
      </c>
      <c r="B26854" s="2" t="str">
        <f>IFERROR(__xludf.DUMMYFUNCTION("GOOGLETRANSLATE(A26854, ""de"", ""en"")"),"favors")</f>
        <v>favors</v>
      </c>
    </row>
    <row r="26855">
      <c r="A26855" s="1" t="s">
        <v>26854</v>
      </c>
      <c r="B26855" s="2" t="str">
        <f>IFERROR(__xludf.DUMMYFUNCTION("GOOGLETRANSLATE(A26855, ""de"", ""en"")"),"mutated")</f>
        <v>mutated</v>
      </c>
    </row>
    <row r="26856">
      <c r="A26856" s="1" t="s">
        <v>26855</v>
      </c>
      <c r="B26856" s="2" t="str">
        <f>IFERROR(__xludf.DUMMYFUNCTION("GOOGLETRANSLATE(A26856, ""de"", ""en"")"),"peoples")</f>
        <v>peoples</v>
      </c>
    </row>
    <row r="26857">
      <c r="A26857" s="1" t="s">
        <v>26856</v>
      </c>
      <c r="B26857" s="2" t="str">
        <f>IFERROR(__xludf.DUMMYFUNCTION("GOOGLETRANSLATE(A26857, ""de"", ""en"")"),"pittman")</f>
        <v>pittman</v>
      </c>
    </row>
    <row r="26858">
      <c r="A26858" s="1" t="s">
        <v>26857</v>
      </c>
      <c r="B26858" s="2" t="str">
        <f>IFERROR(__xludf.DUMMYFUNCTION("GOOGLETRANSLATE(A26858, ""de"", ""en"")"),"stubbs")</f>
        <v>stubbs</v>
      </c>
    </row>
    <row r="26859">
      <c r="A26859" s="1" t="s">
        <v>26858</v>
      </c>
      <c r="B26859" s="2" t="str">
        <f>IFERROR(__xludf.DUMMYFUNCTION("GOOGLETRANSLATE(A26859, ""de"", ""en"")"),"jenny")</f>
        <v>jenny</v>
      </c>
    </row>
    <row r="26860">
      <c r="A26860" s="1" t="s">
        <v>26859</v>
      </c>
      <c r="B26860" s="2" t="str">
        <f>IFERROR(__xludf.DUMMYFUNCTION("GOOGLETRANSLATE(A26860, ""de"", ""en"")"),"on the part")</f>
        <v>on the part</v>
      </c>
    </row>
    <row r="26861">
      <c r="A26861" s="1" t="s">
        <v>26860</v>
      </c>
      <c r="B26861" s="2" t="str">
        <f>IFERROR(__xludf.DUMMYFUNCTION("GOOGLETRANSLATE(A26861, ""de"", ""en"")"),"defeat")</f>
        <v>defeat</v>
      </c>
    </row>
    <row r="26862">
      <c r="A26862" s="1" t="s">
        <v>26861</v>
      </c>
      <c r="B26862" s="2" t="str">
        <f>IFERROR(__xludf.DUMMYFUNCTION("GOOGLETRANSLATE(A26862, ""de"", ""en"")"),"broker")</f>
        <v>broker</v>
      </c>
    </row>
    <row r="26863">
      <c r="A26863" s="1" t="s">
        <v>26862</v>
      </c>
      <c r="B26863" s="2" t="str">
        <f>IFERROR(__xludf.DUMMYFUNCTION("GOOGLETRANSLATE(A26863, ""de"", ""en"")"),"trembled")</f>
        <v>trembled</v>
      </c>
    </row>
    <row r="26864">
      <c r="A26864" s="1" t="s">
        <v>26863</v>
      </c>
      <c r="B26864" s="2" t="str">
        <f>IFERROR(__xludf.DUMMYFUNCTION("GOOGLETRANSLATE(A26864, ""de"", ""en"")"),"svetlana")</f>
        <v>svetlana</v>
      </c>
    </row>
    <row r="26865">
      <c r="A26865" s="1" t="s">
        <v>26864</v>
      </c>
      <c r="B26865" s="2" t="str">
        <f>IFERROR(__xludf.DUMMYFUNCTION("GOOGLETRANSLATE(A26865, ""de"", ""en"")"),"Josephine")</f>
        <v>Josephine</v>
      </c>
    </row>
    <row r="26866">
      <c r="A26866" s="1" t="s">
        <v>26865</v>
      </c>
      <c r="B26866" s="2" t="str">
        <f>IFERROR(__xludf.DUMMYFUNCTION("GOOGLETRANSLATE(A26866, ""de"", ""en"")"),"Collin")</f>
        <v>Collin</v>
      </c>
    </row>
    <row r="26867">
      <c r="A26867" s="1" t="s">
        <v>26866</v>
      </c>
      <c r="B26867" s="2" t="str">
        <f>IFERROR(__xludf.DUMMYFUNCTION("GOOGLETRANSLATE(A26867, ""de"", ""en"")"),"achieved")</f>
        <v>achieved</v>
      </c>
    </row>
    <row r="26868">
      <c r="A26868" s="1" t="s">
        <v>26867</v>
      </c>
      <c r="B26868" s="2" t="str">
        <f>IFERROR(__xludf.DUMMYFUNCTION("GOOGLETRANSLATE(A26868, ""de"", ""en"")"),"unrealistic")</f>
        <v>unrealistic</v>
      </c>
    </row>
    <row r="26869">
      <c r="A26869" s="1" t="s">
        <v>26868</v>
      </c>
      <c r="B26869" s="2" t="str">
        <f>IFERROR(__xludf.DUMMYFUNCTION("GOOGLETRANSLATE(A26869, ""de"", ""en"")"),"stopover")</f>
        <v>stopover</v>
      </c>
    </row>
    <row r="26870">
      <c r="A26870" s="1" t="s">
        <v>26869</v>
      </c>
      <c r="B26870" s="2" t="str">
        <f>IFERROR(__xludf.DUMMYFUNCTION("GOOGLETRANSLATE(A26870, ""de"", ""en"")"),"fasten")</f>
        <v>fasten</v>
      </c>
    </row>
    <row r="26871">
      <c r="A26871" s="1" t="s">
        <v>26870</v>
      </c>
      <c r="B26871" s="2" t="str">
        <f>IFERROR(__xludf.DUMMYFUNCTION("GOOGLETRANSLATE(A26871, ""de"", ""en"")"),"malin")</f>
        <v>malin</v>
      </c>
    </row>
    <row r="26872">
      <c r="A26872" s="1" t="s">
        <v>26871</v>
      </c>
      <c r="B26872" s="2" t="str">
        <f>IFERROR(__xludf.DUMMYFUNCTION("GOOGLETRANSLATE(A26872, ""de"", ""en"")"),"selim")</f>
        <v>selim</v>
      </c>
    </row>
    <row r="26873">
      <c r="A26873" s="1" t="s">
        <v>26872</v>
      </c>
      <c r="B26873" s="2" t="str">
        <f>IFERROR(__xludf.DUMMYFUNCTION("GOOGLETRANSLATE(A26873, ""de"", ""en"")"),"paid in")</f>
        <v>paid in</v>
      </c>
    </row>
    <row r="26874">
      <c r="A26874" s="1" t="s">
        <v>26873</v>
      </c>
      <c r="B26874" s="2" t="str">
        <f>IFERROR(__xludf.DUMMYFUNCTION("GOOGLETRANSLATE(A26874, ""de"", ""en"")"),"mitsuko")</f>
        <v>mitsuko</v>
      </c>
    </row>
    <row r="26875">
      <c r="A26875" s="1" t="s">
        <v>26874</v>
      </c>
      <c r="B26875" s="2" t="str">
        <f>IFERROR(__xludf.DUMMYFUNCTION("GOOGLETRANSLATE(A26875, ""de"", ""en"")"),"separate")</f>
        <v>separate</v>
      </c>
    </row>
    <row r="26876">
      <c r="A26876" s="1" t="s">
        <v>26875</v>
      </c>
      <c r="B26876" s="2" t="str">
        <f>IFERROR(__xludf.DUMMYFUNCTION("GOOGLETRANSLATE(A26876, ""de"", ""en"")"),"evening school")</f>
        <v>evening school</v>
      </c>
    </row>
    <row r="26877">
      <c r="A26877" s="1" t="s">
        <v>26876</v>
      </c>
      <c r="B26877" s="2" t="str">
        <f>IFERROR(__xludf.DUMMYFUNCTION("GOOGLETRANSLATE(A26877, ""de"", ""en"")"),"paranoia")</f>
        <v>paranoia</v>
      </c>
    </row>
    <row r="26878">
      <c r="A26878" s="1" t="s">
        <v>26877</v>
      </c>
      <c r="B26878" s="2" t="str">
        <f>IFERROR(__xludf.DUMMYFUNCTION("GOOGLETRANSLATE(A26878, ""de"", ""en"")"),"state of mind")</f>
        <v>state of mind</v>
      </c>
    </row>
    <row r="26879">
      <c r="A26879" s="1" t="s">
        <v>26878</v>
      </c>
      <c r="B26879" s="2" t="str">
        <f>IFERROR(__xludf.DUMMYFUNCTION("GOOGLETRANSLATE(A26879, ""de"", ""en"")"),"concentration camp")</f>
        <v>concentration camp</v>
      </c>
    </row>
    <row r="26880">
      <c r="A26880" s="1" t="s">
        <v>26879</v>
      </c>
      <c r="B26880" s="2" t="str">
        <f>IFERROR(__xludf.DUMMYFUNCTION("GOOGLETRANSLATE(A26880, ""de"", ""en"")"),"blueberries")</f>
        <v>blueberries</v>
      </c>
    </row>
    <row r="26881">
      <c r="A26881" s="1" t="s">
        <v>26880</v>
      </c>
      <c r="B26881" s="2" t="str">
        <f>IFERROR(__xludf.DUMMYFUNCTION("GOOGLETRANSLATE(A26881, ""de"", ""en"")"),"incidents")</f>
        <v>incidents</v>
      </c>
    </row>
    <row r="26882">
      <c r="A26882" s="1" t="s">
        <v>26881</v>
      </c>
      <c r="B26882" s="2" t="str">
        <f>IFERROR(__xludf.DUMMYFUNCTION("GOOGLETRANSLATE(A26882, ""de"", ""en"")"),"purple")</f>
        <v>purple</v>
      </c>
    </row>
    <row r="26883">
      <c r="A26883" s="1" t="s">
        <v>26882</v>
      </c>
      <c r="B26883" s="2" t="str">
        <f>IFERROR(__xludf.DUMMYFUNCTION("GOOGLETRANSLATE(A26883, ""de"", ""en"")"),"piss")</f>
        <v>piss</v>
      </c>
    </row>
    <row r="26884">
      <c r="A26884" s="1" t="s">
        <v>26883</v>
      </c>
      <c r="B26884" s="2" t="str">
        <f>IFERROR(__xludf.DUMMYFUNCTION("GOOGLETRANSLATE(A26884, ""de"", ""en"")"),"crucifix")</f>
        <v>crucifix</v>
      </c>
    </row>
    <row r="26885">
      <c r="A26885" s="1" t="s">
        <v>26884</v>
      </c>
      <c r="B26885" s="2" t="str">
        <f>IFERROR(__xludf.DUMMYFUNCTION("GOOGLETRANSLATE(A26885, ""de"", ""en"")"),"bras")</f>
        <v>bras</v>
      </c>
    </row>
    <row r="26886">
      <c r="A26886" s="1" t="s">
        <v>26885</v>
      </c>
      <c r="B26886" s="2" t="str">
        <f>IFERROR(__xludf.DUMMYFUNCTION("GOOGLETRANSLATE(A26886, ""de"", ""en"")"),"counted")</f>
        <v>counted</v>
      </c>
    </row>
    <row r="26887">
      <c r="A26887" s="1" t="s">
        <v>26886</v>
      </c>
      <c r="B26887" s="2" t="str">
        <f>IFERROR(__xludf.DUMMYFUNCTION("GOOGLETRANSLATE(A26887, ""de"", ""en"")"),"Kenna")</f>
        <v>Kenna</v>
      </c>
    </row>
    <row r="26888">
      <c r="A26888" s="1" t="s">
        <v>26887</v>
      </c>
      <c r="B26888" s="2" t="str">
        <f>IFERROR(__xludf.DUMMYFUNCTION("GOOGLETRANSLATE(A26888, ""de"", ""en"")"),"desk")</f>
        <v>desk</v>
      </c>
    </row>
    <row r="26889">
      <c r="A26889" s="1" t="s">
        <v>26888</v>
      </c>
      <c r="B26889" s="2" t="str">
        <f>IFERROR(__xludf.DUMMYFUNCTION("GOOGLETRANSLATE(A26889, ""de"", ""en"")"),"supplied")</f>
        <v>supplied</v>
      </c>
    </row>
    <row r="26890">
      <c r="A26890" s="1" t="s">
        <v>26889</v>
      </c>
      <c r="B26890" s="2" t="str">
        <f>IFERROR(__xludf.DUMMYFUNCTION("GOOGLETRANSLATE(A26890, ""de"", ""en"")"),"offer")</f>
        <v>offer</v>
      </c>
    </row>
    <row r="26891">
      <c r="A26891" s="1" t="s">
        <v>26890</v>
      </c>
      <c r="B26891" s="2" t="str">
        <f>IFERROR(__xludf.DUMMYFUNCTION("GOOGLETRANSLATE(A26891, ""de"", ""en"")"),"kolya")</f>
        <v>kolya</v>
      </c>
    </row>
    <row r="26892">
      <c r="A26892" s="1" t="s">
        <v>26891</v>
      </c>
      <c r="B26892" s="2" t="str">
        <f>IFERROR(__xludf.DUMMYFUNCTION("GOOGLETRANSLATE(A26892, ""de"", ""en"")"),"crook")</f>
        <v>crook</v>
      </c>
    </row>
    <row r="26893">
      <c r="A26893" s="1" t="s">
        <v>26892</v>
      </c>
      <c r="B26893" s="2" t="str">
        <f>IFERROR(__xludf.DUMMYFUNCTION("GOOGLETRANSLATE(A26893, ""de"", ""en"")"),"good")</f>
        <v>good</v>
      </c>
    </row>
    <row r="26894">
      <c r="A26894" s="1" t="s">
        <v>26893</v>
      </c>
      <c r="B26894" s="2" t="str">
        <f>IFERROR(__xludf.DUMMYFUNCTION("GOOGLETRANSLATE(A26894, ""de"", ""en"")"),"provided")</f>
        <v>provided</v>
      </c>
    </row>
    <row r="26895">
      <c r="A26895" s="1" t="s">
        <v>26894</v>
      </c>
      <c r="B26895" s="2" t="str">
        <f>IFERROR(__xludf.DUMMYFUNCTION("GOOGLETRANSLATE(A26895, ""de"", ""en"")"),"crushed")</f>
        <v>crushed</v>
      </c>
    </row>
    <row r="26896">
      <c r="A26896" s="1" t="s">
        <v>26895</v>
      </c>
      <c r="B26896" s="2" t="str">
        <f>IFERROR(__xludf.DUMMYFUNCTION("GOOGLETRANSLATE(A26896, ""de"", ""en"")"),"prison cell")</f>
        <v>prison cell</v>
      </c>
    </row>
    <row r="26897">
      <c r="A26897" s="1" t="s">
        <v>26896</v>
      </c>
      <c r="B26897" s="2" t="str">
        <f>IFERROR(__xludf.DUMMYFUNCTION("GOOGLETRANSLATE(A26897, ""de"", ""en"")"),"encouraging")</f>
        <v>encouraging</v>
      </c>
    </row>
    <row r="26898">
      <c r="A26898" s="1" t="s">
        <v>26897</v>
      </c>
      <c r="B26898" s="2" t="str">
        <f>IFERROR(__xludf.DUMMYFUNCTION("GOOGLETRANSLATE(A26898, ""de"", ""en"")"),"criminal record")</f>
        <v>criminal record</v>
      </c>
    </row>
    <row r="26899">
      <c r="A26899" s="1" t="s">
        <v>26898</v>
      </c>
      <c r="B26899" s="2" t="str">
        <f>IFERROR(__xludf.DUMMYFUNCTION("GOOGLETRANSLATE(A26899, ""de"", ""en"")"),"birdie")</f>
        <v>birdie</v>
      </c>
    </row>
    <row r="26900">
      <c r="A26900" s="1" t="s">
        <v>26899</v>
      </c>
      <c r="B26900" s="2" t="str">
        <f>IFERROR(__xludf.DUMMYFUNCTION("GOOGLETRANSLATE(A26900, ""de"", ""en"")"),"vincents")</f>
        <v>vincents</v>
      </c>
    </row>
    <row r="26901">
      <c r="A26901" s="1" t="s">
        <v>26900</v>
      </c>
      <c r="B26901" s="2" t="str">
        <f>IFERROR(__xludf.DUMMYFUNCTION("GOOGLETRANSLATE(A26901, ""de"", ""en"")"),"lack")</f>
        <v>lack</v>
      </c>
    </row>
    <row r="26902">
      <c r="A26902" s="1" t="s">
        <v>26901</v>
      </c>
      <c r="B26902" s="2" t="str">
        <f>IFERROR(__xludf.DUMMYFUNCTION("GOOGLETRANSLATE(A26902, ""de"", ""en"")"),"keep quiet")</f>
        <v>keep quiet</v>
      </c>
    </row>
    <row r="26903">
      <c r="A26903" s="1" t="s">
        <v>26902</v>
      </c>
      <c r="B26903" s="2" t="str">
        <f>IFERROR(__xludf.DUMMYFUNCTION("GOOGLETRANSLATE(A26903, ""de"", ""en"")"),"ditty")</f>
        <v>ditty</v>
      </c>
    </row>
    <row r="26904">
      <c r="A26904" s="1" t="s">
        <v>26903</v>
      </c>
      <c r="B26904" s="2" t="str">
        <f>IFERROR(__xludf.DUMMYFUNCTION("GOOGLETRANSLATE(A26904, ""de"", ""en"")"),"winchesters")</f>
        <v>winchesters</v>
      </c>
    </row>
    <row r="26905">
      <c r="A26905" s="1" t="s">
        <v>26904</v>
      </c>
      <c r="B26905" s="2" t="str">
        <f>IFERROR(__xludf.DUMMYFUNCTION("GOOGLETRANSLATE(A26905, ""de"", ""en"")"),"do your hair")</f>
        <v>do your hair</v>
      </c>
    </row>
    <row r="26906">
      <c r="A26906" s="1" t="s">
        <v>26905</v>
      </c>
      <c r="B26906" s="2" t="str">
        <f>IFERROR(__xludf.DUMMYFUNCTION("GOOGLETRANSLATE(A26906, ""de"", ""en"")"),"accelerator")</f>
        <v>accelerator</v>
      </c>
    </row>
    <row r="26907">
      <c r="A26907" s="1" t="s">
        <v>26906</v>
      </c>
      <c r="B26907" s="2" t="str">
        <f>IFERROR(__xludf.DUMMYFUNCTION("GOOGLETRANSLATE(A26907, ""de"", ""en"")"),"little fish")</f>
        <v>little fish</v>
      </c>
    </row>
    <row r="26908">
      <c r="A26908" s="1" t="s">
        <v>26907</v>
      </c>
      <c r="B26908" s="2" t="str">
        <f>IFERROR(__xludf.DUMMYFUNCTION("GOOGLETRANSLATE(A26908, ""de"", ""en"")"),"training")</f>
        <v>training</v>
      </c>
    </row>
    <row r="26909">
      <c r="A26909" s="1" t="s">
        <v>26908</v>
      </c>
      <c r="B26909" s="2" t="str">
        <f>IFERROR(__xludf.DUMMYFUNCTION("GOOGLETRANSLATE(A26909, ""de"", ""en"")"),"penicillin")</f>
        <v>penicillin</v>
      </c>
    </row>
    <row r="26910">
      <c r="A26910" s="1" t="s">
        <v>26909</v>
      </c>
      <c r="B26910" s="2" t="str">
        <f>IFERROR(__xludf.DUMMYFUNCTION("GOOGLETRANSLATE(A26910, ""de"", ""en"")"),"sometimes")</f>
        <v>sometimes</v>
      </c>
    </row>
    <row r="26911">
      <c r="A26911" s="1" t="s">
        <v>26910</v>
      </c>
      <c r="B26911" s="2" t="str">
        <f>IFERROR(__xludf.DUMMYFUNCTION("GOOGLETRANSLATE(A26911, ""de"", ""en"")"),"figuratively")</f>
        <v>figuratively</v>
      </c>
    </row>
    <row r="26912">
      <c r="A26912" s="1" t="s">
        <v>26911</v>
      </c>
      <c r="B26912" s="2" t="str">
        <f>IFERROR(__xludf.DUMMYFUNCTION("GOOGLETRANSLATE(A26912, ""de"", ""en"")"),"workers")</f>
        <v>workers</v>
      </c>
    </row>
    <row r="26913">
      <c r="A26913" s="1" t="s">
        <v>26912</v>
      </c>
      <c r="B26913" s="2" t="str">
        <f>IFERROR(__xludf.DUMMYFUNCTION("GOOGLETRANSLATE(A26913, ""de"", ""en"")"),"finder's reward")</f>
        <v>finder's reward</v>
      </c>
    </row>
    <row r="26914">
      <c r="A26914" s="1" t="s">
        <v>26913</v>
      </c>
      <c r="B26914" s="2" t="str">
        <f>IFERROR(__xludf.DUMMYFUNCTION("GOOGLETRANSLATE(A26914, ""de"", ""en"")"),"anni")</f>
        <v>anni</v>
      </c>
    </row>
    <row r="26915">
      <c r="A26915" s="1" t="s">
        <v>26914</v>
      </c>
      <c r="B26915" s="2" t="str">
        <f>IFERROR(__xludf.DUMMYFUNCTION("GOOGLETRANSLATE(A26915, ""de"", ""en"")"),"gendarmerie")</f>
        <v>gendarmerie</v>
      </c>
    </row>
    <row r="26916">
      <c r="A26916" s="1" t="s">
        <v>26915</v>
      </c>
      <c r="B26916" s="2" t="str">
        <f>IFERROR(__xludf.DUMMYFUNCTION("GOOGLETRANSLATE(A26916, ""de"", ""en"")"),"moves")</f>
        <v>moves</v>
      </c>
    </row>
    <row r="26917">
      <c r="A26917" s="1" t="s">
        <v>26916</v>
      </c>
      <c r="B26917" s="2" t="str">
        <f>IFERROR(__xludf.DUMMYFUNCTION("GOOGLETRANSLATE(A26917, ""de"", ""en"")"),"incision")</f>
        <v>incision</v>
      </c>
    </row>
    <row r="26918">
      <c r="A26918" s="1" t="s">
        <v>26917</v>
      </c>
      <c r="B26918" s="2" t="str">
        <f>IFERROR(__xludf.DUMMYFUNCTION("GOOGLETRANSLATE(A26918, ""de"", ""en"")"),"saves")</f>
        <v>saves</v>
      </c>
    </row>
    <row r="26919">
      <c r="A26919" s="1" t="s">
        <v>26918</v>
      </c>
      <c r="B26919" s="2" t="str">
        <f>IFERROR(__xludf.DUMMYFUNCTION("GOOGLETRANSLATE(A26919, ""de"", ""en"")"),"succumb")</f>
        <v>succumb</v>
      </c>
    </row>
    <row r="26920">
      <c r="A26920" s="1" t="s">
        <v>26919</v>
      </c>
      <c r="B26920" s="2" t="str">
        <f>IFERROR(__xludf.DUMMYFUNCTION("GOOGLETRANSLATE(A26920, ""de"", ""en"")"),"jealous ones")</f>
        <v>jealous ones</v>
      </c>
    </row>
    <row r="26921">
      <c r="A26921" s="1" t="s">
        <v>26920</v>
      </c>
      <c r="B26921" s="2" t="str">
        <f>IFERROR(__xludf.DUMMYFUNCTION("GOOGLETRANSLATE(A26921, ""de"", ""en"")"),"aria")</f>
        <v>aria</v>
      </c>
    </row>
    <row r="26922">
      <c r="A26922" s="1" t="s">
        <v>26921</v>
      </c>
      <c r="B26922" s="2" t="str">
        <f>IFERROR(__xludf.DUMMYFUNCTION("GOOGLETRANSLATE(A26922, ""de"", ""en"")"),"murderous")</f>
        <v>murderous</v>
      </c>
    </row>
    <row r="26923">
      <c r="A26923" s="1" t="s">
        <v>26922</v>
      </c>
      <c r="B26923" s="2" t="str">
        <f>IFERROR(__xludf.DUMMYFUNCTION("GOOGLETRANSLATE(A26923, ""de"", ""en"")"),"niche")</f>
        <v>niche</v>
      </c>
    </row>
    <row r="26924">
      <c r="A26924" s="1" t="s">
        <v>26923</v>
      </c>
      <c r="B26924" s="2" t="str">
        <f>IFERROR(__xludf.DUMMYFUNCTION("GOOGLETRANSLATE(A26924, ""de"", ""en"")"),"sucre")</f>
        <v>sucre</v>
      </c>
    </row>
    <row r="26925">
      <c r="A26925" s="1" t="s">
        <v>26924</v>
      </c>
      <c r="B26925" s="2" t="str">
        <f>IFERROR(__xludf.DUMMYFUNCTION("GOOGLETRANSLATE(A26925, ""de"", ""en"")"),"mckenna")</f>
        <v>mckenna</v>
      </c>
    </row>
    <row r="26926">
      <c r="A26926" s="1" t="s">
        <v>26925</v>
      </c>
      <c r="B26926" s="2" t="str">
        <f>IFERROR(__xludf.DUMMYFUNCTION("GOOGLETRANSLATE(A26926, ""de"", ""en"")"),"prescribed")</f>
        <v>prescribed</v>
      </c>
    </row>
    <row r="26927">
      <c r="A26927" s="1" t="s">
        <v>26926</v>
      </c>
      <c r="B26927" s="2" t="str">
        <f>IFERROR(__xludf.DUMMYFUNCTION("GOOGLETRANSLATE(A26927, ""de"", ""en"")"),"minerals")</f>
        <v>minerals</v>
      </c>
    </row>
    <row r="26928">
      <c r="A26928" s="1" t="s">
        <v>26927</v>
      </c>
      <c r="B26928" s="2" t="str">
        <f>IFERROR(__xludf.DUMMYFUNCTION("GOOGLETRANSLATE(A26928, ""de"", ""en"")"),"inserts")</f>
        <v>inserts</v>
      </c>
    </row>
    <row r="26929">
      <c r="A26929" s="1" t="s">
        <v>26928</v>
      </c>
      <c r="B26929" s="2" t="str">
        <f>IFERROR(__xludf.DUMMYFUNCTION("GOOGLETRANSLATE(A26929, ""de"", ""en"")"),"mulligan")</f>
        <v>mulligan</v>
      </c>
    </row>
    <row r="26930">
      <c r="A26930" s="1" t="s">
        <v>26929</v>
      </c>
      <c r="B26930" s="2" t="str">
        <f>IFERROR(__xludf.DUMMYFUNCTION("GOOGLETRANSLATE(A26930, ""de"", ""en"")"),"Guantanamo")</f>
        <v>Guantanamo</v>
      </c>
    </row>
    <row r="26931">
      <c r="A26931" s="1" t="s">
        <v>26930</v>
      </c>
      <c r="B26931" s="2" t="str">
        <f>IFERROR(__xludf.DUMMYFUNCTION("GOOGLETRANSLATE(A26931, ""de"", ""en"")"),"exercised")</f>
        <v>exercised</v>
      </c>
    </row>
    <row r="26932">
      <c r="A26932" s="1" t="s">
        <v>26931</v>
      </c>
      <c r="B26932" s="2" t="str">
        <f>IFERROR(__xludf.DUMMYFUNCTION("GOOGLETRANSLATE(A26932, ""de"", ""en"")"),"combinations")</f>
        <v>combinations</v>
      </c>
    </row>
    <row r="26933">
      <c r="A26933" s="1" t="s">
        <v>26932</v>
      </c>
      <c r="B26933" s="2" t="str">
        <f>IFERROR(__xludf.DUMMYFUNCTION("GOOGLETRANSLATE(A26933, ""de"", ""en"")"),"performance")</f>
        <v>performance</v>
      </c>
    </row>
    <row r="26934">
      <c r="A26934" s="1" t="s">
        <v>26933</v>
      </c>
      <c r="B26934" s="2" t="str">
        <f>IFERROR(__xludf.DUMMYFUNCTION("GOOGLETRANSLATE(A26934, ""de"", ""en"")"),"takashi")</f>
        <v>takashi</v>
      </c>
    </row>
    <row r="26935">
      <c r="A26935" s="1" t="s">
        <v>26934</v>
      </c>
      <c r="B26935" s="2" t="str">
        <f>IFERROR(__xludf.DUMMYFUNCTION("GOOGLETRANSLATE(A26935, ""de"", ""en"")"),"guess")</f>
        <v>guess</v>
      </c>
    </row>
    <row r="26936">
      <c r="A26936" s="1" t="s">
        <v>26935</v>
      </c>
      <c r="B26936" s="2" t="str">
        <f>IFERROR(__xludf.DUMMYFUNCTION("GOOGLETRANSLATE(A26936, ""de"", ""en"")"),"garbage dump")</f>
        <v>garbage dump</v>
      </c>
    </row>
    <row r="26937">
      <c r="A26937" s="1" t="s">
        <v>26936</v>
      </c>
      <c r="B26937" s="2" t="str">
        <f>IFERROR(__xludf.DUMMYFUNCTION("GOOGLETRANSLATE(A26937, ""de"", ""en"")"),"wise")</f>
        <v>wise</v>
      </c>
    </row>
    <row r="26938">
      <c r="A26938" s="1" t="s">
        <v>26937</v>
      </c>
      <c r="B26938" s="2" t="str">
        <f>IFERROR(__xludf.DUMMYFUNCTION("GOOGLETRANSLATE(A26938, ""de"", ""en"")"),"field of fire")</f>
        <v>field of fire</v>
      </c>
    </row>
    <row r="26939">
      <c r="A26939" s="1" t="s">
        <v>26938</v>
      </c>
      <c r="B26939" s="2" t="str">
        <f>IFERROR(__xludf.DUMMYFUNCTION("GOOGLETRANSLATE(A26939, ""de"", ""en"")"),"go away")</f>
        <v>go away</v>
      </c>
    </row>
    <row r="26940">
      <c r="A26940" s="1" t="s">
        <v>26939</v>
      </c>
      <c r="B26940" s="2" t="str">
        <f>IFERROR(__xludf.DUMMYFUNCTION("GOOGLETRANSLATE(A26940, ""de"", ""en"")"),"connolly")</f>
        <v>connolly</v>
      </c>
    </row>
    <row r="26941">
      <c r="A26941" s="1" t="s">
        <v>26940</v>
      </c>
      <c r="B26941" s="2" t="str">
        <f>IFERROR(__xludf.DUMMYFUNCTION("GOOGLETRANSLATE(A26941, ""de"", ""en"")"),"cosmic")</f>
        <v>cosmic</v>
      </c>
    </row>
    <row r="26942">
      <c r="A26942" s="1" t="s">
        <v>26941</v>
      </c>
      <c r="B26942" s="2" t="str">
        <f>IFERROR(__xludf.DUMMYFUNCTION("GOOGLETRANSLATE(A26942, ""de"", ""en"")"),"inspected")</f>
        <v>inspected</v>
      </c>
    </row>
    <row r="26943">
      <c r="A26943" s="1" t="s">
        <v>26942</v>
      </c>
      <c r="B26943" s="2" t="str">
        <f>IFERROR(__xludf.DUMMYFUNCTION("GOOGLETRANSLATE(A26943, ""de"", ""en"")"),"groupies")</f>
        <v>groupies</v>
      </c>
    </row>
    <row r="26944">
      <c r="A26944" s="1" t="s">
        <v>26943</v>
      </c>
      <c r="B26944" s="2" t="str">
        <f>IFERROR(__xludf.DUMMYFUNCTION("GOOGLETRANSLATE(A26944, ""de"", ""en"")"),"civil")</f>
        <v>civil</v>
      </c>
    </row>
    <row r="26945">
      <c r="A26945" s="1" t="s">
        <v>26944</v>
      </c>
      <c r="B26945" s="2" t="str">
        <f>IFERROR(__xludf.DUMMYFUNCTION("GOOGLETRANSLATE(A26945, ""de"", ""en"")"),"automatic")</f>
        <v>automatic</v>
      </c>
    </row>
    <row r="26946">
      <c r="A26946" s="1" t="s">
        <v>26945</v>
      </c>
      <c r="B26946" s="2" t="str">
        <f>IFERROR(__xludf.DUMMYFUNCTION("GOOGLETRANSLATE(A26946, ""de"", ""en"")"),"crew members")</f>
        <v>crew members</v>
      </c>
    </row>
    <row r="26947">
      <c r="A26947" s="1" t="s">
        <v>26946</v>
      </c>
      <c r="B26947" s="2" t="str">
        <f>IFERROR(__xludf.DUMMYFUNCTION("GOOGLETRANSLATE(A26947, ""de"", ""en"")"),"parties")</f>
        <v>parties</v>
      </c>
    </row>
    <row r="26948">
      <c r="A26948" s="1" t="s">
        <v>26947</v>
      </c>
      <c r="B26948" s="2" t="str">
        <f>IFERROR(__xludf.DUMMYFUNCTION("GOOGLETRANSLATE(A26948, ""de"", ""en"")"),"30s")</f>
        <v>30s</v>
      </c>
    </row>
    <row r="26949">
      <c r="A26949" s="1" t="s">
        <v>26948</v>
      </c>
      <c r="B26949" s="2" t="str">
        <f>IFERROR(__xludf.DUMMYFUNCTION("GOOGLETRANSLATE(A26949, ""de"", ""en"")"),"chateau")</f>
        <v>chateau</v>
      </c>
    </row>
    <row r="26950">
      <c r="A26950" s="1" t="s">
        <v>26949</v>
      </c>
      <c r="B26950" s="2" t="str">
        <f>IFERROR(__xludf.DUMMYFUNCTION("GOOGLETRANSLATE(A26950, ""de"", ""en"")"),"arif")</f>
        <v>arif</v>
      </c>
    </row>
    <row r="26951">
      <c r="A26951" s="1" t="s">
        <v>26950</v>
      </c>
      <c r="B26951" s="2" t="str">
        <f>IFERROR(__xludf.DUMMYFUNCTION("GOOGLETRANSLATE(A26951, ""de"", ""en"")"),"Gilda")</f>
        <v>Gilda</v>
      </c>
    </row>
    <row r="26952">
      <c r="A26952" s="1" t="s">
        <v>26951</v>
      </c>
      <c r="B26952" s="2" t="str">
        <f>IFERROR(__xludf.DUMMYFUNCTION("GOOGLETRANSLATE(A26952, ""de"", ""en"")"),"voltron")</f>
        <v>voltron</v>
      </c>
    </row>
    <row r="26953">
      <c r="A26953" s="1" t="s">
        <v>26952</v>
      </c>
      <c r="B26953" s="2" t="str">
        <f>IFERROR(__xludf.DUMMYFUNCTION("GOOGLETRANSLATE(A26953, ""de"", ""en"")"),"came in")</f>
        <v>came in</v>
      </c>
    </row>
    <row r="26954">
      <c r="A26954" s="1" t="s">
        <v>26953</v>
      </c>
      <c r="B26954" s="2" t="str">
        <f>IFERROR(__xludf.DUMMYFUNCTION("GOOGLETRANSLATE(A26954, ""de"", ""en"")"),"bearable")</f>
        <v>bearable</v>
      </c>
    </row>
    <row r="26955">
      <c r="A26955" s="1" t="s">
        <v>26954</v>
      </c>
      <c r="B26955" s="2" t="str">
        <f>IFERROR(__xludf.DUMMYFUNCTION("GOOGLETRANSLATE(A26955, ""de"", ""en"")"),"squeaky")</f>
        <v>squeaky</v>
      </c>
    </row>
    <row r="26956">
      <c r="A26956" s="1" t="s">
        <v>26955</v>
      </c>
      <c r="B26956" s="2" t="str">
        <f>IFERROR(__xludf.DUMMYFUNCTION("GOOGLETRANSLATE(A26956, ""de"", ""en"")"),"relaxed")</f>
        <v>relaxed</v>
      </c>
    </row>
    <row r="26957">
      <c r="A26957" s="1" t="s">
        <v>26956</v>
      </c>
      <c r="B26957" s="2" t="str">
        <f>IFERROR(__xludf.DUMMYFUNCTION("GOOGLETRANSLATE(A26957, ""de"", ""en"")"),"saito")</f>
        <v>saito</v>
      </c>
    </row>
    <row r="26958">
      <c r="A26958" s="1" t="s">
        <v>26957</v>
      </c>
      <c r="B26958" s="2" t="str">
        <f>IFERROR(__xludf.DUMMYFUNCTION("GOOGLETRANSLATE(A26958, ""de"", ""en"")"),"surprised")</f>
        <v>surprised</v>
      </c>
    </row>
    <row r="26959">
      <c r="A26959" s="1" t="s">
        <v>26958</v>
      </c>
      <c r="B26959" s="2" t="str">
        <f>IFERROR(__xludf.DUMMYFUNCTION("GOOGLETRANSLATE(A26959, ""de"", ""en"")"),"rapidly")</f>
        <v>rapidly</v>
      </c>
    </row>
    <row r="26960">
      <c r="A26960" s="1" t="s">
        <v>26959</v>
      </c>
      <c r="B26960" s="2" t="str">
        <f>IFERROR(__xludf.DUMMYFUNCTION("GOOGLETRANSLATE(A26960, ""de"", ""en"")"),"notorious")</f>
        <v>notorious</v>
      </c>
    </row>
    <row r="26961">
      <c r="A26961" s="1" t="s">
        <v>26960</v>
      </c>
      <c r="B26961" s="2" t="str">
        <f>IFERROR(__xludf.DUMMYFUNCTION("GOOGLETRANSLATE(A26961, ""de"", ""en"")"),"yp")</f>
        <v>yp</v>
      </c>
    </row>
    <row r="26962">
      <c r="A26962" s="1" t="s">
        <v>26961</v>
      </c>
      <c r="B26962" s="2" t="str">
        <f>IFERROR(__xludf.DUMMYFUNCTION("GOOGLETRANSLATE(A26962, ""de"", ""en"")"),"to agree")</f>
        <v>to agree</v>
      </c>
    </row>
    <row r="26963">
      <c r="A26963" s="1" t="s">
        <v>26962</v>
      </c>
      <c r="B26963" s="2" t="str">
        <f>IFERROR(__xludf.DUMMYFUNCTION("GOOGLETRANSLATE(A26963, ""de"", ""en"")"),"matches")</f>
        <v>matches</v>
      </c>
    </row>
    <row r="26964">
      <c r="A26964" s="1" t="s">
        <v>26963</v>
      </c>
      <c r="B26964" s="2" t="str">
        <f>IFERROR(__xludf.DUMMYFUNCTION("GOOGLETRANSLATE(A26964, ""de"", ""en"")"),"chicane")</f>
        <v>chicane</v>
      </c>
    </row>
    <row r="26965">
      <c r="A26965" s="1" t="s">
        <v>26964</v>
      </c>
      <c r="B26965" s="2" t="str">
        <f>IFERROR(__xludf.DUMMYFUNCTION("GOOGLETRANSLATE(A26965, ""de"", ""en"")"),"published")</f>
        <v>published</v>
      </c>
    </row>
    <row r="26966">
      <c r="A26966" s="1" t="s">
        <v>26965</v>
      </c>
      <c r="B26966" s="2" t="str">
        <f>IFERROR(__xludf.DUMMYFUNCTION("GOOGLETRANSLATE(A26966, ""de"", ""en"")"),"demand")</f>
        <v>demand</v>
      </c>
    </row>
    <row r="26967">
      <c r="A26967" s="1" t="s">
        <v>26966</v>
      </c>
      <c r="B26967" s="2" t="str">
        <f>IFERROR(__xludf.DUMMYFUNCTION("GOOGLETRANSLATE(A26967, ""de"", ""en"")"),"table prayer")</f>
        <v>table prayer</v>
      </c>
    </row>
    <row r="26968">
      <c r="A26968" s="1" t="s">
        <v>26967</v>
      </c>
      <c r="B26968" s="2" t="str">
        <f>IFERROR(__xludf.DUMMYFUNCTION("GOOGLETRANSLATE(A26968, ""de"", ""en"")"),"selfish")</f>
        <v>selfish</v>
      </c>
    </row>
    <row r="26969">
      <c r="A26969" s="1" t="s">
        <v>26968</v>
      </c>
      <c r="B26969" s="2" t="str">
        <f>IFERROR(__xludf.DUMMYFUNCTION("GOOGLETRANSLATE(A26969, ""de"", ""en"")"),"broadcasting")</f>
        <v>broadcasting</v>
      </c>
    </row>
    <row r="26970">
      <c r="A26970" s="1" t="s">
        <v>26969</v>
      </c>
      <c r="B26970" s="2" t="str">
        <f>IFERROR(__xludf.DUMMYFUNCTION("GOOGLETRANSLATE(A26970, ""de"", ""en"")"),"wild boars")</f>
        <v>wild boars</v>
      </c>
    </row>
    <row r="26971">
      <c r="A26971" s="1" t="s">
        <v>26970</v>
      </c>
      <c r="B26971" s="2" t="str">
        <f>IFERROR(__xludf.DUMMYFUNCTION("GOOGLETRANSLATE(A26971, ""de"", ""en"")"),"hanging around")</f>
        <v>hanging around</v>
      </c>
    </row>
    <row r="26972">
      <c r="A26972" s="1" t="s">
        <v>26971</v>
      </c>
      <c r="B26972" s="2" t="str">
        <f>IFERROR(__xludf.DUMMYFUNCTION("GOOGLETRANSLATE(A26972, ""de"", ""en"")"),"sandwiches")</f>
        <v>sandwiches</v>
      </c>
    </row>
    <row r="26973">
      <c r="A26973" s="1" t="s">
        <v>26972</v>
      </c>
      <c r="B26973" s="2" t="str">
        <f>IFERROR(__xludf.DUMMYFUNCTION("GOOGLETRANSLATE(A26973, ""de"", ""en"")"),"spoiled")</f>
        <v>spoiled</v>
      </c>
    </row>
    <row r="26974">
      <c r="A26974" s="1" t="s">
        <v>26973</v>
      </c>
      <c r="B26974" s="2" t="str">
        <f>IFERROR(__xludf.DUMMYFUNCTION("GOOGLETRANSLATE(A26974, ""de"", ""en"")"),"Peppone")</f>
        <v>Peppone</v>
      </c>
    </row>
    <row r="26975">
      <c r="A26975" s="1" t="s">
        <v>26974</v>
      </c>
      <c r="B26975" s="2" t="str">
        <f>IFERROR(__xludf.DUMMYFUNCTION("GOOGLETRANSLATE(A26975, ""de"", ""en"")"),"complex")</f>
        <v>complex</v>
      </c>
    </row>
    <row r="26976">
      <c r="A26976" s="1" t="s">
        <v>26975</v>
      </c>
      <c r="B26976" s="2" t="str">
        <f>IFERROR(__xludf.DUMMYFUNCTION("GOOGLETRANSLATE(A26976, ""de"", ""en"")"),"joyful")</f>
        <v>joyful</v>
      </c>
    </row>
    <row r="26977">
      <c r="A26977" s="1" t="s">
        <v>26976</v>
      </c>
      <c r="B26977" s="2" t="str">
        <f>IFERROR(__xludf.DUMMYFUNCTION("GOOGLETRANSLATE(A26977, ""de"", ""en"")"),"issue")</f>
        <v>issue</v>
      </c>
    </row>
    <row r="26978">
      <c r="A26978" s="1" t="s">
        <v>26977</v>
      </c>
      <c r="B26978" s="2" t="str">
        <f>IFERROR(__xludf.DUMMYFUNCTION("GOOGLETRANSLATE(A26978, ""de"", ""en"")"),"flipped")</f>
        <v>flipped</v>
      </c>
    </row>
    <row r="26979">
      <c r="A26979" s="1" t="s">
        <v>26978</v>
      </c>
      <c r="B26979" s="2" t="str">
        <f>IFERROR(__xludf.DUMMYFUNCTION("GOOGLETRANSLATE(A26979, ""de"", ""en"")"),"monologue")</f>
        <v>monologue</v>
      </c>
    </row>
    <row r="26980">
      <c r="A26980" s="1" t="s">
        <v>26979</v>
      </c>
      <c r="B26980" s="2" t="str">
        <f>IFERROR(__xludf.DUMMYFUNCTION("GOOGLETRANSLATE(A26980, ""de"", ""en"")"),"more in-depth")</f>
        <v>more in-depth</v>
      </c>
    </row>
    <row r="26981">
      <c r="A26981" s="1" t="s">
        <v>26980</v>
      </c>
      <c r="B26981" s="2" t="str">
        <f>IFERROR(__xludf.DUMMYFUNCTION("GOOGLETRANSLATE(A26981, ""de"", ""en"")"),"milky way")</f>
        <v>milky way</v>
      </c>
    </row>
    <row r="26982">
      <c r="A26982" s="1" t="s">
        <v>26981</v>
      </c>
      <c r="B26982" s="2" t="str">
        <f>IFERROR(__xludf.DUMMYFUNCTION("GOOGLETRANSLATE(A26982, ""de"", ""en"")"),"feet")</f>
        <v>feet</v>
      </c>
    </row>
    <row r="26983">
      <c r="A26983" s="1" t="s">
        <v>26982</v>
      </c>
      <c r="B26983" s="2" t="str">
        <f>IFERROR(__xludf.DUMMYFUNCTION("GOOGLETRANSLATE(A26983, ""de"", ""en"")"),"heart attack")</f>
        <v>heart attack</v>
      </c>
    </row>
    <row r="26984">
      <c r="A26984" s="1" t="s">
        <v>26983</v>
      </c>
      <c r="B26984" s="2" t="str">
        <f>IFERROR(__xludf.DUMMYFUNCTION("GOOGLETRANSLATE(A26984, ""de"", ""en"")"),"automatic")</f>
        <v>automatic</v>
      </c>
    </row>
    <row r="26985">
      <c r="A26985" s="1" t="s">
        <v>26984</v>
      </c>
      <c r="B26985" s="2" t="str">
        <f>IFERROR(__xludf.DUMMYFUNCTION("GOOGLETRANSLATE(A26985, ""de"", ""en"")"),"instigated")</f>
        <v>instigated</v>
      </c>
    </row>
    <row r="26986">
      <c r="A26986" s="1" t="s">
        <v>26985</v>
      </c>
      <c r="B26986" s="2" t="str">
        <f>IFERROR(__xludf.DUMMYFUNCTION("GOOGLETRANSLATE(A26986, ""de"", ""en"")"),"move out")</f>
        <v>move out</v>
      </c>
    </row>
    <row r="26987">
      <c r="A26987" s="1" t="s">
        <v>26986</v>
      </c>
      <c r="B26987" s="2" t="str">
        <f>IFERROR(__xludf.DUMMYFUNCTION("GOOGLETRANSLATE(A26987, ""de"", ""en"")"),"flashes")</f>
        <v>flashes</v>
      </c>
    </row>
    <row r="26988">
      <c r="A26988" s="1" t="s">
        <v>26987</v>
      </c>
      <c r="B26988" s="2" t="str">
        <f>IFERROR(__xludf.DUMMYFUNCTION("GOOGLETRANSLATE(A26988, ""de"", ""en"")"),"more positive")</f>
        <v>more positive</v>
      </c>
    </row>
    <row r="26989">
      <c r="A26989" s="1" t="s">
        <v>26988</v>
      </c>
      <c r="B26989" s="2" t="str">
        <f>IFERROR(__xludf.DUMMYFUNCTION("GOOGLETRANSLATE(A26989, ""de"", ""en"")"),"presentation")</f>
        <v>presentation</v>
      </c>
    </row>
    <row r="26990">
      <c r="A26990" s="1" t="s">
        <v>26989</v>
      </c>
      <c r="B26990" s="2" t="str">
        <f>IFERROR(__xludf.DUMMYFUNCTION("GOOGLETRANSLATE(A26990, ""de"", ""en"")"),"lookup")</f>
        <v>lookup</v>
      </c>
    </row>
    <row r="26991">
      <c r="A26991" s="1" t="s">
        <v>26990</v>
      </c>
      <c r="B26991" s="2" t="str">
        <f>IFERROR(__xludf.DUMMYFUNCTION("GOOGLETRANSLATE(A26991, ""de"", ""en"")"),"alamo")</f>
        <v>alamo</v>
      </c>
    </row>
    <row r="26992">
      <c r="A26992" s="1" t="s">
        <v>26991</v>
      </c>
      <c r="B26992" s="2" t="str">
        <f>IFERROR(__xludf.DUMMYFUNCTION("GOOGLETRANSLATE(A26992, ""de"", ""en"")"),"click")</f>
        <v>click</v>
      </c>
    </row>
    <row r="26993">
      <c r="A26993" s="1" t="s">
        <v>26992</v>
      </c>
      <c r="B26993" s="2" t="str">
        <f>IFERROR(__xludf.DUMMYFUNCTION("GOOGLETRANSLATE(A26993, ""de"", ""en"")"),"Susan")</f>
        <v>Susan</v>
      </c>
    </row>
    <row r="26994">
      <c r="A26994" s="1" t="s">
        <v>26993</v>
      </c>
      <c r="B26994" s="2" t="str">
        <f>IFERROR(__xludf.DUMMYFUNCTION("GOOGLETRANSLATE(A26994, ""de"", ""en"")"),"farewell party")</f>
        <v>farewell party</v>
      </c>
    </row>
    <row r="26995">
      <c r="A26995" s="1" t="s">
        <v>26994</v>
      </c>
      <c r="B26995" s="2" t="str">
        <f>IFERROR(__xludf.DUMMYFUNCTION("GOOGLETRANSLATE(A26995, ""de"", ""en"")"),"quit")</f>
        <v>quit</v>
      </c>
    </row>
    <row r="26996">
      <c r="A26996" s="1" t="s">
        <v>26995</v>
      </c>
      <c r="B26996" s="2" t="str">
        <f>IFERROR(__xludf.DUMMYFUNCTION("GOOGLETRANSLATE(A26996, ""de"", ""en"")"),"emmanuelle")</f>
        <v>emmanuelle</v>
      </c>
    </row>
    <row r="26997">
      <c r="A26997" s="1" t="s">
        <v>26996</v>
      </c>
      <c r="B26997" s="2" t="str">
        <f>IFERROR(__xludf.DUMMYFUNCTION("GOOGLETRANSLATE(A26997, ""de"", ""en"")"),"garber")</f>
        <v>garber</v>
      </c>
    </row>
    <row r="26998">
      <c r="A26998" s="1" t="s">
        <v>26997</v>
      </c>
      <c r="B26998" s="2" t="str">
        <f>IFERROR(__xludf.DUMMYFUNCTION("GOOGLETRANSLATE(A26998, ""de"", ""en"")"),"stare")</f>
        <v>stare</v>
      </c>
    </row>
    <row r="26999">
      <c r="A26999" s="1" t="s">
        <v>26998</v>
      </c>
      <c r="B26999" s="2" t="str">
        <f>IFERROR(__xludf.DUMMYFUNCTION("GOOGLETRANSLATE(A26999, ""de"", ""en"")"),"chatter")</f>
        <v>chatter</v>
      </c>
    </row>
    <row r="27000">
      <c r="A27000" s="1" t="s">
        <v>26999</v>
      </c>
      <c r="B27000" s="2" t="str">
        <f>IFERROR(__xludf.DUMMYFUNCTION("GOOGLETRANSLATE(A27000, ""de"", ""en"")"),"obituary")</f>
        <v>obituary</v>
      </c>
    </row>
    <row r="27001">
      <c r="A27001" s="1" t="s">
        <v>27000</v>
      </c>
      <c r="B27001" s="2" t="str">
        <f>IFERROR(__xludf.DUMMYFUNCTION("GOOGLETRANSLATE(A27001, ""de"", ""en"")"),"cool")</f>
        <v>cool</v>
      </c>
    </row>
    <row r="27002">
      <c r="A27002" s="1" t="s">
        <v>27001</v>
      </c>
      <c r="B27002" s="2" t="str">
        <f>IFERROR(__xludf.DUMMYFUNCTION("GOOGLETRANSLATE(A27002, ""de"", ""en"")"),"frozen")</f>
        <v>frozen</v>
      </c>
    </row>
    <row r="27003">
      <c r="A27003" s="1" t="s">
        <v>27002</v>
      </c>
      <c r="B27003" s="2" t="str">
        <f>IFERROR(__xludf.DUMMYFUNCTION("GOOGLETRANSLATE(A27003, ""de"", ""en"")"),"missed")</f>
        <v>missed</v>
      </c>
    </row>
    <row r="27004">
      <c r="A27004" s="1" t="s">
        <v>27003</v>
      </c>
      <c r="B27004" s="2" t="str">
        <f>IFERROR(__xludf.DUMMYFUNCTION("GOOGLETRANSLATE(A27004, ""de"", ""en"")"),"candlelight")</f>
        <v>candlelight</v>
      </c>
    </row>
    <row r="27005">
      <c r="A27005" s="1" t="s">
        <v>27004</v>
      </c>
      <c r="B27005" s="2" t="str">
        <f>IFERROR(__xludf.DUMMYFUNCTION("GOOGLETRANSLATE(A27005, ""de"", ""en"")"),"disgusting")</f>
        <v>disgusting</v>
      </c>
    </row>
    <row r="27006">
      <c r="A27006" s="1" t="s">
        <v>27005</v>
      </c>
      <c r="B27006" s="2" t="str">
        <f>IFERROR(__xludf.DUMMYFUNCTION("GOOGLETRANSLATE(A27006, ""de"", ""en"")"),"elf")</f>
        <v>elf</v>
      </c>
    </row>
    <row r="27007">
      <c r="A27007" s="1" t="s">
        <v>27006</v>
      </c>
      <c r="B27007" s="2" t="str">
        <f>IFERROR(__xludf.DUMMYFUNCTION("GOOGLETRANSLATE(A27007, ""de"", ""en"")"),"okinawa")</f>
        <v>okinawa</v>
      </c>
    </row>
    <row r="27008">
      <c r="A27008" s="1" t="s">
        <v>27007</v>
      </c>
      <c r="B27008" s="2" t="str">
        <f>IFERROR(__xludf.DUMMYFUNCTION("GOOGLETRANSLATE(A27008, ""de"", ""en"")"),"treasure hunt")</f>
        <v>treasure hunt</v>
      </c>
    </row>
    <row r="27009">
      <c r="A27009" s="1" t="s">
        <v>27008</v>
      </c>
      <c r="B27009" s="2" t="str">
        <f>IFERROR(__xludf.DUMMYFUNCTION("GOOGLETRANSLATE(A27009, ""de"", ""en"")"),"born")</f>
        <v>born</v>
      </c>
    </row>
    <row r="27010">
      <c r="A27010" s="1" t="s">
        <v>27009</v>
      </c>
      <c r="B27010" s="2" t="str">
        <f>IFERROR(__xludf.DUMMYFUNCTION("GOOGLETRANSLATE(A27010, ""de"", ""en"")"),"believers")</f>
        <v>believers</v>
      </c>
    </row>
    <row r="27011">
      <c r="A27011" s="1" t="s">
        <v>27010</v>
      </c>
      <c r="B27011" s="2" t="str">
        <f>IFERROR(__xludf.DUMMYFUNCTION("GOOGLETRANSLATE(A27011, ""de"", ""en"")"),"dry")</f>
        <v>dry</v>
      </c>
    </row>
    <row r="27012">
      <c r="A27012" s="1" t="s">
        <v>27011</v>
      </c>
      <c r="B27012" s="2" t="str">
        <f>IFERROR(__xludf.DUMMYFUNCTION("GOOGLETRANSLATE(A27012, ""de"", ""en"")"),"banfield")</f>
        <v>banfield</v>
      </c>
    </row>
    <row r="27013">
      <c r="A27013" s="1" t="s">
        <v>27012</v>
      </c>
      <c r="B27013" s="2" t="str">
        <f>IFERROR(__xludf.DUMMYFUNCTION("GOOGLETRANSLATE(A27013, ""de"", ""en"")"),"visionary")</f>
        <v>visionary</v>
      </c>
    </row>
    <row r="27014">
      <c r="A27014" s="1" t="s">
        <v>27013</v>
      </c>
      <c r="B27014" s="2" t="str">
        <f>IFERROR(__xludf.DUMMYFUNCTION("GOOGLETRANSLATE(A27014, ""de"", ""en"")"),"sailor")</f>
        <v>sailor</v>
      </c>
    </row>
    <row r="27015">
      <c r="A27015" s="1" t="s">
        <v>27014</v>
      </c>
      <c r="B27015" s="2" t="str">
        <f>IFERROR(__xludf.DUMMYFUNCTION("GOOGLETRANSLATE(A27015, ""de"", ""en"")"),"axl")</f>
        <v>axl</v>
      </c>
    </row>
    <row r="27016">
      <c r="A27016" s="1" t="s">
        <v>27015</v>
      </c>
      <c r="B27016" s="2" t="str">
        <f>IFERROR(__xludf.DUMMYFUNCTION("GOOGLETRANSLATE(A27016, ""de"", ""en"")"),"to shop")</f>
        <v>to shop</v>
      </c>
    </row>
    <row r="27017">
      <c r="A27017" s="1" t="s">
        <v>27016</v>
      </c>
      <c r="B27017" s="2" t="str">
        <f>IFERROR(__xludf.DUMMYFUNCTION("GOOGLETRANSLATE(A27017, ""de"", ""en"")"),"europe")</f>
        <v>europe</v>
      </c>
    </row>
    <row r="27018">
      <c r="A27018" s="1" t="s">
        <v>27017</v>
      </c>
      <c r="B27018" s="2" t="str">
        <f>IFERROR(__xludf.DUMMYFUNCTION("GOOGLETRANSLATE(A27018, ""de"", ""en"")"),"recorder")</f>
        <v>recorder</v>
      </c>
    </row>
    <row r="27019">
      <c r="A27019" s="1" t="s">
        <v>27018</v>
      </c>
      <c r="B27019" s="2" t="str">
        <f>IFERROR(__xludf.DUMMYFUNCTION("GOOGLETRANSLATE(A27019, ""de"", ""en"")"),"three")</f>
        <v>three</v>
      </c>
    </row>
    <row r="27020">
      <c r="A27020" s="1" t="s">
        <v>27019</v>
      </c>
      <c r="B27020" s="2" t="str">
        <f>IFERROR(__xludf.DUMMYFUNCTION("GOOGLETRANSLATE(A27020, ""de"", ""en"")"),"capital")</f>
        <v>capital</v>
      </c>
    </row>
    <row r="27021">
      <c r="A27021" s="1" t="s">
        <v>27020</v>
      </c>
      <c r="B27021" s="2" t="str">
        <f>IFERROR(__xludf.DUMMYFUNCTION("GOOGLETRANSLATE(A27021, ""de"", ""en"")"),"well")</f>
        <v>well</v>
      </c>
    </row>
    <row r="27022">
      <c r="A27022" s="1" t="s">
        <v>27021</v>
      </c>
      <c r="B27022" s="2" t="str">
        <f>IFERROR(__xludf.DUMMYFUNCTION("GOOGLETRANSLATE(A27022, ""de"", ""en"")"),"Bucharest")</f>
        <v>Bucharest</v>
      </c>
    </row>
    <row r="27023">
      <c r="A27023" s="1" t="s">
        <v>27022</v>
      </c>
      <c r="B27023" s="2" t="str">
        <f>IFERROR(__xludf.DUMMYFUNCTION("GOOGLETRANSLATE(A27023, ""de"", ""en"")"),"grocery store")</f>
        <v>grocery store</v>
      </c>
    </row>
    <row r="27024">
      <c r="A27024" s="1" t="s">
        <v>27023</v>
      </c>
      <c r="B27024" s="2" t="str">
        <f>IFERROR(__xludf.DUMMYFUNCTION("GOOGLETRANSLATE(A27024, ""de"", ""en"")"),"nightingale")</f>
        <v>nightingale</v>
      </c>
    </row>
    <row r="27025">
      <c r="A27025" s="1" t="s">
        <v>27024</v>
      </c>
      <c r="B27025" s="2" t="str">
        <f>IFERROR(__xludf.DUMMYFUNCTION("GOOGLETRANSLATE(A27025, ""de"", ""en"")"),"swat team")</f>
        <v>swat team</v>
      </c>
    </row>
    <row r="27026">
      <c r="A27026" s="1" t="s">
        <v>27025</v>
      </c>
      <c r="B27026" s="2" t="str">
        <f>IFERROR(__xludf.DUMMYFUNCTION("GOOGLETRANSLATE(A27026, ""de"", ""en"")"),"negative")</f>
        <v>negative</v>
      </c>
    </row>
    <row r="27027">
      <c r="A27027" s="1" t="s">
        <v>27026</v>
      </c>
      <c r="B27027" s="2" t="str">
        <f>IFERROR(__xludf.DUMMYFUNCTION("GOOGLETRANSLATE(A27027, ""de"", ""en"")"),"penguin")</f>
        <v>penguin</v>
      </c>
    </row>
    <row r="27028">
      <c r="A27028" s="1" t="s">
        <v>27027</v>
      </c>
      <c r="B27028" s="2" t="str">
        <f>IFERROR(__xludf.DUMMYFUNCTION("GOOGLETRANSLATE(A27028, ""de"", ""en"")"),"Rembrandt")</f>
        <v>Rembrandt</v>
      </c>
    </row>
    <row r="27029">
      <c r="A27029" s="1" t="s">
        <v>27028</v>
      </c>
      <c r="B27029" s="2" t="str">
        <f>IFERROR(__xludf.DUMMYFUNCTION("GOOGLETRANSLATE(A27029, ""de"", ""en"")"),"dozed off")</f>
        <v>dozed off</v>
      </c>
    </row>
    <row r="27030">
      <c r="A27030" s="1" t="s">
        <v>27029</v>
      </c>
      <c r="B27030" s="2" t="str">
        <f>IFERROR(__xludf.DUMMYFUNCTION("GOOGLETRANSLATE(A27030, ""de"", ""en"")"),"operated")</f>
        <v>operated</v>
      </c>
    </row>
    <row r="27031">
      <c r="A27031" s="1" t="s">
        <v>27030</v>
      </c>
      <c r="B27031" s="2" t="str">
        <f>IFERROR(__xludf.DUMMYFUNCTION("GOOGLETRANSLATE(A27031, ""de"", ""en"")"),"Cossacks")</f>
        <v>Cossacks</v>
      </c>
    </row>
    <row r="27032">
      <c r="A27032" s="1" t="s">
        <v>27031</v>
      </c>
      <c r="B27032" s="2" t="str">
        <f>IFERROR(__xludf.DUMMYFUNCTION("GOOGLETRANSLATE(A27032, ""de"", ""en"")"),"most")</f>
        <v>most</v>
      </c>
    </row>
    <row r="27033">
      <c r="A27033" s="1" t="s">
        <v>27032</v>
      </c>
      <c r="B27033" s="2" t="str">
        <f>IFERROR(__xludf.DUMMYFUNCTION("GOOGLETRANSLATE(A27033, ""de"", ""en"")"),"convicts")</f>
        <v>convicts</v>
      </c>
    </row>
    <row r="27034">
      <c r="A27034" s="1" t="s">
        <v>27033</v>
      </c>
      <c r="B27034" s="2" t="str">
        <f>IFERROR(__xludf.DUMMYFUNCTION("GOOGLETRANSLATE(A27034, ""de"", ""en"")"),"focus")</f>
        <v>focus</v>
      </c>
    </row>
    <row r="27035">
      <c r="A27035" s="1" t="s">
        <v>27034</v>
      </c>
      <c r="B27035" s="2" t="str">
        <f>IFERROR(__xludf.DUMMYFUNCTION("GOOGLETRANSLATE(A27035, ""de"", ""en"")"),"teammate")</f>
        <v>teammate</v>
      </c>
    </row>
    <row r="27036">
      <c r="A27036" s="1" t="s">
        <v>27035</v>
      </c>
      <c r="B27036" s="2" t="str">
        <f>IFERROR(__xludf.DUMMYFUNCTION("GOOGLETRANSLATE(A27036, ""de"", ""en"")"),"anger")</f>
        <v>anger</v>
      </c>
    </row>
    <row r="27037">
      <c r="A27037" s="1" t="s">
        <v>27036</v>
      </c>
      <c r="B27037" s="2" t="str">
        <f>IFERROR(__xludf.DUMMYFUNCTION("GOOGLETRANSLATE(A27037, ""de"", ""en"")"),"come")</f>
        <v>come</v>
      </c>
    </row>
    <row r="27038">
      <c r="A27038" s="1" t="s">
        <v>27037</v>
      </c>
      <c r="B27038" s="2" t="str">
        <f>IFERROR(__xludf.DUMMYFUNCTION("GOOGLETRANSLATE(A27038, ""de"", ""en"")"),"dismissive")</f>
        <v>dismissive</v>
      </c>
    </row>
    <row r="27039">
      <c r="A27039" s="1" t="s">
        <v>27038</v>
      </c>
      <c r="B27039" s="2" t="str">
        <f>IFERROR(__xludf.DUMMYFUNCTION("GOOGLETRANSLATE(A27039, ""de"", ""en"")"),"boca")</f>
        <v>boca</v>
      </c>
    </row>
    <row r="27040">
      <c r="A27040" s="1" t="s">
        <v>27039</v>
      </c>
      <c r="B27040" s="2" t="str">
        <f>IFERROR(__xludf.DUMMYFUNCTION("GOOGLETRANSLATE(A27040, ""de"", ""en"")"),"conditions")</f>
        <v>conditions</v>
      </c>
    </row>
    <row r="27041">
      <c r="A27041" s="1" t="s">
        <v>27040</v>
      </c>
      <c r="B27041" s="2" t="str">
        <f>IFERROR(__xludf.DUMMYFUNCTION("GOOGLETRANSLATE(A27041, ""de"", ""en"")"),"fall here")</f>
        <v>fall here</v>
      </c>
    </row>
    <row r="27042">
      <c r="A27042" s="1" t="s">
        <v>27041</v>
      </c>
      <c r="B27042" s="2" t="str">
        <f>IFERROR(__xludf.DUMMYFUNCTION("GOOGLETRANSLATE(A27042, ""de"", ""en"")"),"welcome")</f>
        <v>welcome</v>
      </c>
    </row>
    <row r="27043">
      <c r="A27043" s="1" t="s">
        <v>27042</v>
      </c>
      <c r="B27043" s="2" t="str">
        <f>IFERROR(__xludf.DUMMYFUNCTION("GOOGLETRANSLATE(A27043, ""de"", ""en"")"),"cools")</f>
        <v>cools</v>
      </c>
    </row>
    <row r="27044">
      <c r="A27044" s="1" t="s">
        <v>27043</v>
      </c>
      <c r="B27044" s="2" t="str">
        <f>IFERROR(__xludf.DUMMYFUNCTION("GOOGLETRANSLATE(A27044, ""de"", ""en"")"),"4 times")</f>
        <v>4 times</v>
      </c>
    </row>
    <row r="27045">
      <c r="A27045" s="1" t="s">
        <v>27044</v>
      </c>
      <c r="B27045" s="2" t="str">
        <f>IFERROR(__xludf.DUMMYFUNCTION("GOOGLETRANSLATE(A27045, ""de"", ""en"")"),"morphine")</f>
        <v>morphine</v>
      </c>
    </row>
    <row r="27046">
      <c r="A27046" s="1" t="s">
        <v>27045</v>
      </c>
      <c r="B27046" s="2" t="str">
        <f>IFERROR(__xludf.DUMMYFUNCTION("GOOGLETRANSLATE(A27046, ""de"", ""en"")"),"schnauzer")</f>
        <v>schnauzer</v>
      </c>
    </row>
    <row r="27047">
      <c r="A27047" s="1" t="s">
        <v>27046</v>
      </c>
      <c r="B27047" s="2" t="str">
        <f>IFERROR(__xludf.DUMMYFUNCTION("GOOGLETRANSLATE(A27047, ""de"", ""en"")"),"fired")</f>
        <v>fired</v>
      </c>
    </row>
    <row r="27048">
      <c r="A27048" s="1" t="s">
        <v>27047</v>
      </c>
      <c r="B27048" s="2" t="str">
        <f>IFERROR(__xludf.DUMMYFUNCTION("GOOGLETRANSLATE(A27048, ""de"", ""en"")"),"tsarina")</f>
        <v>tsarina</v>
      </c>
    </row>
    <row r="27049">
      <c r="A27049" s="1" t="s">
        <v>27048</v>
      </c>
      <c r="B27049" s="2" t="str">
        <f>IFERROR(__xludf.DUMMYFUNCTION("GOOGLETRANSLATE(A27049, ""de"", ""en"")"),"sync")</f>
        <v>sync</v>
      </c>
    </row>
    <row r="27050">
      <c r="A27050" s="1" t="s">
        <v>27049</v>
      </c>
      <c r="B27050" s="2" t="str">
        <f>IFERROR(__xludf.DUMMYFUNCTION("GOOGLETRANSLATE(A27050, ""de"", ""en"")"),"declaration of war")</f>
        <v>declaration of war</v>
      </c>
    </row>
    <row r="27051">
      <c r="A27051" s="1" t="s">
        <v>27050</v>
      </c>
      <c r="B27051" s="2" t="str">
        <f>IFERROR(__xludf.DUMMYFUNCTION("GOOGLETRANSLATE(A27051, ""de"", ""en"")"),"jump")</f>
        <v>jump</v>
      </c>
    </row>
    <row r="27052">
      <c r="A27052" s="1" t="s">
        <v>27051</v>
      </c>
      <c r="B27052" s="2" t="str">
        <f>IFERROR(__xludf.DUMMYFUNCTION("GOOGLETRANSLATE(A27052, ""de"", ""en"")"),"pull over")</f>
        <v>pull over</v>
      </c>
    </row>
    <row r="27053">
      <c r="A27053" s="1" t="s">
        <v>27052</v>
      </c>
      <c r="B27053" s="2" t="str">
        <f>IFERROR(__xludf.DUMMYFUNCTION("GOOGLETRANSLATE(A27053, ""de"", ""en"")"),"sitting")</f>
        <v>sitting</v>
      </c>
    </row>
    <row r="27054">
      <c r="A27054" s="1" t="s">
        <v>27053</v>
      </c>
      <c r="B27054" s="2" t="str">
        <f>IFERROR(__xludf.DUMMYFUNCTION("GOOGLETRANSLATE(A27054, ""de"", ""en"")"),"huns")</f>
        <v>huns</v>
      </c>
    </row>
    <row r="27055">
      <c r="A27055" s="1" t="s">
        <v>27054</v>
      </c>
      <c r="B27055" s="2" t="str">
        <f>IFERROR(__xludf.DUMMYFUNCTION("GOOGLETRANSLATE(A27055, ""de"", ""en"")"),"grains")</f>
        <v>grains</v>
      </c>
    </row>
    <row r="27056">
      <c r="A27056" s="1" t="s">
        <v>27055</v>
      </c>
      <c r="B27056" s="2" t="str">
        <f>IFERROR(__xludf.DUMMYFUNCTION("GOOGLETRANSLATE(A27056, ""de"", ""en"")"),"have breakfast")</f>
        <v>have breakfast</v>
      </c>
    </row>
    <row r="27057">
      <c r="A27057" s="1" t="s">
        <v>27056</v>
      </c>
      <c r="B27057" s="2" t="str">
        <f>IFERROR(__xludf.DUMMYFUNCTION("GOOGLETRANSLATE(A27057, ""de"", ""en"")"),"carries out")</f>
        <v>carries out</v>
      </c>
    </row>
    <row r="27058">
      <c r="A27058" s="1" t="s">
        <v>27057</v>
      </c>
      <c r="B27058" s="2" t="str">
        <f>IFERROR(__xludf.DUMMYFUNCTION("GOOGLETRANSLATE(A27058, ""de"", ""en"")"),"shining")</f>
        <v>shining</v>
      </c>
    </row>
    <row r="27059">
      <c r="A27059" s="1" t="s">
        <v>27058</v>
      </c>
      <c r="B27059" s="2" t="str">
        <f>IFERROR(__xludf.DUMMYFUNCTION("GOOGLETRANSLATE(A27059, ""de"", ""en"")"),"human")</f>
        <v>human</v>
      </c>
    </row>
    <row r="27060">
      <c r="A27060" s="1" t="s">
        <v>27059</v>
      </c>
      <c r="B27060" s="2" t="str">
        <f>IFERROR(__xludf.DUMMYFUNCTION("GOOGLETRANSLATE(A27060, ""de"", ""en"")"),"piano playing")</f>
        <v>piano playing</v>
      </c>
    </row>
    <row r="27061">
      <c r="A27061" s="1" t="s">
        <v>27060</v>
      </c>
      <c r="B27061" s="2" t="str">
        <f>IFERROR(__xludf.DUMMYFUNCTION("GOOGLETRANSLATE(A27061, ""de"", ""en"")"),"permanent")</f>
        <v>permanent</v>
      </c>
    </row>
    <row r="27062">
      <c r="A27062" s="1" t="s">
        <v>27061</v>
      </c>
      <c r="B27062" s="2" t="str">
        <f>IFERROR(__xludf.DUMMYFUNCTION("GOOGLETRANSLATE(A27062, ""de"", ""en"")"),"mausoleum")</f>
        <v>mausoleum</v>
      </c>
    </row>
    <row r="27063">
      <c r="A27063" s="1" t="s">
        <v>27062</v>
      </c>
      <c r="B27063" s="2" t="str">
        <f>IFERROR(__xludf.DUMMYFUNCTION("GOOGLETRANSLATE(A27063, ""de"", ""en"")"),"Barry's")</f>
        <v>Barry's</v>
      </c>
    </row>
    <row r="27064">
      <c r="A27064" s="1" t="s">
        <v>27063</v>
      </c>
      <c r="B27064" s="2" t="str">
        <f>IFERROR(__xludf.DUMMYFUNCTION("GOOGLETRANSLATE(A27064, ""de"", ""en"")"),"organized")</f>
        <v>organized</v>
      </c>
    </row>
    <row r="27065">
      <c r="A27065" s="1" t="s">
        <v>27064</v>
      </c>
      <c r="B27065" s="2" t="str">
        <f>IFERROR(__xludf.DUMMYFUNCTION("GOOGLETRANSLATE(A27065, ""de"", ""en"")"),"Gregg")</f>
        <v>Gregg</v>
      </c>
    </row>
    <row r="27066">
      <c r="A27066" s="1" t="s">
        <v>27065</v>
      </c>
      <c r="B27066" s="2" t="str">
        <f>IFERROR(__xludf.DUMMYFUNCTION("GOOGLETRANSLATE(A27066, ""de"", ""en"")"),"unpleasant")</f>
        <v>unpleasant</v>
      </c>
    </row>
    <row r="27067">
      <c r="A27067" s="1" t="s">
        <v>27066</v>
      </c>
      <c r="B27067" s="2" t="str">
        <f>IFERROR(__xludf.DUMMYFUNCTION("GOOGLETRANSLATE(A27067, ""de"", ""en"")"),"entrenched")</f>
        <v>entrenched</v>
      </c>
    </row>
    <row r="27068">
      <c r="A27068" s="1" t="s">
        <v>27067</v>
      </c>
      <c r="B27068" s="2" t="str">
        <f>IFERROR(__xludf.DUMMYFUNCTION("GOOGLETRANSLATE(A27068, ""de"", ""en"")"),"to wake up")</f>
        <v>to wake up</v>
      </c>
    </row>
    <row r="27069">
      <c r="A27069" s="1" t="s">
        <v>27068</v>
      </c>
      <c r="B27069" s="2" t="str">
        <f>IFERROR(__xludf.DUMMYFUNCTION("GOOGLETRANSLATE(A27069, ""de"", ""en"")"),"producer")</f>
        <v>producer</v>
      </c>
    </row>
    <row r="27070">
      <c r="A27070" s="1" t="s">
        <v>27069</v>
      </c>
      <c r="B27070" s="2" t="str">
        <f>IFERROR(__xludf.DUMMYFUNCTION("GOOGLETRANSLATE(A27070, ""de"", ""en"")"),"ianto")</f>
        <v>ianto</v>
      </c>
    </row>
    <row r="27071">
      <c r="A27071" s="1" t="s">
        <v>27070</v>
      </c>
      <c r="B27071" s="2" t="str">
        <f>IFERROR(__xludf.DUMMYFUNCTION("GOOGLETRANSLATE(A27071, ""de"", ""en"")"),"booked")</f>
        <v>booked</v>
      </c>
    </row>
    <row r="27072">
      <c r="A27072" s="1" t="s">
        <v>27071</v>
      </c>
      <c r="B27072" s="2" t="str">
        <f>IFERROR(__xludf.DUMMYFUNCTION("GOOGLETRANSLATE(A27072, ""de"", ""en"")"),"checkpoint")</f>
        <v>checkpoint</v>
      </c>
    </row>
    <row r="27073">
      <c r="A27073" s="1" t="s">
        <v>27072</v>
      </c>
      <c r="B27073" s="2" t="str">
        <f>IFERROR(__xludf.DUMMYFUNCTION("GOOGLETRANSLATE(A27073, ""de"", ""en"")"),"loving")</f>
        <v>loving</v>
      </c>
    </row>
    <row r="27074">
      <c r="A27074" s="1" t="s">
        <v>27073</v>
      </c>
      <c r="B27074" s="2" t="str">
        <f>IFERROR(__xludf.DUMMYFUNCTION("GOOGLETRANSLATE(A27074, ""de"", ""en"")"),"toilet")</f>
        <v>toilet</v>
      </c>
    </row>
    <row r="27075">
      <c r="A27075" s="1" t="s">
        <v>27074</v>
      </c>
      <c r="B27075" s="2" t="str">
        <f>IFERROR(__xludf.DUMMYFUNCTION("GOOGLETRANSLATE(A27075, ""de"", ""en"")"),"Senate")</f>
        <v>Senate</v>
      </c>
    </row>
    <row r="27076">
      <c r="A27076" s="1" t="s">
        <v>27075</v>
      </c>
      <c r="B27076" s="2" t="str">
        <f>IFERROR(__xludf.DUMMYFUNCTION("GOOGLETRANSLATE(A27076, ""de"", ""en"")"),"Italian")</f>
        <v>Italian</v>
      </c>
    </row>
    <row r="27077">
      <c r="A27077" s="1" t="s">
        <v>27076</v>
      </c>
      <c r="B27077" s="2" t="str">
        <f>IFERROR(__xludf.DUMMYFUNCTION("GOOGLETRANSLATE(A27077, ""de"", ""en"")"),"monarch")</f>
        <v>monarch</v>
      </c>
    </row>
    <row r="27078">
      <c r="A27078" s="1" t="s">
        <v>27077</v>
      </c>
      <c r="B27078" s="2" t="str">
        <f>IFERROR(__xludf.DUMMYFUNCTION("GOOGLETRANSLATE(A27078, ""de"", ""en"")"),"natural sciences")</f>
        <v>natural sciences</v>
      </c>
    </row>
    <row r="27079">
      <c r="A27079" s="1" t="s">
        <v>27078</v>
      </c>
      <c r="B27079" s="2" t="str">
        <f>IFERROR(__xludf.DUMMYFUNCTION("GOOGLETRANSLATE(A27079, ""de"", ""en"")"),"introduced")</f>
        <v>introduced</v>
      </c>
    </row>
    <row r="27080">
      <c r="A27080" s="1" t="s">
        <v>27079</v>
      </c>
      <c r="B27080" s="2" t="str">
        <f>IFERROR(__xludf.DUMMYFUNCTION("GOOGLETRANSLATE(A27080, ""de"", ""en"")"),"Valhalla")</f>
        <v>Valhalla</v>
      </c>
    </row>
    <row r="27081">
      <c r="A27081" s="1" t="s">
        <v>27080</v>
      </c>
      <c r="B27081" s="2" t="str">
        <f>IFERROR(__xludf.DUMMYFUNCTION("GOOGLETRANSLATE(A27081, ""de"", ""en"")"),"look at")</f>
        <v>look at</v>
      </c>
    </row>
    <row r="27082">
      <c r="A27082" s="1" t="s">
        <v>27081</v>
      </c>
      <c r="B27082" s="2" t="str">
        <f>IFERROR(__xludf.DUMMYFUNCTION("GOOGLETRANSLATE(A27082, ""de"", ""en"")"),"bozz")</f>
        <v>bozz</v>
      </c>
    </row>
    <row r="27083">
      <c r="A27083" s="1" t="s">
        <v>27082</v>
      </c>
      <c r="B27083" s="2" t="str">
        <f>IFERROR(__xludf.DUMMYFUNCTION("GOOGLETRANSLATE(A27083, ""de"", ""en"")"),"groot")</f>
        <v>groot</v>
      </c>
    </row>
    <row r="27084">
      <c r="A27084" s="1" t="s">
        <v>27083</v>
      </c>
      <c r="B27084" s="2" t="str">
        <f>IFERROR(__xludf.DUMMYFUNCTION("GOOGLETRANSLATE(A27084, ""de"", ""en"")"),"rolled")</f>
        <v>rolled</v>
      </c>
    </row>
    <row r="27085">
      <c r="A27085" s="1" t="s">
        <v>27084</v>
      </c>
      <c r="B27085" s="2" t="str">
        <f>IFERROR(__xludf.DUMMYFUNCTION("GOOGLETRANSLATE(A27085, ""de"", ""en"")"),"key card")</f>
        <v>key card</v>
      </c>
    </row>
    <row r="27086">
      <c r="A27086" s="1" t="s">
        <v>27085</v>
      </c>
      <c r="B27086" s="2" t="str">
        <f>IFERROR(__xludf.DUMMYFUNCTION("GOOGLETRANSLATE(A27086, ""de"", ""en"")"),"forbidden")</f>
        <v>forbidden</v>
      </c>
    </row>
    <row r="27087">
      <c r="A27087" s="1" t="s">
        <v>27086</v>
      </c>
      <c r="B27087" s="2" t="str">
        <f>IFERROR(__xludf.DUMMYFUNCTION("GOOGLETRANSLATE(A27087, ""de"", ""en"")"),"remote control")</f>
        <v>remote control</v>
      </c>
    </row>
    <row r="27088">
      <c r="A27088" s="1" t="s">
        <v>27087</v>
      </c>
      <c r="B27088" s="2" t="str">
        <f>IFERROR(__xludf.DUMMYFUNCTION("GOOGLETRANSLATE(A27088, ""de"", ""en"")"),"renewal")</f>
        <v>renewal</v>
      </c>
    </row>
    <row r="27089">
      <c r="A27089" s="1" t="s">
        <v>27088</v>
      </c>
      <c r="B27089" s="2" t="str">
        <f>IFERROR(__xludf.DUMMYFUNCTION("GOOGLETRANSLATE(A27089, ""de"", ""en"")"),"managing director")</f>
        <v>managing director</v>
      </c>
    </row>
    <row r="27090">
      <c r="A27090" s="1" t="s">
        <v>27089</v>
      </c>
      <c r="B27090" s="2" t="str">
        <f>IFERROR(__xludf.DUMMYFUNCTION("GOOGLETRANSLATE(A27090, ""de"", ""en"")"),"television channels")</f>
        <v>television channels</v>
      </c>
    </row>
    <row r="27091">
      <c r="A27091" s="1" t="s">
        <v>27090</v>
      </c>
      <c r="B27091" s="2" t="str">
        <f>IFERROR(__xludf.DUMMYFUNCTION("GOOGLETRANSLATE(A27091, ""de"", ""en"")"),"queue")</f>
        <v>queue</v>
      </c>
    </row>
    <row r="27092">
      <c r="A27092" s="1" t="s">
        <v>27091</v>
      </c>
      <c r="B27092" s="2" t="str">
        <f>IFERROR(__xludf.DUMMYFUNCTION("GOOGLETRANSLATE(A27092, ""de"", ""en"")"),"diva")</f>
        <v>diva</v>
      </c>
    </row>
    <row r="27093">
      <c r="A27093" s="1" t="s">
        <v>27092</v>
      </c>
      <c r="B27093" s="2" t="str">
        <f>IFERROR(__xludf.DUMMYFUNCTION("GOOGLETRANSLATE(A27093, ""de"", ""en"")"),"Bismarck")</f>
        <v>Bismarck</v>
      </c>
    </row>
    <row r="27094">
      <c r="A27094" s="1" t="s">
        <v>27093</v>
      </c>
      <c r="B27094" s="2" t="str">
        <f>IFERROR(__xludf.DUMMYFUNCTION("GOOGLETRANSLATE(A27094, ""de"", ""en"")"),"valentina")</f>
        <v>valentina</v>
      </c>
    </row>
    <row r="27095">
      <c r="A27095" s="1" t="s">
        <v>27094</v>
      </c>
      <c r="B27095" s="2" t="str">
        <f>IFERROR(__xludf.DUMMYFUNCTION("GOOGLETRANSLATE(A27095, ""de"", ""en"")"),"provide")</f>
        <v>provide</v>
      </c>
    </row>
    <row r="27096">
      <c r="A27096" s="1" t="s">
        <v>27095</v>
      </c>
      <c r="B27096" s="2" t="str">
        <f>IFERROR(__xludf.DUMMYFUNCTION("GOOGLETRANSLATE(A27096, ""de"", ""en"")"),"fat ass")</f>
        <v>fat ass</v>
      </c>
    </row>
    <row r="27097">
      <c r="A27097" s="1" t="s">
        <v>27096</v>
      </c>
      <c r="B27097" s="2" t="str">
        <f>IFERROR(__xludf.DUMMYFUNCTION("GOOGLETRANSLATE(A27097, ""de"", ""en"")"),"perspectives")</f>
        <v>perspectives</v>
      </c>
    </row>
    <row r="27098">
      <c r="A27098" s="1" t="s">
        <v>27097</v>
      </c>
      <c r="B27098" s="2" t="str">
        <f>IFERROR(__xludf.DUMMYFUNCTION("GOOGLETRANSLATE(A27098, ""de"", ""en"")"),"coastal")</f>
        <v>coastal</v>
      </c>
    </row>
    <row r="27099">
      <c r="A27099" s="1" t="s">
        <v>27098</v>
      </c>
      <c r="B27099" s="2" t="str">
        <f>IFERROR(__xludf.DUMMYFUNCTION("GOOGLETRANSLATE(A27099, ""de"", ""en"")"),"hi")</f>
        <v>hi</v>
      </c>
    </row>
    <row r="27100">
      <c r="A27100" s="1" t="s">
        <v>27099</v>
      </c>
      <c r="B27100" s="2" t="str">
        <f>IFERROR(__xludf.DUMMYFUNCTION("GOOGLETRANSLATE(A27100, ""de"", ""en"")"),"awarded")</f>
        <v>awarded</v>
      </c>
    </row>
    <row r="27101">
      <c r="A27101" s="1" t="s">
        <v>27100</v>
      </c>
      <c r="B27101" s="2" t="str">
        <f>IFERROR(__xludf.DUMMYFUNCTION("GOOGLETRANSLATE(A27101, ""de"", ""en"")"),"bungling")</f>
        <v>bungling</v>
      </c>
    </row>
    <row r="27102">
      <c r="A27102" s="1" t="s">
        <v>27101</v>
      </c>
      <c r="B27102" s="2" t="str">
        <f>IFERROR(__xludf.DUMMYFUNCTION("GOOGLETRANSLATE(A27102, ""de"", ""en"")"),"secret police")</f>
        <v>secret police</v>
      </c>
    </row>
    <row r="27103">
      <c r="A27103" s="1" t="s">
        <v>27102</v>
      </c>
      <c r="B27103" s="2" t="str">
        <f>IFERROR(__xludf.DUMMYFUNCTION("GOOGLETRANSLATE(A27103, ""de"", ""en"")"),"charged")</f>
        <v>charged</v>
      </c>
    </row>
    <row r="27104">
      <c r="A27104" s="1" t="s">
        <v>27103</v>
      </c>
      <c r="B27104" s="2" t="str">
        <f>IFERROR(__xludf.DUMMYFUNCTION("GOOGLETRANSLATE(A27104, ""de"", ""en"")"),"unpredictable")</f>
        <v>unpredictable</v>
      </c>
    </row>
    <row r="27105">
      <c r="A27105" s="1" t="s">
        <v>27104</v>
      </c>
      <c r="B27105" s="2" t="str">
        <f>IFERROR(__xludf.DUMMYFUNCTION("GOOGLETRANSLATE(A27105, ""de"", ""en"")"),"arcadia")</f>
        <v>arcadia</v>
      </c>
    </row>
    <row r="27106">
      <c r="A27106" s="1" t="s">
        <v>27105</v>
      </c>
      <c r="B27106" s="2" t="str">
        <f>IFERROR(__xludf.DUMMYFUNCTION("GOOGLETRANSLATE(A27106, ""de"", ""en"")"),"rattle")</f>
        <v>rattle</v>
      </c>
    </row>
    <row r="27107">
      <c r="A27107" s="1" t="s">
        <v>27106</v>
      </c>
      <c r="B27107" s="2" t="str">
        <f>IFERROR(__xludf.DUMMYFUNCTION("GOOGLETRANSLATE(A27107, ""de"", ""en"")"),"resist")</f>
        <v>resist</v>
      </c>
    </row>
    <row r="27108">
      <c r="A27108" s="1" t="s">
        <v>27107</v>
      </c>
      <c r="B27108" s="2" t="str">
        <f>IFERROR(__xludf.DUMMYFUNCTION("GOOGLETRANSLATE(A27108, ""de"", ""en"")"),"cafes")</f>
        <v>cafes</v>
      </c>
    </row>
    <row r="27109">
      <c r="A27109" s="1" t="s">
        <v>27108</v>
      </c>
      <c r="B27109" s="2" t="str">
        <f>IFERROR(__xludf.DUMMYFUNCTION("GOOGLETRANSLATE(A27109, ""de"", ""en"")"),"delicate")</f>
        <v>delicate</v>
      </c>
    </row>
    <row r="27110">
      <c r="A27110" s="1" t="s">
        <v>27109</v>
      </c>
      <c r="B27110" s="2" t="str">
        <f>IFERROR(__xludf.DUMMYFUNCTION("GOOGLETRANSLATE(A27110, ""de"", ""en"")"),"shoot")</f>
        <v>shoot</v>
      </c>
    </row>
    <row r="27111">
      <c r="A27111" s="1" t="s">
        <v>27110</v>
      </c>
      <c r="B27111" s="2" t="str">
        <f>IFERROR(__xludf.DUMMYFUNCTION("GOOGLETRANSLATE(A27111, ""de"", ""en"")"),"owed")</f>
        <v>owed</v>
      </c>
    </row>
    <row r="27112">
      <c r="A27112" s="1" t="s">
        <v>27111</v>
      </c>
      <c r="B27112" s="2" t="str">
        <f>IFERROR(__xludf.DUMMYFUNCTION("GOOGLETRANSLATE(A27112, ""de"", ""en"")"),"rising")</f>
        <v>rising</v>
      </c>
    </row>
    <row r="27113">
      <c r="A27113" s="1" t="s">
        <v>27112</v>
      </c>
      <c r="B27113" s="2" t="str">
        <f>IFERROR(__xludf.DUMMYFUNCTION("GOOGLETRANSLATE(A27113, ""de"", ""en"")"),"reform")</f>
        <v>reform</v>
      </c>
    </row>
    <row r="27114">
      <c r="A27114" s="1" t="s">
        <v>27113</v>
      </c>
      <c r="B27114" s="2" t="str">
        <f>IFERROR(__xludf.DUMMYFUNCTION("GOOGLETRANSLATE(A27114, ""de"", ""en"")"),"jillian")</f>
        <v>jillian</v>
      </c>
    </row>
    <row r="27115">
      <c r="A27115" s="1" t="s">
        <v>27114</v>
      </c>
      <c r="B27115" s="2" t="str">
        <f>IFERROR(__xludf.DUMMYFUNCTION("GOOGLETRANSLATE(A27115, ""de"", ""en"")"),"gas chamber")</f>
        <v>gas chamber</v>
      </c>
    </row>
    <row r="27116">
      <c r="A27116" s="1" t="s">
        <v>27115</v>
      </c>
      <c r="B27116" s="2" t="str">
        <f>IFERROR(__xludf.DUMMYFUNCTION("GOOGLETRANSLATE(A27116, ""de"", ""en"")"),"x-rays")</f>
        <v>x-rays</v>
      </c>
    </row>
    <row r="27117">
      <c r="A27117" s="1" t="s">
        <v>27116</v>
      </c>
      <c r="B27117" s="2" t="str">
        <f>IFERROR(__xludf.DUMMYFUNCTION("GOOGLETRANSLATE(A27117, ""de"", ""en"")"),"tak")</f>
        <v>tak</v>
      </c>
    </row>
    <row r="27118">
      <c r="A27118" s="1" t="s">
        <v>27117</v>
      </c>
      <c r="B27118" s="2" t="str">
        <f>IFERROR(__xludf.DUMMYFUNCTION("GOOGLETRANSLATE(A27118, ""de"", ""en"")"),"empire")</f>
        <v>empire</v>
      </c>
    </row>
    <row r="27119">
      <c r="A27119" s="1" t="s">
        <v>27118</v>
      </c>
      <c r="B27119" s="2" t="str">
        <f>IFERROR(__xludf.DUMMYFUNCTION("GOOGLETRANSLATE(A27119, ""de"", ""en"")"),"appraiser")</f>
        <v>appraiser</v>
      </c>
    </row>
    <row r="27120">
      <c r="A27120" s="1" t="s">
        <v>27119</v>
      </c>
      <c r="B27120" s="2" t="str">
        <f>IFERROR(__xludf.DUMMYFUNCTION("GOOGLETRANSLATE(A27120, ""de"", ""en"")"),"physiology")</f>
        <v>physiology</v>
      </c>
    </row>
    <row r="27121">
      <c r="A27121" s="1" t="s">
        <v>27120</v>
      </c>
      <c r="B27121" s="2" t="str">
        <f>IFERROR(__xludf.DUMMYFUNCTION("GOOGLETRANSLATE(A27121, ""de"", ""en"")"),"actual")</f>
        <v>actual</v>
      </c>
    </row>
    <row r="27122">
      <c r="A27122" s="1" t="s">
        <v>27121</v>
      </c>
      <c r="B27122" s="2" t="str">
        <f>IFERROR(__xludf.DUMMYFUNCTION("GOOGLETRANSLATE(A27122, ""de"", ""en"")"),"intended")</f>
        <v>intended</v>
      </c>
    </row>
    <row r="27123">
      <c r="A27123" s="1" t="s">
        <v>27122</v>
      </c>
      <c r="B27123" s="2" t="str">
        <f>IFERROR(__xludf.DUMMYFUNCTION("GOOGLETRANSLATE(A27123, ""de"", ""en"")"),"nonsense")</f>
        <v>nonsense</v>
      </c>
    </row>
    <row r="27124">
      <c r="A27124" s="1" t="s">
        <v>27123</v>
      </c>
      <c r="B27124" s="2" t="str">
        <f>IFERROR(__xludf.DUMMYFUNCTION("GOOGLETRANSLATE(A27124, ""de"", ""en"")"),"yamato")</f>
        <v>yamato</v>
      </c>
    </row>
    <row r="27125">
      <c r="A27125" s="1" t="s">
        <v>27124</v>
      </c>
      <c r="B27125" s="2" t="str">
        <f>IFERROR(__xludf.DUMMYFUNCTION("GOOGLETRANSLATE(A27125, ""de"", ""en"")"),"is written on it")</f>
        <v>is written on it</v>
      </c>
    </row>
    <row r="27126">
      <c r="A27126" s="1" t="s">
        <v>27125</v>
      </c>
      <c r="B27126" s="2" t="str">
        <f>IFERROR(__xludf.DUMMYFUNCTION("GOOGLETRANSLATE(A27126, ""de"", ""en"")"),"would know")</f>
        <v>would know</v>
      </c>
    </row>
    <row r="27127">
      <c r="A27127" s="1" t="s">
        <v>27126</v>
      </c>
      <c r="B27127" s="2" t="str">
        <f>IFERROR(__xludf.DUMMYFUNCTION("GOOGLETRANSLATE(A27127, ""de"", ""en"")"),"saw")</f>
        <v>saw</v>
      </c>
    </row>
    <row r="27128">
      <c r="A27128" s="1" t="s">
        <v>27127</v>
      </c>
      <c r="B27128" s="2" t="str">
        <f>IFERROR(__xludf.DUMMYFUNCTION("GOOGLETRANSLATE(A27128, ""de"", ""en"")"),"to turn on")</f>
        <v>to turn on</v>
      </c>
    </row>
    <row r="27129">
      <c r="A27129" s="1" t="s">
        <v>27128</v>
      </c>
      <c r="B27129" s="2" t="str">
        <f>IFERROR(__xludf.DUMMYFUNCTION("GOOGLETRANSLATE(A27129, ""de"", ""en"")"),"noodle")</f>
        <v>noodle</v>
      </c>
    </row>
    <row r="27130">
      <c r="A27130" s="1" t="s">
        <v>27129</v>
      </c>
      <c r="B27130" s="2" t="str">
        <f>IFERROR(__xludf.DUMMYFUNCTION("GOOGLETRANSLATE(A27130, ""de"", ""en"")"),"predictable")</f>
        <v>predictable</v>
      </c>
    </row>
    <row r="27131">
      <c r="A27131" s="1" t="s">
        <v>27130</v>
      </c>
      <c r="B27131" s="2" t="str">
        <f>IFERROR(__xludf.DUMMYFUNCTION("GOOGLETRANSLATE(A27131, ""de"", ""en"")"),"cancel")</f>
        <v>cancel</v>
      </c>
    </row>
    <row r="27132">
      <c r="A27132" s="1" t="s">
        <v>27131</v>
      </c>
      <c r="B27132" s="2" t="str">
        <f>IFERROR(__xludf.DUMMYFUNCTION("GOOGLETRANSLATE(A27132, ""de"", ""en"")"),"thefts")</f>
        <v>thefts</v>
      </c>
    </row>
    <row r="27133">
      <c r="A27133" s="1" t="s">
        <v>27132</v>
      </c>
      <c r="B27133" s="2" t="str">
        <f>IFERROR(__xludf.DUMMYFUNCTION("GOOGLETRANSLATE(A27133, ""de"", ""en"")"),"special treatment")</f>
        <v>special treatment</v>
      </c>
    </row>
    <row r="27134">
      <c r="A27134" s="1" t="s">
        <v>27133</v>
      </c>
      <c r="B27134" s="2" t="str">
        <f>IFERROR(__xludf.DUMMYFUNCTION("GOOGLETRANSLATE(A27134, ""de"", ""en"")"),"sensations")</f>
        <v>sensations</v>
      </c>
    </row>
    <row r="27135">
      <c r="A27135" s="1" t="s">
        <v>27134</v>
      </c>
      <c r="B27135" s="2" t="str">
        <f>IFERROR(__xludf.DUMMYFUNCTION("GOOGLETRANSLATE(A27135, ""de"", ""en"")"),"leaves")</f>
        <v>leaves</v>
      </c>
    </row>
    <row r="27136">
      <c r="A27136" s="1" t="s">
        <v>27135</v>
      </c>
      <c r="B27136" s="2" t="str">
        <f>IFERROR(__xludf.DUMMYFUNCTION("GOOGLETRANSLATE(A27136, ""de"", ""en"")"),"Nigeria")</f>
        <v>Nigeria</v>
      </c>
    </row>
    <row r="27137">
      <c r="A27137" s="1" t="s">
        <v>27136</v>
      </c>
      <c r="B27137" s="2" t="str">
        <f>IFERROR(__xludf.DUMMYFUNCTION("GOOGLETRANSLATE(A27137, ""de"", ""en"")"),"has on")</f>
        <v>has on</v>
      </c>
    </row>
    <row r="27138">
      <c r="A27138" s="1" t="s">
        <v>27137</v>
      </c>
      <c r="B27138" s="2" t="str">
        <f>IFERROR(__xludf.DUMMYFUNCTION("GOOGLETRANSLATE(A27138, ""de"", ""en"")"),"wash")</f>
        <v>wash</v>
      </c>
    </row>
    <row r="27139">
      <c r="A27139" s="1" t="s">
        <v>27138</v>
      </c>
      <c r="B27139" s="2" t="str">
        <f>IFERROR(__xludf.DUMMYFUNCTION("GOOGLETRANSLATE(A27139, ""de"", ""en"")"),"drills")</f>
        <v>drills</v>
      </c>
    </row>
    <row r="27140">
      <c r="A27140" s="1" t="s">
        <v>27139</v>
      </c>
      <c r="B27140" s="2" t="str">
        <f>IFERROR(__xludf.DUMMYFUNCTION("GOOGLETRANSLATE(A27140, ""de"", ""en"")"),"to look around")</f>
        <v>to look around</v>
      </c>
    </row>
    <row r="27141">
      <c r="A27141" s="1" t="s">
        <v>27140</v>
      </c>
      <c r="B27141" s="2" t="str">
        <f>IFERROR(__xludf.DUMMYFUNCTION("GOOGLETRANSLATE(A27141, ""de"", ""en"")"),"unity")</f>
        <v>unity</v>
      </c>
    </row>
    <row r="27142">
      <c r="A27142" s="1" t="s">
        <v>27141</v>
      </c>
      <c r="B27142" s="2" t="str">
        <f>IFERROR(__xludf.DUMMYFUNCTION("GOOGLETRANSLATE(A27142, ""de"", ""en"")"),"boxer shorts")</f>
        <v>boxer shorts</v>
      </c>
    </row>
    <row r="27143">
      <c r="A27143" s="1" t="s">
        <v>27142</v>
      </c>
      <c r="B27143" s="2" t="str">
        <f>IFERROR(__xludf.DUMMYFUNCTION("GOOGLETRANSLATE(A27143, ""de"", ""en"")"),"to intimidate")</f>
        <v>to intimidate</v>
      </c>
    </row>
    <row r="27144">
      <c r="A27144" s="1" t="s">
        <v>27143</v>
      </c>
      <c r="B27144" s="2" t="str">
        <f>IFERROR(__xludf.DUMMYFUNCTION("GOOGLETRANSLATE(A27144, ""de"", ""en"")"),"orsini")</f>
        <v>orsini</v>
      </c>
    </row>
    <row r="27145">
      <c r="A27145" s="1" t="s">
        <v>27144</v>
      </c>
      <c r="B27145" s="2" t="str">
        <f>IFERROR(__xludf.DUMMYFUNCTION("GOOGLETRANSLATE(A27145, ""de"", ""en"")"),"savior")</f>
        <v>savior</v>
      </c>
    </row>
    <row r="27146">
      <c r="A27146" s="1" t="s">
        <v>27145</v>
      </c>
      <c r="B27146" s="2" t="str">
        <f>IFERROR(__xludf.DUMMYFUNCTION("GOOGLETRANSLATE(A27146, ""de"", ""en"")"),"spector")</f>
        <v>spector</v>
      </c>
    </row>
    <row r="27147">
      <c r="A27147" s="1" t="s">
        <v>27146</v>
      </c>
      <c r="B27147" s="2" t="str">
        <f>IFERROR(__xludf.DUMMYFUNCTION("GOOGLETRANSLATE(A27147, ""de"", ""en"")"),"electric shocks")</f>
        <v>electric shocks</v>
      </c>
    </row>
    <row r="27148">
      <c r="A27148" s="1" t="s">
        <v>27147</v>
      </c>
      <c r="B27148" s="2" t="str">
        <f>IFERROR(__xludf.DUMMYFUNCTION("GOOGLETRANSLATE(A27148, ""de"", ""en"")"),"birds chirping")</f>
        <v>birds chirping</v>
      </c>
    </row>
    <row r="27149">
      <c r="A27149" s="1" t="s">
        <v>27148</v>
      </c>
      <c r="B27149" s="2" t="str">
        <f>IFERROR(__xludf.DUMMYFUNCTION("GOOGLETRANSLATE(A27149, ""de"", ""en"")"),"sgt.")</f>
        <v>sgt.</v>
      </c>
    </row>
    <row r="27150">
      <c r="A27150" s="1" t="s">
        <v>27149</v>
      </c>
      <c r="B27150" s="2" t="str">
        <f>IFERROR(__xludf.DUMMYFUNCTION("GOOGLETRANSLATE(A27150, ""de"", ""en"")"),"plum")</f>
        <v>plum</v>
      </c>
    </row>
    <row r="27151">
      <c r="A27151" s="1" t="s">
        <v>27150</v>
      </c>
      <c r="B27151" s="2" t="str">
        <f>IFERROR(__xludf.DUMMYFUNCTION("GOOGLETRANSLATE(A27151, ""de"", ""en"")"),"serve")</f>
        <v>serve</v>
      </c>
    </row>
    <row r="27152">
      <c r="A27152" s="1" t="s">
        <v>27151</v>
      </c>
      <c r="B27152" s="2" t="str">
        <f>IFERROR(__xludf.DUMMYFUNCTION("GOOGLETRANSLATE(A27152, ""de"", ""en"")"),"complicate")</f>
        <v>complicate</v>
      </c>
    </row>
    <row r="27153">
      <c r="A27153" s="1" t="s">
        <v>27152</v>
      </c>
      <c r="B27153" s="2" t="str">
        <f>IFERROR(__xludf.DUMMYFUNCTION("GOOGLETRANSLATE(A27153, ""de"", ""en"")"),"convincing")</f>
        <v>convincing</v>
      </c>
    </row>
    <row r="27154">
      <c r="A27154" s="1" t="s">
        <v>27153</v>
      </c>
      <c r="B27154" s="2" t="str">
        <f>IFERROR(__xludf.DUMMYFUNCTION("GOOGLETRANSLATE(A27154, ""de"", ""en"")"),"tasty")</f>
        <v>tasty</v>
      </c>
    </row>
    <row r="27155">
      <c r="A27155" s="1" t="s">
        <v>27154</v>
      </c>
      <c r="B27155" s="2" t="str">
        <f>IFERROR(__xludf.DUMMYFUNCTION("GOOGLETRANSLATE(A27155, ""de"", ""en"")"),"fin")</f>
        <v>fin</v>
      </c>
    </row>
    <row r="27156">
      <c r="A27156" s="1" t="s">
        <v>27155</v>
      </c>
      <c r="B27156" s="2" t="str">
        <f>IFERROR(__xludf.DUMMYFUNCTION("GOOGLETRANSLATE(A27156, ""de"", ""en"")"),"sly")</f>
        <v>sly</v>
      </c>
    </row>
    <row r="27157">
      <c r="A27157" s="1" t="s">
        <v>27156</v>
      </c>
      <c r="B27157" s="2" t="str">
        <f>IFERROR(__xludf.DUMMYFUNCTION("GOOGLETRANSLATE(A27157, ""de"", ""en"")"),"anyone")</f>
        <v>anyone</v>
      </c>
    </row>
    <row r="27158">
      <c r="A27158" s="1" t="s">
        <v>27157</v>
      </c>
      <c r="B27158" s="2" t="str">
        <f>IFERROR(__xludf.DUMMYFUNCTION("GOOGLETRANSLATE(A27158, ""de"", ""en"")"),"rosario")</f>
        <v>rosario</v>
      </c>
    </row>
    <row r="27159">
      <c r="A27159" s="1" t="s">
        <v>27158</v>
      </c>
      <c r="B27159" s="2" t="str">
        <f>IFERROR(__xludf.DUMMYFUNCTION("GOOGLETRANSLATE(A27159, ""de"", ""en"")"),"pao")</f>
        <v>pao</v>
      </c>
    </row>
    <row r="27160">
      <c r="A27160" s="1" t="s">
        <v>27159</v>
      </c>
      <c r="B27160" s="2" t="str">
        <f>IFERROR(__xludf.DUMMYFUNCTION("GOOGLETRANSLATE(A27160, ""de"", ""en"")"),"peninsula")</f>
        <v>peninsula</v>
      </c>
    </row>
    <row r="27161">
      <c r="A27161" s="1" t="s">
        <v>27160</v>
      </c>
      <c r="B27161" s="2" t="str">
        <f>IFERROR(__xludf.DUMMYFUNCTION("GOOGLETRANSLATE(A27161, ""de"", ""en"")"),"reference")</f>
        <v>reference</v>
      </c>
    </row>
    <row r="27162">
      <c r="A27162" s="1" t="s">
        <v>27161</v>
      </c>
      <c r="B27162" s="2" t="str">
        <f>IFERROR(__xludf.DUMMYFUNCTION("GOOGLETRANSLATE(A27162, ""de"", ""en"")"),"opi")</f>
        <v>opi</v>
      </c>
    </row>
    <row r="27163">
      <c r="A27163" s="1" t="s">
        <v>27162</v>
      </c>
      <c r="B27163" s="2" t="str">
        <f>IFERROR(__xludf.DUMMYFUNCTION("GOOGLETRANSLATE(A27163, ""de"", ""en"")"),"toupee")</f>
        <v>toupee</v>
      </c>
    </row>
    <row r="27164">
      <c r="A27164" s="1" t="s">
        <v>27163</v>
      </c>
      <c r="B27164" s="2" t="str">
        <f>IFERROR(__xludf.DUMMYFUNCTION("GOOGLETRANSLATE(A27164, ""de"", ""en"")"),"agree")</f>
        <v>agree</v>
      </c>
    </row>
    <row r="27165">
      <c r="A27165" s="1" t="s">
        <v>27164</v>
      </c>
      <c r="B27165" s="2" t="str">
        <f>IFERROR(__xludf.DUMMYFUNCTION("GOOGLETRANSLATE(A27165, ""de"", ""en"")"),"anal")</f>
        <v>anal</v>
      </c>
    </row>
    <row r="27166">
      <c r="A27166" s="1" t="s">
        <v>27165</v>
      </c>
      <c r="B27166" s="2" t="str">
        <f>IFERROR(__xludf.DUMMYFUNCTION("GOOGLETRANSLATE(A27166, ""de"", ""en"")"),"ordinary")</f>
        <v>ordinary</v>
      </c>
    </row>
    <row r="27167">
      <c r="A27167" s="1" t="s">
        <v>27166</v>
      </c>
      <c r="B27167" s="2" t="str">
        <f>IFERROR(__xludf.DUMMYFUNCTION("GOOGLETRANSLATE(A27167, ""de"", ""en"")"),"teamwork")</f>
        <v>teamwork</v>
      </c>
    </row>
    <row r="27168">
      <c r="A27168" s="1" t="s">
        <v>27167</v>
      </c>
      <c r="B27168" s="2" t="str">
        <f>IFERROR(__xludf.DUMMYFUNCTION("GOOGLETRANSLATE(A27168, ""de"", ""en"")"),"sell out")</f>
        <v>sell out</v>
      </c>
    </row>
    <row r="27169">
      <c r="A27169" s="1" t="s">
        <v>27168</v>
      </c>
      <c r="B27169" s="2" t="str">
        <f>IFERROR(__xludf.DUMMYFUNCTION("GOOGLETRANSLATE(A27169, ""de"", ""en"")"),"floor plan")</f>
        <v>floor plan</v>
      </c>
    </row>
    <row r="27170">
      <c r="A27170" s="1" t="s">
        <v>27169</v>
      </c>
      <c r="B27170" s="2" t="str">
        <f>IFERROR(__xludf.DUMMYFUNCTION("GOOGLETRANSLATE(A27170, ""de"", ""en"")"),"nectar")</f>
        <v>nectar</v>
      </c>
    </row>
    <row r="27171">
      <c r="A27171" s="1" t="s">
        <v>27170</v>
      </c>
      <c r="B27171" s="2" t="str">
        <f>IFERROR(__xludf.DUMMYFUNCTION("GOOGLETRANSLATE(A27171, ""de"", ""en"")"),"nurse")</f>
        <v>nurse</v>
      </c>
    </row>
    <row r="27172">
      <c r="A27172" s="1" t="s">
        <v>27171</v>
      </c>
      <c r="B27172" s="2" t="str">
        <f>IFERROR(__xludf.DUMMYFUNCTION("GOOGLETRANSLATE(A27172, ""de"", ""en"")"),"indicates")</f>
        <v>indicates</v>
      </c>
    </row>
    <row r="27173">
      <c r="A27173" s="1" t="s">
        <v>27172</v>
      </c>
      <c r="B27173" s="2" t="str">
        <f>IFERROR(__xludf.DUMMYFUNCTION("GOOGLETRANSLATE(A27173, ""de"", ""en"")"),"runs away")</f>
        <v>runs away</v>
      </c>
    </row>
    <row r="27174">
      <c r="A27174" s="1" t="s">
        <v>27173</v>
      </c>
      <c r="B27174" s="2" t="str">
        <f>IFERROR(__xludf.DUMMYFUNCTION("GOOGLETRANSLATE(A27174, ""de"", ""en"")"),"beamed")</f>
        <v>beamed</v>
      </c>
    </row>
    <row r="27175">
      <c r="A27175" s="1" t="s">
        <v>27174</v>
      </c>
      <c r="B27175" s="2" t="str">
        <f>IFERROR(__xludf.DUMMYFUNCTION("GOOGLETRANSLATE(A27175, ""de"", ""en"")"),"Hindi")</f>
        <v>Hindi</v>
      </c>
    </row>
    <row r="27176">
      <c r="A27176" s="1" t="s">
        <v>27175</v>
      </c>
      <c r="B27176" s="2" t="str">
        <f>IFERROR(__xludf.DUMMYFUNCTION("GOOGLETRANSLATE(A27176, ""de"", ""en"")"),"missed")</f>
        <v>missed</v>
      </c>
    </row>
    <row r="27177">
      <c r="A27177" s="1" t="s">
        <v>27176</v>
      </c>
      <c r="B27177" s="2" t="str">
        <f>IFERROR(__xludf.DUMMYFUNCTION("GOOGLETRANSLATE(A27177, ""de"", ""en"")"),"criminal")</f>
        <v>criminal</v>
      </c>
    </row>
    <row r="27178">
      <c r="A27178" s="1" t="s">
        <v>27177</v>
      </c>
      <c r="B27178" s="2" t="str">
        <f>IFERROR(__xludf.DUMMYFUNCTION("GOOGLETRANSLATE(A27178, ""de"", ""en"")"),"magic word")</f>
        <v>magic word</v>
      </c>
    </row>
    <row r="27179">
      <c r="A27179" s="1" t="s">
        <v>27178</v>
      </c>
      <c r="B27179" s="2" t="str">
        <f>IFERROR(__xludf.DUMMYFUNCTION("GOOGLETRANSLATE(A27179, ""de"", ""en"")"),"funeral home")</f>
        <v>funeral home</v>
      </c>
    </row>
    <row r="27180">
      <c r="A27180" s="1" t="s">
        <v>27179</v>
      </c>
      <c r="B27180" s="2" t="str">
        <f>IFERROR(__xludf.DUMMYFUNCTION("GOOGLETRANSLATE(A27180, ""de"", ""en"")"),"tampon")</f>
        <v>tampon</v>
      </c>
    </row>
    <row r="27181">
      <c r="A27181" s="1" t="s">
        <v>27180</v>
      </c>
      <c r="B27181" s="2" t="str">
        <f>IFERROR(__xludf.DUMMYFUNCTION("GOOGLETRANSLATE(A27181, ""de"", ""en"")"),"girl")</f>
        <v>girl</v>
      </c>
    </row>
    <row r="27182">
      <c r="A27182" s="1" t="s">
        <v>27181</v>
      </c>
      <c r="B27182" s="2" t="str">
        <f>IFERROR(__xludf.DUMMYFUNCTION("GOOGLETRANSLATE(A27182, ""de"", ""en"")"),"heard")</f>
        <v>heard</v>
      </c>
    </row>
    <row r="27183">
      <c r="A27183" s="1" t="s">
        <v>27182</v>
      </c>
      <c r="B27183" s="2" t="str">
        <f>IFERROR(__xludf.DUMMYFUNCTION("GOOGLETRANSLATE(A27183, ""de"", ""en"")"),"comedies")</f>
        <v>comedies</v>
      </c>
    </row>
    <row r="27184">
      <c r="A27184" s="1" t="s">
        <v>27183</v>
      </c>
      <c r="B27184" s="2" t="str">
        <f>IFERROR(__xludf.DUMMYFUNCTION("GOOGLETRANSLATE(A27184, ""de"", ""en"")"),"cure")</f>
        <v>cure</v>
      </c>
    </row>
    <row r="27185">
      <c r="A27185" s="1" t="s">
        <v>27184</v>
      </c>
      <c r="B27185" s="2" t="str">
        <f>IFERROR(__xludf.DUMMYFUNCTION("GOOGLETRANSLATE(A27185, ""de"", ""en"")"),"remember")</f>
        <v>remember</v>
      </c>
    </row>
    <row r="27186">
      <c r="A27186" s="1" t="s">
        <v>27185</v>
      </c>
      <c r="B27186" s="2" t="str">
        <f>IFERROR(__xludf.DUMMYFUNCTION("GOOGLETRANSLATE(A27186, ""de"", ""en"")"),"bitterness")</f>
        <v>bitterness</v>
      </c>
    </row>
    <row r="27187">
      <c r="A27187" s="1" t="s">
        <v>27186</v>
      </c>
      <c r="B27187" s="2" t="str">
        <f>IFERROR(__xludf.DUMMYFUNCTION("GOOGLETRANSLATE(A27187, ""de"", ""en"")"),"spectrum")</f>
        <v>spectrum</v>
      </c>
    </row>
    <row r="27188">
      <c r="A27188" s="1" t="s">
        <v>27187</v>
      </c>
      <c r="B27188" s="2" t="str">
        <f>IFERROR(__xludf.DUMMYFUNCTION("GOOGLETRANSLATE(A27188, ""de"", ""en"")"),"tilt")</f>
        <v>tilt</v>
      </c>
    </row>
    <row r="27189">
      <c r="A27189" s="1" t="s">
        <v>27188</v>
      </c>
      <c r="B27189" s="2" t="str">
        <f>IFERROR(__xludf.DUMMYFUNCTION("GOOGLETRANSLATE(A27189, ""de"", ""en"")"),"chief inspector")</f>
        <v>chief inspector</v>
      </c>
    </row>
    <row r="27190">
      <c r="A27190" s="1" t="s">
        <v>27189</v>
      </c>
      <c r="B27190" s="2" t="str">
        <f>IFERROR(__xludf.DUMMYFUNCTION("GOOGLETRANSLATE(A27190, ""de"", ""en"")"),"hint")</f>
        <v>hint</v>
      </c>
    </row>
    <row r="27191">
      <c r="A27191" s="1" t="s">
        <v>27190</v>
      </c>
      <c r="B27191" s="2" t="str">
        <f>IFERROR(__xludf.DUMMYFUNCTION("GOOGLETRANSLATE(A27191, ""de"", ""en"")"),"accounting")</f>
        <v>accounting</v>
      </c>
    </row>
    <row r="27192">
      <c r="A27192" s="1" t="s">
        <v>27191</v>
      </c>
      <c r="B27192" s="2" t="str">
        <f>IFERROR(__xludf.DUMMYFUNCTION("GOOGLETRANSLATE(A27192, ""de"", ""en"")"),"sense of smell")</f>
        <v>sense of smell</v>
      </c>
    </row>
    <row r="27193">
      <c r="A27193" s="1" t="s">
        <v>27192</v>
      </c>
      <c r="B27193" s="2" t="str">
        <f>IFERROR(__xludf.DUMMYFUNCTION("GOOGLETRANSLATE(A27193, ""de"", ""en"")"),"sensual")</f>
        <v>sensual</v>
      </c>
    </row>
    <row r="27194">
      <c r="A27194" s="1" t="s">
        <v>27193</v>
      </c>
      <c r="B27194" s="2" t="str">
        <f>IFERROR(__xludf.DUMMYFUNCTION("GOOGLETRANSLATE(A27194, ""de"", ""en"")"),"beeped")</f>
        <v>beeped</v>
      </c>
    </row>
    <row r="27195">
      <c r="A27195" s="1" t="s">
        <v>27194</v>
      </c>
      <c r="B27195" s="2" t="str">
        <f>IFERROR(__xludf.DUMMYFUNCTION("GOOGLETRANSLATE(A27195, ""de"", ""en"")"),"speculated")</f>
        <v>speculated</v>
      </c>
    </row>
    <row r="27196">
      <c r="A27196" s="1" t="s">
        <v>27195</v>
      </c>
      <c r="B27196" s="2" t="str">
        <f>IFERROR(__xludf.DUMMYFUNCTION("GOOGLETRANSLATE(A27196, ""de"", ""en"")"),"anticipated")</f>
        <v>anticipated</v>
      </c>
    </row>
    <row r="27197">
      <c r="A27197" s="1" t="s">
        <v>27196</v>
      </c>
      <c r="B27197" s="2" t="str">
        <f>IFERROR(__xludf.DUMMYFUNCTION("GOOGLETRANSLATE(A27197, ""de"", ""en"")"),"brace")</f>
        <v>brace</v>
      </c>
    </row>
    <row r="27198">
      <c r="A27198" s="1" t="s">
        <v>27197</v>
      </c>
      <c r="B27198" s="2" t="str">
        <f>IFERROR(__xludf.DUMMYFUNCTION("GOOGLETRANSLATE(A27198, ""de"", ""en"")"),"labels")</f>
        <v>labels</v>
      </c>
    </row>
    <row r="27199">
      <c r="A27199" s="1" t="s">
        <v>27198</v>
      </c>
      <c r="B27199" s="2" t="str">
        <f>IFERROR(__xludf.DUMMYFUNCTION("GOOGLETRANSLATE(A27199, ""de"", ""en"")"),"retirement home")</f>
        <v>retirement home</v>
      </c>
    </row>
    <row r="27200">
      <c r="A27200" s="1" t="s">
        <v>27199</v>
      </c>
      <c r="B27200" s="2" t="str">
        <f>IFERROR(__xludf.DUMMYFUNCTION("GOOGLETRANSLATE(A27200, ""de"", ""en"")"),"rae")</f>
        <v>rae</v>
      </c>
    </row>
    <row r="27201">
      <c r="A27201" s="1" t="s">
        <v>27200</v>
      </c>
      <c r="B27201" s="2" t="str">
        <f>IFERROR(__xludf.DUMMYFUNCTION("GOOGLETRANSLATE(A27201, ""de"", ""en"")"),"cavemen")</f>
        <v>cavemen</v>
      </c>
    </row>
    <row r="27202">
      <c r="A27202" s="1" t="s">
        <v>27201</v>
      </c>
      <c r="B27202" s="2" t="str">
        <f>IFERROR(__xludf.DUMMYFUNCTION("GOOGLETRANSLATE(A27202, ""de"", ""en"")"),"hip hop")</f>
        <v>hip hop</v>
      </c>
    </row>
    <row r="27203">
      <c r="A27203" s="1" t="s">
        <v>27202</v>
      </c>
      <c r="B27203" s="2" t="str">
        <f>IFERROR(__xludf.DUMMYFUNCTION("GOOGLETRANSLATE(A27203, ""de"", ""en"")"),"achieve")</f>
        <v>achieve</v>
      </c>
    </row>
    <row r="27204">
      <c r="A27204" s="1" t="s">
        <v>27203</v>
      </c>
      <c r="B27204" s="2" t="str">
        <f>IFERROR(__xludf.DUMMYFUNCTION("GOOGLETRANSLATE(A27204, ""de"", ""en"")"),"pick up")</f>
        <v>pick up</v>
      </c>
    </row>
    <row r="27205">
      <c r="A27205" s="1" t="s">
        <v>27204</v>
      </c>
      <c r="B27205" s="2" t="str">
        <f>IFERROR(__xludf.DUMMYFUNCTION("GOOGLETRANSLATE(A27205, ""de"", ""en"")"),"linn")</f>
        <v>linn</v>
      </c>
    </row>
    <row r="27206">
      <c r="A27206" s="1" t="s">
        <v>27205</v>
      </c>
      <c r="B27206" s="2" t="str">
        <f>IFERROR(__xludf.DUMMYFUNCTION("GOOGLETRANSLATE(A27206, ""de"", ""en"")"),"beam up")</f>
        <v>beam up</v>
      </c>
    </row>
    <row r="27207">
      <c r="A27207" s="1" t="s">
        <v>27206</v>
      </c>
      <c r="B27207" s="2" t="str">
        <f>IFERROR(__xludf.DUMMYFUNCTION("GOOGLETRANSLATE(A27207, ""de"", ""en"")"),"home visit")</f>
        <v>home visit</v>
      </c>
    </row>
    <row r="27208">
      <c r="A27208" s="1" t="s">
        <v>27207</v>
      </c>
      <c r="B27208" s="2" t="str">
        <f>IFERROR(__xludf.DUMMYFUNCTION("GOOGLETRANSLATE(A27208, ""de"", ""en"")"),"ride")</f>
        <v>ride</v>
      </c>
    </row>
    <row r="27209">
      <c r="A27209" s="1" t="s">
        <v>27208</v>
      </c>
      <c r="B27209" s="2" t="str">
        <f>IFERROR(__xludf.DUMMYFUNCTION("GOOGLETRANSLATE(A27209, ""de"", ""en"")"),"hold up")</f>
        <v>hold up</v>
      </c>
    </row>
    <row r="27210">
      <c r="A27210" s="1" t="s">
        <v>27209</v>
      </c>
      <c r="B27210" s="2" t="str">
        <f>IFERROR(__xludf.DUMMYFUNCTION("GOOGLETRANSLATE(A27210, ""de"", ""en"")"),"to write down")</f>
        <v>to write down</v>
      </c>
    </row>
    <row r="27211">
      <c r="A27211" s="1" t="s">
        <v>27210</v>
      </c>
      <c r="B27211" s="2" t="str">
        <f>IFERROR(__xludf.DUMMYFUNCTION("GOOGLETRANSLATE(A27211, ""de"", ""en"")"),"cotton wool")</f>
        <v>cotton wool</v>
      </c>
    </row>
    <row r="27212">
      <c r="A27212" s="1" t="s">
        <v>27211</v>
      </c>
      <c r="B27212" s="2" t="str">
        <f>IFERROR(__xludf.DUMMYFUNCTION("GOOGLETRANSLATE(A27212, ""de"", ""en"")"),"expanded")</f>
        <v>expanded</v>
      </c>
    </row>
    <row r="27213">
      <c r="A27213" s="1" t="s">
        <v>27212</v>
      </c>
      <c r="B27213" s="2" t="str">
        <f>IFERROR(__xludf.DUMMYFUNCTION("GOOGLETRANSLATE(A27213, ""de"", ""en"")"),"exciting")</f>
        <v>exciting</v>
      </c>
    </row>
    <row r="27214">
      <c r="A27214" s="1" t="s">
        <v>27213</v>
      </c>
      <c r="B27214" s="2" t="str">
        <f>IFERROR(__xludf.DUMMYFUNCTION("GOOGLETRANSLATE(A27214, ""de"", ""en"")"),"color in")</f>
        <v>color in</v>
      </c>
    </row>
    <row r="27215">
      <c r="A27215" s="1" t="s">
        <v>27214</v>
      </c>
      <c r="B27215" s="2" t="str">
        <f>IFERROR(__xludf.DUMMYFUNCTION("GOOGLETRANSLATE(A27215, ""de"", ""en"")"),"indy")</f>
        <v>indy</v>
      </c>
    </row>
    <row r="27216">
      <c r="A27216" s="1" t="s">
        <v>27215</v>
      </c>
      <c r="B27216" s="2" t="str">
        <f>IFERROR(__xludf.DUMMYFUNCTION("GOOGLETRANSLATE(A27216, ""de"", ""en"")"),"gal")</f>
        <v>gal</v>
      </c>
    </row>
    <row r="27217">
      <c r="A27217" s="1" t="s">
        <v>27216</v>
      </c>
      <c r="B27217" s="2" t="str">
        <f>IFERROR(__xludf.DUMMYFUNCTION("GOOGLETRANSLATE(A27217, ""de"", ""en"")"),"justify")</f>
        <v>justify</v>
      </c>
    </row>
    <row r="27218">
      <c r="A27218" s="1" t="s">
        <v>27217</v>
      </c>
      <c r="B27218" s="2" t="str">
        <f>IFERROR(__xludf.DUMMYFUNCTION("GOOGLETRANSLATE(A27218, ""de"", ""en"")"),"supermans")</f>
        <v>supermans</v>
      </c>
    </row>
    <row r="27219">
      <c r="A27219" s="1" t="s">
        <v>27218</v>
      </c>
      <c r="B27219" s="2" t="str">
        <f>IFERROR(__xludf.DUMMYFUNCTION("GOOGLETRANSLATE(A27219, ""de"", ""en"")"),"check")</f>
        <v>check</v>
      </c>
    </row>
    <row r="27220">
      <c r="A27220" s="1" t="s">
        <v>27219</v>
      </c>
      <c r="B27220" s="2" t="str">
        <f>IFERROR(__xludf.DUMMYFUNCTION("GOOGLETRANSLATE(A27220, ""de"", ""en"")"),"rapes")</f>
        <v>rapes</v>
      </c>
    </row>
    <row r="27221">
      <c r="A27221" s="1" t="s">
        <v>27220</v>
      </c>
      <c r="B27221" s="2" t="str">
        <f>IFERROR(__xludf.DUMMYFUNCTION("GOOGLETRANSLATE(A27221, ""de"", ""en"")"),"very last")</f>
        <v>very last</v>
      </c>
    </row>
    <row r="27222">
      <c r="A27222" s="1" t="s">
        <v>27221</v>
      </c>
      <c r="B27222" s="2" t="str">
        <f>IFERROR(__xludf.DUMMYFUNCTION("GOOGLETRANSLATE(A27222, ""de"", ""en"")"),"went along")</f>
        <v>went along</v>
      </c>
    </row>
    <row r="27223">
      <c r="A27223" s="1" t="s">
        <v>27222</v>
      </c>
      <c r="B27223" s="2" t="str">
        <f>IFERROR(__xludf.DUMMYFUNCTION("GOOGLETRANSLATE(A27223, ""de"", ""en"")"),"conclusion")</f>
        <v>conclusion</v>
      </c>
    </row>
    <row r="27224">
      <c r="A27224" s="1" t="s">
        <v>27223</v>
      </c>
      <c r="B27224" s="2" t="str">
        <f>IFERROR(__xludf.DUMMYFUNCTION("GOOGLETRANSLATE(A27224, ""de"", ""en"")"),"dismissed")</f>
        <v>dismissed</v>
      </c>
    </row>
    <row r="27225">
      <c r="A27225" s="1" t="s">
        <v>27224</v>
      </c>
      <c r="B27225" s="2" t="str">
        <f>IFERROR(__xludf.DUMMYFUNCTION("GOOGLETRANSLATE(A27225, ""de"", ""en"")"),"jerseys")</f>
        <v>jerseys</v>
      </c>
    </row>
    <row r="27226">
      <c r="A27226" s="1" t="s">
        <v>27225</v>
      </c>
      <c r="B27226" s="2" t="str">
        <f>IFERROR(__xludf.DUMMYFUNCTION("GOOGLETRANSLATE(A27226, ""de"", ""en"")"),"casserole")</f>
        <v>casserole</v>
      </c>
    </row>
    <row r="27227">
      <c r="A27227" s="1" t="s">
        <v>27226</v>
      </c>
      <c r="B27227" s="2" t="str">
        <f>IFERROR(__xludf.DUMMYFUNCTION("GOOGLETRANSLATE(A27227, ""de"", ""en"")"),"screw up")</f>
        <v>screw up</v>
      </c>
    </row>
    <row r="27228">
      <c r="A27228" s="1" t="s">
        <v>27227</v>
      </c>
      <c r="B27228" s="2" t="str">
        <f>IFERROR(__xludf.DUMMYFUNCTION("GOOGLETRANSLATE(A27228, ""de"", ""en"")"),"pick")</f>
        <v>pick</v>
      </c>
    </row>
    <row r="27229">
      <c r="A27229" s="1" t="s">
        <v>27228</v>
      </c>
      <c r="B27229" s="2" t="str">
        <f>IFERROR(__xludf.DUMMYFUNCTION("GOOGLETRANSLATE(A27229, ""de"", ""en"")"),"eyeballs")</f>
        <v>eyeballs</v>
      </c>
    </row>
    <row r="27230">
      <c r="A27230" s="1" t="s">
        <v>27229</v>
      </c>
      <c r="B27230" s="2" t="str">
        <f>IFERROR(__xludf.DUMMYFUNCTION("GOOGLETRANSLATE(A27230, ""de"", ""en"")"),"grasshopper")</f>
        <v>grasshopper</v>
      </c>
    </row>
    <row r="27231">
      <c r="A27231" s="1" t="s">
        <v>27230</v>
      </c>
      <c r="B27231" s="2" t="str">
        <f>IFERROR(__xludf.DUMMYFUNCTION("GOOGLETRANSLATE(A27231, ""de"", ""en"")"),"erased")</f>
        <v>erased</v>
      </c>
    </row>
    <row r="27232">
      <c r="A27232" s="1" t="s">
        <v>27231</v>
      </c>
      <c r="B27232" s="2" t="str">
        <f>IFERROR(__xludf.DUMMYFUNCTION("GOOGLETRANSLATE(A27232, ""de"", ""en"")"),"qualifications")</f>
        <v>qualifications</v>
      </c>
    </row>
    <row r="27233">
      <c r="A27233" s="1" t="s">
        <v>27232</v>
      </c>
      <c r="B27233" s="2" t="str">
        <f>IFERROR(__xludf.DUMMYFUNCTION("GOOGLETRANSLATE(A27233, ""de"", ""en"")"),"milestone")</f>
        <v>milestone</v>
      </c>
    </row>
    <row r="27234">
      <c r="A27234" s="1" t="s">
        <v>27233</v>
      </c>
      <c r="B27234" s="2" t="str">
        <f>IFERROR(__xludf.DUMMYFUNCTION("GOOGLETRANSLATE(A27234, ""de"", ""en"")"),"gigolo")</f>
        <v>gigolo</v>
      </c>
    </row>
    <row r="27235">
      <c r="A27235" s="1" t="s">
        <v>27234</v>
      </c>
      <c r="B27235" s="2" t="str">
        <f>IFERROR(__xludf.DUMMYFUNCTION("GOOGLETRANSLATE(A27235, ""de"", ""en"")"),"serrano")</f>
        <v>serrano</v>
      </c>
    </row>
    <row r="27236">
      <c r="A27236" s="1" t="s">
        <v>27235</v>
      </c>
      <c r="B27236" s="2" t="str">
        <f>IFERROR(__xludf.DUMMYFUNCTION("GOOGLETRANSLATE(A27236, ""de"", ""en"")"),"inflated")</f>
        <v>inflated</v>
      </c>
    </row>
    <row r="27237">
      <c r="A27237" s="1" t="s">
        <v>27236</v>
      </c>
      <c r="B27237" s="2" t="str">
        <f>IFERROR(__xludf.DUMMYFUNCTION("GOOGLETRANSLATE(A27237, ""de"", ""en"")"),"noonan")</f>
        <v>noonan</v>
      </c>
    </row>
    <row r="27238">
      <c r="A27238" s="1" t="s">
        <v>27237</v>
      </c>
      <c r="B27238" s="2" t="str">
        <f>IFERROR(__xludf.DUMMYFUNCTION("GOOGLETRANSLATE(A27238, ""de"", ""en"")"),"simpleton")</f>
        <v>simpleton</v>
      </c>
    </row>
    <row r="27239">
      <c r="A27239" s="1" t="s">
        <v>27238</v>
      </c>
      <c r="B27239" s="2" t="str">
        <f>IFERROR(__xludf.DUMMYFUNCTION("GOOGLETRANSLATE(A27239, ""de"", ""en"")"),"discarded")</f>
        <v>discarded</v>
      </c>
    </row>
    <row r="27240">
      <c r="A27240" s="1" t="s">
        <v>27239</v>
      </c>
      <c r="B27240" s="2" t="str">
        <f>IFERROR(__xludf.DUMMYFUNCTION("GOOGLETRANSLATE(A27240, ""de"", ""en"")"),"lift")</f>
        <v>lift</v>
      </c>
    </row>
    <row r="27241">
      <c r="A27241" s="1" t="s">
        <v>27240</v>
      </c>
      <c r="B27241" s="2" t="str">
        <f>IFERROR(__xludf.DUMMYFUNCTION("GOOGLETRANSLATE(A27241, ""de"", ""en"")"),"followers")</f>
        <v>followers</v>
      </c>
    </row>
    <row r="27242">
      <c r="A27242" s="1" t="s">
        <v>27241</v>
      </c>
      <c r="B27242" s="2" t="str">
        <f>IFERROR(__xludf.DUMMYFUNCTION("GOOGLETRANSLATE(A27242, ""de"", ""en"")"),"roll around")</f>
        <v>roll around</v>
      </c>
    </row>
    <row r="27243">
      <c r="A27243" s="1" t="s">
        <v>27242</v>
      </c>
      <c r="B27243" s="2" t="str">
        <f>IFERROR(__xludf.DUMMYFUNCTION("GOOGLETRANSLATE(A27243, ""de"", ""en"")"),"norbit")</f>
        <v>norbit</v>
      </c>
    </row>
    <row r="27244">
      <c r="A27244" s="1" t="s">
        <v>27243</v>
      </c>
      <c r="B27244" s="2" t="str">
        <f>IFERROR(__xludf.DUMMYFUNCTION("GOOGLETRANSLATE(A27244, ""de"", ""en"")"),"settle")</f>
        <v>settle</v>
      </c>
    </row>
    <row r="27245">
      <c r="A27245" s="1" t="s">
        <v>27244</v>
      </c>
      <c r="B27245" s="2" t="str">
        <f>IFERROR(__xludf.DUMMYFUNCTION("GOOGLETRANSLATE(A27245, ""de"", ""en"")"),"transfer")</f>
        <v>transfer</v>
      </c>
    </row>
    <row r="27246">
      <c r="A27246" s="1" t="s">
        <v>27245</v>
      </c>
      <c r="B27246" s="2" t="str">
        <f>IFERROR(__xludf.DUMMYFUNCTION("GOOGLETRANSLATE(A27246, ""de"", ""en"")"),"confidential")</f>
        <v>confidential</v>
      </c>
    </row>
    <row r="27247">
      <c r="A27247" s="1" t="s">
        <v>27246</v>
      </c>
      <c r="B27247" s="2" t="str">
        <f>IFERROR(__xludf.DUMMYFUNCTION("GOOGLETRANSLATE(A27247, ""de"", ""en"")"),"janus")</f>
        <v>janus</v>
      </c>
    </row>
    <row r="27248">
      <c r="A27248" s="1" t="s">
        <v>27247</v>
      </c>
      <c r="B27248" s="2" t="str">
        <f>IFERROR(__xludf.DUMMYFUNCTION("GOOGLETRANSLATE(A27248, ""de"", ""en"")"),"component")</f>
        <v>component</v>
      </c>
    </row>
    <row r="27249">
      <c r="A27249" s="1" t="s">
        <v>27248</v>
      </c>
      <c r="B27249" s="2" t="str">
        <f>IFERROR(__xludf.DUMMYFUNCTION("GOOGLETRANSLATE(A27249, ""de"", ""en"")"),"Caterina")</f>
        <v>Caterina</v>
      </c>
    </row>
    <row r="27250">
      <c r="A27250" s="1" t="s">
        <v>27249</v>
      </c>
      <c r="B27250" s="2" t="str">
        <f>IFERROR(__xludf.DUMMYFUNCTION("GOOGLETRANSLATE(A27250, ""de"", ""en"")"),"dove")</f>
        <v>dove</v>
      </c>
    </row>
    <row r="27251">
      <c r="A27251" s="1" t="s">
        <v>27250</v>
      </c>
      <c r="B27251" s="2" t="str">
        <f>IFERROR(__xludf.DUMMYFUNCTION("GOOGLETRANSLATE(A27251, ""de"", ""en"")"),"mangle")</f>
        <v>mangle</v>
      </c>
    </row>
    <row r="27252">
      <c r="A27252" s="1" t="s">
        <v>27251</v>
      </c>
      <c r="B27252" s="2" t="str">
        <f>IFERROR(__xludf.DUMMYFUNCTION("GOOGLETRANSLATE(A27252, ""de"", ""en"")"),"mitzi")</f>
        <v>mitzi</v>
      </c>
    </row>
    <row r="27253">
      <c r="A27253" s="1" t="s">
        <v>27252</v>
      </c>
      <c r="B27253" s="2" t="str">
        <f>IFERROR(__xludf.DUMMYFUNCTION("GOOGLETRANSLATE(A27253, ""de"", ""en"")"),"headmaster")</f>
        <v>headmaster</v>
      </c>
    </row>
    <row r="27254">
      <c r="A27254" s="1" t="s">
        <v>27253</v>
      </c>
      <c r="B27254" s="2" t="str">
        <f>IFERROR(__xludf.DUMMYFUNCTION("GOOGLETRANSLATE(A27254, ""de"", ""en"")"),"rations")</f>
        <v>rations</v>
      </c>
    </row>
    <row r="27255">
      <c r="A27255" s="1" t="s">
        <v>27254</v>
      </c>
      <c r="B27255" s="2" t="str">
        <f>IFERROR(__xludf.DUMMYFUNCTION("GOOGLETRANSLATE(A27255, ""de"", ""en"")"),"get rid of")</f>
        <v>get rid of</v>
      </c>
    </row>
    <row r="27256">
      <c r="A27256" s="1" t="s">
        <v>27255</v>
      </c>
      <c r="B27256" s="2" t="str">
        <f>IFERROR(__xludf.DUMMYFUNCTION("GOOGLETRANSLATE(A27256, ""de"", ""en"")"),"nic")</f>
        <v>nic</v>
      </c>
    </row>
    <row r="27257">
      <c r="A27257" s="1" t="s">
        <v>27256</v>
      </c>
      <c r="B27257" s="2" t="str">
        <f>IFERROR(__xludf.DUMMYFUNCTION("GOOGLETRANSLATE(A27257, ""de"", ""en"")"),"questionable")</f>
        <v>questionable</v>
      </c>
    </row>
    <row r="27258">
      <c r="A27258" s="1" t="s">
        <v>27257</v>
      </c>
      <c r="B27258" s="2" t="str">
        <f>IFERROR(__xludf.DUMMYFUNCTION("GOOGLETRANSLATE(A27258, ""de"", ""en"")"),"cry")</f>
        <v>cry</v>
      </c>
    </row>
    <row r="27259">
      <c r="A27259" s="1" t="s">
        <v>27258</v>
      </c>
      <c r="B27259" s="2" t="str">
        <f>IFERROR(__xludf.DUMMYFUNCTION("GOOGLETRANSLATE(A27259, ""de"", ""en"")"),"bed")</f>
        <v>bed</v>
      </c>
    </row>
    <row r="27260">
      <c r="A27260" s="1" t="s">
        <v>27259</v>
      </c>
      <c r="B27260" s="2" t="str">
        <f>IFERROR(__xludf.DUMMYFUNCTION("GOOGLETRANSLATE(A27260, ""de"", ""en"")"),"stimulated")</f>
        <v>stimulated</v>
      </c>
    </row>
    <row r="27261">
      <c r="A27261" s="1" t="s">
        <v>27260</v>
      </c>
      <c r="B27261" s="2" t="str">
        <f>IFERROR(__xludf.DUMMYFUNCTION("GOOGLETRANSLATE(A27261, ""de"", ""en"")"),"mastermind")</f>
        <v>mastermind</v>
      </c>
    </row>
    <row r="27262">
      <c r="A27262" s="1" t="s">
        <v>27261</v>
      </c>
      <c r="B27262" s="2" t="str">
        <f>IFERROR(__xludf.DUMMYFUNCTION("GOOGLETRANSLATE(A27262, ""de"", ""en"")"),"ran away")</f>
        <v>ran away</v>
      </c>
    </row>
    <row r="27263">
      <c r="A27263" s="1" t="s">
        <v>27262</v>
      </c>
      <c r="B27263" s="2" t="str">
        <f>IFERROR(__xludf.DUMMYFUNCTION("GOOGLETRANSLATE(A27263, ""de"", ""en"")"),"desolate")</f>
        <v>desolate</v>
      </c>
    </row>
    <row r="27264">
      <c r="A27264" s="1" t="s">
        <v>27263</v>
      </c>
      <c r="B27264" s="2" t="str">
        <f>IFERROR(__xludf.DUMMYFUNCTION("GOOGLETRANSLATE(A27264, ""de"", ""en"")"),"mental")</f>
        <v>mental</v>
      </c>
    </row>
    <row r="27265">
      <c r="A27265" s="1" t="s">
        <v>27264</v>
      </c>
      <c r="B27265" s="2" t="str">
        <f>IFERROR(__xludf.DUMMYFUNCTION("GOOGLETRANSLATE(A27265, ""de"", ""en"")"),"fraiser")</f>
        <v>fraiser</v>
      </c>
    </row>
    <row r="27266">
      <c r="A27266" s="1" t="s">
        <v>27265</v>
      </c>
      <c r="B27266" s="2" t="str">
        <f>IFERROR(__xludf.DUMMYFUNCTION("GOOGLETRANSLATE(A27266, ""de"", ""en"")"),"bone")</f>
        <v>bone</v>
      </c>
    </row>
    <row r="27267">
      <c r="A27267" s="1" t="s">
        <v>27266</v>
      </c>
      <c r="B27267" s="2" t="str">
        <f>IFERROR(__xludf.DUMMYFUNCTION("GOOGLETRANSLATE(A27267, ""de"", ""en"")"),"thrives")</f>
        <v>thrives</v>
      </c>
    </row>
    <row r="27268">
      <c r="A27268" s="1" t="s">
        <v>27267</v>
      </c>
      <c r="B27268" s="2" t="str">
        <f>IFERROR(__xludf.DUMMYFUNCTION("GOOGLETRANSLATE(A27268, ""de"", ""en"")"),"ryker")</f>
        <v>ryker</v>
      </c>
    </row>
    <row r="27269">
      <c r="A27269" s="1" t="s">
        <v>27268</v>
      </c>
      <c r="B27269" s="2" t="str">
        <f>IFERROR(__xludf.DUMMYFUNCTION("GOOGLETRANSLATE(A27269, ""de"", ""en"")"),"riverdale")</f>
        <v>riverdale</v>
      </c>
    </row>
    <row r="27270">
      <c r="A27270" s="1" t="s">
        <v>27269</v>
      </c>
      <c r="B27270" s="2" t="str">
        <f>IFERROR(__xludf.DUMMYFUNCTION("GOOGLETRANSLATE(A27270, ""de"", ""en"")"),"blown away")</f>
        <v>blown away</v>
      </c>
    </row>
    <row r="27271">
      <c r="A27271" s="1" t="s">
        <v>27270</v>
      </c>
      <c r="B27271" s="2" t="str">
        <f>IFERROR(__xludf.DUMMYFUNCTION("GOOGLETRANSLATE(A27271, ""de"", ""en"")"),"exquisite")</f>
        <v>exquisite</v>
      </c>
    </row>
    <row r="27272">
      <c r="A27272" s="1" t="s">
        <v>27271</v>
      </c>
      <c r="B27272" s="2" t="str">
        <f>IFERROR(__xludf.DUMMYFUNCTION("GOOGLETRANSLATE(A27272, ""de"", ""en"")"),"yelled at")</f>
        <v>yelled at</v>
      </c>
    </row>
    <row r="27273">
      <c r="A27273" s="1" t="s">
        <v>27272</v>
      </c>
      <c r="B27273" s="2" t="str">
        <f>IFERROR(__xludf.DUMMYFUNCTION("GOOGLETRANSLATE(A27273, ""de"", ""en"")"),"computers")</f>
        <v>computers</v>
      </c>
    </row>
    <row r="27274">
      <c r="A27274" s="1" t="s">
        <v>27273</v>
      </c>
      <c r="B27274" s="2" t="str">
        <f>IFERROR(__xludf.DUMMYFUNCTION("GOOGLETRANSLATE(A27274, ""de"", ""en"")"),"dated")</f>
        <v>dated</v>
      </c>
    </row>
    <row r="27275">
      <c r="A27275" s="1" t="s">
        <v>27274</v>
      </c>
      <c r="B27275" s="2" t="str">
        <f>IFERROR(__xludf.DUMMYFUNCTION("GOOGLETRANSLATE(A27275, ""de"", ""en"")"),"artist")</f>
        <v>artist</v>
      </c>
    </row>
    <row r="27276">
      <c r="A27276" s="1" t="s">
        <v>27275</v>
      </c>
      <c r="B27276" s="2" t="str">
        <f>IFERROR(__xludf.DUMMYFUNCTION("GOOGLETRANSLATE(A27276, ""de"", ""en"")"),"vibrations")</f>
        <v>vibrations</v>
      </c>
    </row>
    <row r="27277">
      <c r="A27277" s="1" t="s">
        <v>27276</v>
      </c>
      <c r="B27277" s="2" t="str">
        <f>IFERROR(__xludf.DUMMYFUNCTION("GOOGLETRANSLATE(A27277, ""de"", ""en"")"),"standing")</f>
        <v>standing</v>
      </c>
    </row>
    <row r="27278">
      <c r="A27278" s="1" t="s">
        <v>27277</v>
      </c>
      <c r="B27278" s="2" t="str">
        <f>IFERROR(__xludf.DUMMYFUNCTION("GOOGLETRANSLATE(A27278, ""de"", ""en"")"),"avoid")</f>
        <v>avoid</v>
      </c>
    </row>
    <row r="27279">
      <c r="A27279" s="1" t="s">
        <v>27278</v>
      </c>
      <c r="B27279" s="2" t="str">
        <f>IFERROR(__xludf.DUMMYFUNCTION("GOOGLETRANSLATE(A27279, ""de"", ""en"")"),"huey")</f>
        <v>huey</v>
      </c>
    </row>
    <row r="27280">
      <c r="A27280" s="1" t="s">
        <v>27279</v>
      </c>
      <c r="B27280" s="2" t="str">
        <f>IFERROR(__xludf.DUMMYFUNCTION("GOOGLETRANSLATE(A27280, ""de"", ""en"")"),"chestnut")</f>
        <v>chestnut</v>
      </c>
    </row>
    <row r="27281">
      <c r="A27281" s="1" t="s">
        <v>27280</v>
      </c>
      <c r="B27281" s="2" t="str">
        <f>IFERROR(__xludf.DUMMYFUNCTION("GOOGLETRANSLATE(A27281, ""de"", ""en"")"),"owned")</f>
        <v>owned</v>
      </c>
    </row>
    <row r="27282">
      <c r="A27282" s="1" t="s">
        <v>27281</v>
      </c>
      <c r="B27282" s="2" t="str">
        <f>IFERROR(__xludf.DUMMYFUNCTION("GOOGLETRANSLATE(A27282, ""de"", ""en"")"),"employment office")</f>
        <v>employment office</v>
      </c>
    </row>
    <row r="27283">
      <c r="A27283" s="1" t="s">
        <v>27282</v>
      </c>
      <c r="B27283" s="2" t="str">
        <f>IFERROR(__xludf.DUMMYFUNCTION("GOOGLETRANSLATE(A27283, ""de"", ""en"")"),"starsk")</f>
        <v>starsk</v>
      </c>
    </row>
    <row r="27284">
      <c r="A27284" s="1" t="s">
        <v>27283</v>
      </c>
      <c r="B27284" s="2" t="str">
        <f>IFERROR(__xludf.DUMMYFUNCTION("GOOGLETRANSLATE(A27284, ""de"", ""en"")"),"hatched")</f>
        <v>hatched</v>
      </c>
    </row>
    <row r="27285">
      <c r="A27285" s="1" t="s">
        <v>27284</v>
      </c>
      <c r="B27285" s="2" t="str">
        <f>IFERROR(__xludf.DUMMYFUNCTION("GOOGLETRANSLATE(A27285, ""de"", ""en"")"),"sense of time")</f>
        <v>sense of time</v>
      </c>
    </row>
    <row r="27286">
      <c r="A27286" s="1" t="s">
        <v>27285</v>
      </c>
      <c r="B27286" s="2" t="str">
        <f>IFERROR(__xludf.DUMMYFUNCTION("GOOGLETRANSLATE(A27286, ""de"", ""en"")"),"stand up")</f>
        <v>stand up</v>
      </c>
    </row>
    <row r="27287">
      <c r="A27287" s="1" t="s">
        <v>27286</v>
      </c>
      <c r="B27287" s="2" t="str">
        <f>IFERROR(__xludf.DUMMYFUNCTION("GOOGLETRANSLATE(A27287, ""de"", ""en"")"),"heresy")</f>
        <v>heresy</v>
      </c>
    </row>
    <row r="27288">
      <c r="A27288" s="1" t="s">
        <v>27287</v>
      </c>
      <c r="B27288" s="2" t="str">
        <f>IFERROR(__xludf.DUMMYFUNCTION("GOOGLETRANSLATE(A27288, ""de"", ""en"")"),"waitress")</f>
        <v>waitress</v>
      </c>
    </row>
    <row r="27289">
      <c r="A27289" s="1" t="s">
        <v>27288</v>
      </c>
      <c r="B27289" s="2" t="str">
        <f>IFERROR(__xludf.DUMMYFUNCTION("GOOGLETRANSLATE(A27289, ""de"", ""en"")"),"shinbone")</f>
        <v>shinbone</v>
      </c>
    </row>
    <row r="27290">
      <c r="A27290" s="1" t="s">
        <v>27289</v>
      </c>
      <c r="B27290" s="2" t="str">
        <f>IFERROR(__xludf.DUMMYFUNCTION("GOOGLETRANSLATE(A27290, ""de"", ""en"")"),"snack")</f>
        <v>snack</v>
      </c>
    </row>
    <row r="27291">
      <c r="A27291" s="1" t="s">
        <v>27290</v>
      </c>
      <c r="B27291" s="2" t="str">
        <f>IFERROR(__xludf.DUMMYFUNCTION("GOOGLETRANSLATE(A27291, ""de"", ""en"")"),"deusex72")</f>
        <v>deusex72</v>
      </c>
    </row>
    <row r="27292">
      <c r="A27292" s="1" t="s">
        <v>27291</v>
      </c>
      <c r="B27292" s="2" t="str">
        <f>IFERROR(__xludf.DUMMYFUNCTION("GOOGLETRANSLATE(A27292, ""de"", ""en"")"),"drive through")</f>
        <v>drive through</v>
      </c>
    </row>
    <row r="27293">
      <c r="A27293" s="1" t="s">
        <v>27292</v>
      </c>
      <c r="B27293" s="2" t="str">
        <f>IFERROR(__xludf.DUMMYFUNCTION("GOOGLETRANSLATE(A27293, ""de"", ""en"")"),"kitchen table")</f>
        <v>kitchen table</v>
      </c>
    </row>
    <row r="27294">
      <c r="A27294" s="1" t="s">
        <v>27293</v>
      </c>
      <c r="B27294" s="2" t="str">
        <f>IFERROR(__xludf.DUMMYFUNCTION("GOOGLETRANSLATE(A27294, ""de"", ""en"")"),"cedar")</f>
        <v>cedar</v>
      </c>
    </row>
    <row r="27295">
      <c r="A27295" s="1" t="s">
        <v>27294</v>
      </c>
      <c r="B27295" s="2" t="str">
        <f>IFERROR(__xludf.DUMMYFUNCTION("GOOGLETRANSLATE(A27295, ""de"", ""en"")"),"ransom demand")</f>
        <v>ransom demand</v>
      </c>
    </row>
    <row r="27296">
      <c r="A27296" s="1" t="s">
        <v>27295</v>
      </c>
      <c r="B27296" s="2" t="str">
        <f>IFERROR(__xludf.DUMMYFUNCTION("GOOGLETRANSLATE(A27296, ""de"", ""en"")"),"stared")</f>
        <v>stared</v>
      </c>
    </row>
    <row r="27297">
      <c r="A27297" s="1" t="s">
        <v>27296</v>
      </c>
      <c r="B27297" s="2" t="str">
        <f>IFERROR(__xludf.DUMMYFUNCTION("GOOGLETRANSLATE(A27297, ""de"", ""en"")"),"Phineas")</f>
        <v>Phineas</v>
      </c>
    </row>
    <row r="27298">
      <c r="A27298" s="1" t="s">
        <v>27297</v>
      </c>
      <c r="B27298" s="2" t="str">
        <f>IFERROR(__xludf.DUMMYFUNCTION("GOOGLETRANSLATE(A27298, ""de"", ""en"")"),"infallible")</f>
        <v>infallible</v>
      </c>
    </row>
    <row r="27299">
      <c r="A27299" s="1" t="s">
        <v>27298</v>
      </c>
      <c r="B27299" s="2" t="str">
        <f>IFERROR(__xludf.DUMMYFUNCTION("GOOGLETRANSLATE(A27299, ""de"", ""en"")"),"quiz")</f>
        <v>quiz</v>
      </c>
    </row>
    <row r="27300">
      <c r="A27300" s="1" t="s">
        <v>27299</v>
      </c>
      <c r="B27300" s="2" t="str">
        <f>IFERROR(__xludf.DUMMYFUNCTION("GOOGLETRANSLATE(A27300, ""de"", ""en"")"),"unseen")</f>
        <v>unseen</v>
      </c>
    </row>
    <row r="27301">
      <c r="A27301" s="1" t="s">
        <v>27300</v>
      </c>
      <c r="B27301" s="2" t="str">
        <f>IFERROR(__xludf.DUMMYFUNCTION("GOOGLETRANSLATE(A27301, ""de"", ""en"")"),"pedestal")</f>
        <v>pedestal</v>
      </c>
    </row>
    <row r="27302">
      <c r="A27302" s="1" t="s">
        <v>27301</v>
      </c>
      <c r="B27302" s="2" t="str">
        <f>IFERROR(__xludf.DUMMYFUNCTION("GOOGLETRANSLATE(A27302, ""de"", ""en"")"),"forewarned")</f>
        <v>forewarned</v>
      </c>
    </row>
    <row r="27303">
      <c r="A27303" s="1" t="s">
        <v>27302</v>
      </c>
      <c r="B27303" s="2" t="str">
        <f>IFERROR(__xludf.DUMMYFUNCTION("GOOGLETRANSLATE(A27303, ""de"", ""en"")"),"drier")</f>
        <v>drier</v>
      </c>
    </row>
    <row r="27304">
      <c r="A27304" s="1" t="s">
        <v>27303</v>
      </c>
      <c r="B27304" s="2" t="str">
        <f>IFERROR(__xludf.DUMMYFUNCTION("GOOGLETRANSLATE(A27304, ""de"", ""en"")"),"main suspect")</f>
        <v>main suspect</v>
      </c>
    </row>
    <row r="27305">
      <c r="A27305" s="1" t="s">
        <v>27304</v>
      </c>
      <c r="B27305" s="2" t="str">
        <f>IFERROR(__xludf.DUMMYFUNCTION("GOOGLETRANSLATE(A27305, ""de"", ""en"")"),"calm down")</f>
        <v>calm down</v>
      </c>
    </row>
    <row r="27306">
      <c r="A27306" s="1" t="s">
        <v>27305</v>
      </c>
      <c r="B27306" s="2" t="str">
        <f>IFERROR(__xludf.DUMMYFUNCTION("GOOGLETRANSLATE(A27306, ""de"", ""en"")"),"replicator")</f>
        <v>replicator</v>
      </c>
    </row>
    <row r="27307">
      <c r="A27307" s="1" t="s">
        <v>27306</v>
      </c>
      <c r="B27307" s="2" t="str">
        <f>IFERROR(__xludf.DUMMYFUNCTION("GOOGLETRANSLATE(A27307, ""de"", ""en"")"),"clear")</f>
        <v>clear</v>
      </c>
    </row>
    <row r="27308">
      <c r="A27308" s="1" t="s">
        <v>27307</v>
      </c>
      <c r="B27308" s="2" t="str">
        <f>IFERROR(__xludf.DUMMYFUNCTION("GOOGLETRANSLATE(A27308, ""de"", ""en"")"),"considerably")</f>
        <v>considerably</v>
      </c>
    </row>
    <row r="27309">
      <c r="A27309" s="1" t="s">
        <v>27308</v>
      </c>
      <c r="B27309" s="2" t="str">
        <f>IFERROR(__xludf.DUMMYFUNCTION("GOOGLETRANSLATE(A27309, ""de"", ""en"")"),"developed")</f>
        <v>developed</v>
      </c>
    </row>
    <row r="27310">
      <c r="A27310" s="1" t="s">
        <v>27309</v>
      </c>
      <c r="B27310" s="2" t="str">
        <f>IFERROR(__xludf.DUMMYFUNCTION("GOOGLETRANSLATE(A27310, ""de"", ""en"")"),"maybe")</f>
        <v>maybe</v>
      </c>
    </row>
    <row r="27311">
      <c r="A27311" s="1" t="s">
        <v>27310</v>
      </c>
      <c r="B27311" s="2" t="str">
        <f>IFERROR(__xludf.DUMMYFUNCTION("GOOGLETRANSLATE(A27311, ""de"", ""en"")"),"present")</f>
        <v>present</v>
      </c>
    </row>
    <row r="27312">
      <c r="A27312" s="1" t="s">
        <v>27311</v>
      </c>
      <c r="B27312" s="2" t="str">
        <f>IFERROR(__xludf.DUMMYFUNCTION("GOOGLETRANSLATE(A27312, ""de"", ""en"")"),"girls names")</f>
        <v>girls names</v>
      </c>
    </row>
    <row r="27313">
      <c r="A27313" s="1" t="s">
        <v>27312</v>
      </c>
      <c r="B27313" s="2" t="str">
        <f>IFERROR(__xludf.DUMMYFUNCTION("GOOGLETRANSLATE(A27313, ""de"", ""en"")"),"descriptions")</f>
        <v>descriptions</v>
      </c>
    </row>
    <row r="27314">
      <c r="A27314" s="1" t="s">
        <v>27313</v>
      </c>
      <c r="B27314" s="2" t="str">
        <f>IFERROR(__xludf.DUMMYFUNCTION("GOOGLETRANSLATE(A27314, ""de"", ""en"")"),"desert")</f>
        <v>desert</v>
      </c>
    </row>
    <row r="27315">
      <c r="A27315" s="1" t="s">
        <v>27314</v>
      </c>
      <c r="B27315" s="2" t="str">
        <f>IFERROR(__xludf.DUMMYFUNCTION("GOOGLETRANSLATE(A27315, ""de"", ""en"")"),"glowing")</f>
        <v>glowing</v>
      </c>
    </row>
    <row r="27316">
      <c r="A27316" s="1" t="s">
        <v>27315</v>
      </c>
      <c r="B27316" s="2" t="str">
        <f>IFERROR(__xludf.DUMMYFUNCTION("GOOGLETRANSLATE(A27316, ""de"", ""en"")"),"eavesdrop")</f>
        <v>eavesdrop</v>
      </c>
    </row>
    <row r="27317">
      <c r="A27317" s="1" t="s">
        <v>27316</v>
      </c>
      <c r="B27317" s="2" t="str">
        <f>IFERROR(__xludf.DUMMYFUNCTION("GOOGLETRANSLATE(A27317, ""de"", ""en"")"),"inhabit")</f>
        <v>inhabit</v>
      </c>
    </row>
    <row r="27318">
      <c r="A27318" s="1" t="s">
        <v>27317</v>
      </c>
      <c r="B27318" s="2" t="str">
        <f>IFERROR(__xludf.DUMMYFUNCTION("GOOGLETRANSLATE(A27318, ""de"", ""en"")"),"tractor")</f>
        <v>tractor</v>
      </c>
    </row>
    <row r="27319">
      <c r="A27319" s="1" t="s">
        <v>27318</v>
      </c>
      <c r="B27319" s="2" t="str">
        <f>IFERROR(__xludf.DUMMYFUNCTION("GOOGLETRANSLATE(A27319, ""de"", ""en"")"),"powder")</f>
        <v>powder</v>
      </c>
    </row>
    <row r="27320">
      <c r="A27320" s="1" t="s">
        <v>27319</v>
      </c>
      <c r="B27320" s="2" t="str">
        <f>IFERROR(__xludf.DUMMYFUNCTION("GOOGLETRANSLATE(A27320, ""de"", ""en"")"),"complaint")</f>
        <v>complaint</v>
      </c>
    </row>
    <row r="27321">
      <c r="A27321" s="1" t="s">
        <v>27320</v>
      </c>
      <c r="B27321" s="2" t="str">
        <f>IFERROR(__xludf.DUMMYFUNCTION("GOOGLETRANSLATE(A27321, ""de"", ""en"")"),"fruits")</f>
        <v>fruits</v>
      </c>
    </row>
    <row r="27322">
      <c r="A27322" s="1" t="s">
        <v>27321</v>
      </c>
      <c r="B27322" s="2" t="str">
        <f>IFERROR(__xludf.DUMMYFUNCTION("GOOGLETRANSLATE(A27322, ""de"", ""en"")"),"wasp")</f>
        <v>wasp</v>
      </c>
    </row>
    <row r="27323">
      <c r="A27323" s="1" t="s">
        <v>27322</v>
      </c>
      <c r="B27323" s="2" t="str">
        <f>IFERROR(__xludf.DUMMYFUNCTION("GOOGLETRANSLATE(A27323, ""de"", ""en"")"),"establishment")</f>
        <v>establishment</v>
      </c>
    </row>
    <row r="27324">
      <c r="A27324" s="1" t="s">
        <v>27323</v>
      </c>
      <c r="B27324" s="2" t="str">
        <f>IFERROR(__xludf.DUMMYFUNCTION("GOOGLETRANSLATE(A27324, ""de"", ""en"")"),"spade")</f>
        <v>spade</v>
      </c>
    </row>
    <row r="27325">
      <c r="A27325" s="1" t="s">
        <v>27324</v>
      </c>
      <c r="B27325" s="2" t="str">
        <f>IFERROR(__xludf.DUMMYFUNCTION("GOOGLETRANSLATE(A27325, ""de"", ""en"")"),"good looking")</f>
        <v>good looking</v>
      </c>
    </row>
    <row r="27326">
      <c r="A27326" s="1" t="s">
        <v>27325</v>
      </c>
      <c r="B27326" s="2" t="str">
        <f>IFERROR(__xludf.DUMMYFUNCTION("GOOGLETRANSLATE(A27326, ""de"", ""en"")"),"jellyfish")</f>
        <v>jellyfish</v>
      </c>
    </row>
    <row r="27327">
      <c r="A27327" s="1" t="s">
        <v>27326</v>
      </c>
      <c r="B27327" s="2" t="str">
        <f>IFERROR(__xludf.DUMMYFUNCTION("GOOGLETRANSLATE(A27327, ""de"", ""en"")"),"shi")</f>
        <v>shi</v>
      </c>
    </row>
    <row r="27328">
      <c r="A27328" s="1" t="s">
        <v>27327</v>
      </c>
      <c r="B27328" s="2" t="str">
        <f>IFERROR(__xludf.DUMMYFUNCTION("GOOGLETRANSLATE(A27328, ""de"", ""en"")"),"mediocre")</f>
        <v>mediocre</v>
      </c>
    </row>
    <row r="27329">
      <c r="A27329" s="1" t="s">
        <v>27328</v>
      </c>
      <c r="B27329" s="2" t="str">
        <f>IFERROR(__xludf.DUMMYFUNCTION("GOOGLETRANSLATE(A27329, ""de"", ""en"")"),"uncle")</f>
        <v>uncle</v>
      </c>
    </row>
    <row r="27330">
      <c r="A27330" s="1" t="s">
        <v>27329</v>
      </c>
      <c r="B27330" s="2" t="str">
        <f>IFERROR(__xludf.DUMMYFUNCTION("GOOGLETRANSLATE(A27330, ""de"", ""en"")"),"marmot")</f>
        <v>marmot</v>
      </c>
    </row>
    <row r="27331">
      <c r="A27331" s="1" t="s">
        <v>27330</v>
      </c>
      <c r="B27331" s="2" t="str">
        <f>IFERROR(__xludf.DUMMYFUNCTION("GOOGLETRANSLATE(A27331, ""de"", ""en"")"),"rien")</f>
        <v>rien</v>
      </c>
    </row>
    <row r="27332">
      <c r="A27332" s="1" t="s">
        <v>27331</v>
      </c>
      <c r="B27332" s="2" t="str">
        <f>IFERROR(__xludf.DUMMYFUNCTION("GOOGLETRANSLATE(A27332, ""de"", ""en"")"),"predicted")</f>
        <v>predicted</v>
      </c>
    </row>
    <row r="27333">
      <c r="A27333" s="1" t="s">
        <v>27332</v>
      </c>
      <c r="B27333" s="2" t="str">
        <f>IFERROR(__xludf.DUMMYFUNCTION("GOOGLETRANSLATE(A27333, ""de"", ""en"")"),"godmode")</f>
        <v>godmode</v>
      </c>
    </row>
    <row r="27334">
      <c r="A27334" s="1" t="s">
        <v>27333</v>
      </c>
      <c r="B27334" s="2" t="str">
        <f>IFERROR(__xludf.DUMMYFUNCTION("GOOGLETRANSLATE(A27334, ""de"", ""en"")"),"journey home")</f>
        <v>journey home</v>
      </c>
    </row>
    <row r="27335">
      <c r="A27335" s="1" t="s">
        <v>27334</v>
      </c>
      <c r="B27335" s="2" t="str">
        <f>IFERROR(__xludf.DUMMYFUNCTION("GOOGLETRANSLATE(A27335, ""de"", ""en"")"),"police headquarters")</f>
        <v>police headquarters</v>
      </c>
    </row>
    <row r="27336">
      <c r="A27336" s="1" t="s">
        <v>27335</v>
      </c>
      <c r="B27336" s="2" t="str">
        <f>IFERROR(__xludf.DUMMYFUNCTION("GOOGLETRANSLATE(A27336, ""de"", ""en"")"),"hemisphere")</f>
        <v>hemisphere</v>
      </c>
    </row>
    <row r="27337">
      <c r="A27337" s="1" t="s">
        <v>27336</v>
      </c>
      <c r="B27337" s="2" t="str">
        <f>IFERROR(__xludf.DUMMYFUNCTION("GOOGLETRANSLATE(A27337, ""de"", ""en"")"),"ent")</f>
        <v>ent</v>
      </c>
    </row>
    <row r="27338">
      <c r="A27338" s="1" t="s">
        <v>27337</v>
      </c>
      <c r="B27338" s="2" t="str">
        <f>IFERROR(__xludf.DUMMYFUNCTION("GOOGLETRANSLATE(A27338, ""de"", ""en"")"),"deal with")</f>
        <v>deal with</v>
      </c>
    </row>
    <row r="27339">
      <c r="A27339" s="1" t="s">
        <v>27338</v>
      </c>
      <c r="B27339" s="2" t="str">
        <f>IFERROR(__xludf.DUMMYFUNCTION("GOOGLETRANSLATE(A27339, ""de"", ""en"")"),"to dissuade")</f>
        <v>to dissuade</v>
      </c>
    </row>
    <row r="27340">
      <c r="A27340" s="1" t="s">
        <v>27339</v>
      </c>
      <c r="B27340" s="2" t="str">
        <f>IFERROR(__xludf.DUMMYFUNCTION("GOOGLETRANSLATE(A27340, ""de"", ""en"")"),"miki")</f>
        <v>miki</v>
      </c>
    </row>
    <row r="27341">
      <c r="A27341" s="1" t="s">
        <v>27340</v>
      </c>
      <c r="B27341" s="2" t="str">
        <f>IFERROR(__xludf.DUMMYFUNCTION("GOOGLETRANSLATE(A27341, ""de"", ""en"")"),"aim")</f>
        <v>aim</v>
      </c>
    </row>
    <row r="27342">
      <c r="A27342" s="1" t="s">
        <v>27341</v>
      </c>
      <c r="B27342" s="2" t="str">
        <f>IFERROR(__xludf.DUMMYFUNCTION("GOOGLETRANSLATE(A27342, ""de"", ""en"")"),"docile")</f>
        <v>docile</v>
      </c>
    </row>
    <row r="27343">
      <c r="A27343" s="1" t="s">
        <v>27342</v>
      </c>
      <c r="B27343" s="2" t="str">
        <f>IFERROR(__xludf.DUMMYFUNCTION("GOOGLETRANSLATE(A27343, ""de"", ""en"")"),"Isabel")</f>
        <v>Isabel</v>
      </c>
    </row>
    <row r="27344">
      <c r="A27344" s="1" t="s">
        <v>27343</v>
      </c>
      <c r="B27344" s="2" t="str">
        <f>IFERROR(__xludf.DUMMYFUNCTION("GOOGLETRANSLATE(A27344, ""de"", ""en"")"),"unlimited")</f>
        <v>unlimited</v>
      </c>
    </row>
    <row r="27345">
      <c r="A27345" s="1" t="s">
        <v>27344</v>
      </c>
      <c r="B27345" s="2" t="str">
        <f>IFERROR(__xludf.DUMMYFUNCTION("GOOGLETRANSLATE(A27345, ""de"", ""en"")"),"release")</f>
        <v>release</v>
      </c>
    </row>
    <row r="27346">
      <c r="A27346" s="1" t="s">
        <v>27345</v>
      </c>
      <c r="B27346" s="2" t="str">
        <f>IFERROR(__xludf.DUMMYFUNCTION("GOOGLETRANSLATE(A27346, ""de"", ""en"")"),"Stuttgart")</f>
        <v>Stuttgart</v>
      </c>
    </row>
    <row r="27347">
      <c r="A27347" s="1" t="s">
        <v>27346</v>
      </c>
      <c r="B27347" s="2" t="str">
        <f>IFERROR(__xludf.DUMMYFUNCTION("GOOGLETRANSLATE(A27347, ""de"", ""en"")"),"scarier")</f>
        <v>scarier</v>
      </c>
    </row>
    <row r="27348">
      <c r="A27348" s="1" t="s">
        <v>27347</v>
      </c>
      <c r="B27348" s="2" t="str">
        <f>IFERROR(__xludf.DUMMYFUNCTION("GOOGLETRANSLATE(A27348, ""de"", ""en"")"),"pickpocket")</f>
        <v>pickpocket</v>
      </c>
    </row>
    <row r="27349">
      <c r="A27349" s="1" t="s">
        <v>27348</v>
      </c>
      <c r="B27349" s="2" t="str">
        <f>IFERROR(__xludf.DUMMYFUNCTION("GOOGLETRANSLATE(A27349, ""de"", ""en"")"),"martial")</f>
        <v>martial</v>
      </c>
    </row>
    <row r="27350">
      <c r="A27350" s="1" t="s">
        <v>27349</v>
      </c>
      <c r="B27350" s="2" t="str">
        <f>IFERROR(__xludf.DUMMYFUNCTION("GOOGLETRANSLATE(A27350, ""de"", ""en"")"),"insignificant")</f>
        <v>insignificant</v>
      </c>
    </row>
    <row r="27351">
      <c r="A27351" s="1" t="s">
        <v>27350</v>
      </c>
      <c r="B27351" s="2" t="str">
        <f>IFERROR(__xludf.DUMMYFUNCTION("GOOGLETRANSLATE(A27351, ""de"", ""en"")"),"included")</f>
        <v>included</v>
      </c>
    </row>
    <row r="27352">
      <c r="A27352" s="1" t="s">
        <v>27351</v>
      </c>
      <c r="B27352" s="2" t="str">
        <f>IFERROR(__xludf.DUMMYFUNCTION("GOOGLETRANSLATE(A27352, ""de"", ""en"")"),"Quebec")</f>
        <v>Quebec</v>
      </c>
    </row>
    <row r="27353">
      <c r="A27353" s="1" t="s">
        <v>27352</v>
      </c>
      <c r="B27353" s="2" t="str">
        <f>IFERROR(__xludf.DUMMYFUNCTION("GOOGLETRANSLATE(A27353, ""de"", ""en"")"),"curved")</f>
        <v>curved</v>
      </c>
    </row>
    <row r="27354">
      <c r="A27354" s="1" t="s">
        <v>27353</v>
      </c>
      <c r="B27354" s="2" t="str">
        <f>IFERROR(__xludf.DUMMYFUNCTION("GOOGLETRANSLATE(A27354, ""de"", ""en"")"),"senators")</f>
        <v>senators</v>
      </c>
    </row>
    <row r="27355">
      <c r="A27355" s="1" t="s">
        <v>27354</v>
      </c>
      <c r="B27355" s="2" t="str">
        <f>IFERROR(__xludf.DUMMYFUNCTION("GOOGLETRANSLATE(A27355, ""de"", ""en"")"),"lost")</f>
        <v>lost</v>
      </c>
    </row>
    <row r="27356">
      <c r="A27356" s="1" t="s">
        <v>27355</v>
      </c>
      <c r="B27356" s="2" t="str">
        <f>IFERROR(__xludf.DUMMYFUNCTION("GOOGLETRANSLATE(A27356, ""de"", ""en"")"),"final stage")</f>
        <v>final stage</v>
      </c>
    </row>
    <row r="27357">
      <c r="A27357" s="1" t="s">
        <v>27356</v>
      </c>
      <c r="B27357" s="2" t="str">
        <f>IFERROR(__xludf.DUMMYFUNCTION("GOOGLETRANSLATE(A27357, ""de"", ""en"")"),"fool")</f>
        <v>fool</v>
      </c>
    </row>
    <row r="27358">
      <c r="A27358" s="1" t="s">
        <v>27357</v>
      </c>
      <c r="B27358" s="2" t="str">
        <f>IFERROR(__xludf.DUMMYFUNCTION("GOOGLETRANSLATE(A27358, ""de"", ""en"")"),"speedster")</f>
        <v>speedster</v>
      </c>
    </row>
    <row r="27359">
      <c r="A27359" s="1" t="s">
        <v>27358</v>
      </c>
      <c r="B27359" s="2" t="str">
        <f>IFERROR(__xludf.DUMMYFUNCTION("GOOGLETRANSLATE(A27359, ""de"", ""en"")"),"beautiful")</f>
        <v>beautiful</v>
      </c>
    </row>
    <row r="27360">
      <c r="A27360" s="1" t="s">
        <v>27359</v>
      </c>
      <c r="B27360" s="2" t="str">
        <f>IFERROR(__xludf.DUMMYFUNCTION("GOOGLETRANSLATE(A27360, ""de"", ""en"")"),"trenton")</f>
        <v>trenton</v>
      </c>
    </row>
    <row r="27361">
      <c r="A27361" s="1" t="s">
        <v>27360</v>
      </c>
      <c r="B27361" s="2" t="str">
        <f>IFERROR(__xludf.DUMMYFUNCTION("GOOGLETRANSLATE(A27361, ""de"", ""en"")"),"marvel")</f>
        <v>marvel</v>
      </c>
    </row>
    <row r="27362">
      <c r="A27362" s="1" t="s">
        <v>27361</v>
      </c>
      <c r="B27362" s="2" t="str">
        <f>IFERROR(__xludf.DUMMYFUNCTION("GOOGLETRANSLATE(A27362, ""de"", ""en"")"),"Armenians")</f>
        <v>Armenians</v>
      </c>
    </row>
    <row r="27363">
      <c r="A27363" s="1" t="s">
        <v>27362</v>
      </c>
      <c r="B27363" s="2" t="str">
        <f>IFERROR(__xludf.DUMMYFUNCTION("GOOGLETRANSLATE(A27363, ""de"", ""en"")"),"subtitle workshop")</f>
        <v>subtitle workshop</v>
      </c>
    </row>
    <row r="27364">
      <c r="A27364" s="1" t="s">
        <v>27363</v>
      </c>
      <c r="B27364" s="2" t="str">
        <f>IFERROR(__xludf.DUMMYFUNCTION("GOOGLETRANSLATE(A27364, ""de"", ""en"")"),"Cyprus")</f>
        <v>Cyprus</v>
      </c>
    </row>
    <row r="27365">
      <c r="A27365" s="1" t="s">
        <v>27364</v>
      </c>
      <c r="B27365" s="2" t="str">
        <f>IFERROR(__xludf.DUMMYFUNCTION("GOOGLETRANSLATE(A27365, ""de"", ""en"")"),"initiated")</f>
        <v>initiated</v>
      </c>
    </row>
    <row r="27366">
      <c r="A27366" s="1" t="s">
        <v>27365</v>
      </c>
      <c r="B27366" s="2" t="str">
        <f>IFERROR(__xludf.DUMMYFUNCTION("GOOGLETRANSLATE(A27366, ""de"", ""en"")"),"Philip")</f>
        <v>Philip</v>
      </c>
    </row>
    <row r="27367">
      <c r="A27367" s="1" t="s">
        <v>27366</v>
      </c>
      <c r="B27367" s="2" t="str">
        <f>IFERROR(__xludf.DUMMYFUNCTION("GOOGLETRANSLATE(A27367, ""de"", ""en"")"),"potions")</f>
        <v>potions</v>
      </c>
    </row>
    <row r="27368">
      <c r="A27368" s="1" t="s">
        <v>27367</v>
      </c>
      <c r="B27368" s="2" t="str">
        <f>IFERROR(__xludf.DUMMYFUNCTION("GOOGLETRANSLATE(A27368, ""de"", ""en"")"),"streak of bad luck")</f>
        <v>streak of bad luck</v>
      </c>
    </row>
    <row r="27369">
      <c r="A27369" s="1" t="s">
        <v>27368</v>
      </c>
      <c r="B27369" s="2" t="str">
        <f>IFERROR(__xludf.DUMMYFUNCTION("GOOGLETRANSLATE(A27369, ""de"", ""en"")"),"steam room")</f>
        <v>steam room</v>
      </c>
    </row>
    <row r="27370">
      <c r="A27370" s="1" t="s">
        <v>27369</v>
      </c>
      <c r="B27370" s="2" t="str">
        <f>IFERROR(__xludf.DUMMYFUNCTION("GOOGLETRANSLATE(A27370, ""de"", ""en"")"),"cozy")</f>
        <v>cozy</v>
      </c>
    </row>
    <row r="27371">
      <c r="A27371" s="1" t="s">
        <v>27370</v>
      </c>
      <c r="B27371" s="2" t="str">
        <f>IFERROR(__xludf.DUMMYFUNCTION("GOOGLETRANSLATE(A27371, ""de"", ""en"")"),"hats")</f>
        <v>hats</v>
      </c>
    </row>
    <row r="27372">
      <c r="A27372" s="1" t="s">
        <v>27371</v>
      </c>
      <c r="B27372" s="2" t="str">
        <f>IFERROR(__xludf.DUMMYFUNCTION("GOOGLETRANSLATE(A27372, ""de"", ""en"")"),"tactics")</f>
        <v>tactics</v>
      </c>
    </row>
    <row r="27373">
      <c r="A27373" s="1" t="s">
        <v>27372</v>
      </c>
      <c r="B27373" s="2" t="str">
        <f>IFERROR(__xludf.DUMMYFUNCTION("GOOGLETRANSLATE(A27373, ""de"", ""en"")"),"heli")</f>
        <v>heli</v>
      </c>
    </row>
    <row r="27374">
      <c r="A27374" s="1" t="s">
        <v>27373</v>
      </c>
      <c r="B27374" s="2" t="str">
        <f>IFERROR(__xludf.DUMMYFUNCTION("GOOGLETRANSLATE(A27374, ""de"", ""en"")"),"alpha quadrant")</f>
        <v>alpha quadrant</v>
      </c>
    </row>
    <row r="27375">
      <c r="A27375" s="1" t="s">
        <v>27374</v>
      </c>
      <c r="B27375" s="2" t="str">
        <f>IFERROR(__xludf.DUMMYFUNCTION("GOOGLETRANSLATE(A27375, ""de"", ""en"")"),"private number")</f>
        <v>private number</v>
      </c>
    </row>
    <row r="27376">
      <c r="A27376" s="1" t="s">
        <v>27375</v>
      </c>
      <c r="B27376" s="2" t="str">
        <f>IFERROR(__xludf.DUMMYFUNCTION("GOOGLETRANSLATE(A27376, ""de"", ""en"")"),"judge")</f>
        <v>judge</v>
      </c>
    </row>
    <row r="27377">
      <c r="A27377" s="1" t="s">
        <v>27376</v>
      </c>
      <c r="B27377" s="2" t="str">
        <f>IFERROR(__xludf.DUMMYFUNCTION("GOOGLETRANSLATE(A27377, ""de"", ""en"")"),"hester")</f>
        <v>hester</v>
      </c>
    </row>
    <row r="27378">
      <c r="A27378" s="1" t="s">
        <v>27377</v>
      </c>
      <c r="B27378" s="2" t="str">
        <f>IFERROR(__xludf.DUMMYFUNCTION("GOOGLETRANSLATE(A27378, ""de"", ""en"")"),"introduction")</f>
        <v>introduction</v>
      </c>
    </row>
    <row r="27379">
      <c r="A27379" s="1" t="s">
        <v>27378</v>
      </c>
      <c r="B27379" s="2" t="str">
        <f>IFERROR(__xludf.DUMMYFUNCTION("GOOGLETRANSLATE(A27379, ""de"", ""en"")"),"mourners")</f>
        <v>mourners</v>
      </c>
    </row>
    <row r="27380">
      <c r="A27380" s="1" t="s">
        <v>27379</v>
      </c>
      <c r="B27380" s="2" t="str">
        <f>IFERROR(__xludf.DUMMYFUNCTION("GOOGLETRANSLATE(A27380, ""de"", ""en"")"),"gold bars")</f>
        <v>gold bars</v>
      </c>
    </row>
    <row r="27381">
      <c r="A27381" s="1" t="s">
        <v>27380</v>
      </c>
      <c r="B27381" s="2" t="str">
        <f>IFERROR(__xludf.DUMMYFUNCTION("GOOGLETRANSLATE(A27381, ""de"", ""en"")"),"millennium")</f>
        <v>millennium</v>
      </c>
    </row>
    <row r="27382">
      <c r="A27382" s="1" t="s">
        <v>27381</v>
      </c>
      <c r="B27382" s="2" t="str">
        <f>IFERROR(__xludf.DUMMYFUNCTION("GOOGLETRANSLATE(A27382, ""de"", ""en"")"),"extraterrestrial")</f>
        <v>extraterrestrial</v>
      </c>
    </row>
    <row r="27383">
      <c r="A27383" s="1" t="s">
        <v>27382</v>
      </c>
      <c r="B27383" s="2" t="str">
        <f>IFERROR(__xludf.DUMMYFUNCTION("GOOGLETRANSLATE(A27383, ""de"", ""en"")"),"disrepute")</f>
        <v>disrepute</v>
      </c>
    </row>
    <row r="27384">
      <c r="A27384" s="1" t="s">
        <v>27383</v>
      </c>
      <c r="B27384" s="2" t="str">
        <f>IFERROR(__xludf.DUMMYFUNCTION("GOOGLETRANSLATE(A27384, ""de"", ""en"")"),"electrical")</f>
        <v>electrical</v>
      </c>
    </row>
    <row r="27385">
      <c r="A27385" s="1" t="s">
        <v>27384</v>
      </c>
      <c r="B27385" s="2" t="str">
        <f>IFERROR(__xludf.DUMMYFUNCTION("GOOGLETRANSLATE(A27385, ""de"", ""en"")"),"encapsulate")</f>
        <v>encapsulate</v>
      </c>
    </row>
    <row r="27386">
      <c r="A27386" s="1" t="s">
        <v>27385</v>
      </c>
      <c r="B27386" s="2" t="str">
        <f>IFERROR(__xludf.DUMMYFUNCTION("GOOGLETRANSLATE(A27386, ""de"", ""en"")"),"temporal")</f>
        <v>temporal</v>
      </c>
    </row>
    <row r="27387">
      <c r="A27387" s="1" t="s">
        <v>27386</v>
      </c>
      <c r="B27387" s="2" t="str">
        <f>IFERROR(__xludf.DUMMYFUNCTION("GOOGLETRANSLATE(A27387, ""de"", ""en"")"),"probationary period")</f>
        <v>probationary period</v>
      </c>
    </row>
    <row r="27388">
      <c r="A27388" s="1" t="s">
        <v>27387</v>
      </c>
      <c r="B27388" s="2" t="str">
        <f>IFERROR(__xludf.DUMMYFUNCTION("GOOGLETRANSLATE(A27388, ""de"", ""en"")"),"jelly")</f>
        <v>jelly</v>
      </c>
    </row>
    <row r="27389">
      <c r="A27389" s="1" t="s">
        <v>27388</v>
      </c>
      <c r="B27389" s="2" t="str">
        <f>IFERROR(__xludf.DUMMYFUNCTION("GOOGLETRANSLATE(A27389, ""de"", ""en"")"),"passed over")</f>
        <v>passed over</v>
      </c>
    </row>
    <row r="27390">
      <c r="A27390" s="1" t="s">
        <v>27389</v>
      </c>
      <c r="B27390" s="2" t="str">
        <f>IFERROR(__xludf.DUMMYFUNCTION("GOOGLETRANSLATE(A27390, ""de"", ""en"")"),"nervous")</f>
        <v>nervous</v>
      </c>
    </row>
    <row r="27391">
      <c r="A27391" s="1" t="s">
        <v>27390</v>
      </c>
      <c r="B27391" s="2" t="str">
        <f>IFERROR(__xludf.DUMMYFUNCTION("GOOGLETRANSLATE(A27391, ""de"", ""en"")"),"salaries")</f>
        <v>salaries</v>
      </c>
    </row>
    <row r="27392">
      <c r="A27392" s="1" t="s">
        <v>27391</v>
      </c>
      <c r="B27392" s="2" t="str">
        <f>IFERROR(__xludf.DUMMYFUNCTION("GOOGLETRANSLATE(A27392, ""de"", ""en"")"),"narcisse")</f>
        <v>narcisse</v>
      </c>
    </row>
    <row r="27393">
      <c r="A27393" s="1" t="s">
        <v>27392</v>
      </c>
      <c r="B27393" s="2" t="str">
        <f>IFERROR(__xludf.DUMMYFUNCTION("GOOGLETRANSLATE(A27393, ""de"", ""en"")"),"two things")</f>
        <v>two things</v>
      </c>
    </row>
    <row r="27394">
      <c r="A27394" s="1" t="s">
        <v>27393</v>
      </c>
      <c r="B27394" s="2" t="str">
        <f>IFERROR(__xludf.DUMMYFUNCTION("GOOGLETRANSLATE(A27394, ""de"", ""en"")"),"representatives")</f>
        <v>representatives</v>
      </c>
    </row>
    <row r="27395">
      <c r="A27395" s="1" t="s">
        <v>27394</v>
      </c>
      <c r="B27395" s="2" t="str">
        <f>IFERROR(__xludf.DUMMYFUNCTION("GOOGLETRANSLATE(A27395, ""de"", ""en"")"),"composition")</f>
        <v>composition</v>
      </c>
    </row>
    <row r="27396">
      <c r="A27396" s="1" t="s">
        <v>27395</v>
      </c>
      <c r="B27396" s="2" t="str">
        <f>IFERROR(__xludf.DUMMYFUNCTION("GOOGLETRANSLATE(A27396, ""de"", ""en"")"),"runway")</f>
        <v>runway</v>
      </c>
    </row>
    <row r="27397">
      <c r="A27397" s="1" t="s">
        <v>27396</v>
      </c>
      <c r="B27397" s="2" t="str">
        <f>IFERROR(__xludf.DUMMYFUNCTION("GOOGLETRANSLATE(A27397, ""de"", ""en"")"),"private matter")</f>
        <v>private matter</v>
      </c>
    </row>
    <row r="27398">
      <c r="A27398" s="1" t="s">
        <v>27397</v>
      </c>
      <c r="B27398" s="2" t="str">
        <f>IFERROR(__xludf.DUMMYFUNCTION("GOOGLETRANSLATE(A27398, ""de"", ""en"")"),"palmers")</f>
        <v>palmers</v>
      </c>
    </row>
    <row r="27399">
      <c r="A27399" s="1" t="s">
        <v>27398</v>
      </c>
      <c r="B27399" s="2" t="str">
        <f>IFERROR(__xludf.DUMMYFUNCTION("GOOGLETRANSLATE(A27399, ""de"", ""en"")"),"seemed")</f>
        <v>seemed</v>
      </c>
    </row>
    <row r="27400">
      <c r="A27400" s="1" t="s">
        <v>27399</v>
      </c>
      <c r="B27400" s="2" t="str">
        <f>IFERROR(__xludf.DUMMYFUNCTION("GOOGLETRANSLATE(A27400, ""de"", ""en"")"),"lao")</f>
        <v>lao</v>
      </c>
    </row>
    <row r="27401">
      <c r="A27401" s="1" t="s">
        <v>27400</v>
      </c>
      <c r="B27401" s="2" t="str">
        <f>IFERROR(__xludf.DUMMYFUNCTION("GOOGLETRANSLATE(A27401, ""de"", ""en"")"),"slope")</f>
        <v>slope</v>
      </c>
    </row>
    <row r="27402">
      <c r="A27402" s="1" t="s">
        <v>27401</v>
      </c>
      <c r="B27402" s="2" t="str">
        <f>IFERROR(__xludf.DUMMYFUNCTION("GOOGLETRANSLATE(A27402, ""de"", ""en"")"),"bit")</f>
        <v>bit</v>
      </c>
    </row>
    <row r="27403">
      <c r="A27403" s="1" t="s">
        <v>27402</v>
      </c>
      <c r="B27403" s="2" t="str">
        <f>IFERROR(__xludf.DUMMYFUNCTION("GOOGLETRANSLATE(A27403, ""de"", ""en"")"),"patton")</f>
        <v>patton</v>
      </c>
    </row>
    <row r="27404">
      <c r="A27404" s="1" t="s">
        <v>27403</v>
      </c>
      <c r="B27404" s="2" t="str">
        <f>IFERROR(__xludf.DUMMYFUNCTION("GOOGLETRANSLATE(A27404, ""de"", ""en"")"),"shithole")</f>
        <v>shithole</v>
      </c>
    </row>
    <row r="27405">
      <c r="A27405" s="1" t="s">
        <v>27404</v>
      </c>
      <c r="B27405" s="2" t="str">
        <f>IFERROR(__xludf.DUMMYFUNCTION("GOOGLETRANSLATE(A27405, ""de"", ""en"")"),"pilates")</f>
        <v>pilates</v>
      </c>
    </row>
    <row r="27406">
      <c r="A27406" s="1" t="s">
        <v>27405</v>
      </c>
      <c r="B27406" s="2" t="str">
        <f>IFERROR(__xludf.DUMMYFUNCTION("GOOGLETRANSLATE(A27406, ""de"", ""en"")"),"penalty")</f>
        <v>penalty</v>
      </c>
    </row>
    <row r="27407">
      <c r="A27407" s="1" t="s">
        <v>27406</v>
      </c>
      <c r="B27407" s="2" t="str">
        <f>IFERROR(__xludf.DUMMYFUNCTION("GOOGLETRANSLATE(A27407, ""de"", ""en"")"),"dug")</f>
        <v>dug</v>
      </c>
    </row>
    <row r="27408">
      <c r="A27408" s="1" t="s">
        <v>27407</v>
      </c>
      <c r="B27408" s="2" t="str">
        <f>IFERROR(__xludf.DUMMYFUNCTION("GOOGLETRANSLATE(A27408, ""de"", ""en"")"),"Walter")</f>
        <v>Walter</v>
      </c>
    </row>
    <row r="27409">
      <c r="A27409" s="1" t="s">
        <v>27408</v>
      </c>
      <c r="B27409" s="2" t="str">
        <f>IFERROR(__xludf.DUMMYFUNCTION("GOOGLETRANSLATE(A27409, ""de"", ""en"")"),"rage")</f>
        <v>rage</v>
      </c>
    </row>
    <row r="27410">
      <c r="A27410" s="1" t="s">
        <v>27409</v>
      </c>
      <c r="B27410" s="2" t="str">
        <f>IFERROR(__xludf.DUMMYFUNCTION("GOOGLETRANSLATE(A27410, ""de"", ""en"")"),"shaft")</f>
        <v>shaft</v>
      </c>
    </row>
    <row r="27411">
      <c r="A27411" s="1" t="s">
        <v>27410</v>
      </c>
      <c r="B27411" s="2" t="str">
        <f>IFERROR(__xludf.DUMMYFUNCTION("GOOGLETRANSLATE(A27411, ""de"", ""en"")"),"misstep")</f>
        <v>misstep</v>
      </c>
    </row>
    <row r="27412">
      <c r="A27412" s="1" t="s">
        <v>27411</v>
      </c>
      <c r="B27412" s="2" t="str">
        <f>IFERROR(__xludf.DUMMYFUNCTION("GOOGLETRANSLATE(A27412, ""de"", ""en"")"),"only-")</f>
        <v>only-</v>
      </c>
    </row>
    <row r="27413">
      <c r="A27413" s="1" t="s">
        <v>27412</v>
      </c>
      <c r="B27413" s="2" t="str">
        <f>IFERROR(__xludf.DUMMYFUNCTION("GOOGLETRANSLATE(A27413, ""de"", ""en"")"),"perfect")</f>
        <v>perfect</v>
      </c>
    </row>
    <row r="27414">
      <c r="A27414" s="1" t="s">
        <v>27413</v>
      </c>
      <c r="B27414" s="2" t="str">
        <f>IFERROR(__xludf.DUMMYFUNCTION("GOOGLETRANSLATE(A27414, ""de"", ""en"")"),"erdal")</f>
        <v>erdal</v>
      </c>
    </row>
    <row r="27415">
      <c r="A27415" s="1" t="s">
        <v>27414</v>
      </c>
      <c r="B27415" s="2" t="str">
        <f>IFERROR(__xludf.DUMMYFUNCTION("GOOGLETRANSLATE(A27415, ""de"", ""en"")"),"wimps")</f>
        <v>wimps</v>
      </c>
    </row>
    <row r="27416">
      <c r="A27416" s="1" t="s">
        <v>27415</v>
      </c>
      <c r="B27416" s="2" t="str">
        <f>IFERROR(__xludf.DUMMYFUNCTION("GOOGLETRANSLATE(A27416, ""de"", ""en"")"),"billion")</f>
        <v>billion</v>
      </c>
    </row>
    <row r="27417">
      <c r="A27417" s="1" t="s">
        <v>27416</v>
      </c>
      <c r="B27417" s="2" t="str">
        <f>IFERROR(__xludf.DUMMYFUNCTION("GOOGLETRANSLATE(A27417, ""de"", ""en"")"),"rode in")</f>
        <v>rode in</v>
      </c>
    </row>
    <row r="27418">
      <c r="A27418" s="1" t="s">
        <v>27417</v>
      </c>
      <c r="B27418" s="2" t="str">
        <f>IFERROR(__xludf.DUMMYFUNCTION("GOOGLETRANSLATE(A27418, ""de"", ""en"")"),"murder investigation")</f>
        <v>murder investigation</v>
      </c>
    </row>
    <row r="27419">
      <c r="A27419" s="1" t="s">
        <v>27418</v>
      </c>
      <c r="B27419" s="2" t="str">
        <f>IFERROR(__xludf.DUMMYFUNCTION("GOOGLETRANSLATE(A27419, ""de"", ""en"")"),"haze")</f>
        <v>haze</v>
      </c>
    </row>
    <row r="27420">
      <c r="A27420" s="1" t="s">
        <v>27419</v>
      </c>
      <c r="B27420" s="2" t="str">
        <f>IFERROR(__xludf.DUMMYFUNCTION("GOOGLETRANSLATE(A27420, ""de"", ""en"")"),"attack")</f>
        <v>attack</v>
      </c>
    </row>
    <row r="27421">
      <c r="A27421" s="1" t="s">
        <v>27420</v>
      </c>
      <c r="B27421" s="2" t="str">
        <f>IFERROR(__xludf.DUMMYFUNCTION("GOOGLETRANSLATE(A27421, ""de"", ""en"")"),"Cunningham")</f>
        <v>Cunningham</v>
      </c>
    </row>
    <row r="27422">
      <c r="A27422" s="1" t="s">
        <v>27421</v>
      </c>
      <c r="B27422" s="2" t="str">
        <f>IFERROR(__xludf.DUMMYFUNCTION("GOOGLETRANSLATE(A27422, ""de"", ""en"")"),"age")</f>
        <v>age</v>
      </c>
    </row>
    <row r="27423">
      <c r="A27423" s="1" t="s">
        <v>27422</v>
      </c>
      <c r="B27423" s="2" t="str">
        <f>IFERROR(__xludf.DUMMYFUNCTION("GOOGLETRANSLATE(A27423, ""de"", ""en"")"),"nag")</f>
        <v>nag</v>
      </c>
    </row>
    <row r="27424">
      <c r="A27424" s="1" t="s">
        <v>27423</v>
      </c>
      <c r="B27424" s="2" t="str">
        <f>IFERROR(__xludf.DUMMYFUNCTION("GOOGLETRANSLATE(A27424, ""de"", ""en"")"),"more jealous")</f>
        <v>more jealous</v>
      </c>
    </row>
    <row r="27425">
      <c r="A27425" s="1" t="s">
        <v>27424</v>
      </c>
      <c r="B27425" s="2" t="str">
        <f>IFERROR(__xludf.DUMMYFUNCTION("GOOGLETRANSLATE(A27425, ""de"", ""en"")"),"haines")</f>
        <v>haines</v>
      </c>
    </row>
    <row r="27426">
      <c r="A27426" s="1" t="s">
        <v>27425</v>
      </c>
      <c r="B27426" s="2" t="str">
        <f>IFERROR(__xludf.DUMMYFUNCTION("GOOGLETRANSLATE(A27426, ""de"", ""en"")"),"rama")</f>
        <v>rama</v>
      </c>
    </row>
    <row r="27427">
      <c r="A27427" s="1" t="s">
        <v>27426</v>
      </c>
      <c r="B27427" s="2" t="str">
        <f>IFERROR(__xludf.DUMMYFUNCTION("GOOGLETRANSLATE(A27427, ""de"", ""en"")"),"you told")</f>
        <v>you told</v>
      </c>
    </row>
    <row r="27428">
      <c r="A27428" s="1" t="s">
        <v>27427</v>
      </c>
      <c r="B27428" s="2" t="str">
        <f>IFERROR(__xludf.DUMMYFUNCTION("GOOGLETRANSLATE(A27428, ""de"", ""en"")"),"incompetent")</f>
        <v>incompetent</v>
      </c>
    </row>
    <row r="27429">
      <c r="A27429" s="1" t="s">
        <v>27428</v>
      </c>
      <c r="B27429" s="2" t="str">
        <f>IFERROR(__xludf.DUMMYFUNCTION("GOOGLETRANSLATE(A27429, ""de"", ""en"")"),"Seville")</f>
        <v>Seville</v>
      </c>
    </row>
    <row r="27430">
      <c r="A27430" s="1" t="s">
        <v>27429</v>
      </c>
      <c r="B27430" s="2" t="str">
        <f>IFERROR(__xludf.DUMMYFUNCTION("GOOGLETRANSLATE(A27430, ""de"", ""en"")"),"qu")</f>
        <v>qu</v>
      </c>
    </row>
    <row r="27431">
      <c r="A27431" s="1" t="s">
        <v>27430</v>
      </c>
      <c r="B27431" s="2" t="str">
        <f>IFERROR(__xludf.DUMMYFUNCTION("GOOGLETRANSLATE(A27431, ""de"", ""en"")"),"done")</f>
        <v>done</v>
      </c>
    </row>
    <row r="27432">
      <c r="A27432" s="1" t="s">
        <v>27431</v>
      </c>
      <c r="B27432" s="2" t="str">
        <f>IFERROR(__xludf.DUMMYFUNCTION("GOOGLETRANSLATE(A27432, ""de"", ""en"")"),"balls")</f>
        <v>balls</v>
      </c>
    </row>
    <row r="27433">
      <c r="A27433" s="1" t="s">
        <v>27432</v>
      </c>
      <c r="B27433" s="2" t="str">
        <f>IFERROR(__xludf.DUMMYFUNCTION("GOOGLETRANSLATE(A27433, ""de"", ""en"")"),"is incumbent")</f>
        <v>is incumbent</v>
      </c>
    </row>
    <row r="27434">
      <c r="A27434" s="1" t="s">
        <v>27433</v>
      </c>
      <c r="B27434" s="2" t="str">
        <f>IFERROR(__xludf.DUMMYFUNCTION("GOOGLETRANSLATE(A27434, ""de"", ""en"")"),"search")</f>
        <v>search</v>
      </c>
    </row>
    <row r="27435">
      <c r="A27435" s="1" t="s">
        <v>27434</v>
      </c>
      <c r="B27435" s="2" t="str">
        <f>IFERROR(__xludf.DUMMYFUNCTION("GOOGLETRANSLATE(A27435, ""de"", ""en"")"),"morning")</f>
        <v>morning</v>
      </c>
    </row>
    <row r="27436">
      <c r="A27436" s="1" t="s">
        <v>27435</v>
      </c>
      <c r="B27436" s="2" t="str">
        <f>IFERROR(__xludf.DUMMYFUNCTION("GOOGLETRANSLATE(A27436, ""de"", ""en"")"),"spiritual")</f>
        <v>spiritual</v>
      </c>
    </row>
    <row r="27437">
      <c r="A27437" s="1" t="s">
        <v>27436</v>
      </c>
      <c r="B27437" s="2" t="str">
        <f>IFERROR(__xludf.DUMMYFUNCTION("GOOGLETRANSLATE(A27437, ""de"", ""en"")"),"supernatural")</f>
        <v>supernatural</v>
      </c>
    </row>
    <row r="27438">
      <c r="A27438" s="1" t="s">
        <v>27437</v>
      </c>
      <c r="B27438" s="2" t="str">
        <f>IFERROR(__xludf.DUMMYFUNCTION("GOOGLETRANSLATE(A27438, ""de"", ""en"")"),"bondage")</f>
        <v>bondage</v>
      </c>
    </row>
    <row r="27439">
      <c r="A27439" s="1" t="s">
        <v>27438</v>
      </c>
      <c r="B27439" s="2" t="str">
        <f>IFERROR(__xludf.DUMMYFUNCTION("GOOGLETRANSLATE(A27439, ""de"", ""en"")"),"barrel")</f>
        <v>barrel</v>
      </c>
    </row>
    <row r="27440">
      <c r="A27440" s="1" t="s">
        <v>27439</v>
      </c>
      <c r="B27440" s="2" t="str">
        <f>IFERROR(__xludf.DUMMYFUNCTION("GOOGLETRANSLATE(A27440, ""de"", ""en"")"),"Neptune")</f>
        <v>Neptune</v>
      </c>
    </row>
    <row r="27441">
      <c r="A27441" s="1" t="s">
        <v>27440</v>
      </c>
      <c r="B27441" s="2" t="str">
        <f>IFERROR(__xludf.DUMMYFUNCTION("GOOGLETRANSLATE(A27441, ""de"", ""en"")"),"site")</f>
        <v>site</v>
      </c>
    </row>
    <row r="27442">
      <c r="A27442" s="1" t="s">
        <v>27441</v>
      </c>
      <c r="B27442" s="2" t="str">
        <f>IFERROR(__xludf.DUMMYFUNCTION("GOOGLETRANSLATE(A27442, ""de"", ""en"")"),"romano")</f>
        <v>romano</v>
      </c>
    </row>
    <row r="27443">
      <c r="A27443" s="1" t="s">
        <v>27442</v>
      </c>
      <c r="B27443" s="2" t="str">
        <f>IFERROR(__xludf.DUMMYFUNCTION("GOOGLETRANSLATE(A27443, ""de"", ""en"")"),"minds")</f>
        <v>minds</v>
      </c>
    </row>
    <row r="27444">
      <c r="A27444" s="1" t="s">
        <v>27443</v>
      </c>
      <c r="B27444" s="2" t="str">
        <f>IFERROR(__xludf.DUMMYFUNCTION("GOOGLETRANSLATE(A27444, ""de"", ""en"")"),"tamed")</f>
        <v>tamed</v>
      </c>
    </row>
    <row r="27445">
      <c r="A27445" s="1" t="s">
        <v>27444</v>
      </c>
      <c r="B27445" s="2" t="str">
        <f>IFERROR(__xludf.DUMMYFUNCTION("GOOGLETRANSLATE(A27445, ""de"", ""en"")"),"shoe salesman")</f>
        <v>shoe salesman</v>
      </c>
    </row>
    <row r="27446">
      <c r="A27446" s="1" t="s">
        <v>27445</v>
      </c>
      <c r="B27446" s="2" t="str">
        <f>IFERROR(__xludf.DUMMYFUNCTION("GOOGLETRANSLATE(A27446, ""de"", ""en"")"),"curriculum")</f>
        <v>curriculum</v>
      </c>
    </row>
    <row r="27447">
      <c r="A27447" s="1" t="s">
        <v>27446</v>
      </c>
      <c r="B27447" s="2" t="str">
        <f>IFERROR(__xludf.DUMMYFUNCTION("GOOGLETRANSLATE(A27447, ""de"", ""en"")"),"roared")</f>
        <v>roared</v>
      </c>
    </row>
    <row r="27448">
      <c r="A27448" s="1" t="s">
        <v>27447</v>
      </c>
      <c r="B27448" s="2" t="str">
        <f>IFERROR(__xludf.DUMMYFUNCTION("GOOGLETRANSLATE(A27448, ""de"", ""en"")"),"chihuahua")</f>
        <v>chihuahua</v>
      </c>
    </row>
    <row r="27449">
      <c r="A27449" s="1" t="s">
        <v>27448</v>
      </c>
      <c r="B27449" s="2" t="str">
        <f>IFERROR(__xludf.DUMMYFUNCTION("GOOGLETRANSLATE(A27449, ""de"", ""en"")"),"bazaar")</f>
        <v>bazaar</v>
      </c>
    </row>
    <row r="27450">
      <c r="A27450" s="1" t="s">
        <v>27449</v>
      </c>
      <c r="B27450" s="2" t="str">
        <f>IFERROR(__xludf.DUMMYFUNCTION("GOOGLETRANSLATE(A27450, ""de"", ""en"")"),"joked")</f>
        <v>joked</v>
      </c>
    </row>
    <row r="27451">
      <c r="A27451" s="1" t="s">
        <v>27450</v>
      </c>
      <c r="B27451" s="2" t="str">
        <f>IFERROR(__xludf.DUMMYFUNCTION("GOOGLETRANSLATE(A27451, ""de"", ""en"")"),"you step there")</f>
        <v>you step there</v>
      </c>
    </row>
    <row r="27452">
      <c r="A27452" s="1" t="s">
        <v>27451</v>
      </c>
      <c r="B27452" s="2" t="str">
        <f>IFERROR(__xludf.DUMMYFUNCTION("GOOGLETRANSLATE(A27452, ""de"", ""en"")"),"those")</f>
        <v>those</v>
      </c>
    </row>
    <row r="27453">
      <c r="A27453" s="1" t="s">
        <v>27452</v>
      </c>
      <c r="B27453" s="2" t="str">
        <f>IFERROR(__xludf.DUMMYFUNCTION("GOOGLETRANSLATE(A27453, ""de"", ""en"")"),"fireworks")</f>
        <v>fireworks</v>
      </c>
    </row>
    <row r="27454">
      <c r="A27454" s="1" t="s">
        <v>27453</v>
      </c>
      <c r="B27454" s="2" t="str">
        <f>IFERROR(__xludf.DUMMYFUNCTION("GOOGLETRANSLATE(A27454, ""de"", ""en"")"),"Theodore")</f>
        <v>Theodore</v>
      </c>
    </row>
    <row r="27455">
      <c r="A27455" s="1" t="s">
        <v>27454</v>
      </c>
      <c r="B27455" s="2" t="str">
        <f>IFERROR(__xludf.DUMMYFUNCTION("GOOGLETRANSLATE(A27455, ""de"", ""en"")"),"relocate")</f>
        <v>relocate</v>
      </c>
    </row>
    <row r="27456">
      <c r="A27456" s="1" t="s">
        <v>27455</v>
      </c>
      <c r="B27456" s="2" t="str">
        <f>IFERROR(__xludf.DUMMYFUNCTION("GOOGLETRANSLATE(A27456, ""de"", ""en"")"),"knocked out")</f>
        <v>knocked out</v>
      </c>
    </row>
    <row r="27457">
      <c r="A27457" s="1" t="s">
        <v>27456</v>
      </c>
      <c r="B27457" s="2" t="str">
        <f>IFERROR(__xludf.DUMMYFUNCTION("GOOGLETRANSLATE(A27457, ""de"", ""en"")"),"souvenirs")</f>
        <v>souvenirs</v>
      </c>
    </row>
    <row r="27458">
      <c r="A27458" s="1" t="s">
        <v>27457</v>
      </c>
      <c r="B27458" s="2" t="str">
        <f>IFERROR(__xludf.DUMMYFUNCTION("GOOGLETRANSLATE(A27458, ""de"", ""en"")"),"block")</f>
        <v>block</v>
      </c>
    </row>
    <row r="27459">
      <c r="A27459" s="1" t="s">
        <v>27458</v>
      </c>
      <c r="B27459" s="2" t="str">
        <f>IFERROR(__xludf.DUMMYFUNCTION("GOOGLETRANSLATE(A27459, ""de"", ""en"")"),"lecturer")</f>
        <v>lecturer</v>
      </c>
    </row>
    <row r="27460">
      <c r="A27460" s="1" t="s">
        <v>27459</v>
      </c>
      <c r="B27460" s="2" t="str">
        <f>IFERROR(__xludf.DUMMYFUNCTION("GOOGLETRANSLATE(A27460, ""de"", ""en"")"),"robbed")</f>
        <v>robbed</v>
      </c>
    </row>
    <row r="27461">
      <c r="A27461" s="1" t="s">
        <v>27460</v>
      </c>
      <c r="B27461" s="2" t="str">
        <f>IFERROR(__xludf.DUMMYFUNCTION("GOOGLETRANSLATE(A27461, ""de"", ""en"")"),"have on")</f>
        <v>have on</v>
      </c>
    </row>
    <row r="27462">
      <c r="A27462" s="1" t="s">
        <v>27461</v>
      </c>
      <c r="B27462" s="2" t="str">
        <f>IFERROR(__xludf.DUMMYFUNCTION("GOOGLETRANSLATE(A27462, ""de"", ""en"")"),"talent show")</f>
        <v>talent show</v>
      </c>
    </row>
    <row r="27463">
      <c r="A27463" s="1" t="s">
        <v>27462</v>
      </c>
      <c r="B27463" s="2" t="str">
        <f>IFERROR(__xludf.DUMMYFUNCTION("GOOGLETRANSLATE(A27463, ""de"", ""en"")"),"fumble")</f>
        <v>fumble</v>
      </c>
    </row>
    <row r="27464">
      <c r="A27464" s="1" t="s">
        <v>27463</v>
      </c>
      <c r="B27464" s="2" t="str">
        <f>IFERROR(__xludf.DUMMYFUNCTION("GOOGLETRANSLATE(A27464, ""de"", ""en"")"),"hung")</f>
        <v>hung</v>
      </c>
    </row>
    <row r="27465">
      <c r="A27465" s="1" t="s">
        <v>27464</v>
      </c>
      <c r="B27465" s="2" t="str">
        <f>IFERROR(__xludf.DUMMYFUNCTION("GOOGLETRANSLATE(A27465, ""de"", ""en"")"),"angler")</f>
        <v>angler</v>
      </c>
    </row>
    <row r="27466">
      <c r="A27466" s="1" t="s">
        <v>27465</v>
      </c>
      <c r="B27466" s="2" t="str">
        <f>IFERROR(__xludf.DUMMYFUNCTION("GOOGLETRANSLATE(A27466, ""de"", ""en"")"),"andys")</f>
        <v>andys</v>
      </c>
    </row>
    <row r="27467">
      <c r="A27467" s="1" t="s">
        <v>27466</v>
      </c>
      <c r="B27467" s="2" t="str">
        <f>IFERROR(__xludf.DUMMYFUNCTION("GOOGLETRANSLATE(A27467, ""de"", ""en"")"),"cardinal")</f>
        <v>cardinal</v>
      </c>
    </row>
    <row r="27468">
      <c r="A27468" s="1" t="s">
        <v>27467</v>
      </c>
      <c r="B27468" s="2" t="str">
        <f>IFERROR(__xludf.DUMMYFUNCTION("GOOGLETRANSLATE(A27468, ""de"", ""en"")"),"satisfactory")</f>
        <v>satisfactory</v>
      </c>
    </row>
    <row r="27469">
      <c r="A27469" s="1" t="s">
        <v>27468</v>
      </c>
      <c r="B27469" s="2" t="str">
        <f>IFERROR(__xludf.DUMMYFUNCTION("GOOGLETRANSLATE(A27469, ""de"", ""en"")"),"to revive")</f>
        <v>to revive</v>
      </c>
    </row>
    <row r="27470">
      <c r="A27470" s="1" t="s">
        <v>27469</v>
      </c>
      <c r="B27470" s="2" t="str">
        <f>IFERROR(__xludf.DUMMYFUNCTION("GOOGLETRANSLATE(A27470, ""de"", ""en"")"),"Hungarian")</f>
        <v>Hungarian</v>
      </c>
    </row>
    <row r="27471">
      <c r="A27471" s="1" t="s">
        <v>27470</v>
      </c>
      <c r="B27471" s="2" t="str">
        <f>IFERROR(__xludf.DUMMYFUNCTION("GOOGLETRANSLATE(A27471, ""de"", ""en"")"),"noticed")</f>
        <v>noticed</v>
      </c>
    </row>
    <row r="27472">
      <c r="A27472" s="1" t="s">
        <v>27471</v>
      </c>
      <c r="B27472" s="2" t="str">
        <f>IFERROR(__xludf.DUMMYFUNCTION("GOOGLETRANSLATE(A27472, ""de"", ""en"")"),"brilliant")</f>
        <v>brilliant</v>
      </c>
    </row>
    <row r="27473">
      <c r="A27473" s="1" t="s">
        <v>27472</v>
      </c>
      <c r="B27473" s="2" t="str">
        <f>IFERROR(__xludf.DUMMYFUNCTION("GOOGLETRANSLATE(A27473, ""de"", ""en"")"),"cheetah")</f>
        <v>cheetah</v>
      </c>
    </row>
    <row r="27474">
      <c r="A27474" s="1" t="s">
        <v>27473</v>
      </c>
      <c r="B27474" s="2" t="str">
        <f>IFERROR(__xludf.DUMMYFUNCTION("GOOGLETRANSLATE(A27474, ""de"", ""en"")"),"inevitable")</f>
        <v>inevitable</v>
      </c>
    </row>
    <row r="27475">
      <c r="A27475" s="1" t="s">
        <v>27474</v>
      </c>
      <c r="B27475" s="2" t="str">
        <f>IFERROR(__xludf.DUMMYFUNCTION("GOOGLETRANSLATE(A27475, ""de"", ""en"")"),"upper floor")</f>
        <v>upper floor</v>
      </c>
    </row>
    <row r="27476">
      <c r="A27476" s="1" t="s">
        <v>27475</v>
      </c>
      <c r="B27476" s="2" t="str">
        <f>IFERROR(__xludf.DUMMYFUNCTION("GOOGLETRANSLATE(A27476, ""de"", ""en"")"),"questionable")</f>
        <v>questionable</v>
      </c>
    </row>
    <row r="27477">
      <c r="A27477" s="1" t="s">
        <v>27476</v>
      </c>
      <c r="B27477" s="2" t="str">
        <f>IFERROR(__xludf.DUMMYFUNCTION("GOOGLETRANSLATE(A27477, ""de"", ""en"")"),"get to know")</f>
        <v>get to know</v>
      </c>
    </row>
    <row r="27478">
      <c r="A27478" s="1" t="s">
        <v>27477</v>
      </c>
      <c r="B27478" s="2" t="str">
        <f>IFERROR(__xludf.DUMMYFUNCTION("GOOGLETRANSLATE(A27478, ""de"", ""en"")"),"ahem")</f>
        <v>ahem</v>
      </c>
    </row>
    <row r="27479">
      <c r="A27479" s="1" t="s">
        <v>27478</v>
      </c>
      <c r="B27479" s="2" t="str">
        <f>IFERROR(__xludf.DUMMYFUNCTION("GOOGLETRANSLATE(A27479, ""de"", ""en"")"),"mermaids")</f>
        <v>mermaids</v>
      </c>
    </row>
    <row r="27480">
      <c r="A27480" s="1" t="s">
        <v>27479</v>
      </c>
      <c r="B27480" s="2" t="str">
        <f>IFERROR(__xludf.DUMMYFUNCTION("GOOGLETRANSLATE(A27480, ""de"", ""en"")"),"triple")</f>
        <v>triple</v>
      </c>
    </row>
    <row r="27481">
      <c r="A27481" s="1" t="s">
        <v>27480</v>
      </c>
      <c r="B27481" s="2" t="str">
        <f>IFERROR(__xludf.DUMMYFUNCTION("GOOGLETRANSLATE(A27481, ""de"", ""en"")"),"untie")</f>
        <v>untie</v>
      </c>
    </row>
    <row r="27482">
      <c r="A27482" s="1" t="s">
        <v>27481</v>
      </c>
      <c r="B27482" s="2" t="str">
        <f>IFERROR(__xludf.DUMMYFUNCTION("GOOGLETRANSLATE(A27482, ""de"", ""en"")"),"christiane")</f>
        <v>christiane</v>
      </c>
    </row>
    <row r="27483">
      <c r="A27483" s="1" t="s">
        <v>27482</v>
      </c>
      <c r="B27483" s="2" t="str">
        <f>IFERROR(__xludf.DUMMYFUNCTION("GOOGLETRANSLATE(A27483, ""de"", ""en"")"),"bend over")</f>
        <v>bend over</v>
      </c>
    </row>
    <row r="27484">
      <c r="A27484" s="1" t="s">
        <v>27483</v>
      </c>
      <c r="B27484" s="2" t="str">
        <f>IFERROR(__xludf.DUMMYFUNCTION("GOOGLETRANSLATE(A27484, ""de"", ""en"")"),"geisha")</f>
        <v>geisha</v>
      </c>
    </row>
    <row r="27485">
      <c r="A27485" s="1" t="s">
        <v>27484</v>
      </c>
      <c r="B27485" s="2" t="str">
        <f>IFERROR(__xludf.DUMMYFUNCTION("GOOGLETRANSLATE(A27485, ""de"", ""en"")"),"undamaged")</f>
        <v>undamaged</v>
      </c>
    </row>
    <row r="27486">
      <c r="A27486" s="1" t="s">
        <v>27485</v>
      </c>
      <c r="B27486" s="2" t="str">
        <f>IFERROR(__xludf.DUMMYFUNCTION("GOOGLETRANSLATE(A27486, ""de"", ""en"")"),"emeralds")</f>
        <v>emeralds</v>
      </c>
    </row>
    <row r="27487">
      <c r="A27487" s="1" t="s">
        <v>27486</v>
      </c>
      <c r="B27487" s="2" t="str">
        <f>IFERROR(__xludf.DUMMYFUNCTION("GOOGLETRANSLATE(A27487, ""de"", ""en"")"),"impress")</f>
        <v>impress</v>
      </c>
    </row>
    <row r="27488">
      <c r="A27488" s="1" t="s">
        <v>27487</v>
      </c>
      <c r="B27488" s="2" t="str">
        <f>IFERROR(__xludf.DUMMYFUNCTION("GOOGLETRANSLATE(A27488, ""de"", ""en"")"),"pitcher")</f>
        <v>pitcher</v>
      </c>
    </row>
    <row r="27489">
      <c r="A27489" s="1" t="s">
        <v>27488</v>
      </c>
      <c r="B27489" s="2" t="str">
        <f>IFERROR(__xludf.DUMMYFUNCTION("GOOGLETRANSLATE(A27489, ""de"", ""en"")"),"yann")</f>
        <v>yann</v>
      </c>
    </row>
    <row r="27490">
      <c r="A27490" s="1" t="s">
        <v>27489</v>
      </c>
      <c r="B27490" s="2" t="str">
        <f>IFERROR(__xludf.DUMMYFUNCTION("GOOGLETRANSLATE(A27490, ""de"", ""en"")"),"to apply")</f>
        <v>to apply</v>
      </c>
    </row>
    <row r="27491">
      <c r="A27491" s="1" t="s">
        <v>27490</v>
      </c>
      <c r="B27491" s="2" t="str">
        <f>IFERROR(__xludf.DUMMYFUNCTION("GOOGLETRANSLATE(A27491, ""de"", ""en"")"),"coconuts")</f>
        <v>coconuts</v>
      </c>
    </row>
    <row r="27492">
      <c r="A27492" s="1" t="s">
        <v>27491</v>
      </c>
      <c r="B27492" s="2" t="str">
        <f>IFERROR(__xludf.DUMMYFUNCTION("GOOGLETRANSLATE(A27492, ""de"", ""en"")"),"hang out")</f>
        <v>hang out</v>
      </c>
    </row>
    <row r="27493">
      <c r="A27493" s="1" t="s">
        <v>27492</v>
      </c>
      <c r="B27493" s="2" t="str">
        <f>IFERROR(__xludf.DUMMYFUNCTION("GOOGLETRANSLATE(A27493, ""de"", ""en"")"),"kaori")</f>
        <v>kaori</v>
      </c>
    </row>
    <row r="27494">
      <c r="A27494" s="1" t="s">
        <v>27493</v>
      </c>
      <c r="B27494" s="2" t="str">
        <f>IFERROR(__xludf.DUMMYFUNCTION("GOOGLETRANSLATE(A27494, ""de"", ""en"")"),"Gore")</f>
        <v>Gore</v>
      </c>
    </row>
    <row r="27495">
      <c r="A27495" s="1" t="s">
        <v>27494</v>
      </c>
      <c r="B27495" s="2" t="str">
        <f>IFERROR(__xludf.DUMMYFUNCTION("GOOGLETRANSLATE(A27495, ""de"", ""en"")"),"defibrillator")</f>
        <v>defibrillator</v>
      </c>
    </row>
    <row r="27496">
      <c r="A27496" s="1" t="s">
        <v>27495</v>
      </c>
      <c r="B27496" s="2" t="str">
        <f>IFERROR(__xludf.DUMMYFUNCTION("GOOGLETRANSLATE(A27496, ""de"", ""en"")"),"warp core")</f>
        <v>warp core</v>
      </c>
    </row>
    <row r="27497">
      <c r="A27497" s="1" t="s">
        <v>27496</v>
      </c>
      <c r="B27497" s="2" t="str">
        <f>IFERROR(__xludf.DUMMYFUNCTION("GOOGLETRANSLATE(A27497, ""de"", ""en"")"),"Shelton")</f>
        <v>Shelton</v>
      </c>
    </row>
    <row r="27498">
      <c r="A27498" s="1" t="s">
        <v>27497</v>
      </c>
      <c r="B27498" s="2" t="str">
        <f>IFERROR(__xludf.DUMMYFUNCTION("GOOGLETRANSLATE(A27498, ""de"", ""en"")"),"around")</f>
        <v>around</v>
      </c>
    </row>
    <row r="27499">
      <c r="A27499" s="1" t="s">
        <v>27498</v>
      </c>
      <c r="B27499" s="2" t="str">
        <f>IFERROR(__xludf.DUMMYFUNCTION("GOOGLETRANSLATE(A27499, ""de"", ""en"")"),"heard around")</f>
        <v>heard around</v>
      </c>
    </row>
    <row r="27500">
      <c r="A27500" s="1" t="s">
        <v>27499</v>
      </c>
      <c r="B27500" s="2" t="str">
        <f>IFERROR(__xludf.DUMMYFUNCTION("GOOGLETRANSLATE(A27500, ""de"", ""en"")"),"supplies")</f>
        <v>supplies</v>
      </c>
    </row>
    <row r="27501">
      <c r="A27501" s="1" t="s">
        <v>27500</v>
      </c>
      <c r="B27501" s="2" t="str">
        <f>IFERROR(__xludf.DUMMYFUNCTION("GOOGLETRANSLATE(A27501, ""de"", ""en"")"),"etiquette")</f>
        <v>etiquette</v>
      </c>
    </row>
    <row r="27502">
      <c r="A27502" s="1" t="s">
        <v>27501</v>
      </c>
      <c r="B27502" s="2" t="str">
        <f>IFERROR(__xludf.DUMMYFUNCTION("GOOGLETRANSLATE(A27502, ""de"", ""en"")"),"harkness")</f>
        <v>harkness</v>
      </c>
    </row>
    <row r="27503">
      <c r="A27503" s="1" t="s">
        <v>27502</v>
      </c>
      <c r="B27503" s="2" t="str">
        <f>IFERROR(__xludf.DUMMYFUNCTION("GOOGLETRANSLATE(A27503, ""de"", ""en"")"),"corresponded")</f>
        <v>corresponded</v>
      </c>
    </row>
    <row r="27504">
      <c r="A27504" s="1" t="s">
        <v>27503</v>
      </c>
      <c r="B27504" s="2" t="str">
        <f>IFERROR(__xludf.DUMMYFUNCTION("GOOGLETRANSLATE(A27504, ""de"", ""en"")"),"hits")</f>
        <v>hits</v>
      </c>
    </row>
    <row r="27505">
      <c r="A27505" s="1" t="s">
        <v>27504</v>
      </c>
      <c r="B27505" s="2" t="str">
        <f>IFERROR(__xludf.DUMMYFUNCTION("GOOGLETRANSLATE(A27505, ""de"", ""en"")"),"metropolitan")</f>
        <v>metropolitan</v>
      </c>
    </row>
    <row r="27506">
      <c r="A27506" s="1" t="s">
        <v>27505</v>
      </c>
      <c r="B27506" s="2" t="str">
        <f>IFERROR(__xludf.DUMMYFUNCTION("GOOGLETRANSLATE(A27506, ""de"", ""en"")"),"sleeping")</f>
        <v>sleeping</v>
      </c>
    </row>
    <row r="27507">
      <c r="A27507" s="1" t="s">
        <v>27506</v>
      </c>
      <c r="B27507" s="2" t="str">
        <f>IFERROR(__xludf.DUMMYFUNCTION("GOOGLETRANSLATE(A27507, ""de"", ""en"")"),"all the time")</f>
        <v>all the time</v>
      </c>
    </row>
    <row r="27508">
      <c r="A27508" s="1" t="s">
        <v>27507</v>
      </c>
      <c r="B27508" s="2" t="str">
        <f>IFERROR(__xludf.DUMMYFUNCTION("GOOGLETRANSLATE(A27508, ""de"", ""en"")"),"blu")</f>
        <v>blu</v>
      </c>
    </row>
    <row r="27509">
      <c r="A27509" s="1" t="s">
        <v>27508</v>
      </c>
      <c r="B27509" s="2" t="str">
        <f>IFERROR(__xludf.DUMMYFUNCTION("GOOGLETRANSLATE(A27509, ""de"", ""en"")"),"learned")</f>
        <v>learned</v>
      </c>
    </row>
    <row r="27510">
      <c r="A27510" s="1" t="s">
        <v>27509</v>
      </c>
      <c r="B27510" s="2" t="str">
        <f>IFERROR(__xludf.DUMMYFUNCTION("GOOGLETRANSLATE(A27510, ""de"", ""en"")"),"air support")</f>
        <v>air support</v>
      </c>
    </row>
    <row r="27511">
      <c r="A27511" s="1" t="s">
        <v>27510</v>
      </c>
      <c r="B27511" s="2" t="str">
        <f>IFERROR(__xludf.DUMMYFUNCTION("GOOGLETRANSLATE(A27511, ""de"", ""en"")"),"regular customers")</f>
        <v>regular customers</v>
      </c>
    </row>
    <row r="27512">
      <c r="A27512" s="1" t="s">
        <v>27511</v>
      </c>
      <c r="B27512" s="2" t="str">
        <f>IFERROR(__xludf.DUMMYFUNCTION("GOOGLETRANSLATE(A27512, ""de"", ""en"")"),"security clearance")</f>
        <v>security clearance</v>
      </c>
    </row>
    <row r="27513">
      <c r="A27513" s="1" t="s">
        <v>27512</v>
      </c>
      <c r="B27513" s="2" t="str">
        <f>IFERROR(__xludf.DUMMYFUNCTION("GOOGLETRANSLATE(A27513, ""de"", ""en"")"),"urban")</f>
        <v>urban</v>
      </c>
    </row>
    <row r="27514">
      <c r="A27514" s="1" t="s">
        <v>27513</v>
      </c>
      <c r="B27514" s="2" t="str">
        <f>IFERROR(__xludf.DUMMYFUNCTION("GOOGLETRANSLATE(A27514, ""de"", ""en"")"),"heap")</f>
        <v>heap</v>
      </c>
    </row>
    <row r="27515">
      <c r="A27515" s="1" t="s">
        <v>27514</v>
      </c>
      <c r="B27515" s="2" t="str">
        <f>IFERROR(__xludf.DUMMYFUNCTION("GOOGLETRANSLATE(A27515, ""de"", ""en"")"),"sterilize")</f>
        <v>sterilize</v>
      </c>
    </row>
    <row r="27516">
      <c r="A27516" s="1" t="s">
        <v>27515</v>
      </c>
      <c r="B27516" s="2" t="str">
        <f>IFERROR(__xludf.DUMMYFUNCTION("GOOGLETRANSLATE(A27516, ""de"", ""en"")"),"forecast")</f>
        <v>forecast</v>
      </c>
    </row>
    <row r="27517">
      <c r="A27517" s="1" t="s">
        <v>27516</v>
      </c>
      <c r="B27517" s="2" t="str">
        <f>IFERROR(__xludf.DUMMYFUNCTION("GOOGLETRANSLATE(A27517, ""de"", ""en"")"),"lumbar")</f>
        <v>lumbar</v>
      </c>
    </row>
    <row r="27518">
      <c r="A27518" s="1" t="s">
        <v>27517</v>
      </c>
      <c r="B27518" s="2" t="str">
        <f>IFERROR(__xludf.DUMMYFUNCTION("GOOGLETRANSLATE(A27518, ""de"", ""en"")"),"angeldream")</f>
        <v>angeldream</v>
      </c>
    </row>
    <row r="27519">
      <c r="A27519" s="1" t="s">
        <v>27518</v>
      </c>
      <c r="B27519" s="2" t="str">
        <f>IFERROR(__xludf.DUMMYFUNCTION("GOOGLETRANSLATE(A27519, ""de"", ""en"")"),"Gleason")</f>
        <v>Gleason</v>
      </c>
    </row>
    <row r="27520">
      <c r="A27520" s="1" t="s">
        <v>27519</v>
      </c>
      <c r="B27520" s="2" t="str">
        <f>IFERROR(__xludf.DUMMYFUNCTION("GOOGLETRANSLATE(A27520, ""de"", ""en"")"),"disinfect")</f>
        <v>disinfect</v>
      </c>
    </row>
    <row r="27521">
      <c r="A27521" s="1" t="s">
        <v>27520</v>
      </c>
      <c r="B27521" s="2" t="str">
        <f>IFERROR(__xludf.DUMMYFUNCTION("GOOGLETRANSLATE(A27521, ""de"", ""en"")"),"canary")</f>
        <v>canary</v>
      </c>
    </row>
    <row r="27522">
      <c r="A27522" s="1" t="s">
        <v>27521</v>
      </c>
      <c r="B27522" s="2" t="str">
        <f>IFERROR(__xludf.DUMMYFUNCTION("GOOGLETRANSLATE(A27522, ""de"", ""en"")"),"shave")</f>
        <v>shave</v>
      </c>
    </row>
    <row r="27523">
      <c r="A27523" s="1" t="s">
        <v>27522</v>
      </c>
      <c r="B27523" s="2" t="str">
        <f>IFERROR(__xludf.DUMMYFUNCTION("GOOGLETRANSLATE(A27523, ""de"", ""en"")"),"pearce")</f>
        <v>pearce</v>
      </c>
    </row>
    <row r="27524">
      <c r="A27524" s="1" t="s">
        <v>27523</v>
      </c>
      <c r="B27524" s="2" t="str">
        <f>IFERROR(__xludf.DUMMYFUNCTION("GOOGLETRANSLATE(A27524, ""de"", ""en"")"),"hedge")</f>
        <v>hedge</v>
      </c>
    </row>
    <row r="27525">
      <c r="A27525" s="1" t="s">
        <v>27524</v>
      </c>
      <c r="B27525" s="2" t="str">
        <f>IFERROR(__xludf.DUMMYFUNCTION("GOOGLETRANSLATE(A27525, ""de"", ""en"")"),"to take away")</f>
        <v>to take away</v>
      </c>
    </row>
    <row r="27526">
      <c r="A27526" s="1" t="s">
        <v>27525</v>
      </c>
      <c r="B27526" s="2" t="str">
        <f>IFERROR(__xludf.DUMMYFUNCTION("GOOGLETRANSLATE(A27526, ""de"", ""en"")"),"yeah")</f>
        <v>yeah</v>
      </c>
    </row>
    <row r="27527">
      <c r="A27527" s="1" t="s">
        <v>27526</v>
      </c>
      <c r="B27527" s="2" t="str">
        <f>IFERROR(__xludf.DUMMYFUNCTION("GOOGLETRANSLATE(A27527, ""de"", ""en"")"),"plastic")</f>
        <v>plastic</v>
      </c>
    </row>
    <row r="27528">
      <c r="A27528" s="1" t="s">
        <v>27527</v>
      </c>
      <c r="B27528" s="2" t="str">
        <f>IFERROR(__xludf.DUMMYFUNCTION("GOOGLETRANSLATE(A27528, ""de"", ""en"")"),"nourished")</f>
        <v>nourished</v>
      </c>
    </row>
    <row r="27529">
      <c r="A27529" s="1" t="s">
        <v>27528</v>
      </c>
      <c r="B27529" s="2" t="str">
        <f>IFERROR(__xludf.DUMMYFUNCTION("GOOGLETRANSLATE(A27529, ""de"", ""en"")"),"more details")</f>
        <v>more details</v>
      </c>
    </row>
    <row r="27530">
      <c r="A27530" s="1" t="s">
        <v>27529</v>
      </c>
      <c r="B27530" s="2" t="str">
        <f>IFERROR(__xludf.DUMMYFUNCTION("GOOGLETRANSLATE(A27530, ""de"", ""en"")"),"ferrara")</f>
        <v>ferrara</v>
      </c>
    </row>
    <row r="27531">
      <c r="A27531" s="1" t="s">
        <v>27530</v>
      </c>
      <c r="B27531" s="2" t="str">
        <f>IFERROR(__xludf.DUMMYFUNCTION("GOOGLETRANSLATE(A27531, ""de"", ""en"")"),"hired")</f>
        <v>hired</v>
      </c>
    </row>
    <row r="27532">
      <c r="A27532" s="1" t="s">
        <v>27531</v>
      </c>
      <c r="B27532" s="2" t="str">
        <f>IFERROR(__xludf.DUMMYFUNCTION("GOOGLETRANSLATE(A27532, ""de"", ""en"")"),"Debs")</f>
        <v>Debs</v>
      </c>
    </row>
    <row r="27533">
      <c r="A27533" s="1" t="s">
        <v>27532</v>
      </c>
      <c r="B27533" s="2" t="str">
        <f>IFERROR(__xludf.DUMMYFUNCTION("GOOGLETRANSLATE(A27533, ""de"", ""en"")"),"way home")</f>
        <v>way home</v>
      </c>
    </row>
    <row r="27534">
      <c r="A27534" s="1" t="s">
        <v>27533</v>
      </c>
      <c r="B27534" s="2" t="str">
        <f>IFERROR(__xludf.DUMMYFUNCTION("GOOGLETRANSLATE(A27534, ""de"", ""en"")"),"par")</f>
        <v>par</v>
      </c>
    </row>
    <row r="27535">
      <c r="A27535" s="1" t="s">
        <v>27534</v>
      </c>
      <c r="B27535" s="2" t="str">
        <f>IFERROR(__xludf.DUMMYFUNCTION("GOOGLETRANSLATE(A27535, ""de"", ""en"")"),"Arn")</f>
        <v>Arn</v>
      </c>
    </row>
    <row r="27536">
      <c r="A27536" s="1" t="s">
        <v>27535</v>
      </c>
      <c r="B27536" s="2" t="str">
        <f>IFERROR(__xludf.DUMMYFUNCTION("GOOGLETRANSLATE(A27536, ""de"", ""en"")"),"johnnys")</f>
        <v>johnnys</v>
      </c>
    </row>
    <row r="27537">
      <c r="A27537" s="1" t="s">
        <v>27536</v>
      </c>
      <c r="B27537" s="2" t="str">
        <f>IFERROR(__xludf.DUMMYFUNCTION("GOOGLETRANSLATE(A27537, ""de"", ""en"")"),"old man")</f>
        <v>old man</v>
      </c>
    </row>
    <row r="27538">
      <c r="A27538" s="1" t="s">
        <v>27537</v>
      </c>
      <c r="B27538" s="2" t="str">
        <f>IFERROR(__xludf.DUMMYFUNCTION("GOOGLETRANSLATE(A27538, ""de"", ""en"")"),"magnetic")</f>
        <v>magnetic</v>
      </c>
    </row>
    <row r="27539">
      <c r="A27539" s="1" t="s">
        <v>27538</v>
      </c>
      <c r="B27539" s="2" t="str">
        <f>IFERROR(__xludf.DUMMYFUNCTION("GOOGLETRANSLATE(A27539, ""de"", ""en"")"),"aggressive")</f>
        <v>aggressive</v>
      </c>
    </row>
    <row r="27540">
      <c r="A27540" s="1" t="s">
        <v>27539</v>
      </c>
      <c r="B27540" s="2" t="str">
        <f>IFERROR(__xludf.DUMMYFUNCTION("GOOGLETRANSLATE(A27540, ""de"", ""en"")"),"composers")</f>
        <v>composers</v>
      </c>
    </row>
    <row r="27541">
      <c r="A27541" s="1" t="s">
        <v>27540</v>
      </c>
      <c r="B27541" s="2" t="str">
        <f>IFERROR(__xludf.DUMMYFUNCTION("GOOGLETRANSLATE(A27541, ""de"", ""en"")"),"tusse")</f>
        <v>tusse</v>
      </c>
    </row>
    <row r="27542">
      <c r="A27542" s="1" t="s">
        <v>27541</v>
      </c>
      <c r="B27542" s="2" t="str">
        <f>IFERROR(__xludf.DUMMYFUNCTION("GOOGLETRANSLATE(A27542, ""de"", ""en"")"),"agencies")</f>
        <v>agencies</v>
      </c>
    </row>
    <row r="27543">
      <c r="A27543" s="1" t="s">
        <v>27542</v>
      </c>
      <c r="B27543" s="2" t="str">
        <f>IFERROR(__xludf.DUMMYFUNCTION("GOOGLETRANSLATE(A27543, ""de"", ""en"")"),"syllable")</f>
        <v>syllable</v>
      </c>
    </row>
    <row r="27544">
      <c r="A27544" s="1" t="s">
        <v>27543</v>
      </c>
      <c r="B27544" s="2" t="str">
        <f>IFERROR(__xludf.DUMMYFUNCTION("GOOGLETRANSLATE(A27544, ""de"", ""en"")"),"bubber")</f>
        <v>bubber</v>
      </c>
    </row>
    <row r="27545">
      <c r="A27545" s="1" t="s">
        <v>27544</v>
      </c>
      <c r="B27545" s="2" t="str">
        <f>IFERROR(__xludf.DUMMYFUNCTION("GOOGLETRANSLATE(A27545, ""de"", ""en"")"),"to find out")</f>
        <v>to find out</v>
      </c>
    </row>
    <row r="27546">
      <c r="A27546" s="1" t="s">
        <v>27545</v>
      </c>
      <c r="B27546" s="2" t="str">
        <f>IFERROR(__xludf.DUMMYFUNCTION("GOOGLETRANSLATE(A27546, ""de"", ""en"")"),"obsession")</f>
        <v>obsession</v>
      </c>
    </row>
    <row r="27547">
      <c r="A27547" s="1" t="s">
        <v>27546</v>
      </c>
      <c r="B27547" s="2" t="str">
        <f>IFERROR(__xludf.DUMMYFUNCTION("GOOGLETRANSLATE(A27547, ""de"", ""en"")"),"fly back")</f>
        <v>fly back</v>
      </c>
    </row>
    <row r="27548">
      <c r="A27548" s="1" t="s">
        <v>27547</v>
      </c>
      <c r="B27548" s="2" t="str">
        <f>IFERROR(__xludf.DUMMYFUNCTION("GOOGLETRANSLATE(A27548, ""de"", ""en"")"),"unstoppable")</f>
        <v>unstoppable</v>
      </c>
    </row>
    <row r="27549">
      <c r="A27549" s="1" t="s">
        <v>27548</v>
      </c>
      <c r="B27549" s="2" t="str">
        <f>IFERROR(__xludf.DUMMYFUNCTION("GOOGLETRANSLATE(A27549, ""de"", ""en"")"),"home run")</f>
        <v>home run</v>
      </c>
    </row>
    <row r="27550">
      <c r="A27550" s="1" t="s">
        <v>27549</v>
      </c>
      <c r="B27550" s="2" t="str">
        <f>IFERROR(__xludf.DUMMYFUNCTION("GOOGLETRANSLATE(A27550, ""de"", ""en"")"),"eats")</f>
        <v>eats</v>
      </c>
    </row>
    <row r="27551">
      <c r="A27551" s="1" t="s">
        <v>27550</v>
      </c>
      <c r="B27551" s="2" t="str">
        <f>IFERROR(__xludf.DUMMYFUNCTION("GOOGLETRANSLATE(A27551, ""de"", ""en"")"),"dam")</f>
        <v>dam</v>
      </c>
    </row>
    <row r="27552">
      <c r="A27552" s="1" t="s">
        <v>27551</v>
      </c>
      <c r="B27552" s="2" t="str">
        <f>IFERROR(__xludf.DUMMYFUNCTION("GOOGLETRANSLATE(A27552, ""de"", ""en"")"),"prepared")</f>
        <v>prepared</v>
      </c>
    </row>
    <row r="27553">
      <c r="A27553" s="1" t="s">
        <v>27552</v>
      </c>
      <c r="B27553" s="2" t="str">
        <f>IFERROR(__xludf.DUMMYFUNCTION("GOOGLETRANSLATE(A27553, ""de"", ""en"")"),"mucho")</f>
        <v>mucho</v>
      </c>
    </row>
    <row r="27554">
      <c r="A27554" s="1" t="s">
        <v>27553</v>
      </c>
      <c r="B27554" s="2" t="str">
        <f>IFERROR(__xludf.DUMMYFUNCTION("GOOGLETRANSLATE(A27554, ""de"", ""en"")"),"trembled")</f>
        <v>trembled</v>
      </c>
    </row>
    <row r="27555">
      <c r="A27555" s="1" t="s">
        <v>27554</v>
      </c>
      <c r="B27555" s="2" t="str">
        <f>IFERROR(__xludf.DUMMYFUNCTION("GOOGLETRANSLATE(A27555, ""de"", ""en"")"),"reckless")</f>
        <v>reckless</v>
      </c>
    </row>
    <row r="27556">
      <c r="A27556" s="1" t="s">
        <v>27555</v>
      </c>
      <c r="B27556" s="2" t="str">
        <f>IFERROR(__xludf.DUMMYFUNCTION("GOOGLETRANSLATE(A27556, ""de"", ""en"")"),"giants")</f>
        <v>giants</v>
      </c>
    </row>
    <row r="27557">
      <c r="A27557" s="1" t="s">
        <v>27556</v>
      </c>
      <c r="B27557" s="2" t="str">
        <f>IFERROR(__xludf.DUMMYFUNCTION("GOOGLETRANSLATE(A27557, ""de"", ""en"")"),"play move")</f>
        <v>play move</v>
      </c>
    </row>
    <row r="27558">
      <c r="A27558" s="1" t="s">
        <v>27557</v>
      </c>
      <c r="B27558" s="2" t="str">
        <f>IFERROR(__xludf.DUMMYFUNCTION("GOOGLETRANSLATE(A27558, ""de"", ""en"")"),"dumbo")</f>
        <v>dumbo</v>
      </c>
    </row>
    <row r="27559">
      <c r="A27559" s="1" t="s">
        <v>27558</v>
      </c>
      <c r="B27559" s="2" t="str">
        <f>IFERROR(__xludf.DUMMYFUNCTION("GOOGLETRANSLATE(A27559, ""de"", ""en"")"),"recession")</f>
        <v>recession</v>
      </c>
    </row>
    <row r="27560">
      <c r="A27560" s="1" t="s">
        <v>27559</v>
      </c>
      <c r="B27560" s="2" t="str">
        <f>IFERROR(__xludf.DUMMYFUNCTION("GOOGLETRANSLATE(A27560, ""de"", ""en"")"),"lennier")</f>
        <v>lennier</v>
      </c>
    </row>
    <row r="27561">
      <c r="A27561" s="1" t="s">
        <v>27560</v>
      </c>
      <c r="B27561" s="2" t="str">
        <f>IFERROR(__xludf.DUMMYFUNCTION("GOOGLETRANSLATE(A27561, ""de"", ""en"")"),"positioned")</f>
        <v>positioned</v>
      </c>
    </row>
    <row r="27562">
      <c r="A27562" s="1" t="s">
        <v>27561</v>
      </c>
      <c r="B27562" s="2" t="str">
        <f>IFERROR(__xludf.DUMMYFUNCTION("GOOGLETRANSLATE(A27562, ""de"", ""en"")"),"sleeping place")</f>
        <v>sleeping place</v>
      </c>
    </row>
    <row r="27563">
      <c r="A27563" s="1" t="s">
        <v>27562</v>
      </c>
      <c r="B27563" s="2" t="str">
        <f>IFERROR(__xludf.DUMMYFUNCTION("GOOGLETRANSLATE(A27563, ""de"", ""en"")"),"teeger")</f>
        <v>teeger</v>
      </c>
    </row>
    <row r="27564">
      <c r="A27564" s="1" t="s">
        <v>27563</v>
      </c>
      <c r="B27564" s="2" t="str">
        <f>IFERROR(__xludf.DUMMYFUNCTION("GOOGLETRANSLATE(A27564, ""de"", ""en"")"),"sadly")</f>
        <v>sadly</v>
      </c>
    </row>
    <row r="27565">
      <c r="A27565" s="1" t="s">
        <v>27564</v>
      </c>
      <c r="B27565" s="2" t="str">
        <f>IFERROR(__xludf.DUMMYFUNCTION("GOOGLETRANSLATE(A27565, ""de"", ""en"")"),"flew away")</f>
        <v>flew away</v>
      </c>
    </row>
    <row r="27566">
      <c r="A27566" s="1" t="s">
        <v>27565</v>
      </c>
      <c r="B27566" s="2" t="str">
        <f>IFERROR(__xludf.DUMMYFUNCTION("GOOGLETRANSLATE(A27566, ""de"", ""en"")"),"lydecker")</f>
        <v>lydecker</v>
      </c>
    </row>
    <row r="27567">
      <c r="A27567" s="1" t="s">
        <v>27566</v>
      </c>
      <c r="B27567" s="2" t="str">
        <f>IFERROR(__xludf.DUMMYFUNCTION("GOOGLETRANSLATE(A27567, ""de"", ""en"")"),"Mercury")</f>
        <v>Mercury</v>
      </c>
    </row>
    <row r="27568">
      <c r="A27568" s="1" t="s">
        <v>27567</v>
      </c>
      <c r="B27568" s="2" t="str">
        <f>IFERROR(__xludf.DUMMYFUNCTION("GOOGLETRANSLATE(A27568, ""de"", ""en"")"),"offset")</f>
        <v>offset</v>
      </c>
    </row>
    <row r="27569">
      <c r="A27569" s="1" t="s">
        <v>27568</v>
      </c>
      <c r="B27569" s="2" t="str">
        <f>IFERROR(__xludf.DUMMYFUNCTION("GOOGLETRANSLATE(A27569, ""de"", ""en"")"),"Kremlin")</f>
        <v>Kremlin</v>
      </c>
    </row>
    <row r="27570">
      <c r="A27570" s="1" t="s">
        <v>27569</v>
      </c>
      <c r="B27570" s="2" t="str">
        <f>IFERROR(__xludf.DUMMYFUNCTION("GOOGLETRANSLATE(A27570, ""de"", ""en"")"),"darling")</f>
        <v>darling</v>
      </c>
    </row>
    <row r="27571">
      <c r="A27571" s="1" t="s">
        <v>27570</v>
      </c>
      <c r="B27571" s="2" t="str">
        <f>IFERROR(__xludf.DUMMYFUNCTION("GOOGLETRANSLATE(A27571, ""de"", ""en"")"),"beat together")</f>
        <v>beat together</v>
      </c>
    </row>
    <row r="27572">
      <c r="A27572" s="1" t="s">
        <v>27571</v>
      </c>
      <c r="B27572" s="2" t="str">
        <f>IFERROR(__xludf.DUMMYFUNCTION("GOOGLETRANSLATE(A27572, ""de"", ""en"")"),"knocked off")</f>
        <v>knocked off</v>
      </c>
    </row>
    <row r="27573">
      <c r="A27573" s="1" t="s">
        <v>27572</v>
      </c>
      <c r="B27573" s="2" t="str">
        <f>IFERROR(__xludf.DUMMYFUNCTION("GOOGLETRANSLATE(A27573, ""de"", ""en"")"),"camouflage device")</f>
        <v>camouflage device</v>
      </c>
    </row>
    <row r="27574">
      <c r="A27574" s="1" t="s">
        <v>27573</v>
      </c>
      <c r="B27574" s="2" t="str">
        <f>IFERROR(__xludf.DUMMYFUNCTION("GOOGLETRANSLATE(A27574, ""de"", ""en"")"),"complacent")</f>
        <v>complacent</v>
      </c>
    </row>
    <row r="27575">
      <c r="A27575" s="1" t="s">
        <v>27574</v>
      </c>
      <c r="B27575" s="2" t="str">
        <f>IFERROR(__xludf.DUMMYFUNCTION("GOOGLETRANSLATE(A27575, ""de"", ""en"")"),"tax authority")</f>
        <v>tax authority</v>
      </c>
    </row>
    <row r="27576">
      <c r="A27576" s="1" t="s">
        <v>27575</v>
      </c>
      <c r="B27576" s="2" t="str">
        <f>IFERROR(__xludf.DUMMYFUNCTION("GOOGLETRANSLATE(A27576, ""de"", ""en"")"),"fascinating")</f>
        <v>fascinating</v>
      </c>
    </row>
    <row r="27577">
      <c r="A27577" s="1" t="s">
        <v>27576</v>
      </c>
      <c r="B27577" s="2" t="str">
        <f>IFERROR(__xludf.DUMMYFUNCTION("GOOGLETRANSLATE(A27577, ""de"", ""en"")"),"grants")</f>
        <v>grants</v>
      </c>
    </row>
    <row r="27578">
      <c r="A27578" s="1" t="s">
        <v>27577</v>
      </c>
      <c r="B27578" s="2" t="str">
        <f>IFERROR(__xludf.DUMMYFUNCTION("GOOGLETRANSLATE(A27578, ""de"", ""en"")"),"gag")</f>
        <v>gag</v>
      </c>
    </row>
    <row r="27579">
      <c r="A27579" s="1" t="s">
        <v>27578</v>
      </c>
      <c r="B27579" s="2" t="str">
        <f>IFERROR(__xludf.DUMMYFUNCTION("GOOGLETRANSLATE(A27579, ""de"", ""en"")"),"missing")</f>
        <v>missing</v>
      </c>
    </row>
    <row r="27580">
      <c r="A27580" s="1" t="s">
        <v>27579</v>
      </c>
      <c r="B27580" s="2" t="str">
        <f>IFERROR(__xludf.DUMMYFUNCTION("GOOGLETRANSLATE(A27580, ""de"", ""en"")"),"deflowered")</f>
        <v>deflowered</v>
      </c>
    </row>
    <row r="27581">
      <c r="A27581" s="1" t="s">
        <v>27580</v>
      </c>
      <c r="B27581" s="2" t="str">
        <f>IFERROR(__xludf.DUMMYFUNCTION("GOOGLETRANSLATE(A27581, ""de"", ""en"")"),"diem")</f>
        <v>diem</v>
      </c>
    </row>
    <row r="27582">
      <c r="A27582" s="1" t="s">
        <v>27581</v>
      </c>
      <c r="B27582" s="2" t="str">
        <f>IFERROR(__xludf.DUMMYFUNCTION("GOOGLETRANSLATE(A27582, ""de"", ""en"")"),"Hiroshima")</f>
        <v>Hiroshima</v>
      </c>
    </row>
    <row r="27583">
      <c r="A27583" s="1" t="s">
        <v>27582</v>
      </c>
      <c r="B27583" s="2" t="str">
        <f>IFERROR(__xludf.DUMMYFUNCTION("GOOGLETRANSLATE(A27583, ""de"", ""en"")"),"trace back")</f>
        <v>trace back</v>
      </c>
    </row>
    <row r="27584">
      <c r="A27584" s="1" t="s">
        <v>27583</v>
      </c>
      <c r="B27584" s="2" t="str">
        <f>IFERROR(__xludf.DUMMYFUNCTION("GOOGLETRANSLATE(A27584, ""de"", ""en"")"),"manon")</f>
        <v>manon</v>
      </c>
    </row>
    <row r="27585">
      <c r="A27585" s="1" t="s">
        <v>27584</v>
      </c>
      <c r="B27585" s="2" t="str">
        <f>IFERROR(__xludf.DUMMYFUNCTION("GOOGLETRANSLATE(A27585, ""de"", ""en"")"),"sensitivity")</f>
        <v>sensitivity</v>
      </c>
    </row>
    <row r="27586">
      <c r="A27586" s="1" t="s">
        <v>27585</v>
      </c>
      <c r="B27586" s="2" t="str">
        <f>IFERROR(__xludf.DUMMYFUNCTION("GOOGLETRANSLATE(A27586, ""de"", ""en"")"),"stand around")</f>
        <v>stand around</v>
      </c>
    </row>
    <row r="27587">
      <c r="A27587" s="1" t="s">
        <v>27586</v>
      </c>
      <c r="B27587" s="2" t="str">
        <f>IFERROR(__xludf.DUMMYFUNCTION("GOOGLETRANSLATE(A27587, ""de"", ""en"")"),"walk")</f>
        <v>walk</v>
      </c>
    </row>
    <row r="27588">
      <c r="A27588" s="1" t="s">
        <v>27587</v>
      </c>
      <c r="B27588" s="2" t="str">
        <f>IFERROR(__xludf.DUMMYFUNCTION("GOOGLETRANSLATE(A27588, ""de"", ""en"")"),"audio")</f>
        <v>audio</v>
      </c>
    </row>
    <row r="27589">
      <c r="A27589" s="1" t="s">
        <v>27588</v>
      </c>
      <c r="B27589" s="2" t="str">
        <f>IFERROR(__xludf.DUMMYFUNCTION("GOOGLETRANSLATE(A27589, ""de"", ""en"")"),"spill")</f>
        <v>spill</v>
      </c>
    </row>
    <row r="27590">
      <c r="A27590" s="1" t="s">
        <v>27589</v>
      </c>
      <c r="B27590" s="2" t="str">
        <f>IFERROR(__xludf.DUMMYFUNCTION("GOOGLETRANSLATE(A27590, ""de"", ""en"")"),"Gabriela")</f>
        <v>Gabriela</v>
      </c>
    </row>
    <row r="27591">
      <c r="A27591" s="1" t="s">
        <v>27590</v>
      </c>
      <c r="B27591" s="2" t="str">
        <f>IFERROR(__xludf.DUMMYFUNCTION("GOOGLETRANSLATE(A27591, ""de"", ""en"")"),"parked")</f>
        <v>parked</v>
      </c>
    </row>
    <row r="27592">
      <c r="A27592" s="1" t="s">
        <v>27591</v>
      </c>
      <c r="B27592" s="2" t="str">
        <f>IFERROR(__xludf.DUMMYFUNCTION("GOOGLETRANSLATE(A27592, ""de"", ""en"")"),"double agent")</f>
        <v>double agent</v>
      </c>
    </row>
    <row r="27593">
      <c r="A27593" s="1" t="s">
        <v>27592</v>
      </c>
      <c r="B27593" s="2" t="str">
        <f>IFERROR(__xludf.DUMMYFUNCTION("GOOGLETRANSLATE(A27593, ""de"", ""en"")"),"more sublime")</f>
        <v>more sublime</v>
      </c>
    </row>
    <row r="27594">
      <c r="A27594" s="1" t="s">
        <v>27593</v>
      </c>
      <c r="B27594" s="2" t="str">
        <f>IFERROR(__xludf.DUMMYFUNCTION("GOOGLETRANSLATE(A27594, ""de"", ""en"")"),"strong")</f>
        <v>strong</v>
      </c>
    </row>
    <row r="27595">
      <c r="A27595" s="1" t="s">
        <v>27594</v>
      </c>
      <c r="B27595" s="2" t="str">
        <f>IFERROR(__xludf.DUMMYFUNCTION("GOOGLETRANSLATE(A27595, ""de"", ""en"")"),"district")</f>
        <v>district</v>
      </c>
    </row>
    <row r="27596">
      <c r="A27596" s="1" t="s">
        <v>27595</v>
      </c>
      <c r="B27596" s="2" t="str">
        <f>IFERROR(__xludf.DUMMYFUNCTION("GOOGLETRANSLATE(A27596, ""de"", ""en"")"),"Vietnamese")</f>
        <v>Vietnamese</v>
      </c>
    </row>
    <row r="27597">
      <c r="A27597" s="1" t="s">
        <v>27596</v>
      </c>
      <c r="B27597" s="2" t="str">
        <f>IFERROR(__xludf.DUMMYFUNCTION("GOOGLETRANSLATE(A27597, ""de"", ""en"")"),"trout")</f>
        <v>trout</v>
      </c>
    </row>
    <row r="27598">
      <c r="A27598" s="1" t="s">
        <v>27597</v>
      </c>
      <c r="B27598" s="2" t="str">
        <f>IFERROR(__xludf.DUMMYFUNCTION("GOOGLETRANSLATE(A27598, ""de"", ""en"")"),"temptations")</f>
        <v>temptations</v>
      </c>
    </row>
    <row r="27599">
      <c r="A27599" s="1" t="s">
        <v>27598</v>
      </c>
      <c r="B27599" s="2" t="str">
        <f>IFERROR(__xludf.DUMMYFUNCTION("GOOGLETRANSLATE(A27599, ""de"", ""en"")"),"ares")</f>
        <v>ares</v>
      </c>
    </row>
    <row r="27600">
      <c r="A27600" s="1" t="s">
        <v>27599</v>
      </c>
      <c r="B27600" s="2" t="str">
        <f>IFERROR(__xludf.DUMMYFUNCTION("GOOGLETRANSLATE(A27600, ""de"", ""en"")"),"pumpkins")</f>
        <v>pumpkins</v>
      </c>
    </row>
    <row r="27601">
      <c r="A27601" s="1" t="s">
        <v>27600</v>
      </c>
      <c r="B27601" s="2" t="str">
        <f>IFERROR(__xludf.DUMMYFUNCTION("GOOGLETRANSLATE(A27601, ""de"", ""en"")"),"scientific")</f>
        <v>scientific</v>
      </c>
    </row>
    <row r="27602">
      <c r="A27602" s="1" t="s">
        <v>27601</v>
      </c>
      <c r="B27602" s="2" t="str">
        <f>IFERROR(__xludf.DUMMYFUNCTION("GOOGLETRANSLATE(A27602, ""de"", ""en"")"),"telegrams")</f>
        <v>telegrams</v>
      </c>
    </row>
    <row r="27603">
      <c r="A27603" s="1" t="s">
        <v>27602</v>
      </c>
      <c r="B27603" s="2" t="str">
        <f>IFERROR(__xludf.DUMMYFUNCTION("GOOGLETRANSLATE(A27603, ""de"", ""en"")"),"Julia")</f>
        <v>Julia</v>
      </c>
    </row>
    <row r="27604">
      <c r="A27604" s="1" t="s">
        <v>27603</v>
      </c>
      <c r="B27604" s="2" t="str">
        <f>IFERROR(__xludf.DUMMYFUNCTION("GOOGLETRANSLATE(A27604, ""de"", ""en"")"),"integrated")</f>
        <v>integrated</v>
      </c>
    </row>
    <row r="27605">
      <c r="A27605" s="1" t="s">
        <v>27604</v>
      </c>
      <c r="B27605" s="2" t="str">
        <f>IFERROR(__xludf.DUMMYFUNCTION("GOOGLETRANSLATE(A27605, ""de"", ""en"")"),"more spiritual")</f>
        <v>more spiritual</v>
      </c>
    </row>
    <row r="27606">
      <c r="A27606" s="1" t="s">
        <v>27605</v>
      </c>
      <c r="B27606" s="2" t="str">
        <f>IFERROR(__xludf.DUMMYFUNCTION("GOOGLETRANSLATE(A27606, ""de"", ""en"")"),"penultimate")</f>
        <v>penultimate</v>
      </c>
    </row>
    <row r="27607">
      <c r="A27607" s="1" t="s">
        <v>27606</v>
      </c>
      <c r="B27607" s="2" t="str">
        <f>IFERROR(__xludf.DUMMYFUNCTION("GOOGLETRANSLATE(A27607, ""de"", ""en"")"),"cheap")</f>
        <v>cheap</v>
      </c>
    </row>
    <row r="27608">
      <c r="A27608" s="1" t="s">
        <v>27607</v>
      </c>
      <c r="B27608" s="2" t="str">
        <f>IFERROR(__xludf.DUMMYFUNCTION("GOOGLETRANSLATE(A27608, ""de"", ""en"")"),"fin")</f>
        <v>fin</v>
      </c>
    </row>
    <row r="27609">
      <c r="A27609" s="1" t="s">
        <v>27608</v>
      </c>
      <c r="B27609" s="2" t="str">
        <f>IFERROR(__xludf.DUMMYFUNCTION("GOOGLETRANSLATE(A27609, ""de"", ""en"")"),"selfie")</f>
        <v>selfie</v>
      </c>
    </row>
    <row r="27610">
      <c r="A27610" s="1" t="s">
        <v>27609</v>
      </c>
      <c r="B27610" s="2" t="str">
        <f>IFERROR(__xludf.DUMMYFUNCTION("GOOGLETRANSLATE(A27610, ""de"", ""en"")"),"vortex")</f>
        <v>vortex</v>
      </c>
    </row>
    <row r="27611">
      <c r="A27611" s="1" t="s">
        <v>27610</v>
      </c>
      <c r="B27611" s="2" t="str">
        <f>IFERROR(__xludf.DUMMYFUNCTION("GOOGLETRANSLATE(A27611, ""de"", ""en"")"),"accused")</f>
        <v>accused</v>
      </c>
    </row>
    <row r="27612">
      <c r="A27612" s="1" t="s">
        <v>27611</v>
      </c>
      <c r="B27612" s="2" t="str">
        <f>IFERROR(__xludf.DUMMYFUNCTION("GOOGLETRANSLATE(A27612, ""de"", ""en"")"),"hess")</f>
        <v>hess</v>
      </c>
    </row>
    <row r="27613">
      <c r="A27613" s="1" t="s">
        <v>27612</v>
      </c>
      <c r="B27613" s="2" t="str">
        <f>IFERROR(__xludf.DUMMYFUNCTION("GOOGLETRANSLATE(A27613, ""de"", ""en"")"),"eastern")</f>
        <v>eastern</v>
      </c>
    </row>
    <row r="27614">
      <c r="A27614" s="1" t="s">
        <v>27613</v>
      </c>
      <c r="B27614" s="2" t="str">
        <f>IFERROR(__xludf.DUMMYFUNCTION("GOOGLETRANSLATE(A27614, ""de"", ""en"")"),"rutledge")</f>
        <v>rutledge</v>
      </c>
    </row>
    <row r="27615">
      <c r="A27615" s="1" t="s">
        <v>27614</v>
      </c>
      <c r="B27615" s="2" t="str">
        <f>IFERROR(__xludf.DUMMYFUNCTION("GOOGLETRANSLATE(A27615, ""de"", ""en"")"),"conditions")</f>
        <v>conditions</v>
      </c>
    </row>
    <row r="27616">
      <c r="A27616" s="1" t="s">
        <v>27615</v>
      </c>
      <c r="B27616" s="2" t="str">
        <f>IFERROR(__xludf.DUMMYFUNCTION("GOOGLETRANSLATE(A27616, ""de"", ""en"")"),"above")</f>
        <v>above</v>
      </c>
    </row>
    <row r="27617">
      <c r="A27617" s="1" t="s">
        <v>27616</v>
      </c>
      <c r="B27617" s="2" t="str">
        <f>IFERROR(__xludf.DUMMYFUNCTION("GOOGLETRANSLATE(A27617, ""de"", ""en"")"),"debut")</f>
        <v>debut</v>
      </c>
    </row>
    <row r="27618">
      <c r="A27618" s="1" t="s">
        <v>27617</v>
      </c>
      <c r="B27618" s="2" t="str">
        <f>IFERROR(__xludf.DUMMYFUNCTION("GOOGLETRANSLATE(A27618, ""de"", ""en"")"),"faye")</f>
        <v>faye</v>
      </c>
    </row>
    <row r="27619">
      <c r="A27619" s="1" t="s">
        <v>27618</v>
      </c>
      <c r="B27619" s="2" t="str">
        <f>IFERROR(__xludf.DUMMYFUNCTION("GOOGLETRANSLATE(A27619, ""de"", ""en"")"),"clings")</f>
        <v>clings</v>
      </c>
    </row>
    <row r="27620">
      <c r="A27620" s="1" t="s">
        <v>27619</v>
      </c>
      <c r="B27620" s="2" t="str">
        <f>IFERROR(__xludf.DUMMYFUNCTION("GOOGLETRANSLATE(A27620, ""de"", ""en"")"),"humbug")</f>
        <v>humbug</v>
      </c>
    </row>
    <row r="27621">
      <c r="A27621" s="1" t="s">
        <v>27620</v>
      </c>
      <c r="B27621" s="2" t="str">
        <f>IFERROR(__xludf.DUMMYFUNCTION("GOOGLETRANSLATE(A27621, ""de"", ""en"")"),"zee")</f>
        <v>zee</v>
      </c>
    </row>
    <row r="27622">
      <c r="A27622" s="1" t="s">
        <v>27621</v>
      </c>
      <c r="B27622" s="2" t="str">
        <f>IFERROR(__xludf.DUMMYFUNCTION("GOOGLETRANSLATE(A27622, ""de"", ""en"")"),"aborted")</f>
        <v>aborted</v>
      </c>
    </row>
    <row r="27623">
      <c r="A27623" s="1" t="s">
        <v>27622</v>
      </c>
      <c r="B27623" s="2" t="str">
        <f>IFERROR(__xludf.DUMMYFUNCTION("GOOGLETRANSLATE(A27623, ""de"", ""en"")"),"fly along")</f>
        <v>fly along</v>
      </c>
    </row>
    <row r="27624">
      <c r="A27624" s="1" t="s">
        <v>27623</v>
      </c>
      <c r="B27624" s="2" t="str">
        <f>IFERROR(__xludf.DUMMYFUNCTION("GOOGLETRANSLATE(A27624, ""de"", ""en"")"),"gardening")</f>
        <v>gardening</v>
      </c>
    </row>
    <row r="27625">
      <c r="A27625" s="1" t="s">
        <v>27624</v>
      </c>
      <c r="B27625" s="2" t="str">
        <f>IFERROR(__xludf.DUMMYFUNCTION("GOOGLETRANSLATE(A27625, ""de"", ""en"")"),"couriers")</f>
        <v>couriers</v>
      </c>
    </row>
    <row r="27626">
      <c r="A27626" s="1" t="s">
        <v>27625</v>
      </c>
      <c r="B27626" s="2" t="str">
        <f>IFERROR(__xludf.DUMMYFUNCTION("GOOGLETRANSLATE(A27626, ""de"", ""en"")"),"damage report")</f>
        <v>damage report</v>
      </c>
    </row>
    <row r="27627">
      <c r="A27627" s="1" t="s">
        <v>27626</v>
      </c>
      <c r="B27627" s="2" t="str">
        <f>IFERROR(__xludf.DUMMYFUNCTION("GOOGLETRANSLATE(A27627, ""de"", ""en"")"),"epilepsy")</f>
        <v>epilepsy</v>
      </c>
    </row>
    <row r="27628">
      <c r="A27628" s="1" t="s">
        <v>27627</v>
      </c>
      <c r="B27628" s="2" t="str">
        <f>IFERROR(__xludf.DUMMYFUNCTION("GOOGLETRANSLATE(A27628, ""de"", ""en"")"),"good-natured")</f>
        <v>good-natured</v>
      </c>
    </row>
    <row r="27629">
      <c r="A27629" s="1" t="s">
        <v>27628</v>
      </c>
      <c r="B27629" s="2" t="str">
        <f>IFERROR(__xludf.DUMMYFUNCTION("GOOGLETRANSLATE(A27629, ""de"", ""en"")"),"Birgit")</f>
        <v>Birgit</v>
      </c>
    </row>
    <row r="27630">
      <c r="A27630" s="1" t="s">
        <v>27629</v>
      </c>
      <c r="B27630" s="2" t="str">
        <f>IFERROR(__xludf.DUMMYFUNCTION("GOOGLETRANSLATE(A27630, ""de"", ""en"")"),"radley")</f>
        <v>radley</v>
      </c>
    </row>
    <row r="27631">
      <c r="A27631" s="1" t="s">
        <v>27630</v>
      </c>
      <c r="B27631" s="2" t="str">
        <f>IFERROR(__xludf.DUMMYFUNCTION("GOOGLETRANSLATE(A27631, ""de"", ""en"")"),"bronco")</f>
        <v>bronco</v>
      </c>
    </row>
    <row r="27632">
      <c r="A27632" s="1" t="s">
        <v>27631</v>
      </c>
      <c r="B27632" s="2" t="str">
        <f>IFERROR(__xludf.DUMMYFUNCTION("GOOGLETRANSLATE(A27632, ""de"", ""en"")"),"infrared")</f>
        <v>infrared</v>
      </c>
    </row>
    <row r="27633">
      <c r="A27633" s="1" t="s">
        <v>27632</v>
      </c>
      <c r="B27633" s="2" t="str">
        <f>IFERROR(__xludf.DUMMYFUNCTION("GOOGLETRANSLATE(A27633, ""de"", ""en"")"),"drifted around")</f>
        <v>drifted around</v>
      </c>
    </row>
    <row r="27634">
      <c r="A27634" s="1" t="s">
        <v>27633</v>
      </c>
      <c r="B27634" s="2" t="str">
        <f>IFERROR(__xludf.DUMMYFUNCTION("GOOGLETRANSLATE(A27634, ""de"", ""en"")"),"collect")</f>
        <v>collect</v>
      </c>
    </row>
    <row r="27635">
      <c r="A27635" s="1" t="s">
        <v>27634</v>
      </c>
      <c r="B27635" s="2" t="str">
        <f>IFERROR(__xludf.DUMMYFUNCTION("GOOGLETRANSLATE(A27635, ""de"", ""en"")"),"get up")</f>
        <v>get up</v>
      </c>
    </row>
    <row r="27636">
      <c r="A27636" s="1" t="s">
        <v>27635</v>
      </c>
      <c r="B27636" s="2" t="str">
        <f>IFERROR(__xludf.DUMMYFUNCTION("GOOGLETRANSLATE(A27636, ""de"", ""en"")"),"fascism")</f>
        <v>fascism</v>
      </c>
    </row>
    <row r="27637">
      <c r="A27637" s="1" t="s">
        <v>27636</v>
      </c>
      <c r="B27637" s="2" t="str">
        <f>IFERROR(__xludf.DUMMYFUNCTION("GOOGLETRANSLATE(A27637, ""de"", ""en"")"),"win")</f>
        <v>win</v>
      </c>
    </row>
    <row r="27638">
      <c r="A27638" s="1" t="s">
        <v>27637</v>
      </c>
      <c r="B27638" s="2" t="str">
        <f>IFERROR(__xludf.DUMMYFUNCTION("GOOGLETRANSLATE(A27638, ""de"", ""en"")"),"cheeky badger")</f>
        <v>cheeky badger</v>
      </c>
    </row>
    <row r="27639">
      <c r="A27639" s="1" t="s">
        <v>27638</v>
      </c>
      <c r="B27639" s="2" t="str">
        <f>IFERROR(__xludf.DUMMYFUNCTION("GOOGLETRANSLATE(A27639, ""de"", ""en"")"),"antimatter")</f>
        <v>antimatter</v>
      </c>
    </row>
    <row r="27640">
      <c r="A27640" s="1" t="s">
        <v>27639</v>
      </c>
      <c r="B27640" s="2" t="str">
        <f>IFERROR(__xludf.DUMMYFUNCTION("GOOGLETRANSLATE(A27640, ""de"", ""en"")"),"demonic")</f>
        <v>demonic</v>
      </c>
    </row>
    <row r="27641">
      <c r="A27641" s="1" t="s">
        <v>27640</v>
      </c>
      <c r="B27641" s="2" t="str">
        <f>IFERROR(__xludf.DUMMYFUNCTION("GOOGLETRANSLATE(A27641, ""de"", ""en"")"),"salaam")</f>
        <v>salaam</v>
      </c>
    </row>
    <row r="27642">
      <c r="A27642" s="1" t="s">
        <v>27641</v>
      </c>
      <c r="B27642" s="2" t="str">
        <f>IFERROR(__xludf.DUMMYFUNCTION("GOOGLETRANSLATE(A27642, ""de"", ""en"")"),"marci")</f>
        <v>marci</v>
      </c>
    </row>
    <row r="27643">
      <c r="A27643" s="1" t="s">
        <v>27642</v>
      </c>
      <c r="B27643" s="2" t="str">
        <f>IFERROR(__xludf.DUMMYFUNCTION("GOOGLETRANSLATE(A27643, ""de"", ""en"")"),"subtenant")</f>
        <v>subtenant</v>
      </c>
    </row>
    <row r="27644">
      <c r="A27644" s="1" t="s">
        <v>27643</v>
      </c>
      <c r="B27644" s="2" t="str">
        <f>IFERROR(__xludf.DUMMYFUNCTION("GOOGLETRANSLATE(A27644, ""de"", ""en"")"),"fairview")</f>
        <v>fairview</v>
      </c>
    </row>
    <row r="27645">
      <c r="A27645" s="1" t="s">
        <v>27644</v>
      </c>
      <c r="B27645" s="2" t="str">
        <f>IFERROR(__xludf.DUMMYFUNCTION("GOOGLETRANSLATE(A27645, ""de"", ""en"")"),"bang around")</f>
        <v>bang around</v>
      </c>
    </row>
    <row r="27646">
      <c r="A27646" s="1" t="s">
        <v>27645</v>
      </c>
      <c r="B27646" s="2" t="str">
        <f>IFERROR(__xludf.DUMMYFUNCTION("GOOGLETRANSLATE(A27646, ""de"", ""en"")"),"congressmen")</f>
        <v>congressmen</v>
      </c>
    </row>
    <row r="27647">
      <c r="A27647" s="1" t="s">
        <v>27646</v>
      </c>
      <c r="B27647" s="2" t="str">
        <f>IFERROR(__xludf.DUMMYFUNCTION("GOOGLETRANSLATE(A27647, ""de"", ""en"")"),"sausages")</f>
        <v>sausages</v>
      </c>
    </row>
    <row r="27648">
      <c r="A27648" s="1" t="s">
        <v>27647</v>
      </c>
      <c r="B27648" s="2" t="str">
        <f>IFERROR(__xludf.DUMMYFUNCTION("GOOGLETRANSLATE(A27648, ""de"", ""en"")"),"Ottoman")</f>
        <v>Ottoman</v>
      </c>
    </row>
    <row r="27649">
      <c r="A27649" s="1" t="s">
        <v>27648</v>
      </c>
      <c r="B27649" s="2" t="str">
        <f>IFERROR(__xludf.DUMMYFUNCTION("GOOGLETRANSLATE(A27649, ""de"", ""en"")"),"beanstalk")</f>
        <v>beanstalk</v>
      </c>
    </row>
    <row r="27650">
      <c r="A27650" s="1" t="s">
        <v>27649</v>
      </c>
      <c r="B27650" s="2" t="str">
        <f>IFERROR(__xludf.DUMMYFUNCTION("GOOGLETRANSLATE(A27650, ""de"", ""en"")"),"juicy")</f>
        <v>juicy</v>
      </c>
    </row>
    <row r="27651">
      <c r="A27651" s="1" t="s">
        <v>27650</v>
      </c>
      <c r="B27651" s="2" t="str">
        <f>IFERROR(__xludf.DUMMYFUNCTION("GOOGLETRANSLATE(A27651, ""de"", ""en"")"),"presents")</f>
        <v>presents</v>
      </c>
    </row>
    <row r="27652">
      <c r="A27652" s="1" t="s">
        <v>27651</v>
      </c>
      <c r="B27652" s="2" t="str">
        <f>IFERROR(__xludf.DUMMYFUNCTION("GOOGLETRANSLATE(A27652, ""de"", ""en"")"),"Ezra")</f>
        <v>Ezra</v>
      </c>
    </row>
    <row r="27653">
      <c r="A27653" s="1" t="s">
        <v>27652</v>
      </c>
      <c r="B27653" s="2" t="str">
        <f>IFERROR(__xludf.DUMMYFUNCTION("GOOGLETRANSLATE(A27653, ""de"", ""en"")"),"glue")</f>
        <v>glue</v>
      </c>
    </row>
    <row r="27654">
      <c r="A27654" s="1" t="s">
        <v>27653</v>
      </c>
      <c r="B27654" s="2" t="str">
        <f>IFERROR(__xludf.DUMMYFUNCTION("GOOGLETRANSLATE(A27654, ""de"", ""en"")"),"scrooge")</f>
        <v>scrooge</v>
      </c>
    </row>
    <row r="27655">
      <c r="A27655" s="1" t="s">
        <v>27654</v>
      </c>
      <c r="B27655" s="2" t="str">
        <f>IFERROR(__xludf.DUMMYFUNCTION("GOOGLETRANSLATE(A27655, ""de"", ""en"")"),"countryman")</f>
        <v>countryman</v>
      </c>
    </row>
    <row r="27656">
      <c r="A27656" s="1" t="s">
        <v>27655</v>
      </c>
      <c r="B27656" s="2" t="str">
        <f>IFERROR(__xludf.DUMMYFUNCTION("GOOGLETRANSLATE(A27656, ""de"", ""en"")"),"divorce")</f>
        <v>divorce</v>
      </c>
    </row>
    <row r="27657">
      <c r="A27657" s="1" t="s">
        <v>27656</v>
      </c>
      <c r="B27657" s="2" t="str">
        <f>IFERROR(__xludf.DUMMYFUNCTION("GOOGLETRANSLATE(A27657, ""de"", ""en"")"),"farid")</f>
        <v>farid</v>
      </c>
    </row>
    <row r="27658">
      <c r="A27658" s="1" t="s">
        <v>27657</v>
      </c>
      <c r="B27658" s="2" t="str">
        <f>IFERROR(__xludf.DUMMYFUNCTION("GOOGLETRANSLATE(A27658, ""de"", ""en"")"),"beige")</f>
        <v>beige</v>
      </c>
    </row>
    <row r="27659">
      <c r="A27659" s="1" t="s">
        <v>27658</v>
      </c>
      <c r="B27659" s="2" t="str">
        <f>IFERROR(__xludf.DUMMYFUNCTION("GOOGLETRANSLATE(A27659, ""de"", ""en"")"),"prison")</f>
        <v>prison</v>
      </c>
    </row>
    <row r="27660">
      <c r="A27660" s="1" t="s">
        <v>27659</v>
      </c>
      <c r="B27660" s="2" t="str">
        <f>IFERROR(__xludf.DUMMYFUNCTION("GOOGLETRANSLATE(A27660, ""de"", ""en"")"),"napa")</f>
        <v>napa</v>
      </c>
    </row>
    <row r="27661">
      <c r="A27661" s="1" t="s">
        <v>27660</v>
      </c>
      <c r="B27661" s="2" t="str">
        <f>IFERROR(__xludf.DUMMYFUNCTION("GOOGLETRANSLATE(A27661, ""de"", ""en"")"),"own")</f>
        <v>own</v>
      </c>
    </row>
    <row r="27662">
      <c r="A27662" s="1" t="s">
        <v>27661</v>
      </c>
      <c r="B27662" s="2" t="str">
        <f>IFERROR(__xludf.DUMMYFUNCTION("GOOGLETRANSLATE(A27662, ""de"", ""en"")"),"constantly")</f>
        <v>constantly</v>
      </c>
    </row>
    <row r="27663">
      <c r="A27663" s="1" t="s">
        <v>27662</v>
      </c>
      <c r="B27663" s="2" t="str">
        <f>IFERROR(__xludf.DUMMYFUNCTION("GOOGLETRANSLATE(A27663, ""de"", ""en"")"),"laundry basket")</f>
        <v>laundry basket</v>
      </c>
    </row>
    <row r="27664">
      <c r="A27664" s="1" t="s">
        <v>27663</v>
      </c>
      <c r="B27664" s="2" t="str">
        <f>IFERROR(__xludf.DUMMYFUNCTION("GOOGLETRANSLATE(A27664, ""de"", ""en"")"),"buzz")</f>
        <v>buzz</v>
      </c>
    </row>
    <row r="27665">
      <c r="A27665" s="1" t="s">
        <v>27664</v>
      </c>
      <c r="B27665" s="2" t="str">
        <f>IFERROR(__xludf.DUMMYFUNCTION("GOOGLETRANSLATE(A27665, ""de"", ""en"")"),"marwan")</f>
        <v>marwan</v>
      </c>
    </row>
    <row r="27666">
      <c r="A27666" s="1" t="s">
        <v>27665</v>
      </c>
      <c r="B27666" s="2" t="str">
        <f>IFERROR(__xludf.DUMMYFUNCTION("GOOGLETRANSLATE(A27666, ""de"", ""en"")"),"job offer")</f>
        <v>job offer</v>
      </c>
    </row>
    <row r="27667">
      <c r="A27667" s="1" t="s">
        <v>27666</v>
      </c>
      <c r="B27667" s="2" t="str">
        <f>IFERROR(__xludf.DUMMYFUNCTION("GOOGLETRANSLATE(A27667, ""de"", ""en"")"),"luminous")</f>
        <v>luminous</v>
      </c>
    </row>
    <row r="27668">
      <c r="A27668" s="1" t="s">
        <v>27667</v>
      </c>
      <c r="B27668" s="2" t="str">
        <f>IFERROR(__xludf.DUMMYFUNCTION("GOOGLETRANSLATE(A27668, ""de"", ""en"")"),"nfl")</f>
        <v>nfl</v>
      </c>
    </row>
    <row r="27669">
      <c r="A27669" s="1" t="s">
        <v>27668</v>
      </c>
      <c r="B27669" s="2" t="str">
        <f>IFERROR(__xludf.DUMMYFUNCTION("GOOGLETRANSLATE(A27669, ""de"", ""en"")"),"translate")</f>
        <v>translate</v>
      </c>
    </row>
    <row r="27670">
      <c r="A27670" s="1" t="s">
        <v>27669</v>
      </c>
      <c r="B27670" s="2" t="str">
        <f>IFERROR(__xludf.DUMMYFUNCTION("GOOGLETRANSLATE(A27670, ""de"", ""en"")"),"smile")</f>
        <v>smile</v>
      </c>
    </row>
    <row r="27671">
      <c r="A27671" s="1" t="s">
        <v>27670</v>
      </c>
      <c r="B27671" s="2" t="str">
        <f>IFERROR(__xludf.DUMMYFUNCTION("GOOGLETRANSLATE(A27671, ""de"", ""en"")"),"effortlessly")</f>
        <v>effortlessly</v>
      </c>
    </row>
    <row r="27672">
      <c r="A27672" s="1" t="s">
        <v>27671</v>
      </c>
      <c r="B27672" s="2" t="str">
        <f>IFERROR(__xludf.DUMMYFUNCTION("GOOGLETRANSLATE(A27672, ""de"", ""en"")"),"guess")</f>
        <v>guess</v>
      </c>
    </row>
    <row r="27673">
      <c r="A27673" s="1" t="s">
        <v>27672</v>
      </c>
      <c r="B27673" s="2" t="str">
        <f>IFERROR(__xludf.DUMMYFUNCTION("GOOGLETRANSLATE(A27673, ""de"", ""en"")"),"end of war")</f>
        <v>end of war</v>
      </c>
    </row>
    <row r="27674">
      <c r="A27674" s="1" t="s">
        <v>27673</v>
      </c>
      <c r="B27674" s="2" t="str">
        <f>IFERROR(__xludf.DUMMYFUNCTION("GOOGLETRANSLATE(A27674, ""de"", ""en"")"),"sets")</f>
        <v>sets</v>
      </c>
    </row>
    <row r="27675">
      <c r="A27675" s="1" t="s">
        <v>27674</v>
      </c>
      <c r="B27675" s="2" t="str">
        <f>IFERROR(__xludf.DUMMYFUNCTION("GOOGLETRANSLATE(A27675, ""de"", ""en"")"),"never see you again")</f>
        <v>never see you again</v>
      </c>
    </row>
    <row r="27676">
      <c r="A27676" s="1" t="s">
        <v>27675</v>
      </c>
      <c r="B27676" s="2" t="str">
        <f>IFERROR(__xludf.DUMMYFUNCTION("GOOGLETRANSLATE(A27676, ""de"", ""en"")"),"rocker")</f>
        <v>rocker</v>
      </c>
    </row>
    <row r="27677">
      <c r="A27677" s="1" t="s">
        <v>27676</v>
      </c>
      <c r="B27677" s="2" t="str">
        <f>IFERROR(__xludf.DUMMYFUNCTION("GOOGLETRANSLATE(A27677, ""de"", ""en"")"),"unmask")</f>
        <v>unmask</v>
      </c>
    </row>
    <row r="27678">
      <c r="A27678" s="1" t="s">
        <v>27677</v>
      </c>
      <c r="B27678" s="2" t="str">
        <f>IFERROR(__xludf.DUMMYFUNCTION("GOOGLETRANSLATE(A27678, ""de"", ""en"")"),"he seeks")</f>
        <v>he seeks</v>
      </c>
    </row>
    <row r="27679">
      <c r="A27679" s="1" t="s">
        <v>27678</v>
      </c>
      <c r="B27679" s="2" t="str">
        <f>IFERROR(__xludf.DUMMYFUNCTION("GOOGLETRANSLATE(A27679, ""de"", ""en"")"),"improved")</f>
        <v>improved</v>
      </c>
    </row>
    <row r="27680">
      <c r="A27680" s="1" t="s">
        <v>27679</v>
      </c>
      <c r="B27680" s="2" t="str">
        <f>IFERROR(__xludf.DUMMYFUNCTION("GOOGLETRANSLATE(A27680, ""de"", ""en"")"),"sixth")</f>
        <v>sixth</v>
      </c>
    </row>
    <row r="27681">
      <c r="A27681" s="1" t="s">
        <v>27680</v>
      </c>
      <c r="B27681" s="2" t="str">
        <f>IFERROR(__xludf.DUMMYFUNCTION("GOOGLETRANSLATE(A27681, ""de"", ""en"")"),"tastefully")</f>
        <v>tastefully</v>
      </c>
    </row>
    <row r="27682">
      <c r="A27682" s="1" t="s">
        <v>27681</v>
      </c>
      <c r="B27682" s="2" t="str">
        <f>IFERROR(__xludf.DUMMYFUNCTION("GOOGLETRANSLATE(A27682, ""de"", ""en"")"),"squad")</f>
        <v>squad</v>
      </c>
    </row>
    <row r="27683">
      <c r="A27683" s="1" t="s">
        <v>27682</v>
      </c>
      <c r="B27683" s="2" t="str">
        <f>IFERROR(__xludf.DUMMYFUNCTION("GOOGLETRANSLATE(A27683, ""de"", ""en"")"),"lynne")</f>
        <v>lynne</v>
      </c>
    </row>
    <row r="27684">
      <c r="A27684" s="1" t="s">
        <v>27683</v>
      </c>
      <c r="B27684" s="2" t="str">
        <f>IFERROR(__xludf.DUMMYFUNCTION("GOOGLETRANSLATE(A27684, ""de"", ""en"")"),"diplomatic")</f>
        <v>diplomatic</v>
      </c>
    </row>
    <row r="27685">
      <c r="A27685" s="1" t="s">
        <v>27684</v>
      </c>
      <c r="B27685" s="2" t="str">
        <f>IFERROR(__xludf.DUMMYFUNCTION("GOOGLETRANSLATE(A27685, ""de"", ""en"")"),"specifications")</f>
        <v>specifications</v>
      </c>
    </row>
    <row r="27686">
      <c r="A27686" s="1" t="s">
        <v>27685</v>
      </c>
      <c r="B27686" s="2" t="str">
        <f>IFERROR(__xludf.DUMMYFUNCTION("GOOGLETRANSLATE(A27686, ""de"", ""en"")"),"shirts")</f>
        <v>shirts</v>
      </c>
    </row>
    <row r="27687">
      <c r="A27687" s="1" t="s">
        <v>27686</v>
      </c>
      <c r="B27687" s="2" t="str">
        <f>IFERROR(__xludf.DUMMYFUNCTION("GOOGLETRANSLATE(A27687, ""de"", ""en"")"),"gout")</f>
        <v>gout</v>
      </c>
    </row>
    <row r="27688">
      <c r="A27688" s="1" t="s">
        <v>27687</v>
      </c>
      <c r="B27688" s="2" t="str">
        <f>IFERROR(__xludf.DUMMYFUNCTION("GOOGLETRANSLATE(A27688, ""de"", ""en"")"),"laszlo")</f>
        <v>laszlo</v>
      </c>
    </row>
    <row r="27689">
      <c r="A27689" s="1" t="s">
        <v>27688</v>
      </c>
      <c r="B27689" s="2" t="str">
        <f>IFERROR(__xludf.DUMMYFUNCTION("GOOGLETRANSLATE(A27689, ""de"", ""en"")"),"read")</f>
        <v>read</v>
      </c>
    </row>
    <row r="27690">
      <c r="A27690" s="1" t="s">
        <v>27689</v>
      </c>
      <c r="B27690" s="2" t="str">
        <f>IFERROR(__xludf.DUMMYFUNCTION("GOOGLETRANSLATE(A27690, ""de"", ""en"")"),"panel")</f>
        <v>panel</v>
      </c>
    </row>
    <row r="27691">
      <c r="A27691" s="1" t="s">
        <v>27690</v>
      </c>
      <c r="B27691" s="2" t="str">
        <f>IFERROR(__xludf.DUMMYFUNCTION("GOOGLETRANSLATE(A27691, ""de"", ""en"")"),"kidnap")</f>
        <v>kidnap</v>
      </c>
    </row>
    <row r="27692">
      <c r="A27692" s="1" t="s">
        <v>27691</v>
      </c>
      <c r="B27692" s="2" t="str">
        <f>IFERROR(__xludf.DUMMYFUNCTION("GOOGLETRANSLATE(A27692, ""de"", ""en"")"),"disperse")</f>
        <v>disperse</v>
      </c>
    </row>
    <row r="27693">
      <c r="A27693" s="1" t="s">
        <v>27692</v>
      </c>
      <c r="B27693" s="2" t="str">
        <f>IFERROR(__xludf.DUMMYFUNCTION("GOOGLETRANSLATE(A27693, ""de"", ""en"")"),"said")</f>
        <v>said</v>
      </c>
    </row>
    <row r="27694">
      <c r="A27694" s="1" t="s">
        <v>27693</v>
      </c>
      <c r="B27694" s="2" t="str">
        <f>IFERROR(__xludf.DUMMYFUNCTION("GOOGLETRANSLATE(A27694, ""de"", ""en"")"),"dried")</f>
        <v>dried</v>
      </c>
    </row>
    <row r="27695">
      <c r="A27695" s="1" t="s">
        <v>27694</v>
      </c>
      <c r="B27695" s="2" t="str">
        <f>IFERROR(__xludf.DUMMYFUNCTION("GOOGLETRANSLATE(A27695, ""de"", ""en"")"),"Cersei")</f>
        <v>Cersei</v>
      </c>
    </row>
    <row r="27696">
      <c r="A27696" s="1" t="s">
        <v>27695</v>
      </c>
      <c r="B27696" s="2" t="str">
        <f>IFERROR(__xludf.DUMMYFUNCTION("GOOGLETRANSLATE(A27696, ""de"", ""en"")"),"knew")</f>
        <v>knew</v>
      </c>
    </row>
    <row r="27697">
      <c r="A27697" s="1" t="s">
        <v>27696</v>
      </c>
      <c r="B27697" s="2" t="str">
        <f>IFERROR(__xludf.DUMMYFUNCTION("GOOGLETRANSLATE(A27697, ""de"", ""en"")"),"discard")</f>
        <v>discard</v>
      </c>
    </row>
    <row r="27698">
      <c r="A27698" s="1" t="s">
        <v>27697</v>
      </c>
      <c r="B27698" s="2" t="str">
        <f>IFERROR(__xludf.DUMMYFUNCTION("GOOGLETRANSLATE(A27698, ""de"", ""en"")"),"considered")</f>
        <v>considered</v>
      </c>
    </row>
    <row r="27699">
      <c r="A27699" s="1" t="s">
        <v>27698</v>
      </c>
      <c r="B27699" s="2" t="str">
        <f>IFERROR(__xludf.DUMMYFUNCTION("GOOGLETRANSLATE(A27699, ""de"", ""en"")"),"givens")</f>
        <v>givens</v>
      </c>
    </row>
    <row r="27700">
      <c r="A27700" s="1" t="s">
        <v>27699</v>
      </c>
      <c r="B27700" s="2" t="str">
        <f>IFERROR(__xludf.DUMMYFUNCTION("GOOGLETRANSLATE(A27700, ""de"", ""en"")"),"dismantled")</f>
        <v>dismantled</v>
      </c>
    </row>
    <row r="27701">
      <c r="A27701" s="1" t="s">
        <v>27700</v>
      </c>
      <c r="B27701" s="2" t="str">
        <f>IFERROR(__xludf.DUMMYFUNCTION("GOOGLETRANSLATE(A27701, ""de"", ""en"")"),"Elishka")</f>
        <v>Elishka</v>
      </c>
    </row>
    <row r="27702">
      <c r="A27702" s="1" t="s">
        <v>27701</v>
      </c>
      <c r="B27702" s="2" t="str">
        <f>IFERROR(__xludf.DUMMYFUNCTION("GOOGLETRANSLATE(A27702, ""de"", ""en"")"),"glamour")</f>
        <v>glamour</v>
      </c>
    </row>
    <row r="27703">
      <c r="A27703" s="1" t="s">
        <v>27702</v>
      </c>
      <c r="B27703" s="2" t="str">
        <f>IFERROR(__xludf.DUMMYFUNCTION("GOOGLETRANSLATE(A27703, ""de"", ""en"")"),"gould")</f>
        <v>gould</v>
      </c>
    </row>
    <row r="27704">
      <c r="A27704" s="1" t="s">
        <v>27703</v>
      </c>
      <c r="B27704" s="2" t="str">
        <f>IFERROR(__xludf.DUMMYFUNCTION("GOOGLETRANSLATE(A27704, ""de"", ""en"")"),"vintage car")</f>
        <v>vintage car</v>
      </c>
    </row>
    <row r="27705">
      <c r="A27705" s="1" t="s">
        <v>27704</v>
      </c>
      <c r="B27705" s="2" t="str">
        <f>IFERROR(__xludf.DUMMYFUNCTION("GOOGLETRANSLATE(A27705, ""de"", ""en"")"),"predisposed")</f>
        <v>predisposed</v>
      </c>
    </row>
    <row r="27706">
      <c r="A27706" s="1" t="s">
        <v>27705</v>
      </c>
      <c r="B27706" s="2" t="str">
        <f>IFERROR(__xludf.DUMMYFUNCTION("GOOGLETRANSLATE(A27706, ""de"", ""en"")"),"rem")</f>
        <v>rem</v>
      </c>
    </row>
    <row r="27707">
      <c r="A27707" s="1" t="s">
        <v>27706</v>
      </c>
      <c r="B27707" s="2" t="str">
        <f>IFERROR(__xludf.DUMMYFUNCTION("GOOGLETRANSLATE(A27707, ""de"", ""en"")"),"own")</f>
        <v>own</v>
      </c>
    </row>
    <row r="27708">
      <c r="A27708" s="1" t="s">
        <v>27707</v>
      </c>
      <c r="B27708" s="2" t="str">
        <f>IFERROR(__xludf.DUMMYFUNCTION("GOOGLETRANSLATE(A27708, ""de"", ""en"")"),"triumph")</f>
        <v>triumph</v>
      </c>
    </row>
    <row r="27709">
      <c r="A27709" s="1" t="s">
        <v>27708</v>
      </c>
      <c r="B27709" s="2" t="str">
        <f>IFERROR(__xludf.DUMMYFUNCTION("GOOGLETRANSLATE(A27709, ""de"", ""en"")"),"groupie")</f>
        <v>groupie</v>
      </c>
    </row>
    <row r="27710">
      <c r="A27710" s="1" t="s">
        <v>27709</v>
      </c>
      <c r="B27710" s="2" t="str">
        <f>IFERROR(__xludf.DUMMYFUNCTION("GOOGLETRANSLATE(A27710, ""de"", ""en"")"),"powers")</f>
        <v>powers</v>
      </c>
    </row>
    <row r="27711">
      <c r="A27711" s="1" t="s">
        <v>27710</v>
      </c>
      <c r="B27711" s="2" t="str">
        <f>IFERROR(__xludf.DUMMYFUNCTION("GOOGLETRANSLATE(A27711, ""de"", ""en"")"),"joachim")</f>
        <v>joachim</v>
      </c>
    </row>
    <row r="27712">
      <c r="A27712" s="1" t="s">
        <v>27711</v>
      </c>
      <c r="B27712" s="2" t="str">
        <f>IFERROR(__xludf.DUMMYFUNCTION("GOOGLETRANSLATE(A27712, ""de"", ""en"")"),"turnip")</f>
        <v>turnip</v>
      </c>
    </row>
    <row r="27713">
      <c r="A27713" s="1" t="s">
        <v>27712</v>
      </c>
      <c r="B27713" s="2" t="str">
        <f>IFERROR(__xludf.DUMMYFUNCTION("GOOGLETRANSLATE(A27713, ""de"", ""en"")"),"farted")</f>
        <v>farted</v>
      </c>
    </row>
    <row r="27714">
      <c r="A27714" s="1" t="s">
        <v>27713</v>
      </c>
      <c r="B27714" s="2" t="str">
        <f>IFERROR(__xludf.DUMMYFUNCTION("GOOGLETRANSLATE(A27714, ""de"", ""en"")"),"nightclubs")</f>
        <v>nightclubs</v>
      </c>
    </row>
    <row r="27715">
      <c r="A27715" s="1" t="s">
        <v>27714</v>
      </c>
      <c r="B27715" s="2" t="str">
        <f>IFERROR(__xludf.DUMMYFUNCTION("GOOGLETRANSLATE(A27715, ""de"", ""en"")"),"such")</f>
        <v>such</v>
      </c>
    </row>
    <row r="27716">
      <c r="A27716" s="1" t="s">
        <v>27715</v>
      </c>
      <c r="B27716" s="2" t="str">
        <f>IFERROR(__xludf.DUMMYFUNCTION("GOOGLETRANSLATE(A27716, ""de"", ""en"")"),"commit")</f>
        <v>commit</v>
      </c>
    </row>
    <row r="27717">
      <c r="A27717" s="1" t="s">
        <v>27716</v>
      </c>
      <c r="B27717" s="2" t="str">
        <f>IFERROR(__xludf.DUMMYFUNCTION("GOOGLETRANSLATE(A27717, ""de"", ""en"")"),"to dig up")</f>
        <v>to dig up</v>
      </c>
    </row>
    <row r="27718">
      <c r="A27718" s="1" t="s">
        <v>27717</v>
      </c>
      <c r="B27718" s="2" t="str">
        <f>IFERROR(__xludf.DUMMYFUNCTION("GOOGLETRANSLATE(A27718, ""de"", ""en"")"),"mikaelson")</f>
        <v>mikaelson</v>
      </c>
    </row>
    <row r="27719">
      <c r="A27719" s="1" t="s">
        <v>27718</v>
      </c>
      <c r="B27719" s="2" t="str">
        <f>IFERROR(__xludf.DUMMYFUNCTION("GOOGLETRANSLATE(A27719, ""de"", ""en"")"),"educational")</f>
        <v>educational</v>
      </c>
    </row>
    <row r="27720">
      <c r="A27720" s="1" t="s">
        <v>27719</v>
      </c>
      <c r="B27720" s="2" t="str">
        <f>IFERROR(__xludf.DUMMYFUNCTION("GOOGLETRANSLATE(A27720, ""de"", ""en"")"),"varg")</f>
        <v>varg</v>
      </c>
    </row>
    <row r="27721">
      <c r="A27721" s="1" t="s">
        <v>27720</v>
      </c>
      <c r="B27721" s="2" t="str">
        <f>IFERROR(__xludf.DUMMYFUNCTION("GOOGLETRANSLATE(A27721, ""de"", ""en"")"),"deviations")</f>
        <v>deviations</v>
      </c>
    </row>
    <row r="27722">
      <c r="A27722" s="1" t="s">
        <v>27721</v>
      </c>
      <c r="B27722" s="2" t="str">
        <f>IFERROR(__xludf.DUMMYFUNCTION("GOOGLETRANSLATE(A27722, ""de"", ""en"")"),"sincerely")</f>
        <v>sincerely</v>
      </c>
    </row>
    <row r="27723">
      <c r="A27723" s="1" t="s">
        <v>27722</v>
      </c>
      <c r="B27723" s="2" t="str">
        <f>IFERROR(__xludf.DUMMYFUNCTION("GOOGLETRANSLATE(A27723, ""de"", ""en"")"),"salvage")</f>
        <v>salvage</v>
      </c>
    </row>
    <row r="27724">
      <c r="A27724" s="1" t="s">
        <v>27723</v>
      </c>
      <c r="B27724" s="2" t="str">
        <f>IFERROR(__xludf.DUMMYFUNCTION("GOOGLETRANSLATE(A27724, ""de"", ""en"")"),"nuts")</f>
        <v>nuts</v>
      </c>
    </row>
    <row r="27725">
      <c r="A27725" s="1" t="s">
        <v>27724</v>
      </c>
      <c r="B27725" s="2" t="str">
        <f>IFERROR(__xludf.DUMMYFUNCTION("GOOGLETRANSLATE(A27725, ""de"", ""en"")"),"marching music")</f>
        <v>marching music</v>
      </c>
    </row>
    <row r="27726">
      <c r="A27726" s="1" t="s">
        <v>27725</v>
      </c>
      <c r="B27726" s="2" t="str">
        <f>IFERROR(__xludf.DUMMYFUNCTION("GOOGLETRANSLATE(A27726, ""de"", ""en"")"),"draftsman")</f>
        <v>draftsman</v>
      </c>
    </row>
    <row r="27727">
      <c r="A27727" s="1" t="s">
        <v>27726</v>
      </c>
      <c r="B27727" s="2" t="str">
        <f>IFERROR(__xludf.DUMMYFUNCTION("GOOGLETRANSLATE(A27727, ""de"", ""en"")"),"swarm")</f>
        <v>swarm</v>
      </c>
    </row>
    <row r="27728">
      <c r="A27728" s="1" t="s">
        <v>27727</v>
      </c>
      <c r="B27728" s="2" t="str">
        <f>IFERROR(__xludf.DUMMYFUNCTION("GOOGLETRANSLATE(A27728, ""de"", ""en"")"),"spiderman")</f>
        <v>spiderman</v>
      </c>
    </row>
    <row r="27729">
      <c r="A27729" s="1" t="s">
        <v>27728</v>
      </c>
      <c r="B27729" s="2" t="str">
        <f>IFERROR(__xludf.DUMMYFUNCTION("GOOGLETRANSLATE(A27729, ""de"", ""en"")"),"incense")</f>
        <v>incense</v>
      </c>
    </row>
    <row r="27730">
      <c r="A27730" s="1" t="s">
        <v>27729</v>
      </c>
      <c r="B27730" s="2" t="str">
        <f>IFERROR(__xludf.DUMMYFUNCTION("GOOGLETRANSLATE(A27730, ""de"", ""en"")"),"ridge")</f>
        <v>ridge</v>
      </c>
    </row>
    <row r="27731">
      <c r="A27731" s="1" t="s">
        <v>27730</v>
      </c>
      <c r="B27731" s="2" t="str">
        <f>IFERROR(__xludf.DUMMYFUNCTION("GOOGLETRANSLATE(A27731, ""de"", ""en"")"),"taught")</f>
        <v>taught</v>
      </c>
    </row>
    <row r="27732">
      <c r="A27732" s="1" t="s">
        <v>27731</v>
      </c>
      <c r="B27732" s="2" t="str">
        <f>IFERROR(__xludf.DUMMYFUNCTION("GOOGLETRANSLATE(A27732, ""de"", ""en"")"),"timetable")</f>
        <v>timetable</v>
      </c>
    </row>
    <row r="27733">
      <c r="A27733" s="1" t="s">
        <v>27732</v>
      </c>
      <c r="B27733" s="2" t="str">
        <f>IFERROR(__xludf.DUMMYFUNCTION("GOOGLETRANSLATE(A27733, ""de"", ""en"")"),"car radio")</f>
        <v>car radio</v>
      </c>
    </row>
    <row r="27734">
      <c r="A27734" s="1" t="s">
        <v>27733</v>
      </c>
      <c r="B27734" s="2" t="str">
        <f>IFERROR(__xludf.DUMMYFUNCTION("GOOGLETRANSLATE(A27734, ""de"", ""en"")"),"silent")</f>
        <v>silent</v>
      </c>
    </row>
    <row r="27735">
      <c r="A27735" s="1" t="s">
        <v>27734</v>
      </c>
      <c r="B27735" s="2" t="str">
        <f>IFERROR(__xludf.DUMMYFUNCTION("GOOGLETRANSLATE(A27735, ""de"", ""en"")"),"electric")</f>
        <v>electric</v>
      </c>
    </row>
    <row r="27736">
      <c r="A27736" s="1" t="s">
        <v>27735</v>
      </c>
      <c r="B27736" s="2" t="str">
        <f>IFERROR(__xludf.DUMMYFUNCTION("GOOGLETRANSLATE(A27736, ""de"", ""en"")"),"compose")</f>
        <v>compose</v>
      </c>
    </row>
    <row r="27737">
      <c r="A27737" s="1" t="s">
        <v>27736</v>
      </c>
      <c r="B27737" s="2" t="str">
        <f>IFERROR(__xludf.DUMMYFUNCTION("GOOGLETRANSLATE(A27737, ""de"", ""en"")"),"eye contact")</f>
        <v>eye contact</v>
      </c>
    </row>
    <row r="27738">
      <c r="A27738" s="1" t="s">
        <v>27737</v>
      </c>
      <c r="B27738" s="2" t="str">
        <f>IFERROR(__xludf.DUMMYFUNCTION("GOOGLETRANSLATE(A27738, ""de"", ""en"")"),"leave it lying down")</f>
        <v>leave it lying down</v>
      </c>
    </row>
    <row r="27739">
      <c r="A27739" s="1" t="s">
        <v>27738</v>
      </c>
      <c r="B27739" s="2" t="str">
        <f>IFERROR(__xludf.DUMMYFUNCTION("GOOGLETRANSLATE(A27739, ""de"", ""en"")"),"repaid")</f>
        <v>repaid</v>
      </c>
    </row>
    <row r="27740">
      <c r="A27740" s="1" t="s">
        <v>27739</v>
      </c>
      <c r="B27740" s="2" t="str">
        <f>IFERROR(__xludf.DUMMYFUNCTION("GOOGLETRANSLATE(A27740, ""de"", ""en"")"),"shouted")</f>
        <v>shouted</v>
      </c>
    </row>
    <row r="27741">
      <c r="A27741" s="1" t="s">
        <v>27740</v>
      </c>
      <c r="B27741" s="2" t="str">
        <f>IFERROR(__xludf.DUMMYFUNCTION("GOOGLETRANSLATE(A27741, ""de"", ""en"")"),"silver tray")</f>
        <v>silver tray</v>
      </c>
    </row>
    <row r="27742">
      <c r="A27742" s="1" t="s">
        <v>27741</v>
      </c>
      <c r="B27742" s="2" t="str">
        <f>IFERROR(__xludf.DUMMYFUNCTION("GOOGLETRANSLATE(A27742, ""de"", ""en"")"),"move")</f>
        <v>move</v>
      </c>
    </row>
    <row r="27743">
      <c r="A27743" s="1" t="s">
        <v>27742</v>
      </c>
      <c r="B27743" s="2" t="str">
        <f>IFERROR(__xludf.DUMMYFUNCTION("GOOGLETRANSLATE(A27743, ""de"", ""en"")"),"brrr")</f>
        <v>brrr</v>
      </c>
    </row>
    <row r="27744">
      <c r="A27744" s="1" t="s">
        <v>27743</v>
      </c>
      <c r="B27744" s="2" t="str">
        <f>IFERROR(__xludf.DUMMYFUNCTION("GOOGLETRANSLATE(A27744, ""de"", ""en"")"),"feelings of guilt")</f>
        <v>feelings of guilt</v>
      </c>
    </row>
    <row r="27745">
      <c r="A27745" s="1" t="s">
        <v>27744</v>
      </c>
      <c r="B27745" s="2" t="str">
        <f>IFERROR(__xludf.DUMMYFUNCTION("GOOGLETRANSLATE(A27745, ""de"", ""en"")"),"sphinx")</f>
        <v>sphinx</v>
      </c>
    </row>
    <row r="27746">
      <c r="A27746" s="1" t="s">
        <v>27745</v>
      </c>
      <c r="B27746" s="2" t="str">
        <f>IFERROR(__xludf.DUMMYFUNCTION("GOOGLETRANSLATE(A27746, ""de"", ""en"")"),"more ridiculous")</f>
        <v>more ridiculous</v>
      </c>
    </row>
    <row r="27747">
      <c r="A27747" s="1" t="s">
        <v>27746</v>
      </c>
      <c r="B27747" s="2" t="str">
        <f>IFERROR(__xludf.DUMMYFUNCTION("GOOGLETRANSLATE(A27747, ""de"", ""en"")"),"expansion")</f>
        <v>expansion</v>
      </c>
    </row>
    <row r="27748">
      <c r="A27748" s="1" t="s">
        <v>27747</v>
      </c>
      <c r="B27748" s="2" t="str">
        <f>IFERROR(__xludf.DUMMYFUNCTION("GOOGLETRANSLATE(A27748, ""de"", ""en"")"),"enlighten")</f>
        <v>enlighten</v>
      </c>
    </row>
    <row r="27749">
      <c r="A27749" s="1" t="s">
        <v>27748</v>
      </c>
      <c r="B27749" s="2" t="str">
        <f>IFERROR(__xludf.DUMMYFUNCTION("GOOGLETRANSLATE(A27749, ""de"", ""en"")"),"worthless")</f>
        <v>worthless</v>
      </c>
    </row>
    <row r="27750">
      <c r="A27750" s="1" t="s">
        <v>27749</v>
      </c>
      <c r="B27750" s="2" t="str">
        <f>IFERROR(__xludf.DUMMYFUNCTION("GOOGLETRANSLATE(A27750, ""de"", ""en"")"),"chemical")</f>
        <v>chemical</v>
      </c>
    </row>
    <row r="27751">
      <c r="A27751" s="1" t="s">
        <v>27750</v>
      </c>
      <c r="B27751" s="2" t="str">
        <f>IFERROR(__xludf.DUMMYFUNCTION("GOOGLETRANSLATE(A27751, ""de"", ""en"")"),"doubted")</f>
        <v>doubted</v>
      </c>
    </row>
    <row r="27752">
      <c r="A27752" s="1" t="s">
        <v>27751</v>
      </c>
      <c r="B27752" s="2" t="str">
        <f>IFERROR(__xludf.DUMMYFUNCTION("GOOGLETRANSLATE(A27752, ""de"", ""en"")"),"chiu")</f>
        <v>chiu</v>
      </c>
    </row>
    <row r="27753">
      <c r="A27753" s="1" t="s">
        <v>27752</v>
      </c>
      <c r="B27753" s="2" t="str">
        <f>IFERROR(__xludf.DUMMYFUNCTION("GOOGLETRANSLATE(A27753, ""de"", ""en"")"),"leos")</f>
        <v>leos</v>
      </c>
    </row>
    <row r="27754">
      <c r="A27754" s="1" t="s">
        <v>27753</v>
      </c>
      <c r="B27754" s="2" t="str">
        <f>IFERROR(__xludf.DUMMYFUNCTION("GOOGLETRANSLATE(A27754, ""de"", ""en"")"),"more cold-blooded")</f>
        <v>more cold-blooded</v>
      </c>
    </row>
    <row r="27755">
      <c r="A27755" s="1" t="s">
        <v>27754</v>
      </c>
      <c r="B27755" s="2" t="str">
        <f>IFERROR(__xludf.DUMMYFUNCTION("GOOGLETRANSLATE(A27755, ""de"", ""en"")"),"maître")</f>
        <v>maître</v>
      </c>
    </row>
    <row r="27756">
      <c r="A27756" s="1" t="s">
        <v>27755</v>
      </c>
      <c r="B27756" s="2" t="str">
        <f>IFERROR(__xludf.DUMMYFUNCTION("GOOGLETRANSLATE(A27756, ""de"", ""en"")"),"most valuable")</f>
        <v>most valuable</v>
      </c>
    </row>
    <row r="27757">
      <c r="A27757" s="1" t="s">
        <v>27756</v>
      </c>
      <c r="B27757" s="2" t="str">
        <f>IFERROR(__xludf.DUMMYFUNCTION("GOOGLETRANSLATE(A27757, ""de"", ""en"")"),"held together")</f>
        <v>held together</v>
      </c>
    </row>
    <row r="27758">
      <c r="A27758" s="1" t="s">
        <v>27757</v>
      </c>
      <c r="B27758" s="2" t="str">
        <f>IFERROR(__xludf.DUMMYFUNCTION("GOOGLETRANSLATE(A27758, ""de"", ""en"")"),"linked")</f>
        <v>linked</v>
      </c>
    </row>
    <row r="27759">
      <c r="A27759" s="1" t="s">
        <v>27758</v>
      </c>
      <c r="B27759" s="2" t="str">
        <f>IFERROR(__xludf.DUMMYFUNCTION("GOOGLETRANSLATE(A27759, ""de"", ""en"")"),"button up")</f>
        <v>button up</v>
      </c>
    </row>
    <row r="27760">
      <c r="A27760" s="1" t="s">
        <v>27759</v>
      </c>
      <c r="B27760" s="2" t="str">
        <f>IFERROR(__xludf.DUMMYFUNCTION("GOOGLETRANSLATE(A27760, ""de"", ""en"")"),"process")</f>
        <v>process</v>
      </c>
    </row>
    <row r="27761">
      <c r="A27761" s="1" t="s">
        <v>27760</v>
      </c>
      <c r="B27761" s="2" t="str">
        <f>IFERROR(__xludf.DUMMYFUNCTION("GOOGLETRANSLATE(A27761, ""de"", ""en"")"),"proceeded")</f>
        <v>proceeded</v>
      </c>
    </row>
    <row r="27762">
      <c r="A27762" s="1" t="s">
        <v>27761</v>
      </c>
      <c r="B27762" s="2" t="str">
        <f>IFERROR(__xludf.DUMMYFUNCTION("GOOGLETRANSLATE(A27762, ""de"", ""en"")"),"bueno")</f>
        <v>bueno</v>
      </c>
    </row>
    <row r="27763">
      <c r="A27763" s="1" t="s">
        <v>27762</v>
      </c>
      <c r="B27763" s="2" t="str">
        <f>IFERROR(__xludf.DUMMYFUNCTION("GOOGLETRANSLATE(A27763, ""de"", ""en"")"),"begs")</f>
        <v>begs</v>
      </c>
    </row>
    <row r="27764">
      <c r="A27764" s="1" t="s">
        <v>27763</v>
      </c>
      <c r="B27764" s="2" t="str">
        <f>IFERROR(__xludf.DUMMYFUNCTION("GOOGLETRANSLATE(A27764, ""de"", ""en"")"),"you shouted")</f>
        <v>you shouted</v>
      </c>
    </row>
    <row r="27765">
      <c r="A27765" s="1" t="s">
        <v>27764</v>
      </c>
      <c r="B27765" s="2" t="str">
        <f>IFERROR(__xludf.DUMMYFUNCTION("GOOGLETRANSLATE(A27765, ""de"", ""en"")"),"at the time")</f>
        <v>at the time</v>
      </c>
    </row>
    <row r="27766">
      <c r="A27766" s="1" t="s">
        <v>27765</v>
      </c>
      <c r="B27766" s="2" t="str">
        <f>IFERROR(__xludf.DUMMYFUNCTION("GOOGLETRANSLATE(A27766, ""de"", ""en"")"),"leave there")</f>
        <v>leave there</v>
      </c>
    </row>
    <row r="27767">
      <c r="A27767" s="1" t="s">
        <v>27766</v>
      </c>
      <c r="B27767" s="2" t="str">
        <f>IFERROR(__xludf.DUMMYFUNCTION("GOOGLETRANSLATE(A27767, ""de"", ""en"")"),"tuttle")</f>
        <v>tuttle</v>
      </c>
    </row>
    <row r="27768">
      <c r="A27768" s="1" t="s">
        <v>27767</v>
      </c>
      <c r="B27768" s="2" t="str">
        <f>IFERROR(__xludf.DUMMYFUNCTION("GOOGLETRANSLATE(A27768, ""de"", ""en"")"),"one-sided")</f>
        <v>one-sided</v>
      </c>
    </row>
    <row r="27769">
      <c r="A27769" s="1" t="s">
        <v>27768</v>
      </c>
      <c r="B27769" s="2" t="str">
        <f>IFERROR(__xludf.DUMMYFUNCTION("GOOGLETRANSLATE(A27769, ""de"", ""en"")"),"repair")</f>
        <v>repair</v>
      </c>
    </row>
    <row r="27770">
      <c r="A27770" s="1" t="s">
        <v>27769</v>
      </c>
      <c r="B27770" s="2" t="str">
        <f>IFERROR(__xludf.DUMMYFUNCTION("GOOGLETRANSLATE(A27770, ""de"", ""en"")"),"kangaroo")</f>
        <v>kangaroo</v>
      </c>
    </row>
    <row r="27771">
      <c r="A27771" s="1" t="s">
        <v>27770</v>
      </c>
      <c r="B27771" s="2" t="str">
        <f>IFERROR(__xludf.DUMMYFUNCTION("GOOGLETRANSLATE(A27771, ""de"", ""en"")"),"Kanna")</f>
        <v>Kanna</v>
      </c>
    </row>
    <row r="27772">
      <c r="A27772" s="1" t="s">
        <v>27771</v>
      </c>
      <c r="B27772" s="2" t="str">
        <f>IFERROR(__xludf.DUMMYFUNCTION("GOOGLETRANSLATE(A27772, ""de"", ""en"")"),"vickers")</f>
        <v>vickers</v>
      </c>
    </row>
    <row r="27773">
      <c r="A27773" s="1" t="s">
        <v>27772</v>
      </c>
      <c r="B27773" s="2" t="str">
        <f>IFERROR(__xludf.DUMMYFUNCTION("GOOGLETRANSLATE(A27773, ""de"", ""en"")"),"drummer")</f>
        <v>drummer</v>
      </c>
    </row>
    <row r="27774">
      <c r="A27774" s="1" t="s">
        <v>27773</v>
      </c>
      <c r="B27774" s="2" t="str">
        <f>IFERROR(__xludf.DUMMYFUNCTION("GOOGLETRANSLATE(A27774, ""de"", ""en"")"),"observe")</f>
        <v>observe</v>
      </c>
    </row>
    <row r="27775">
      <c r="A27775" s="1" t="s">
        <v>27774</v>
      </c>
      <c r="B27775" s="2" t="str">
        <f>IFERROR(__xludf.DUMMYFUNCTION("GOOGLETRANSLATE(A27775, ""de"", ""en"")"),"passenger seat")</f>
        <v>passenger seat</v>
      </c>
    </row>
    <row r="27776">
      <c r="A27776" s="1" t="s">
        <v>27775</v>
      </c>
      <c r="B27776" s="2" t="str">
        <f>IFERROR(__xludf.DUMMYFUNCTION("GOOGLETRANSLATE(A27776, ""de"", ""en"")"),"litchfield")</f>
        <v>litchfield</v>
      </c>
    </row>
    <row r="27777">
      <c r="A27777" s="1" t="s">
        <v>27776</v>
      </c>
      <c r="B27777" s="2" t="str">
        <f>IFERROR(__xludf.DUMMYFUNCTION("GOOGLETRANSLATE(A27777, ""de"", ""en"")"),"tortured")</f>
        <v>tortured</v>
      </c>
    </row>
    <row r="27778">
      <c r="A27778" s="1" t="s">
        <v>27777</v>
      </c>
      <c r="B27778" s="2" t="str">
        <f>IFERROR(__xludf.DUMMYFUNCTION("GOOGLETRANSLATE(A27778, ""de"", ""en"")"),"blesses")</f>
        <v>blesses</v>
      </c>
    </row>
    <row r="27779">
      <c r="A27779" s="1" t="s">
        <v>27778</v>
      </c>
      <c r="B27779" s="2" t="str">
        <f>IFERROR(__xludf.DUMMYFUNCTION("GOOGLETRANSLATE(A27779, ""de"", ""en"")"),"stocking")</f>
        <v>stocking</v>
      </c>
    </row>
    <row r="27780">
      <c r="A27780" s="1" t="s">
        <v>27779</v>
      </c>
      <c r="B27780" s="2" t="str">
        <f>IFERROR(__xludf.DUMMYFUNCTION("GOOGLETRANSLATE(A27780, ""de"", ""en"")"),"ulla")</f>
        <v>ulla</v>
      </c>
    </row>
    <row r="27781">
      <c r="A27781" s="1" t="s">
        <v>27780</v>
      </c>
      <c r="B27781" s="2" t="str">
        <f>IFERROR(__xludf.DUMMYFUNCTION("GOOGLETRANSLATE(A27781, ""de"", ""en"")"),"stand")</f>
        <v>stand</v>
      </c>
    </row>
    <row r="27782">
      <c r="A27782" s="1" t="s">
        <v>27781</v>
      </c>
      <c r="B27782" s="2" t="str">
        <f>IFERROR(__xludf.DUMMYFUNCTION("GOOGLETRANSLATE(A27782, ""de"", ""en"")"),"occurred")</f>
        <v>occurred</v>
      </c>
    </row>
    <row r="27783">
      <c r="A27783" s="1" t="s">
        <v>27782</v>
      </c>
      <c r="B27783" s="2" t="str">
        <f>IFERROR(__xludf.DUMMYFUNCTION("GOOGLETRANSLATE(A27783, ""de"", ""en"")"),"melmac")</f>
        <v>melmac</v>
      </c>
    </row>
    <row r="27784">
      <c r="A27784" s="1" t="s">
        <v>27783</v>
      </c>
      <c r="B27784" s="2" t="str">
        <f>IFERROR(__xludf.DUMMYFUNCTION("GOOGLETRANSLATE(A27784, ""de"", ""en"")"),"remain")</f>
        <v>remain</v>
      </c>
    </row>
    <row r="27785">
      <c r="A27785" s="1" t="s">
        <v>27784</v>
      </c>
      <c r="B27785" s="2" t="str">
        <f>IFERROR(__xludf.DUMMYFUNCTION("GOOGLETRANSLATE(A27785, ""de"", ""en"")"),"hole")</f>
        <v>hole</v>
      </c>
    </row>
    <row r="27786">
      <c r="A27786" s="1" t="s">
        <v>27785</v>
      </c>
      <c r="B27786" s="2" t="str">
        <f>IFERROR(__xludf.DUMMYFUNCTION("GOOGLETRANSLATE(A27786, ""de"", ""en"")"),"talked out of")</f>
        <v>talked out of</v>
      </c>
    </row>
    <row r="27787">
      <c r="A27787" s="1" t="s">
        <v>27786</v>
      </c>
      <c r="B27787" s="2" t="str">
        <f>IFERROR(__xludf.DUMMYFUNCTION("GOOGLETRANSLATE(A27787, ""de"", ""en"")"),"Guise")</f>
        <v>Guise</v>
      </c>
    </row>
    <row r="27788">
      <c r="A27788" s="1" t="s">
        <v>27787</v>
      </c>
      <c r="B27788" s="2" t="str">
        <f>IFERROR(__xludf.DUMMYFUNCTION("GOOGLETRANSLATE(A27788, ""de"", ""en"")"),"ordered")</f>
        <v>ordered</v>
      </c>
    </row>
    <row r="27789">
      <c r="A27789" s="1" t="s">
        <v>27788</v>
      </c>
      <c r="B27789" s="2" t="str">
        <f>IFERROR(__xludf.DUMMYFUNCTION("GOOGLETRANSLATE(A27789, ""de"", ""en"")"),"reject")</f>
        <v>reject</v>
      </c>
    </row>
    <row r="27790">
      <c r="A27790" s="1" t="s">
        <v>27789</v>
      </c>
      <c r="B27790" s="2" t="str">
        <f>IFERROR(__xludf.DUMMYFUNCTION("GOOGLETRANSLATE(A27790, ""de"", ""en"")"),"school ball")</f>
        <v>school ball</v>
      </c>
    </row>
    <row r="27791">
      <c r="A27791" s="1" t="s">
        <v>27790</v>
      </c>
      <c r="B27791" s="2" t="str">
        <f>IFERROR(__xludf.DUMMYFUNCTION("GOOGLETRANSLATE(A27791, ""de"", ""en"")"),"freezer")</f>
        <v>freezer</v>
      </c>
    </row>
    <row r="27792">
      <c r="A27792" s="1" t="s">
        <v>27791</v>
      </c>
      <c r="B27792" s="2" t="str">
        <f>IFERROR(__xludf.DUMMYFUNCTION("GOOGLETRANSLATE(A27792, ""de"", ""en"")"),"hoist")</f>
        <v>hoist</v>
      </c>
    </row>
    <row r="27793">
      <c r="A27793" s="1" t="s">
        <v>27792</v>
      </c>
      <c r="B27793" s="2" t="str">
        <f>IFERROR(__xludf.DUMMYFUNCTION("GOOGLETRANSLATE(A27793, ""de"", ""en"")"),"beeped")</f>
        <v>beeped</v>
      </c>
    </row>
    <row r="27794">
      <c r="A27794" s="1" t="s">
        <v>27793</v>
      </c>
      <c r="B27794" s="2" t="str">
        <f>IFERROR(__xludf.DUMMYFUNCTION("GOOGLETRANSLATE(A27794, ""de"", ""en"")"),"pepsi")</f>
        <v>pepsi</v>
      </c>
    </row>
    <row r="27795">
      <c r="A27795" s="1" t="s">
        <v>27794</v>
      </c>
      <c r="B27795" s="2" t="str">
        <f>IFERROR(__xludf.DUMMYFUNCTION("GOOGLETRANSLATE(A27795, ""de"", ""en"")"),"dug")</f>
        <v>dug</v>
      </c>
    </row>
    <row r="27796">
      <c r="A27796" s="1" t="s">
        <v>27795</v>
      </c>
      <c r="B27796" s="2" t="str">
        <f>IFERROR(__xludf.DUMMYFUNCTION("GOOGLETRANSLATE(A27796, ""de"", ""en"")"),"eastwood")</f>
        <v>eastwood</v>
      </c>
    </row>
    <row r="27797">
      <c r="A27797" s="1" t="s">
        <v>27796</v>
      </c>
      <c r="B27797" s="2" t="str">
        <f>IFERROR(__xludf.DUMMYFUNCTION("GOOGLETRANSLATE(A27797, ""de"", ""en"")"),"philips")</f>
        <v>philips</v>
      </c>
    </row>
    <row r="27798">
      <c r="A27798" s="1" t="s">
        <v>27797</v>
      </c>
      <c r="B27798" s="2" t="str">
        <f>IFERROR(__xludf.DUMMYFUNCTION("GOOGLETRANSLATE(A27798, ""de"", ""en"")"),"stank")</f>
        <v>stank</v>
      </c>
    </row>
    <row r="27799">
      <c r="A27799" s="1" t="s">
        <v>27798</v>
      </c>
      <c r="B27799" s="2" t="str">
        <f>IFERROR(__xludf.DUMMYFUNCTION("GOOGLETRANSLATE(A27799, ""de"", ""en"")"),"test recordings")</f>
        <v>test recordings</v>
      </c>
    </row>
    <row r="27800">
      <c r="A27800" s="1" t="s">
        <v>27799</v>
      </c>
      <c r="B27800" s="2" t="str">
        <f>IFERROR(__xludf.DUMMYFUNCTION("GOOGLETRANSLATE(A27800, ""de"", ""en"")"),"conversion")</f>
        <v>conversion</v>
      </c>
    </row>
    <row r="27801">
      <c r="A27801" s="1" t="s">
        <v>27800</v>
      </c>
      <c r="B27801" s="2" t="str">
        <f>IFERROR(__xludf.DUMMYFUNCTION("GOOGLETRANSLATE(A27801, ""de"", ""en"")"),"more creative")</f>
        <v>more creative</v>
      </c>
    </row>
    <row r="27802">
      <c r="A27802" s="1" t="s">
        <v>27801</v>
      </c>
      <c r="B27802" s="2" t="str">
        <f>IFERROR(__xludf.DUMMYFUNCTION("GOOGLETRANSLATE(A27802, ""de"", ""en"")"),"proven")</f>
        <v>proven</v>
      </c>
    </row>
    <row r="27803">
      <c r="A27803" s="1" t="s">
        <v>27802</v>
      </c>
      <c r="B27803" s="2" t="str">
        <f>IFERROR(__xludf.DUMMYFUNCTION("GOOGLETRANSLATE(A27803, ""de"", ""en"")"),"demons")</f>
        <v>demons</v>
      </c>
    </row>
    <row r="27804">
      <c r="A27804" s="1" t="s">
        <v>27803</v>
      </c>
      <c r="B27804" s="2" t="str">
        <f>IFERROR(__xludf.DUMMYFUNCTION("GOOGLETRANSLATE(A27804, ""de"", ""en"")"),"mastered")</f>
        <v>mastered</v>
      </c>
    </row>
    <row r="27805">
      <c r="A27805" s="1" t="s">
        <v>27804</v>
      </c>
      <c r="B27805" s="2" t="str">
        <f>IFERROR(__xludf.DUMMYFUNCTION("GOOGLETRANSLATE(A27805, ""de"", ""en"")"),"righteousness")</f>
        <v>righteousness</v>
      </c>
    </row>
    <row r="27806">
      <c r="A27806" s="1" t="s">
        <v>27805</v>
      </c>
      <c r="B27806" s="2" t="str">
        <f>IFERROR(__xludf.DUMMYFUNCTION("GOOGLETRANSLATE(A27806, ""de"", ""en"")"),"sobbing")</f>
        <v>sobbing</v>
      </c>
    </row>
    <row r="27807">
      <c r="A27807" s="1" t="s">
        <v>27806</v>
      </c>
      <c r="B27807" s="2" t="str">
        <f>IFERROR(__xludf.DUMMYFUNCTION("GOOGLETRANSLATE(A27807, ""de"", ""en"")"),"cute")</f>
        <v>cute</v>
      </c>
    </row>
    <row r="27808">
      <c r="A27808" s="1" t="s">
        <v>27807</v>
      </c>
      <c r="B27808" s="2" t="str">
        <f>IFERROR(__xludf.DUMMYFUNCTION("GOOGLETRANSLATE(A27808, ""de"", ""en"")"),"valves")</f>
        <v>valves</v>
      </c>
    </row>
    <row r="27809">
      <c r="A27809" s="1" t="s">
        <v>27808</v>
      </c>
      <c r="B27809" s="2" t="str">
        <f>IFERROR(__xludf.DUMMYFUNCTION("GOOGLETRANSLATE(A27809, ""de"", ""en"")"),"shã")</f>
        <v>shã</v>
      </c>
    </row>
    <row r="27810">
      <c r="A27810" s="1" t="s">
        <v>27809</v>
      </c>
      <c r="B27810" s="2" t="str">
        <f>IFERROR(__xludf.DUMMYFUNCTION("GOOGLETRANSLATE(A27810, ""de"", ""en"")"),"pacino")</f>
        <v>pacino</v>
      </c>
    </row>
    <row r="27811">
      <c r="A27811" s="1" t="s">
        <v>27810</v>
      </c>
      <c r="B27811" s="2" t="str">
        <f>IFERROR(__xludf.DUMMYFUNCTION("GOOGLETRANSLATE(A27811, ""de"", ""en"")"),"worried")</f>
        <v>worried</v>
      </c>
    </row>
    <row r="27812">
      <c r="A27812" s="1" t="s">
        <v>27811</v>
      </c>
      <c r="B27812" s="2" t="str">
        <f>IFERROR(__xludf.DUMMYFUNCTION("GOOGLETRANSLATE(A27812, ""de"", ""en"")"),"brunette")</f>
        <v>brunette</v>
      </c>
    </row>
    <row r="27813">
      <c r="A27813" s="1" t="s">
        <v>27812</v>
      </c>
      <c r="B27813" s="2" t="str">
        <f>IFERROR(__xludf.DUMMYFUNCTION("GOOGLETRANSLATE(A27813, ""de"", ""en"")"),"now")</f>
        <v>now</v>
      </c>
    </row>
    <row r="27814">
      <c r="A27814" s="1" t="s">
        <v>27813</v>
      </c>
      <c r="B27814" s="2" t="str">
        <f>IFERROR(__xludf.DUMMYFUNCTION("GOOGLETRANSLATE(A27814, ""de"", ""en"")"),"handbrake")</f>
        <v>handbrake</v>
      </c>
    </row>
    <row r="27815">
      <c r="A27815" s="1" t="s">
        <v>27814</v>
      </c>
      <c r="B27815" s="2" t="str">
        <f>IFERROR(__xludf.DUMMYFUNCTION("GOOGLETRANSLATE(A27815, ""de"", ""en"")"),"Tonya")</f>
        <v>Tonya</v>
      </c>
    </row>
    <row r="27816">
      <c r="A27816" s="1" t="s">
        <v>27815</v>
      </c>
      <c r="B27816" s="2" t="str">
        <f>IFERROR(__xludf.DUMMYFUNCTION("GOOGLETRANSLATE(A27816, ""de"", ""en"")"),"deeper")</f>
        <v>deeper</v>
      </c>
    </row>
    <row r="27817">
      <c r="A27817" s="1" t="s">
        <v>27816</v>
      </c>
      <c r="B27817" s="2" t="str">
        <f>IFERROR(__xludf.DUMMYFUNCTION("GOOGLETRANSLATE(A27817, ""de"", ""en"")"),"Scottish")</f>
        <v>Scottish</v>
      </c>
    </row>
    <row r="27818">
      <c r="A27818" s="1" t="s">
        <v>27817</v>
      </c>
      <c r="B27818" s="2" t="str">
        <f>IFERROR(__xludf.DUMMYFUNCTION("GOOGLETRANSLATE(A27818, ""de"", ""en"")"),"mima")</f>
        <v>mima</v>
      </c>
    </row>
    <row r="27819">
      <c r="A27819" s="1" t="s">
        <v>27818</v>
      </c>
      <c r="B27819" s="2" t="str">
        <f>IFERROR(__xludf.DUMMYFUNCTION("GOOGLETRANSLATE(A27819, ""de"", ""en"")"),"superpower")</f>
        <v>superpower</v>
      </c>
    </row>
    <row r="27820">
      <c r="A27820" s="1" t="s">
        <v>27819</v>
      </c>
      <c r="B27820" s="2" t="str">
        <f>IFERROR(__xludf.DUMMYFUNCTION("GOOGLETRANSLATE(A27820, ""de"", ""en"")"),"commercial")</f>
        <v>commercial</v>
      </c>
    </row>
    <row r="27821">
      <c r="A27821" s="1" t="s">
        <v>27820</v>
      </c>
      <c r="B27821" s="2" t="str">
        <f>IFERROR(__xludf.DUMMYFUNCTION("GOOGLETRANSLATE(A27821, ""de"", ""en"")"),"saline solution")</f>
        <v>saline solution</v>
      </c>
    </row>
    <row r="27822">
      <c r="A27822" s="1" t="s">
        <v>27821</v>
      </c>
      <c r="B27822" s="2" t="str">
        <f>IFERROR(__xludf.DUMMYFUNCTION("GOOGLETRANSLATE(A27822, ""de"", ""en"")"),"carriages")</f>
        <v>carriages</v>
      </c>
    </row>
    <row r="27823">
      <c r="A27823" s="1" t="s">
        <v>27822</v>
      </c>
      <c r="B27823" s="2" t="str">
        <f>IFERROR(__xludf.DUMMYFUNCTION("GOOGLETRANSLATE(A27823, ""de"", ""en"")"),"impulse drive")</f>
        <v>impulse drive</v>
      </c>
    </row>
    <row r="27824">
      <c r="A27824" s="1" t="s">
        <v>27823</v>
      </c>
      <c r="B27824" s="2" t="str">
        <f>IFERROR(__xludf.DUMMYFUNCTION("GOOGLETRANSLATE(A27824, ""de"", ""en"")"),"howled")</f>
        <v>howled</v>
      </c>
    </row>
    <row r="27825">
      <c r="A27825" s="1" t="s">
        <v>27824</v>
      </c>
      <c r="B27825" s="2" t="str">
        <f>IFERROR(__xludf.DUMMYFUNCTION("GOOGLETRANSLATE(A27825, ""de"", ""en"")"),"judicial")</f>
        <v>judicial</v>
      </c>
    </row>
    <row r="27826">
      <c r="A27826" s="1" t="s">
        <v>27825</v>
      </c>
      <c r="B27826" s="2" t="str">
        <f>IFERROR(__xludf.DUMMYFUNCTION("GOOGLETRANSLATE(A27826, ""de"", ""en"")"),"tainted")</f>
        <v>tainted</v>
      </c>
    </row>
    <row r="27827">
      <c r="A27827" s="1" t="s">
        <v>27826</v>
      </c>
      <c r="B27827" s="2" t="str">
        <f>IFERROR(__xludf.DUMMYFUNCTION("GOOGLETRANSLATE(A27827, ""de"", ""en"")"),"southern")</f>
        <v>southern</v>
      </c>
    </row>
    <row r="27828">
      <c r="A27828" s="1" t="s">
        <v>27827</v>
      </c>
      <c r="B27828" s="2" t="str">
        <f>IFERROR(__xludf.DUMMYFUNCTION("GOOGLETRANSLATE(A27828, ""de"", ""en"")"),"hairy")</f>
        <v>hairy</v>
      </c>
    </row>
    <row r="27829">
      <c r="A27829" s="1" t="s">
        <v>27828</v>
      </c>
      <c r="B27829" s="2" t="str">
        <f>IFERROR(__xludf.DUMMYFUNCTION("GOOGLETRANSLATE(A27829, ""de"", ""en"")"),"aimless")</f>
        <v>aimless</v>
      </c>
    </row>
    <row r="27830">
      <c r="A27830" s="1" t="s">
        <v>27829</v>
      </c>
      <c r="B27830" s="2" t="str">
        <f>IFERROR(__xludf.DUMMYFUNCTION("GOOGLETRANSLATE(A27830, ""de"", ""en"")"),"charity event")</f>
        <v>charity event</v>
      </c>
    </row>
    <row r="27831">
      <c r="A27831" s="1" t="s">
        <v>27830</v>
      </c>
      <c r="B27831" s="2" t="str">
        <f>IFERROR(__xludf.DUMMYFUNCTION("GOOGLETRANSLATE(A27831, ""de"", ""en"")"),"patricks")</f>
        <v>patricks</v>
      </c>
    </row>
    <row r="27832">
      <c r="A27832" s="1" t="s">
        <v>27831</v>
      </c>
      <c r="B27832" s="2" t="str">
        <f>IFERROR(__xludf.DUMMYFUNCTION("GOOGLETRANSLATE(A27832, ""de"", ""en"")"),"shopping")</f>
        <v>shopping</v>
      </c>
    </row>
    <row r="27833">
      <c r="A27833" s="1" t="s">
        <v>27832</v>
      </c>
      <c r="B27833" s="2" t="str">
        <f>IFERROR(__xludf.DUMMYFUNCTION("GOOGLETRANSLATE(A27833, ""de"", ""en"")"),"traumatic")</f>
        <v>traumatic</v>
      </c>
    </row>
    <row r="27834">
      <c r="A27834" s="1" t="s">
        <v>27833</v>
      </c>
      <c r="B27834" s="2" t="str">
        <f>IFERROR(__xludf.DUMMYFUNCTION("GOOGLETRANSLATE(A27834, ""de"", ""en"")"),"peanut")</f>
        <v>peanut</v>
      </c>
    </row>
    <row r="27835">
      <c r="A27835" s="1" t="s">
        <v>27834</v>
      </c>
      <c r="B27835" s="2" t="str">
        <f>IFERROR(__xludf.DUMMYFUNCTION("GOOGLETRANSLATE(A27835, ""de"", ""en"")"),"goes back")</f>
        <v>goes back</v>
      </c>
    </row>
    <row r="27836">
      <c r="A27836" s="1" t="s">
        <v>27835</v>
      </c>
      <c r="B27836" s="2" t="str">
        <f>IFERROR(__xludf.DUMMYFUNCTION("GOOGLETRANSLATE(A27836, ""de"", ""en"")"),"perish")</f>
        <v>perish</v>
      </c>
    </row>
    <row r="27837">
      <c r="A27837" s="1" t="s">
        <v>27836</v>
      </c>
      <c r="B27837" s="2" t="str">
        <f>IFERROR(__xludf.DUMMYFUNCTION("GOOGLETRANSLATE(A27837, ""de"", ""en"")"),"request")</f>
        <v>request</v>
      </c>
    </row>
    <row r="27838">
      <c r="A27838" s="1" t="s">
        <v>27837</v>
      </c>
      <c r="B27838" s="2" t="str">
        <f>IFERROR(__xludf.DUMMYFUNCTION("GOOGLETRANSLATE(A27838, ""de"", ""en"")"),"nose")</f>
        <v>nose</v>
      </c>
    </row>
    <row r="27839">
      <c r="A27839" s="1" t="s">
        <v>27838</v>
      </c>
      <c r="B27839" s="2" t="str">
        <f>IFERROR(__xludf.DUMMYFUNCTION("GOOGLETRANSLATE(A27839, ""de"", ""en"")"),"come over")</f>
        <v>come over</v>
      </c>
    </row>
    <row r="27840">
      <c r="A27840" s="1" t="s">
        <v>27839</v>
      </c>
      <c r="B27840" s="2" t="str">
        <f>IFERROR(__xludf.DUMMYFUNCTION("GOOGLETRANSLATE(A27840, ""de"", ""en"")"),"aga")</f>
        <v>aga</v>
      </c>
    </row>
    <row r="27841">
      <c r="A27841" s="1" t="s">
        <v>27840</v>
      </c>
      <c r="B27841" s="2" t="str">
        <f>IFERROR(__xludf.DUMMYFUNCTION("GOOGLETRANSLATE(A27841, ""de"", ""en"")"),"garroway")</f>
        <v>garroway</v>
      </c>
    </row>
    <row r="27842">
      <c r="A27842" s="1" t="s">
        <v>27841</v>
      </c>
      <c r="B27842" s="2" t="str">
        <f>IFERROR(__xludf.DUMMYFUNCTION("GOOGLETRANSLATE(A27842, ""de"", ""en"")"),"hammock")</f>
        <v>hammock</v>
      </c>
    </row>
    <row r="27843">
      <c r="A27843" s="1" t="s">
        <v>27842</v>
      </c>
      <c r="B27843" s="2" t="str">
        <f>IFERROR(__xludf.DUMMYFUNCTION("GOOGLETRANSLATE(A27843, ""de"", ""en"")"),"foss")</f>
        <v>foss</v>
      </c>
    </row>
    <row r="27844">
      <c r="A27844" s="1" t="s">
        <v>27843</v>
      </c>
      <c r="B27844" s="2" t="str">
        <f>IFERROR(__xludf.DUMMYFUNCTION("GOOGLETRANSLATE(A27844, ""de"", ""en"")"),"blind")</f>
        <v>blind</v>
      </c>
    </row>
    <row r="27845">
      <c r="A27845" s="1" t="s">
        <v>27844</v>
      </c>
      <c r="B27845" s="2" t="str">
        <f>IFERROR(__xludf.DUMMYFUNCTION("GOOGLETRANSLATE(A27845, ""de"", ""en"")"),"Zeppelin")</f>
        <v>Zeppelin</v>
      </c>
    </row>
    <row r="27846">
      <c r="A27846" s="1" t="s">
        <v>27845</v>
      </c>
      <c r="B27846" s="2" t="str">
        <f>IFERROR(__xludf.DUMMYFUNCTION("GOOGLETRANSLATE(A27846, ""de"", ""en"")"),"temporal")</f>
        <v>temporal</v>
      </c>
    </row>
    <row r="27847">
      <c r="A27847" s="1" t="s">
        <v>27846</v>
      </c>
      <c r="B27847" s="2" t="str">
        <f>IFERROR(__xludf.DUMMYFUNCTION("GOOGLETRANSLATE(A27847, ""de"", ""en"")"),"brochures")</f>
        <v>brochures</v>
      </c>
    </row>
    <row r="27848">
      <c r="A27848" s="1" t="s">
        <v>27847</v>
      </c>
      <c r="B27848" s="2" t="str">
        <f>IFERROR(__xludf.DUMMYFUNCTION("GOOGLETRANSLATE(A27848, ""de"", ""en"")"),"schroeder")</f>
        <v>schroeder</v>
      </c>
    </row>
    <row r="27849">
      <c r="A27849" s="1" t="s">
        <v>27848</v>
      </c>
      <c r="B27849" s="2" t="str">
        <f>IFERROR(__xludf.DUMMYFUNCTION("GOOGLETRANSLATE(A27849, ""de"", ""en"")"),"warehouse")</f>
        <v>warehouse</v>
      </c>
    </row>
    <row r="27850">
      <c r="A27850" s="1" t="s">
        <v>27849</v>
      </c>
      <c r="B27850" s="2" t="str">
        <f>IFERROR(__xludf.DUMMYFUNCTION("GOOGLETRANSLATE(A27850, ""de"", ""en"")"),"tremendous")</f>
        <v>tremendous</v>
      </c>
    </row>
    <row r="27851">
      <c r="A27851" s="1" t="s">
        <v>27850</v>
      </c>
      <c r="B27851" s="2" t="str">
        <f>IFERROR(__xludf.DUMMYFUNCTION("GOOGLETRANSLATE(A27851, ""de"", ""en"")"),"toussaint")</f>
        <v>toussaint</v>
      </c>
    </row>
    <row r="27852">
      <c r="A27852" s="1" t="s">
        <v>27851</v>
      </c>
      <c r="B27852" s="2" t="str">
        <f>IFERROR(__xludf.DUMMYFUNCTION("GOOGLETRANSLATE(A27852, ""de"", ""en"")"),"lidia")</f>
        <v>lidia</v>
      </c>
    </row>
    <row r="27853">
      <c r="A27853" s="1" t="s">
        <v>27852</v>
      </c>
      <c r="B27853" s="2" t="str">
        <f>IFERROR(__xludf.DUMMYFUNCTION("GOOGLETRANSLATE(A27853, ""de"", ""en"")"),"switch")</f>
        <v>switch</v>
      </c>
    </row>
    <row r="27854">
      <c r="A27854" s="1" t="s">
        <v>27853</v>
      </c>
      <c r="B27854" s="2" t="str">
        <f>IFERROR(__xludf.DUMMYFUNCTION("GOOGLETRANSLATE(A27854, ""de"", ""en"")"),"graystone")</f>
        <v>graystone</v>
      </c>
    </row>
    <row r="27855">
      <c r="A27855" s="1" t="s">
        <v>27854</v>
      </c>
      <c r="B27855" s="2" t="str">
        <f>IFERROR(__xludf.DUMMYFUNCTION("GOOGLETRANSLATE(A27855, ""de"", ""en"")"),"range")</f>
        <v>range</v>
      </c>
    </row>
    <row r="27856">
      <c r="A27856" s="1" t="s">
        <v>27855</v>
      </c>
      <c r="B27856" s="2" t="str">
        <f>IFERROR(__xludf.DUMMYFUNCTION("GOOGLETRANSLATE(A27856, ""de"", ""en"")"),"mlle.")</f>
        <v>mlle.</v>
      </c>
    </row>
    <row r="27857">
      <c r="A27857" s="1" t="s">
        <v>27856</v>
      </c>
      <c r="B27857" s="2" t="str">
        <f>IFERROR(__xludf.DUMMYFUNCTION("GOOGLETRANSLATE(A27857, ""de"", ""en"")"),"bullied")</f>
        <v>bullied</v>
      </c>
    </row>
    <row r="27858">
      <c r="A27858" s="1" t="s">
        <v>27857</v>
      </c>
      <c r="B27858" s="2" t="str">
        <f>IFERROR(__xludf.DUMMYFUNCTION("GOOGLETRANSLATE(A27858, ""de"", ""en"")"),"crime novels")</f>
        <v>crime novels</v>
      </c>
    </row>
    <row r="27859">
      <c r="A27859" s="1" t="s">
        <v>27858</v>
      </c>
      <c r="B27859" s="2" t="str">
        <f>IFERROR(__xludf.DUMMYFUNCTION("GOOGLETRANSLATE(A27859, ""de"", ""en"")"),"child molester")</f>
        <v>child molester</v>
      </c>
    </row>
    <row r="27860">
      <c r="A27860" s="1" t="s">
        <v>27859</v>
      </c>
      <c r="B27860" s="2" t="str">
        <f>IFERROR(__xludf.DUMMYFUNCTION("GOOGLETRANSLATE(A27860, ""de"", ""en"")"),"location")</f>
        <v>location</v>
      </c>
    </row>
    <row r="27861">
      <c r="A27861" s="1" t="s">
        <v>27860</v>
      </c>
      <c r="B27861" s="2" t="str">
        <f>IFERROR(__xludf.DUMMYFUNCTION("GOOGLETRANSLATE(A27861, ""de"", ""en"")"),"code of honor")</f>
        <v>code of honor</v>
      </c>
    </row>
    <row r="27862">
      <c r="A27862" s="1" t="s">
        <v>27861</v>
      </c>
      <c r="B27862" s="2" t="str">
        <f>IFERROR(__xludf.DUMMYFUNCTION("GOOGLETRANSLATE(A27862, ""de"", ""en"")"),"orphans")</f>
        <v>orphans</v>
      </c>
    </row>
    <row r="27863">
      <c r="A27863" s="1" t="s">
        <v>27862</v>
      </c>
      <c r="B27863" s="2" t="str">
        <f>IFERROR(__xludf.DUMMYFUNCTION("GOOGLETRANSLATE(A27863, ""de"", ""en"")"),"Liesel")</f>
        <v>Liesel</v>
      </c>
    </row>
    <row r="27864">
      <c r="A27864" s="1" t="s">
        <v>27863</v>
      </c>
      <c r="B27864" s="2" t="str">
        <f>IFERROR(__xludf.DUMMYFUNCTION("GOOGLETRANSLATE(A27864, ""de"", ""en"")"),"planned")</f>
        <v>planned</v>
      </c>
    </row>
    <row r="27865">
      <c r="A27865" s="1" t="s">
        <v>27864</v>
      </c>
      <c r="B27865" s="2" t="str">
        <f>IFERROR(__xludf.DUMMYFUNCTION("GOOGLETRANSLATE(A27865, ""de"", ""en"")"),"clitoris")</f>
        <v>clitoris</v>
      </c>
    </row>
    <row r="27866">
      <c r="A27866" s="1" t="s">
        <v>27865</v>
      </c>
      <c r="B27866" s="2" t="str">
        <f>IFERROR(__xludf.DUMMYFUNCTION("GOOGLETRANSLATE(A27866, ""de"", ""en"")"),"condominium")</f>
        <v>condominium</v>
      </c>
    </row>
    <row r="27867">
      <c r="A27867" s="1" t="s">
        <v>27866</v>
      </c>
      <c r="B27867" s="2" t="str">
        <f>IFERROR(__xludf.DUMMYFUNCTION("GOOGLETRANSLATE(A27867, ""de"", ""en"")"),"lancaster")</f>
        <v>lancaster</v>
      </c>
    </row>
    <row r="27868">
      <c r="A27868" s="1" t="s">
        <v>27867</v>
      </c>
      <c r="B27868" s="2" t="str">
        <f>IFERROR(__xludf.DUMMYFUNCTION("GOOGLETRANSLATE(A27868, ""de"", ""en"")"),"peace of mind")</f>
        <v>peace of mind</v>
      </c>
    </row>
    <row r="27869">
      <c r="A27869" s="1" t="s">
        <v>27868</v>
      </c>
      <c r="B27869" s="2" t="str">
        <f>IFERROR(__xludf.DUMMYFUNCTION("GOOGLETRANSLATE(A27869, ""de"", ""en"")"),"Persia")</f>
        <v>Persia</v>
      </c>
    </row>
    <row r="27870">
      <c r="A27870" s="1" t="s">
        <v>27869</v>
      </c>
      <c r="B27870" s="2" t="str">
        <f>IFERROR(__xludf.DUMMYFUNCTION("GOOGLETRANSLATE(A27870, ""de"", ""en"")"),"pass by")</f>
        <v>pass by</v>
      </c>
    </row>
    <row r="27871">
      <c r="A27871" s="1" t="s">
        <v>27870</v>
      </c>
      <c r="B27871" s="2" t="str">
        <f>IFERROR(__xludf.DUMMYFUNCTION("GOOGLETRANSLATE(A27871, ""de"", ""en"")"),"came in")</f>
        <v>came in</v>
      </c>
    </row>
    <row r="27872">
      <c r="A27872" s="1" t="s">
        <v>27871</v>
      </c>
      <c r="B27872" s="2" t="str">
        <f>IFERROR(__xludf.DUMMYFUNCTION("GOOGLETRANSLATE(A27872, ""de"", ""en"")"),"win")</f>
        <v>win</v>
      </c>
    </row>
    <row r="27873">
      <c r="A27873" s="1" t="s">
        <v>27872</v>
      </c>
      <c r="B27873" s="2" t="str">
        <f>IFERROR(__xludf.DUMMYFUNCTION("GOOGLETRANSLATE(A27873, ""de"", ""en"")"),"ige")</f>
        <v>ige</v>
      </c>
    </row>
    <row r="27874">
      <c r="A27874" s="1" t="s">
        <v>27873</v>
      </c>
      <c r="B27874" s="2" t="str">
        <f>IFERROR(__xludf.DUMMYFUNCTION("GOOGLETRANSLATE(A27874, ""de"", ""en"")"),"print")</f>
        <v>print</v>
      </c>
    </row>
    <row r="27875">
      <c r="A27875" s="1" t="s">
        <v>27874</v>
      </c>
      <c r="B27875" s="2" t="str">
        <f>IFERROR(__xludf.DUMMYFUNCTION("GOOGLETRANSLATE(A27875, ""de"", ""en"")"),"demand")</f>
        <v>demand</v>
      </c>
    </row>
    <row r="27876">
      <c r="A27876" s="1" t="s">
        <v>27875</v>
      </c>
      <c r="B27876" s="2" t="str">
        <f>IFERROR(__xludf.DUMMYFUNCTION("GOOGLETRANSLATE(A27876, ""de"", ""en"")"),"Dundee")</f>
        <v>Dundee</v>
      </c>
    </row>
    <row r="27877">
      <c r="A27877" s="1" t="s">
        <v>27876</v>
      </c>
      <c r="B27877" s="2" t="str">
        <f>IFERROR(__xludf.DUMMYFUNCTION("GOOGLETRANSLATE(A27877, ""de"", ""en"")"),"mother")</f>
        <v>mother</v>
      </c>
    </row>
    <row r="27878">
      <c r="A27878" s="1" t="s">
        <v>27877</v>
      </c>
      <c r="B27878" s="2" t="str">
        <f>IFERROR(__xludf.DUMMYFUNCTION("GOOGLETRANSLATE(A27878, ""de"", ""en"")"),"deny")</f>
        <v>deny</v>
      </c>
    </row>
    <row r="27879">
      <c r="A27879" s="1" t="s">
        <v>27878</v>
      </c>
      <c r="B27879" s="2" t="str">
        <f>IFERROR(__xludf.DUMMYFUNCTION("GOOGLETRANSLATE(A27879, ""de"", ""en"")"),"fashion")</f>
        <v>fashion</v>
      </c>
    </row>
    <row r="27880">
      <c r="A27880" s="1" t="s">
        <v>27879</v>
      </c>
      <c r="B27880" s="2" t="str">
        <f>IFERROR(__xludf.DUMMYFUNCTION("GOOGLETRANSLATE(A27880, ""de"", ""en"")"),"as a precaution")</f>
        <v>as a precaution</v>
      </c>
    </row>
    <row r="27881">
      <c r="A27881" s="1" t="s">
        <v>27880</v>
      </c>
      <c r="B27881" s="2" t="str">
        <f>IFERROR(__xludf.DUMMYFUNCTION("GOOGLETRANSLATE(A27881, ""de"", ""en"")"),"more independent")</f>
        <v>more independent</v>
      </c>
    </row>
    <row r="27882">
      <c r="A27882" s="1" t="s">
        <v>27881</v>
      </c>
      <c r="B27882" s="2" t="str">
        <f>IFERROR(__xludf.DUMMYFUNCTION("GOOGLETRANSLATE(A27882, ""de"", ""en"")"),"cartoon")</f>
        <v>cartoon</v>
      </c>
    </row>
    <row r="27883">
      <c r="A27883" s="1" t="s">
        <v>27882</v>
      </c>
      <c r="B27883" s="2" t="str">
        <f>IFERROR(__xludf.DUMMYFUNCTION("GOOGLETRANSLATE(A27883, ""de"", ""en"")"),"talented")</f>
        <v>talented</v>
      </c>
    </row>
    <row r="27884">
      <c r="A27884" s="1" t="s">
        <v>27883</v>
      </c>
      <c r="B27884" s="2" t="str">
        <f>IFERROR(__xludf.DUMMYFUNCTION("GOOGLETRANSLATE(A27884, ""de"", ""en"")"),"johannesburg")</f>
        <v>johannesburg</v>
      </c>
    </row>
    <row r="27885">
      <c r="A27885" s="1" t="s">
        <v>27884</v>
      </c>
      <c r="B27885" s="2" t="str">
        <f>IFERROR(__xludf.DUMMYFUNCTION("GOOGLETRANSLATE(A27885, ""de"", ""en"")"),"stick")</f>
        <v>stick</v>
      </c>
    </row>
    <row r="27886">
      <c r="A27886" s="1" t="s">
        <v>27885</v>
      </c>
      <c r="B27886" s="2" t="str">
        <f>IFERROR(__xludf.DUMMYFUNCTION("GOOGLETRANSLATE(A27886, ""de"", ""en"")"),"huge")</f>
        <v>huge</v>
      </c>
    </row>
    <row r="27887">
      <c r="A27887" s="1" t="s">
        <v>27886</v>
      </c>
      <c r="B27887" s="2" t="str">
        <f>IFERROR(__xludf.DUMMYFUNCTION("GOOGLETRANSLATE(A27887, ""de"", ""en"")"),"Ilene")</f>
        <v>Ilene</v>
      </c>
    </row>
    <row r="27888">
      <c r="A27888" s="1" t="s">
        <v>27887</v>
      </c>
      <c r="B27888" s="2" t="str">
        <f>IFERROR(__xludf.DUMMYFUNCTION("GOOGLETRANSLATE(A27888, ""de"", ""en"")"),"cough syrup")</f>
        <v>cough syrup</v>
      </c>
    </row>
    <row r="27889">
      <c r="A27889" s="1" t="s">
        <v>27888</v>
      </c>
      <c r="B27889" s="2" t="str">
        <f>IFERROR(__xludf.DUMMYFUNCTION("GOOGLETRANSLATE(A27889, ""de"", ""en"")"),"single")</f>
        <v>single</v>
      </c>
    </row>
    <row r="27890">
      <c r="A27890" s="1" t="s">
        <v>27889</v>
      </c>
      <c r="B27890" s="2" t="str">
        <f>IFERROR(__xludf.DUMMYFUNCTION("GOOGLETRANSLATE(A27890, ""de"", ""en"")"),"hens")</f>
        <v>hens</v>
      </c>
    </row>
    <row r="27891">
      <c r="A27891" s="1" t="s">
        <v>27890</v>
      </c>
      <c r="B27891" s="2" t="str">
        <f>IFERROR(__xludf.DUMMYFUNCTION("GOOGLETRANSLATE(A27891, ""de"", ""en"")"),"rest stop")</f>
        <v>rest stop</v>
      </c>
    </row>
    <row r="27892">
      <c r="A27892" s="1" t="s">
        <v>27891</v>
      </c>
      <c r="B27892" s="2" t="str">
        <f>IFERROR(__xludf.DUMMYFUNCTION("GOOGLETRANSLATE(A27892, ""de"", ""en"")"),"switek")</f>
        <v>switek</v>
      </c>
    </row>
    <row r="27893">
      <c r="A27893" s="1" t="s">
        <v>27892</v>
      </c>
      <c r="B27893" s="2" t="str">
        <f>IFERROR(__xludf.DUMMYFUNCTION("GOOGLETRANSLATE(A27893, ""de"", ""en"")"),"inevitably")</f>
        <v>inevitably</v>
      </c>
    </row>
    <row r="27894">
      <c r="A27894" s="1" t="s">
        <v>27893</v>
      </c>
      <c r="B27894" s="2" t="str">
        <f>IFERROR(__xludf.DUMMYFUNCTION("GOOGLETRANSLATE(A27894, ""de"", ""en"")"),"blairs")</f>
        <v>blairs</v>
      </c>
    </row>
    <row r="27895">
      <c r="A27895" s="1" t="s">
        <v>27894</v>
      </c>
      <c r="B27895" s="2" t="str">
        <f>IFERROR(__xludf.DUMMYFUNCTION("GOOGLETRANSLATE(A27895, ""de"", ""en"")"),"monsters")</f>
        <v>monsters</v>
      </c>
    </row>
    <row r="27896">
      <c r="A27896" s="1" t="s">
        <v>27895</v>
      </c>
      <c r="B27896" s="2" t="str">
        <f>IFERROR(__xludf.DUMMYFUNCTION("GOOGLETRANSLATE(A27896, ""de"", ""en"")"),"walkers")</f>
        <v>walkers</v>
      </c>
    </row>
    <row r="27897">
      <c r="A27897" s="1" t="s">
        <v>27896</v>
      </c>
      <c r="B27897" s="2" t="str">
        <f>IFERROR(__xludf.DUMMYFUNCTION("GOOGLETRANSLATE(A27897, ""de"", ""en"")"),"corps")</f>
        <v>corps</v>
      </c>
    </row>
    <row r="27898">
      <c r="A27898" s="1" t="s">
        <v>27897</v>
      </c>
      <c r="B27898" s="2" t="str">
        <f>IFERROR(__xludf.DUMMYFUNCTION("GOOGLETRANSLATE(A27898, ""de"", ""en"")"),"cadmus")</f>
        <v>cadmus</v>
      </c>
    </row>
    <row r="27899">
      <c r="A27899" s="1" t="s">
        <v>27898</v>
      </c>
      <c r="B27899" s="2" t="str">
        <f>IFERROR(__xludf.DUMMYFUNCTION("GOOGLETRANSLATE(A27899, ""de"", ""en"")"),"gracious")</f>
        <v>gracious</v>
      </c>
    </row>
    <row r="27900">
      <c r="A27900" s="1" t="s">
        <v>27899</v>
      </c>
      <c r="B27900" s="2" t="str">
        <f>IFERROR(__xludf.DUMMYFUNCTION("GOOGLETRANSLATE(A27900, ""de"", ""en"")"),"sensitivity")</f>
        <v>sensitivity</v>
      </c>
    </row>
    <row r="27901">
      <c r="A27901" s="1" t="s">
        <v>27900</v>
      </c>
      <c r="B27901" s="2" t="str">
        <f>IFERROR(__xludf.DUMMYFUNCTION("GOOGLETRANSLATE(A27901, ""de"", ""en"")"),"dig")</f>
        <v>dig</v>
      </c>
    </row>
    <row r="27902">
      <c r="A27902" s="1" t="s">
        <v>27901</v>
      </c>
      <c r="B27902" s="2" t="str">
        <f>IFERROR(__xludf.DUMMYFUNCTION("GOOGLETRANSLATE(A27902, ""de"", ""en"")"),"ricco")</f>
        <v>ricco</v>
      </c>
    </row>
    <row r="27903">
      <c r="A27903" s="1" t="s">
        <v>27902</v>
      </c>
      <c r="B27903" s="2" t="str">
        <f>IFERROR(__xludf.DUMMYFUNCTION("GOOGLETRANSLATE(A27903, ""de"", ""en"")"),"area")</f>
        <v>area</v>
      </c>
    </row>
    <row r="27904">
      <c r="A27904" s="1" t="s">
        <v>27903</v>
      </c>
      <c r="B27904" s="2" t="str">
        <f>IFERROR(__xludf.DUMMYFUNCTION("GOOGLETRANSLATE(A27904, ""de"", ""en"")"),"rewritten")</f>
        <v>rewritten</v>
      </c>
    </row>
    <row r="27905">
      <c r="A27905" s="1" t="s">
        <v>27904</v>
      </c>
      <c r="B27905" s="2" t="str">
        <f>IFERROR(__xludf.DUMMYFUNCTION("GOOGLETRANSLATE(A27905, ""de"", ""en"")"),"incest")</f>
        <v>incest</v>
      </c>
    </row>
    <row r="27906">
      <c r="A27906" s="1" t="s">
        <v>27905</v>
      </c>
      <c r="B27906" s="2" t="str">
        <f>IFERROR(__xludf.DUMMYFUNCTION("GOOGLETRANSLATE(A27906, ""de"", ""en"")"),"schrader")</f>
        <v>schrader</v>
      </c>
    </row>
    <row r="27907">
      <c r="A27907" s="1" t="s">
        <v>27906</v>
      </c>
      <c r="B27907" s="2" t="str">
        <f>IFERROR(__xludf.DUMMYFUNCTION("GOOGLETRANSLATE(A27907, ""de"", ""en"")"),"bark")</f>
        <v>bark</v>
      </c>
    </row>
    <row r="27908">
      <c r="A27908" s="1" t="s">
        <v>27907</v>
      </c>
      <c r="B27908" s="2" t="str">
        <f>IFERROR(__xludf.DUMMYFUNCTION("GOOGLETRANSLATE(A27908, ""de"", ""en"")"),"military")</f>
        <v>military</v>
      </c>
    </row>
    <row r="27909">
      <c r="A27909" s="1" t="s">
        <v>27908</v>
      </c>
      <c r="B27909" s="2" t="str">
        <f>IFERROR(__xludf.DUMMYFUNCTION("GOOGLETRANSLATE(A27909, ""de"", ""en"")"),"micha")</f>
        <v>micha</v>
      </c>
    </row>
    <row r="27910">
      <c r="A27910" s="1" t="s">
        <v>27909</v>
      </c>
      <c r="B27910" s="2" t="str">
        <f>IFERROR(__xludf.DUMMYFUNCTION("GOOGLETRANSLATE(A27910, ""de"", ""en"")"),"repetitions")</f>
        <v>repetitions</v>
      </c>
    </row>
    <row r="27911">
      <c r="A27911" s="1" t="s">
        <v>27910</v>
      </c>
      <c r="B27911" s="2" t="str">
        <f>IFERROR(__xludf.DUMMYFUNCTION("GOOGLETRANSLATE(A27911, ""de"", ""en"")"),"sweetheart")</f>
        <v>sweetheart</v>
      </c>
    </row>
    <row r="27912">
      <c r="A27912" s="1" t="s">
        <v>27911</v>
      </c>
      <c r="B27912" s="2" t="str">
        <f>IFERROR(__xludf.DUMMYFUNCTION("GOOGLETRANSLATE(A27912, ""de"", ""en"")"),"fascination")</f>
        <v>fascination</v>
      </c>
    </row>
    <row r="27913">
      <c r="A27913" s="1" t="s">
        <v>27912</v>
      </c>
      <c r="B27913" s="2" t="str">
        <f>IFERROR(__xludf.DUMMYFUNCTION("GOOGLETRANSLATE(A27913, ""de"", ""en"")"),"more amazing")</f>
        <v>more amazing</v>
      </c>
    </row>
    <row r="27914">
      <c r="A27914" s="1" t="s">
        <v>27913</v>
      </c>
      <c r="B27914" s="2" t="str">
        <f>IFERROR(__xludf.DUMMYFUNCTION("GOOGLETRANSLATE(A27914, ""de"", ""en"")"),"to inflict")</f>
        <v>to inflict</v>
      </c>
    </row>
    <row r="27915">
      <c r="A27915" s="1" t="s">
        <v>27914</v>
      </c>
      <c r="B27915" s="2" t="str">
        <f>IFERROR(__xludf.DUMMYFUNCTION("GOOGLETRANSLATE(A27915, ""de"", ""en"")"),"aimed")</f>
        <v>aimed</v>
      </c>
    </row>
    <row r="27916">
      <c r="A27916" s="1" t="s">
        <v>27915</v>
      </c>
      <c r="B27916" s="2" t="str">
        <f>IFERROR(__xludf.DUMMYFUNCTION("GOOGLETRANSLATE(A27916, ""de"", ""en"")"),"plow")</f>
        <v>plow</v>
      </c>
    </row>
    <row r="27917">
      <c r="A27917" s="1" t="s">
        <v>27916</v>
      </c>
      <c r="B27917" s="2" t="str">
        <f>IFERROR(__xludf.DUMMYFUNCTION("GOOGLETRANSLATE(A27917, ""de"", ""en"")"),"respected")</f>
        <v>respected</v>
      </c>
    </row>
    <row r="27918">
      <c r="A27918" s="1" t="s">
        <v>27917</v>
      </c>
      <c r="B27918" s="2" t="str">
        <f>IFERROR(__xludf.DUMMYFUNCTION("GOOGLETRANSLATE(A27918, ""de"", ""en"")"),"graduates")</f>
        <v>graduates</v>
      </c>
    </row>
    <row r="27919">
      <c r="A27919" s="1" t="s">
        <v>27918</v>
      </c>
      <c r="B27919" s="2" t="str">
        <f>IFERROR(__xludf.DUMMYFUNCTION("GOOGLETRANSLATE(A27919, ""de"", ""en"")"),"fiction")</f>
        <v>fiction</v>
      </c>
    </row>
    <row r="27920">
      <c r="A27920" s="1" t="s">
        <v>27919</v>
      </c>
      <c r="B27920" s="2" t="str">
        <f>IFERROR(__xludf.DUMMYFUNCTION("GOOGLETRANSLATE(A27920, ""de"", ""en"")"),"week")</f>
        <v>week</v>
      </c>
    </row>
    <row r="27921">
      <c r="A27921" s="1" t="s">
        <v>27920</v>
      </c>
      <c r="B27921" s="2" t="str">
        <f>IFERROR(__xludf.DUMMYFUNCTION("GOOGLETRANSLATE(A27921, ""de"", ""en"")"),"replace")</f>
        <v>replace</v>
      </c>
    </row>
    <row r="27922">
      <c r="A27922" s="1" t="s">
        <v>27921</v>
      </c>
      <c r="B27922" s="2" t="str">
        <f>IFERROR(__xludf.DUMMYFUNCTION("GOOGLETRANSLATE(A27922, ""de"", ""en"")"),"put in")</f>
        <v>put in</v>
      </c>
    </row>
    <row r="27923">
      <c r="A27923" s="1" t="s">
        <v>27922</v>
      </c>
      <c r="B27923" s="2" t="str">
        <f>IFERROR(__xludf.DUMMYFUNCTION("GOOGLETRANSLATE(A27923, ""de"", ""en"")"),"tanker")</f>
        <v>tanker</v>
      </c>
    </row>
    <row r="27924">
      <c r="A27924" s="1" t="s">
        <v>27923</v>
      </c>
      <c r="B27924" s="2" t="str">
        <f>IFERROR(__xludf.DUMMYFUNCTION("GOOGLETRANSLATE(A27924, ""de"", ""en"")"),"revise")</f>
        <v>revise</v>
      </c>
    </row>
    <row r="27925">
      <c r="A27925" s="1" t="s">
        <v>27924</v>
      </c>
      <c r="B27925" s="2" t="str">
        <f>IFERROR(__xludf.DUMMYFUNCTION("GOOGLETRANSLATE(A27925, ""de"", ""en"")"),"most wonderful")</f>
        <v>most wonderful</v>
      </c>
    </row>
    <row r="27926">
      <c r="A27926" s="1" t="s">
        <v>27925</v>
      </c>
      <c r="B27926" s="2" t="str">
        <f>IFERROR(__xludf.DUMMYFUNCTION("GOOGLETRANSLATE(A27926, ""de"", ""en"")"),"extremists")</f>
        <v>extremists</v>
      </c>
    </row>
    <row r="27927">
      <c r="A27927" s="1" t="s">
        <v>27926</v>
      </c>
      <c r="B27927" s="2" t="str">
        <f>IFERROR(__xludf.DUMMYFUNCTION("GOOGLETRANSLATE(A27927, ""de"", ""en"")"),"jelly")</f>
        <v>jelly</v>
      </c>
    </row>
    <row r="27928">
      <c r="A27928" s="1" t="s">
        <v>27927</v>
      </c>
      <c r="B27928" s="2" t="str">
        <f>IFERROR(__xludf.DUMMYFUNCTION("GOOGLETRANSLATE(A27928, ""de"", ""en"")"),"covington")</f>
        <v>covington</v>
      </c>
    </row>
    <row r="27929">
      <c r="A27929" s="1" t="s">
        <v>27928</v>
      </c>
      <c r="B27929" s="2" t="str">
        <f>IFERROR(__xludf.DUMMYFUNCTION("GOOGLETRANSLATE(A27929, ""de"", ""en"")"),"Robb")</f>
        <v>Robb</v>
      </c>
    </row>
    <row r="27930">
      <c r="A27930" s="1" t="s">
        <v>27929</v>
      </c>
      <c r="B27930" s="2" t="str">
        <f>IFERROR(__xludf.DUMMYFUNCTION("GOOGLETRANSLATE(A27930, ""de"", ""en"")"),"potato salad")</f>
        <v>potato salad</v>
      </c>
    </row>
    <row r="27931">
      <c r="A27931" s="1" t="s">
        <v>27930</v>
      </c>
      <c r="B27931" s="2" t="str">
        <f>IFERROR(__xludf.DUMMYFUNCTION("GOOGLETRANSLATE(A27931, ""de"", ""en"")"),"passive")</f>
        <v>passive</v>
      </c>
    </row>
    <row r="27932">
      <c r="A27932" s="1" t="s">
        <v>27931</v>
      </c>
      <c r="B27932" s="2" t="str">
        <f>IFERROR(__xludf.DUMMYFUNCTION("GOOGLETRANSLATE(A27932, ""de"", ""en"")"),"cheeky")</f>
        <v>cheeky</v>
      </c>
    </row>
    <row r="27933">
      <c r="A27933" s="1" t="s">
        <v>27932</v>
      </c>
      <c r="B27933" s="2" t="str">
        <f>IFERROR(__xludf.DUMMYFUNCTION("GOOGLETRANSLATE(A27933, ""de"", ""en"")"),"commissioner")</f>
        <v>commissioner</v>
      </c>
    </row>
    <row r="27934">
      <c r="A27934" s="1" t="s">
        <v>27933</v>
      </c>
      <c r="B27934" s="2" t="str">
        <f>IFERROR(__xludf.DUMMYFUNCTION("GOOGLETRANSLATE(A27934, ""de"", ""en"")"),"Ivanovich")</f>
        <v>Ivanovich</v>
      </c>
    </row>
    <row r="27935">
      <c r="A27935" s="1" t="s">
        <v>27934</v>
      </c>
      <c r="B27935" s="2" t="str">
        <f>IFERROR(__xludf.DUMMYFUNCTION("GOOGLETRANSLATE(A27935, ""de"", ""en"")"),"dressing gown")</f>
        <v>dressing gown</v>
      </c>
    </row>
    <row r="27936">
      <c r="A27936" s="1" t="s">
        <v>27935</v>
      </c>
      <c r="B27936" s="2" t="str">
        <f>IFERROR(__xludf.DUMMYFUNCTION("GOOGLETRANSLATE(A27936, ""de"", ""en"")"),"steadman")</f>
        <v>steadman</v>
      </c>
    </row>
    <row r="27937">
      <c r="A27937" s="1" t="s">
        <v>27936</v>
      </c>
      <c r="B27937" s="2" t="str">
        <f>IFERROR(__xludf.DUMMYFUNCTION("GOOGLETRANSLATE(A27937, ""de"", ""en"")"),"fumes")</f>
        <v>fumes</v>
      </c>
    </row>
    <row r="27938">
      <c r="A27938" s="1" t="s">
        <v>27937</v>
      </c>
      <c r="B27938" s="2" t="str">
        <f>IFERROR(__xludf.DUMMYFUNCTION("GOOGLETRANSLATE(A27938, ""de"", ""en"")"),"mortal sin")</f>
        <v>mortal sin</v>
      </c>
    </row>
    <row r="27939">
      <c r="A27939" s="1" t="s">
        <v>27938</v>
      </c>
      <c r="B27939" s="2" t="str">
        <f>IFERROR(__xludf.DUMMYFUNCTION("GOOGLETRANSLATE(A27939, ""de"", ""en"")"),"Shanghai")</f>
        <v>Shanghai</v>
      </c>
    </row>
    <row r="27940">
      <c r="A27940" s="1" t="s">
        <v>27939</v>
      </c>
      <c r="B27940" s="2" t="str">
        <f>IFERROR(__xludf.DUMMYFUNCTION("GOOGLETRANSLATE(A27940, ""de"", ""en"")"),"school board")</f>
        <v>school board</v>
      </c>
    </row>
    <row r="27941">
      <c r="A27941" s="1" t="s">
        <v>27940</v>
      </c>
      <c r="B27941" s="2" t="str">
        <f>IFERROR(__xludf.DUMMYFUNCTION("GOOGLETRANSLATE(A27941, ""de"", ""en"")"),"spread")</f>
        <v>spread</v>
      </c>
    </row>
    <row r="27942">
      <c r="A27942" s="1" t="s">
        <v>27941</v>
      </c>
      <c r="B27942" s="2" t="str">
        <f>IFERROR(__xludf.DUMMYFUNCTION("GOOGLETRANSLATE(A27942, ""de"", ""en"")"),"smaller")</f>
        <v>smaller</v>
      </c>
    </row>
    <row r="27943">
      <c r="A27943" s="1" t="s">
        <v>27942</v>
      </c>
      <c r="B27943" s="2" t="str">
        <f>IFERROR(__xludf.DUMMYFUNCTION("GOOGLETRANSLATE(A27943, ""de"", ""en"")"),"nobles")</f>
        <v>nobles</v>
      </c>
    </row>
    <row r="27944">
      <c r="A27944" s="1" t="s">
        <v>27943</v>
      </c>
      <c r="B27944" s="2" t="str">
        <f>IFERROR(__xludf.DUMMYFUNCTION("GOOGLETRANSLATE(A27944, ""de"", ""en"")"),"garland")</f>
        <v>garland</v>
      </c>
    </row>
    <row r="27945">
      <c r="A27945" s="1" t="s">
        <v>27944</v>
      </c>
      <c r="B27945" s="2" t="str">
        <f>IFERROR(__xludf.DUMMYFUNCTION("GOOGLETRANSLATE(A27945, ""de"", ""en"")"),"bowls")</f>
        <v>bowls</v>
      </c>
    </row>
    <row r="27946">
      <c r="A27946" s="1" t="s">
        <v>27945</v>
      </c>
      <c r="B27946" s="2" t="str">
        <f>IFERROR(__xludf.DUMMYFUNCTION("GOOGLETRANSLATE(A27946, ""de"", ""en"")"),"betrayed")</f>
        <v>betrayed</v>
      </c>
    </row>
    <row r="27947">
      <c r="A27947" s="1" t="s">
        <v>27946</v>
      </c>
      <c r="B27947" s="2" t="str">
        <f>IFERROR(__xludf.DUMMYFUNCTION("GOOGLETRANSLATE(A27947, ""de"", ""en"")"),"purest")</f>
        <v>purest</v>
      </c>
    </row>
    <row r="27948">
      <c r="A27948" s="1" t="s">
        <v>27947</v>
      </c>
      <c r="B27948" s="2" t="str">
        <f>IFERROR(__xludf.DUMMYFUNCTION("GOOGLETRANSLATE(A27948, ""de"", ""en"")"),"friendly")</f>
        <v>friendly</v>
      </c>
    </row>
    <row r="27949">
      <c r="A27949" s="1" t="s">
        <v>27948</v>
      </c>
      <c r="B27949" s="2" t="str">
        <f>IFERROR(__xludf.DUMMYFUNCTION("GOOGLETRANSLATE(A27949, ""de"", ""en"")"),"yohko")</f>
        <v>yohko</v>
      </c>
    </row>
    <row r="27950">
      <c r="A27950" s="1" t="s">
        <v>27949</v>
      </c>
      <c r="B27950" s="2" t="str">
        <f>IFERROR(__xludf.DUMMYFUNCTION("GOOGLETRANSLATE(A27950, ""de"", ""en"")"),"hobie")</f>
        <v>hobie</v>
      </c>
    </row>
    <row r="27951">
      <c r="A27951" s="1" t="s">
        <v>27950</v>
      </c>
      <c r="B27951" s="2" t="str">
        <f>IFERROR(__xludf.DUMMYFUNCTION("GOOGLETRANSLATE(A27951, ""de"", ""en"")"),"entered")</f>
        <v>entered</v>
      </c>
    </row>
    <row r="27952">
      <c r="A27952" s="1" t="s">
        <v>27951</v>
      </c>
      <c r="B27952" s="2" t="str">
        <f>IFERROR(__xludf.DUMMYFUNCTION("GOOGLETRANSLATE(A27952, ""de"", ""en"")"),"teams")</f>
        <v>teams</v>
      </c>
    </row>
    <row r="27953">
      <c r="A27953" s="1" t="s">
        <v>27952</v>
      </c>
      <c r="B27953" s="2" t="str">
        <f>IFERROR(__xludf.DUMMYFUNCTION("GOOGLETRANSLATE(A27953, ""de"", ""en"")"),"more trained")</f>
        <v>more trained</v>
      </c>
    </row>
    <row r="27954">
      <c r="A27954" s="1" t="s">
        <v>27953</v>
      </c>
      <c r="B27954" s="2" t="str">
        <f>IFERROR(__xludf.DUMMYFUNCTION("GOOGLETRANSLATE(A27954, ""de"", ""en"")"),"enlivened")</f>
        <v>enlivened</v>
      </c>
    </row>
    <row r="27955">
      <c r="A27955" s="1" t="s">
        <v>27954</v>
      </c>
      <c r="B27955" s="2" t="str">
        <f>IFERROR(__xludf.DUMMYFUNCTION("GOOGLETRANSLATE(A27955, ""de"", ""en"")"),"French")</f>
        <v>French</v>
      </c>
    </row>
    <row r="27956">
      <c r="A27956" s="1" t="s">
        <v>27955</v>
      </c>
      <c r="B27956" s="2" t="str">
        <f>IFERROR(__xludf.DUMMYFUNCTION("GOOGLETRANSLATE(A27956, ""de"", ""en"")"),"enslave")</f>
        <v>enslave</v>
      </c>
    </row>
    <row r="27957">
      <c r="A27957" s="1" t="s">
        <v>27956</v>
      </c>
      <c r="B27957" s="2" t="str">
        <f>IFERROR(__xludf.DUMMYFUNCTION("GOOGLETRANSLATE(A27957, ""de"", ""en"")"),"military court")</f>
        <v>military court</v>
      </c>
    </row>
    <row r="27958">
      <c r="A27958" s="1" t="s">
        <v>27957</v>
      </c>
      <c r="B27958" s="2" t="str">
        <f>IFERROR(__xludf.DUMMYFUNCTION("GOOGLETRANSLATE(A27958, ""de"", ""en"")"),"crucify")</f>
        <v>crucify</v>
      </c>
    </row>
    <row r="27959">
      <c r="A27959" s="1" t="s">
        <v>27958</v>
      </c>
      <c r="B27959" s="2" t="str">
        <f>IFERROR(__xludf.DUMMYFUNCTION("GOOGLETRANSLATE(A27959, ""de"", ""en"")"),"monet")</f>
        <v>monet</v>
      </c>
    </row>
    <row r="27960">
      <c r="A27960" s="1" t="s">
        <v>27959</v>
      </c>
      <c r="B27960" s="2" t="str">
        <f>IFERROR(__xludf.DUMMYFUNCTION("GOOGLETRANSLATE(A27960, ""de"", ""en"")"),"relevance")</f>
        <v>relevance</v>
      </c>
    </row>
    <row r="27961">
      <c r="A27961" s="1" t="s">
        <v>27960</v>
      </c>
      <c r="B27961" s="2" t="str">
        <f>IFERROR(__xludf.DUMMYFUNCTION("GOOGLETRANSLATE(A27961, ""de"", ""en"")"),"mate")</f>
        <v>mate</v>
      </c>
    </row>
    <row r="27962">
      <c r="A27962" s="1" t="s">
        <v>27961</v>
      </c>
      <c r="B27962" s="2" t="str">
        <f>IFERROR(__xludf.DUMMYFUNCTION("GOOGLETRANSLATE(A27962, ""de"", ""en"")"),"white")</f>
        <v>white</v>
      </c>
    </row>
    <row r="27963">
      <c r="A27963" s="1" t="s">
        <v>27962</v>
      </c>
      <c r="B27963" s="2" t="str">
        <f>IFERROR(__xludf.DUMMYFUNCTION("GOOGLETRANSLATE(A27963, ""de"", ""en"")"),"gondola")</f>
        <v>gondola</v>
      </c>
    </row>
    <row r="27964">
      <c r="A27964" s="1" t="s">
        <v>27963</v>
      </c>
      <c r="B27964" s="2" t="str">
        <f>IFERROR(__xludf.DUMMYFUNCTION("GOOGLETRANSLATE(A27964, ""de"", ""en"")"),"ill")</f>
        <v>ill</v>
      </c>
    </row>
    <row r="27965">
      <c r="A27965" s="1" t="s">
        <v>27964</v>
      </c>
      <c r="B27965" s="2" t="str">
        <f>IFERROR(__xludf.DUMMYFUNCTION("GOOGLETRANSLATE(A27965, ""de"", ""en"")"),"enumerate")</f>
        <v>enumerate</v>
      </c>
    </row>
    <row r="27966">
      <c r="A27966" s="1" t="s">
        <v>27965</v>
      </c>
      <c r="B27966" s="2" t="str">
        <f>IFERROR(__xludf.DUMMYFUNCTION("GOOGLETRANSLATE(A27966, ""de"", ""en"")"),"miscellaneous")</f>
        <v>miscellaneous</v>
      </c>
    </row>
    <row r="27967">
      <c r="A27967" s="1" t="s">
        <v>27966</v>
      </c>
      <c r="B27967" s="2" t="str">
        <f>IFERROR(__xludf.DUMMYFUNCTION("GOOGLETRANSLATE(A27967, ""de"", ""en"")"),"space")</f>
        <v>space</v>
      </c>
    </row>
    <row r="27968">
      <c r="A27968" s="1" t="s">
        <v>27967</v>
      </c>
      <c r="B27968" s="2" t="str">
        <f>IFERROR(__xludf.DUMMYFUNCTION("GOOGLETRANSLATE(A27968, ""de"", ""en"")"),"monster")</f>
        <v>monster</v>
      </c>
    </row>
    <row r="27969">
      <c r="A27969" s="1" t="s">
        <v>27968</v>
      </c>
      <c r="B27969" s="2" t="str">
        <f>IFERROR(__xludf.DUMMYFUNCTION("GOOGLETRANSLATE(A27969, ""de"", ""en"")"),"lene")</f>
        <v>lene</v>
      </c>
    </row>
    <row r="27970">
      <c r="A27970" s="1" t="s">
        <v>27969</v>
      </c>
      <c r="B27970" s="2" t="str">
        <f>IFERROR(__xludf.DUMMYFUNCTION("GOOGLETRANSLATE(A27970, ""de"", ""en"")"),"more unpleasant")</f>
        <v>more unpleasant</v>
      </c>
    </row>
    <row r="27971">
      <c r="A27971" s="1" t="s">
        <v>27970</v>
      </c>
      <c r="B27971" s="2" t="str">
        <f>IFERROR(__xludf.DUMMYFUNCTION("GOOGLETRANSLATE(A27971, ""de"", ""en"")"),"uschi")</f>
        <v>uschi</v>
      </c>
    </row>
    <row r="27972">
      <c r="A27972" s="1" t="s">
        <v>27971</v>
      </c>
      <c r="B27972" s="2" t="str">
        <f>IFERROR(__xludf.DUMMYFUNCTION("GOOGLETRANSLATE(A27972, ""de"", ""en"")"),"shine")</f>
        <v>shine</v>
      </c>
    </row>
    <row r="27973">
      <c r="A27973" s="1" t="s">
        <v>27972</v>
      </c>
      <c r="B27973" s="2" t="str">
        <f>IFERROR(__xludf.DUMMYFUNCTION("GOOGLETRANSLATE(A27973, ""de"", ""en"")"),"expresses")</f>
        <v>expresses</v>
      </c>
    </row>
    <row r="27974">
      <c r="A27974" s="1" t="s">
        <v>27973</v>
      </c>
      <c r="B27974" s="2" t="str">
        <f>IFERROR(__xludf.DUMMYFUNCTION("GOOGLETRANSLATE(A27974, ""de"", ""en"")"),"moulin")</f>
        <v>moulin</v>
      </c>
    </row>
    <row r="27975">
      <c r="A27975" s="1" t="s">
        <v>27974</v>
      </c>
      <c r="B27975" s="2" t="str">
        <f>IFERROR(__xludf.DUMMYFUNCTION("GOOGLETRANSLATE(A27975, ""de"", ""en"")"),"roleplay")</f>
        <v>roleplay</v>
      </c>
    </row>
    <row r="27976">
      <c r="A27976" s="1" t="s">
        <v>27975</v>
      </c>
      <c r="B27976" s="2" t="str">
        <f>IFERROR(__xludf.DUMMYFUNCTION("GOOGLETRANSLATE(A27976, ""de"", ""en"")"),"Nele")</f>
        <v>Nele</v>
      </c>
    </row>
    <row r="27977">
      <c r="A27977" s="1" t="s">
        <v>27976</v>
      </c>
      <c r="B27977" s="2" t="str">
        <f>IFERROR(__xludf.DUMMYFUNCTION("GOOGLETRANSLATE(A27977, ""de"", ""en"")"),"paddle")</f>
        <v>paddle</v>
      </c>
    </row>
    <row r="27978">
      <c r="A27978" s="1" t="s">
        <v>27977</v>
      </c>
      <c r="B27978" s="2" t="str">
        <f>IFERROR(__xludf.DUMMYFUNCTION("GOOGLETRANSLATE(A27978, ""de"", ""en"")"),"dojo")</f>
        <v>dojo</v>
      </c>
    </row>
    <row r="27979">
      <c r="A27979" s="1" t="s">
        <v>27978</v>
      </c>
      <c r="B27979" s="2" t="str">
        <f>IFERROR(__xludf.DUMMYFUNCTION("GOOGLETRANSLATE(A27979, ""de"", ""en"")"),"Claudia")</f>
        <v>Claudia</v>
      </c>
    </row>
    <row r="27980">
      <c r="A27980" s="1" t="s">
        <v>27979</v>
      </c>
      <c r="B27980" s="2" t="str">
        <f>IFERROR(__xludf.DUMMYFUNCTION("GOOGLETRANSLATE(A27980, ""de"", ""en"")"),"swanson")</f>
        <v>swanson</v>
      </c>
    </row>
    <row r="27981">
      <c r="A27981" s="1" t="s">
        <v>27980</v>
      </c>
      <c r="B27981" s="2" t="str">
        <f>IFERROR(__xludf.DUMMYFUNCTION("GOOGLETRANSLATE(A27981, ""de"", ""en"")"),"Hallie")</f>
        <v>Hallie</v>
      </c>
    </row>
    <row r="27982">
      <c r="A27982" s="1" t="s">
        <v>27981</v>
      </c>
      <c r="B27982" s="2" t="str">
        <f>IFERROR(__xludf.DUMMYFUNCTION("GOOGLETRANSLATE(A27982, ""de"", ""en"")"),"disagreements")</f>
        <v>disagreements</v>
      </c>
    </row>
    <row r="27983">
      <c r="A27983" s="1" t="s">
        <v>27982</v>
      </c>
      <c r="B27983" s="2" t="str">
        <f>IFERROR(__xludf.DUMMYFUNCTION("GOOGLETRANSLATE(A27983, ""de"", ""en"")"),"meta-humans")</f>
        <v>meta-humans</v>
      </c>
    </row>
    <row r="27984">
      <c r="A27984" s="1" t="s">
        <v>27983</v>
      </c>
      <c r="B27984" s="2" t="str">
        <f>IFERROR(__xludf.DUMMYFUNCTION("GOOGLETRANSLATE(A27984, ""de"", ""en"")"),"determination")</f>
        <v>determination</v>
      </c>
    </row>
    <row r="27985">
      <c r="A27985" s="1" t="s">
        <v>27984</v>
      </c>
      <c r="B27985" s="2" t="str">
        <f>IFERROR(__xludf.DUMMYFUNCTION("GOOGLETRANSLATE(A27985, ""de"", ""en"")"),"pathetic")</f>
        <v>pathetic</v>
      </c>
    </row>
    <row r="27986">
      <c r="A27986" s="1" t="s">
        <v>27985</v>
      </c>
      <c r="B27986" s="2" t="str">
        <f>IFERROR(__xludf.DUMMYFUNCTION("GOOGLETRANSLATE(A27986, ""de"", ""en"")"),"resurrection")</f>
        <v>resurrection</v>
      </c>
    </row>
    <row r="27987">
      <c r="A27987" s="1" t="s">
        <v>27986</v>
      </c>
      <c r="B27987" s="2" t="str">
        <f>IFERROR(__xludf.DUMMYFUNCTION("GOOGLETRANSLATE(A27987, ""de"", ""en"")"),"cufflinks")</f>
        <v>cufflinks</v>
      </c>
    </row>
    <row r="27988">
      <c r="A27988" s="1" t="s">
        <v>27987</v>
      </c>
      <c r="B27988" s="2" t="str">
        <f>IFERROR(__xludf.DUMMYFUNCTION("GOOGLETRANSLATE(A27988, ""de"", ""en"")"),"to throw out")</f>
        <v>to throw out</v>
      </c>
    </row>
    <row r="27989">
      <c r="A27989" s="1" t="s">
        <v>27988</v>
      </c>
      <c r="B27989" s="2" t="str">
        <f>IFERROR(__xludf.DUMMYFUNCTION("GOOGLETRANSLATE(A27989, ""de"", ""en"")"),"stimulating")</f>
        <v>stimulating</v>
      </c>
    </row>
    <row r="27990">
      <c r="A27990" s="1" t="s">
        <v>27989</v>
      </c>
      <c r="B27990" s="2" t="str">
        <f>IFERROR(__xludf.DUMMYFUNCTION("GOOGLETRANSLATE(A27990, ""de"", ""en"")"),"cloves")</f>
        <v>cloves</v>
      </c>
    </row>
    <row r="27991">
      <c r="A27991" s="1" t="s">
        <v>27990</v>
      </c>
      <c r="B27991" s="2" t="str">
        <f>IFERROR(__xludf.DUMMYFUNCTION("GOOGLETRANSLATE(A27991, ""de"", ""en"")"),"akbar")</f>
        <v>akbar</v>
      </c>
    </row>
    <row r="27992">
      <c r="A27992" s="1" t="s">
        <v>27991</v>
      </c>
      <c r="B27992" s="2" t="str">
        <f>IFERROR(__xludf.DUMMYFUNCTION("GOOGLETRANSLATE(A27992, ""de"", ""en"")"),"rheumatism")</f>
        <v>rheumatism</v>
      </c>
    </row>
    <row r="27993">
      <c r="A27993" s="1" t="s">
        <v>27992</v>
      </c>
      <c r="B27993" s="2" t="str">
        <f>IFERROR(__xludf.DUMMYFUNCTION("GOOGLETRANSLATE(A27993, ""de"", ""en"")"),"Heathcliff")</f>
        <v>Heathcliff</v>
      </c>
    </row>
    <row r="27994">
      <c r="A27994" s="1" t="s">
        <v>27993</v>
      </c>
      <c r="B27994" s="2" t="str">
        <f>IFERROR(__xludf.DUMMYFUNCTION("GOOGLETRANSLATE(A27994, ""de"", ""en"")"),"thwarted")</f>
        <v>thwarted</v>
      </c>
    </row>
    <row r="27995">
      <c r="A27995" s="1" t="s">
        <v>27994</v>
      </c>
      <c r="B27995" s="2" t="str">
        <f>IFERROR(__xludf.DUMMYFUNCTION("GOOGLETRANSLATE(A27995, ""de"", ""en"")"),"to get along")</f>
        <v>to get along</v>
      </c>
    </row>
    <row r="27996">
      <c r="A27996" s="1" t="s">
        <v>27995</v>
      </c>
      <c r="B27996" s="2" t="str">
        <f>IFERROR(__xludf.DUMMYFUNCTION("GOOGLETRANSLATE(A27996, ""de"", ""en"")"),"outrageous")</f>
        <v>outrageous</v>
      </c>
    </row>
    <row r="27997">
      <c r="A27997" s="1" t="s">
        <v>27996</v>
      </c>
      <c r="B27997" s="2" t="str">
        <f>IFERROR(__xludf.DUMMYFUNCTION("GOOGLETRANSLATE(A27997, ""de"", ""en"")"),"interaction")</f>
        <v>interaction</v>
      </c>
    </row>
    <row r="27998">
      <c r="A27998" s="1" t="s">
        <v>27997</v>
      </c>
      <c r="B27998" s="2" t="str">
        <f>IFERROR(__xludf.DUMMYFUNCTION("GOOGLETRANSLATE(A27998, ""de"", ""en"")"),"miller")</f>
        <v>miller</v>
      </c>
    </row>
    <row r="27999">
      <c r="A27999" s="1" t="s">
        <v>27998</v>
      </c>
      <c r="B27999" s="2" t="str">
        <f>IFERROR(__xludf.DUMMYFUNCTION("GOOGLETRANSLATE(A27999, ""de"", ""en"")"),"sunday")</f>
        <v>sunday</v>
      </c>
    </row>
    <row r="28000">
      <c r="A28000" s="1" t="s">
        <v>27999</v>
      </c>
      <c r="B28000" s="2" t="str">
        <f>IFERROR(__xludf.DUMMYFUNCTION("GOOGLETRANSLATE(A28000, ""de"", ""en"")"),"liberating")</f>
        <v>liberating</v>
      </c>
    </row>
    <row r="28001">
      <c r="A28001" s="1" t="s">
        <v>28000</v>
      </c>
      <c r="B28001" s="2" t="str">
        <f>IFERROR(__xludf.DUMMYFUNCTION("GOOGLETRANSLATE(A28001, ""de"", ""en"")"),"filled up")</f>
        <v>filled up</v>
      </c>
    </row>
    <row r="28002">
      <c r="A28002" s="1" t="s">
        <v>28001</v>
      </c>
      <c r="B28002" s="2" t="str">
        <f>IFERROR(__xludf.DUMMYFUNCTION("GOOGLETRANSLATE(A28002, ""de"", ""en"")"),"bubble")</f>
        <v>bubble</v>
      </c>
    </row>
    <row r="28003">
      <c r="A28003" s="1" t="s">
        <v>28002</v>
      </c>
      <c r="B28003" s="2" t="str">
        <f>IFERROR(__xludf.DUMMYFUNCTION("GOOGLETRANSLATE(A28003, ""de"", ""en"")"),"inner")</f>
        <v>inner</v>
      </c>
    </row>
    <row r="28004">
      <c r="A28004" s="1" t="s">
        <v>28003</v>
      </c>
      <c r="B28004" s="2" t="str">
        <f>IFERROR(__xludf.DUMMYFUNCTION("GOOGLETRANSLATE(A28004, ""de"", ""en"")"),"Ithaca")</f>
        <v>Ithaca</v>
      </c>
    </row>
    <row r="28005">
      <c r="A28005" s="1" t="s">
        <v>28004</v>
      </c>
      <c r="B28005" s="2" t="str">
        <f>IFERROR(__xludf.DUMMYFUNCTION("GOOGLETRANSLATE(A28005, ""de"", ""en"")"),"bae")</f>
        <v>bae</v>
      </c>
    </row>
    <row r="28006">
      <c r="A28006" s="1" t="s">
        <v>28005</v>
      </c>
      <c r="B28006" s="2" t="str">
        <f>IFERROR(__xludf.DUMMYFUNCTION("GOOGLETRANSLATE(A28006, ""de"", ""en"")"),"spoil")</f>
        <v>spoil</v>
      </c>
    </row>
    <row r="28007">
      <c r="A28007" s="1" t="s">
        <v>28006</v>
      </c>
      <c r="B28007" s="2" t="str">
        <f>IFERROR(__xludf.DUMMYFUNCTION("GOOGLETRANSLATE(A28007, ""de"", ""en"")"),"aaaah")</f>
        <v>aaaah</v>
      </c>
    </row>
    <row r="28008">
      <c r="A28008" s="1" t="s">
        <v>28007</v>
      </c>
      <c r="B28008" s="2" t="str">
        <f>IFERROR(__xludf.DUMMYFUNCTION("GOOGLETRANSLATE(A28008, ""de"", ""en"")"),"e.t.")</f>
        <v>e.t.</v>
      </c>
    </row>
    <row r="28009">
      <c r="A28009" s="1" t="s">
        <v>28008</v>
      </c>
      <c r="B28009" s="2" t="str">
        <f>IFERROR(__xludf.DUMMYFUNCTION("GOOGLETRANSLATE(A28009, ""de"", ""en"")"),"spool")</f>
        <v>spool</v>
      </c>
    </row>
    <row r="28010">
      <c r="A28010" s="1" t="s">
        <v>28009</v>
      </c>
      <c r="B28010" s="2" t="str">
        <f>IFERROR(__xludf.DUMMYFUNCTION("GOOGLETRANSLATE(A28010, ""de"", ""en"")"),"break room")</f>
        <v>break room</v>
      </c>
    </row>
    <row r="28011">
      <c r="A28011" s="1" t="s">
        <v>28010</v>
      </c>
      <c r="B28011" s="2" t="str">
        <f>IFERROR(__xludf.DUMMYFUNCTION("GOOGLETRANSLATE(A28011, ""de"", ""en"")"),"leaned")</f>
        <v>leaned</v>
      </c>
    </row>
    <row r="28012">
      <c r="A28012" s="1" t="s">
        <v>28011</v>
      </c>
      <c r="B28012" s="2" t="str">
        <f>IFERROR(__xludf.DUMMYFUNCTION("GOOGLETRANSLATE(A28012, ""de"", ""en"")"),"setup1503")</f>
        <v>setup1503</v>
      </c>
    </row>
    <row r="28013">
      <c r="A28013" s="1" t="s">
        <v>28012</v>
      </c>
      <c r="B28013" s="2" t="str">
        <f>IFERROR(__xludf.DUMMYFUNCTION("GOOGLETRANSLATE(A28013, ""de"", ""en"")"),"paramount")</f>
        <v>paramount</v>
      </c>
    </row>
    <row r="28014">
      <c r="A28014" s="1" t="s">
        <v>28013</v>
      </c>
      <c r="B28014" s="2" t="str">
        <f>IFERROR(__xludf.DUMMYFUNCTION("GOOGLETRANSLATE(A28014, ""de"", ""en"")"),"consequently")</f>
        <v>consequently</v>
      </c>
    </row>
    <row r="28015">
      <c r="A28015" s="1" t="s">
        <v>28014</v>
      </c>
      <c r="B28015" s="2" t="str">
        <f>IFERROR(__xludf.DUMMYFUNCTION("GOOGLETRANSLATE(A28015, ""de"", ""en"")"),"zito")</f>
        <v>zito</v>
      </c>
    </row>
    <row r="28016">
      <c r="A28016" s="1" t="s">
        <v>28015</v>
      </c>
      <c r="B28016" s="2" t="str">
        <f>IFERROR(__xludf.DUMMYFUNCTION("GOOGLETRANSLATE(A28016, ""de"", ""en"")"),"coffee break")</f>
        <v>coffee break</v>
      </c>
    </row>
    <row r="28017">
      <c r="A28017" s="1" t="s">
        <v>28016</v>
      </c>
      <c r="B28017" s="2" t="str">
        <f>IFERROR(__xludf.DUMMYFUNCTION("GOOGLETRANSLATE(A28017, ""de"", ""en"")"),"comfort")</f>
        <v>comfort</v>
      </c>
    </row>
    <row r="28018">
      <c r="A28018" s="1" t="s">
        <v>28017</v>
      </c>
      <c r="B28018" s="2" t="str">
        <f>IFERROR(__xludf.DUMMYFUNCTION("GOOGLETRANSLATE(A28018, ""de"", ""en"")"),"anus")</f>
        <v>anus</v>
      </c>
    </row>
    <row r="28019">
      <c r="A28019" s="1" t="s">
        <v>28018</v>
      </c>
      <c r="B28019" s="2" t="str">
        <f>IFERROR(__xludf.DUMMYFUNCTION("GOOGLETRANSLATE(A28019, ""de"", ""en"")"),"passion")</f>
        <v>passion</v>
      </c>
    </row>
    <row r="28020">
      <c r="A28020" s="1" t="s">
        <v>28019</v>
      </c>
      <c r="B28020" s="2" t="str">
        <f>IFERROR(__xludf.DUMMYFUNCTION("GOOGLETRANSLATE(A28020, ""de"", ""en"")"),"to entrust")</f>
        <v>to entrust</v>
      </c>
    </row>
    <row r="28021">
      <c r="A28021" s="1" t="s">
        <v>28020</v>
      </c>
      <c r="B28021" s="2" t="str">
        <f>IFERROR(__xludf.DUMMYFUNCTION("GOOGLETRANSLATE(A28021, ""de"", ""en"")"),"singing")</f>
        <v>singing</v>
      </c>
    </row>
    <row r="28022">
      <c r="A28022" s="1" t="s">
        <v>28021</v>
      </c>
      <c r="B28022" s="2" t="str">
        <f>IFERROR(__xludf.DUMMYFUNCTION("GOOGLETRANSLATE(A28022, ""de"", ""en"")"),"crystal ball")</f>
        <v>crystal ball</v>
      </c>
    </row>
    <row r="28023">
      <c r="A28023" s="1" t="s">
        <v>28022</v>
      </c>
      <c r="B28023" s="2" t="str">
        <f>IFERROR(__xludf.DUMMYFUNCTION("GOOGLETRANSLATE(A28023, ""de"", ""en"")"),"dada")</f>
        <v>dada</v>
      </c>
    </row>
    <row r="28024">
      <c r="A28024" s="1" t="s">
        <v>28023</v>
      </c>
      <c r="B28024" s="2" t="str">
        <f>IFERROR(__xludf.DUMMYFUNCTION("GOOGLETRANSLATE(A28024, ""de"", ""en"")"),"bearing")</f>
        <v>bearing</v>
      </c>
    </row>
    <row r="28025">
      <c r="A28025" s="1" t="s">
        <v>28024</v>
      </c>
      <c r="B28025" s="2" t="str">
        <f>IFERROR(__xludf.DUMMYFUNCTION("GOOGLETRANSLATE(A28025, ""de"", ""en"")"),"ride out")</f>
        <v>ride out</v>
      </c>
    </row>
    <row r="28026">
      <c r="A28026" s="1" t="s">
        <v>28025</v>
      </c>
      <c r="B28026" s="2" t="str">
        <f>IFERROR(__xludf.DUMMYFUNCTION("GOOGLETRANSLATE(A28026, ""de"", ""en"")"),"judge")</f>
        <v>judge</v>
      </c>
    </row>
    <row r="28027">
      <c r="A28027" s="1" t="s">
        <v>28026</v>
      </c>
      <c r="B28027" s="2" t="str">
        <f>IFERROR(__xludf.DUMMYFUNCTION("GOOGLETRANSLATE(A28027, ""de"", ""en"")"),"Russia")</f>
        <v>Russia</v>
      </c>
    </row>
    <row r="28028">
      <c r="A28028" s="1" t="s">
        <v>28027</v>
      </c>
      <c r="B28028" s="2" t="str">
        <f>IFERROR(__xludf.DUMMYFUNCTION("GOOGLETRANSLATE(A28028, ""de"", ""en"")"),"cleanliness")</f>
        <v>cleanliness</v>
      </c>
    </row>
    <row r="28029">
      <c r="A28029" s="1" t="s">
        <v>28028</v>
      </c>
      <c r="B28029" s="2" t="str">
        <f>IFERROR(__xludf.DUMMYFUNCTION("GOOGLETRANSLATE(A28029, ""de"", ""en"")"),"designated")</f>
        <v>designated</v>
      </c>
    </row>
    <row r="28030">
      <c r="A28030" s="1" t="s">
        <v>28029</v>
      </c>
      <c r="B28030" s="2" t="str">
        <f>IFERROR(__xludf.DUMMYFUNCTION("GOOGLETRANSLATE(A28030, ""de"", ""en"")"),"sleepless")</f>
        <v>sleepless</v>
      </c>
    </row>
    <row r="28031">
      <c r="A28031" s="1" t="s">
        <v>28030</v>
      </c>
      <c r="B28031" s="2" t="str">
        <f>IFERROR(__xludf.DUMMYFUNCTION("GOOGLETRANSLATE(A28031, ""de"", ""en"")"),"stabbed")</f>
        <v>stabbed</v>
      </c>
    </row>
    <row r="28032">
      <c r="A28032" s="1" t="s">
        <v>28031</v>
      </c>
      <c r="B28032" s="2" t="str">
        <f>IFERROR(__xludf.DUMMYFUNCTION("GOOGLETRANSLATE(A28032, ""de"", ""en"")"),"immediate")</f>
        <v>immediate</v>
      </c>
    </row>
    <row r="28033">
      <c r="A28033" s="1" t="s">
        <v>28032</v>
      </c>
      <c r="B28033" s="2" t="str">
        <f>IFERROR(__xludf.DUMMYFUNCTION("GOOGLETRANSLATE(A28033, ""de"", ""en"")"),"responsible")</f>
        <v>responsible</v>
      </c>
    </row>
    <row r="28034">
      <c r="A28034" s="1" t="s">
        <v>28033</v>
      </c>
      <c r="B28034" s="2" t="str">
        <f>IFERROR(__xludf.DUMMYFUNCTION("GOOGLETRANSLATE(A28034, ""de"", ""en"")"),"tia")</f>
        <v>tia</v>
      </c>
    </row>
    <row r="28035">
      <c r="A28035" s="1" t="s">
        <v>28034</v>
      </c>
      <c r="B28035" s="2" t="str">
        <f>IFERROR(__xludf.DUMMYFUNCTION("GOOGLETRANSLATE(A28035, ""de"", ""en"")"),"theatre")</f>
        <v>theatre</v>
      </c>
    </row>
    <row r="28036">
      <c r="A28036" s="1" t="s">
        <v>28035</v>
      </c>
      <c r="B28036" s="2" t="str">
        <f>IFERROR(__xludf.DUMMYFUNCTION("GOOGLETRANSLATE(A28036, ""de"", ""en"")"),"evaporated")</f>
        <v>evaporated</v>
      </c>
    </row>
    <row r="28037">
      <c r="A28037" s="1" t="s">
        <v>28036</v>
      </c>
      <c r="B28037" s="2" t="str">
        <f>IFERROR(__xludf.DUMMYFUNCTION("GOOGLETRANSLATE(A28037, ""de"", ""en"")"),"feed")</f>
        <v>feed</v>
      </c>
    </row>
    <row r="28038">
      <c r="A28038" s="1" t="s">
        <v>28037</v>
      </c>
      <c r="B28038" s="2" t="str">
        <f>IFERROR(__xludf.DUMMYFUNCTION("GOOGLETRANSLATE(A28038, ""de"", ""en"")"),"distributor")</f>
        <v>distributor</v>
      </c>
    </row>
    <row r="28039">
      <c r="A28039" s="1" t="s">
        <v>28038</v>
      </c>
      <c r="B28039" s="2" t="str">
        <f>IFERROR(__xludf.DUMMYFUNCTION("GOOGLETRANSLATE(A28039, ""de"", ""en"")"),"motel room")</f>
        <v>motel room</v>
      </c>
    </row>
    <row r="28040">
      <c r="A28040" s="1" t="s">
        <v>28039</v>
      </c>
      <c r="B28040" s="2" t="str">
        <f>IFERROR(__xludf.DUMMYFUNCTION("GOOGLETRANSLATE(A28040, ""de"", ""en"")"),"for our sake")</f>
        <v>for our sake</v>
      </c>
    </row>
    <row r="28041">
      <c r="A28041" s="1" t="s">
        <v>28040</v>
      </c>
      <c r="B28041" s="2" t="str">
        <f>IFERROR(__xludf.DUMMYFUNCTION("GOOGLETRANSLATE(A28041, ""de"", ""en"")"),"us dollars")</f>
        <v>us dollars</v>
      </c>
    </row>
    <row r="28042">
      <c r="A28042" s="1" t="s">
        <v>28041</v>
      </c>
      <c r="B28042" s="2" t="str">
        <f>IFERROR(__xludf.DUMMYFUNCTION("GOOGLETRANSLATE(A28042, ""de"", ""en"")"),"look")</f>
        <v>look</v>
      </c>
    </row>
    <row r="28043">
      <c r="A28043" s="1" t="s">
        <v>28042</v>
      </c>
      <c r="B28043" s="2" t="str">
        <f>IFERROR(__xludf.DUMMYFUNCTION("GOOGLETRANSLATE(A28043, ""de"", ""en"")"),"wormholes")</f>
        <v>wormholes</v>
      </c>
    </row>
    <row r="28044">
      <c r="A28044" s="1" t="s">
        <v>28043</v>
      </c>
      <c r="B28044" s="2" t="str">
        <f>IFERROR(__xludf.DUMMYFUNCTION("GOOGLETRANSLATE(A28044, ""de"", ""en"")"),"tree trunk")</f>
        <v>tree trunk</v>
      </c>
    </row>
    <row r="28045">
      <c r="A28045" s="1" t="s">
        <v>28044</v>
      </c>
      <c r="B28045" s="2" t="str">
        <f>IFERROR(__xludf.DUMMYFUNCTION("GOOGLETRANSLATE(A28045, ""de"", ""en"")"),"authority")</f>
        <v>authority</v>
      </c>
    </row>
    <row r="28046">
      <c r="A28046" s="1" t="s">
        <v>28045</v>
      </c>
      <c r="B28046" s="2" t="str">
        <f>IFERROR(__xludf.DUMMYFUNCTION("GOOGLETRANSLATE(A28046, ""de"", ""en"")"),"rummage through")</f>
        <v>rummage through</v>
      </c>
    </row>
    <row r="28047">
      <c r="A28047" s="1" t="s">
        <v>28046</v>
      </c>
      <c r="B28047" s="2" t="str">
        <f>IFERROR(__xludf.DUMMYFUNCTION("GOOGLETRANSLATE(A28047, ""de"", ""en"")"),"angry")</f>
        <v>angry</v>
      </c>
    </row>
    <row r="28048">
      <c r="A28048" s="1" t="s">
        <v>28047</v>
      </c>
      <c r="B28048" s="2" t="str">
        <f>IFERROR(__xludf.DUMMYFUNCTION("GOOGLETRANSLATE(A28048, ""de"", ""en"")"),"more mysterious")</f>
        <v>more mysterious</v>
      </c>
    </row>
    <row r="28049">
      <c r="A28049" s="1" t="s">
        <v>28048</v>
      </c>
      <c r="B28049" s="2" t="str">
        <f>IFERROR(__xludf.DUMMYFUNCTION("GOOGLETRANSLATE(A28049, ""de"", ""en"")"),"urban")</f>
        <v>urban</v>
      </c>
    </row>
    <row r="28050">
      <c r="A28050" s="1" t="s">
        <v>28049</v>
      </c>
      <c r="B28050" s="2" t="str">
        <f>IFERROR(__xludf.DUMMYFUNCTION("GOOGLETRANSLATE(A28050, ""de"", ""en"")"),"interstate")</f>
        <v>interstate</v>
      </c>
    </row>
    <row r="28051">
      <c r="A28051" s="1" t="s">
        <v>28050</v>
      </c>
      <c r="B28051" s="2" t="str">
        <f>IFERROR(__xludf.DUMMYFUNCTION("GOOGLETRANSLATE(A28051, ""de"", ""en"")"),"stepped in")</f>
        <v>stepped in</v>
      </c>
    </row>
    <row r="28052">
      <c r="A28052" s="1" t="s">
        <v>28051</v>
      </c>
      <c r="B28052" s="2" t="str">
        <f>IFERROR(__xludf.DUMMYFUNCTION("GOOGLETRANSLATE(A28052, ""de"", ""en"")"),"outlaws")</f>
        <v>outlaws</v>
      </c>
    </row>
    <row r="28053">
      <c r="A28053" s="1" t="s">
        <v>28052</v>
      </c>
      <c r="B28053" s="2" t="str">
        <f>IFERROR(__xludf.DUMMYFUNCTION("GOOGLETRANSLATE(A28053, ""de"", ""en"")"),"laxative")</f>
        <v>laxative</v>
      </c>
    </row>
    <row r="28054">
      <c r="A28054" s="1" t="s">
        <v>28053</v>
      </c>
      <c r="B28054" s="2" t="str">
        <f>IFERROR(__xludf.DUMMYFUNCTION("GOOGLETRANSLATE(A28054, ""de"", ""en"")"),"malicious")</f>
        <v>malicious</v>
      </c>
    </row>
    <row r="28055">
      <c r="A28055" s="1" t="s">
        <v>28054</v>
      </c>
      <c r="B28055" s="2" t="str">
        <f>IFERROR(__xludf.DUMMYFUNCTION("GOOGLETRANSLATE(A28055, ""de"", ""en"")"),"possum")</f>
        <v>possum</v>
      </c>
    </row>
    <row r="28056">
      <c r="A28056" s="1" t="s">
        <v>28055</v>
      </c>
      <c r="B28056" s="2" t="str">
        <f>IFERROR(__xludf.DUMMYFUNCTION("GOOGLETRANSLATE(A28056, ""de"", ""en"")"),"recovery")</f>
        <v>recovery</v>
      </c>
    </row>
    <row r="28057">
      <c r="A28057" s="1" t="s">
        <v>28056</v>
      </c>
      <c r="B28057" s="2" t="str">
        <f>IFERROR(__xludf.DUMMYFUNCTION("GOOGLETRANSLATE(A28057, ""de"", ""en"")"),"gant")</f>
        <v>gant</v>
      </c>
    </row>
    <row r="28058">
      <c r="A28058" s="1" t="s">
        <v>28057</v>
      </c>
      <c r="B28058" s="2" t="str">
        <f>IFERROR(__xludf.DUMMYFUNCTION("GOOGLETRANSLATE(A28058, ""de"", ""en"")"),"gutted")</f>
        <v>gutted</v>
      </c>
    </row>
    <row r="28059">
      <c r="A28059" s="1" t="s">
        <v>28058</v>
      </c>
      <c r="B28059" s="2" t="str">
        <f>IFERROR(__xludf.DUMMYFUNCTION("GOOGLETRANSLATE(A28059, ""de"", ""en"")"),"family man")</f>
        <v>family man</v>
      </c>
    </row>
    <row r="28060">
      <c r="A28060" s="1" t="s">
        <v>28059</v>
      </c>
      <c r="B28060" s="2" t="str">
        <f>IFERROR(__xludf.DUMMYFUNCTION("GOOGLETRANSLATE(A28060, ""de"", ""en"")"),"rose")</f>
        <v>rose</v>
      </c>
    </row>
    <row r="28061">
      <c r="A28061" s="1" t="s">
        <v>28060</v>
      </c>
      <c r="B28061" s="2" t="str">
        <f>IFERROR(__xludf.DUMMYFUNCTION("GOOGLETRANSLATE(A28061, ""de"", ""en"")"),"english")</f>
        <v>english</v>
      </c>
    </row>
    <row r="28062">
      <c r="A28062" s="1" t="s">
        <v>28061</v>
      </c>
      <c r="B28062" s="2" t="str">
        <f>IFERROR(__xludf.DUMMYFUNCTION("GOOGLETRANSLATE(A28062, ""de"", ""en"")"),"excessive")</f>
        <v>excessive</v>
      </c>
    </row>
    <row r="28063">
      <c r="A28063" s="1" t="s">
        <v>28062</v>
      </c>
      <c r="B28063" s="2" t="str">
        <f>IFERROR(__xludf.DUMMYFUNCTION("GOOGLETRANSLATE(A28063, ""de"", ""en"")"),"hubot")</f>
        <v>hubot</v>
      </c>
    </row>
    <row r="28064">
      <c r="A28064" s="1" t="s">
        <v>28063</v>
      </c>
      <c r="B28064" s="2" t="str">
        <f>IFERROR(__xludf.DUMMYFUNCTION("GOOGLETRANSLATE(A28064, ""de"", ""en"")"),"sieve")</f>
        <v>sieve</v>
      </c>
    </row>
    <row r="28065">
      <c r="A28065" s="1" t="s">
        <v>28064</v>
      </c>
      <c r="B28065" s="2" t="str">
        <f>IFERROR(__xludf.DUMMYFUNCTION("GOOGLETRANSLATE(A28065, ""de"", ""en"")"),"bumpy")</f>
        <v>bumpy</v>
      </c>
    </row>
    <row r="28066">
      <c r="A28066" s="1" t="s">
        <v>28065</v>
      </c>
      <c r="B28066" s="2" t="str">
        <f>IFERROR(__xludf.DUMMYFUNCTION("GOOGLETRANSLATE(A28066, ""de"", ""en"")"),"sown")</f>
        <v>sown</v>
      </c>
    </row>
    <row r="28067">
      <c r="A28067" s="1" t="s">
        <v>28066</v>
      </c>
      <c r="B28067" s="2" t="str">
        <f>IFERROR(__xludf.DUMMYFUNCTION("GOOGLETRANSLATE(A28067, ""de"", ""en"")"),"worms")</f>
        <v>worms</v>
      </c>
    </row>
    <row r="28068">
      <c r="A28068" s="1" t="s">
        <v>28067</v>
      </c>
      <c r="B28068" s="2" t="str">
        <f>IFERROR(__xludf.DUMMYFUNCTION("GOOGLETRANSLATE(A28068, ""de"", ""en"")"),"pitch")</f>
        <v>pitch</v>
      </c>
    </row>
    <row r="28069">
      <c r="A28069" s="1" t="s">
        <v>28068</v>
      </c>
      <c r="B28069" s="2" t="str">
        <f>IFERROR(__xludf.DUMMYFUNCTION("GOOGLETRANSLATE(A28069, ""de"", ""en"")"),"five hundred")</f>
        <v>five hundred</v>
      </c>
    </row>
    <row r="28070">
      <c r="A28070" s="1" t="s">
        <v>28069</v>
      </c>
      <c r="B28070" s="2" t="str">
        <f>IFERROR(__xludf.DUMMYFUNCTION("GOOGLETRANSLATE(A28070, ""de"", ""en"")"),"flip")</f>
        <v>flip</v>
      </c>
    </row>
    <row r="28071">
      <c r="A28071" s="1" t="s">
        <v>28070</v>
      </c>
      <c r="B28071" s="2" t="str">
        <f>IFERROR(__xludf.DUMMYFUNCTION("GOOGLETRANSLATE(A28071, ""de"", ""en"")"),"drunk")</f>
        <v>drunk</v>
      </c>
    </row>
    <row r="28072">
      <c r="A28072" s="1" t="s">
        <v>28071</v>
      </c>
      <c r="B28072" s="2" t="str">
        <f>IFERROR(__xludf.DUMMYFUNCTION("GOOGLETRANSLATE(A28072, ""de"", ""en"")"),"emotional")</f>
        <v>emotional</v>
      </c>
    </row>
    <row r="28073">
      <c r="A28073" s="1" t="s">
        <v>28072</v>
      </c>
      <c r="B28073" s="2" t="str">
        <f>IFERROR(__xludf.DUMMYFUNCTION("GOOGLETRANSLATE(A28073, ""de"", ""en"")"),"mysteries")</f>
        <v>mysteries</v>
      </c>
    </row>
    <row r="28074">
      <c r="A28074" s="1" t="s">
        <v>28073</v>
      </c>
      <c r="B28074" s="2" t="str">
        <f>IFERROR(__xludf.DUMMYFUNCTION("GOOGLETRANSLATE(A28074, ""de"", ""en"")"),"bang")</f>
        <v>bang</v>
      </c>
    </row>
    <row r="28075">
      <c r="A28075" s="1" t="s">
        <v>28074</v>
      </c>
      <c r="B28075" s="2" t="str">
        <f>IFERROR(__xludf.DUMMYFUNCTION("GOOGLETRANSLATE(A28075, ""de"", ""en"")"),"pollen")</f>
        <v>pollen</v>
      </c>
    </row>
    <row r="28076">
      <c r="A28076" s="1" t="s">
        <v>28075</v>
      </c>
      <c r="B28076" s="2" t="str">
        <f>IFERROR(__xludf.DUMMYFUNCTION("GOOGLETRANSLATE(A28076, ""de"", ""en"")"),"liquid")</f>
        <v>liquid</v>
      </c>
    </row>
    <row r="28077">
      <c r="A28077" s="1" t="s">
        <v>28076</v>
      </c>
      <c r="B28077" s="2" t="str">
        <f>IFERROR(__xludf.DUMMYFUNCTION("GOOGLETRANSLATE(A28077, ""de"", ""en"")"),"Rapunzel")</f>
        <v>Rapunzel</v>
      </c>
    </row>
    <row r="28078">
      <c r="A28078" s="1" t="s">
        <v>28077</v>
      </c>
      <c r="B28078" s="2" t="str">
        <f>IFERROR(__xludf.DUMMYFUNCTION("GOOGLETRANSLATE(A28078, ""de"", ""en"")"),"celal")</f>
        <v>celal</v>
      </c>
    </row>
    <row r="28079">
      <c r="A28079" s="1" t="s">
        <v>28078</v>
      </c>
      <c r="B28079" s="2" t="str">
        <f>IFERROR(__xludf.DUMMYFUNCTION("GOOGLETRANSLATE(A28079, ""de"", ""en"")"),"voyage")</f>
        <v>voyage</v>
      </c>
    </row>
    <row r="28080">
      <c r="A28080" s="1" t="s">
        <v>28079</v>
      </c>
      <c r="B28080" s="2" t="str">
        <f>IFERROR(__xludf.DUMMYFUNCTION("GOOGLETRANSLATE(A28080, ""de"", ""en"")"),"pointless")</f>
        <v>pointless</v>
      </c>
    </row>
    <row r="28081">
      <c r="A28081" s="1" t="s">
        <v>28080</v>
      </c>
      <c r="B28081" s="2" t="str">
        <f>IFERROR(__xludf.DUMMYFUNCTION("GOOGLETRANSLATE(A28081, ""de"", ""en"")"),"chats")</f>
        <v>chats</v>
      </c>
    </row>
    <row r="28082">
      <c r="A28082" s="1" t="s">
        <v>28081</v>
      </c>
      <c r="B28082" s="2" t="str">
        <f>IFERROR(__xludf.DUMMYFUNCTION("GOOGLETRANSLATE(A28082, ""de"", ""en"")"),"OK.")</f>
        <v>OK.</v>
      </c>
    </row>
    <row r="28083">
      <c r="A28083" s="1" t="s">
        <v>28082</v>
      </c>
      <c r="B28083" s="2" t="str">
        <f>IFERROR(__xludf.DUMMYFUNCTION("GOOGLETRANSLATE(A28083, ""de"", ""en"")"),"corkscrew")</f>
        <v>corkscrew</v>
      </c>
    </row>
    <row r="28084">
      <c r="A28084" s="1" t="s">
        <v>28083</v>
      </c>
      <c r="B28084" s="2" t="str">
        <f>IFERROR(__xludf.DUMMYFUNCTION("GOOGLETRANSLATE(A28084, ""de"", ""en"")"),"judges")</f>
        <v>judges</v>
      </c>
    </row>
    <row r="28085">
      <c r="A28085" s="1" t="s">
        <v>28084</v>
      </c>
      <c r="B28085" s="2" t="str">
        <f>IFERROR(__xludf.DUMMYFUNCTION("GOOGLETRANSLATE(A28085, ""de"", ""en"")"),"Cyclops")</f>
        <v>Cyclops</v>
      </c>
    </row>
    <row r="28086">
      <c r="A28086" s="1" t="s">
        <v>28085</v>
      </c>
      <c r="B28086" s="2" t="str">
        <f>IFERROR(__xludf.DUMMYFUNCTION("GOOGLETRANSLATE(A28086, ""de"", ""en"")"),"sb")</f>
        <v>sb</v>
      </c>
    </row>
    <row r="28087">
      <c r="A28087" s="1" t="s">
        <v>28086</v>
      </c>
      <c r="B28087" s="2" t="str">
        <f>IFERROR(__xludf.DUMMYFUNCTION("GOOGLETRANSLATE(A28087, ""de"", ""en"")"),"crushed")</f>
        <v>crushed</v>
      </c>
    </row>
    <row r="28088">
      <c r="A28088" s="1" t="s">
        <v>28087</v>
      </c>
      <c r="B28088" s="2" t="str">
        <f>IFERROR(__xludf.DUMMYFUNCTION("GOOGLETRANSLATE(A28088, ""de"", ""en"")"),"plural")</f>
        <v>plural</v>
      </c>
    </row>
    <row r="28089">
      <c r="A28089" s="1" t="s">
        <v>28088</v>
      </c>
      <c r="B28089" s="2" t="str">
        <f>IFERROR(__xludf.DUMMYFUNCTION("GOOGLETRANSLATE(A28089, ""de"", ""en"")"),"ugh")</f>
        <v>ugh</v>
      </c>
    </row>
    <row r="28090">
      <c r="A28090" s="1" t="s">
        <v>28089</v>
      </c>
      <c r="B28090" s="2" t="str">
        <f>IFERROR(__xludf.DUMMYFUNCTION("GOOGLETRANSLATE(A28090, ""de"", ""en"")"),"cancellation")</f>
        <v>cancellation</v>
      </c>
    </row>
    <row r="28091">
      <c r="A28091" s="1" t="s">
        <v>28090</v>
      </c>
      <c r="B28091" s="2" t="str">
        <f>IFERROR(__xludf.DUMMYFUNCTION("GOOGLETRANSLATE(A28091, ""de"", ""en"")"),"proof")</f>
        <v>proof</v>
      </c>
    </row>
    <row r="28092">
      <c r="A28092" s="1" t="s">
        <v>28091</v>
      </c>
      <c r="B28092" s="2" t="str">
        <f>IFERROR(__xludf.DUMMYFUNCTION("GOOGLETRANSLATE(A28092, ""de"", ""en"")"),"throw in")</f>
        <v>throw in</v>
      </c>
    </row>
    <row r="28093">
      <c r="A28093" s="1" t="s">
        <v>28092</v>
      </c>
      <c r="B28093" s="2" t="str">
        <f>IFERROR(__xludf.DUMMYFUNCTION("GOOGLETRANSLATE(A28093, ""de"", ""en"")"),"hard drives")</f>
        <v>hard drives</v>
      </c>
    </row>
    <row r="28094">
      <c r="A28094" s="1" t="s">
        <v>28093</v>
      </c>
      <c r="B28094" s="2" t="str">
        <f>IFERROR(__xludf.DUMMYFUNCTION("GOOGLETRANSLATE(A28094, ""de"", ""en"")"),"arvid")</f>
        <v>arvid</v>
      </c>
    </row>
    <row r="28095">
      <c r="A28095" s="1" t="s">
        <v>28094</v>
      </c>
      <c r="B28095" s="2" t="str">
        <f>IFERROR(__xludf.DUMMYFUNCTION("GOOGLETRANSLATE(A28095, ""de"", ""en"")"),"dominatrix")</f>
        <v>dominatrix</v>
      </c>
    </row>
    <row r="28096">
      <c r="A28096" s="1" t="s">
        <v>28095</v>
      </c>
      <c r="B28096" s="2" t="str">
        <f>IFERROR(__xludf.DUMMYFUNCTION("GOOGLETRANSLATE(A28096, ""de"", ""en"")"),"shell")</f>
        <v>shell</v>
      </c>
    </row>
    <row r="28097">
      <c r="A28097" s="1" t="s">
        <v>28096</v>
      </c>
      <c r="B28097" s="2" t="str">
        <f>IFERROR(__xludf.DUMMYFUNCTION("GOOGLETRANSLATE(A28097, ""de"", ""en"")"),"zapata")</f>
        <v>zapata</v>
      </c>
    </row>
    <row r="28098">
      <c r="A28098" s="1" t="s">
        <v>28097</v>
      </c>
      <c r="B28098" s="2" t="str">
        <f>IFERROR(__xludf.DUMMYFUNCTION("GOOGLETRANSLATE(A28098, ""de"", ""en"")"),"somebody")</f>
        <v>somebody</v>
      </c>
    </row>
    <row r="28099">
      <c r="A28099" s="1" t="s">
        <v>28098</v>
      </c>
      <c r="B28099" s="2" t="str">
        <f>IFERROR(__xludf.DUMMYFUNCTION("GOOGLETRANSLATE(A28099, ""de"", ""en"")"),"urgency")</f>
        <v>urgency</v>
      </c>
    </row>
    <row r="28100">
      <c r="A28100" s="1" t="s">
        <v>28099</v>
      </c>
      <c r="B28100" s="2" t="str">
        <f>IFERROR(__xludf.DUMMYFUNCTION("GOOGLETRANSLATE(A28100, ""de"", ""en"")"),"mutual")</f>
        <v>mutual</v>
      </c>
    </row>
    <row r="28101">
      <c r="A28101" s="1" t="s">
        <v>28100</v>
      </c>
      <c r="B28101" s="2" t="str">
        <f>IFERROR(__xludf.DUMMYFUNCTION("GOOGLETRANSLATE(A28101, ""de"", ""en"")"),"target persons")</f>
        <v>target persons</v>
      </c>
    </row>
    <row r="28102">
      <c r="A28102" s="1" t="s">
        <v>28101</v>
      </c>
      <c r="B28102" s="2" t="str">
        <f>IFERROR(__xludf.DUMMYFUNCTION("GOOGLETRANSLATE(A28102, ""de"", ""en"")"),"nasty")</f>
        <v>nasty</v>
      </c>
    </row>
    <row r="28103">
      <c r="A28103" s="1" t="s">
        <v>28102</v>
      </c>
      <c r="B28103" s="2" t="str">
        <f>IFERROR(__xludf.DUMMYFUNCTION("GOOGLETRANSLATE(A28103, ""de"", ""en"")"),"mandate")</f>
        <v>mandate</v>
      </c>
    </row>
    <row r="28104">
      <c r="A28104" s="1" t="s">
        <v>28103</v>
      </c>
      <c r="B28104" s="2" t="str">
        <f>IFERROR(__xludf.DUMMYFUNCTION("GOOGLETRANSLATE(A28104, ""de"", ""en"")"),"shielded")</f>
        <v>shielded</v>
      </c>
    </row>
    <row r="28105">
      <c r="A28105" s="1" t="s">
        <v>28104</v>
      </c>
      <c r="B28105" s="2" t="str">
        <f>IFERROR(__xludf.DUMMYFUNCTION("GOOGLETRANSLATE(A28105, ""de"", ""en"")"),"lingerie")</f>
        <v>lingerie</v>
      </c>
    </row>
    <row r="28106">
      <c r="A28106" s="1" t="s">
        <v>28105</v>
      </c>
      <c r="B28106" s="2" t="str">
        <f>IFERROR(__xludf.DUMMYFUNCTION("GOOGLETRANSLATE(A28106, ""de"", ""en"")"),"ar")</f>
        <v>ar</v>
      </c>
    </row>
    <row r="28107">
      <c r="A28107" s="1" t="s">
        <v>28106</v>
      </c>
      <c r="B28107" s="2" t="str">
        <f>IFERROR(__xludf.DUMMYFUNCTION("GOOGLETRANSLATE(A28107, ""de"", ""en"")"),"German Shepherd")</f>
        <v>German Shepherd</v>
      </c>
    </row>
    <row r="28108">
      <c r="A28108" s="1" t="s">
        <v>28107</v>
      </c>
      <c r="B28108" s="2" t="str">
        <f>IFERROR(__xludf.DUMMYFUNCTION("GOOGLETRANSLATE(A28108, ""de"", ""en"")"),"show")</f>
        <v>show</v>
      </c>
    </row>
    <row r="28109">
      <c r="A28109" s="1" t="s">
        <v>28108</v>
      </c>
      <c r="B28109" s="2" t="str">
        <f>IFERROR(__xludf.DUMMYFUNCTION("GOOGLETRANSLATE(A28109, ""de"", ""en"")"),"recapture")</f>
        <v>recapture</v>
      </c>
    </row>
    <row r="28110">
      <c r="A28110" s="1" t="s">
        <v>28109</v>
      </c>
      <c r="B28110" s="2" t="str">
        <f>IFERROR(__xludf.DUMMYFUNCTION("GOOGLETRANSLATE(A28110, ""de"", ""en"")"),"chappie")</f>
        <v>chappie</v>
      </c>
    </row>
    <row r="28111">
      <c r="A28111" s="1" t="s">
        <v>28110</v>
      </c>
      <c r="B28111" s="2" t="str">
        <f>IFERROR(__xludf.DUMMYFUNCTION("GOOGLETRANSLATE(A28111, ""de"", ""en"")"),"pods")</f>
        <v>pods</v>
      </c>
    </row>
    <row r="28112">
      <c r="A28112" s="1" t="s">
        <v>28111</v>
      </c>
      <c r="B28112" s="2" t="str">
        <f>IFERROR(__xludf.DUMMYFUNCTION("GOOGLETRANSLATE(A28112, ""de"", ""en"")"),"control center")</f>
        <v>control center</v>
      </c>
    </row>
    <row r="28113">
      <c r="A28113" s="1" t="s">
        <v>28112</v>
      </c>
      <c r="B28113" s="2" t="str">
        <f>IFERROR(__xludf.DUMMYFUNCTION("GOOGLETRANSLATE(A28113, ""de"", ""en"")"),"disappearance")</f>
        <v>disappearance</v>
      </c>
    </row>
    <row r="28114">
      <c r="A28114" s="1" t="s">
        <v>28113</v>
      </c>
      <c r="B28114" s="2" t="str">
        <f>IFERROR(__xludf.DUMMYFUNCTION("GOOGLETRANSLATE(A28114, ""de"", ""en"")"),"you should")</f>
        <v>you should</v>
      </c>
    </row>
    <row r="28115">
      <c r="A28115" s="1" t="s">
        <v>28114</v>
      </c>
      <c r="B28115" s="2" t="str">
        <f>IFERROR(__xludf.DUMMYFUNCTION("GOOGLETRANSLATE(A28115, ""de"", ""en"")"),"pessimistic")</f>
        <v>pessimistic</v>
      </c>
    </row>
    <row r="28116">
      <c r="A28116" s="1" t="s">
        <v>28115</v>
      </c>
      <c r="B28116" s="2" t="str">
        <f>IFERROR(__xludf.DUMMYFUNCTION("GOOGLETRANSLATE(A28116, ""de"", ""en"")"),"jihad")</f>
        <v>jihad</v>
      </c>
    </row>
    <row r="28117">
      <c r="A28117" s="1" t="s">
        <v>28116</v>
      </c>
      <c r="B28117" s="2" t="str">
        <f>IFERROR(__xludf.DUMMYFUNCTION("GOOGLETRANSLATE(A28117, ""de"", ""en"")"),"curious")</f>
        <v>curious</v>
      </c>
    </row>
    <row r="28118">
      <c r="A28118" s="1" t="s">
        <v>28117</v>
      </c>
      <c r="B28118" s="2" t="str">
        <f>IFERROR(__xludf.DUMMYFUNCTION("GOOGLETRANSLATE(A28118, ""de"", ""en"")"),"family dinner")</f>
        <v>family dinner</v>
      </c>
    </row>
    <row r="28119">
      <c r="A28119" s="1" t="s">
        <v>28118</v>
      </c>
      <c r="B28119" s="2" t="str">
        <f>IFERROR(__xludf.DUMMYFUNCTION("GOOGLETRANSLATE(A28119, ""de"", ""en"")"),"anthropology")</f>
        <v>anthropology</v>
      </c>
    </row>
    <row r="28120">
      <c r="A28120" s="1" t="s">
        <v>28119</v>
      </c>
      <c r="B28120" s="2" t="str">
        <f>IFERROR(__xludf.DUMMYFUNCTION("GOOGLETRANSLATE(A28120, ""de"", ""en"")"),"alleviates")</f>
        <v>alleviates</v>
      </c>
    </row>
    <row r="28121">
      <c r="A28121" s="1" t="s">
        <v>28120</v>
      </c>
      <c r="B28121" s="2" t="str">
        <f>IFERROR(__xludf.DUMMYFUNCTION("GOOGLETRANSLATE(A28121, ""de"", ""en"")"),"us army")</f>
        <v>us army</v>
      </c>
    </row>
    <row r="28122">
      <c r="A28122" s="1" t="s">
        <v>28121</v>
      </c>
      <c r="B28122" s="2" t="str">
        <f>IFERROR(__xludf.DUMMYFUNCTION("GOOGLETRANSLATE(A28122, ""de"", ""en"")"),"bouquet of flowers")</f>
        <v>bouquet of flowers</v>
      </c>
    </row>
    <row r="28123">
      <c r="A28123" s="1" t="s">
        <v>28122</v>
      </c>
      <c r="B28123" s="2" t="str">
        <f>IFERROR(__xludf.DUMMYFUNCTION("GOOGLETRANSLATE(A28123, ""de"", ""en"")"),"pardon")</f>
        <v>pardon</v>
      </c>
    </row>
    <row r="28124">
      <c r="A28124" s="1" t="s">
        <v>28123</v>
      </c>
      <c r="B28124" s="2" t="str">
        <f>IFERROR(__xludf.DUMMYFUNCTION("GOOGLETRANSLATE(A28124, ""de"", ""en"")"),"find out")</f>
        <v>find out</v>
      </c>
    </row>
    <row r="28125">
      <c r="A28125" s="1" t="s">
        <v>28124</v>
      </c>
      <c r="B28125" s="2" t="str">
        <f>IFERROR(__xludf.DUMMYFUNCTION("GOOGLETRANSLATE(A28125, ""de"", ""en"")"),"dissertation")</f>
        <v>dissertation</v>
      </c>
    </row>
    <row r="28126">
      <c r="A28126" s="1" t="s">
        <v>28125</v>
      </c>
      <c r="B28126" s="2" t="str">
        <f>IFERROR(__xludf.DUMMYFUNCTION("GOOGLETRANSLATE(A28126, ""de"", ""en"")"),"violet")</f>
        <v>violet</v>
      </c>
    </row>
    <row r="28127">
      <c r="A28127" s="1" t="s">
        <v>28126</v>
      </c>
      <c r="B28127" s="2" t="str">
        <f>IFERROR(__xludf.DUMMYFUNCTION("GOOGLETRANSLATE(A28127, ""de"", ""en"")"),"delegates")</f>
        <v>delegates</v>
      </c>
    </row>
    <row r="28128">
      <c r="A28128" s="1" t="s">
        <v>28127</v>
      </c>
      <c r="B28128" s="2" t="str">
        <f>IFERROR(__xludf.DUMMYFUNCTION("GOOGLETRANSLATE(A28128, ""de"", ""en"")"),"xoxo")</f>
        <v>xoxo</v>
      </c>
    </row>
    <row r="28129">
      <c r="A28129" s="1" t="s">
        <v>28128</v>
      </c>
      <c r="B28129" s="2" t="str">
        <f>IFERROR(__xludf.DUMMYFUNCTION("GOOGLETRANSLATE(A28129, ""de"", ""en"")"),"herbs")</f>
        <v>herbs</v>
      </c>
    </row>
    <row r="28130">
      <c r="A28130" s="1" t="s">
        <v>28129</v>
      </c>
      <c r="B28130" s="2" t="str">
        <f>IFERROR(__xludf.DUMMYFUNCTION("GOOGLETRANSLATE(A28130, ""de"", ""en"")"),"power outlet")</f>
        <v>power outlet</v>
      </c>
    </row>
    <row r="28131">
      <c r="A28131" s="1" t="s">
        <v>28130</v>
      </c>
      <c r="B28131" s="2" t="str">
        <f>IFERROR(__xludf.DUMMYFUNCTION("GOOGLETRANSLATE(A28131, ""de"", ""en"")"),"picket")</f>
        <v>picket</v>
      </c>
    </row>
    <row r="28132">
      <c r="A28132" s="1" t="s">
        <v>28131</v>
      </c>
      <c r="B28132" s="2" t="str">
        <f>IFERROR(__xludf.DUMMYFUNCTION("GOOGLETRANSLATE(A28132, ""de"", ""en"")"),"kerosene")</f>
        <v>kerosene</v>
      </c>
    </row>
    <row r="28133">
      <c r="A28133" s="1" t="s">
        <v>28132</v>
      </c>
      <c r="B28133" s="2" t="str">
        <f>IFERROR(__xludf.DUMMYFUNCTION("GOOGLETRANSLATE(A28133, ""de"", ""en"")"),"surrounding")</f>
        <v>surrounding</v>
      </c>
    </row>
    <row r="28134">
      <c r="A28134" s="1" t="s">
        <v>28133</v>
      </c>
      <c r="B28134" s="2" t="str">
        <f>IFERROR(__xludf.DUMMYFUNCTION("GOOGLETRANSLATE(A28134, ""de"", ""en"")"),"fly in")</f>
        <v>fly in</v>
      </c>
    </row>
    <row r="28135">
      <c r="A28135" s="1" t="s">
        <v>28134</v>
      </c>
      <c r="B28135" s="2" t="str">
        <f>IFERROR(__xludf.DUMMYFUNCTION("GOOGLETRANSLATE(A28135, ""de"", ""en"")"),"godforsaken")</f>
        <v>godforsaken</v>
      </c>
    </row>
    <row r="28136">
      <c r="A28136" s="1" t="s">
        <v>28135</v>
      </c>
      <c r="B28136" s="2" t="str">
        <f>IFERROR(__xludf.DUMMYFUNCTION("GOOGLETRANSLATE(A28136, ""de"", ""en"")"),"mute")</f>
        <v>mute</v>
      </c>
    </row>
    <row r="28137">
      <c r="A28137" s="1" t="s">
        <v>28136</v>
      </c>
      <c r="B28137" s="2" t="str">
        <f>IFERROR(__xludf.DUMMYFUNCTION("GOOGLETRANSLATE(A28137, ""de"", ""en"")"),"joy of life")</f>
        <v>joy of life</v>
      </c>
    </row>
    <row r="28138">
      <c r="A28138" s="1" t="s">
        <v>28137</v>
      </c>
      <c r="B28138" s="2" t="str">
        <f>IFERROR(__xludf.DUMMYFUNCTION("GOOGLETRANSLATE(A28138, ""de"", ""en"")"),"general rehearsal")</f>
        <v>general rehearsal</v>
      </c>
    </row>
    <row r="28139">
      <c r="A28139" s="1" t="s">
        <v>28138</v>
      </c>
      <c r="B28139" s="2" t="str">
        <f>IFERROR(__xludf.DUMMYFUNCTION("GOOGLETRANSLATE(A28139, ""de"", ""en"")"),"civil")</f>
        <v>civil</v>
      </c>
    </row>
    <row r="28140">
      <c r="A28140" s="1" t="s">
        <v>28139</v>
      </c>
      <c r="B28140" s="2" t="str">
        <f>IFERROR(__xludf.DUMMYFUNCTION("GOOGLETRANSLATE(A28140, ""de"", ""en"")"),"teds")</f>
        <v>teds</v>
      </c>
    </row>
    <row r="28141">
      <c r="A28141" s="1" t="s">
        <v>28140</v>
      </c>
      <c r="B28141" s="2" t="str">
        <f>IFERROR(__xludf.DUMMYFUNCTION("GOOGLETRANSLATE(A28141, ""de"", ""en"")"),"hypnotize")</f>
        <v>hypnotize</v>
      </c>
    </row>
    <row r="28142">
      <c r="A28142" s="1" t="s">
        <v>28141</v>
      </c>
      <c r="B28142" s="2" t="str">
        <f>IFERROR(__xludf.DUMMYFUNCTION("GOOGLETRANSLATE(A28142, ""de"", ""en"")"),"dci")</f>
        <v>dci</v>
      </c>
    </row>
    <row r="28143">
      <c r="A28143" s="1" t="s">
        <v>28142</v>
      </c>
      <c r="B28143" s="2" t="str">
        <f>IFERROR(__xludf.DUMMYFUNCTION("GOOGLETRANSLATE(A28143, ""de"", ""en"")"),"running around")</f>
        <v>running around</v>
      </c>
    </row>
    <row r="28144">
      <c r="A28144" s="1" t="s">
        <v>28143</v>
      </c>
      <c r="B28144" s="2" t="str">
        <f>IFERROR(__xludf.DUMMYFUNCTION("GOOGLETRANSLATE(A28144, ""de"", ""en"")"),"appreciated")</f>
        <v>appreciated</v>
      </c>
    </row>
    <row r="28145">
      <c r="A28145" s="1" t="s">
        <v>28144</v>
      </c>
      <c r="B28145" s="2" t="str">
        <f>IFERROR(__xludf.DUMMYFUNCTION("GOOGLETRANSLATE(A28145, ""de"", ""en"")"),"melodramatic")</f>
        <v>melodramatic</v>
      </c>
    </row>
    <row r="28146">
      <c r="A28146" s="1" t="s">
        <v>28145</v>
      </c>
      <c r="B28146" s="2" t="str">
        <f>IFERROR(__xludf.DUMMYFUNCTION("GOOGLETRANSLATE(A28146, ""de"", ""en"")"),"lupin")</f>
        <v>lupin</v>
      </c>
    </row>
    <row r="28147">
      <c r="A28147" s="1" t="s">
        <v>28146</v>
      </c>
      <c r="B28147" s="2" t="str">
        <f>IFERROR(__xludf.DUMMYFUNCTION("GOOGLETRANSLATE(A28147, ""de"", ""en"")"),"murderous")</f>
        <v>murderous</v>
      </c>
    </row>
    <row r="28148">
      <c r="A28148" s="1" t="s">
        <v>28147</v>
      </c>
      <c r="B28148" s="2" t="str">
        <f>IFERROR(__xludf.DUMMYFUNCTION("GOOGLETRANSLATE(A28148, ""de"", ""en"")"),"sperm")</f>
        <v>sperm</v>
      </c>
    </row>
    <row r="28149">
      <c r="A28149" s="1" t="s">
        <v>28148</v>
      </c>
      <c r="B28149" s="2" t="str">
        <f>IFERROR(__xludf.DUMMYFUNCTION("GOOGLETRANSLATE(A28149, ""de"", ""en"")"),"crowbar")</f>
        <v>crowbar</v>
      </c>
    </row>
    <row r="28150">
      <c r="A28150" s="1" t="s">
        <v>28149</v>
      </c>
      <c r="B28150" s="2" t="str">
        <f>IFERROR(__xludf.DUMMYFUNCTION("GOOGLETRANSLATE(A28150, ""de"", ""en"")"),"kjell")</f>
        <v>kjell</v>
      </c>
    </row>
    <row r="28151">
      <c r="A28151" s="1" t="s">
        <v>28150</v>
      </c>
      <c r="B28151" s="2" t="str">
        <f>IFERROR(__xludf.DUMMYFUNCTION("GOOGLETRANSLATE(A28151, ""de"", ""en"")"),"drives")</f>
        <v>drives</v>
      </c>
    </row>
    <row r="28152">
      <c r="A28152" s="1" t="s">
        <v>28151</v>
      </c>
      <c r="B28152" s="2" t="str">
        <f>IFERROR(__xludf.DUMMYFUNCTION("GOOGLETRANSLATE(A28152, ""de"", ""en"")"),"missing person report")</f>
        <v>missing person report</v>
      </c>
    </row>
    <row r="28153">
      <c r="A28153" s="1" t="s">
        <v>28152</v>
      </c>
      <c r="B28153" s="2" t="str">
        <f>IFERROR(__xludf.DUMMYFUNCTION("GOOGLETRANSLATE(A28153, ""de"", ""en"")"),"falling")</f>
        <v>falling</v>
      </c>
    </row>
    <row r="28154">
      <c r="A28154" s="1" t="s">
        <v>28153</v>
      </c>
      <c r="B28154" s="2" t="str">
        <f>IFERROR(__xludf.DUMMYFUNCTION("GOOGLETRANSLATE(A28154, ""de"", ""en"")"),"breaking")</f>
        <v>breaking</v>
      </c>
    </row>
    <row r="28155">
      <c r="A28155" s="1" t="s">
        <v>28154</v>
      </c>
      <c r="B28155" s="2" t="str">
        <f>IFERROR(__xludf.DUMMYFUNCTION("GOOGLETRANSLATE(A28155, ""de"", ""en"")"),"briefing")</f>
        <v>briefing</v>
      </c>
    </row>
    <row r="28156">
      <c r="A28156" s="1" t="s">
        <v>28155</v>
      </c>
      <c r="B28156" s="2" t="str">
        <f>IFERROR(__xludf.DUMMYFUNCTION("GOOGLETRANSLATE(A28156, ""de"", ""en"")"),"amenities")</f>
        <v>amenities</v>
      </c>
    </row>
    <row r="28157">
      <c r="A28157" s="1" t="s">
        <v>28156</v>
      </c>
      <c r="B28157" s="2" t="str">
        <f>IFERROR(__xludf.DUMMYFUNCTION("GOOGLETRANSLATE(A28157, ""de"", ""en"")"),"return")</f>
        <v>return</v>
      </c>
    </row>
    <row r="28158">
      <c r="A28158" s="1" t="s">
        <v>28157</v>
      </c>
      <c r="B28158" s="2" t="str">
        <f>IFERROR(__xludf.DUMMYFUNCTION("GOOGLETRANSLATE(A28158, ""de"", ""en"")"),"christa")</f>
        <v>christa</v>
      </c>
    </row>
    <row r="28159">
      <c r="A28159" s="1" t="s">
        <v>28158</v>
      </c>
      <c r="B28159" s="2" t="str">
        <f>IFERROR(__xludf.DUMMYFUNCTION("GOOGLETRANSLATE(A28159, ""de"", ""en"")"),"clinical")</f>
        <v>clinical</v>
      </c>
    </row>
    <row r="28160">
      <c r="A28160" s="1" t="s">
        <v>28159</v>
      </c>
      <c r="B28160" s="2" t="str">
        <f>IFERROR(__xludf.DUMMYFUNCTION("GOOGLETRANSLATE(A28160, ""de"", ""en"")"),"fucker")</f>
        <v>fucker</v>
      </c>
    </row>
    <row r="28161">
      <c r="A28161" s="1" t="s">
        <v>28160</v>
      </c>
      <c r="B28161" s="2" t="str">
        <f>IFERROR(__xludf.DUMMYFUNCTION("GOOGLETRANSLATE(A28161, ""de"", ""en"")"),"departed")</f>
        <v>departed</v>
      </c>
    </row>
    <row r="28162">
      <c r="A28162" s="1" t="s">
        <v>28161</v>
      </c>
      <c r="B28162" s="2" t="str">
        <f>IFERROR(__xludf.DUMMYFUNCTION("GOOGLETRANSLATE(A28162, ""de"", ""en"")"),"Hanne")</f>
        <v>Hanne</v>
      </c>
    </row>
    <row r="28163">
      <c r="A28163" s="1" t="s">
        <v>28162</v>
      </c>
      <c r="B28163" s="2" t="str">
        <f>IFERROR(__xludf.DUMMYFUNCTION("GOOGLETRANSLATE(A28163, ""de"", ""en"")"),"exchanged")</f>
        <v>exchanged</v>
      </c>
    </row>
    <row r="28164">
      <c r="A28164" s="1" t="s">
        <v>28163</v>
      </c>
      <c r="B28164" s="2" t="str">
        <f>IFERROR(__xludf.DUMMYFUNCTION("GOOGLETRANSLATE(A28164, ""de"", ""en"")"),"coolie")</f>
        <v>coolie</v>
      </c>
    </row>
    <row r="28165">
      <c r="A28165" s="1" t="s">
        <v>28164</v>
      </c>
      <c r="B28165" s="2" t="str">
        <f>IFERROR(__xludf.DUMMYFUNCTION("GOOGLETRANSLATE(A28165, ""de"", ""en"")"),"mori")</f>
        <v>mori</v>
      </c>
    </row>
    <row r="28166">
      <c r="A28166" s="1" t="s">
        <v>28165</v>
      </c>
      <c r="B28166" s="2" t="str">
        <f>IFERROR(__xludf.DUMMYFUNCTION("GOOGLETRANSLATE(A28166, ""de"", ""en"")"),"succession")</f>
        <v>succession</v>
      </c>
    </row>
    <row r="28167">
      <c r="A28167" s="1" t="s">
        <v>28166</v>
      </c>
      <c r="B28167" s="2" t="str">
        <f>IFERROR(__xludf.DUMMYFUNCTION("GOOGLETRANSLATE(A28167, ""de"", ""en"")"),"worn")</f>
        <v>worn</v>
      </c>
    </row>
    <row r="28168">
      <c r="A28168" s="1" t="s">
        <v>28167</v>
      </c>
      <c r="B28168" s="2" t="str">
        <f>IFERROR(__xludf.DUMMYFUNCTION("GOOGLETRANSLATE(A28168, ""de"", ""en"")"),"audition")</f>
        <v>audition</v>
      </c>
    </row>
    <row r="28169">
      <c r="A28169" s="1" t="s">
        <v>28168</v>
      </c>
      <c r="B28169" s="2" t="str">
        <f>IFERROR(__xludf.DUMMYFUNCTION("GOOGLETRANSLATE(A28169, ""de"", ""en"")"),"human trafficking")</f>
        <v>human trafficking</v>
      </c>
    </row>
    <row r="28170">
      <c r="A28170" s="1" t="s">
        <v>28169</v>
      </c>
      <c r="B28170" s="2" t="str">
        <f>IFERROR(__xludf.DUMMYFUNCTION("GOOGLETRANSLATE(A28170, ""de"", ""en"")"),"processes")</f>
        <v>processes</v>
      </c>
    </row>
    <row r="28171">
      <c r="A28171" s="1" t="s">
        <v>28170</v>
      </c>
      <c r="B28171" s="2" t="str">
        <f>IFERROR(__xludf.DUMMYFUNCTION("GOOGLETRANSLATE(A28171, ""de"", ""en"")"),"lenz")</f>
        <v>lenz</v>
      </c>
    </row>
    <row r="28172">
      <c r="A28172" s="1" t="s">
        <v>28171</v>
      </c>
      <c r="B28172" s="2" t="str">
        <f>IFERROR(__xludf.DUMMYFUNCTION("GOOGLETRANSLATE(A28172, ""de"", ""en"")"),"to rise")</f>
        <v>to rise</v>
      </c>
    </row>
    <row r="28173">
      <c r="A28173" s="1" t="s">
        <v>28172</v>
      </c>
      <c r="B28173" s="2" t="str">
        <f>IFERROR(__xludf.DUMMYFUNCTION("GOOGLETRANSLATE(A28173, ""de"", ""en"")"),"phone records")</f>
        <v>phone records</v>
      </c>
    </row>
    <row r="28174">
      <c r="A28174" s="1" t="s">
        <v>28173</v>
      </c>
      <c r="B28174" s="2" t="str">
        <f>IFERROR(__xludf.DUMMYFUNCTION("GOOGLETRANSLATE(A28174, ""de"", ""en"")"),"circus")</f>
        <v>circus</v>
      </c>
    </row>
    <row r="28175">
      <c r="A28175" s="1" t="s">
        <v>28174</v>
      </c>
      <c r="B28175" s="2" t="str">
        <f>IFERROR(__xludf.DUMMYFUNCTION("GOOGLETRANSLATE(A28175, ""de"", ""en"")"),"given")</f>
        <v>given</v>
      </c>
    </row>
    <row r="28176">
      <c r="A28176" s="1" t="s">
        <v>28175</v>
      </c>
      <c r="B28176" s="2" t="str">
        <f>IFERROR(__xludf.DUMMYFUNCTION("GOOGLETRANSLATE(A28176, ""de"", ""en"")"),"pending")</f>
        <v>pending</v>
      </c>
    </row>
    <row r="28177">
      <c r="A28177" s="1" t="s">
        <v>28176</v>
      </c>
      <c r="B28177" s="2" t="str">
        <f>IFERROR(__xludf.DUMMYFUNCTION("GOOGLETRANSLATE(A28177, ""de"", ""en"")"),"favorite book")</f>
        <v>favorite book</v>
      </c>
    </row>
    <row r="28178">
      <c r="A28178" s="1" t="s">
        <v>28177</v>
      </c>
      <c r="B28178" s="2" t="str">
        <f>IFERROR(__xludf.DUMMYFUNCTION("GOOGLETRANSLATE(A28178, ""de"", ""en"")"),"inhaled")</f>
        <v>inhaled</v>
      </c>
    </row>
    <row r="28179">
      <c r="A28179" s="1" t="s">
        <v>28178</v>
      </c>
      <c r="B28179" s="2" t="str">
        <f>IFERROR(__xludf.DUMMYFUNCTION("GOOGLETRANSLATE(A28179, ""de"", ""en"")"),"excavator")</f>
        <v>excavator</v>
      </c>
    </row>
    <row r="28180">
      <c r="A28180" s="1" t="s">
        <v>28179</v>
      </c>
      <c r="B28180" s="2" t="str">
        <f>IFERROR(__xludf.DUMMYFUNCTION("GOOGLETRANSLATE(A28180, ""de"", ""en"")"),"simplified")</f>
        <v>simplified</v>
      </c>
    </row>
    <row r="28181">
      <c r="A28181" s="1" t="s">
        <v>28180</v>
      </c>
      <c r="B28181" s="2" t="str">
        <f>IFERROR(__xludf.DUMMYFUNCTION("GOOGLETRANSLATE(A28181, ""de"", ""en"")"),"sewing machine")</f>
        <v>sewing machine</v>
      </c>
    </row>
    <row r="28182">
      <c r="A28182" s="1" t="s">
        <v>28181</v>
      </c>
      <c r="B28182" s="2" t="str">
        <f>IFERROR(__xludf.DUMMYFUNCTION("GOOGLETRANSLATE(A28182, ""de"", ""en"")"),"have mercy")</f>
        <v>have mercy</v>
      </c>
    </row>
    <row r="28183">
      <c r="A28183" s="1" t="s">
        <v>28182</v>
      </c>
      <c r="B28183" s="2" t="str">
        <f>IFERROR(__xludf.DUMMYFUNCTION("GOOGLETRANSLATE(A28183, ""de"", ""en"")"),"tactful")</f>
        <v>tactful</v>
      </c>
    </row>
    <row r="28184">
      <c r="A28184" s="1" t="s">
        <v>28183</v>
      </c>
      <c r="B28184" s="2" t="str">
        <f>IFERROR(__xludf.DUMMYFUNCTION("GOOGLETRANSLATE(A28184, ""de"", ""en"")"),"chocolate")</f>
        <v>chocolate</v>
      </c>
    </row>
    <row r="28185">
      <c r="A28185" s="1" t="s">
        <v>28184</v>
      </c>
      <c r="B28185" s="2" t="str">
        <f>IFERROR(__xludf.DUMMYFUNCTION("GOOGLETRANSLATE(A28185, ""de"", ""en"")"),"corpus")</f>
        <v>corpus</v>
      </c>
    </row>
    <row r="28186">
      <c r="A28186" s="1" t="s">
        <v>28185</v>
      </c>
      <c r="B28186" s="2" t="str">
        <f>IFERROR(__xludf.DUMMYFUNCTION("GOOGLETRANSLATE(A28186, ""de"", ""en"")"),"stinson")</f>
        <v>stinson</v>
      </c>
    </row>
    <row r="28187">
      <c r="A28187" s="1" t="s">
        <v>28186</v>
      </c>
      <c r="B28187" s="2" t="str">
        <f>IFERROR(__xludf.DUMMYFUNCTION("GOOGLETRANSLATE(A28187, ""de"", ""en"")"),"federal government")</f>
        <v>federal government</v>
      </c>
    </row>
    <row r="28188">
      <c r="A28188" s="1" t="s">
        <v>28187</v>
      </c>
      <c r="B28188" s="2" t="str">
        <f>IFERROR(__xludf.DUMMYFUNCTION("GOOGLETRANSLATE(A28188, ""de"", ""en"")"),"want")</f>
        <v>want</v>
      </c>
    </row>
    <row r="28189">
      <c r="A28189" s="1" t="s">
        <v>28188</v>
      </c>
      <c r="B28189" s="2" t="str">
        <f>IFERROR(__xludf.DUMMYFUNCTION("GOOGLETRANSLATE(A28189, ""de"", ""en"")"),"dominated")</f>
        <v>dominated</v>
      </c>
    </row>
    <row r="28190">
      <c r="A28190" s="1" t="s">
        <v>28189</v>
      </c>
      <c r="B28190" s="2" t="str">
        <f>IFERROR(__xludf.DUMMYFUNCTION("GOOGLETRANSLATE(A28190, ""de"", ""en"")"),"martial arts")</f>
        <v>martial arts</v>
      </c>
    </row>
    <row r="28191">
      <c r="A28191" s="1" t="s">
        <v>28190</v>
      </c>
      <c r="B28191" s="2" t="str">
        <f>IFERROR(__xludf.DUMMYFUNCTION("GOOGLETRANSLATE(A28191, ""de"", ""en"")"),"convictions")</f>
        <v>convictions</v>
      </c>
    </row>
    <row r="28192">
      <c r="A28192" s="1" t="s">
        <v>28191</v>
      </c>
      <c r="B28192" s="2" t="str">
        <f>IFERROR(__xludf.DUMMYFUNCTION("GOOGLETRANSLATE(A28192, ""de"", ""en"")"),"pierce")</f>
        <v>pierce</v>
      </c>
    </row>
    <row r="28193">
      <c r="A28193" s="1" t="s">
        <v>28192</v>
      </c>
      <c r="B28193" s="2" t="str">
        <f>IFERROR(__xludf.DUMMYFUNCTION("GOOGLETRANSLATE(A28193, ""de"", ""en"")"),"scare you")</f>
        <v>scare you</v>
      </c>
    </row>
    <row r="28194">
      <c r="A28194" s="1" t="s">
        <v>28193</v>
      </c>
      <c r="B28194" s="2" t="str">
        <f>IFERROR(__xludf.DUMMYFUNCTION("GOOGLETRANSLATE(A28194, ""de"", ""en"")"),"overturn")</f>
        <v>overturn</v>
      </c>
    </row>
    <row r="28195">
      <c r="A28195" s="1" t="s">
        <v>28194</v>
      </c>
      <c r="B28195" s="2" t="str">
        <f>IFERROR(__xludf.DUMMYFUNCTION("GOOGLETRANSLATE(A28195, ""de"", ""en"")"),"Cartwright")</f>
        <v>Cartwright</v>
      </c>
    </row>
    <row r="28196">
      <c r="A28196" s="1" t="s">
        <v>28195</v>
      </c>
      <c r="B28196" s="2" t="str">
        <f>IFERROR(__xludf.DUMMYFUNCTION("GOOGLETRANSLATE(A28196, ""de"", ""en"")"),"spread")</f>
        <v>spread</v>
      </c>
    </row>
    <row r="28197">
      <c r="A28197" s="1" t="s">
        <v>28196</v>
      </c>
      <c r="B28197" s="2" t="str">
        <f>IFERROR(__xludf.DUMMYFUNCTION("GOOGLETRANSLATE(A28197, ""de"", ""en"")"),"so-called")</f>
        <v>so-called</v>
      </c>
    </row>
    <row r="28198">
      <c r="A28198" s="1" t="s">
        <v>28197</v>
      </c>
      <c r="B28198" s="2" t="str">
        <f>IFERROR(__xludf.DUMMYFUNCTION("GOOGLETRANSLATE(A28198, ""de"", ""en"")"),"mutual")</f>
        <v>mutual</v>
      </c>
    </row>
    <row r="28199">
      <c r="A28199" s="1" t="s">
        <v>28198</v>
      </c>
      <c r="B28199" s="2" t="str">
        <f>IFERROR(__xludf.DUMMYFUNCTION("GOOGLETRANSLATE(A28199, ""de"", ""en"")"),"take here")</f>
        <v>take here</v>
      </c>
    </row>
    <row r="28200">
      <c r="A28200" s="1" t="s">
        <v>28199</v>
      </c>
      <c r="B28200" s="2" t="str">
        <f>IFERROR(__xludf.DUMMYFUNCTION("GOOGLETRANSLATE(A28200, ""de"", ""en"")"),"mcguire")</f>
        <v>mcguire</v>
      </c>
    </row>
    <row r="28201">
      <c r="A28201" s="1" t="s">
        <v>28200</v>
      </c>
      <c r="B28201" s="2" t="str">
        <f>IFERROR(__xludf.DUMMYFUNCTION("GOOGLETRANSLATE(A28201, ""de"", ""en"")"),"guilty")</f>
        <v>guilty</v>
      </c>
    </row>
    <row r="28202">
      <c r="A28202" s="1" t="s">
        <v>28201</v>
      </c>
      <c r="B28202" s="2" t="str">
        <f>IFERROR(__xludf.DUMMYFUNCTION("GOOGLETRANSLATE(A28202, ""de"", ""en"")"),"lamont")</f>
        <v>lamont</v>
      </c>
    </row>
    <row r="28203">
      <c r="A28203" s="1" t="s">
        <v>28202</v>
      </c>
      <c r="B28203" s="2" t="str">
        <f>IFERROR(__xludf.DUMMYFUNCTION("GOOGLETRANSLATE(A28203, ""de"", ""en"")"),"counter")</f>
        <v>counter</v>
      </c>
    </row>
    <row r="28204">
      <c r="A28204" s="1" t="s">
        <v>28203</v>
      </c>
      <c r="B28204" s="2" t="str">
        <f>IFERROR(__xludf.DUMMYFUNCTION("GOOGLETRANSLATE(A28204, ""de"", ""en"")"),"ticktock")</f>
        <v>ticktock</v>
      </c>
    </row>
    <row r="28205">
      <c r="A28205" s="1" t="s">
        <v>28204</v>
      </c>
      <c r="B28205" s="2" t="str">
        <f>IFERROR(__xludf.DUMMYFUNCTION("GOOGLETRANSLATE(A28205, ""de"", ""en"")"),"massimo")</f>
        <v>massimo</v>
      </c>
    </row>
    <row r="28206">
      <c r="A28206" s="1" t="s">
        <v>28205</v>
      </c>
      <c r="B28206" s="2" t="str">
        <f>IFERROR(__xludf.DUMMYFUNCTION("GOOGLETRANSLATE(A28206, ""de"", ""en"")"),"lie")</f>
        <v>lie</v>
      </c>
    </row>
    <row r="28207">
      <c r="A28207" s="1" t="s">
        <v>28206</v>
      </c>
      <c r="B28207" s="2" t="str">
        <f>IFERROR(__xludf.DUMMYFUNCTION("GOOGLETRANSLATE(A28207, ""de"", ""en"")"),"probation conditions")</f>
        <v>probation conditions</v>
      </c>
    </row>
    <row r="28208">
      <c r="A28208" s="1" t="s">
        <v>28207</v>
      </c>
      <c r="B28208" s="2" t="str">
        <f>IFERROR(__xludf.DUMMYFUNCTION("GOOGLETRANSLATE(A28208, ""de"", ""en"")"),"shave")</f>
        <v>shave</v>
      </c>
    </row>
    <row r="28209">
      <c r="A28209" s="1" t="s">
        <v>28208</v>
      </c>
      <c r="B28209" s="2" t="str">
        <f>IFERROR(__xludf.DUMMYFUNCTION("GOOGLETRANSLATE(A28209, ""de"", ""en"")"),"goes through")</f>
        <v>goes through</v>
      </c>
    </row>
    <row r="28210">
      <c r="A28210" s="1" t="s">
        <v>28209</v>
      </c>
      <c r="B28210" s="2" t="str">
        <f>IFERROR(__xludf.DUMMYFUNCTION("GOOGLETRANSLATE(A28210, ""de"", ""en"")"),"breathed")</f>
        <v>breathed</v>
      </c>
    </row>
    <row r="28211">
      <c r="A28211" s="1" t="s">
        <v>28210</v>
      </c>
      <c r="B28211" s="2" t="str">
        <f>IFERROR(__xludf.DUMMYFUNCTION("GOOGLETRANSLATE(A28211, ""de"", ""en"")"),"deliver")</f>
        <v>deliver</v>
      </c>
    </row>
    <row r="28212">
      <c r="A28212" s="1" t="s">
        <v>28211</v>
      </c>
      <c r="B28212" s="2" t="str">
        <f>IFERROR(__xludf.DUMMYFUNCTION("GOOGLETRANSLATE(A28212, ""de"", ""en"")"),"kims")</f>
        <v>kims</v>
      </c>
    </row>
    <row r="28213">
      <c r="A28213" s="1" t="s">
        <v>28212</v>
      </c>
      <c r="B28213" s="2" t="str">
        <f>IFERROR(__xludf.DUMMYFUNCTION("GOOGLETRANSLATE(A28213, ""de"", ""en"")"),"delicacy")</f>
        <v>delicacy</v>
      </c>
    </row>
    <row r="28214">
      <c r="A28214" s="1" t="s">
        <v>28213</v>
      </c>
      <c r="B28214" s="2" t="str">
        <f>IFERROR(__xludf.DUMMYFUNCTION("GOOGLETRANSLATE(A28214, ""de"", ""en"")"),"heini")</f>
        <v>heini</v>
      </c>
    </row>
    <row r="28215">
      <c r="A28215" s="1" t="s">
        <v>28214</v>
      </c>
      <c r="B28215" s="2" t="str">
        <f>IFERROR(__xludf.DUMMYFUNCTION("GOOGLETRANSLATE(A28215, ""de"", ""en"")"),"austen")</f>
        <v>austen</v>
      </c>
    </row>
    <row r="28216">
      <c r="A28216" s="1" t="s">
        <v>28215</v>
      </c>
      <c r="B28216" s="2" t="str">
        <f>IFERROR(__xludf.DUMMYFUNCTION("GOOGLETRANSLATE(A28216, ""de"", ""en"")"),"more remarkable")</f>
        <v>more remarkable</v>
      </c>
    </row>
    <row r="28217">
      <c r="A28217" s="1" t="s">
        <v>28216</v>
      </c>
      <c r="B28217" s="2" t="str">
        <f>IFERROR(__xludf.DUMMYFUNCTION("GOOGLETRANSLATE(A28217, ""de"", ""en"")"),"pieces of evidence")</f>
        <v>pieces of evidence</v>
      </c>
    </row>
    <row r="28218">
      <c r="A28218" s="1" t="s">
        <v>28217</v>
      </c>
      <c r="B28218" s="2" t="str">
        <f>IFERROR(__xludf.DUMMYFUNCTION("GOOGLETRANSLATE(A28218, ""de"", ""en"")"),"Janis")</f>
        <v>Janis</v>
      </c>
    </row>
    <row r="28219">
      <c r="A28219" s="1" t="s">
        <v>28218</v>
      </c>
      <c r="B28219" s="2" t="str">
        <f>IFERROR(__xludf.DUMMYFUNCTION("GOOGLETRANSLATE(A28219, ""de"", ""en"")"),"early")</f>
        <v>early</v>
      </c>
    </row>
    <row r="28220">
      <c r="A28220" s="1" t="s">
        <v>28219</v>
      </c>
      <c r="B28220" s="2" t="str">
        <f>IFERROR(__xludf.DUMMYFUNCTION("GOOGLETRANSLATE(A28220, ""de"", ""en"")"),"more worried")</f>
        <v>more worried</v>
      </c>
    </row>
    <row r="28221">
      <c r="A28221" s="1" t="s">
        <v>28220</v>
      </c>
      <c r="B28221" s="2" t="str">
        <f>IFERROR(__xludf.DUMMYFUNCTION("GOOGLETRANSLATE(A28221, ""de"", ""en"")"),"camera")</f>
        <v>camera</v>
      </c>
    </row>
    <row r="28222">
      <c r="A28222" s="1" t="s">
        <v>28221</v>
      </c>
      <c r="B28222" s="2" t="str">
        <f>IFERROR(__xludf.DUMMYFUNCTION("GOOGLETRANSLATE(A28222, ""de"", ""en"")"),"aka")</f>
        <v>aka</v>
      </c>
    </row>
    <row r="28223">
      <c r="A28223" s="1" t="s">
        <v>28222</v>
      </c>
      <c r="B28223" s="2" t="str">
        <f>IFERROR(__xludf.DUMMYFUNCTION("GOOGLETRANSLATE(A28223, ""de"", ""en"")"),"mazel")</f>
        <v>mazel</v>
      </c>
    </row>
    <row r="28224">
      <c r="A28224" s="1" t="s">
        <v>28223</v>
      </c>
      <c r="B28224" s="2" t="str">
        <f>IFERROR(__xludf.DUMMYFUNCTION("GOOGLETRANSLATE(A28224, ""de"", ""en"")"),"left here")</f>
        <v>left here</v>
      </c>
    </row>
    <row r="28225">
      <c r="A28225" s="1" t="s">
        <v>28224</v>
      </c>
      <c r="B28225" s="2" t="str">
        <f>IFERROR(__xludf.DUMMYFUNCTION("GOOGLETRANSLATE(A28225, ""de"", ""en"")"),"prado")</f>
        <v>prado</v>
      </c>
    </row>
    <row r="28226">
      <c r="A28226" s="1" t="s">
        <v>28225</v>
      </c>
      <c r="B28226" s="2" t="str">
        <f>IFERROR(__xludf.DUMMYFUNCTION("GOOGLETRANSLATE(A28226, ""de"", ""en"")"),"firefighters")</f>
        <v>firefighters</v>
      </c>
    </row>
    <row r="28227">
      <c r="A28227" s="1" t="s">
        <v>28226</v>
      </c>
      <c r="B28227" s="2" t="str">
        <f>IFERROR(__xludf.DUMMYFUNCTION("GOOGLETRANSLATE(A28227, ""de"", ""en"")"),"Katniss")</f>
        <v>Katniss</v>
      </c>
    </row>
    <row r="28228">
      <c r="A28228" s="1" t="s">
        <v>28227</v>
      </c>
      <c r="B28228" s="2" t="str">
        <f>IFERROR(__xludf.DUMMYFUNCTION("GOOGLETRANSLATE(A28228, ""de"", ""en"")"),"blessed")</f>
        <v>blessed</v>
      </c>
    </row>
    <row r="28229">
      <c r="A28229" s="1" t="s">
        <v>28228</v>
      </c>
      <c r="B28229" s="2" t="str">
        <f>IFERROR(__xludf.DUMMYFUNCTION("GOOGLETRANSLATE(A28229, ""de"", ""en"")"),"expansion")</f>
        <v>expansion</v>
      </c>
    </row>
    <row r="28230">
      <c r="A28230" s="1" t="s">
        <v>28229</v>
      </c>
      <c r="B28230" s="2" t="str">
        <f>IFERROR(__xludf.DUMMYFUNCTION("GOOGLETRANSLATE(A28230, ""de"", ""en"")"),"asterisk")</f>
        <v>asterisk</v>
      </c>
    </row>
    <row r="28231">
      <c r="A28231" s="1" t="s">
        <v>28230</v>
      </c>
      <c r="B28231" s="2" t="str">
        <f>IFERROR(__xludf.DUMMYFUNCTION("GOOGLETRANSLATE(A28231, ""de"", ""en"")"),"poorhouse")</f>
        <v>poorhouse</v>
      </c>
    </row>
    <row r="28232">
      <c r="A28232" s="1" t="s">
        <v>28231</v>
      </c>
      <c r="B28232" s="2" t="str">
        <f>IFERROR(__xludf.DUMMYFUNCTION("GOOGLETRANSLATE(A28232, ""de"", ""en"")"),"perpendicular")</f>
        <v>perpendicular</v>
      </c>
    </row>
    <row r="28233">
      <c r="A28233" s="1" t="s">
        <v>28232</v>
      </c>
      <c r="B28233" s="2" t="str">
        <f>IFERROR(__xludf.DUMMYFUNCTION("GOOGLETRANSLATE(A28233, ""de"", ""en"")"),"whereas")</f>
        <v>whereas</v>
      </c>
    </row>
    <row r="28234">
      <c r="A28234" s="1" t="s">
        <v>28233</v>
      </c>
      <c r="B28234" s="2" t="str">
        <f>IFERROR(__xludf.DUMMYFUNCTION("GOOGLETRANSLATE(A28234, ""de"", ""en"")"),"lothbrok")</f>
        <v>lothbrok</v>
      </c>
    </row>
    <row r="28235">
      <c r="A28235" s="1" t="s">
        <v>28234</v>
      </c>
      <c r="B28235" s="2" t="str">
        <f>IFERROR(__xludf.DUMMYFUNCTION("GOOGLETRANSLATE(A28235, ""de"", ""en"")"),"retrieval")</f>
        <v>retrieval</v>
      </c>
    </row>
    <row r="28236">
      <c r="A28236" s="1" t="s">
        <v>28235</v>
      </c>
      <c r="B28236" s="2" t="str">
        <f>IFERROR(__xludf.DUMMYFUNCTION("GOOGLETRANSLATE(A28236, ""de"", ""en"")"),"entertained")</f>
        <v>entertained</v>
      </c>
    </row>
    <row r="28237">
      <c r="A28237" s="1" t="s">
        <v>28236</v>
      </c>
      <c r="B28237" s="2" t="str">
        <f>IFERROR(__xludf.DUMMYFUNCTION("GOOGLETRANSLATE(A28237, ""de"", ""en"")"),"to deliver")</f>
        <v>to deliver</v>
      </c>
    </row>
    <row r="28238">
      <c r="A28238" s="1" t="s">
        <v>28237</v>
      </c>
      <c r="B28238" s="2" t="str">
        <f>IFERROR(__xludf.DUMMYFUNCTION("GOOGLETRANSLATE(A28238, ""de"", ""en"")"),"explosive")</f>
        <v>explosive</v>
      </c>
    </row>
    <row r="28239">
      <c r="A28239" s="1" t="s">
        <v>28238</v>
      </c>
      <c r="B28239" s="2" t="str">
        <f>IFERROR(__xludf.DUMMYFUNCTION("GOOGLETRANSLATE(A28239, ""de"", ""en"")"),"accused")</f>
        <v>accused</v>
      </c>
    </row>
    <row r="28240">
      <c r="A28240" s="1" t="s">
        <v>28239</v>
      </c>
      <c r="B28240" s="2" t="str">
        <f>IFERROR(__xludf.DUMMYFUNCTION("GOOGLETRANSLATE(A28240, ""de"", ""en"")"),"shores")</f>
        <v>shores</v>
      </c>
    </row>
    <row r="28241">
      <c r="A28241" s="1" t="s">
        <v>28240</v>
      </c>
      <c r="B28241" s="2" t="str">
        <f>IFERROR(__xludf.DUMMYFUNCTION("GOOGLETRANSLATE(A28241, ""de"", ""en"")"),"pinches")</f>
        <v>pinches</v>
      </c>
    </row>
    <row r="28242">
      <c r="A28242" s="1" t="s">
        <v>28241</v>
      </c>
      <c r="B28242" s="2" t="str">
        <f>IFERROR(__xludf.DUMMYFUNCTION("GOOGLETRANSLATE(A28242, ""de"", ""en"")"),"ordered")</f>
        <v>ordered</v>
      </c>
    </row>
    <row r="28243">
      <c r="A28243" s="1" t="s">
        <v>28242</v>
      </c>
      <c r="B28243" s="2" t="str">
        <f>IFERROR(__xludf.DUMMYFUNCTION("GOOGLETRANSLATE(A28243, ""de"", ""en"")"),"pumuckl")</f>
        <v>pumuckl</v>
      </c>
    </row>
    <row r="28244">
      <c r="A28244" s="1" t="s">
        <v>28243</v>
      </c>
      <c r="B28244" s="2" t="str">
        <f>IFERROR(__xludf.DUMMYFUNCTION("GOOGLETRANSLATE(A28244, ""de"", ""en"")"),"supply")</f>
        <v>supply</v>
      </c>
    </row>
    <row r="28245">
      <c r="A28245" s="1" t="s">
        <v>28244</v>
      </c>
      <c r="B28245" s="2" t="str">
        <f>IFERROR(__xludf.DUMMYFUNCTION("GOOGLETRANSLATE(A28245, ""de"", ""en"")"),"sawn off")</f>
        <v>sawn off</v>
      </c>
    </row>
    <row r="28246">
      <c r="A28246" s="1" t="s">
        <v>28245</v>
      </c>
      <c r="B28246" s="2" t="str">
        <f>IFERROR(__xludf.DUMMYFUNCTION("GOOGLETRANSLATE(A28246, ""de"", ""en"")"),"Gibraltar")</f>
        <v>Gibraltar</v>
      </c>
    </row>
    <row r="28247">
      <c r="A28247" s="1" t="s">
        <v>28246</v>
      </c>
      <c r="B28247" s="2" t="str">
        <f>IFERROR(__xludf.DUMMYFUNCTION("GOOGLETRANSLATE(A28247, ""de"", ""en"")"),"blinky")</f>
        <v>blinky</v>
      </c>
    </row>
    <row r="28248">
      <c r="A28248" s="1" t="s">
        <v>28247</v>
      </c>
      <c r="B28248" s="2" t="str">
        <f>IFERROR(__xludf.DUMMYFUNCTION("GOOGLETRANSLATE(A28248, ""de"", ""en"")"),"mediate")</f>
        <v>mediate</v>
      </c>
    </row>
    <row r="28249">
      <c r="A28249" s="1" t="s">
        <v>28248</v>
      </c>
      <c r="B28249" s="2" t="str">
        <f>IFERROR(__xludf.DUMMYFUNCTION("GOOGLETRANSLATE(A28249, ""de"", ""en"")"),"Bastian")</f>
        <v>Bastian</v>
      </c>
    </row>
    <row r="28250">
      <c r="A28250" s="1" t="s">
        <v>28249</v>
      </c>
      <c r="B28250" s="2" t="str">
        <f>IFERROR(__xludf.DUMMYFUNCTION("GOOGLETRANSLATE(A28250, ""de"", ""en"")"),"sailboat")</f>
        <v>sailboat</v>
      </c>
    </row>
    <row r="28251">
      <c r="A28251" s="1" t="s">
        <v>28250</v>
      </c>
      <c r="B28251" s="2" t="str">
        <f>IFERROR(__xludf.DUMMYFUNCTION("GOOGLETRANSLATE(A28251, ""de"", ""en"")"),"brass music")</f>
        <v>brass music</v>
      </c>
    </row>
    <row r="28252">
      <c r="A28252" s="1" t="s">
        <v>28251</v>
      </c>
      <c r="B28252" s="2" t="str">
        <f>IFERROR(__xludf.DUMMYFUNCTION("GOOGLETRANSLATE(A28252, ""de"", ""en"")"),"less")</f>
        <v>less</v>
      </c>
    </row>
    <row r="28253">
      <c r="A28253" s="1" t="s">
        <v>28252</v>
      </c>
      <c r="B28253" s="2" t="str">
        <f>IFERROR(__xludf.DUMMYFUNCTION("GOOGLETRANSLATE(A28253, ""de"", ""en"")"),"Berenson")</f>
        <v>Berenson</v>
      </c>
    </row>
    <row r="28254">
      <c r="A28254" s="1" t="s">
        <v>28253</v>
      </c>
      <c r="B28254" s="2" t="str">
        <f>IFERROR(__xludf.DUMMYFUNCTION("GOOGLETRANSLATE(A28254, ""de"", ""en"")"),"dragged along")</f>
        <v>dragged along</v>
      </c>
    </row>
    <row r="28255">
      <c r="A28255" s="1" t="s">
        <v>28254</v>
      </c>
      <c r="B28255" s="2" t="str">
        <f>IFERROR(__xludf.DUMMYFUNCTION("GOOGLETRANSLATE(A28255, ""de"", ""en"")"),"Kuwait")</f>
        <v>Kuwait</v>
      </c>
    </row>
    <row r="28256">
      <c r="A28256" s="1" t="s">
        <v>28255</v>
      </c>
      <c r="B28256" s="2" t="str">
        <f>IFERROR(__xludf.DUMMYFUNCTION("GOOGLETRANSLATE(A28256, ""de"", ""en"")"),"banshee")</f>
        <v>banshee</v>
      </c>
    </row>
    <row r="28257">
      <c r="A28257" s="1" t="s">
        <v>28256</v>
      </c>
      <c r="B28257" s="2" t="str">
        <f>IFERROR(__xludf.DUMMYFUNCTION("GOOGLETRANSLATE(A28257, ""de"", ""en"")"),"bravest")</f>
        <v>bravest</v>
      </c>
    </row>
    <row r="28258">
      <c r="A28258" s="1" t="s">
        <v>28257</v>
      </c>
      <c r="B28258" s="2" t="str">
        <f>IFERROR(__xludf.DUMMYFUNCTION("GOOGLETRANSLATE(A28258, ""de"", ""en"")"),"brain tumor")</f>
        <v>brain tumor</v>
      </c>
    </row>
    <row r="28259">
      <c r="A28259" s="1" t="s">
        <v>28258</v>
      </c>
      <c r="B28259" s="2" t="str">
        <f>IFERROR(__xludf.DUMMYFUNCTION("GOOGLETRANSLATE(A28259, ""de"", ""en"")"),"improves")</f>
        <v>improves</v>
      </c>
    </row>
    <row r="28260">
      <c r="A28260" s="1" t="s">
        <v>28259</v>
      </c>
      <c r="B28260" s="2" t="str">
        <f>IFERROR(__xludf.DUMMYFUNCTION("GOOGLETRANSLATE(A28260, ""de"", ""en"")"),"knocked over")</f>
        <v>knocked over</v>
      </c>
    </row>
    <row r="28261">
      <c r="A28261" s="1" t="s">
        <v>28260</v>
      </c>
      <c r="B28261" s="2" t="str">
        <f>IFERROR(__xludf.DUMMYFUNCTION("GOOGLETRANSLATE(A28261, ""de"", ""en"")"),"nyu")</f>
        <v>nyu</v>
      </c>
    </row>
    <row r="28262">
      <c r="A28262" s="1" t="s">
        <v>28261</v>
      </c>
      <c r="B28262" s="2" t="str">
        <f>IFERROR(__xludf.DUMMYFUNCTION("GOOGLETRANSLATE(A28262, ""de"", ""en"")"),"unrecognized")</f>
        <v>unrecognized</v>
      </c>
    </row>
    <row r="28263">
      <c r="A28263" s="1" t="s">
        <v>28262</v>
      </c>
      <c r="B28263" s="2" t="str">
        <f>IFERROR(__xludf.DUMMYFUNCTION("GOOGLETRANSLATE(A28263, ""de"", ""en"")"),"disrespect")</f>
        <v>disrespect</v>
      </c>
    </row>
    <row r="28264">
      <c r="A28264" s="1" t="s">
        <v>28263</v>
      </c>
      <c r="B28264" s="2" t="str">
        <f>IFERROR(__xludf.DUMMYFUNCTION("GOOGLETRANSLATE(A28264, ""de"", ""en"")"),"volley")</f>
        <v>volley</v>
      </c>
    </row>
    <row r="28265">
      <c r="A28265" s="1" t="s">
        <v>28264</v>
      </c>
      <c r="B28265" s="2" t="str">
        <f>IFERROR(__xludf.DUMMYFUNCTION("GOOGLETRANSLATE(A28265, ""de"", ""en"")"),"doctor's appointment")</f>
        <v>doctor's appointment</v>
      </c>
    </row>
    <row r="28266">
      <c r="A28266" s="1" t="s">
        <v>28265</v>
      </c>
      <c r="B28266" s="2" t="str">
        <f>IFERROR(__xludf.DUMMYFUNCTION("GOOGLETRANSLATE(A28266, ""de"", ""en"")"),"photo")</f>
        <v>photo</v>
      </c>
    </row>
    <row r="28267">
      <c r="A28267" s="1" t="s">
        <v>28266</v>
      </c>
      <c r="B28267" s="2" t="str">
        <f>IFERROR(__xludf.DUMMYFUNCTION("GOOGLETRANSLATE(A28267, ""de"", ""en"")"),"strive")</f>
        <v>strive</v>
      </c>
    </row>
    <row r="28268">
      <c r="A28268" s="1" t="s">
        <v>28267</v>
      </c>
      <c r="B28268" s="2" t="str">
        <f>IFERROR(__xludf.DUMMYFUNCTION("GOOGLETRANSLATE(A28268, ""de"", ""en"")"),"tims")</f>
        <v>tims</v>
      </c>
    </row>
    <row r="28269">
      <c r="A28269" s="1" t="s">
        <v>28268</v>
      </c>
      <c r="B28269" s="2" t="str">
        <f>IFERROR(__xludf.DUMMYFUNCTION("GOOGLETRANSLATE(A28269, ""de"", ""en"")"),"Malaysia")</f>
        <v>Malaysia</v>
      </c>
    </row>
    <row r="28270">
      <c r="A28270" s="1" t="s">
        <v>28269</v>
      </c>
      <c r="B28270" s="2" t="str">
        <f>IFERROR(__xludf.DUMMYFUNCTION("GOOGLETRANSLATE(A28270, ""de"", ""en"")"),"pink")</f>
        <v>pink</v>
      </c>
    </row>
    <row r="28271">
      <c r="A28271" s="1" t="s">
        <v>28270</v>
      </c>
      <c r="B28271" s="2" t="str">
        <f>IFERROR(__xludf.DUMMYFUNCTION("GOOGLETRANSLATE(A28271, ""de"", ""en"")"),"burrell")</f>
        <v>burrell</v>
      </c>
    </row>
    <row r="28272">
      <c r="A28272" s="1" t="s">
        <v>28271</v>
      </c>
      <c r="B28272" s="2" t="str">
        <f>IFERROR(__xludf.DUMMYFUNCTION("GOOGLETRANSLATE(A28272, ""de"", ""en"")"),"numerically")</f>
        <v>numerically</v>
      </c>
    </row>
    <row r="28273">
      <c r="A28273" s="1" t="s">
        <v>28272</v>
      </c>
      <c r="B28273" s="2" t="str">
        <f>IFERROR(__xludf.DUMMYFUNCTION("GOOGLETRANSLATE(A28273, ""de"", ""en"")"),"covered")</f>
        <v>covered</v>
      </c>
    </row>
    <row r="28274">
      <c r="A28274" s="1" t="s">
        <v>28273</v>
      </c>
      <c r="B28274" s="2" t="str">
        <f>IFERROR(__xludf.DUMMYFUNCTION("GOOGLETRANSLATE(A28274, ""de"", ""en"")"),"drug possession")</f>
        <v>drug possession</v>
      </c>
    </row>
    <row r="28275">
      <c r="A28275" s="1" t="s">
        <v>28274</v>
      </c>
      <c r="B28275" s="2" t="str">
        <f>IFERROR(__xludf.DUMMYFUNCTION("GOOGLETRANSLATE(A28275, ""de"", ""en"")"),"worry")</f>
        <v>worry</v>
      </c>
    </row>
    <row r="28276">
      <c r="A28276" s="1" t="s">
        <v>28275</v>
      </c>
      <c r="B28276" s="2" t="str">
        <f>IFERROR(__xludf.DUMMYFUNCTION("GOOGLETRANSLATE(A28276, ""de"", ""en"")"),"held up")</f>
        <v>held up</v>
      </c>
    </row>
    <row r="28277">
      <c r="A28277" s="1" t="s">
        <v>28276</v>
      </c>
      <c r="B28277" s="2" t="str">
        <f>IFERROR(__xludf.DUMMYFUNCTION("GOOGLETRANSLATE(A28277, ""de"", ""en"")"),"happened")</f>
        <v>happened</v>
      </c>
    </row>
    <row r="28278">
      <c r="A28278" s="1" t="s">
        <v>28277</v>
      </c>
      <c r="B28278" s="2" t="str">
        <f>IFERROR(__xludf.DUMMYFUNCTION("GOOGLETRANSLATE(A28278, ""de"", ""en"")"),"objects")</f>
        <v>objects</v>
      </c>
    </row>
    <row r="28279">
      <c r="A28279" s="1" t="s">
        <v>28278</v>
      </c>
      <c r="B28279" s="2" t="str">
        <f>IFERROR(__xludf.DUMMYFUNCTION("GOOGLETRANSLATE(A28279, ""de"", ""en"")"),"didn")</f>
        <v>didn</v>
      </c>
    </row>
    <row r="28280">
      <c r="A28280" s="1" t="s">
        <v>28279</v>
      </c>
      <c r="B28280" s="2" t="str">
        <f>IFERROR(__xludf.DUMMYFUNCTION("GOOGLETRANSLATE(A28280, ""de"", ""en"")"),"linderman")</f>
        <v>linderman</v>
      </c>
    </row>
    <row r="28281">
      <c r="A28281" s="1" t="s">
        <v>28280</v>
      </c>
      <c r="B28281" s="2" t="str">
        <f>IFERROR(__xludf.DUMMYFUNCTION("GOOGLETRANSLATE(A28281, ""de"", ""en"")"),"all of a sudden")</f>
        <v>all of a sudden</v>
      </c>
    </row>
    <row r="28282">
      <c r="A28282" s="1" t="s">
        <v>28281</v>
      </c>
      <c r="B28282" s="2" t="str">
        <f>IFERROR(__xludf.DUMMYFUNCTION("GOOGLETRANSLATE(A28282, ""de"", ""en"")"),"stem cells")</f>
        <v>stem cells</v>
      </c>
    </row>
    <row r="28283">
      <c r="A28283" s="1" t="s">
        <v>28282</v>
      </c>
      <c r="B28283" s="2" t="str">
        <f>IFERROR(__xludf.DUMMYFUNCTION("GOOGLETRANSLATE(A28283, ""de"", ""en"")"),"stretched out")</f>
        <v>stretched out</v>
      </c>
    </row>
    <row r="28284">
      <c r="A28284" s="1" t="s">
        <v>28283</v>
      </c>
      <c r="B28284" s="2" t="str">
        <f>IFERROR(__xludf.DUMMYFUNCTION("GOOGLETRANSLATE(A28284, ""de"", ""en"")"),"pres")</f>
        <v>pres</v>
      </c>
    </row>
    <row r="28285">
      <c r="A28285" s="1" t="s">
        <v>28284</v>
      </c>
      <c r="B28285" s="2" t="str">
        <f>IFERROR(__xludf.DUMMYFUNCTION("GOOGLETRANSLATE(A28285, ""de"", ""en"")"),"business cards")</f>
        <v>business cards</v>
      </c>
    </row>
    <row r="28286">
      <c r="A28286" s="1" t="s">
        <v>28285</v>
      </c>
      <c r="B28286" s="2" t="str">
        <f>IFERROR(__xludf.DUMMYFUNCTION("GOOGLETRANSLATE(A28286, ""de"", ""en"")"),"Aug")</f>
        <v>Aug</v>
      </c>
    </row>
    <row r="28287">
      <c r="A28287" s="1" t="s">
        <v>28286</v>
      </c>
      <c r="B28287" s="2" t="str">
        <f>IFERROR(__xludf.DUMMYFUNCTION("GOOGLETRANSLATE(A28287, ""de"", ""en"")"),"uninhabited")</f>
        <v>uninhabited</v>
      </c>
    </row>
    <row r="28288">
      <c r="A28288" s="1" t="s">
        <v>28287</v>
      </c>
      <c r="B28288" s="2" t="str">
        <f>IFERROR(__xludf.DUMMYFUNCTION("GOOGLETRANSLATE(A28288, ""de"", ""en"")"),"chas")</f>
        <v>chas</v>
      </c>
    </row>
    <row r="28289">
      <c r="A28289" s="1" t="s">
        <v>28288</v>
      </c>
      <c r="B28289" s="2" t="str">
        <f>IFERROR(__xludf.DUMMYFUNCTION("GOOGLETRANSLATE(A28289, ""de"", ""en"")"),"accommodate")</f>
        <v>accommodate</v>
      </c>
    </row>
    <row r="28290">
      <c r="A28290" s="1" t="s">
        <v>28289</v>
      </c>
      <c r="B28290" s="2" t="str">
        <f>IFERROR(__xludf.DUMMYFUNCTION("GOOGLETRANSLATE(A28290, ""de"", ""en"")"),"Kelsey")</f>
        <v>Kelsey</v>
      </c>
    </row>
    <row r="28291">
      <c r="A28291" s="1" t="s">
        <v>28290</v>
      </c>
      <c r="B28291" s="2" t="str">
        <f>IFERROR(__xludf.DUMMYFUNCTION("GOOGLETRANSLATE(A28291, ""de"", ""en"")"),"jeanine")</f>
        <v>jeanine</v>
      </c>
    </row>
    <row r="28292">
      <c r="A28292" s="1" t="s">
        <v>28291</v>
      </c>
      <c r="B28292" s="2" t="str">
        <f>IFERROR(__xludf.DUMMYFUNCTION("GOOGLETRANSLATE(A28292, ""de"", ""en"")"),"cakes")</f>
        <v>cakes</v>
      </c>
    </row>
    <row r="28293">
      <c r="A28293" s="1" t="s">
        <v>28292</v>
      </c>
      <c r="B28293" s="2" t="str">
        <f>IFERROR(__xludf.DUMMYFUNCTION("GOOGLETRANSLATE(A28293, ""de"", ""en"")"),"look up")</f>
        <v>look up</v>
      </c>
    </row>
    <row r="28294">
      <c r="A28294" s="1" t="s">
        <v>28293</v>
      </c>
      <c r="B28294" s="2" t="str">
        <f>IFERROR(__xludf.DUMMYFUNCTION("GOOGLETRANSLATE(A28294, ""de"", ""en"")"),"refugee camp")</f>
        <v>refugee camp</v>
      </c>
    </row>
    <row r="28295">
      <c r="A28295" s="1" t="s">
        <v>28294</v>
      </c>
      <c r="B28295" s="2" t="str">
        <f>IFERROR(__xludf.DUMMYFUNCTION("GOOGLETRANSLATE(A28295, ""de"", ""en"")"),"playtime")</f>
        <v>playtime</v>
      </c>
    </row>
    <row r="28296">
      <c r="A28296" s="1" t="s">
        <v>28295</v>
      </c>
      <c r="B28296" s="2" t="str">
        <f>IFERROR(__xludf.DUMMYFUNCTION("GOOGLETRANSLATE(A28296, ""de"", ""en"")"),"lucky hit")</f>
        <v>lucky hit</v>
      </c>
    </row>
    <row r="28297">
      <c r="A28297" s="1" t="s">
        <v>28296</v>
      </c>
      <c r="B28297" s="2" t="str">
        <f>IFERROR(__xludf.DUMMYFUNCTION("GOOGLETRANSLATE(A28297, ""de"", ""en"")"),"aya")</f>
        <v>aya</v>
      </c>
    </row>
    <row r="28298">
      <c r="A28298" s="1" t="s">
        <v>28297</v>
      </c>
      <c r="B28298" s="2" t="str">
        <f>IFERROR(__xludf.DUMMYFUNCTION("GOOGLETRANSLATE(A28298, ""de"", ""en"")"),"mental illness")</f>
        <v>mental illness</v>
      </c>
    </row>
    <row r="28299">
      <c r="A28299" s="1" t="s">
        <v>28298</v>
      </c>
      <c r="B28299" s="2" t="str">
        <f>IFERROR(__xludf.DUMMYFUNCTION("GOOGLETRANSLATE(A28299, ""de"", ""en"")"),"must")</f>
        <v>must</v>
      </c>
    </row>
    <row r="28300">
      <c r="A28300" s="1" t="s">
        <v>28299</v>
      </c>
      <c r="B28300" s="2" t="str">
        <f>IFERROR(__xludf.DUMMYFUNCTION("GOOGLETRANSLATE(A28300, ""de"", ""en"")"),"shred")</f>
        <v>shred</v>
      </c>
    </row>
    <row r="28301">
      <c r="A28301" s="1" t="s">
        <v>28300</v>
      </c>
      <c r="B28301" s="2" t="str">
        <f>IFERROR(__xludf.DUMMYFUNCTION("GOOGLETRANSLATE(A28301, ""de"", ""en"")"),"desired")</f>
        <v>desired</v>
      </c>
    </row>
    <row r="28302">
      <c r="A28302" s="1" t="s">
        <v>28301</v>
      </c>
      <c r="B28302" s="2" t="str">
        <f>IFERROR(__xludf.DUMMYFUNCTION("GOOGLETRANSLATE(A28302, ""de"", ""en"")"),"Roswell")</f>
        <v>Roswell</v>
      </c>
    </row>
    <row r="28303">
      <c r="A28303" s="1" t="s">
        <v>28302</v>
      </c>
      <c r="B28303" s="2" t="str">
        <f>IFERROR(__xludf.DUMMYFUNCTION("GOOGLETRANSLATE(A28303, ""de"", ""en"")"),"pronounces")</f>
        <v>pronounces</v>
      </c>
    </row>
    <row r="28304">
      <c r="A28304" s="1" t="s">
        <v>28303</v>
      </c>
      <c r="B28304" s="2" t="str">
        <f>IFERROR(__xludf.DUMMYFUNCTION("GOOGLETRANSLATE(A28304, ""de"", ""en"")"),"to put on")</f>
        <v>to put on</v>
      </c>
    </row>
    <row r="28305">
      <c r="A28305" s="1" t="s">
        <v>28304</v>
      </c>
      <c r="B28305" s="2" t="str">
        <f>IFERROR(__xludf.DUMMYFUNCTION("GOOGLETRANSLATE(A28305, ""de"", ""en"")"),"conservatory")</f>
        <v>conservatory</v>
      </c>
    </row>
    <row r="28306">
      <c r="A28306" s="1" t="s">
        <v>28305</v>
      </c>
      <c r="B28306" s="2" t="str">
        <f>IFERROR(__xludf.DUMMYFUNCTION("GOOGLETRANSLATE(A28306, ""de"", ""en"")"),"dima")</f>
        <v>dima</v>
      </c>
    </row>
    <row r="28307">
      <c r="A28307" s="1" t="s">
        <v>28306</v>
      </c>
      <c r="B28307" s="2" t="str">
        <f>IFERROR(__xludf.DUMMYFUNCTION("GOOGLETRANSLATE(A28307, ""de"", ""en"")"),"alastair")</f>
        <v>alastair</v>
      </c>
    </row>
    <row r="28308">
      <c r="A28308" s="1" t="s">
        <v>28307</v>
      </c>
      <c r="B28308" s="2" t="str">
        <f>IFERROR(__xludf.DUMMYFUNCTION("GOOGLETRANSLATE(A28308, ""de"", ""en"")"),"lia")</f>
        <v>lia</v>
      </c>
    </row>
    <row r="28309">
      <c r="A28309" s="1" t="s">
        <v>28308</v>
      </c>
      <c r="B28309" s="2" t="str">
        <f>IFERROR(__xludf.DUMMYFUNCTION("GOOGLETRANSLATE(A28309, ""de"", ""en"")"),"claw")</f>
        <v>claw</v>
      </c>
    </row>
    <row r="28310">
      <c r="A28310" s="1" t="s">
        <v>28309</v>
      </c>
      <c r="B28310" s="2" t="str">
        <f>IFERROR(__xludf.DUMMYFUNCTION("GOOGLETRANSLATE(A28310, ""de"", ""en"")"),"liqueur")</f>
        <v>liqueur</v>
      </c>
    </row>
    <row r="28311">
      <c r="A28311" s="1" t="s">
        <v>28310</v>
      </c>
      <c r="B28311" s="2" t="str">
        <f>IFERROR(__xludf.DUMMYFUNCTION("GOOGLETRANSLATE(A28311, ""de"", ""en"")"),"pinot")</f>
        <v>pinot</v>
      </c>
    </row>
    <row r="28312">
      <c r="A28312" s="1" t="s">
        <v>28311</v>
      </c>
      <c r="B28312" s="2" t="str">
        <f>IFERROR(__xludf.DUMMYFUNCTION("GOOGLETRANSLATE(A28312, ""de"", ""en"")"),"pay off")</f>
        <v>pay off</v>
      </c>
    </row>
    <row r="28313">
      <c r="A28313" s="1" t="s">
        <v>28312</v>
      </c>
      <c r="B28313" s="2" t="str">
        <f>IFERROR(__xludf.DUMMYFUNCTION("GOOGLETRANSLATE(A28313, ""de"", ""en"")"),"Romulus")</f>
        <v>Romulus</v>
      </c>
    </row>
    <row r="28314">
      <c r="A28314" s="1" t="s">
        <v>28313</v>
      </c>
      <c r="B28314" s="2" t="str">
        <f>IFERROR(__xludf.DUMMYFUNCTION("GOOGLETRANSLATE(A28314, ""de"", ""en"")"),"parallels")</f>
        <v>parallels</v>
      </c>
    </row>
    <row r="28315">
      <c r="A28315" s="1" t="s">
        <v>28314</v>
      </c>
      <c r="B28315" s="2" t="str">
        <f>IFERROR(__xludf.DUMMYFUNCTION("GOOGLETRANSLATE(A28315, ""de"", ""en"")"),"nicholson")</f>
        <v>nicholson</v>
      </c>
    </row>
    <row r="28316">
      <c r="A28316" s="1" t="s">
        <v>28315</v>
      </c>
      <c r="B28316" s="2" t="str">
        <f>IFERROR(__xludf.DUMMYFUNCTION("GOOGLETRANSLATE(A28316, ""de"", ""en"")"),"nope")</f>
        <v>nope</v>
      </c>
    </row>
    <row r="28317">
      <c r="A28317" s="1" t="s">
        <v>28316</v>
      </c>
      <c r="B28317" s="2" t="str">
        <f>IFERROR(__xludf.DUMMYFUNCTION("GOOGLETRANSLATE(A28317, ""de"", ""en"")"),"more")</f>
        <v>more</v>
      </c>
    </row>
    <row r="28318">
      <c r="A28318" s="1" t="s">
        <v>28317</v>
      </c>
      <c r="B28318" s="2" t="str">
        <f>IFERROR(__xludf.DUMMYFUNCTION("GOOGLETRANSLATE(A28318, ""de"", ""en"")"),"grimace")</f>
        <v>grimace</v>
      </c>
    </row>
    <row r="28319">
      <c r="A28319" s="1" t="s">
        <v>28318</v>
      </c>
      <c r="B28319" s="2" t="str">
        <f>IFERROR(__xludf.DUMMYFUNCTION("GOOGLETRANSLATE(A28319, ""de"", ""en"")"),"broderick")</f>
        <v>broderick</v>
      </c>
    </row>
    <row r="28320">
      <c r="A28320" s="1" t="s">
        <v>28319</v>
      </c>
      <c r="B28320" s="2" t="str">
        <f>IFERROR(__xludf.DUMMYFUNCTION("GOOGLETRANSLATE(A28320, ""de"", ""en"")"),"cabo")</f>
        <v>cabo</v>
      </c>
    </row>
    <row r="28321">
      <c r="A28321" s="1" t="s">
        <v>28320</v>
      </c>
      <c r="B28321" s="2" t="str">
        <f>IFERROR(__xludf.DUMMYFUNCTION("GOOGLETRANSLATE(A28321, ""de"", ""en"")"),"to keep")</f>
        <v>to keep</v>
      </c>
    </row>
    <row r="28322">
      <c r="A28322" s="1" t="s">
        <v>28321</v>
      </c>
      <c r="B28322" s="2" t="str">
        <f>IFERROR(__xludf.DUMMYFUNCTION("GOOGLETRANSLATE(A28322, ""de"", ""en"")"),"comfortable")</f>
        <v>comfortable</v>
      </c>
    </row>
    <row r="28323">
      <c r="A28323" s="1" t="s">
        <v>28322</v>
      </c>
      <c r="B28323" s="2" t="str">
        <f>IFERROR(__xludf.DUMMYFUNCTION("GOOGLETRANSLATE(A28323, ""de"", ""en"")"),"amazed")</f>
        <v>amazed</v>
      </c>
    </row>
    <row r="28324">
      <c r="A28324" s="1" t="s">
        <v>28323</v>
      </c>
      <c r="B28324" s="2" t="str">
        <f>IFERROR(__xludf.DUMMYFUNCTION("GOOGLETRANSLATE(A28324, ""de"", ""en"")"),"passenger")</f>
        <v>passenger</v>
      </c>
    </row>
    <row r="28325">
      <c r="A28325" s="1" t="s">
        <v>28324</v>
      </c>
      <c r="B28325" s="2" t="str">
        <f>IFERROR(__xludf.DUMMYFUNCTION("GOOGLETRANSLATE(A28325, ""de"", ""en"")"),"refused")</f>
        <v>refused</v>
      </c>
    </row>
    <row r="28326">
      <c r="A28326" s="1" t="s">
        <v>28325</v>
      </c>
      <c r="B28326" s="2" t="str">
        <f>IFERROR(__xludf.DUMMYFUNCTION("GOOGLETRANSLATE(A28326, ""de"", ""en"")"),"rented")</f>
        <v>rented</v>
      </c>
    </row>
    <row r="28327">
      <c r="A28327" s="1" t="s">
        <v>28326</v>
      </c>
      <c r="B28327" s="2" t="str">
        <f>IFERROR(__xludf.DUMMYFUNCTION("GOOGLETRANSLATE(A28327, ""de"", ""en"")"),"questioned")</f>
        <v>questioned</v>
      </c>
    </row>
    <row r="28328">
      <c r="A28328" s="1" t="s">
        <v>28327</v>
      </c>
      <c r="B28328" s="2" t="str">
        <f>IFERROR(__xludf.DUMMYFUNCTION("GOOGLETRANSLATE(A28328, ""de"", ""en"")"),"fished")</f>
        <v>fished</v>
      </c>
    </row>
    <row r="28329">
      <c r="A28329" s="1" t="s">
        <v>28328</v>
      </c>
      <c r="B28329" s="2" t="str">
        <f>IFERROR(__xludf.DUMMYFUNCTION("GOOGLETRANSLATE(A28329, ""de"", ""en"")"),"pump")</f>
        <v>pump</v>
      </c>
    </row>
    <row r="28330">
      <c r="A28330" s="1" t="s">
        <v>28329</v>
      </c>
      <c r="B28330" s="2" t="str">
        <f>IFERROR(__xludf.DUMMYFUNCTION("GOOGLETRANSLATE(A28330, ""de"", ""en"")"),"tush")</f>
        <v>tush</v>
      </c>
    </row>
    <row r="28331">
      <c r="A28331" s="1" t="s">
        <v>28330</v>
      </c>
      <c r="B28331" s="2" t="str">
        <f>IFERROR(__xludf.DUMMYFUNCTION("GOOGLETRANSLATE(A28331, ""de"", ""en"")"),"haired")</f>
        <v>haired</v>
      </c>
    </row>
    <row r="28332">
      <c r="A28332" s="1" t="s">
        <v>28331</v>
      </c>
      <c r="B28332" s="2" t="str">
        <f>IFERROR(__xludf.DUMMYFUNCTION("GOOGLETRANSLATE(A28332, ""de"", ""en"")"),"bearer")</f>
        <v>bearer</v>
      </c>
    </row>
    <row r="28333">
      <c r="A28333" s="1" t="s">
        <v>28332</v>
      </c>
      <c r="B28333" s="2" t="str">
        <f>IFERROR(__xludf.DUMMYFUNCTION("GOOGLETRANSLATE(A28333, ""de"", ""en"")"),"security guard")</f>
        <v>security guard</v>
      </c>
    </row>
    <row r="28334">
      <c r="A28334" s="1" t="s">
        <v>28333</v>
      </c>
      <c r="B28334" s="2" t="str">
        <f>IFERROR(__xludf.DUMMYFUNCTION("GOOGLETRANSLATE(A28334, ""de"", ""en"")"),"analyze")</f>
        <v>analyze</v>
      </c>
    </row>
    <row r="28335">
      <c r="A28335" s="1" t="s">
        <v>28334</v>
      </c>
      <c r="B28335" s="2" t="str">
        <f>IFERROR(__xludf.DUMMYFUNCTION("GOOGLETRANSLATE(A28335, ""de"", ""en"")"),"evening dress")</f>
        <v>evening dress</v>
      </c>
    </row>
    <row r="28336">
      <c r="A28336" s="1" t="s">
        <v>28335</v>
      </c>
      <c r="B28336" s="2" t="str">
        <f>IFERROR(__xludf.DUMMYFUNCTION("GOOGLETRANSLATE(A28336, ""de"", ""en"")"),"fantasies")</f>
        <v>fantasies</v>
      </c>
    </row>
    <row r="28337">
      <c r="A28337" s="1" t="s">
        <v>28336</v>
      </c>
      <c r="B28337" s="2" t="str">
        <f>IFERROR(__xludf.DUMMYFUNCTION("GOOGLETRANSLATE(A28337, ""de"", ""en"")"),"opposite")</f>
        <v>opposite</v>
      </c>
    </row>
    <row r="28338">
      <c r="A28338" s="1" t="s">
        <v>28337</v>
      </c>
      <c r="B28338" s="2" t="str">
        <f>IFERROR(__xludf.DUMMYFUNCTION("GOOGLETRANSLATE(A28338, ""de"", ""en"")"),"classify")</f>
        <v>classify</v>
      </c>
    </row>
    <row r="28339">
      <c r="A28339" s="1" t="s">
        <v>28338</v>
      </c>
      <c r="B28339" s="2" t="str">
        <f>IFERROR(__xludf.DUMMYFUNCTION("GOOGLETRANSLATE(A28339, ""de"", ""en"")"),"none")</f>
        <v>none</v>
      </c>
    </row>
    <row r="28340">
      <c r="A28340" s="1" t="s">
        <v>28339</v>
      </c>
      <c r="B28340" s="2" t="str">
        <f>IFERROR(__xludf.DUMMYFUNCTION("GOOGLETRANSLATE(A28340, ""de"", ""en"")"),"turns around")</f>
        <v>turns around</v>
      </c>
    </row>
    <row r="28341">
      <c r="A28341" s="1" t="s">
        <v>28340</v>
      </c>
      <c r="B28341" s="2" t="str">
        <f>IFERROR(__xludf.DUMMYFUNCTION("GOOGLETRANSLATE(A28341, ""de"", ""en"")"),"Greenland")</f>
        <v>Greenland</v>
      </c>
    </row>
    <row r="28342">
      <c r="A28342" s="1" t="s">
        <v>28341</v>
      </c>
      <c r="B28342" s="2" t="str">
        <f>IFERROR(__xludf.DUMMYFUNCTION("GOOGLETRANSLATE(A28342, ""de"", ""en"")"),"fifty-fifty")</f>
        <v>fifty-fifty</v>
      </c>
    </row>
    <row r="28343">
      <c r="A28343" s="1" t="s">
        <v>28342</v>
      </c>
      <c r="B28343" s="2" t="str">
        <f>IFERROR(__xludf.DUMMYFUNCTION("GOOGLETRANSLATE(A28343, ""de"", ""en"")"),"roommates")</f>
        <v>roommates</v>
      </c>
    </row>
    <row r="28344">
      <c r="A28344" s="1" t="s">
        <v>28343</v>
      </c>
      <c r="B28344" s="2" t="str">
        <f>IFERROR(__xludf.DUMMYFUNCTION("GOOGLETRANSLATE(A28344, ""de"", ""en"")"),"turn")</f>
        <v>turn</v>
      </c>
    </row>
    <row r="28345">
      <c r="A28345" s="1" t="s">
        <v>28344</v>
      </c>
      <c r="B28345" s="2" t="str">
        <f>IFERROR(__xludf.DUMMYFUNCTION("GOOGLETRANSLATE(A28345, ""de"", ""en"")"),"ina")</f>
        <v>ina</v>
      </c>
    </row>
    <row r="28346">
      <c r="A28346" s="1" t="s">
        <v>28345</v>
      </c>
      <c r="B28346" s="2" t="str">
        <f>IFERROR(__xludf.DUMMYFUNCTION("GOOGLETRANSLATE(A28346, ""de"", ""en"")"),"pitiful")</f>
        <v>pitiful</v>
      </c>
    </row>
    <row r="28347">
      <c r="A28347" s="1" t="s">
        <v>28346</v>
      </c>
      <c r="B28347" s="2" t="str">
        <f>IFERROR(__xludf.DUMMYFUNCTION("GOOGLETRANSLATE(A28347, ""de"", ""en"")"),"to walk around")</f>
        <v>to walk around</v>
      </c>
    </row>
    <row r="28348">
      <c r="A28348" s="1" t="s">
        <v>28347</v>
      </c>
      <c r="B28348" s="2" t="str">
        <f>IFERROR(__xludf.DUMMYFUNCTION("GOOGLETRANSLATE(A28348, ""de"", ""en"")"),"leanne")</f>
        <v>leanne</v>
      </c>
    </row>
    <row r="28349">
      <c r="A28349" s="1" t="s">
        <v>28348</v>
      </c>
      <c r="B28349" s="2" t="str">
        <f>IFERROR(__xludf.DUMMYFUNCTION("GOOGLETRANSLATE(A28349, ""de"", ""en"")"),"goodness")</f>
        <v>goodness</v>
      </c>
    </row>
    <row r="28350">
      <c r="A28350" s="1" t="s">
        <v>28349</v>
      </c>
      <c r="B28350" s="2" t="str">
        <f>IFERROR(__xludf.DUMMYFUNCTION("GOOGLETRANSLATE(A28350, ""de"", ""en"")"),"quarreled")</f>
        <v>quarreled</v>
      </c>
    </row>
    <row r="28351">
      <c r="A28351" s="1" t="s">
        <v>28350</v>
      </c>
      <c r="B28351" s="2" t="str">
        <f>IFERROR(__xludf.DUMMYFUNCTION("GOOGLETRANSLATE(A28351, ""de"", ""en"")"),"warden")</f>
        <v>warden</v>
      </c>
    </row>
    <row r="28352">
      <c r="A28352" s="1" t="s">
        <v>28351</v>
      </c>
      <c r="B28352" s="2" t="str">
        <f>IFERROR(__xludf.DUMMYFUNCTION("GOOGLETRANSLATE(A28352, ""de"", ""en"")"),"Gladstone")</f>
        <v>Gladstone</v>
      </c>
    </row>
    <row r="28353">
      <c r="A28353" s="1" t="s">
        <v>28352</v>
      </c>
      <c r="B28353" s="2" t="str">
        <f>IFERROR(__xludf.DUMMYFUNCTION("GOOGLETRANSLATE(A28353, ""de"", ""en"")"),"abandoned")</f>
        <v>abandoned</v>
      </c>
    </row>
    <row r="28354">
      <c r="A28354" s="1" t="s">
        <v>28353</v>
      </c>
      <c r="B28354" s="2" t="str">
        <f>IFERROR(__xludf.DUMMYFUNCTION("GOOGLETRANSLATE(A28354, ""de"", ""en"")"),"start-up")</f>
        <v>start-up</v>
      </c>
    </row>
    <row r="28355">
      <c r="A28355" s="1" t="s">
        <v>28354</v>
      </c>
      <c r="B28355" s="2" t="str">
        <f>IFERROR(__xludf.DUMMYFUNCTION("GOOGLETRANSLATE(A28355, ""de"", ""en"")"),"scouts")</f>
        <v>scouts</v>
      </c>
    </row>
    <row r="28356">
      <c r="A28356" s="1" t="s">
        <v>28355</v>
      </c>
      <c r="B28356" s="2" t="str">
        <f>IFERROR(__xludf.DUMMYFUNCTION("GOOGLETRANSLATE(A28356, ""de"", ""en"")"),"possible")</f>
        <v>possible</v>
      </c>
    </row>
    <row r="28357">
      <c r="A28357" s="1" t="s">
        <v>28356</v>
      </c>
      <c r="B28357" s="2" t="str">
        <f>IFERROR(__xludf.DUMMYFUNCTION("GOOGLETRANSLATE(A28357, ""de"", ""en"")"),"patients")</f>
        <v>patients</v>
      </c>
    </row>
    <row r="28358">
      <c r="A28358" s="1" t="s">
        <v>28357</v>
      </c>
      <c r="B28358" s="2" t="str">
        <f>IFERROR(__xludf.DUMMYFUNCTION("GOOGLETRANSLATE(A28358, ""de"", ""en"")"),"enchanting")</f>
        <v>enchanting</v>
      </c>
    </row>
    <row r="28359">
      <c r="A28359" s="1" t="s">
        <v>28358</v>
      </c>
      <c r="B28359" s="2" t="str">
        <f>IFERROR(__xludf.DUMMYFUNCTION("GOOGLETRANSLATE(A28359, ""de"", ""en"")"),"Roman")</f>
        <v>Roman</v>
      </c>
    </row>
    <row r="28360">
      <c r="A28360" s="1" t="s">
        <v>28359</v>
      </c>
      <c r="B28360" s="2" t="str">
        <f>IFERROR(__xludf.DUMMYFUNCTION("GOOGLETRANSLATE(A28360, ""de"", ""en"")"),"Yuko")</f>
        <v>Yuko</v>
      </c>
    </row>
    <row r="28361">
      <c r="A28361" s="1" t="s">
        <v>28360</v>
      </c>
      <c r="B28361" s="2" t="str">
        <f>IFERROR(__xludf.DUMMYFUNCTION("GOOGLETRANSLATE(A28361, ""de"", ""en"")"),"bend")</f>
        <v>bend</v>
      </c>
    </row>
    <row r="28362">
      <c r="A28362" s="1" t="s">
        <v>28361</v>
      </c>
      <c r="B28362" s="2" t="str">
        <f>IFERROR(__xludf.DUMMYFUNCTION("GOOGLETRANSLATE(A28362, ""de"", ""en"")"),"enigmatic")</f>
        <v>enigmatic</v>
      </c>
    </row>
    <row r="28363">
      <c r="A28363" s="1" t="s">
        <v>28362</v>
      </c>
      <c r="B28363" s="2" t="str">
        <f>IFERROR(__xludf.DUMMYFUNCTION("GOOGLETRANSLATE(A28363, ""de"", ""en"")"),"priests")</f>
        <v>priests</v>
      </c>
    </row>
    <row r="28364">
      <c r="A28364" s="1" t="s">
        <v>28363</v>
      </c>
      <c r="B28364" s="2" t="str">
        <f>IFERROR(__xludf.DUMMYFUNCTION("GOOGLETRANSLATE(A28364, ""de"", ""en"")"),"annoying")</f>
        <v>annoying</v>
      </c>
    </row>
    <row r="28365">
      <c r="A28365" s="1" t="s">
        <v>28364</v>
      </c>
      <c r="B28365" s="2" t="str">
        <f>IFERROR(__xludf.DUMMYFUNCTION("GOOGLETRANSLATE(A28365, ""de"", ""en"")"),"dorothea")</f>
        <v>dorothea</v>
      </c>
    </row>
    <row r="28366">
      <c r="A28366" s="1" t="s">
        <v>28365</v>
      </c>
      <c r="B28366" s="2" t="str">
        <f>IFERROR(__xludf.DUMMYFUNCTION("GOOGLETRANSLATE(A28366, ""de"", ""en"")"),"torture")</f>
        <v>torture</v>
      </c>
    </row>
    <row r="28367">
      <c r="A28367" s="1" t="s">
        <v>28366</v>
      </c>
      <c r="B28367" s="2" t="str">
        <f>IFERROR(__xludf.DUMMYFUNCTION("GOOGLETRANSLATE(A28367, ""de"", ""en"")"),"shutters")</f>
        <v>shutters</v>
      </c>
    </row>
    <row r="28368">
      <c r="A28368" s="1" t="s">
        <v>28367</v>
      </c>
      <c r="B28368" s="2" t="str">
        <f>IFERROR(__xludf.DUMMYFUNCTION("GOOGLETRANSLATE(A28368, ""de"", ""en"")"),"checkpoint")</f>
        <v>checkpoint</v>
      </c>
    </row>
    <row r="28369">
      <c r="A28369" s="1" t="s">
        <v>28368</v>
      </c>
      <c r="B28369" s="2" t="str">
        <f>IFERROR(__xludf.DUMMYFUNCTION("GOOGLETRANSLATE(A28369, ""de"", ""en"")"),"bird's")</f>
        <v>bird's</v>
      </c>
    </row>
    <row r="28370">
      <c r="A28370" s="1" t="s">
        <v>28369</v>
      </c>
      <c r="B28370" s="2" t="str">
        <f>IFERROR(__xludf.DUMMYFUNCTION("GOOGLETRANSLATE(A28370, ""de"", ""en"")"),"improvisation")</f>
        <v>improvisation</v>
      </c>
    </row>
    <row r="28371">
      <c r="A28371" s="1" t="s">
        <v>28370</v>
      </c>
      <c r="B28371" s="2" t="str">
        <f>IFERROR(__xludf.DUMMYFUNCTION("GOOGLETRANSLATE(A28371, ""de"", ""en"")"),"atrocities")</f>
        <v>atrocities</v>
      </c>
    </row>
    <row r="28372">
      <c r="A28372" s="1" t="s">
        <v>28371</v>
      </c>
      <c r="B28372" s="2" t="str">
        <f>IFERROR(__xludf.DUMMYFUNCTION("GOOGLETRANSLATE(A28372, ""de"", ""en"")"),"bedding")</f>
        <v>bedding</v>
      </c>
    </row>
    <row r="28373">
      <c r="A28373" s="1" t="s">
        <v>28372</v>
      </c>
      <c r="B28373" s="2" t="str">
        <f>IFERROR(__xludf.DUMMYFUNCTION("GOOGLETRANSLATE(A28373, ""de"", ""en"")"),"more embarrassing")</f>
        <v>more embarrassing</v>
      </c>
    </row>
    <row r="28374">
      <c r="A28374" s="1" t="s">
        <v>28373</v>
      </c>
      <c r="B28374" s="2" t="str">
        <f>IFERROR(__xludf.DUMMYFUNCTION("GOOGLETRANSLATE(A28374, ""de"", ""en"")"),"smythe")</f>
        <v>smythe</v>
      </c>
    </row>
    <row r="28375">
      <c r="A28375" s="1" t="s">
        <v>28374</v>
      </c>
      <c r="B28375" s="2" t="str">
        <f>IFERROR(__xludf.DUMMYFUNCTION("GOOGLETRANSLATE(A28375, ""de"", ""en"")"),"hate")</f>
        <v>hate</v>
      </c>
    </row>
    <row r="28376">
      <c r="A28376" s="1" t="s">
        <v>28375</v>
      </c>
      <c r="B28376" s="2" t="str">
        <f>IFERROR(__xludf.DUMMYFUNCTION("GOOGLETRANSLATE(A28376, ""de"", ""en"")"),"lay")</f>
        <v>lay</v>
      </c>
    </row>
    <row r="28377">
      <c r="A28377" s="1" t="s">
        <v>28376</v>
      </c>
      <c r="B28377" s="2" t="str">
        <f>IFERROR(__xludf.DUMMYFUNCTION("GOOGLETRANSLATE(A28377, ""de"", ""en"")"),"skinned")</f>
        <v>skinned</v>
      </c>
    </row>
    <row r="28378">
      <c r="A28378" s="1" t="s">
        <v>28377</v>
      </c>
      <c r="B28378" s="2" t="str">
        <f>IFERROR(__xludf.DUMMYFUNCTION("GOOGLETRANSLATE(A28378, ""de"", ""en"")"),"noora")</f>
        <v>noora</v>
      </c>
    </row>
    <row r="28379">
      <c r="A28379" s="1" t="s">
        <v>28378</v>
      </c>
      <c r="B28379" s="2" t="str">
        <f>IFERROR(__xludf.DUMMYFUNCTION("GOOGLETRANSLATE(A28379, ""de"", ""en"")"),"thaw")</f>
        <v>thaw</v>
      </c>
    </row>
    <row r="28380">
      <c r="A28380" s="1" t="s">
        <v>28379</v>
      </c>
      <c r="B28380" s="2" t="str">
        <f>IFERROR(__xludf.DUMMYFUNCTION("GOOGLETRANSLATE(A28380, ""de"", ""en"")"),"emissary")</f>
        <v>emissary</v>
      </c>
    </row>
    <row r="28381">
      <c r="A28381" s="1" t="s">
        <v>28380</v>
      </c>
      <c r="B28381" s="2" t="str">
        <f>IFERROR(__xludf.DUMMYFUNCTION("GOOGLETRANSLATE(A28381, ""de"", ""en"")"),"secular")</f>
        <v>secular</v>
      </c>
    </row>
    <row r="28382">
      <c r="A28382" s="1" t="s">
        <v>28381</v>
      </c>
      <c r="B28382" s="2" t="str">
        <f>IFERROR(__xludf.DUMMYFUNCTION("GOOGLETRANSLATE(A28382, ""de"", ""en"")"),"to attract")</f>
        <v>to attract</v>
      </c>
    </row>
    <row r="28383">
      <c r="A28383" s="1" t="s">
        <v>28382</v>
      </c>
      <c r="B28383" s="2" t="str">
        <f>IFERROR(__xludf.DUMMYFUNCTION("GOOGLETRANSLATE(A28383, ""de"", ""en"")"),"cale")</f>
        <v>cale</v>
      </c>
    </row>
    <row r="28384">
      <c r="A28384" s="1" t="s">
        <v>28383</v>
      </c>
      <c r="B28384" s="2" t="str">
        <f>IFERROR(__xludf.DUMMYFUNCTION("GOOGLETRANSLATE(A28384, ""de"", ""en"")"),"brain damage")</f>
        <v>brain damage</v>
      </c>
    </row>
    <row r="28385">
      <c r="A28385" s="1" t="s">
        <v>28384</v>
      </c>
      <c r="B28385" s="2" t="str">
        <f>IFERROR(__xludf.DUMMYFUNCTION("GOOGLETRANSLATE(A28385, ""de"", ""en"")"),"more valued")</f>
        <v>more valued</v>
      </c>
    </row>
    <row r="28386">
      <c r="A28386" s="1" t="s">
        <v>28385</v>
      </c>
      <c r="B28386" s="2" t="str">
        <f>IFERROR(__xludf.DUMMYFUNCTION("GOOGLETRANSLATE(A28386, ""de"", ""en"")"),"sleeping pill")</f>
        <v>sleeping pill</v>
      </c>
    </row>
    <row r="28387">
      <c r="A28387" s="1" t="s">
        <v>28386</v>
      </c>
      <c r="B28387" s="2" t="str">
        <f>IFERROR(__xludf.DUMMYFUNCTION("GOOGLETRANSLATE(A28387, ""de"", ""en"")"),"questionable")</f>
        <v>questionable</v>
      </c>
    </row>
    <row r="28388">
      <c r="A28388" s="1" t="s">
        <v>28387</v>
      </c>
      <c r="B28388" s="2" t="str">
        <f>IFERROR(__xludf.DUMMYFUNCTION("GOOGLETRANSLATE(A28388, ""de"", ""en"")"),"telemach")</f>
        <v>telemach</v>
      </c>
    </row>
    <row r="28389">
      <c r="A28389" s="1" t="s">
        <v>28388</v>
      </c>
      <c r="B28389" s="2" t="str">
        <f>IFERROR(__xludf.DUMMYFUNCTION("GOOGLETRANSLATE(A28389, ""de"", ""en"")"),"changed")</f>
        <v>changed</v>
      </c>
    </row>
    <row r="28390">
      <c r="A28390" s="1" t="s">
        <v>28389</v>
      </c>
      <c r="B28390" s="2" t="str">
        <f>IFERROR(__xludf.DUMMYFUNCTION("GOOGLETRANSLATE(A28390, ""de"", ""en"")"),"sunbeam")</f>
        <v>sunbeam</v>
      </c>
    </row>
    <row r="28391">
      <c r="A28391" s="1" t="s">
        <v>28390</v>
      </c>
      <c r="B28391" s="2" t="str">
        <f>IFERROR(__xludf.DUMMYFUNCTION("GOOGLETRANSLATE(A28391, ""de"", ""en"")"),"takes out")</f>
        <v>takes out</v>
      </c>
    </row>
    <row r="28392">
      <c r="A28392" s="1" t="s">
        <v>28391</v>
      </c>
      <c r="B28392" s="2" t="str">
        <f>IFERROR(__xludf.DUMMYFUNCTION("GOOGLETRANSLATE(A28392, ""de"", ""en"")"),"cut through")</f>
        <v>cut through</v>
      </c>
    </row>
    <row r="28393">
      <c r="A28393" s="1" t="s">
        <v>28392</v>
      </c>
      <c r="B28393" s="2" t="str">
        <f>IFERROR(__xludf.DUMMYFUNCTION("GOOGLETRANSLATE(A28393, ""de"", ""en"")"),"iodine")</f>
        <v>iodine</v>
      </c>
    </row>
    <row r="28394">
      <c r="A28394" s="1" t="s">
        <v>28393</v>
      </c>
      <c r="B28394" s="2" t="str">
        <f>IFERROR(__xludf.DUMMYFUNCTION("GOOGLETRANSLATE(A28394, ""de"", ""en"")"),"Tatiana")</f>
        <v>Tatiana</v>
      </c>
    </row>
    <row r="28395">
      <c r="A28395" s="1" t="s">
        <v>28394</v>
      </c>
      <c r="B28395" s="2" t="str">
        <f>IFERROR(__xludf.DUMMYFUNCTION("GOOGLETRANSLATE(A28395, ""de"", ""en"")"),"brit")</f>
        <v>brit</v>
      </c>
    </row>
    <row r="28396">
      <c r="A28396" s="1" t="s">
        <v>28395</v>
      </c>
      <c r="B28396" s="2" t="str">
        <f>IFERROR(__xludf.DUMMYFUNCTION("GOOGLETRANSLATE(A28396, ""de"", ""en"")"),"fiddler")</f>
        <v>fiddler</v>
      </c>
    </row>
    <row r="28397">
      <c r="A28397" s="1" t="s">
        <v>28396</v>
      </c>
      <c r="B28397" s="2" t="str">
        <f>IFERROR(__xludf.DUMMYFUNCTION("GOOGLETRANSLATE(A28397, ""de"", ""en"")"),"prudent")</f>
        <v>prudent</v>
      </c>
    </row>
    <row r="28398">
      <c r="A28398" s="1" t="s">
        <v>28397</v>
      </c>
      <c r="B28398" s="2" t="str">
        <f>IFERROR(__xludf.DUMMYFUNCTION("GOOGLETRANSLATE(A28398, ""de"", ""en"")"),"momentary")</f>
        <v>momentary</v>
      </c>
    </row>
    <row r="28399">
      <c r="A28399" s="1" t="s">
        <v>28398</v>
      </c>
      <c r="B28399" s="2" t="str">
        <f>IFERROR(__xludf.DUMMYFUNCTION("GOOGLETRANSLATE(A28399, ""de"", ""en"")"),"ussr")</f>
        <v>ussr</v>
      </c>
    </row>
    <row r="28400">
      <c r="A28400" s="1" t="s">
        <v>28399</v>
      </c>
      <c r="B28400" s="2" t="str">
        <f>IFERROR(__xludf.DUMMYFUNCTION("GOOGLETRANSLATE(A28400, ""de"", ""en"")"),"sri")</f>
        <v>sri</v>
      </c>
    </row>
    <row r="28401">
      <c r="A28401" s="1" t="s">
        <v>28400</v>
      </c>
      <c r="B28401" s="2" t="str">
        <f>IFERROR(__xludf.DUMMYFUNCTION("GOOGLETRANSLATE(A28401, ""de"", ""en"")"),"warts")</f>
        <v>warts</v>
      </c>
    </row>
    <row r="28402">
      <c r="A28402" s="1" t="s">
        <v>28401</v>
      </c>
      <c r="B28402" s="2" t="str">
        <f>IFERROR(__xludf.DUMMYFUNCTION("GOOGLETRANSLATE(A28402, ""de"", ""en"")"),"celebrities")</f>
        <v>celebrities</v>
      </c>
    </row>
    <row r="28403">
      <c r="A28403" s="1" t="s">
        <v>28402</v>
      </c>
      <c r="B28403" s="2" t="str">
        <f>IFERROR(__xludf.DUMMYFUNCTION("GOOGLETRANSLATE(A28403, ""de"", ""en"")"),"get a cold")</f>
        <v>get a cold</v>
      </c>
    </row>
    <row r="28404">
      <c r="A28404" s="1" t="s">
        <v>28403</v>
      </c>
      <c r="B28404" s="2" t="str">
        <f>IFERROR(__xludf.DUMMYFUNCTION("GOOGLETRANSLATE(A28404, ""de"", ""en"")"),"insurgents")</f>
        <v>insurgents</v>
      </c>
    </row>
    <row r="28405">
      <c r="A28405" s="1" t="s">
        <v>28404</v>
      </c>
      <c r="B28405" s="2" t="str">
        <f>IFERROR(__xludf.DUMMYFUNCTION("GOOGLETRANSLATE(A28405, ""de"", ""en"")"),"Matthew")</f>
        <v>Matthew</v>
      </c>
    </row>
    <row r="28406">
      <c r="A28406" s="1" t="s">
        <v>28405</v>
      </c>
      <c r="B28406" s="2" t="str">
        <f>IFERROR(__xludf.DUMMYFUNCTION("GOOGLETRANSLATE(A28406, ""de"", ""en"")"),"congressmen")</f>
        <v>congressmen</v>
      </c>
    </row>
    <row r="28407">
      <c r="A28407" s="1" t="s">
        <v>28406</v>
      </c>
      <c r="B28407" s="2" t="str">
        <f>IFERROR(__xludf.DUMMYFUNCTION("GOOGLETRANSLATE(A28407, ""de"", ""en"")"),"lyndon")</f>
        <v>lyndon</v>
      </c>
    </row>
    <row r="28408">
      <c r="A28408" s="1" t="s">
        <v>28407</v>
      </c>
      <c r="B28408" s="2" t="str">
        <f>IFERROR(__xludf.DUMMYFUNCTION("GOOGLETRANSLATE(A28408, ""de"", ""en"")"),"complained")</f>
        <v>complained</v>
      </c>
    </row>
    <row r="28409">
      <c r="A28409" s="1" t="s">
        <v>28408</v>
      </c>
      <c r="B28409" s="2" t="str">
        <f>IFERROR(__xludf.DUMMYFUNCTION("GOOGLETRANSLATE(A28409, ""de"", ""en"")"),"buffer")</f>
        <v>buffer</v>
      </c>
    </row>
    <row r="28410">
      <c r="A28410" s="1" t="s">
        <v>28409</v>
      </c>
      <c r="B28410" s="2" t="str">
        <f>IFERROR(__xludf.DUMMYFUNCTION("GOOGLETRANSLATE(A28410, ""de"", ""en"")"),"make fun of")</f>
        <v>make fun of</v>
      </c>
    </row>
    <row r="28411">
      <c r="A28411" s="1" t="s">
        <v>28410</v>
      </c>
      <c r="B28411" s="2" t="str">
        <f>IFERROR(__xludf.DUMMYFUNCTION("GOOGLETRANSLATE(A28411, ""de"", ""en"")"),"points out")</f>
        <v>points out</v>
      </c>
    </row>
    <row r="28412">
      <c r="A28412" s="1" t="s">
        <v>28411</v>
      </c>
      <c r="B28412" s="2" t="str">
        <f>IFERROR(__xludf.DUMMYFUNCTION("GOOGLETRANSLATE(A28412, ""de"", ""en"")"),"poop")</f>
        <v>poop</v>
      </c>
    </row>
    <row r="28413">
      <c r="A28413" s="1" t="s">
        <v>28412</v>
      </c>
      <c r="B28413" s="2" t="str">
        <f>IFERROR(__xludf.DUMMYFUNCTION("GOOGLETRANSLATE(A28413, ""de"", ""en"")"),"entrance exam")</f>
        <v>entrance exam</v>
      </c>
    </row>
    <row r="28414">
      <c r="A28414" s="1" t="s">
        <v>28413</v>
      </c>
      <c r="B28414" s="2" t="str">
        <f>IFERROR(__xludf.DUMMYFUNCTION("GOOGLETRANSLATE(A28414, ""de"", ""en"")"),"tiny")</f>
        <v>tiny</v>
      </c>
    </row>
    <row r="28415">
      <c r="A28415" s="1" t="s">
        <v>28414</v>
      </c>
      <c r="B28415" s="2" t="str">
        <f>IFERROR(__xludf.DUMMYFUNCTION("GOOGLETRANSLATE(A28415, ""de"", ""en"")"),"fractures")</f>
        <v>fractures</v>
      </c>
    </row>
    <row r="28416">
      <c r="A28416" s="1" t="s">
        <v>28415</v>
      </c>
      <c r="B28416" s="2" t="str">
        <f>IFERROR(__xludf.DUMMYFUNCTION("GOOGLETRANSLATE(A28416, ""de"", ""en"")"),"aki")</f>
        <v>aki</v>
      </c>
    </row>
    <row r="28417">
      <c r="A28417" s="1" t="s">
        <v>28416</v>
      </c>
      <c r="B28417" s="2" t="str">
        <f>IFERROR(__xludf.DUMMYFUNCTION("GOOGLETRANSLATE(A28417, ""de"", ""en"")"),"acted")</f>
        <v>acted</v>
      </c>
    </row>
    <row r="28418">
      <c r="A28418" s="1" t="s">
        <v>28417</v>
      </c>
      <c r="B28418" s="2" t="str">
        <f>IFERROR(__xludf.DUMMYFUNCTION("GOOGLETRANSLATE(A28418, ""de"", ""en"")"),"chronic")</f>
        <v>chronic</v>
      </c>
    </row>
    <row r="28419">
      <c r="A28419" s="1" t="s">
        <v>28418</v>
      </c>
      <c r="B28419" s="2" t="str">
        <f>IFERROR(__xludf.DUMMYFUNCTION("GOOGLETRANSLATE(A28419, ""de"", ""en"")"),"reece")</f>
        <v>reece</v>
      </c>
    </row>
    <row r="28420">
      <c r="A28420" s="1" t="s">
        <v>28419</v>
      </c>
      <c r="B28420" s="2" t="str">
        <f>IFERROR(__xludf.DUMMYFUNCTION("GOOGLETRANSLATE(A28420, ""de"", ""en"")"),"valid")</f>
        <v>valid</v>
      </c>
    </row>
    <row r="28421">
      <c r="A28421" s="1" t="s">
        <v>28420</v>
      </c>
      <c r="B28421" s="2" t="str">
        <f>IFERROR(__xludf.DUMMYFUNCTION("GOOGLETRANSLATE(A28421, ""de"", ""en"")"),"family business")</f>
        <v>family business</v>
      </c>
    </row>
    <row r="28422">
      <c r="A28422" s="1" t="s">
        <v>28421</v>
      </c>
      <c r="B28422" s="2" t="str">
        <f>IFERROR(__xludf.DUMMYFUNCTION("GOOGLETRANSLATE(A28422, ""de"", ""en"")"),"rosy")</f>
        <v>rosy</v>
      </c>
    </row>
    <row r="28423">
      <c r="A28423" s="1" t="s">
        <v>28422</v>
      </c>
      <c r="B28423" s="2" t="str">
        <f>IFERROR(__xludf.DUMMYFUNCTION("GOOGLETRANSLATE(A28423, ""de"", ""en"")"),"risk")</f>
        <v>risk</v>
      </c>
    </row>
    <row r="28424">
      <c r="A28424" s="1" t="s">
        <v>28423</v>
      </c>
      <c r="B28424" s="2" t="str">
        <f>IFERROR(__xludf.DUMMYFUNCTION("GOOGLETRANSLATE(A28424, ""de"", ""en"")"),"exaggeration")</f>
        <v>exaggeration</v>
      </c>
    </row>
    <row r="28425">
      <c r="A28425" s="1" t="s">
        <v>28424</v>
      </c>
      <c r="B28425" s="2" t="str">
        <f>IFERROR(__xludf.DUMMYFUNCTION("GOOGLETRANSLATE(A28425, ""de"", ""en"")"),"you believed")</f>
        <v>you believed</v>
      </c>
    </row>
    <row r="28426">
      <c r="A28426" s="1" t="s">
        <v>28425</v>
      </c>
      <c r="B28426" s="2" t="str">
        <f>IFERROR(__xludf.DUMMYFUNCTION("GOOGLETRANSLATE(A28426, ""de"", ""en"")"),"notify")</f>
        <v>notify</v>
      </c>
    </row>
    <row r="28427">
      <c r="A28427" s="1" t="s">
        <v>28426</v>
      </c>
      <c r="B28427" s="2" t="str">
        <f>IFERROR(__xludf.DUMMYFUNCTION("GOOGLETRANSLATE(A28427, ""de"", ""en"")"),"teo")</f>
        <v>teo</v>
      </c>
    </row>
    <row r="28428">
      <c r="A28428" s="1" t="s">
        <v>28427</v>
      </c>
      <c r="B28428" s="2" t="str">
        <f>IFERROR(__xludf.DUMMYFUNCTION("GOOGLETRANSLATE(A28428, ""de"", ""en"")"),"pose")</f>
        <v>pose</v>
      </c>
    </row>
    <row r="28429">
      <c r="A28429" s="1" t="s">
        <v>28428</v>
      </c>
      <c r="B28429" s="2" t="str">
        <f>IFERROR(__xludf.DUMMYFUNCTION("GOOGLETRANSLATE(A28429, ""de"", ""en"")"),"to admit")</f>
        <v>to admit</v>
      </c>
    </row>
    <row r="28430">
      <c r="A28430" s="1" t="s">
        <v>28429</v>
      </c>
      <c r="B28430" s="2" t="str">
        <f>IFERROR(__xludf.DUMMYFUNCTION("GOOGLETRANSLATE(A28430, ""de"", ""en"")"),"30s")</f>
        <v>30s</v>
      </c>
    </row>
    <row r="28431">
      <c r="A28431" s="1" t="s">
        <v>28430</v>
      </c>
      <c r="B28431" s="2" t="str">
        <f>IFERROR(__xludf.DUMMYFUNCTION("GOOGLETRANSLATE(A28431, ""de"", ""en"")"),"cheech")</f>
        <v>cheech</v>
      </c>
    </row>
    <row r="28432">
      <c r="A28432" s="1" t="s">
        <v>28431</v>
      </c>
      <c r="B28432" s="2" t="str">
        <f>IFERROR(__xludf.DUMMYFUNCTION("GOOGLETRANSLATE(A28432, ""de"", ""en"")"),"carer")</f>
        <v>carer</v>
      </c>
    </row>
    <row r="28433">
      <c r="A28433" s="1" t="s">
        <v>28432</v>
      </c>
      <c r="B28433" s="2" t="str">
        <f>IFERROR(__xludf.DUMMYFUNCTION("GOOGLETRANSLATE(A28433, ""de"", ""en"")"),"knights")</f>
        <v>knights</v>
      </c>
    </row>
    <row r="28434">
      <c r="A28434" s="1" t="s">
        <v>28433</v>
      </c>
      <c r="B28434" s="2" t="str">
        <f>IFERROR(__xludf.DUMMYFUNCTION("GOOGLETRANSLATE(A28434, ""de"", ""en"")"),"bring with you")</f>
        <v>bring with you</v>
      </c>
    </row>
    <row r="28435">
      <c r="A28435" s="1" t="s">
        <v>28434</v>
      </c>
      <c r="B28435" s="2" t="str">
        <f>IFERROR(__xludf.DUMMYFUNCTION("GOOGLETRANSLATE(A28435, ""de"", ""en"")"),"fallen")</f>
        <v>fallen</v>
      </c>
    </row>
    <row r="28436">
      <c r="A28436" s="1" t="s">
        <v>28435</v>
      </c>
      <c r="B28436" s="2" t="str">
        <f>IFERROR(__xludf.DUMMYFUNCTION("GOOGLETRANSLATE(A28436, ""de"", ""en"")"),"economic crisis")</f>
        <v>economic crisis</v>
      </c>
    </row>
    <row r="28437">
      <c r="A28437" s="1" t="s">
        <v>28436</v>
      </c>
      <c r="B28437" s="2" t="str">
        <f>IFERROR(__xludf.DUMMYFUNCTION("GOOGLETRANSLATE(A28437, ""de"", ""en"")"),"gas stations")</f>
        <v>gas stations</v>
      </c>
    </row>
    <row r="28438">
      <c r="A28438" s="1" t="s">
        <v>28437</v>
      </c>
      <c r="B28438" s="2" t="str">
        <f>IFERROR(__xludf.DUMMYFUNCTION("GOOGLETRANSLATE(A28438, ""de"", ""en"")"),"visible")</f>
        <v>visible</v>
      </c>
    </row>
    <row r="28439">
      <c r="A28439" s="1" t="s">
        <v>28438</v>
      </c>
      <c r="B28439" s="2" t="str">
        <f>IFERROR(__xludf.DUMMYFUNCTION("GOOGLETRANSLATE(A28439, ""de"", ""en"")"),"lied")</f>
        <v>lied</v>
      </c>
    </row>
    <row r="28440">
      <c r="A28440" s="1" t="s">
        <v>28439</v>
      </c>
      <c r="B28440" s="2" t="str">
        <f>IFERROR(__xludf.DUMMYFUNCTION("GOOGLETRANSLATE(A28440, ""de"", ""en"")"),"gun license")</f>
        <v>gun license</v>
      </c>
    </row>
    <row r="28441">
      <c r="A28441" s="1" t="s">
        <v>28440</v>
      </c>
      <c r="B28441" s="2" t="str">
        <f>IFERROR(__xludf.DUMMYFUNCTION("GOOGLETRANSLATE(A28441, ""de"", ""en"")"),"art history")</f>
        <v>art history</v>
      </c>
    </row>
    <row r="28442">
      <c r="A28442" s="1" t="s">
        <v>28441</v>
      </c>
      <c r="B28442" s="2" t="str">
        <f>IFERROR(__xludf.DUMMYFUNCTION("GOOGLETRANSLATE(A28442, ""de"", ""en"")"),"weak point")</f>
        <v>weak point</v>
      </c>
    </row>
    <row r="28443">
      <c r="A28443" s="1" t="s">
        <v>28442</v>
      </c>
      <c r="B28443" s="2" t="str">
        <f>IFERROR(__xludf.DUMMYFUNCTION("GOOGLETRANSLATE(A28443, ""de"", ""en"")"),"productive")</f>
        <v>productive</v>
      </c>
    </row>
    <row r="28444">
      <c r="A28444" s="1" t="s">
        <v>28443</v>
      </c>
      <c r="B28444" s="2" t="str">
        <f>IFERROR(__xludf.DUMMYFUNCTION("GOOGLETRANSLATE(A28444, ""de"", ""en"")"),"fabulous")</f>
        <v>fabulous</v>
      </c>
    </row>
    <row r="28445">
      <c r="A28445" s="1" t="s">
        <v>28444</v>
      </c>
      <c r="B28445" s="2" t="str">
        <f>IFERROR(__xludf.DUMMYFUNCTION("GOOGLETRANSLATE(A28445, ""de"", ""en"")"),"jie")</f>
        <v>jie</v>
      </c>
    </row>
    <row r="28446">
      <c r="A28446" s="1" t="s">
        <v>28445</v>
      </c>
      <c r="B28446" s="2" t="str">
        <f>IFERROR(__xludf.DUMMYFUNCTION("GOOGLETRANSLATE(A28446, ""de"", ""en"")"),"delicate")</f>
        <v>delicate</v>
      </c>
    </row>
    <row r="28447">
      <c r="A28447" s="1" t="s">
        <v>28446</v>
      </c>
      <c r="B28447" s="2" t="str">
        <f>IFERROR(__xludf.DUMMYFUNCTION("GOOGLETRANSLATE(A28447, ""de"", ""en"")"),"rikers")</f>
        <v>rikers</v>
      </c>
    </row>
    <row r="28448">
      <c r="A28448" s="1" t="s">
        <v>28447</v>
      </c>
      <c r="B28448" s="2" t="str">
        <f>IFERROR(__xludf.DUMMYFUNCTION("GOOGLETRANSLATE(A28448, ""de"", ""en"")"),"run pass")</f>
        <v>run pass</v>
      </c>
    </row>
    <row r="28449">
      <c r="A28449" s="1" t="s">
        <v>28448</v>
      </c>
      <c r="B28449" s="2" t="str">
        <f>IFERROR(__xludf.DUMMYFUNCTION("GOOGLETRANSLATE(A28449, ""de"", ""en"")"),"auction")</f>
        <v>auction</v>
      </c>
    </row>
    <row r="28450">
      <c r="A28450" s="1" t="s">
        <v>28449</v>
      </c>
      <c r="B28450" s="2" t="str">
        <f>IFERROR(__xludf.DUMMYFUNCTION("GOOGLETRANSLATE(A28450, ""de"", ""en"")"),"get it off")</f>
        <v>get it off</v>
      </c>
    </row>
    <row r="28451">
      <c r="A28451" s="1" t="s">
        <v>28450</v>
      </c>
      <c r="B28451" s="2" t="str">
        <f>IFERROR(__xludf.DUMMYFUNCTION("GOOGLETRANSLATE(A28451, ""de"", ""en"")"),"develop")</f>
        <v>develop</v>
      </c>
    </row>
    <row r="28452">
      <c r="A28452" s="1" t="s">
        <v>28451</v>
      </c>
      <c r="B28452" s="2" t="str">
        <f>IFERROR(__xludf.DUMMYFUNCTION("GOOGLETRANSLATE(A28452, ""de"", ""en"")"),"information")</f>
        <v>information</v>
      </c>
    </row>
    <row r="28453">
      <c r="A28453" s="1" t="s">
        <v>28452</v>
      </c>
      <c r="B28453" s="2" t="str">
        <f>IFERROR(__xludf.DUMMYFUNCTION("GOOGLETRANSLATE(A28453, ""de"", ""en"")"),"grendel")</f>
        <v>grendel</v>
      </c>
    </row>
    <row r="28454">
      <c r="A28454" s="1" t="s">
        <v>28453</v>
      </c>
      <c r="B28454" s="2" t="str">
        <f>IFERROR(__xludf.DUMMYFUNCTION("GOOGLETRANSLATE(A28454, ""de"", ""en"")"),"Arctic")</f>
        <v>Arctic</v>
      </c>
    </row>
    <row r="28455">
      <c r="A28455" s="1" t="s">
        <v>28454</v>
      </c>
      <c r="B28455" s="2" t="str">
        <f>IFERROR(__xludf.DUMMYFUNCTION("GOOGLETRANSLATE(A28455, ""de"", ""en"")"),"tip over")</f>
        <v>tip over</v>
      </c>
    </row>
    <row r="28456">
      <c r="A28456" s="1" t="s">
        <v>28455</v>
      </c>
      <c r="B28456" s="2" t="str">
        <f>IFERROR(__xludf.DUMMYFUNCTION("GOOGLETRANSLATE(A28456, ""de"", ""en"")"),"chicken soup")</f>
        <v>chicken soup</v>
      </c>
    </row>
    <row r="28457">
      <c r="A28457" s="1" t="s">
        <v>28456</v>
      </c>
      <c r="B28457" s="2" t="str">
        <f>IFERROR(__xludf.DUMMYFUNCTION("GOOGLETRANSLATE(A28457, ""de"", ""en"")"),"librarian")</f>
        <v>librarian</v>
      </c>
    </row>
    <row r="28458">
      <c r="A28458" s="1" t="s">
        <v>28457</v>
      </c>
      <c r="B28458" s="2" t="str">
        <f>IFERROR(__xludf.DUMMYFUNCTION("GOOGLETRANSLATE(A28458, ""de"", ""en"")"),"black box")</f>
        <v>black box</v>
      </c>
    </row>
    <row r="28459">
      <c r="A28459" s="1" t="s">
        <v>28458</v>
      </c>
      <c r="B28459" s="2" t="str">
        <f>IFERROR(__xludf.DUMMYFUNCTION("GOOGLETRANSLATE(A28459, ""de"", ""en"")"),"hospitable")</f>
        <v>hospitable</v>
      </c>
    </row>
    <row r="28460">
      <c r="A28460" s="1" t="s">
        <v>28459</v>
      </c>
      <c r="B28460" s="2" t="str">
        <f>IFERROR(__xludf.DUMMYFUNCTION("GOOGLETRANSLATE(A28460, ""de"", ""en"")"),"Sunday evening")</f>
        <v>Sunday evening</v>
      </c>
    </row>
    <row r="28461">
      <c r="A28461" s="1" t="s">
        <v>28460</v>
      </c>
      <c r="B28461" s="2" t="str">
        <f>IFERROR(__xludf.DUMMYFUNCTION("GOOGLETRANSLATE(A28461, ""de"", ""en"")"),"shalom")</f>
        <v>shalom</v>
      </c>
    </row>
    <row r="28462">
      <c r="A28462" s="1" t="s">
        <v>28461</v>
      </c>
      <c r="B28462" s="2" t="str">
        <f>IFERROR(__xludf.DUMMYFUNCTION("GOOGLETRANSLATE(A28462, ""de"", ""en"")"),"preferred")</f>
        <v>preferred</v>
      </c>
    </row>
    <row r="28463">
      <c r="A28463" s="1" t="s">
        <v>28462</v>
      </c>
      <c r="B28463" s="2" t="str">
        <f>IFERROR(__xludf.DUMMYFUNCTION("GOOGLETRANSLATE(A28463, ""de"", ""en"")"),"physiotherapy")</f>
        <v>physiotherapy</v>
      </c>
    </row>
    <row r="28464">
      <c r="A28464" s="1" t="s">
        <v>28463</v>
      </c>
      <c r="B28464" s="2" t="str">
        <f>IFERROR(__xludf.DUMMYFUNCTION("GOOGLETRANSLATE(A28464, ""de"", ""en"")"),"imaginary")</f>
        <v>imaginary</v>
      </c>
    </row>
    <row r="28465">
      <c r="A28465" s="1" t="s">
        <v>28464</v>
      </c>
      <c r="B28465" s="2" t="str">
        <f>IFERROR(__xludf.DUMMYFUNCTION("GOOGLETRANSLATE(A28465, ""de"", ""en"")"),"worried")</f>
        <v>worried</v>
      </c>
    </row>
    <row r="28466">
      <c r="A28466" s="1" t="s">
        <v>28465</v>
      </c>
      <c r="B28466" s="2" t="str">
        <f>IFERROR(__xludf.DUMMYFUNCTION("GOOGLETRANSLATE(A28466, ""de"", ""en"")"),"speaker")</f>
        <v>speaker</v>
      </c>
    </row>
    <row r="28467">
      <c r="A28467" s="1" t="s">
        <v>28466</v>
      </c>
      <c r="B28467" s="2" t="str">
        <f>IFERROR(__xludf.DUMMYFUNCTION("GOOGLETRANSLATE(A28467, ""de"", ""en"")"),"myrna")</f>
        <v>myrna</v>
      </c>
    </row>
    <row r="28468">
      <c r="A28468" s="1" t="s">
        <v>28467</v>
      </c>
      <c r="B28468" s="2" t="str">
        <f>IFERROR(__xludf.DUMMYFUNCTION("GOOGLETRANSLATE(A28468, ""de"", ""en"")"),"dodger")</f>
        <v>dodger</v>
      </c>
    </row>
    <row r="28469">
      <c r="A28469" s="1" t="s">
        <v>28468</v>
      </c>
      <c r="B28469" s="2" t="str">
        <f>IFERROR(__xludf.DUMMYFUNCTION("GOOGLETRANSLATE(A28469, ""de"", ""en"")"),"shots")</f>
        <v>shots</v>
      </c>
    </row>
    <row r="28470">
      <c r="A28470" s="1" t="s">
        <v>28469</v>
      </c>
      <c r="B28470" s="2" t="str">
        <f>IFERROR(__xludf.DUMMYFUNCTION("GOOGLETRANSLATE(A28470, ""de"", ""en"")"),"Kennedy's")</f>
        <v>Kennedy's</v>
      </c>
    </row>
    <row r="28471">
      <c r="A28471" s="1" t="s">
        <v>28470</v>
      </c>
      <c r="B28471" s="2" t="str">
        <f>IFERROR(__xludf.DUMMYFUNCTION("GOOGLETRANSLATE(A28471, ""de"", ""en"")"),"packs")</f>
        <v>packs</v>
      </c>
    </row>
    <row r="28472">
      <c r="A28472" s="1" t="s">
        <v>28471</v>
      </c>
      <c r="B28472" s="2" t="str">
        <f>IFERROR(__xludf.DUMMYFUNCTION("GOOGLETRANSLATE(A28472, ""de"", ""en"")"),"draw")</f>
        <v>draw</v>
      </c>
    </row>
    <row r="28473">
      <c r="A28473" s="1" t="s">
        <v>28472</v>
      </c>
      <c r="B28473" s="2" t="str">
        <f>IFERROR(__xludf.DUMMYFUNCTION("GOOGLETRANSLATE(A28473, ""de"", ""en"")"),"to trick")</f>
        <v>to trick</v>
      </c>
    </row>
    <row r="28474">
      <c r="A28474" s="1" t="s">
        <v>28473</v>
      </c>
      <c r="B28474" s="2" t="str">
        <f>IFERROR(__xludf.DUMMYFUNCTION("GOOGLETRANSLATE(A28474, ""de"", ""en"")"),"pickup")</f>
        <v>pickup</v>
      </c>
    </row>
    <row r="28475">
      <c r="A28475" s="1" t="s">
        <v>28474</v>
      </c>
      <c r="B28475" s="2" t="str">
        <f>IFERROR(__xludf.DUMMYFUNCTION("GOOGLETRANSLATE(A28475, ""de"", ""en"")"),"wisteria")</f>
        <v>wisteria</v>
      </c>
    </row>
    <row r="28476">
      <c r="A28476" s="1" t="s">
        <v>28475</v>
      </c>
      <c r="B28476" s="2" t="str">
        <f>IFERROR(__xludf.DUMMYFUNCTION("GOOGLETRANSLATE(A28476, ""de"", ""en"")"),"chestnut")</f>
        <v>chestnut</v>
      </c>
    </row>
    <row r="28477">
      <c r="A28477" s="1" t="s">
        <v>28476</v>
      </c>
      <c r="B28477" s="2" t="str">
        <f>IFERROR(__xludf.DUMMYFUNCTION("GOOGLETRANSLATE(A28477, ""de"", ""en"")"),"quest")</f>
        <v>quest</v>
      </c>
    </row>
    <row r="28478">
      <c r="A28478" s="1" t="s">
        <v>28477</v>
      </c>
      <c r="B28478" s="2" t="str">
        <f>IFERROR(__xludf.DUMMYFUNCTION("GOOGLETRANSLATE(A28478, ""de"", ""en"")"),"Kathy")</f>
        <v>Kathy</v>
      </c>
    </row>
    <row r="28479">
      <c r="A28479" s="1" t="s">
        <v>28478</v>
      </c>
      <c r="B28479" s="2" t="str">
        <f>IFERROR(__xludf.DUMMYFUNCTION("GOOGLETRANSLATE(A28479, ""de"", ""en"")"),"fit")</f>
        <v>fit</v>
      </c>
    </row>
    <row r="28480">
      <c r="A28480" s="1" t="s">
        <v>28479</v>
      </c>
      <c r="B28480" s="2" t="str">
        <f>IFERROR(__xludf.DUMMYFUNCTION("GOOGLETRANSLATE(A28480, ""de"", ""en"")"),"tigh")</f>
        <v>tigh</v>
      </c>
    </row>
    <row r="28481">
      <c r="A28481" s="1" t="s">
        <v>28480</v>
      </c>
      <c r="B28481" s="2" t="str">
        <f>IFERROR(__xludf.DUMMYFUNCTION("GOOGLETRANSLATE(A28481, ""de"", ""en"")"),"benjy")</f>
        <v>benjy</v>
      </c>
    </row>
    <row r="28482">
      <c r="A28482" s="1" t="s">
        <v>28481</v>
      </c>
      <c r="B28482" s="2" t="str">
        <f>IFERROR(__xludf.DUMMYFUNCTION("GOOGLETRANSLATE(A28482, ""de"", ""en"")"),"permitted")</f>
        <v>permitted</v>
      </c>
    </row>
    <row r="28483">
      <c r="A28483" s="1" t="s">
        <v>28482</v>
      </c>
      <c r="B28483" s="2" t="str">
        <f>IFERROR(__xludf.DUMMYFUNCTION("GOOGLETRANSLATE(A28483, ""de"", ""en"")"),"ran")</f>
        <v>ran</v>
      </c>
    </row>
    <row r="28484">
      <c r="A28484" s="1" t="s">
        <v>28483</v>
      </c>
      <c r="B28484" s="2" t="str">
        <f>IFERROR(__xludf.DUMMYFUNCTION("GOOGLETRANSLATE(A28484, ""de"", ""en"")"),"many")</f>
        <v>many</v>
      </c>
    </row>
    <row r="28485">
      <c r="A28485" s="1" t="s">
        <v>28484</v>
      </c>
      <c r="B28485" s="2" t="str">
        <f>IFERROR(__xludf.DUMMYFUNCTION("GOOGLETRANSLATE(A28485, ""de"", ""en"")"),"tracker")</f>
        <v>tracker</v>
      </c>
    </row>
    <row r="28486">
      <c r="A28486" s="1" t="s">
        <v>28485</v>
      </c>
      <c r="B28486" s="2" t="str">
        <f>IFERROR(__xludf.DUMMYFUNCTION("GOOGLETRANSLATE(A28486, ""de"", ""en"")"),"miserable ones")</f>
        <v>miserable ones</v>
      </c>
    </row>
    <row r="28487">
      <c r="A28487" s="1" t="s">
        <v>28486</v>
      </c>
      <c r="B28487" s="2" t="str">
        <f>IFERROR(__xludf.DUMMYFUNCTION("GOOGLETRANSLATE(A28487, ""de"", ""en"")"),"any")</f>
        <v>any</v>
      </c>
    </row>
    <row r="28488">
      <c r="A28488" s="1" t="s">
        <v>28487</v>
      </c>
      <c r="B28488" s="2" t="str">
        <f>IFERROR(__xludf.DUMMYFUNCTION("GOOGLETRANSLATE(A28488, ""de"", ""en"")"),"shelter")</f>
        <v>shelter</v>
      </c>
    </row>
    <row r="28489">
      <c r="A28489" s="1" t="s">
        <v>28488</v>
      </c>
      <c r="B28489" s="2" t="str">
        <f>IFERROR(__xludf.DUMMYFUNCTION("GOOGLETRANSLATE(A28489, ""de"", ""en"")"),"tugs")</f>
        <v>tugs</v>
      </c>
    </row>
    <row r="28490">
      <c r="A28490" s="1" t="s">
        <v>28489</v>
      </c>
      <c r="B28490" s="2" t="str">
        <f>IFERROR(__xludf.DUMMYFUNCTION("GOOGLETRANSLATE(A28490, ""de"", ""en"")"),"formulation")</f>
        <v>formulation</v>
      </c>
    </row>
    <row r="28491">
      <c r="A28491" s="1" t="s">
        <v>28490</v>
      </c>
      <c r="B28491" s="2" t="str">
        <f>IFERROR(__xludf.DUMMYFUNCTION("GOOGLETRANSLATE(A28491, ""de"", ""en"")"),"geass")</f>
        <v>geass</v>
      </c>
    </row>
    <row r="28492">
      <c r="A28492" s="1" t="s">
        <v>28491</v>
      </c>
      <c r="B28492" s="2" t="str">
        <f>IFERROR(__xludf.DUMMYFUNCTION("GOOGLETRANSLATE(A28492, ""de"", ""en"")"),"checked out")</f>
        <v>checked out</v>
      </c>
    </row>
    <row r="28493">
      <c r="A28493" s="1" t="s">
        <v>28492</v>
      </c>
      <c r="B28493" s="2" t="str">
        <f>IFERROR(__xludf.DUMMYFUNCTION("GOOGLETRANSLATE(A28493, ""de"", ""en"")"),"Calcutta")</f>
        <v>Calcutta</v>
      </c>
    </row>
    <row r="28494">
      <c r="A28494" s="1" t="s">
        <v>28493</v>
      </c>
      <c r="B28494" s="2" t="str">
        <f>IFERROR(__xludf.DUMMYFUNCTION("GOOGLETRANSLATE(A28494, ""de"", ""en"")"),"stunned")</f>
        <v>stunned</v>
      </c>
    </row>
    <row r="28495">
      <c r="A28495" s="1" t="s">
        <v>28494</v>
      </c>
      <c r="B28495" s="2" t="str">
        <f>IFERROR(__xludf.DUMMYFUNCTION("GOOGLETRANSLATE(A28495, ""de"", ""en"")"),"extra points")</f>
        <v>extra points</v>
      </c>
    </row>
    <row r="28496">
      <c r="A28496" s="1" t="s">
        <v>28495</v>
      </c>
      <c r="B28496" s="2" t="str">
        <f>IFERROR(__xludf.DUMMYFUNCTION("GOOGLETRANSLATE(A28496, ""de"", ""en"")"),"ripples")</f>
        <v>ripples</v>
      </c>
    </row>
    <row r="28497">
      <c r="A28497" s="1" t="s">
        <v>28496</v>
      </c>
      <c r="B28497" s="2" t="str">
        <f>IFERROR(__xludf.DUMMYFUNCTION("GOOGLETRANSLATE(A28497, ""de"", ""en"")"),"brought with him")</f>
        <v>brought with him</v>
      </c>
    </row>
    <row r="28498">
      <c r="A28498" s="1" t="s">
        <v>28497</v>
      </c>
      <c r="B28498" s="2" t="str">
        <f>IFERROR(__xludf.DUMMYFUNCTION("GOOGLETRANSLATE(A28498, ""de"", ""en"")"),"scornfully")</f>
        <v>scornfully</v>
      </c>
    </row>
    <row r="28499">
      <c r="A28499" s="1" t="s">
        <v>28498</v>
      </c>
      <c r="B28499" s="2" t="str">
        <f>IFERROR(__xludf.DUMMYFUNCTION("GOOGLETRANSLATE(A28499, ""de"", ""en"")"),"fulfilled")</f>
        <v>fulfilled</v>
      </c>
    </row>
    <row r="28500">
      <c r="A28500" s="1" t="s">
        <v>28499</v>
      </c>
      <c r="B28500" s="2" t="str">
        <f>IFERROR(__xludf.DUMMYFUNCTION("GOOGLETRANSLATE(A28500, ""de"", ""en"")"),"effie")</f>
        <v>effie</v>
      </c>
    </row>
    <row r="28501">
      <c r="A28501" s="1" t="s">
        <v>28500</v>
      </c>
      <c r="B28501" s="2" t="str">
        <f>IFERROR(__xludf.DUMMYFUNCTION("GOOGLETRANSLATE(A28501, ""de"", ""en"")"),"wonderfully pretty")</f>
        <v>wonderfully pretty</v>
      </c>
    </row>
    <row r="28502">
      <c r="A28502" s="1" t="s">
        <v>28501</v>
      </c>
      <c r="B28502" s="2" t="str">
        <f>IFERROR(__xludf.DUMMYFUNCTION("GOOGLETRANSLATE(A28502, ""de"", ""en"")"),"racine")</f>
        <v>racine</v>
      </c>
    </row>
    <row r="28503">
      <c r="A28503" s="1" t="s">
        <v>28502</v>
      </c>
      <c r="B28503" s="2" t="str">
        <f>IFERROR(__xludf.DUMMYFUNCTION("GOOGLETRANSLATE(A28503, ""de"", ""en"")"),"torn away")</f>
        <v>torn away</v>
      </c>
    </row>
    <row r="28504">
      <c r="A28504" s="1" t="s">
        <v>28503</v>
      </c>
      <c r="B28504" s="2" t="str">
        <f>IFERROR(__xludf.DUMMYFUNCTION("GOOGLETRANSLATE(A28504, ""de"", ""en"")"),"skies")</f>
        <v>skies</v>
      </c>
    </row>
    <row r="28505">
      <c r="A28505" s="1" t="s">
        <v>28504</v>
      </c>
      <c r="B28505" s="2" t="str">
        <f>IFERROR(__xludf.DUMMYFUNCTION("GOOGLETRANSLATE(A28505, ""de"", ""en"")"),"vittorio")</f>
        <v>vittorio</v>
      </c>
    </row>
    <row r="28506">
      <c r="A28506" s="1" t="s">
        <v>28505</v>
      </c>
      <c r="B28506" s="2" t="str">
        <f>IFERROR(__xludf.DUMMYFUNCTION("GOOGLETRANSLATE(A28506, ""de"", ""en"")"),"more devoted")</f>
        <v>more devoted</v>
      </c>
    </row>
    <row r="28507">
      <c r="A28507" s="1" t="s">
        <v>28506</v>
      </c>
      <c r="B28507" s="2" t="str">
        <f>IFERROR(__xludf.DUMMYFUNCTION("GOOGLETRANSLATE(A28507, ""de"", ""en"")"),"daisy")</f>
        <v>daisy</v>
      </c>
    </row>
    <row r="28508">
      <c r="A28508" s="1" t="s">
        <v>28507</v>
      </c>
      <c r="B28508" s="2" t="str">
        <f>IFERROR(__xludf.DUMMYFUNCTION("GOOGLETRANSLATE(A28508, ""de"", ""en"")"),"masked ball")</f>
        <v>masked ball</v>
      </c>
    </row>
    <row r="28509">
      <c r="A28509" s="1" t="s">
        <v>28508</v>
      </c>
      <c r="B28509" s="2" t="str">
        <f>IFERROR(__xludf.DUMMYFUNCTION("GOOGLETRANSLATE(A28509, ""de"", ""en"")"),"murders")</f>
        <v>murders</v>
      </c>
    </row>
    <row r="28510">
      <c r="A28510" s="1" t="s">
        <v>28509</v>
      </c>
      <c r="B28510" s="2" t="str">
        <f>IFERROR(__xludf.DUMMYFUNCTION("GOOGLETRANSLATE(A28510, ""de"", ""en"")"),"embody")</f>
        <v>embody</v>
      </c>
    </row>
    <row r="28511">
      <c r="A28511" s="1" t="s">
        <v>28510</v>
      </c>
      <c r="B28511" s="2" t="str">
        <f>IFERROR(__xludf.DUMMYFUNCTION("GOOGLETRANSLATE(A28511, ""de"", ""en"")"),"delivery")</f>
        <v>delivery</v>
      </c>
    </row>
    <row r="28512">
      <c r="A28512" s="1" t="s">
        <v>28511</v>
      </c>
      <c r="B28512" s="2" t="str">
        <f>IFERROR(__xludf.DUMMYFUNCTION("GOOGLETRANSLATE(A28512, ""de"", ""en"")"),"algorithms")</f>
        <v>algorithms</v>
      </c>
    </row>
    <row r="28513">
      <c r="A28513" s="1" t="s">
        <v>28512</v>
      </c>
      <c r="B28513" s="2" t="str">
        <f>IFERROR(__xludf.DUMMYFUNCTION("GOOGLETRANSLATE(A28513, ""de"", ""en"")"),"rockwell")</f>
        <v>rockwell</v>
      </c>
    </row>
    <row r="28514">
      <c r="A28514" s="1" t="s">
        <v>28513</v>
      </c>
      <c r="B28514" s="2" t="str">
        <f>IFERROR(__xludf.DUMMYFUNCTION("GOOGLETRANSLATE(A28514, ""de"", ""en"")"),"handed out")</f>
        <v>handed out</v>
      </c>
    </row>
    <row r="28515">
      <c r="A28515" s="1" t="s">
        <v>28514</v>
      </c>
      <c r="B28515" s="2" t="str">
        <f>IFERROR(__xludf.DUMMYFUNCTION("GOOGLETRANSLATE(A28515, ""de"", ""en"")"),"family life")</f>
        <v>family life</v>
      </c>
    </row>
    <row r="28516">
      <c r="A28516" s="1" t="s">
        <v>28515</v>
      </c>
      <c r="B28516" s="2" t="str">
        <f>IFERROR(__xludf.DUMMYFUNCTION("GOOGLETRANSLATE(A28516, ""de"", ""en"")"),"lounge")</f>
        <v>lounge</v>
      </c>
    </row>
    <row r="28517">
      <c r="A28517" s="1" t="s">
        <v>28516</v>
      </c>
      <c r="B28517" s="2" t="str">
        <f>IFERROR(__xludf.DUMMYFUNCTION("GOOGLETRANSLATE(A28517, ""de"", ""en"")"),"Thank God")</f>
        <v>Thank God</v>
      </c>
    </row>
    <row r="28518">
      <c r="A28518" s="1" t="s">
        <v>28517</v>
      </c>
      <c r="B28518" s="2" t="str">
        <f>IFERROR(__xludf.DUMMYFUNCTION("GOOGLETRANSLATE(A28518, ""de"", ""en"")"),"idleness")</f>
        <v>idleness</v>
      </c>
    </row>
    <row r="28519">
      <c r="A28519" s="1" t="s">
        <v>28518</v>
      </c>
      <c r="B28519" s="2" t="str">
        <f>IFERROR(__xludf.DUMMYFUNCTION("GOOGLETRANSLATE(A28519, ""de"", ""en"")"),"implementation")</f>
        <v>implementation</v>
      </c>
    </row>
    <row r="28520">
      <c r="A28520" s="1" t="s">
        <v>28519</v>
      </c>
      <c r="B28520" s="2" t="str">
        <f>IFERROR(__xludf.DUMMYFUNCTION("GOOGLETRANSLATE(A28520, ""de"", ""en"")"),"humanoids")</f>
        <v>humanoids</v>
      </c>
    </row>
    <row r="28521">
      <c r="A28521" s="1" t="s">
        <v>28520</v>
      </c>
      <c r="B28521" s="2" t="str">
        <f>IFERROR(__xludf.DUMMYFUNCTION("GOOGLETRANSLATE(A28521, ""de"", ""en"")"),"teaches")</f>
        <v>teaches</v>
      </c>
    </row>
    <row r="28522">
      <c r="A28522" s="1" t="s">
        <v>28521</v>
      </c>
      <c r="B28522" s="2" t="str">
        <f>IFERROR(__xludf.DUMMYFUNCTION("GOOGLETRANSLATE(A28522, ""de"", ""en"")"),"overview")</f>
        <v>overview</v>
      </c>
    </row>
    <row r="28523">
      <c r="A28523" s="1" t="s">
        <v>28522</v>
      </c>
      <c r="B28523" s="2" t="str">
        <f>IFERROR(__xludf.DUMMYFUNCTION("GOOGLETRANSLATE(A28523, ""de"", ""en"")"),"independence")</f>
        <v>independence</v>
      </c>
    </row>
    <row r="28524">
      <c r="A28524" s="1" t="s">
        <v>28523</v>
      </c>
      <c r="B28524" s="2" t="str">
        <f>IFERROR(__xludf.DUMMYFUNCTION("GOOGLETRANSLATE(A28524, ""de"", ""en"")"),"demolition")</f>
        <v>demolition</v>
      </c>
    </row>
    <row r="28525">
      <c r="A28525" s="1" t="s">
        <v>28524</v>
      </c>
      <c r="B28525" s="2" t="str">
        <f>IFERROR(__xludf.DUMMYFUNCTION("GOOGLETRANSLATE(A28525, ""de"", ""en"")"),"vibrate")</f>
        <v>vibrate</v>
      </c>
    </row>
    <row r="28526">
      <c r="A28526" s="1" t="s">
        <v>28525</v>
      </c>
      <c r="B28526" s="2" t="str">
        <f>IFERROR(__xludf.DUMMYFUNCTION("GOOGLETRANSLATE(A28526, ""de"", ""en"")"),"heat")</f>
        <v>heat</v>
      </c>
    </row>
    <row r="28527">
      <c r="A28527" s="1" t="s">
        <v>28526</v>
      </c>
      <c r="B28527" s="2" t="str">
        <f>IFERROR(__xludf.DUMMYFUNCTION("GOOGLETRANSLATE(A28527, ""de"", ""en"")"),"aftermath")</f>
        <v>aftermath</v>
      </c>
    </row>
    <row r="28528">
      <c r="A28528" s="1" t="s">
        <v>28527</v>
      </c>
      <c r="B28528" s="2" t="str">
        <f>IFERROR(__xludf.DUMMYFUNCTION("GOOGLETRANSLATE(A28528, ""de"", ""en"")"),"neo")</f>
        <v>neo</v>
      </c>
    </row>
    <row r="28529">
      <c r="A28529" s="1" t="s">
        <v>28528</v>
      </c>
      <c r="B28529" s="2" t="str">
        <f>IFERROR(__xludf.DUMMYFUNCTION("GOOGLETRANSLATE(A28529, ""de"", ""en"")"),"perforated")</f>
        <v>perforated</v>
      </c>
    </row>
    <row r="28530">
      <c r="A28530" s="1" t="s">
        <v>28529</v>
      </c>
      <c r="B28530" s="2" t="str">
        <f>IFERROR(__xludf.DUMMYFUNCTION("GOOGLETRANSLATE(A28530, ""de"", ""en"")"),"bowed")</f>
        <v>bowed</v>
      </c>
    </row>
    <row r="28531">
      <c r="A28531" s="1" t="s">
        <v>28530</v>
      </c>
      <c r="B28531" s="2" t="str">
        <f>IFERROR(__xludf.DUMMYFUNCTION("GOOGLETRANSLATE(A28531, ""de"", ""en"")"),"stop sign")</f>
        <v>stop sign</v>
      </c>
    </row>
    <row r="28532">
      <c r="A28532" s="1" t="s">
        <v>28531</v>
      </c>
      <c r="B28532" s="2" t="str">
        <f>IFERROR(__xludf.DUMMYFUNCTION("GOOGLETRANSLATE(A28532, ""de"", ""en"")"),"great-grandmother")</f>
        <v>great-grandmother</v>
      </c>
    </row>
    <row r="28533">
      <c r="A28533" s="1" t="s">
        <v>28532</v>
      </c>
      <c r="B28533" s="2" t="str">
        <f>IFERROR(__xludf.DUMMYFUNCTION("GOOGLETRANSLATE(A28533, ""de"", ""en"")"),"paleness")</f>
        <v>paleness</v>
      </c>
    </row>
    <row r="28534">
      <c r="A28534" s="1" t="s">
        <v>28533</v>
      </c>
      <c r="B28534" s="2" t="str">
        <f>IFERROR(__xludf.DUMMYFUNCTION("GOOGLETRANSLATE(A28534, ""de"", ""en"")"),"assault")</f>
        <v>assault</v>
      </c>
    </row>
    <row r="28535">
      <c r="A28535" s="1" t="s">
        <v>28534</v>
      </c>
      <c r="B28535" s="2" t="str">
        <f>IFERROR(__xludf.DUMMYFUNCTION("GOOGLETRANSLATE(A28535, ""de"", ""en"")"),"duvet")</f>
        <v>duvet</v>
      </c>
    </row>
    <row r="28536">
      <c r="A28536" s="1" t="s">
        <v>28535</v>
      </c>
      <c r="B28536" s="2" t="str">
        <f>IFERROR(__xludf.DUMMYFUNCTION("GOOGLETRANSLATE(A28536, ""de"", ""en"")"),"Mali")</f>
        <v>Mali</v>
      </c>
    </row>
    <row r="28537">
      <c r="A28537" s="1" t="s">
        <v>28536</v>
      </c>
      <c r="B28537" s="2" t="str">
        <f>IFERROR(__xludf.DUMMYFUNCTION("GOOGLETRANSLATE(A28537, ""de"", ""en"")"),"Jessica")</f>
        <v>Jessica</v>
      </c>
    </row>
    <row r="28538">
      <c r="A28538" s="1" t="s">
        <v>28537</v>
      </c>
      <c r="B28538" s="2" t="str">
        <f>IFERROR(__xludf.DUMMYFUNCTION("GOOGLETRANSLATE(A28538, ""de"", ""en"")"),"discuss")</f>
        <v>discuss</v>
      </c>
    </row>
    <row r="28539">
      <c r="A28539" s="1" t="s">
        <v>28538</v>
      </c>
      <c r="B28539" s="2" t="str">
        <f>IFERROR(__xludf.DUMMYFUNCTION("GOOGLETRANSLATE(A28539, ""de"", ""en"")"),"foresee")</f>
        <v>foresee</v>
      </c>
    </row>
    <row r="28540">
      <c r="A28540" s="1" t="s">
        <v>28539</v>
      </c>
      <c r="B28540" s="2" t="str">
        <f>IFERROR(__xludf.DUMMYFUNCTION("GOOGLETRANSLATE(A28540, ""de"", ""en"")"),"blood circulation")</f>
        <v>blood circulation</v>
      </c>
    </row>
    <row r="28541">
      <c r="A28541" s="1" t="s">
        <v>28540</v>
      </c>
      <c r="B28541" s="2" t="str">
        <f>IFERROR(__xludf.DUMMYFUNCTION("GOOGLETRANSLATE(A28541, ""de"", ""en"")"),"wondered")</f>
        <v>wondered</v>
      </c>
    </row>
    <row r="28542">
      <c r="A28542" s="1" t="s">
        <v>28541</v>
      </c>
      <c r="B28542" s="2" t="str">
        <f>IFERROR(__xludf.DUMMYFUNCTION("GOOGLETRANSLATE(A28542, ""de"", ""en"")"),"tack")</f>
        <v>tack</v>
      </c>
    </row>
    <row r="28543">
      <c r="A28543" s="1" t="s">
        <v>28542</v>
      </c>
      <c r="B28543" s="2" t="str">
        <f>IFERROR(__xludf.DUMMYFUNCTION("GOOGLETRANSLATE(A28543, ""de"", ""en"")"),"dede")</f>
        <v>dede</v>
      </c>
    </row>
    <row r="28544">
      <c r="A28544" s="1" t="s">
        <v>28543</v>
      </c>
      <c r="B28544" s="2" t="str">
        <f>IFERROR(__xludf.DUMMYFUNCTION("GOOGLETRANSLATE(A28544, ""de"", ""en"")"),"sophisticated")</f>
        <v>sophisticated</v>
      </c>
    </row>
    <row r="28545">
      <c r="A28545" s="1" t="s">
        <v>28544</v>
      </c>
      <c r="B28545" s="2" t="str">
        <f>IFERROR(__xludf.DUMMYFUNCTION("GOOGLETRANSLATE(A28545, ""de"", ""en"")"),"delilah")</f>
        <v>delilah</v>
      </c>
    </row>
    <row r="28546">
      <c r="A28546" s="1" t="s">
        <v>28545</v>
      </c>
      <c r="B28546" s="2" t="str">
        <f>IFERROR(__xludf.DUMMYFUNCTION("GOOGLETRANSLATE(A28546, ""de"", ""en"")"),"faster")</f>
        <v>faster</v>
      </c>
    </row>
    <row r="28547">
      <c r="A28547" s="1" t="s">
        <v>28546</v>
      </c>
      <c r="B28547" s="2" t="str">
        <f>IFERROR(__xludf.DUMMYFUNCTION("GOOGLETRANSLATE(A28547, ""de"", ""en"")"),"thrones")</f>
        <v>thrones</v>
      </c>
    </row>
    <row r="28548">
      <c r="A28548" s="1" t="s">
        <v>28547</v>
      </c>
      <c r="B28548" s="2" t="str">
        <f>IFERROR(__xludf.DUMMYFUNCTION("GOOGLETRANSLATE(A28548, ""de"", ""en"")"),"applicable")</f>
        <v>applicable</v>
      </c>
    </row>
    <row r="28549">
      <c r="A28549" s="1" t="s">
        <v>28548</v>
      </c>
      <c r="B28549" s="2" t="str">
        <f>IFERROR(__xludf.DUMMYFUNCTION("GOOGLETRANSLATE(A28549, ""de"", ""en"")"),"speaking")</f>
        <v>speaking</v>
      </c>
    </row>
    <row r="28550">
      <c r="A28550" s="1" t="s">
        <v>28549</v>
      </c>
      <c r="B28550" s="2" t="str">
        <f>IFERROR(__xludf.DUMMYFUNCTION("GOOGLETRANSLATE(A28550, ""de"", ""en"")"),"inhuman")</f>
        <v>inhuman</v>
      </c>
    </row>
    <row r="28551">
      <c r="A28551" s="1" t="s">
        <v>28550</v>
      </c>
      <c r="B28551" s="2" t="str">
        <f>IFERROR(__xludf.DUMMYFUNCTION("GOOGLETRANSLATE(A28551, ""de"", ""en"")"),"harpoon")</f>
        <v>harpoon</v>
      </c>
    </row>
    <row r="28552">
      <c r="A28552" s="1" t="s">
        <v>28551</v>
      </c>
      <c r="B28552" s="2" t="str">
        <f>IFERROR(__xludf.DUMMYFUNCTION("GOOGLETRANSLATE(A28552, ""de"", ""en"")"),"skipped")</f>
        <v>skipped</v>
      </c>
    </row>
    <row r="28553">
      <c r="A28553" s="1" t="s">
        <v>28552</v>
      </c>
      <c r="B28553" s="2" t="str">
        <f>IFERROR(__xludf.DUMMYFUNCTION("GOOGLETRANSLATE(A28553, ""de"", ""en"")"),"Aphrodite")</f>
        <v>Aphrodite</v>
      </c>
    </row>
    <row r="28554">
      <c r="A28554" s="1" t="s">
        <v>28553</v>
      </c>
      <c r="B28554" s="2" t="str">
        <f>IFERROR(__xludf.DUMMYFUNCTION("GOOGLETRANSLATE(A28554, ""de"", ""en"")"),"need")</f>
        <v>need</v>
      </c>
    </row>
    <row r="28555">
      <c r="A28555" s="1" t="s">
        <v>28554</v>
      </c>
      <c r="B28555" s="2" t="str">
        <f>IFERROR(__xludf.DUMMYFUNCTION("GOOGLETRANSLATE(A28555, ""de"", ""en"")"),"dictated")</f>
        <v>dictated</v>
      </c>
    </row>
    <row r="28556">
      <c r="A28556" s="1" t="s">
        <v>28555</v>
      </c>
      <c r="B28556" s="2" t="str">
        <f>IFERROR(__xludf.DUMMYFUNCTION("GOOGLETRANSLATE(A28556, ""de"", ""en"")"),"cabins")</f>
        <v>cabins</v>
      </c>
    </row>
    <row r="28557">
      <c r="A28557" s="1" t="s">
        <v>28556</v>
      </c>
      <c r="B28557" s="2" t="str">
        <f>IFERROR(__xludf.DUMMYFUNCTION("GOOGLETRANSLATE(A28557, ""de"", ""en"")"),"get rid of")</f>
        <v>get rid of</v>
      </c>
    </row>
    <row r="28558">
      <c r="A28558" s="1" t="s">
        <v>28557</v>
      </c>
      <c r="B28558" s="2" t="str">
        <f>IFERROR(__xludf.DUMMYFUNCTION("GOOGLETRANSLATE(A28558, ""de"", ""en"")"),"siu")</f>
        <v>siu</v>
      </c>
    </row>
    <row r="28559">
      <c r="A28559" s="1" t="s">
        <v>28558</v>
      </c>
      <c r="B28559" s="2" t="str">
        <f>IFERROR(__xludf.DUMMYFUNCTION("GOOGLETRANSLATE(A28559, ""de"", ""en"")"),"Ollie")</f>
        <v>Ollie</v>
      </c>
    </row>
    <row r="28560">
      <c r="A28560" s="1" t="s">
        <v>28559</v>
      </c>
      <c r="B28560" s="2" t="str">
        <f>IFERROR(__xludf.DUMMYFUNCTION("GOOGLETRANSLATE(A28560, ""de"", ""en"")"),"boost")</f>
        <v>boost</v>
      </c>
    </row>
    <row r="28561">
      <c r="A28561" s="1" t="s">
        <v>28560</v>
      </c>
      <c r="B28561" s="2" t="str">
        <f>IFERROR(__xludf.DUMMYFUNCTION("GOOGLETRANSLATE(A28561, ""de"", ""en"")"),"triumphant")</f>
        <v>triumphant</v>
      </c>
    </row>
    <row r="28562">
      <c r="A28562" s="1" t="s">
        <v>28561</v>
      </c>
      <c r="B28562" s="2" t="str">
        <f>IFERROR(__xludf.DUMMYFUNCTION("GOOGLETRANSLATE(A28562, ""de"", ""en"")"),"radiant")</f>
        <v>radiant</v>
      </c>
    </row>
    <row r="28563">
      <c r="A28563" s="1" t="s">
        <v>28562</v>
      </c>
      <c r="B28563" s="2" t="str">
        <f>IFERROR(__xludf.DUMMYFUNCTION("GOOGLETRANSLATE(A28563, ""de"", ""en"")"),"blood clots")</f>
        <v>blood clots</v>
      </c>
    </row>
    <row r="28564">
      <c r="A28564" s="1" t="s">
        <v>28563</v>
      </c>
      <c r="B28564" s="2" t="str">
        <f>IFERROR(__xludf.DUMMYFUNCTION("GOOGLETRANSLATE(A28564, ""de"", ""en"")"),"gully")</f>
        <v>gully</v>
      </c>
    </row>
    <row r="28565">
      <c r="A28565" s="1" t="s">
        <v>28564</v>
      </c>
      <c r="B28565" s="2" t="str">
        <f>IFERROR(__xludf.DUMMYFUNCTION("GOOGLETRANSLATE(A28565, ""de"", ""en"")"),"more suitable")</f>
        <v>more suitable</v>
      </c>
    </row>
    <row r="28566">
      <c r="A28566" s="1" t="s">
        <v>28565</v>
      </c>
      <c r="B28566" s="2" t="str">
        <f>IFERROR(__xludf.DUMMYFUNCTION("GOOGLETRANSLATE(A28566, ""de"", ""en"")"),"Renate")</f>
        <v>Renate</v>
      </c>
    </row>
    <row r="28567">
      <c r="A28567" s="1" t="s">
        <v>28566</v>
      </c>
      <c r="B28567" s="2" t="str">
        <f>IFERROR(__xludf.DUMMYFUNCTION("GOOGLETRANSLATE(A28567, ""de"", ""en"")"),"tax money")</f>
        <v>tax money</v>
      </c>
    </row>
    <row r="28568">
      <c r="A28568" s="1" t="s">
        <v>28567</v>
      </c>
      <c r="B28568" s="2" t="str">
        <f>IFERROR(__xludf.DUMMYFUNCTION("GOOGLETRANSLATE(A28568, ""de"", ""en"")"),"Dominic")</f>
        <v>Dominic</v>
      </c>
    </row>
    <row r="28569">
      <c r="A28569" s="1" t="s">
        <v>28568</v>
      </c>
      <c r="B28569" s="2" t="str">
        <f>IFERROR(__xludf.DUMMYFUNCTION("GOOGLETRANSLATE(A28569, ""de"", ""en"")"),"vaccination")</f>
        <v>vaccination</v>
      </c>
    </row>
    <row r="28570">
      <c r="A28570" s="1" t="s">
        <v>28569</v>
      </c>
      <c r="B28570" s="2" t="str">
        <f>IFERROR(__xludf.DUMMYFUNCTION("GOOGLETRANSLATE(A28570, ""de"", ""en"")"),"his equal")</f>
        <v>his equal</v>
      </c>
    </row>
    <row r="28571">
      <c r="A28571" s="1" t="s">
        <v>28570</v>
      </c>
      <c r="B28571" s="2" t="str">
        <f>IFERROR(__xludf.DUMMYFUNCTION("GOOGLETRANSLATE(A28571, ""de"", ""en"")"),"nostradamus")</f>
        <v>nostradamus</v>
      </c>
    </row>
    <row r="28572">
      <c r="A28572" s="1" t="s">
        <v>28571</v>
      </c>
      <c r="B28572" s="2" t="str">
        <f>IFERROR(__xludf.DUMMYFUNCTION("GOOGLETRANSLATE(A28572, ""de"", ""en"")"),"decide")</f>
        <v>decide</v>
      </c>
    </row>
    <row r="28573">
      <c r="A28573" s="1" t="s">
        <v>28572</v>
      </c>
      <c r="B28573" s="2" t="str">
        <f>IFERROR(__xludf.DUMMYFUNCTION("GOOGLETRANSLATE(A28573, ""de"", ""en"")"),"blunt")</f>
        <v>blunt</v>
      </c>
    </row>
    <row r="28574">
      <c r="A28574" s="1" t="s">
        <v>28573</v>
      </c>
      <c r="B28574" s="2" t="str">
        <f>IFERROR(__xludf.DUMMYFUNCTION("GOOGLETRANSLATE(A28574, ""de"", ""en"")"),"souffle")</f>
        <v>souffle</v>
      </c>
    </row>
    <row r="28575">
      <c r="A28575" s="1" t="s">
        <v>28574</v>
      </c>
      <c r="B28575" s="2" t="str">
        <f>IFERROR(__xludf.DUMMYFUNCTION("GOOGLETRANSLATE(A28575, ""de"", ""en"")"),"quotes")</f>
        <v>quotes</v>
      </c>
    </row>
    <row r="28576">
      <c r="A28576" s="1" t="s">
        <v>28575</v>
      </c>
      <c r="B28576" s="2" t="str">
        <f>IFERROR(__xludf.DUMMYFUNCTION("GOOGLETRANSLATE(A28576, ""de"", ""en"")"),"hypocrite")</f>
        <v>hypocrite</v>
      </c>
    </row>
    <row r="28577">
      <c r="A28577" s="1" t="s">
        <v>28576</v>
      </c>
      <c r="B28577" s="2" t="str">
        <f>IFERROR(__xludf.DUMMYFUNCTION("GOOGLETRANSLATE(A28577, ""de"", ""en"")"),"scared shitless")</f>
        <v>scared shitless</v>
      </c>
    </row>
    <row r="28578">
      <c r="A28578" s="1" t="s">
        <v>28577</v>
      </c>
      <c r="B28578" s="2" t="str">
        <f>IFERROR(__xludf.DUMMYFUNCTION("GOOGLETRANSLATE(A28578, ""de"", ""en"")"),"cover")</f>
        <v>cover</v>
      </c>
    </row>
    <row r="28579">
      <c r="A28579" s="1" t="s">
        <v>28578</v>
      </c>
      <c r="B28579" s="2" t="str">
        <f>IFERROR(__xludf.DUMMYFUNCTION("GOOGLETRANSLATE(A28579, ""de"", ""en"")"),"banana")</f>
        <v>banana</v>
      </c>
    </row>
    <row r="28580">
      <c r="A28580" s="1" t="s">
        <v>28579</v>
      </c>
      <c r="B28580" s="2" t="str">
        <f>IFERROR(__xludf.DUMMYFUNCTION("GOOGLETRANSLATE(A28580, ""de"", ""en"")"),"ribbons")</f>
        <v>ribbons</v>
      </c>
    </row>
    <row r="28581">
      <c r="A28581" s="1" t="s">
        <v>28580</v>
      </c>
      <c r="B28581" s="2" t="str">
        <f>IFERROR(__xludf.DUMMYFUNCTION("GOOGLETRANSLATE(A28581, ""de"", ""en"")"),"folded")</f>
        <v>folded</v>
      </c>
    </row>
    <row r="28582">
      <c r="A28582" s="1" t="s">
        <v>28581</v>
      </c>
      <c r="B28582" s="2" t="str">
        <f>IFERROR(__xludf.DUMMYFUNCTION("GOOGLETRANSLATE(A28582, ""de"", ""en"")"),"anchored")</f>
        <v>anchored</v>
      </c>
    </row>
    <row r="28583">
      <c r="A28583" s="1" t="s">
        <v>28582</v>
      </c>
      <c r="B28583" s="2" t="str">
        <f>IFERROR(__xludf.DUMMYFUNCTION("GOOGLETRANSLATE(A28583, ""de"", ""en"")"),"showcase")</f>
        <v>showcase</v>
      </c>
    </row>
    <row r="28584">
      <c r="A28584" s="1" t="s">
        <v>28583</v>
      </c>
      <c r="B28584" s="2" t="str">
        <f>IFERROR(__xludf.DUMMYFUNCTION("GOOGLETRANSLATE(A28584, ""de"", ""en"")"),"icon")</f>
        <v>icon</v>
      </c>
    </row>
    <row r="28585">
      <c r="A28585" s="1" t="s">
        <v>28584</v>
      </c>
      <c r="B28585" s="2" t="str">
        <f>IFERROR(__xludf.DUMMYFUNCTION("GOOGLETRANSLATE(A28585, ""de"", ""en"")"),"to keep")</f>
        <v>to keep</v>
      </c>
    </row>
    <row r="28586">
      <c r="A28586" s="1" t="s">
        <v>28585</v>
      </c>
      <c r="B28586" s="2" t="str">
        <f>IFERROR(__xludf.DUMMYFUNCTION("GOOGLETRANSLATE(A28586, ""de"", ""en"")"),"granite")</f>
        <v>granite</v>
      </c>
    </row>
    <row r="28587">
      <c r="A28587" s="1" t="s">
        <v>28586</v>
      </c>
      <c r="B28587" s="2" t="str">
        <f>IFERROR(__xludf.DUMMYFUNCTION("GOOGLETRANSLATE(A28587, ""de"", ""en"")"),"secret passage")</f>
        <v>secret passage</v>
      </c>
    </row>
    <row r="28588">
      <c r="A28588" s="1" t="s">
        <v>28587</v>
      </c>
      <c r="B28588" s="2" t="str">
        <f>IFERROR(__xludf.DUMMYFUNCTION("GOOGLETRANSLATE(A28588, ""de"", ""en"")"),"intelligence")</f>
        <v>intelligence</v>
      </c>
    </row>
    <row r="28589">
      <c r="A28589" s="1" t="s">
        <v>28588</v>
      </c>
      <c r="B28589" s="2" t="str">
        <f>IFERROR(__xludf.DUMMYFUNCTION("GOOGLETRANSLATE(A28589, ""de"", ""en"")"),"danger")</f>
        <v>danger</v>
      </c>
    </row>
    <row r="28590">
      <c r="A28590" s="1" t="s">
        <v>28589</v>
      </c>
      <c r="B28590" s="2" t="str">
        <f>IFERROR(__xludf.DUMMYFUNCTION("GOOGLETRANSLATE(A28590, ""de"", ""en"")"),"dougal")</f>
        <v>dougal</v>
      </c>
    </row>
    <row r="28591">
      <c r="A28591" s="1" t="s">
        <v>28590</v>
      </c>
      <c r="B28591" s="2" t="str">
        <f>IFERROR(__xludf.DUMMYFUNCTION("GOOGLETRANSLATE(A28591, ""de"", ""en"")"),"peg")</f>
        <v>peg</v>
      </c>
    </row>
    <row r="28592">
      <c r="A28592" s="1" t="s">
        <v>28591</v>
      </c>
      <c r="B28592" s="2" t="str">
        <f>IFERROR(__xludf.DUMMYFUNCTION("GOOGLETRANSLATE(A28592, ""de"", ""en"")"),"neely")</f>
        <v>neely</v>
      </c>
    </row>
    <row r="28593">
      <c r="A28593" s="1" t="s">
        <v>28592</v>
      </c>
      <c r="B28593" s="2" t="str">
        <f>IFERROR(__xludf.DUMMYFUNCTION("GOOGLETRANSLATE(A28593, ""de"", ""en"")"),"human blood")</f>
        <v>human blood</v>
      </c>
    </row>
    <row r="28594">
      <c r="A28594" s="1" t="s">
        <v>28593</v>
      </c>
      <c r="B28594" s="2" t="str">
        <f>IFERROR(__xludf.DUMMYFUNCTION("GOOGLETRANSLATE(A28594, ""de"", ""en"")"),"rahl")</f>
        <v>rahl</v>
      </c>
    </row>
    <row r="28595">
      <c r="A28595" s="1" t="s">
        <v>28594</v>
      </c>
      <c r="B28595" s="2" t="str">
        <f>IFERROR(__xludf.DUMMYFUNCTION("GOOGLETRANSLATE(A28595, ""de"", ""en"")"),"to come back")</f>
        <v>to come back</v>
      </c>
    </row>
    <row r="28596">
      <c r="A28596" s="1" t="s">
        <v>28595</v>
      </c>
      <c r="B28596" s="2" t="str">
        <f>IFERROR(__xludf.DUMMYFUNCTION("GOOGLETRANSLATE(A28596, ""de"", ""en"")"),"blossom")</f>
        <v>blossom</v>
      </c>
    </row>
    <row r="28597">
      <c r="A28597" s="1" t="s">
        <v>28596</v>
      </c>
      <c r="B28597" s="2" t="str">
        <f>IFERROR(__xludf.DUMMYFUNCTION("GOOGLETRANSLATE(A28597, ""de"", ""en"")"),"executor")</f>
        <v>executor</v>
      </c>
    </row>
    <row r="28598">
      <c r="A28598" s="1" t="s">
        <v>28597</v>
      </c>
      <c r="B28598" s="2" t="str">
        <f>IFERROR(__xludf.DUMMYFUNCTION("GOOGLETRANSLATE(A28598, ""de"", ""en"")"),"silicone")</f>
        <v>silicone</v>
      </c>
    </row>
    <row r="28599">
      <c r="A28599" s="1" t="s">
        <v>28598</v>
      </c>
      <c r="B28599" s="2" t="str">
        <f>IFERROR(__xludf.DUMMYFUNCTION("GOOGLETRANSLATE(A28599, ""de"", ""en"")"),"xindi")</f>
        <v>xindi</v>
      </c>
    </row>
    <row r="28600">
      <c r="A28600" s="1" t="s">
        <v>28599</v>
      </c>
      <c r="B28600" s="2" t="str">
        <f>IFERROR(__xludf.DUMMYFUNCTION("GOOGLETRANSLATE(A28600, ""de"", ""en"")"),"sutherland")</f>
        <v>sutherland</v>
      </c>
    </row>
    <row r="28601">
      <c r="A28601" s="1" t="s">
        <v>28600</v>
      </c>
      <c r="B28601" s="2" t="str">
        <f>IFERROR(__xludf.DUMMYFUNCTION("GOOGLETRANSLATE(A28601, ""de"", ""en"")"),"homos")</f>
        <v>homos</v>
      </c>
    </row>
    <row r="28602">
      <c r="A28602" s="1" t="s">
        <v>28601</v>
      </c>
      <c r="B28602" s="2" t="str">
        <f>IFERROR(__xludf.DUMMYFUNCTION("GOOGLETRANSLATE(A28602, ""de"", ""en"")"),"provide")</f>
        <v>provide</v>
      </c>
    </row>
    <row r="28603">
      <c r="A28603" s="1" t="s">
        <v>28602</v>
      </c>
      <c r="B28603" s="2" t="str">
        <f>IFERROR(__xludf.DUMMYFUNCTION("GOOGLETRANSLATE(A28603, ""de"", ""en"")"),"mado")</f>
        <v>mado</v>
      </c>
    </row>
    <row r="28604">
      <c r="A28604" s="1" t="s">
        <v>28603</v>
      </c>
      <c r="B28604" s="2" t="str">
        <f>IFERROR(__xludf.DUMMYFUNCTION("GOOGLETRANSLATE(A28604, ""de"", ""en"")"),"softball")</f>
        <v>softball</v>
      </c>
    </row>
    <row r="28605">
      <c r="A28605" s="1" t="s">
        <v>28604</v>
      </c>
      <c r="B28605" s="2" t="str">
        <f>IFERROR(__xludf.DUMMYFUNCTION("GOOGLETRANSLATE(A28605, ""de"", ""en"")"),"travel")</f>
        <v>travel</v>
      </c>
    </row>
    <row r="28606">
      <c r="A28606" s="1" t="s">
        <v>28605</v>
      </c>
      <c r="B28606" s="2" t="str">
        <f>IFERROR(__xludf.DUMMYFUNCTION("GOOGLETRANSLATE(A28606, ""de"", ""en"")"),"sets")</f>
        <v>sets</v>
      </c>
    </row>
    <row r="28607">
      <c r="A28607" s="1" t="s">
        <v>28606</v>
      </c>
      <c r="B28607" s="2" t="str">
        <f>IFERROR(__xludf.DUMMYFUNCTION("GOOGLETRANSLATE(A28607, ""de"", ""en"")"),"hatchet")</f>
        <v>hatchet</v>
      </c>
    </row>
    <row r="28608">
      <c r="A28608" s="1" t="s">
        <v>28607</v>
      </c>
      <c r="B28608" s="2" t="str">
        <f>IFERROR(__xludf.DUMMYFUNCTION("GOOGLETRANSLATE(A28608, ""de"", ""en"")"),"vinyl records")</f>
        <v>vinyl records</v>
      </c>
    </row>
    <row r="28609">
      <c r="A28609" s="1" t="s">
        <v>28608</v>
      </c>
      <c r="B28609" s="2" t="str">
        <f>IFERROR(__xludf.DUMMYFUNCTION("GOOGLETRANSLATE(A28609, ""de"", ""en"")"),"med")</f>
        <v>med</v>
      </c>
    </row>
    <row r="28610">
      <c r="A28610" s="1" t="s">
        <v>28609</v>
      </c>
      <c r="B28610" s="2" t="str">
        <f>IFERROR(__xludf.DUMMYFUNCTION("GOOGLETRANSLATE(A28610, ""de"", ""en"")"),"boxing match")</f>
        <v>boxing match</v>
      </c>
    </row>
    <row r="28611">
      <c r="A28611" s="1" t="s">
        <v>28610</v>
      </c>
      <c r="B28611" s="2" t="str">
        <f>IFERROR(__xludf.DUMMYFUNCTION("GOOGLETRANSLATE(A28611, ""de"", ""en"")"),"cocoa")</f>
        <v>cocoa</v>
      </c>
    </row>
    <row r="28612">
      <c r="A28612" s="1" t="s">
        <v>28611</v>
      </c>
      <c r="B28612" s="2" t="str">
        <f>IFERROR(__xludf.DUMMYFUNCTION("GOOGLETRANSLATE(A28612, ""de"", ""en"")"),"vital")</f>
        <v>vital</v>
      </c>
    </row>
    <row r="28613">
      <c r="A28613" s="1" t="s">
        <v>28612</v>
      </c>
      <c r="B28613" s="2" t="str">
        <f>IFERROR(__xludf.DUMMYFUNCTION("GOOGLETRANSLATE(A28613, ""de"", ""en"")"),"gang war")</f>
        <v>gang war</v>
      </c>
    </row>
    <row r="28614">
      <c r="A28614" s="1" t="s">
        <v>28613</v>
      </c>
      <c r="B28614" s="2" t="str">
        <f>IFERROR(__xludf.DUMMYFUNCTION("GOOGLETRANSLATE(A28614, ""de"", ""en"")"),"met")</f>
        <v>met</v>
      </c>
    </row>
    <row r="28615">
      <c r="A28615" s="1" t="s">
        <v>28614</v>
      </c>
      <c r="B28615" s="2" t="str">
        <f>IFERROR(__xludf.DUMMYFUNCTION("GOOGLETRANSLATE(A28615, ""de"", ""en"")"),"fluff")</f>
        <v>fluff</v>
      </c>
    </row>
    <row r="28616">
      <c r="A28616" s="1" t="s">
        <v>28615</v>
      </c>
      <c r="B28616" s="2" t="str">
        <f>IFERROR(__xludf.DUMMYFUNCTION("GOOGLETRANSLATE(A28616, ""de"", ""en"")"),"chord")</f>
        <v>chord</v>
      </c>
    </row>
    <row r="28617">
      <c r="A28617" s="1" t="s">
        <v>28616</v>
      </c>
      <c r="B28617" s="2" t="str">
        <f>IFERROR(__xludf.DUMMYFUNCTION("GOOGLETRANSLATE(A28617, ""de"", ""en"")"),"my lords")</f>
        <v>my lords</v>
      </c>
    </row>
    <row r="28618">
      <c r="A28618" s="1" t="s">
        <v>28617</v>
      </c>
      <c r="B28618" s="2" t="str">
        <f>IFERROR(__xludf.DUMMYFUNCTION("GOOGLETRANSLATE(A28618, ""de"", ""en"")"),"sensor")</f>
        <v>sensor</v>
      </c>
    </row>
    <row r="28619">
      <c r="A28619" s="1" t="s">
        <v>28618</v>
      </c>
      <c r="B28619" s="2" t="str">
        <f>IFERROR(__xludf.DUMMYFUNCTION("GOOGLETRANSLATE(A28619, ""de"", ""en"")"),"door")</f>
        <v>door</v>
      </c>
    </row>
    <row r="28620">
      <c r="A28620" s="1" t="s">
        <v>28619</v>
      </c>
      <c r="B28620" s="2" t="str">
        <f>IFERROR(__xludf.DUMMYFUNCTION("GOOGLETRANSLATE(A28620, ""de"", ""en"")"),"breast milk")</f>
        <v>breast milk</v>
      </c>
    </row>
    <row r="28621">
      <c r="A28621" s="1" t="s">
        <v>28620</v>
      </c>
      <c r="B28621" s="2" t="str">
        <f>IFERROR(__xludf.DUMMYFUNCTION("GOOGLETRANSLATE(A28621, ""de"", ""en"")"),"any")</f>
        <v>any</v>
      </c>
    </row>
    <row r="28622">
      <c r="A28622" s="1" t="s">
        <v>28621</v>
      </c>
      <c r="B28622" s="2" t="str">
        <f>IFERROR(__xludf.DUMMYFUNCTION("GOOGLETRANSLATE(A28622, ""de"", ""en"")"),"oil rig")</f>
        <v>oil rig</v>
      </c>
    </row>
    <row r="28623">
      <c r="A28623" s="1" t="s">
        <v>28622</v>
      </c>
      <c r="B28623" s="2" t="str">
        <f>IFERROR(__xludf.DUMMYFUNCTION("GOOGLETRANSLATE(A28623, ""de"", ""en"")"),"fielding")</f>
        <v>fielding</v>
      </c>
    </row>
    <row r="28624">
      <c r="A28624" s="1" t="s">
        <v>28623</v>
      </c>
      <c r="B28624" s="2" t="str">
        <f>IFERROR(__xludf.DUMMYFUNCTION("GOOGLETRANSLATE(A28624, ""de"", ""en"")"),"striptease")</f>
        <v>striptease</v>
      </c>
    </row>
    <row r="28625">
      <c r="A28625" s="1" t="s">
        <v>28624</v>
      </c>
      <c r="B28625" s="2" t="str">
        <f>IFERROR(__xludf.DUMMYFUNCTION("GOOGLETRANSLATE(A28625, ""de"", ""en"")"),"hayward")</f>
        <v>hayward</v>
      </c>
    </row>
    <row r="28626">
      <c r="A28626" s="1" t="s">
        <v>28625</v>
      </c>
      <c r="B28626" s="2" t="str">
        <f>IFERROR(__xludf.DUMMYFUNCTION("GOOGLETRANSLATE(A28626, ""de"", ""en"")"),"Bosnia")</f>
        <v>Bosnia</v>
      </c>
    </row>
    <row r="28627">
      <c r="A28627" s="1" t="s">
        <v>28626</v>
      </c>
      <c r="B28627" s="2" t="str">
        <f>IFERROR(__xludf.DUMMYFUNCTION("GOOGLETRANSLATE(A28627, ""de"", ""en"")"),"Pompeii")</f>
        <v>Pompeii</v>
      </c>
    </row>
    <row r="28628">
      <c r="A28628" s="1" t="s">
        <v>28627</v>
      </c>
      <c r="B28628" s="2" t="str">
        <f>IFERROR(__xludf.DUMMYFUNCTION("GOOGLETRANSLATE(A28628, ""de"", ""en"")"),"fighting sounds")</f>
        <v>fighting sounds</v>
      </c>
    </row>
    <row r="28629">
      <c r="A28629" s="1" t="s">
        <v>28628</v>
      </c>
      <c r="B28629" s="2" t="str">
        <f>IFERROR(__xludf.DUMMYFUNCTION("GOOGLETRANSLATE(A28629, ""de"", ""en"")"),"ass-kicking")</f>
        <v>ass-kicking</v>
      </c>
    </row>
    <row r="28630">
      <c r="A28630" s="1" t="s">
        <v>28629</v>
      </c>
      <c r="B28630" s="2" t="str">
        <f>IFERROR(__xludf.DUMMYFUNCTION("GOOGLETRANSLATE(A28630, ""de"", ""en"")"),"reincarnation")</f>
        <v>reincarnation</v>
      </c>
    </row>
    <row r="28631">
      <c r="A28631" s="1" t="s">
        <v>28630</v>
      </c>
      <c r="B28631" s="2" t="str">
        <f>IFERROR(__xludf.DUMMYFUNCTION("GOOGLETRANSLATE(A28631, ""de"", ""en"")"),"holman")</f>
        <v>holman</v>
      </c>
    </row>
    <row r="28632">
      <c r="A28632" s="1" t="s">
        <v>28631</v>
      </c>
      <c r="B28632" s="2" t="str">
        <f>IFERROR(__xludf.DUMMYFUNCTION("GOOGLETRANSLATE(A28632, ""de"", ""en"")"),"post")</f>
        <v>post</v>
      </c>
    </row>
    <row r="28633">
      <c r="A28633" s="1" t="s">
        <v>28632</v>
      </c>
      <c r="B28633" s="2" t="str">
        <f>IFERROR(__xludf.DUMMYFUNCTION("GOOGLETRANSLATE(A28633, ""de"", ""en"")"),"mommy")</f>
        <v>mommy</v>
      </c>
    </row>
    <row r="28634">
      <c r="A28634" s="1" t="s">
        <v>28633</v>
      </c>
      <c r="B28634" s="2" t="str">
        <f>IFERROR(__xludf.DUMMYFUNCTION("GOOGLETRANSLATE(A28634, ""de"", ""en"")"),"pheebs")</f>
        <v>pheebs</v>
      </c>
    </row>
    <row r="28635">
      <c r="A28635" s="1" t="s">
        <v>28634</v>
      </c>
      <c r="B28635" s="2" t="str">
        <f>IFERROR(__xludf.DUMMYFUNCTION("GOOGLETRANSLATE(A28635, ""de"", ""en"")"),"begged")</f>
        <v>begged</v>
      </c>
    </row>
    <row r="28636">
      <c r="A28636" s="1" t="s">
        <v>28635</v>
      </c>
      <c r="B28636" s="2" t="str">
        <f>IFERROR(__xludf.DUMMYFUNCTION("GOOGLETRANSLATE(A28636, ""de"", ""en"")"),"confirmed")</f>
        <v>confirmed</v>
      </c>
    </row>
    <row r="28637">
      <c r="A28637" s="1" t="s">
        <v>28636</v>
      </c>
      <c r="B28637" s="2" t="str">
        <f>IFERROR(__xludf.DUMMYFUNCTION("GOOGLETRANSLATE(A28637, ""de"", ""en"")"),"sedan")</f>
        <v>sedan</v>
      </c>
    </row>
    <row r="28638">
      <c r="A28638" s="1" t="s">
        <v>28637</v>
      </c>
      <c r="B28638" s="2" t="str">
        <f>IFERROR(__xludf.DUMMYFUNCTION("GOOGLETRANSLATE(A28638, ""de"", ""en"")"),"balloons")</f>
        <v>balloons</v>
      </c>
    </row>
    <row r="28639">
      <c r="A28639" s="1" t="s">
        <v>28638</v>
      </c>
      <c r="B28639" s="2" t="str">
        <f>IFERROR(__xludf.DUMMYFUNCTION("GOOGLETRANSLATE(A28639, ""de"", ""en"")"),"concerns")</f>
        <v>concerns</v>
      </c>
    </row>
    <row r="28640">
      <c r="A28640" s="1" t="s">
        <v>28639</v>
      </c>
      <c r="B28640" s="2" t="str">
        <f>IFERROR(__xludf.DUMMYFUNCTION("GOOGLETRANSLATE(A28640, ""de"", ""en"")"),"held")</f>
        <v>held</v>
      </c>
    </row>
    <row r="28641">
      <c r="A28641" s="1" t="s">
        <v>28640</v>
      </c>
      <c r="B28641" s="2" t="str">
        <f>IFERROR(__xludf.DUMMYFUNCTION("GOOGLETRANSLATE(A28641, ""de"", ""en"")"),"millennium")</f>
        <v>millennium</v>
      </c>
    </row>
    <row r="28642">
      <c r="A28642" s="1" t="s">
        <v>28641</v>
      </c>
      <c r="B28642" s="2" t="str">
        <f>IFERROR(__xludf.DUMMYFUNCTION("GOOGLETRANSLATE(A28642, ""de"", ""en"")"),"exclusive")</f>
        <v>exclusive</v>
      </c>
    </row>
    <row r="28643">
      <c r="A28643" s="1" t="s">
        <v>28642</v>
      </c>
      <c r="B28643" s="2" t="str">
        <f>IFERROR(__xludf.DUMMYFUNCTION("GOOGLETRANSLATE(A28643, ""de"", ""en"")"),"platinum")</f>
        <v>platinum</v>
      </c>
    </row>
    <row r="28644">
      <c r="A28644" s="1" t="s">
        <v>28643</v>
      </c>
      <c r="B28644" s="2" t="str">
        <f>IFERROR(__xludf.DUMMYFUNCTION("GOOGLETRANSLATE(A28644, ""de"", ""en"")"),"source")</f>
        <v>source</v>
      </c>
    </row>
    <row r="28645">
      <c r="A28645" s="1" t="s">
        <v>28644</v>
      </c>
      <c r="B28645" s="2" t="str">
        <f>IFERROR(__xludf.DUMMYFUNCTION("GOOGLETRANSLATE(A28645, ""de"", ""en"")"),"gayle")</f>
        <v>gayle</v>
      </c>
    </row>
    <row r="28646">
      <c r="A28646" s="1" t="s">
        <v>28645</v>
      </c>
      <c r="B28646" s="2" t="str">
        <f>IFERROR(__xludf.DUMMYFUNCTION("GOOGLETRANSLATE(A28646, ""de"", ""en"")"),"question")</f>
        <v>question</v>
      </c>
    </row>
    <row r="28647">
      <c r="A28647" s="1" t="s">
        <v>28646</v>
      </c>
      <c r="B28647" s="2" t="str">
        <f>IFERROR(__xludf.DUMMYFUNCTION("GOOGLETRANSLATE(A28647, ""de"", ""en"")"),"barricades")</f>
        <v>barricades</v>
      </c>
    </row>
    <row r="28648">
      <c r="A28648" s="1" t="s">
        <v>28647</v>
      </c>
      <c r="B28648" s="2" t="str">
        <f>IFERROR(__xludf.DUMMYFUNCTION("GOOGLETRANSLATE(A28648, ""de"", ""en"")"),"gaeta")</f>
        <v>gaeta</v>
      </c>
    </row>
    <row r="28649">
      <c r="A28649" s="1" t="s">
        <v>28648</v>
      </c>
      <c r="B28649" s="2" t="str">
        <f>IFERROR(__xludf.DUMMYFUNCTION("GOOGLETRANSLATE(A28649, ""de"", ""en"")"),"lucky number")</f>
        <v>lucky number</v>
      </c>
    </row>
    <row r="28650">
      <c r="A28650" s="1" t="s">
        <v>28649</v>
      </c>
      <c r="B28650" s="2" t="str">
        <f>IFERROR(__xludf.DUMMYFUNCTION("GOOGLETRANSLATE(A28650, ""de"", ""en"")"),"chez")</f>
        <v>chez</v>
      </c>
    </row>
    <row r="28651">
      <c r="A28651" s="1" t="s">
        <v>28650</v>
      </c>
      <c r="B28651" s="2" t="str">
        <f>IFERROR(__xludf.DUMMYFUNCTION("GOOGLETRANSLATE(A28651, ""de"", ""en"")"),"bought up")</f>
        <v>bought up</v>
      </c>
    </row>
    <row r="28652">
      <c r="A28652" s="1" t="s">
        <v>28651</v>
      </c>
      <c r="B28652" s="2" t="str">
        <f>IFERROR(__xludf.DUMMYFUNCTION("GOOGLETRANSLATE(A28652, ""de"", ""en"")"),"identical")</f>
        <v>identical</v>
      </c>
    </row>
    <row r="28653">
      <c r="A28653" s="1" t="s">
        <v>28652</v>
      </c>
      <c r="B28653" s="2" t="str">
        <f>IFERROR(__xludf.DUMMYFUNCTION("GOOGLETRANSLATE(A28653, ""de"", ""en"")"),"lynx")</f>
        <v>lynx</v>
      </c>
    </row>
    <row r="28654">
      <c r="A28654" s="1" t="s">
        <v>28653</v>
      </c>
      <c r="B28654" s="2" t="str">
        <f>IFERROR(__xludf.DUMMYFUNCTION("GOOGLETRANSLATE(A28654, ""de"", ""en"")"),"hodor")</f>
        <v>hodor</v>
      </c>
    </row>
    <row r="28655">
      <c r="A28655" s="1" t="s">
        <v>28654</v>
      </c>
      <c r="B28655" s="2" t="str">
        <f>IFERROR(__xludf.DUMMYFUNCTION("GOOGLETRANSLATE(A28655, ""de"", ""en"")"),"sharks")</f>
        <v>sharks</v>
      </c>
    </row>
    <row r="28656">
      <c r="A28656" s="1" t="s">
        <v>28655</v>
      </c>
      <c r="B28656" s="2" t="str">
        <f>IFERROR(__xludf.DUMMYFUNCTION("GOOGLETRANSLATE(A28656, ""de"", ""en"")"),"peaceful")</f>
        <v>peaceful</v>
      </c>
    </row>
    <row r="28657">
      <c r="A28657" s="1" t="s">
        <v>28656</v>
      </c>
      <c r="B28657" s="2" t="str">
        <f>IFERROR(__xludf.DUMMYFUNCTION("GOOGLETRANSLATE(A28657, ""de"", ""en"")"),"turners")</f>
        <v>turners</v>
      </c>
    </row>
    <row r="28658">
      <c r="A28658" s="1" t="s">
        <v>28657</v>
      </c>
      <c r="B28658" s="2" t="str">
        <f>IFERROR(__xludf.DUMMYFUNCTION("GOOGLETRANSLATE(A28658, ""de"", ""en"")"),"ewald")</f>
        <v>ewald</v>
      </c>
    </row>
    <row r="28659">
      <c r="A28659" s="1" t="s">
        <v>28658</v>
      </c>
      <c r="B28659" s="2" t="str">
        <f>IFERROR(__xludf.DUMMYFUNCTION("GOOGLETRANSLATE(A28659, ""de"", ""en"")"),"ticket")</f>
        <v>ticket</v>
      </c>
    </row>
    <row r="28660">
      <c r="A28660" s="1" t="s">
        <v>28659</v>
      </c>
      <c r="B28660" s="2" t="str">
        <f>IFERROR(__xludf.DUMMYFUNCTION("GOOGLETRANSLATE(A28660, ""de"", ""en"")"),"garbage collection")</f>
        <v>garbage collection</v>
      </c>
    </row>
    <row r="28661">
      <c r="A28661" s="1" t="s">
        <v>28660</v>
      </c>
      <c r="B28661" s="2" t="str">
        <f>IFERROR(__xludf.DUMMYFUNCTION("GOOGLETRANSLATE(A28661, ""de"", ""en"")"),"wort")</f>
        <v>wort</v>
      </c>
    </row>
    <row r="28662">
      <c r="A28662" s="1" t="s">
        <v>28661</v>
      </c>
      <c r="B28662" s="2" t="str">
        <f>IFERROR(__xludf.DUMMYFUNCTION("GOOGLETRANSLATE(A28662, ""de"", ""en"")"),"spare key")</f>
        <v>spare key</v>
      </c>
    </row>
    <row r="28663">
      <c r="A28663" s="1" t="s">
        <v>28662</v>
      </c>
      <c r="B28663" s="2" t="str">
        <f>IFERROR(__xludf.DUMMYFUNCTION("GOOGLETRANSLATE(A28663, ""de"", ""en"")"),"bumblebee")</f>
        <v>bumblebee</v>
      </c>
    </row>
    <row r="28664">
      <c r="A28664" s="1" t="s">
        <v>28663</v>
      </c>
      <c r="B28664" s="2" t="str">
        <f>IFERROR(__xludf.DUMMYFUNCTION("GOOGLETRANSLATE(A28664, ""de"", ""en"")"),"breaks in")</f>
        <v>breaks in</v>
      </c>
    </row>
    <row r="28665">
      <c r="A28665" s="1" t="s">
        <v>28664</v>
      </c>
      <c r="B28665" s="2" t="str">
        <f>IFERROR(__xludf.DUMMYFUNCTION("GOOGLETRANSLATE(A28665, ""de"", ""en"")"),"television show")</f>
        <v>television show</v>
      </c>
    </row>
    <row r="28666">
      <c r="A28666" s="1" t="s">
        <v>28665</v>
      </c>
      <c r="B28666" s="2" t="str">
        <f>IFERROR(__xludf.DUMMYFUNCTION("GOOGLETRANSLATE(A28666, ""de"", ""en"")"),"sentimental")</f>
        <v>sentimental</v>
      </c>
    </row>
    <row r="28667">
      <c r="A28667" s="1" t="s">
        <v>28666</v>
      </c>
      <c r="B28667" s="2" t="str">
        <f>IFERROR(__xludf.DUMMYFUNCTION("GOOGLETRANSLATE(A28667, ""de"", ""en"")"),"tumors")</f>
        <v>tumors</v>
      </c>
    </row>
    <row r="28668">
      <c r="A28668" s="1" t="s">
        <v>28667</v>
      </c>
      <c r="B28668" s="2" t="str">
        <f>IFERROR(__xludf.DUMMYFUNCTION("GOOGLETRANSLATE(A28668, ""de"", ""en"")"),"perspective")</f>
        <v>perspective</v>
      </c>
    </row>
    <row r="28669">
      <c r="A28669" s="1" t="s">
        <v>28668</v>
      </c>
      <c r="B28669" s="2" t="str">
        <f>IFERROR(__xludf.DUMMYFUNCTION("GOOGLETRANSLATE(A28669, ""de"", ""en"")"),"sors")</f>
        <v>sors</v>
      </c>
    </row>
    <row r="28670">
      <c r="A28670" s="1" t="s">
        <v>28669</v>
      </c>
      <c r="B28670" s="2" t="str">
        <f>IFERROR(__xludf.DUMMYFUNCTION("GOOGLETRANSLATE(A28670, ""de"", ""en"")"),"painted")</f>
        <v>painted</v>
      </c>
    </row>
    <row r="28671">
      <c r="A28671" s="1" t="s">
        <v>28670</v>
      </c>
      <c r="B28671" s="2" t="str">
        <f>IFERROR(__xludf.DUMMYFUNCTION("GOOGLETRANSLATE(A28671, ""de"", ""en"")"),"fed")</f>
        <v>fed</v>
      </c>
    </row>
    <row r="28672">
      <c r="A28672" s="1" t="s">
        <v>28671</v>
      </c>
      <c r="B28672" s="2" t="str">
        <f>IFERROR(__xludf.DUMMYFUNCTION("GOOGLETRANSLATE(A28672, ""de"", ""en"")"),"chain of command")</f>
        <v>chain of command</v>
      </c>
    </row>
    <row r="28673">
      <c r="A28673" s="1" t="s">
        <v>28672</v>
      </c>
      <c r="B28673" s="2" t="str">
        <f>IFERROR(__xludf.DUMMYFUNCTION("GOOGLETRANSLATE(A28673, ""de"", ""en"")"),"incitement")</f>
        <v>incitement</v>
      </c>
    </row>
    <row r="28674">
      <c r="A28674" s="1" t="s">
        <v>28673</v>
      </c>
      <c r="B28674" s="2" t="str">
        <f>IFERROR(__xludf.DUMMYFUNCTION("GOOGLETRANSLATE(A28674, ""de"", ""en"")"),"huffs")</f>
        <v>huffs</v>
      </c>
    </row>
    <row r="28675">
      <c r="A28675" s="1" t="s">
        <v>28674</v>
      </c>
      <c r="B28675" s="2" t="str">
        <f>IFERROR(__xludf.DUMMYFUNCTION("GOOGLETRANSLATE(A28675, ""de"", ""en"")"),"Rohan")</f>
        <v>Rohan</v>
      </c>
    </row>
    <row r="28676">
      <c r="A28676" s="1" t="s">
        <v>28675</v>
      </c>
      <c r="B28676" s="2" t="str">
        <f>IFERROR(__xludf.DUMMYFUNCTION("GOOGLETRANSLATE(A28676, ""de"", ""en"")"),"age difference")</f>
        <v>age difference</v>
      </c>
    </row>
    <row r="28677">
      <c r="A28677" s="1" t="s">
        <v>28676</v>
      </c>
      <c r="B28677" s="2" t="str">
        <f>IFERROR(__xludf.DUMMYFUNCTION("GOOGLETRANSLATE(A28677, ""de"", ""en"")"),"Oli")</f>
        <v>Oli</v>
      </c>
    </row>
    <row r="28678">
      <c r="A28678" s="1" t="s">
        <v>28677</v>
      </c>
      <c r="B28678" s="2" t="str">
        <f>IFERROR(__xludf.DUMMYFUNCTION("GOOGLETRANSLATE(A28678, ""de"", ""en"")"),"integration")</f>
        <v>integration</v>
      </c>
    </row>
    <row r="28679">
      <c r="A28679" s="1" t="s">
        <v>28678</v>
      </c>
      <c r="B28679" s="2" t="str">
        <f>IFERROR(__xludf.DUMMYFUNCTION("GOOGLETRANSLATE(A28679, ""de"", ""en"")"),"talk show")</f>
        <v>talk show</v>
      </c>
    </row>
    <row r="28680">
      <c r="A28680" s="1" t="s">
        <v>28679</v>
      </c>
      <c r="B28680" s="2" t="str">
        <f>IFERROR(__xludf.DUMMYFUNCTION("GOOGLETRANSLATE(A28680, ""de"", ""en"")"),"jos")</f>
        <v>jos</v>
      </c>
    </row>
    <row r="28681">
      <c r="A28681" s="1" t="s">
        <v>28680</v>
      </c>
      <c r="B28681" s="2" t="str">
        <f>IFERROR(__xludf.DUMMYFUNCTION("GOOGLETRANSLATE(A28681, ""de"", ""en"")"),"broyles")</f>
        <v>broyles</v>
      </c>
    </row>
    <row r="28682">
      <c r="A28682" s="1" t="s">
        <v>28681</v>
      </c>
      <c r="B28682" s="2" t="str">
        <f>IFERROR(__xludf.DUMMYFUNCTION("GOOGLETRANSLATE(A28682, ""de"", ""en"")"),"dunlop")</f>
        <v>dunlop</v>
      </c>
    </row>
    <row r="28683">
      <c r="A28683" s="1" t="s">
        <v>28682</v>
      </c>
      <c r="B28683" s="2" t="str">
        <f>IFERROR(__xludf.DUMMYFUNCTION("GOOGLETRANSLATE(A28683, ""de"", ""en"")"),"department")</f>
        <v>department</v>
      </c>
    </row>
    <row r="28684">
      <c r="A28684" s="1" t="s">
        <v>28683</v>
      </c>
      <c r="B28684" s="2" t="str">
        <f>IFERROR(__xludf.DUMMYFUNCTION("GOOGLETRANSLATE(A28684, ""de"", ""en"")"),"pumped full")</f>
        <v>pumped full</v>
      </c>
    </row>
    <row r="28685">
      <c r="A28685" s="1" t="s">
        <v>28684</v>
      </c>
      <c r="B28685" s="2" t="str">
        <f>IFERROR(__xludf.DUMMYFUNCTION("GOOGLETRANSLATE(A28685, ""de"", ""en"")"),"rival")</f>
        <v>rival</v>
      </c>
    </row>
    <row r="28686">
      <c r="A28686" s="1" t="s">
        <v>28685</v>
      </c>
      <c r="B28686" s="2" t="str">
        <f>IFERROR(__xludf.DUMMYFUNCTION("GOOGLETRANSLATE(A28686, ""de"", ""en"")"),"Juno")</f>
        <v>Juno</v>
      </c>
    </row>
    <row r="28687">
      <c r="A28687" s="1" t="s">
        <v>28686</v>
      </c>
      <c r="B28687" s="2" t="str">
        <f>IFERROR(__xludf.DUMMYFUNCTION("GOOGLETRANSLATE(A28687, ""de"", ""en"")"),"Indonesia")</f>
        <v>Indonesia</v>
      </c>
    </row>
    <row r="28688">
      <c r="A28688" s="1" t="s">
        <v>28687</v>
      </c>
      <c r="B28688" s="2" t="str">
        <f>IFERROR(__xludf.DUMMYFUNCTION("GOOGLETRANSLATE(A28688, ""de"", ""en"")"),"fried chicken")</f>
        <v>fried chicken</v>
      </c>
    </row>
    <row r="28689">
      <c r="A28689" s="1" t="s">
        <v>28688</v>
      </c>
      <c r="B28689" s="2" t="str">
        <f>IFERROR(__xludf.DUMMYFUNCTION("GOOGLETRANSLATE(A28689, ""de"", ""en"")"),"chirps")</f>
        <v>chirps</v>
      </c>
    </row>
    <row r="28690">
      <c r="A28690" s="1" t="s">
        <v>28689</v>
      </c>
      <c r="B28690" s="2" t="str">
        <f>IFERROR(__xludf.DUMMYFUNCTION("GOOGLETRANSLATE(A28690, ""de"", ""en"")"),"bed rest")</f>
        <v>bed rest</v>
      </c>
    </row>
    <row r="28691">
      <c r="A28691" s="1" t="s">
        <v>28690</v>
      </c>
      <c r="B28691" s="2" t="str">
        <f>IFERROR(__xludf.DUMMYFUNCTION("GOOGLETRANSLATE(A28691, ""de"", ""en"")"),"figaro")</f>
        <v>figaro</v>
      </c>
    </row>
    <row r="28692">
      <c r="A28692" s="1" t="s">
        <v>28691</v>
      </c>
      <c r="B28692" s="2" t="str">
        <f>IFERROR(__xludf.DUMMYFUNCTION("GOOGLETRANSLATE(A28692, ""de"", ""en"")"),"likes")</f>
        <v>likes</v>
      </c>
    </row>
    <row r="28693">
      <c r="A28693" s="1" t="s">
        <v>28692</v>
      </c>
      <c r="B28693" s="2" t="str">
        <f>IFERROR(__xludf.DUMMYFUNCTION("GOOGLETRANSLATE(A28693, ""de"", ""en"")"),"Santana")</f>
        <v>Santana</v>
      </c>
    </row>
    <row r="28694">
      <c r="A28694" s="1" t="s">
        <v>28693</v>
      </c>
      <c r="B28694" s="2" t="str">
        <f>IFERROR(__xludf.DUMMYFUNCTION("GOOGLETRANSLATE(A28694, ""de"", ""en"")"),"intense")</f>
        <v>intense</v>
      </c>
    </row>
    <row r="28695">
      <c r="A28695" s="1" t="s">
        <v>28694</v>
      </c>
      <c r="B28695" s="2" t="str">
        <f>IFERROR(__xludf.DUMMYFUNCTION("GOOGLETRANSLATE(A28695, ""de"", ""en"")"),"equations")</f>
        <v>equations</v>
      </c>
    </row>
    <row r="28696">
      <c r="A28696" s="1" t="s">
        <v>28695</v>
      </c>
      <c r="B28696" s="2" t="str">
        <f>IFERROR(__xludf.DUMMYFUNCTION("GOOGLETRANSLATE(A28696, ""de"", ""en"")"),"spaulding")</f>
        <v>spaulding</v>
      </c>
    </row>
    <row r="28697">
      <c r="A28697" s="1" t="s">
        <v>28696</v>
      </c>
      <c r="B28697" s="2" t="str">
        <f>IFERROR(__xludf.DUMMYFUNCTION("GOOGLETRANSLATE(A28697, ""de"", ""en"")"),"buy back")</f>
        <v>buy back</v>
      </c>
    </row>
    <row r="28698">
      <c r="A28698" s="1" t="s">
        <v>28697</v>
      </c>
      <c r="B28698" s="2" t="str">
        <f>IFERROR(__xludf.DUMMYFUNCTION("GOOGLETRANSLATE(A28698, ""de"", ""en"")"),"mildly")</f>
        <v>mildly</v>
      </c>
    </row>
    <row r="28699">
      <c r="A28699" s="1" t="s">
        <v>28698</v>
      </c>
      <c r="B28699" s="2" t="str">
        <f>IFERROR(__xludf.DUMMYFUNCTION("GOOGLETRANSLATE(A28699, ""de"", ""en"")"),"Kimber")</f>
        <v>Kimber</v>
      </c>
    </row>
    <row r="28700">
      <c r="A28700" s="1" t="s">
        <v>28699</v>
      </c>
      <c r="B28700" s="2" t="str">
        <f>IFERROR(__xludf.DUMMYFUNCTION("GOOGLETRANSLATE(A28700, ""de"", ""en"")"),"atheist")</f>
        <v>atheist</v>
      </c>
    </row>
    <row r="28701">
      <c r="A28701" s="1" t="s">
        <v>28700</v>
      </c>
      <c r="B28701" s="2" t="str">
        <f>IFERROR(__xludf.DUMMYFUNCTION("GOOGLETRANSLATE(A28701, ""de"", ""en"")"),"expressway")</f>
        <v>expressway</v>
      </c>
    </row>
    <row r="28702">
      <c r="A28702" s="1" t="s">
        <v>28701</v>
      </c>
      <c r="B28702" s="2" t="str">
        <f>IFERROR(__xludf.DUMMYFUNCTION("GOOGLETRANSLATE(A28702, ""de"", ""en"")"),"spies")</f>
        <v>spies</v>
      </c>
    </row>
    <row r="28703">
      <c r="A28703" s="1" t="s">
        <v>28702</v>
      </c>
      <c r="B28703" s="2" t="str">
        <f>IFERROR(__xludf.DUMMYFUNCTION("GOOGLETRANSLATE(A28703, ""de"", ""en"")"),"eyelids")</f>
        <v>eyelids</v>
      </c>
    </row>
    <row r="28704">
      <c r="A28704" s="1" t="s">
        <v>28703</v>
      </c>
      <c r="B28704" s="2" t="str">
        <f>IFERROR(__xludf.DUMMYFUNCTION("GOOGLETRANSLATE(A28704, ""de"", ""en"")"),"length of service")</f>
        <v>length of service</v>
      </c>
    </row>
    <row r="28705">
      <c r="A28705" s="1" t="s">
        <v>28704</v>
      </c>
      <c r="B28705" s="2" t="str">
        <f>IFERROR(__xludf.DUMMYFUNCTION("GOOGLETRANSLATE(A28705, ""de"", ""en"")"),"ended")</f>
        <v>ended</v>
      </c>
    </row>
    <row r="28706">
      <c r="A28706" s="1" t="s">
        <v>28705</v>
      </c>
      <c r="B28706" s="2" t="str">
        <f>IFERROR(__xludf.DUMMYFUNCTION("GOOGLETRANSLATE(A28706, ""de"", ""en"")"),"happened")</f>
        <v>happened</v>
      </c>
    </row>
    <row r="28707">
      <c r="A28707" s="1" t="s">
        <v>28706</v>
      </c>
      <c r="B28707" s="2" t="str">
        <f>IFERROR(__xludf.DUMMYFUNCTION("GOOGLETRANSLATE(A28707, ""de"", ""en"")"),"fender")</f>
        <v>fender</v>
      </c>
    </row>
    <row r="28708">
      <c r="A28708" s="1" t="s">
        <v>28707</v>
      </c>
      <c r="B28708" s="2" t="str">
        <f>IFERROR(__xludf.DUMMYFUNCTION("GOOGLETRANSLATE(A28708, ""de"", ""en"")"),"spouse")</f>
        <v>spouse</v>
      </c>
    </row>
    <row r="28709">
      <c r="A28709" s="1" t="s">
        <v>28708</v>
      </c>
      <c r="B28709" s="2" t="str">
        <f>IFERROR(__xludf.DUMMYFUNCTION("GOOGLETRANSLATE(A28709, ""de"", ""en"")"),"sewn up")</f>
        <v>sewn up</v>
      </c>
    </row>
    <row r="28710">
      <c r="A28710" s="1" t="s">
        <v>28709</v>
      </c>
      <c r="B28710" s="2" t="str">
        <f>IFERROR(__xludf.DUMMYFUNCTION("GOOGLETRANSLATE(A28710, ""de"", ""en"")"),"create")</f>
        <v>create</v>
      </c>
    </row>
    <row r="28711">
      <c r="A28711" s="1" t="s">
        <v>28710</v>
      </c>
      <c r="B28711" s="2" t="str">
        <f>IFERROR(__xludf.DUMMYFUNCTION("GOOGLETRANSLATE(A28711, ""de"", ""en"")"),"corrections")</f>
        <v>corrections</v>
      </c>
    </row>
    <row r="28712">
      <c r="A28712" s="1" t="s">
        <v>28711</v>
      </c>
      <c r="B28712" s="2" t="str">
        <f>IFERROR(__xludf.DUMMYFUNCTION("GOOGLETRANSLATE(A28712, ""de"", ""en"")"),"created")</f>
        <v>created</v>
      </c>
    </row>
    <row r="28713">
      <c r="A28713" s="1" t="s">
        <v>28712</v>
      </c>
      <c r="B28713" s="2" t="str">
        <f>IFERROR(__xludf.DUMMYFUNCTION("GOOGLETRANSLATE(A28713, ""de"", ""en"")"),"surgical")</f>
        <v>surgical</v>
      </c>
    </row>
    <row r="28714">
      <c r="A28714" s="1" t="s">
        <v>28713</v>
      </c>
      <c r="B28714" s="2" t="str">
        <f>IFERROR(__xludf.DUMMYFUNCTION("GOOGLETRANSLATE(A28714, ""de"", ""en"")"),"Agnes")</f>
        <v>Agnes</v>
      </c>
    </row>
    <row r="28715">
      <c r="A28715" s="1" t="s">
        <v>28714</v>
      </c>
      <c r="B28715" s="2" t="str">
        <f>IFERROR(__xludf.DUMMYFUNCTION("GOOGLETRANSLATE(A28715, ""de"", ""en"")"),"remarkable")</f>
        <v>remarkable</v>
      </c>
    </row>
    <row r="28716">
      <c r="A28716" s="1" t="s">
        <v>28715</v>
      </c>
      <c r="B28716" s="2" t="str">
        <f>IFERROR(__xludf.DUMMYFUNCTION("GOOGLETRANSLATE(A28716, ""de"", ""en"")"),"felt")</f>
        <v>felt</v>
      </c>
    </row>
    <row r="28717">
      <c r="A28717" s="1" t="s">
        <v>28716</v>
      </c>
      <c r="B28717" s="2" t="str">
        <f>IFERROR(__xludf.DUMMYFUNCTION("GOOGLETRANSLATE(A28717, ""de"", ""en"")"),"excited")</f>
        <v>excited</v>
      </c>
    </row>
    <row r="28718">
      <c r="A28718" s="1" t="s">
        <v>28717</v>
      </c>
      <c r="B28718" s="2" t="str">
        <f>IFERROR(__xludf.DUMMYFUNCTION("GOOGLETRANSLATE(A28718, ""de"", ""en"")"),"commodore")</f>
        <v>commodore</v>
      </c>
    </row>
    <row r="28719">
      <c r="A28719" s="1" t="s">
        <v>28718</v>
      </c>
      <c r="B28719" s="2" t="str">
        <f>IFERROR(__xludf.DUMMYFUNCTION("GOOGLETRANSLATE(A28719, ""de"", ""en"")"),"fly out")</f>
        <v>fly out</v>
      </c>
    </row>
    <row r="28720">
      <c r="A28720" s="1" t="s">
        <v>28719</v>
      </c>
      <c r="B28720" s="2" t="str">
        <f>IFERROR(__xludf.DUMMYFUNCTION("GOOGLETRANSLATE(A28720, ""de"", ""en"")"),"more moral")</f>
        <v>more moral</v>
      </c>
    </row>
    <row r="28721">
      <c r="A28721" s="1" t="s">
        <v>28720</v>
      </c>
      <c r="B28721" s="2" t="str">
        <f>IFERROR(__xludf.DUMMYFUNCTION("GOOGLETRANSLATE(A28721, ""de"", ""en"")"),"cartridge cases")</f>
        <v>cartridge cases</v>
      </c>
    </row>
    <row r="28722">
      <c r="A28722" s="1" t="s">
        <v>28721</v>
      </c>
      <c r="B28722" s="2" t="str">
        <f>IFERROR(__xludf.DUMMYFUNCTION("GOOGLETRANSLATE(A28722, ""de"", ""en"")"),"jumped on")</f>
        <v>jumped on</v>
      </c>
    </row>
    <row r="28723">
      <c r="A28723" s="1" t="s">
        <v>28722</v>
      </c>
      <c r="B28723" s="2" t="str">
        <f>IFERROR(__xludf.DUMMYFUNCTION("GOOGLETRANSLATE(A28723, ""de"", ""en"")"),"soldier")</f>
        <v>soldier</v>
      </c>
    </row>
    <row r="28724">
      <c r="A28724" s="1" t="s">
        <v>28723</v>
      </c>
      <c r="B28724" s="2" t="str">
        <f>IFERROR(__xludf.DUMMYFUNCTION("GOOGLETRANSLATE(A28724, ""de"", ""en"")"),"refrain")</f>
        <v>refrain</v>
      </c>
    </row>
    <row r="28725">
      <c r="A28725" s="1" t="s">
        <v>28724</v>
      </c>
      <c r="B28725" s="2" t="str">
        <f>IFERROR(__xludf.DUMMYFUNCTION("GOOGLETRANSLATE(A28725, ""de"", ""en"")"),"cassius")</f>
        <v>cassius</v>
      </c>
    </row>
    <row r="28726">
      <c r="A28726" s="1" t="s">
        <v>28725</v>
      </c>
      <c r="B28726" s="2" t="str">
        <f>IFERROR(__xludf.DUMMYFUNCTION("GOOGLETRANSLATE(A28726, ""de"", ""en"")"),"serious case")</f>
        <v>serious case</v>
      </c>
    </row>
    <row r="28727">
      <c r="A28727" s="1" t="s">
        <v>28726</v>
      </c>
      <c r="B28727" s="2" t="str">
        <f>IFERROR(__xludf.DUMMYFUNCTION("GOOGLETRANSLATE(A28727, ""de"", ""en"")"),"palm")</f>
        <v>palm</v>
      </c>
    </row>
    <row r="28728">
      <c r="A28728" s="1" t="s">
        <v>28727</v>
      </c>
      <c r="B28728" s="2" t="str">
        <f>IFERROR(__xludf.DUMMYFUNCTION("GOOGLETRANSLATE(A28728, ""de"", ""en"")"),"pulled up")</f>
        <v>pulled up</v>
      </c>
    </row>
    <row r="28729">
      <c r="A28729" s="1" t="s">
        <v>28728</v>
      </c>
      <c r="B28729" s="2" t="str">
        <f>IFERROR(__xludf.DUMMYFUNCTION("GOOGLETRANSLATE(A28729, ""de"", ""en"")"),"more invisible")</f>
        <v>more invisible</v>
      </c>
    </row>
    <row r="28730">
      <c r="A28730" s="1" t="s">
        <v>28729</v>
      </c>
      <c r="B28730" s="2" t="str">
        <f>IFERROR(__xludf.DUMMYFUNCTION("GOOGLETRANSLATE(A28730, ""de"", ""en"")"),"iron")</f>
        <v>iron</v>
      </c>
    </row>
    <row r="28731">
      <c r="A28731" s="1" t="s">
        <v>28730</v>
      </c>
      <c r="B28731" s="2" t="str">
        <f>IFERROR(__xludf.DUMMYFUNCTION("GOOGLETRANSLATE(A28731, ""de"", ""en"")"),"captain")</f>
        <v>captain</v>
      </c>
    </row>
    <row r="28732">
      <c r="A28732" s="1" t="s">
        <v>28731</v>
      </c>
      <c r="B28732" s="2" t="str">
        <f>IFERROR(__xludf.DUMMYFUNCTION("GOOGLETRANSLATE(A28732, ""de"", ""en"")"),"produced")</f>
        <v>produced</v>
      </c>
    </row>
    <row r="28733">
      <c r="A28733" s="1" t="s">
        <v>28732</v>
      </c>
      <c r="B28733" s="2" t="str">
        <f>IFERROR(__xludf.DUMMYFUNCTION("GOOGLETRANSLATE(A28733, ""de"", ""en"")"),"relocate")</f>
        <v>relocate</v>
      </c>
    </row>
    <row r="28734">
      <c r="A28734" s="1" t="s">
        <v>28733</v>
      </c>
      <c r="B28734" s="2" t="str">
        <f>IFERROR(__xludf.DUMMYFUNCTION("GOOGLETRANSLATE(A28734, ""de"", ""en"")"),"chaney")</f>
        <v>chaney</v>
      </c>
    </row>
    <row r="28735">
      <c r="A28735" s="1" t="s">
        <v>28734</v>
      </c>
      <c r="B28735" s="2" t="str">
        <f>IFERROR(__xludf.DUMMYFUNCTION("GOOGLETRANSLATE(A28735, ""de"", ""en"")"),"protein")</f>
        <v>protein</v>
      </c>
    </row>
    <row r="28736">
      <c r="A28736" s="1" t="s">
        <v>28735</v>
      </c>
      <c r="B28736" s="2" t="str">
        <f>IFERROR(__xludf.DUMMYFUNCTION("GOOGLETRANSLATE(A28736, ""de"", ""en"")"),"to collect")</f>
        <v>to collect</v>
      </c>
    </row>
    <row r="28737">
      <c r="A28737" s="1" t="s">
        <v>28736</v>
      </c>
      <c r="B28737" s="2" t="str">
        <f>IFERROR(__xludf.DUMMYFUNCTION("GOOGLETRANSLATE(A28737, ""de"", ""en"")"),"pack up")</f>
        <v>pack up</v>
      </c>
    </row>
    <row r="28738">
      <c r="A28738" s="1" t="s">
        <v>28737</v>
      </c>
      <c r="B28738" s="2" t="str">
        <f>IFERROR(__xludf.DUMMYFUNCTION("GOOGLETRANSLATE(A28738, ""de"", ""en"")"),"cheekbones")</f>
        <v>cheekbones</v>
      </c>
    </row>
    <row r="28739">
      <c r="A28739" s="1" t="s">
        <v>28738</v>
      </c>
      <c r="B28739" s="2" t="str">
        <f>IFERROR(__xludf.DUMMYFUNCTION("GOOGLETRANSLATE(A28739, ""de"", ""en"")"),"appearances")</f>
        <v>appearances</v>
      </c>
    </row>
    <row r="28740">
      <c r="A28740" s="1" t="s">
        <v>28739</v>
      </c>
      <c r="B28740" s="2" t="str">
        <f>IFERROR(__xludf.DUMMYFUNCTION("GOOGLETRANSLATE(A28740, ""de"", ""en"")"),"safekeeping")</f>
        <v>safekeeping</v>
      </c>
    </row>
    <row r="28741">
      <c r="A28741" s="1" t="s">
        <v>28740</v>
      </c>
      <c r="B28741" s="2" t="str">
        <f>IFERROR(__xludf.DUMMYFUNCTION("GOOGLETRANSLATE(A28741, ""de"", ""en"")"),"Norwegian")</f>
        <v>Norwegian</v>
      </c>
    </row>
    <row r="28742">
      <c r="A28742" s="1" t="s">
        <v>28741</v>
      </c>
      <c r="B28742" s="2" t="str">
        <f>IFERROR(__xludf.DUMMYFUNCTION("GOOGLETRANSLATE(A28742, ""de"", ""en"")"),"are")</f>
        <v>are</v>
      </c>
    </row>
    <row r="28743">
      <c r="A28743" s="1" t="s">
        <v>28742</v>
      </c>
      <c r="B28743" s="2" t="str">
        <f>IFERROR(__xludf.DUMMYFUNCTION("GOOGLETRANSLATE(A28743, ""de"", ""en"")"),"day in and day out")</f>
        <v>day in and day out</v>
      </c>
    </row>
    <row r="28744">
      <c r="A28744" s="1" t="s">
        <v>28743</v>
      </c>
      <c r="B28744" s="2" t="str">
        <f>IFERROR(__xludf.DUMMYFUNCTION("GOOGLETRANSLATE(A28744, ""de"", ""en"")"),"wander")</f>
        <v>wander</v>
      </c>
    </row>
    <row r="28745">
      <c r="A28745" s="1" t="s">
        <v>28744</v>
      </c>
      <c r="B28745" s="2" t="str">
        <f>IFERROR(__xludf.DUMMYFUNCTION("GOOGLETRANSLATE(A28745, ""de"", ""en"")"),"rt")</f>
        <v>rt</v>
      </c>
    </row>
    <row r="28746">
      <c r="A28746" s="1" t="s">
        <v>28745</v>
      </c>
      <c r="B28746" s="2" t="str">
        <f>IFERROR(__xludf.DUMMYFUNCTION("GOOGLETRANSLATE(A28746, ""de"", ""en"")"),"dupont")</f>
        <v>dupont</v>
      </c>
    </row>
    <row r="28747">
      <c r="A28747" s="1" t="s">
        <v>28746</v>
      </c>
      <c r="B28747" s="2" t="str">
        <f>IFERROR(__xludf.DUMMYFUNCTION("GOOGLETRANSLATE(A28747, ""de"", ""en"")"),"cut out")</f>
        <v>cut out</v>
      </c>
    </row>
    <row r="28748">
      <c r="A28748" s="1" t="s">
        <v>28747</v>
      </c>
      <c r="B28748" s="2" t="str">
        <f>IFERROR(__xludf.DUMMYFUNCTION("GOOGLETRANSLATE(A28748, ""de"", ""en"")"),"sitting")</f>
        <v>sitting</v>
      </c>
    </row>
    <row r="28749">
      <c r="A28749" s="1" t="s">
        <v>28748</v>
      </c>
      <c r="B28749" s="2" t="str">
        <f>IFERROR(__xludf.DUMMYFUNCTION("GOOGLETRANSLATE(A28749, ""de"", ""en"")"),"clear")</f>
        <v>clear</v>
      </c>
    </row>
    <row r="28750">
      <c r="A28750" s="1" t="s">
        <v>28749</v>
      </c>
      <c r="B28750" s="2" t="str">
        <f>IFERROR(__xludf.DUMMYFUNCTION("GOOGLETRANSLATE(A28750, ""de"", ""en"")"),"upstream")</f>
        <v>upstream</v>
      </c>
    </row>
    <row r="28751">
      <c r="A28751" s="1" t="s">
        <v>28750</v>
      </c>
      <c r="B28751" s="2" t="str">
        <f>IFERROR(__xludf.DUMMYFUNCTION("GOOGLETRANSLATE(A28751, ""de"", ""en"")"),"conservative")</f>
        <v>conservative</v>
      </c>
    </row>
    <row r="28752">
      <c r="A28752" s="1" t="s">
        <v>28751</v>
      </c>
      <c r="B28752" s="2" t="str">
        <f>IFERROR(__xludf.DUMMYFUNCTION("GOOGLETRANSLATE(A28752, ""de"", ""en"")"),"rescue mission")</f>
        <v>rescue mission</v>
      </c>
    </row>
    <row r="28753">
      <c r="A28753" s="1" t="s">
        <v>28752</v>
      </c>
      <c r="B28753" s="2" t="str">
        <f>IFERROR(__xludf.DUMMYFUNCTION("GOOGLETRANSLATE(A28753, ""de"", ""en"")"),"observed")</f>
        <v>observed</v>
      </c>
    </row>
    <row r="28754">
      <c r="A28754" s="1" t="s">
        <v>28753</v>
      </c>
      <c r="B28754" s="2" t="str">
        <f>IFERROR(__xludf.DUMMYFUNCTION("GOOGLETRANSLATE(A28754, ""de"", ""en"")"),"Therese")</f>
        <v>Therese</v>
      </c>
    </row>
    <row r="28755">
      <c r="A28755" s="1" t="s">
        <v>28754</v>
      </c>
      <c r="B28755" s="2" t="str">
        <f>IFERROR(__xludf.DUMMYFUNCTION("GOOGLETRANSLATE(A28755, ""de"", ""en"")"),"cheer on")</f>
        <v>cheer on</v>
      </c>
    </row>
    <row r="28756">
      <c r="A28756" s="1" t="s">
        <v>28755</v>
      </c>
      <c r="B28756" s="2" t="str">
        <f>IFERROR(__xludf.DUMMYFUNCTION("GOOGLETRANSLATE(A28756, ""de"", ""en"")"),"letter")</f>
        <v>letter</v>
      </c>
    </row>
    <row r="28757">
      <c r="A28757" s="1" t="s">
        <v>28756</v>
      </c>
      <c r="B28757" s="2" t="str">
        <f>IFERROR(__xludf.DUMMYFUNCTION("GOOGLETRANSLATE(A28757, ""de"", ""en"")"),"crime scenes")</f>
        <v>crime scenes</v>
      </c>
    </row>
    <row r="28758">
      <c r="A28758" s="1" t="s">
        <v>28757</v>
      </c>
      <c r="B28758" s="2" t="str">
        <f>IFERROR(__xludf.DUMMYFUNCTION("GOOGLETRANSLATE(A28758, ""de"", ""en"")"),"so and so")</f>
        <v>so and so</v>
      </c>
    </row>
    <row r="28759">
      <c r="A28759" s="1" t="s">
        <v>28758</v>
      </c>
      <c r="B28759" s="2" t="str">
        <f>IFERROR(__xludf.DUMMYFUNCTION("GOOGLETRANSLATE(A28759, ""de"", ""en"")"),"worst")</f>
        <v>worst</v>
      </c>
    </row>
    <row r="28760">
      <c r="A28760" s="1" t="s">
        <v>28759</v>
      </c>
      <c r="B28760" s="2" t="str">
        <f>IFERROR(__xludf.DUMMYFUNCTION("GOOGLETRANSLATE(A28760, ""de"", ""en"")"),"loyal ones")</f>
        <v>loyal ones</v>
      </c>
    </row>
    <row r="28761">
      <c r="A28761" s="1" t="s">
        <v>28760</v>
      </c>
      <c r="B28761" s="2" t="str">
        <f>IFERROR(__xludf.DUMMYFUNCTION("GOOGLETRANSLATE(A28761, ""de"", ""en"")"),"accidents")</f>
        <v>accidents</v>
      </c>
    </row>
    <row r="28762">
      <c r="A28762" s="1" t="s">
        <v>28761</v>
      </c>
      <c r="B28762" s="2" t="str">
        <f>IFERROR(__xludf.DUMMYFUNCTION("GOOGLETRANSLATE(A28762, ""de"", ""en"")"),"diablo")</f>
        <v>diablo</v>
      </c>
    </row>
    <row r="28763">
      <c r="A28763" s="1" t="s">
        <v>28762</v>
      </c>
      <c r="B28763" s="2" t="str">
        <f>IFERROR(__xludf.DUMMYFUNCTION("GOOGLETRANSLATE(A28763, ""de"", ""en"")"),"rover")</f>
        <v>rover</v>
      </c>
    </row>
    <row r="28764">
      <c r="A28764" s="1" t="s">
        <v>28763</v>
      </c>
      <c r="B28764" s="2" t="str">
        <f>IFERROR(__xludf.DUMMYFUNCTION("GOOGLETRANSLATE(A28764, ""de"", ""en"")"),"have it")</f>
        <v>have it</v>
      </c>
    </row>
    <row r="28765">
      <c r="A28765" s="1" t="s">
        <v>28764</v>
      </c>
      <c r="B28765" s="2" t="str">
        <f>IFERROR(__xludf.DUMMYFUNCTION("GOOGLETRANSLATE(A28765, ""de"", ""en"")"),"ice age")</f>
        <v>ice age</v>
      </c>
    </row>
    <row r="28766">
      <c r="A28766" s="1" t="s">
        <v>28765</v>
      </c>
      <c r="B28766" s="2" t="str">
        <f>IFERROR(__xludf.DUMMYFUNCTION("GOOGLETRANSLATE(A28766, ""de"", ""en"")"),"housewives")</f>
        <v>housewives</v>
      </c>
    </row>
    <row r="28767">
      <c r="A28767" s="1" t="s">
        <v>28766</v>
      </c>
      <c r="B28767" s="2" t="str">
        <f>IFERROR(__xludf.DUMMYFUNCTION("GOOGLETRANSLATE(A28767, ""de"", ""en"")"),"giovanna")</f>
        <v>giovanna</v>
      </c>
    </row>
    <row r="28768">
      <c r="A28768" s="1" t="s">
        <v>28767</v>
      </c>
      <c r="B28768" s="2" t="str">
        <f>IFERROR(__xludf.DUMMYFUNCTION("GOOGLETRANSLATE(A28768, ""de"", ""en"")"),"marvel")</f>
        <v>marvel</v>
      </c>
    </row>
    <row r="28769">
      <c r="A28769" s="1" t="s">
        <v>28768</v>
      </c>
      <c r="B28769" s="2" t="str">
        <f>IFERROR(__xludf.DUMMYFUNCTION("GOOGLETRANSLATE(A28769, ""de"", ""en"")"),"line of defense")</f>
        <v>line of defense</v>
      </c>
    </row>
    <row r="28770">
      <c r="A28770" s="1" t="s">
        <v>28769</v>
      </c>
      <c r="B28770" s="2" t="str">
        <f>IFERROR(__xludf.DUMMYFUNCTION("GOOGLETRANSLATE(A28770, ""de"", ""en"")"),"branches")</f>
        <v>branches</v>
      </c>
    </row>
    <row r="28771">
      <c r="A28771" s="1" t="s">
        <v>28770</v>
      </c>
      <c r="B28771" s="2" t="str">
        <f>IFERROR(__xludf.DUMMYFUNCTION("GOOGLETRANSLATE(A28771, ""de"", ""en"")"),"federal prison")</f>
        <v>federal prison</v>
      </c>
    </row>
    <row r="28772">
      <c r="A28772" s="1" t="s">
        <v>28771</v>
      </c>
      <c r="B28772" s="2" t="str">
        <f>IFERROR(__xludf.DUMMYFUNCTION("GOOGLETRANSLATE(A28772, ""de"", ""en"")"),"spoil")</f>
        <v>spoil</v>
      </c>
    </row>
    <row r="28773">
      <c r="A28773" s="1" t="s">
        <v>28772</v>
      </c>
      <c r="B28773" s="2" t="str">
        <f>IFERROR(__xludf.DUMMYFUNCTION("GOOGLETRANSLATE(A28773, ""de"", ""en"")"),"seizure")</f>
        <v>seizure</v>
      </c>
    </row>
    <row r="28774">
      <c r="A28774" s="1" t="s">
        <v>28773</v>
      </c>
      <c r="B28774" s="2" t="str">
        <f>IFERROR(__xludf.DUMMYFUNCTION("GOOGLETRANSLATE(A28774, ""de"", ""en"")"),"laboratories")</f>
        <v>laboratories</v>
      </c>
    </row>
    <row r="28775">
      <c r="A28775" s="1" t="s">
        <v>28774</v>
      </c>
      <c r="B28775" s="2" t="str">
        <f>IFERROR(__xludf.DUMMYFUNCTION("GOOGLETRANSLATE(A28775, ""de"", ""en"")"),"fulfilled")</f>
        <v>fulfilled</v>
      </c>
    </row>
    <row r="28776">
      <c r="A28776" s="1" t="s">
        <v>28775</v>
      </c>
      <c r="B28776" s="2" t="str">
        <f>IFERROR(__xludf.DUMMYFUNCTION("GOOGLETRANSLATE(A28776, ""de"", ""en"")"),"make up")</f>
        <v>make up</v>
      </c>
    </row>
    <row r="28777">
      <c r="A28777" s="1" t="s">
        <v>28776</v>
      </c>
      <c r="B28777" s="2" t="str">
        <f>IFERROR(__xludf.DUMMYFUNCTION("GOOGLETRANSLATE(A28777, ""de"", ""en"")"),"quickly")</f>
        <v>quickly</v>
      </c>
    </row>
    <row r="28778">
      <c r="A28778" s="1" t="s">
        <v>28777</v>
      </c>
      <c r="B28778" s="2" t="str">
        <f>IFERROR(__xludf.DUMMYFUNCTION("GOOGLETRANSLATE(A28778, ""de"", ""en"")"),"main roles")</f>
        <v>main roles</v>
      </c>
    </row>
    <row r="28779">
      <c r="A28779" s="1" t="s">
        <v>28778</v>
      </c>
      <c r="B28779" s="2" t="str">
        <f>IFERROR(__xludf.DUMMYFUNCTION("GOOGLETRANSLATE(A28779, ""de"", ""en"")"),"traveler")</f>
        <v>traveler</v>
      </c>
    </row>
    <row r="28780">
      <c r="A28780" s="1" t="s">
        <v>28779</v>
      </c>
      <c r="B28780" s="2" t="str">
        <f>IFERROR(__xludf.DUMMYFUNCTION("GOOGLETRANSLATE(A28780, ""de"", ""en"")"),"chopped up")</f>
        <v>chopped up</v>
      </c>
    </row>
    <row r="28781">
      <c r="A28781" s="1" t="s">
        <v>28780</v>
      </c>
      <c r="B28781" s="2" t="str">
        <f>IFERROR(__xludf.DUMMYFUNCTION("GOOGLETRANSLATE(A28781, ""de"", ""en"")"),"cottage")</f>
        <v>cottage</v>
      </c>
    </row>
    <row r="28782">
      <c r="A28782" s="1" t="s">
        <v>28781</v>
      </c>
      <c r="B28782" s="2" t="str">
        <f>IFERROR(__xludf.DUMMYFUNCTION("GOOGLETRANSLATE(A28782, ""de"", ""en"")"),"Bermudas")</f>
        <v>Bermudas</v>
      </c>
    </row>
    <row r="28783">
      <c r="A28783" s="1" t="s">
        <v>28782</v>
      </c>
      <c r="B28783" s="2" t="str">
        <f>IFERROR(__xludf.DUMMYFUNCTION("GOOGLETRANSLATE(A28783, ""de"", ""en"")"),"initiate")</f>
        <v>initiate</v>
      </c>
    </row>
    <row r="28784">
      <c r="A28784" s="1" t="s">
        <v>28783</v>
      </c>
      <c r="B28784" s="2" t="str">
        <f>IFERROR(__xludf.DUMMYFUNCTION("GOOGLETRANSLATE(A28784, ""de"", ""en"")"),"Cuthbert")</f>
        <v>Cuthbert</v>
      </c>
    </row>
    <row r="28785">
      <c r="A28785" s="1" t="s">
        <v>28784</v>
      </c>
      <c r="B28785" s="2" t="str">
        <f>IFERROR(__xludf.DUMMYFUNCTION("GOOGLETRANSLATE(A28785, ""de"", ""en"")"),"organic")</f>
        <v>organic</v>
      </c>
    </row>
    <row r="28786">
      <c r="A28786" s="1" t="s">
        <v>28785</v>
      </c>
      <c r="B28786" s="2" t="str">
        <f>IFERROR(__xludf.DUMMYFUNCTION("GOOGLETRANSLATE(A28786, ""de"", ""en"")"),"turn on")</f>
        <v>turn on</v>
      </c>
    </row>
    <row r="28787">
      <c r="A28787" s="1" t="s">
        <v>28786</v>
      </c>
      <c r="B28787" s="2" t="str">
        <f>IFERROR(__xludf.DUMMYFUNCTION("GOOGLETRANSLATE(A28787, ""de"", ""en"")"),"trampoline")</f>
        <v>trampoline</v>
      </c>
    </row>
    <row r="28788">
      <c r="A28788" s="1" t="s">
        <v>28787</v>
      </c>
      <c r="B28788" s="2" t="str">
        <f>IFERROR(__xludf.DUMMYFUNCTION("GOOGLETRANSLATE(A28788, ""de"", ""en"")"),"jacksonville")</f>
        <v>jacksonville</v>
      </c>
    </row>
    <row r="28789">
      <c r="A28789" s="1" t="s">
        <v>28788</v>
      </c>
      <c r="B28789" s="2" t="str">
        <f>IFERROR(__xludf.DUMMYFUNCTION("GOOGLETRANSLATE(A28789, ""de"", ""en"")"),"frumfondel")</f>
        <v>frumfondel</v>
      </c>
    </row>
    <row r="28790">
      <c r="A28790" s="1" t="s">
        <v>28789</v>
      </c>
      <c r="B28790" s="2" t="str">
        <f>IFERROR(__xludf.DUMMYFUNCTION("GOOGLETRANSLATE(A28790, ""de"", ""en"")"),"locksmith")</f>
        <v>locksmith</v>
      </c>
    </row>
    <row r="28791">
      <c r="A28791" s="1" t="s">
        <v>28790</v>
      </c>
      <c r="B28791" s="2" t="str">
        <f>IFERROR(__xludf.DUMMYFUNCTION("GOOGLETRANSLATE(A28791, ""de"", ""en"")"),"cuts")</f>
        <v>cuts</v>
      </c>
    </row>
    <row r="28792">
      <c r="A28792" s="1" t="s">
        <v>28791</v>
      </c>
      <c r="B28792" s="2" t="str">
        <f>IFERROR(__xludf.DUMMYFUNCTION("GOOGLETRANSLATE(A28792, ""de"", ""en"")"),"sales")</f>
        <v>sales</v>
      </c>
    </row>
    <row r="28793">
      <c r="A28793" s="1" t="s">
        <v>28792</v>
      </c>
      <c r="B28793" s="2" t="str">
        <f>IFERROR(__xludf.DUMMYFUNCTION("GOOGLETRANSLATE(A28793, ""de"", ""en"")"),"alarm system")</f>
        <v>alarm system</v>
      </c>
    </row>
    <row r="28794">
      <c r="A28794" s="1" t="s">
        <v>28793</v>
      </c>
      <c r="B28794" s="2" t="str">
        <f>IFERROR(__xludf.DUMMYFUNCTION("GOOGLETRANSLATE(A28794, ""de"", ""en"")"),"keep on")</f>
        <v>keep on</v>
      </c>
    </row>
    <row r="28795">
      <c r="A28795" s="1" t="s">
        <v>28794</v>
      </c>
      <c r="B28795" s="2" t="str">
        <f>IFERROR(__xludf.DUMMYFUNCTION("GOOGLETRANSLATE(A28795, ""de"", ""en"")"),"usual")</f>
        <v>usual</v>
      </c>
    </row>
    <row r="28796">
      <c r="A28796" s="1" t="s">
        <v>28795</v>
      </c>
      <c r="B28796" s="2" t="str">
        <f>IFERROR(__xludf.DUMMYFUNCTION("GOOGLETRANSLATE(A28796, ""de"", ""en"")"),"fremont")</f>
        <v>fremont</v>
      </c>
    </row>
    <row r="28797">
      <c r="A28797" s="1" t="s">
        <v>28796</v>
      </c>
      <c r="B28797" s="2" t="str">
        <f>IFERROR(__xludf.DUMMYFUNCTION("GOOGLETRANSLATE(A28797, ""de"", ""en"")"),"medical history")</f>
        <v>medical history</v>
      </c>
    </row>
    <row r="28798">
      <c r="A28798" s="1" t="s">
        <v>28797</v>
      </c>
      <c r="B28798" s="2" t="str">
        <f>IFERROR(__xludf.DUMMYFUNCTION("GOOGLETRANSLATE(A28798, ""de"", ""en"")"),"academic")</f>
        <v>academic</v>
      </c>
    </row>
    <row r="28799">
      <c r="A28799" s="1" t="s">
        <v>28798</v>
      </c>
      <c r="B28799" s="2" t="str">
        <f>IFERROR(__xludf.DUMMYFUNCTION("GOOGLETRANSLATE(A28799, ""de"", ""en"")"),"corn")</f>
        <v>corn</v>
      </c>
    </row>
    <row r="28800">
      <c r="A28800" s="1" t="s">
        <v>28799</v>
      </c>
      <c r="B28800" s="2" t="str">
        <f>IFERROR(__xludf.DUMMYFUNCTION("GOOGLETRANSLATE(A28800, ""de"", ""en"")"),"end of month")</f>
        <v>end of month</v>
      </c>
    </row>
    <row r="28801">
      <c r="A28801" s="1" t="s">
        <v>28800</v>
      </c>
      <c r="B28801" s="2" t="str">
        <f>IFERROR(__xludf.DUMMYFUNCTION("GOOGLETRANSLATE(A28801, ""de"", ""en"")"),"execute")</f>
        <v>execute</v>
      </c>
    </row>
    <row r="28802">
      <c r="A28802" s="1" t="s">
        <v>28801</v>
      </c>
      <c r="B28802" s="2" t="str">
        <f>IFERROR(__xludf.DUMMYFUNCTION("GOOGLETRANSLATE(A28802, ""de"", ""en"")"),"terrifying")</f>
        <v>terrifying</v>
      </c>
    </row>
    <row r="28803">
      <c r="A28803" s="1" t="s">
        <v>28802</v>
      </c>
      <c r="B28803" s="2" t="str">
        <f>IFERROR(__xludf.DUMMYFUNCTION("GOOGLETRANSLATE(A28803, ""de"", ""en"")"),"shooting")</f>
        <v>shooting</v>
      </c>
    </row>
    <row r="28804">
      <c r="A28804" s="1" t="s">
        <v>28803</v>
      </c>
      <c r="B28804" s="2" t="str">
        <f>IFERROR(__xludf.DUMMYFUNCTION("GOOGLETRANSLATE(A28804, ""de"", ""en"")"),"charity event")</f>
        <v>charity event</v>
      </c>
    </row>
    <row r="28805">
      <c r="A28805" s="1" t="s">
        <v>28804</v>
      </c>
      <c r="B28805" s="2" t="str">
        <f>IFERROR(__xludf.DUMMYFUNCTION("GOOGLETRANSLATE(A28805, ""de"", ""en"")"),"lã")</f>
        <v>lã</v>
      </c>
    </row>
    <row r="28806">
      <c r="A28806" s="1" t="s">
        <v>28805</v>
      </c>
      <c r="B28806" s="2" t="str">
        <f>IFERROR(__xludf.DUMMYFUNCTION("GOOGLETRANSLATE(A28806, ""de"", ""en"")"),"spread")</f>
        <v>spread</v>
      </c>
    </row>
    <row r="28807">
      <c r="A28807" s="1" t="s">
        <v>28806</v>
      </c>
      <c r="B28807" s="2" t="str">
        <f>IFERROR(__xludf.DUMMYFUNCTION("GOOGLETRANSLATE(A28807, ""de"", ""en"")"),"installation")</f>
        <v>installation</v>
      </c>
    </row>
    <row r="28808">
      <c r="A28808" s="1" t="s">
        <v>28807</v>
      </c>
      <c r="B28808" s="2" t="str">
        <f>IFERROR(__xludf.DUMMYFUNCTION("GOOGLETRANSLATE(A28808, ""de"", ""en"")"),"arrivederci")</f>
        <v>arrivederci</v>
      </c>
    </row>
    <row r="28809">
      <c r="A28809" s="1" t="s">
        <v>28808</v>
      </c>
      <c r="B28809" s="2" t="str">
        <f>IFERROR(__xludf.DUMMYFUNCTION("GOOGLETRANSLATE(A28809, ""de"", ""en"")"),"bloodhound")</f>
        <v>bloodhound</v>
      </c>
    </row>
    <row r="28810">
      <c r="A28810" s="1" t="s">
        <v>28809</v>
      </c>
      <c r="B28810" s="2" t="str">
        <f>IFERROR(__xludf.DUMMYFUNCTION("GOOGLETRANSLATE(A28810, ""de"", ""en"")"),"ricks")</f>
        <v>ricks</v>
      </c>
    </row>
    <row r="28811">
      <c r="A28811" s="1" t="s">
        <v>28810</v>
      </c>
      <c r="B28811" s="2" t="str">
        <f>IFERROR(__xludf.DUMMYFUNCTION("GOOGLETRANSLATE(A28811, ""de"", ""en"")"),"subtleties")</f>
        <v>subtleties</v>
      </c>
    </row>
    <row r="28812">
      <c r="A28812" s="1" t="s">
        <v>28811</v>
      </c>
      <c r="B28812" s="2" t="str">
        <f>IFERROR(__xludf.DUMMYFUNCTION("GOOGLETRANSLATE(A28812, ""de"", ""en"")"),"honestly")</f>
        <v>honestly</v>
      </c>
    </row>
    <row r="28813">
      <c r="A28813" s="1" t="s">
        <v>28812</v>
      </c>
      <c r="B28813" s="2" t="str">
        <f>IFERROR(__xludf.DUMMYFUNCTION("GOOGLETRANSLATE(A28813, ""de"", ""en"")"),"cover")</f>
        <v>cover</v>
      </c>
    </row>
    <row r="28814">
      <c r="A28814" s="1" t="s">
        <v>28813</v>
      </c>
      <c r="B28814" s="2" t="str">
        <f>IFERROR(__xludf.DUMMYFUNCTION("GOOGLETRANSLATE(A28814, ""de"", ""en"")"),"congratulate")</f>
        <v>congratulate</v>
      </c>
    </row>
    <row r="28815">
      <c r="A28815" s="1" t="s">
        <v>28814</v>
      </c>
      <c r="B28815" s="2" t="str">
        <f>IFERROR(__xludf.DUMMYFUNCTION("GOOGLETRANSLATE(A28815, ""de"", ""en"")"),"bears")</f>
        <v>bears</v>
      </c>
    </row>
    <row r="28816">
      <c r="A28816" s="1" t="s">
        <v>28815</v>
      </c>
      <c r="B28816" s="2" t="str">
        <f>IFERROR(__xludf.DUMMYFUNCTION("GOOGLETRANSLATE(A28816, ""de"", ""en"")"),"millennia")</f>
        <v>millennia</v>
      </c>
    </row>
    <row r="28817">
      <c r="A28817" s="1" t="s">
        <v>28816</v>
      </c>
      <c r="B28817" s="2" t="str">
        <f>IFERROR(__xludf.DUMMYFUNCTION("GOOGLETRANSLATE(A28817, ""de"", ""en"")"),"Tuscany")</f>
        <v>Tuscany</v>
      </c>
    </row>
    <row r="28818">
      <c r="A28818" s="1" t="s">
        <v>28817</v>
      </c>
      <c r="B28818" s="2" t="str">
        <f>IFERROR(__xludf.DUMMYFUNCTION("GOOGLETRANSLATE(A28818, ""de"", ""en"")"),"movable")</f>
        <v>movable</v>
      </c>
    </row>
    <row r="28819">
      <c r="A28819" s="1" t="s">
        <v>28818</v>
      </c>
      <c r="B28819" s="2" t="str">
        <f>IFERROR(__xludf.DUMMYFUNCTION("GOOGLETRANSLATE(A28819, ""de"", ""en"")"),"accommodating")</f>
        <v>accommodating</v>
      </c>
    </row>
    <row r="28820">
      <c r="A28820" s="1" t="s">
        <v>28819</v>
      </c>
      <c r="B28820" s="2" t="str">
        <f>IFERROR(__xludf.DUMMYFUNCTION("GOOGLETRANSLATE(A28820, ""de"", ""en"")"),"basic training")</f>
        <v>basic training</v>
      </c>
    </row>
    <row r="28821">
      <c r="A28821" s="1" t="s">
        <v>28820</v>
      </c>
      <c r="B28821" s="2" t="str">
        <f>IFERROR(__xludf.DUMMYFUNCTION("GOOGLETRANSLATE(A28821, ""de"", ""en"")"),"ramse")</f>
        <v>ramse</v>
      </c>
    </row>
    <row r="28822">
      <c r="A28822" s="1" t="s">
        <v>28821</v>
      </c>
      <c r="B28822" s="2" t="str">
        <f>IFERROR(__xludf.DUMMYFUNCTION("GOOGLETRANSLATE(A28822, ""de"", ""en"")"),"mechanics")</f>
        <v>mechanics</v>
      </c>
    </row>
    <row r="28823">
      <c r="A28823" s="1" t="s">
        <v>28822</v>
      </c>
      <c r="B28823" s="2" t="str">
        <f>IFERROR(__xludf.DUMMYFUNCTION("GOOGLETRANSLATE(A28823, ""de"", ""en"")"),"gifted")</f>
        <v>gifted</v>
      </c>
    </row>
    <row r="28824">
      <c r="A28824" s="1" t="s">
        <v>28823</v>
      </c>
      <c r="B28824" s="2" t="str">
        <f>IFERROR(__xludf.DUMMYFUNCTION("GOOGLETRANSLATE(A28824, ""de"", ""en"")"),"unbelievers")</f>
        <v>unbelievers</v>
      </c>
    </row>
    <row r="28825">
      <c r="A28825" s="1" t="s">
        <v>28824</v>
      </c>
      <c r="B28825" s="2" t="str">
        <f>IFERROR(__xludf.DUMMYFUNCTION("GOOGLETRANSLATE(A28825, ""de"", ""en"")"),"allow")</f>
        <v>allow</v>
      </c>
    </row>
    <row r="28826">
      <c r="A28826" s="1" t="s">
        <v>28825</v>
      </c>
      <c r="B28826" s="2" t="str">
        <f>IFERROR(__xludf.DUMMYFUNCTION("GOOGLETRANSLATE(A28826, ""de"", ""en"")"),"circled")</f>
        <v>circled</v>
      </c>
    </row>
    <row r="28827">
      <c r="A28827" s="1" t="s">
        <v>28826</v>
      </c>
      <c r="B28827" s="2" t="str">
        <f>IFERROR(__xludf.DUMMYFUNCTION("GOOGLETRANSLATE(A28827, ""de"", ""en"")"),"Texan")</f>
        <v>Texan</v>
      </c>
    </row>
    <row r="28828">
      <c r="A28828" s="1" t="s">
        <v>28827</v>
      </c>
      <c r="B28828" s="2" t="str">
        <f>IFERROR(__xludf.DUMMYFUNCTION("GOOGLETRANSLATE(A28828, ""de"", ""en"")"),"kneel down")</f>
        <v>kneel down</v>
      </c>
    </row>
    <row r="28829">
      <c r="A28829" s="1" t="s">
        <v>28828</v>
      </c>
      <c r="B28829" s="2" t="str">
        <f>IFERROR(__xludf.DUMMYFUNCTION("GOOGLETRANSLATE(A28829, ""de"", ""en"")"),"bayou")</f>
        <v>bayou</v>
      </c>
    </row>
    <row r="28830">
      <c r="A28830" s="1" t="s">
        <v>28829</v>
      </c>
      <c r="B28830" s="2" t="str">
        <f>IFERROR(__xludf.DUMMYFUNCTION("GOOGLETRANSLATE(A28830, ""de"", ""en"")"),"try on")</f>
        <v>try on</v>
      </c>
    </row>
    <row r="28831">
      <c r="A28831" s="1" t="s">
        <v>28830</v>
      </c>
      <c r="B28831" s="2" t="str">
        <f>IFERROR(__xludf.DUMMYFUNCTION("GOOGLETRANSLATE(A28831, ""de"", ""en"")"),"maybe")</f>
        <v>maybe</v>
      </c>
    </row>
    <row r="28832">
      <c r="A28832" s="1" t="s">
        <v>28831</v>
      </c>
      <c r="B28832" s="2" t="str">
        <f>IFERROR(__xludf.DUMMYFUNCTION("GOOGLETRANSLATE(A28832, ""de"", ""en"")"),"hallucinates")</f>
        <v>hallucinates</v>
      </c>
    </row>
    <row r="28833">
      <c r="A28833" s="1" t="s">
        <v>28832</v>
      </c>
      <c r="B28833" s="2" t="str">
        <f>IFERROR(__xludf.DUMMYFUNCTION("GOOGLETRANSLATE(A28833, ""de"", ""en"")"),"pheasant")</f>
        <v>pheasant</v>
      </c>
    </row>
    <row r="28834">
      <c r="A28834" s="1" t="s">
        <v>28833</v>
      </c>
      <c r="B28834" s="2" t="str">
        <f>IFERROR(__xludf.DUMMYFUNCTION("GOOGLETRANSLATE(A28834, ""de"", ""en"")"),"citadel")</f>
        <v>citadel</v>
      </c>
    </row>
    <row r="28835">
      <c r="A28835" s="1" t="s">
        <v>28834</v>
      </c>
      <c r="B28835" s="2" t="str">
        <f>IFERROR(__xludf.DUMMYFUNCTION("GOOGLETRANSLATE(A28835, ""de"", ""en"")"),"got in the way")</f>
        <v>got in the way</v>
      </c>
    </row>
    <row r="28836">
      <c r="A28836" s="1" t="s">
        <v>28835</v>
      </c>
      <c r="B28836" s="2" t="str">
        <f>IFERROR(__xludf.DUMMYFUNCTION("GOOGLETRANSLATE(A28836, ""de"", ""en"")"),"soames")</f>
        <v>soames</v>
      </c>
    </row>
    <row r="28837">
      <c r="A28837" s="1" t="s">
        <v>28836</v>
      </c>
      <c r="B28837" s="2" t="str">
        <f>IFERROR(__xludf.DUMMYFUNCTION("GOOGLETRANSLATE(A28837, ""de"", ""en"")"),"came over")</f>
        <v>came over</v>
      </c>
    </row>
    <row r="28838">
      <c r="A28838" s="1" t="s">
        <v>28837</v>
      </c>
      <c r="B28838" s="2" t="str">
        <f>IFERROR(__xludf.DUMMYFUNCTION("GOOGLETRANSLATE(A28838, ""de"", ""en"")"),"suck")</f>
        <v>suck</v>
      </c>
    </row>
    <row r="28839">
      <c r="A28839" s="1" t="s">
        <v>28838</v>
      </c>
      <c r="B28839" s="2" t="str">
        <f>IFERROR(__xludf.DUMMYFUNCTION("GOOGLETRANSLATE(A28839, ""de"", ""en"")"),"obvious")</f>
        <v>obvious</v>
      </c>
    </row>
    <row r="28840">
      <c r="A28840" s="1" t="s">
        <v>28839</v>
      </c>
      <c r="B28840" s="2" t="str">
        <f>IFERROR(__xludf.DUMMYFUNCTION("GOOGLETRANSLATE(A28840, ""de"", ""en"")"),"brimmer")</f>
        <v>brimmer</v>
      </c>
    </row>
    <row r="28841">
      <c r="A28841" s="1" t="s">
        <v>28840</v>
      </c>
      <c r="B28841" s="2" t="str">
        <f>IFERROR(__xludf.DUMMYFUNCTION("GOOGLETRANSLATE(A28841, ""de"", ""en"")"),"allergic")</f>
        <v>allergic</v>
      </c>
    </row>
    <row r="28842">
      <c r="A28842" s="1" t="s">
        <v>28841</v>
      </c>
      <c r="B28842" s="2" t="str">
        <f>IFERROR(__xludf.DUMMYFUNCTION("GOOGLETRANSLATE(A28842, ""de"", ""en"")"),"drive-in cinema")</f>
        <v>drive-in cinema</v>
      </c>
    </row>
    <row r="28843">
      <c r="A28843" s="1" t="s">
        <v>28842</v>
      </c>
      <c r="B28843" s="2" t="str">
        <f>IFERROR(__xludf.DUMMYFUNCTION("GOOGLETRANSLATE(A28843, ""de"", ""en"")"),"carbohydrates")</f>
        <v>carbohydrates</v>
      </c>
    </row>
    <row r="28844">
      <c r="A28844" s="1" t="s">
        <v>28843</v>
      </c>
      <c r="B28844" s="2" t="str">
        <f>IFERROR(__xludf.DUMMYFUNCTION("GOOGLETRANSLATE(A28844, ""de"", ""en"")"),"bamboo")</f>
        <v>bamboo</v>
      </c>
    </row>
    <row r="28845">
      <c r="A28845" s="1" t="s">
        <v>28844</v>
      </c>
      <c r="B28845" s="2" t="str">
        <f>IFERROR(__xludf.DUMMYFUNCTION("GOOGLETRANSLATE(A28845, ""de"", ""en"")"),"excited")</f>
        <v>excited</v>
      </c>
    </row>
    <row r="28846">
      <c r="A28846" s="1" t="s">
        <v>28845</v>
      </c>
      <c r="B28846" s="2" t="str">
        <f>IFERROR(__xludf.DUMMYFUNCTION("GOOGLETRANSLATE(A28846, ""de"", ""en"")"),"rina")</f>
        <v>rina</v>
      </c>
    </row>
    <row r="28847">
      <c r="A28847" s="1" t="s">
        <v>28846</v>
      </c>
      <c r="B28847" s="2" t="str">
        <f>IFERROR(__xludf.DUMMYFUNCTION("GOOGLETRANSLATE(A28847, ""de"", ""en"")"),"shortened")</f>
        <v>shortened</v>
      </c>
    </row>
    <row r="28848">
      <c r="A28848" s="1" t="s">
        <v>28847</v>
      </c>
      <c r="B28848" s="2" t="str">
        <f>IFERROR(__xludf.DUMMYFUNCTION("GOOGLETRANSLATE(A28848, ""de"", ""en"")"),"fernandez")</f>
        <v>fernandez</v>
      </c>
    </row>
    <row r="28849">
      <c r="A28849" s="1" t="s">
        <v>28848</v>
      </c>
      <c r="B28849" s="2" t="str">
        <f>IFERROR(__xludf.DUMMYFUNCTION("GOOGLETRANSLATE(A28849, ""de"", ""en"")"),"recreate")</f>
        <v>recreate</v>
      </c>
    </row>
    <row r="28850">
      <c r="A28850" s="1" t="s">
        <v>28849</v>
      </c>
      <c r="B28850" s="2" t="str">
        <f>IFERROR(__xludf.DUMMYFUNCTION("GOOGLETRANSLATE(A28850, ""de"", ""en"")"),"carries")</f>
        <v>carries</v>
      </c>
    </row>
    <row r="28851">
      <c r="A28851" s="1" t="s">
        <v>28850</v>
      </c>
      <c r="B28851" s="2" t="str">
        <f>IFERROR(__xludf.DUMMYFUNCTION("GOOGLETRANSLATE(A28851, ""de"", ""en"")"),"united")</f>
        <v>united</v>
      </c>
    </row>
    <row r="28852">
      <c r="A28852" s="1" t="s">
        <v>28851</v>
      </c>
      <c r="B28852" s="2" t="str">
        <f>IFERROR(__xludf.DUMMYFUNCTION("GOOGLETRANSLATE(A28852, ""de"", ""en"")"),"fuzzy")</f>
        <v>fuzzy</v>
      </c>
    </row>
    <row r="28853">
      <c r="A28853" s="1" t="s">
        <v>28852</v>
      </c>
      <c r="B28853" s="2" t="str">
        <f>IFERROR(__xludf.DUMMYFUNCTION("GOOGLETRANSLATE(A28853, ""de"", ""en"")"),"day in and day out")</f>
        <v>day in and day out</v>
      </c>
    </row>
    <row r="28854">
      <c r="A28854" s="1" t="s">
        <v>28853</v>
      </c>
      <c r="B28854" s="2" t="str">
        <f>IFERROR(__xludf.DUMMYFUNCTION("GOOGLETRANSLATE(A28854, ""de"", ""en"")"),"dalai")</f>
        <v>dalai</v>
      </c>
    </row>
    <row r="28855">
      <c r="A28855" s="1" t="s">
        <v>28854</v>
      </c>
      <c r="B28855" s="2" t="str">
        <f>IFERROR(__xludf.DUMMYFUNCTION("GOOGLETRANSLATE(A28855, ""de"", ""en"")"),"wooden leg")</f>
        <v>wooden leg</v>
      </c>
    </row>
    <row r="28856">
      <c r="A28856" s="1" t="s">
        <v>28855</v>
      </c>
      <c r="B28856" s="2" t="str">
        <f>IFERROR(__xludf.DUMMYFUNCTION("GOOGLETRANSLATE(A28856, ""de"", ""en"")"),"rogue")</f>
        <v>rogue</v>
      </c>
    </row>
    <row r="28857">
      <c r="A28857" s="1" t="s">
        <v>28856</v>
      </c>
      <c r="B28857" s="2" t="str">
        <f>IFERROR(__xludf.DUMMYFUNCTION("GOOGLETRANSLATE(A28857, ""de"", ""en"")"),"Eskimo")</f>
        <v>Eskimo</v>
      </c>
    </row>
    <row r="28858">
      <c r="A28858" s="1" t="s">
        <v>28857</v>
      </c>
      <c r="B28858" s="2" t="str">
        <f>IFERROR(__xludf.DUMMYFUNCTION("GOOGLETRANSLATE(A28858, ""de"", ""en"")"),"mt")</f>
        <v>mt</v>
      </c>
    </row>
    <row r="28859">
      <c r="A28859" s="1" t="s">
        <v>28858</v>
      </c>
      <c r="B28859" s="2" t="str">
        <f>IFERROR(__xludf.DUMMYFUNCTION("GOOGLETRANSLATE(A28859, ""de"", ""en"")"),"understanding")</f>
        <v>understanding</v>
      </c>
    </row>
    <row r="28860">
      <c r="A28860" s="1" t="s">
        <v>28859</v>
      </c>
      <c r="B28860" s="2" t="str">
        <f>IFERROR(__xludf.DUMMYFUNCTION("GOOGLETRANSLATE(A28860, ""de"", ""en"")"),"component")</f>
        <v>component</v>
      </c>
    </row>
    <row r="28861">
      <c r="A28861" s="1" t="s">
        <v>28860</v>
      </c>
      <c r="B28861" s="2" t="str">
        <f>IFERROR(__xludf.DUMMYFUNCTION("GOOGLETRANSLATE(A28861, ""de"", ""en"")"),"detonate")</f>
        <v>detonate</v>
      </c>
    </row>
    <row r="28862">
      <c r="A28862" s="1" t="s">
        <v>28861</v>
      </c>
      <c r="B28862" s="2" t="str">
        <f>IFERROR(__xludf.DUMMYFUNCTION("GOOGLETRANSLATE(A28862, ""de"", ""en"")"),"Mandela")</f>
        <v>Mandela</v>
      </c>
    </row>
    <row r="28863">
      <c r="A28863" s="1" t="s">
        <v>28862</v>
      </c>
      <c r="B28863" s="2" t="str">
        <f>IFERROR(__xludf.DUMMYFUNCTION("GOOGLETRANSLATE(A28863, ""de"", ""en"")"),"refreshments")</f>
        <v>refreshments</v>
      </c>
    </row>
    <row r="28864">
      <c r="A28864" s="1" t="s">
        <v>28863</v>
      </c>
      <c r="B28864" s="2" t="str">
        <f>IFERROR(__xludf.DUMMYFUNCTION("GOOGLETRANSLATE(A28864, ""de"", ""en"")"),"shopping list")</f>
        <v>shopping list</v>
      </c>
    </row>
    <row r="28865">
      <c r="A28865" s="1" t="s">
        <v>28864</v>
      </c>
      <c r="B28865" s="2" t="str">
        <f>IFERROR(__xludf.DUMMYFUNCTION("GOOGLETRANSLATE(A28865, ""de"", ""en"")"),"anwar")</f>
        <v>anwar</v>
      </c>
    </row>
    <row r="28866">
      <c r="A28866" s="1" t="s">
        <v>28865</v>
      </c>
      <c r="B28866" s="2" t="str">
        <f>IFERROR(__xludf.DUMMYFUNCTION("GOOGLETRANSLATE(A28866, ""de"", ""en"")"),"botched")</f>
        <v>botched</v>
      </c>
    </row>
    <row r="28867">
      <c r="A28867" s="1" t="s">
        <v>28866</v>
      </c>
      <c r="B28867" s="2" t="str">
        <f>IFERROR(__xludf.DUMMYFUNCTION("GOOGLETRANSLATE(A28867, ""de"", ""en"")"),"editorial")</f>
        <v>editorial</v>
      </c>
    </row>
    <row r="28868">
      <c r="A28868" s="1" t="s">
        <v>28867</v>
      </c>
      <c r="B28868" s="2" t="str">
        <f>IFERROR(__xludf.DUMMYFUNCTION("GOOGLETRANSLATE(A28868, ""de"", ""en"")"),"Goldilocks")</f>
        <v>Goldilocks</v>
      </c>
    </row>
    <row r="28869">
      <c r="A28869" s="1" t="s">
        <v>28868</v>
      </c>
      <c r="B28869" s="2" t="str">
        <f>IFERROR(__xludf.DUMMYFUNCTION("GOOGLETRANSLATE(A28869, ""de"", ""en"")"),"Brittany")</f>
        <v>Brittany</v>
      </c>
    </row>
    <row r="28870">
      <c r="A28870" s="1" t="s">
        <v>28869</v>
      </c>
      <c r="B28870" s="2" t="str">
        <f>IFERROR(__xludf.DUMMYFUNCTION("GOOGLETRANSLATE(A28870, ""de"", ""en"")"),"appeal")</f>
        <v>appeal</v>
      </c>
    </row>
    <row r="28871">
      <c r="A28871" s="1" t="s">
        <v>28870</v>
      </c>
      <c r="B28871" s="2" t="str">
        <f>IFERROR(__xludf.DUMMYFUNCTION("GOOGLETRANSLATE(A28871, ""de"", ""en"")"),"mix it up")</f>
        <v>mix it up</v>
      </c>
    </row>
    <row r="28872">
      <c r="A28872" s="1" t="s">
        <v>28871</v>
      </c>
      <c r="B28872" s="2" t="str">
        <f>IFERROR(__xludf.DUMMYFUNCTION("GOOGLETRANSLATE(A28872, ""de"", ""en"")"),"shipped")</f>
        <v>shipped</v>
      </c>
    </row>
    <row r="28873">
      <c r="A28873" s="1" t="s">
        <v>28872</v>
      </c>
      <c r="B28873" s="2" t="str">
        <f>IFERROR(__xludf.DUMMYFUNCTION("GOOGLETRANSLATE(A28873, ""de"", ""en"")"),"deceiving")</f>
        <v>deceiving</v>
      </c>
    </row>
    <row r="28874">
      <c r="A28874" s="1" t="s">
        <v>28873</v>
      </c>
      <c r="B28874" s="2" t="str">
        <f>IFERROR(__xludf.DUMMYFUNCTION("GOOGLETRANSLATE(A28874, ""de"", ""en"")"),"unemployed")</f>
        <v>unemployed</v>
      </c>
    </row>
    <row r="28875">
      <c r="A28875" s="1" t="s">
        <v>28874</v>
      </c>
      <c r="B28875" s="2" t="str">
        <f>IFERROR(__xludf.DUMMYFUNCTION("GOOGLETRANSLATE(A28875, ""de"", ""en"")"),"roslin")</f>
        <v>roslin</v>
      </c>
    </row>
    <row r="28876">
      <c r="A28876" s="1" t="s">
        <v>28875</v>
      </c>
      <c r="B28876" s="2" t="str">
        <f>IFERROR(__xludf.DUMMYFUNCTION("GOOGLETRANSLATE(A28876, ""de"", ""en"")"),"mahone")</f>
        <v>mahone</v>
      </c>
    </row>
    <row r="28877">
      <c r="A28877" s="1" t="s">
        <v>28876</v>
      </c>
      <c r="B28877" s="2" t="str">
        <f>IFERROR(__xludf.DUMMYFUNCTION("GOOGLETRANSLATE(A28877, ""de"", ""en"")"),"foreseeable")</f>
        <v>foreseeable</v>
      </c>
    </row>
    <row r="28878">
      <c r="A28878" s="1" t="s">
        <v>28877</v>
      </c>
      <c r="B28878" s="2" t="str">
        <f>IFERROR(__xludf.DUMMYFUNCTION("GOOGLETRANSLATE(A28878, ""de"", ""en"")"),"devastate")</f>
        <v>devastate</v>
      </c>
    </row>
    <row r="28879">
      <c r="A28879" s="1" t="s">
        <v>28878</v>
      </c>
      <c r="B28879" s="2" t="str">
        <f>IFERROR(__xludf.DUMMYFUNCTION("GOOGLETRANSLATE(A28879, ""de"", ""en"")"),"downstream")</f>
        <v>downstream</v>
      </c>
    </row>
    <row r="28880">
      <c r="A28880" s="1" t="s">
        <v>28879</v>
      </c>
      <c r="B28880" s="2" t="str">
        <f>IFERROR(__xludf.DUMMYFUNCTION("GOOGLETRANSLATE(A28880, ""de"", ""en"")"),"busy")</f>
        <v>busy</v>
      </c>
    </row>
    <row r="28881">
      <c r="A28881" s="1" t="s">
        <v>28880</v>
      </c>
      <c r="B28881" s="2" t="str">
        <f>IFERROR(__xludf.DUMMYFUNCTION("GOOGLETRANSLATE(A28881, ""de"", ""en"")"),"dismissed")</f>
        <v>dismissed</v>
      </c>
    </row>
    <row r="28882">
      <c r="A28882" s="1" t="s">
        <v>28881</v>
      </c>
      <c r="B28882" s="2" t="str">
        <f>IFERROR(__xludf.DUMMYFUNCTION("GOOGLETRANSLATE(A28882, ""de"", ""en"")"),"corals")</f>
        <v>corals</v>
      </c>
    </row>
    <row r="28883">
      <c r="A28883" s="1" t="s">
        <v>28882</v>
      </c>
      <c r="B28883" s="2" t="str">
        <f>IFERROR(__xludf.DUMMYFUNCTION("GOOGLETRANSLATE(A28883, ""de"", ""en"")"),"fuse box")</f>
        <v>fuse box</v>
      </c>
    </row>
    <row r="28884">
      <c r="A28884" s="1" t="s">
        <v>28883</v>
      </c>
      <c r="B28884" s="2" t="str">
        <f>IFERROR(__xludf.DUMMYFUNCTION("GOOGLETRANSLATE(A28884, ""de"", ""en"")"),"hesitantly")</f>
        <v>hesitantly</v>
      </c>
    </row>
    <row r="28885">
      <c r="A28885" s="1" t="s">
        <v>28884</v>
      </c>
      <c r="B28885" s="2" t="str">
        <f>IFERROR(__xludf.DUMMYFUNCTION("GOOGLETRANSLATE(A28885, ""de"", ""en"")"),"scarf")</f>
        <v>scarf</v>
      </c>
    </row>
    <row r="28886">
      <c r="A28886" s="1" t="s">
        <v>28885</v>
      </c>
      <c r="B28886" s="2" t="str">
        <f>IFERROR(__xludf.DUMMYFUNCTION("GOOGLETRANSLATE(A28886, ""de"", ""en"")"),"small stuff")</f>
        <v>small stuff</v>
      </c>
    </row>
    <row r="28887">
      <c r="A28887" s="1" t="s">
        <v>28886</v>
      </c>
      <c r="B28887" s="2" t="str">
        <f>IFERROR(__xludf.DUMMYFUNCTION("GOOGLETRANSLATE(A28887, ""de"", ""en"")"),"germaine")</f>
        <v>germaine</v>
      </c>
    </row>
    <row r="28888">
      <c r="A28888" s="1" t="s">
        <v>28887</v>
      </c>
      <c r="B28888" s="2" t="str">
        <f>IFERROR(__xludf.DUMMYFUNCTION("GOOGLETRANSLATE(A28888, ""de"", ""en"")"),"incantation")</f>
        <v>incantation</v>
      </c>
    </row>
    <row r="28889">
      <c r="A28889" s="1" t="s">
        <v>28888</v>
      </c>
      <c r="B28889" s="2" t="str">
        <f>IFERROR(__xludf.DUMMYFUNCTION("GOOGLETRANSLATE(A28889, ""de"", ""en"")"),"ideas")</f>
        <v>ideas</v>
      </c>
    </row>
    <row r="28890">
      <c r="A28890" s="1" t="s">
        <v>28889</v>
      </c>
      <c r="B28890" s="2" t="str">
        <f>IFERROR(__xludf.DUMMYFUNCTION("GOOGLETRANSLATE(A28890, ""de"", ""en"")"),"abrams")</f>
        <v>abrams</v>
      </c>
    </row>
    <row r="28891">
      <c r="A28891" s="1" t="s">
        <v>28890</v>
      </c>
      <c r="B28891" s="2" t="str">
        <f>IFERROR(__xludf.DUMMYFUNCTION("GOOGLETRANSLATE(A28891, ""de"", ""en"")"),"Brianna")</f>
        <v>Brianna</v>
      </c>
    </row>
    <row r="28892">
      <c r="A28892" s="1" t="s">
        <v>28891</v>
      </c>
      <c r="B28892" s="2" t="str">
        <f>IFERROR(__xludf.DUMMYFUNCTION("GOOGLETRANSLATE(A28892, ""de"", ""en"")"),"put away")</f>
        <v>put away</v>
      </c>
    </row>
    <row r="28893">
      <c r="A28893" s="1" t="s">
        <v>28892</v>
      </c>
      <c r="B28893" s="2" t="str">
        <f>IFERROR(__xludf.DUMMYFUNCTION("GOOGLETRANSLATE(A28893, ""de"", ""en"")"),"ultimate")</f>
        <v>ultimate</v>
      </c>
    </row>
    <row r="28894">
      <c r="A28894" s="1" t="s">
        <v>28893</v>
      </c>
      <c r="B28894" s="2" t="str">
        <f>IFERROR(__xludf.DUMMYFUNCTION("GOOGLETRANSLATE(A28894, ""de"", ""en"")"),"equal")</f>
        <v>equal</v>
      </c>
    </row>
    <row r="28895">
      <c r="A28895" s="1" t="s">
        <v>28894</v>
      </c>
      <c r="B28895" s="2" t="str">
        <f>IFERROR(__xludf.DUMMYFUNCTION("GOOGLETRANSLATE(A28895, ""de"", ""en"")"),"museums")</f>
        <v>museums</v>
      </c>
    </row>
    <row r="28896">
      <c r="A28896" s="1" t="s">
        <v>28895</v>
      </c>
      <c r="B28896" s="2" t="str">
        <f>IFERROR(__xludf.DUMMYFUNCTION("GOOGLETRANSLATE(A28896, ""de"", ""en"")"),"Bulgaria")</f>
        <v>Bulgaria</v>
      </c>
    </row>
    <row r="28897">
      <c r="A28897" s="1" t="s">
        <v>28896</v>
      </c>
      <c r="B28897" s="2" t="str">
        <f>IFERROR(__xludf.DUMMYFUNCTION("GOOGLETRANSLATE(A28897, ""de"", ""en"")"),"Roma")</f>
        <v>Roma</v>
      </c>
    </row>
    <row r="28898">
      <c r="A28898" s="1" t="s">
        <v>28897</v>
      </c>
      <c r="B28898" s="2" t="str">
        <f>IFERROR(__xludf.DUMMYFUNCTION("GOOGLETRANSLATE(A28898, ""de"", ""en"")"),"rages")</f>
        <v>rages</v>
      </c>
    </row>
    <row r="28899">
      <c r="A28899" s="1" t="s">
        <v>28898</v>
      </c>
      <c r="B28899" s="2" t="str">
        <f>IFERROR(__xludf.DUMMYFUNCTION("GOOGLETRANSLATE(A28899, ""de"", ""en"")"),"percival")</f>
        <v>percival</v>
      </c>
    </row>
    <row r="28900">
      <c r="A28900" s="1" t="s">
        <v>28899</v>
      </c>
      <c r="B28900" s="2" t="str">
        <f>IFERROR(__xludf.DUMMYFUNCTION("GOOGLETRANSLATE(A28900, ""de"", ""en"")"),"almighty")</f>
        <v>almighty</v>
      </c>
    </row>
    <row r="28901">
      <c r="A28901" s="1" t="s">
        <v>28900</v>
      </c>
      <c r="B28901" s="2" t="str">
        <f>IFERROR(__xludf.DUMMYFUNCTION("GOOGLETRANSLATE(A28901, ""de"", ""en"")"),"stinky")</f>
        <v>stinky</v>
      </c>
    </row>
    <row r="28902">
      <c r="A28902" s="1" t="s">
        <v>28901</v>
      </c>
      <c r="B28902" s="2" t="str">
        <f>IFERROR(__xludf.DUMMYFUNCTION("GOOGLETRANSLATE(A28902, ""de"", ""en"")"),"Libya")</f>
        <v>Libya</v>
      </c>
    </row>
    <row r="28903">
      <c r="A28903" s="1" t="s">
        <v>28902</v>
      </c>
      <c r="B28903" s="2" t="str">
        <f>IFERROR(__xludf.DUMMYFUNCTION("GOOGLETRANSLATE(A28903, ""de"", ""en"")"),"gases")</f>
        <v>gases</v>
      </c>
    </row>
    <row r="28904">
      <c r="A28904" s="1" t="s">
        <v>28903</v>
      </c>
      <c r="B28904" s="2" t="str">
        <f>IFERROR(__xludf.DUMMYFUNCTION("GOOGLETRANSLATE(A28904, ""de"", ""en"")"),"beep")</f>
        <v>beep</v>
      </c>
    </row>
    <row r="28905">
      <c r="A28905" s="1" t="s">
        <v>28904</v>
      </c>
      <c r="B28905" s="2" t="str">
        <f>IFERROR(__xludf.DUMMYFUNCTION("GOOGLETRANSLATE(A28905, ""de"", ""en"")"),"bryson")</f>
        <v>bryson</v>
      </c>
    </row>
    <row r="28906">
      <c r="A28906" s="1" t="s">
        <v>28905</v>
      </c>
      <c r="B28906" s="2" t="str">
        <f>IFERROR(__xludf.DUMMYFUNCTION("GOOGLETRANSLATE(A28906, ""de"", ""en"")"),"dicky")</f>
        <v>dicky</v>
      </c>
    </row>
    <row r="28907">
      <c r="A28907" s="1" t="s">
        <v>28906</v>
      </c>
      <c r="B28907" s="2" t="str">
        <f>IFERROR(__xludf.DUMMYFUNCTION("GOOGLETRANSLATE(A28907, ""de"", ""en"")"),"kwai")</f>
        <v>kwai</v>
      </c>
    </row>
    <row r="28908">
      <c r="A28908" s="1" t="s">
        <v>28907</v>
      </c>
      <c r="B28908" s="2" t="str">
        <f>IFERROR(__xludf.DUMMYFUNCTION("GOOGLETRANSLATE(A28908, ""de"", ""en"")"),"scalp")</f>
        <v>scalp</v>
      </c>
    </row>
    <row r="28909">
      <c r="A28909" s="1" t="s">
        <v>28908</v>
      </c>
      <c r="B28909" s="2" t="str">
        <f>IFERROR(__xludf.DUMMYFUNCTION("GOOGLETRANSLATE(A28909, ""de"", ""en"")"),"breathed")</f>
        <v>breathed</v>
      </c>
    </row>
    <row r="28910">
      <c r="A28910" s="1" t="s">
        <v>28909</v>
      </c>
      <c r="B28910" s="2" t="str">
        <f>IFERROR(__xludf.DUMMYFUNCTION("GOOGLETRANSLATE(A28910, ""de"", ""en"")"),"conservation")</f>
        <v>conservation</v>
      </c>
    </row>
    <row r="28911">
      <c r="A28911" s="1" t="s">
        <v>28910</v>
      </c>
      <c r="B28911" s="2" t="str">
        <f>IFERROR(__xludf.DUMMYFUNCTION("GOOGLETRANSLATE(A28911, ""de"", ""en"")"),"flowing")</f>
        <v>flowing</v>
      </c>
    </row>
    <row r="28912">
      <c r="A28912" s="1" t="s">
        <v>28911</v>
      </c>
      <c r="B28912" s="2" t="str">
        <f>IFERROR(__xludf.DUMMYFUNCTION("GOOGLETRANSLATE(A28912, ""de"", ""en"")"),"trunk")</f>
        <v>trunk</v>
      </c>
    </row>
    <row r="28913">
      <c r="A28913" s="1" t="s">
        <v>28912</v>
      </c>
      <c r="B28913" s="2" t="str">
        <f>IFERROR(__xludf.DUMMYFUNCTION("GOOGLETRANSLATE(A28913, ""de"", ""en"")"),"merged")</f>
        <v>merged</v>
      </c>
    </row>
    <row r="28914">
      <c r="A28914" s="1" t="s">
        <v>28913</v>
      </c>
      <c r="B28914" s="2" t="str">
        <f>IFERROR(__xludf.DUMMYFUNCTION("GOOGLETRANSLATE(A28914, ""de"", ""en"")"),"South Korea")</f>
        <v>South Korea</v>
      </c>
    </row>
    <row r="28915">
      <c r="A28915" s="1" t="s">
        <v>28914</v>
      </c>
      <c r="B28915" s="2" t="str">
        <f>IFERROR(__xludf.DUMMYFUNCTION("GOOGLETRANSLATE(A28915, ""de"", ""en"")"),"bat")</f>
        <v>bat</v>
      </c>
    </row>
    <row r="28916">
      <c r="A28916" s="1" t="s">
        <v>28915</v>
      </c>
      <c r="B28916" s="2" t="str">
        <f>IFERROR(__xludf.DUMMYFUNCTION("GOOGLETRANSLATE(A28916, ""de"", ""en"")"),"none")</f>
        <v>none</v>
      </c>
    </row>
    <row r="28917">
      <c r="A28917" s="1" t="s">
        <v>28916</v>
      </c>
      <c r="B28917" s="2" t="str">
        <f>IFERROR(__xludf.DUMMYFUNCTION("GOOGLETRANSLATE(A28917, ""de"", ""en"")"),"farik")</f>
        <v>farik</v>
      </c>
    </row>
    <row r="28918">
      <c r="A28918" s="1" t="s">
        <v>28917</v>
      </c>
      <c r="B28918" s="2" t="str">
        <f>IFERROR(__xludf.DUMMYFUNCTION("GOOGLETRANSLATE(A28918, ""de"", ""en"")"),"parents evening")</f>
        <v>parents evening</v>
      </c>
    </row>
    <row r="28919">
      <c r="A28919" s="1" t="s">
        <v>28918</v>
      </c>
      <c r="B28919" s="2" t="str">
        <f>IFERROR(__xludf.DUMMYFUNCTION("GOOGLETRANSLATE(A28919, ""de"", ""en"")"),"sissy")</f>
        <v>sissy</v>
      </c>
    </row>
    <row r="28920">
      <c r="A28920" s="1" t="s">
        <v>28919</v>
      </c>
      <c r="B28920" s="2" t="str">
        <f>IFERROR(__xludf.DUMMYFUNCTION("GOOGLETRANSLATE(A28920, ""de"", ""en"")"),"tree")</f>
        <v>tree</v>
      </c>
    </row>
    <row r="28921">
      <c r="A28921" s="1" t="s">
        <v>28920</v>
      </c>
      <c r="B28921" s="2" t="str">
        <f>IFERROR(__xludf.DUMMYFUNCTION("GOOGLETRANSLATE(A28921, ""de"", ""en"")"),"for centuries")</f>
        <v>for centuries</v>
      </c>
    </row>
    <row r="28922">
      <c r="A28922" s="1" t="s">
        <v>28921</v>
      </c>
      <c r="B28922" s="2" t="str">
        <f>IFERROR(__xludf.DUMMYFUNCTION("GOOGLETRANSLATE(A28922, ""de"", ""en"")"),"dawes")</f>
        <v>dawes</v>
      </c>
    </row>
    <row r="28923">
      <c r="A28923" s="1" t="s">
        <v>28922</v>
      </c>
      <c r="B28923" s="2" t="str">
        <f>IFERROR(__xludf.DUMMYFUNCTION("GOOGLETRANSLATE(A28923, ""de"", ""en"")"),"reluctantly")</f>
        <v>reluctantly</v>
      </c>
    </row>
    <row r="28924">
      <c r="A28924" s="1" t="s">
        <v>28923</v>
      </c>
      <c r="B28924" s="2" t="str">
        <f>IFERROR(__xludf.DUMMYFUNCTION("GOOGLETRANSLATE(A28924, ""de"", ""en"")"),"negligence")</f>
        <v>negligence</v>
      </c>
    </row>
    <row r="28925">
      <c r="A28925" s="1" t="s">
        <v>28924</v>
      </c>
      <c r="B28925" s="2" t="str">
        <f>IFERROR(__xludf.DUMMYFUNCTION("GOOGLETRANSLATE(A28925, ""de"", ""en"")"),"sole")</f>
        <v>sole</v>
      </c>
    </row>
    <row r="28926">
      <c r="A28926" s="1" t="s">
        <v>28925</v>
      </c>
      <c r="B28926" s="2" t="str">
        <f>IFERROR(__xludf.DUMMYFUNCTION("GOOGLETRANSLATE(A28926, ""de"", ""en"")"),"albino")</f>
        <v>albino</v>
      </c>
    </row>
    <row r="28927">
      <c r="A28927" s="1" t="s">
        <v>28926</v>
      </c>
      <c r="B28927" s="2" t="str">
        <f>IFERROR(__xludf.DUMMYFUNCTION("GOOGLETRANSLATE(A28927, ""de"", ""en"")"),"stubborn")</f>
        <v>stubborn</v>
      </c>
    </row>
    <row r="28928">
      <c r="A28928" s="1" t="s">
        <v>28927</v>
      </c>
      <c r="B28928" s="2" t="str">
        <f>IFERROR(__xludf.DUMMYFUNCTION("GOOGLETRANSLATE(A28928, ""de"", ""en"")"),"give along")</f>
        <v>give along</v>
      </c>
    </row>
    <row r="28929">
      <c r="A28929" s="1" t="s">
        <v>28928</v>
      </c>
      <c r="B28929" s="2" t="str">
        <f>IFERROR(__xludf.DUMMYFUNCTION("GOOGLETRANSLATE(A28929, ""de"", ""en"")"),"servants")</f>
        <v>servants</v>
      </c>
    </row>
    <row r="28930">
      <c r="A28930" s="1" t="s">
        <v>28929</v>
      </c>
      <c r="B28930" s="2" t="str">
        <f>IFERROR(__xludf.DUMMYFUNCTION("GOOGLETRANSLATE(A28930, ""de"", ""en"")"),"funny")</f>
        <v>funny</v>
      </c>
    </row>
    <row r="28931">
      <c r="A28931" s="1" t="s">
        <v>28930</v>
      </c>
      <c r="B28931" s="2" t="str">
        <f>IFERROR(__xludf.DUMMYFUNCTION("GOOGLETRANSLATE(A28931, ""de"", ""en"")"),"to wash clean")</f>
        <v>to wash clean</v>
      </c>
    </row>
    <row r="28932">
      <c r="A28932" s="1" t="s">
        <v>28931</v>
      </c>
      <c r="B28932" s="2" t="str">
        <f>IFERROR(__xludf.DUMMYFUNCTION("GOOGLETRANSLATE(A28932, ""de"", ""en"")"),"to get over")</f>
        <v>to get over</v>
      </c>
    </row>
    <row r="28933">
      <c r="A28933" s="1" t="s">
        <v>28932</v>
      </c>
      <c r="B28933" s="2" t="str">
        <f>IFERROR(__xludf.DUMMYFUNCTION("GOOGLETRANSLATE(A28933, ""de"", ""en"")"),"failure")</f>
        <v>failure</v>
      </c>
    </row>
    <row r="28934">
      <c r="A28934" s="1" t="s">
        <v>28933</v>
      </c>
      <c r="B28934" s="2" t="str">
        <f>IFERROR(__xludf.DUMMYFUNCTION("GOOGLETRANSLATE(A28934, ""de"", ""en"")"),"fun stopper")</f>
        <v>fun stopper</v>
      </c>
    </row>
    <row r="28935">
      <c r="A28935" s="1" t="s">
        <v>28934</v>
      </c>
      <c r="B28935" s="2" t="str">
        <f>IFERROR(__xludf.DUMMYFUNCTION("GOOGLETRANSLATE(A28935, ""de"", ""en"")"),"equaled")</f>
        <v>equaled</v>
      </c>
    </row>
    <row r="28936">
      <c r="A28936" s="1" t="s">
        <v>28935</v>
      </c>
      <c r="B28936" s="2" t="str">
        <f>IFERROR(__xludf.DUMMYFUNCTION("GOOGLETRANSLATE(A28936, ""de"", ""en"")"),"complication")</f>
        <v>complication</v>
      </c>
    </row>
    <row r="28937">
      <c r="A28937" s="1" t="s">
        <v>28936</v>
      </c>
      <c r="B28937" s="2" t="str">
        <f>IFERROR(__xludf.DUMMYFUNCTION("GOOGLETRANSLATE(A28937, ""de"", ""en"")"),"spade")</f>
        <v>spade</v>
      </c>
    </row>
    <row r="28938">
      <c r="A28938" s="1" t="s">
        <v>28937</v>
      </c>
      <c r="B28938" s="2" t="str">
        <f>IFERROR(__xludf.DUMMYFUNCTION("GOOGLETRANSLATE(A28938, ""de"", ""en"")"),"loan shark")</f>
        <v>loan shark</v>
      </c>
    </row>
    <row r="28939">
      <c r="A28939" s="1" t="s">
        <v>28938</v>
      </c>
      <c r="B28939" s="2" t="str">
        <f>IFERROR(__xludf.DUMMYFUNCTION("GOOGLETRANSLATE(A28939, ""de"", ""en"")"),"more distant")</f>
        <v>more distant</v>
      </c>
    </row>
    <row r="28940">
      <c r="A28940" s="1" t="s">
        <v>28939</v>
      </c>
      <c r="B28940" s="2" t="str">
        <f>IFERROR(__xludf.DUMMYFUNCTION("GOOGLETRANSLATE(A28940, ""de"", ""en"")"),"direct")</f>
        <v>direct</v>
      </c>
    </row>
    <row r="28941">
      <c r="A28941" s="1" t="s">
        <v>28940</v>
      </c>
      <c r="B28941" s="2" t="str">
        <f>IFERROR(__xludf.DUMMYFUNCTION("GOOGLETRANSLATE(A28941, ""de"", ""en"")"),"cave")</f>
        <v>cave</v>
      </c>
    </row>
    <row r="28942">
      <c r="A28942" s="1" t="s">
        <v>28941</v>
      </c>
      <c r="B28942" s="2" t="str">
        <f>IFERROR(__xludf.DUMMYFUNCTION("GOOGLETRANSLATE(A28942, ""de"", ""en"")"),"refuse")</f>
        <v>refuse</v>
      </c>
    </row>
    <row r="28943">
      <c r="A28943" s="1" t="s">
        <v>28942</v>
      </c>
      <c r="B28943" s="2" t="str">
        <f>IFERROR(__xludf.DUMMYFUNCTION("GOOGLETRANSLATE(A28943, ""de"", ""en"")"),"farm")</f>
        <v>farm</v>
      </c>
    </row>
    <row r="28944">
      <c r="A28944" s="1" t="s">
        <v>28943</v>
      </c>
      <c r="B28944" s="2" t="str">
        <f>IFERROR(__xludf.DUMMYFUNCTION("GOOGLETRANSLATE(A28944, ""de"", ""en"")"),"intimidation")</f>
        <v>intimidation</v>
      </c>
    </row>
    <row r="28945">
      <c r="A28945" s="1" t="s">
        <v>28944</v>
      </c>
      <c r="B28945" s="2" t="str">
        <f>IFERROR(__xludf.DUMMYFUNCTION("GOOGLETRANSLATE(A28945, ""de"", ""en"")"),"warpath")</f>
        <v>warpath</v>
      </c>
    </row>
    <row r="28946">
      <c r="A28946" s="1" t="s">
        <v>28945</v>
      </c>
      <c r="B28946" s="2" t="str">
        <f>IFERROR(__xludf.DUMMYFUNCTION("GOOGLETRANSLATE(A28946, ""de"", ""en"")"),"closed")</f>
        <v>closed</v>
      </c>
    </row>
    <row r="28947">
      <c r="A28947" s="1" t="s">
        <v>28946</v>
      </c>
      <c r="B28947" s="2" t="str">
        <f>IFERROR(__xludf.DUMMYFUNCTION("GOOGLETRANSLATE(A28947, ""de"", ""en"")"),"unborn")</f>
        <v>unborn</v>
      </c>
    </row>
    <row r="28948">
      <c r="A28948" s="1" t="s">
        <v>28947</v>
      </c>
      <c r="B28948" s="2" t="str">
        <f>IFERROR(__xludf.DUMMYFUNCTION("GOOGLETRANSLATE(A28948, ""de"", ""en"")"),"shaky")</f>
        <v>shaky</v>
      </c>
    </row>
    <row r="28949">
      <c r="A28949" s="1" t="s">
        <v>28948</v>
      </c>
      <c r="B28949" s="2" t="str">
        <f>IFERROR(__xludf.DUMMYFUNCTION("GOOGLETRANSLATE(A28949, ""de"", ""en"")"),"chapo")</f>
        <v>chapo</v>
      </c>
    </row>
    <row r="28950">
      <c r="A28950" s="1" t="s">
        <v>28949</v>
      </c>
      <c r="B28950" s="2" t="str">
        <f>IFERROR(__xludf.DUMMYFUNCTION("GOOGLETRANSLATE(A28950, ""de"", ""en"")"),"sledgehammer")</f>
        <v>sledgehammer</v>
      </c>
    </row>
    <row r="28951">
      <c r="A28951" s="1" t="s">
        <v>28950</v>
      </c>
      <c r="B28951" s="2" t="str">
        <f>IFERROR(__xludf.DUMMYFUNCTION("GOOGLETRANSLATE(A28951, ""de"", ""en"")"),"shoot")</f>
        <v>shoot</v>
      </c>
    </row>
    <row r="28952">
      <c r="A28952" s="1" t="s">
        <v>28951</v>
      </c>
      <c r="B28952" s="2" t="str">
        <f>IFERROR(__xludf.DUMMYFUNCTION("GOOGLETRANSLATE(A28952, ""de"", ""en"")"),"embarrassment")</f>
        <v>embarrassment</v>
      </c>
    </row>
    <row r="28953">
      <c r="A28953" s="1" t="s">
        <v>28952</v>
      </c>
      <c r="B28953" s="2" t="str">
        <f>IFERROR(__xludf.DUMMYFUNCTION("GOOGLETRANSLATE(A28953, ""de"", ""en"")"),"otaru-sama")</f>
        <v>otaru-sama</v>
      </c>
    </row>
    <row r="28954">
      <c r="A28954" s="1" t="s">
        <v>28953</v>
      </c>
      <c r="B28954" s="2" t="str">
        <f>IFERROR(__xludf.DUMMYFUNCTION("GOOGLETRANSLATE(A28954, ""de"", ""en"")"),"factual")</f>
        <v>factual</v>
      </c>
    </row>
    <row r="28955">
      <c r="A28955" s="1" t="s">
        <v>28954</v>
      </c>
      <c r="B28955" s="2" t="str">
        <f>IFERROR(__xludf.DUMMYFUNCTION("GOOGLETRANSLATE(A28955, ""de"", ""en"")"),"notice")</f>
        <v>notice</v>
      </c>
    </row>
    <row r="28956">
      <c r="A28956" s="1" t="s">
        <v>28955</v>
      </c>
      <c r="B28956" s="2" t="str">
        <f>IFERROR(__xludf.DUMMYFUNCTION("GOOGLETRANSLATE(A28956, ""de"", ""en"")"),"broken")</f>
        <v>broken</v>
      </c>
    </row>
    <row r="28957">
      <c r="A28957" s="1" t="s">
        <v>28956</v>
      </c>
      <c r="B28957" s="2" t="str">
        <f>IFERROR(__xludf.DUMMYFUNCTION("GOOGLETRANSLATE(A28957, ""de"", ""en"")"),"Geez")</f>
        <v>Geez</v>
      </c>
    </row>
    <row r="28958">
      <c r="A28958" s="1" t="s">
        <v>28957</v>
      </c>
      <c r="B28958" s="2" t="str">
        <f>IFERROR(__xludf.DUMMYFUNCTION("GOOGLETRANSLATE(A28958, ""de"", ""en"")"),"more hostile")</f>
        <v>more hostile</v>
      </c>
    </row>
    <row r="28959">
      <c r="A28959" s="1" t="s">
        <v>28958</v>
      </c>
      <c r="B28959" s="2" t="str">
        <f>IFERROR(__xludf.DUMMYFUNCTION("GOOGLETRANSLATE(A28959, ""de"", ""en"")"),"Vietnamese")</f>
        <v>Vietnamese</v>
      </c>
    </row>
    <row r="28960">
      <c r="A28960" s="1" t="s">
        <v>28959</v>
      </c>
      <c r="B28960" s="2" t="str">
        <f>IFERROR(__xludf.DUMMYFUNCTION("GOOGLETRANSLATE(A28960, ""de"", ""en"")"),"iceman")</f>
        <v>iceman</v>
      </c>
    </row>
    <row r="28961">
      <c r="A28961" s="1" t="s">
        <v>28960</v>
      </c>
      <c r="B28961" s="2" t="str">
        <f>IFERROR(__xludf.DUMMYFUNCTION("GOOGLETRANSLATE(A28961, ""de"", ""en"")"),"neater")</f>
        <v>neater</v>
      </c>
    </row>
    <row r="28962">
      <c r="A28962" s="1" t="s">
        <v>28961</v>
      </c>
      <c r="B28962" s="2" t="str">
        <f>IFERROR(__xludf.DUMMYFUNCTION("GOOGLETRANSLATE(A28962, ""de"", ""en"")"),"ours")</f>
        <v>ours</v>
      </c>
    </row>
    <row r="28963">
      <c r="A28963" s="1" t="s">
        <v>28962</v>
      </c>
      <c r="B28963" s="2" t="str">
        <f>IFERROR(__xludf.DUMMYFUNCTION("GOOGLETRANSLATE(A28963, ""de"", ""en"")"),"labor camp")</f>
        <v>labor camp</v>
      </c>
    </row>
    <row r="28964">
      <c r="A28964" s="1" t="s">
        <v>28963</v>
      </c>
      <c r="B28964" s="2" t="str">
        <f>IFERROR(__xludf.DUMMYFUNCTION("GOOGLETRANSLATE(A28964, ""de"", ""en"")"),"Heath")</f>
        <v>Heath</v>
      </c>
    </row>
    <row r="28965">
      <c r="A28965" s="1" t="s">
        <v>28964</v>
      </c>
      <c r="B28965" s="2" t="str">
        <f>IFERROR(__xludf.DUMMYFUNCTION("GOOGLETRANSLATE(A28965, ""de"", ""en"")"),"goulash")</f>
        <v>goulash</v>
      </c>
    </row>
    <row r="28966">
      <c r="A28966" s="1" t="s">
        <v>28965</v>
      </c>
      <c r="B28966" s="2" t="str">
        <f>IFERROR(__xludf.DUMMYFUNCTION("GOOGLETRANSLATE(A28966, ""de"", ""en"")"),"women's room")</f>
        <v>women's room</v>
      </c>
    </row>
    <row r="28967">
      <c r="A28967" s="1" t="s">
        <v>28966</v>
      </c>
      <c r="B28967" s="2" t="str">
        <f>IFERROR(__xludf.DUMMYFUNCTION("GOOGLETRANSLATE(A28967, ""de"", ""en"")"),"Netflix original series")</f>
        <v>Netflix original series</v>
      </c>
    </row>
    <row r="28968">
      <c r="A28968" s="1" t="s">
        <v>28967</v>
      </c>
      <c r="B28968" s="2" t="str">
        <f>IFERROR(__xludf.DUMMYFUNCTION("GOOGLETRANSLATE(A28968, ""de"", ""en"")"),"arnaud")</f>
        <v>arnaud</v>
      </c>
    </row>
    <row r="28969">
      <c r="A28969" s="1" t="s">
        <v>28968</v>
      </c>
      <c r="B28969" s="2" t="str">
        <f>IFERROR(__xludf.DUMMYFUNCTION("GOOGLETRANSLATE(A28969, ""de"", ""en"")"),"tap")</f>
        <v>tap</v>
      </c>
    </row>
    <row r="28970">
      <c r="A28970" s="1" t="s">
        <v>28969</v>
      </c>
      <c r="B28970" s="2" t="str">
        <f>IFERROR(__xludf.DUMMYFUNCTION("GOOGLETRANSLATE(A28970, ""de"", ""en"")"),"Romanian")</f>
        <v>Romanian</v>
      </c>
    </row>
    <row r="28971">
      <c r="A28971" s="1" t="s">
        <v>28970</v>
      </c>
      <c r="B28971" s="2" t="str">
        <f>IFERROR(__xludf.DUMMYFUNCTION("GOOGLETRANSLATE(A28971, ""de"", ""en"")"),"more elegant")</f>
        <v>more elegant</v>
      </c>
    </row>
    <row r="28972">
      <c r="A28972" s="1" t="s">
        <v>28971</v>
      </c>
      <c r="B28972" s="2" t="str">
        <f>IFERROR(__xludf.DUMMYFUNCTION("GOOGLETRANSLATE(A28972, ""de"", ""en"")"),"intoxicating")</f>
        <v>intoxicating</v>
      </c>
    </row>
    <row r="28973">
      <c r="A28973" s="1" t="s">
        <v>28972</v>
      </c>
      <c r="B28973" s="2" t="str">
        <f>IFERROR(__xludf.DUMMYFUNCTION("GOOGLETRANSLATE(A28973, ""de"", ""en"")"),"murat")</f>
        <v>murat</v>
      </c>
    </row>
    <row r="28974">
      <c r="A28974" s="1" t="s">
        <v>28973</v>
      </c>
      <c r="B28974" s="2" t="str">
        <f>IFERROR(__xludf.DUMMYFUNCTION("GOOGLETRANSLATE(A28974, ""de"", ""en"")"),"engraved")</f>
        <v>engraved</v>
      </c>
    </row>
    <row r="28975">
      <c r="A28975" s="1" t="s">
        <v>28974</v>
      </c>
      <c r="B28975" s="2" t="str">
        <f>IFERROR(__xludf.DUMMYFUNCTION("GOOGLETRANSLATE(A28975, ""de"", ""en"")"),"toolbox")</f>
        <v>toolbox</v>
      </c>
    </row>
    <row r="28976">
      <c r="A28976" s="1" t="s">
        <v>28975</v>
      </c>
      <c r="B28976" s="2" t="str">
        <f>IFERROR(__xludf.DUMMYFUNCTION("GOOGLETRANSLATE(A28976, ""de"", ""en"")"),"refuel")</f>
        <v>refuel</v>
      </c>
    </row>
    <row r="28977">
      <c r="A28977" s="1" t="s">
        <v>28976</v>
      </c>
      <c r="B28977" s="2" t="str">
        <f>IFERROR(__xludf.DUMMYFUNCTION("GOOGLETRANSLATE(A28977, ""de"", ""en"")"),"predetermined")</f>
        <v>predetermined</v>
      </c>
    </row>
    <row r="28978">
      <c r="A28978" s="1" t="s">
        <v>28977</v>
      </c>
      <c r="B28978" s="2" t="str">
        <f>IFERROR(__xludf.DUMMYFUNCTION("GOOGLETRANSLATE(A28978, ""de"", ""en"")"),"sit")</f>
        <v>sit</v>
      </c>
    </row>
    <row r="28979">
      <c r="A28979" s="1" t="s">
        <v>28978</v>
      </c>
      <c r="B28979" s="2" t="str">
        <f>IFERROR(__xludf.DUMMYFUNCTION("GOOGLETRANSLATE(A28979, ""de"", ""en"")"),"nim")</f>
        <v>nim</v>
      </c>
    </row>
    <row r="28980">
      <c r="A28980" s="1" t="s">
        <v>28979</v>
      </c>
      <c r="B28980" s="2" t="str">
        <f>IFERROR(__xludf.DUMMYFUNCTION("GOOGLETRANSLATE(A28980, ""de"", ""en"")"),"invent")</f>
        <v>invent</v>
      </c>
    </row>
    <row r="28981">
      <c r="A28981" s="1" t="s">
        <v>28980</v>
      </c>
      <c r="B28981" s="2" t="str">
        <f>IFERROR(__xludf.DUMMYFUNCTION("GOOGLETRANSLATE(A28981, ""de"", ""en"")"),"ogami")</f>
        <v>ogami</v>
      </c>
    </row>
    <row r="28982">
      <c r="A28982" s="1" t="s">
        <v>28981</v>
      </c>
      <c r="B28982" s="2" t="str">
        <f>IFERROR(__xludf.DUMMYFUNCTION("GOOGLETRANSLATE(A28982, ""de"", ""en"")"),"Haynes")</f>
        <v>Haynes</v>
      </c>
    </row>
    <row r="28983">
      <c r="A28983" s="1" t="s">
        <v>28982</v>
      </c>
      <c r="B28983" s="2" t="str">
        <f>IFERROR(__xludf.DUMMYFUNCTION("GOOGLETRANSLATE(A28983, ""de"", ""en"")"),"gungellan")</f>
        <v>gungellan</v>
      </c>
    </row>
    <row r="28984">
      <c r="A28984" s="1" t="s">
        <v>28983</v>
      </c>
      <c r="B28984" s="2" t="str">
        <f>IFERROR(__xludf.DUMMYFUNCTION("GOOGLETRANSLATE(A28984, ""de"", ""en"")"),"accomplish")</f>
        <v>accomplish</v>
      </c>
    </row>
    <row r="28985">
      <c r="A28985" s="1" t="s">
        <v>28984</v>
      </c>
      <c r="B28985" s="2" t="str">
        <f>IFERROR(__xludf.DUMMYFUNCTION("GOOGLETRANSLATE(A28985, ""de"", ""en"")"),"power grid")</f>
        <v>power grid</v>
      </c>
    </row>
    <row r="28986">
      <c r="A28986" s="1" t="s">
        <v>28985</v>
      </c>
      <c r="B28986" s="2" t="str">
        <f>IFERROR(__xludf.DUMMYFUNCTION("GOOGLETRANSLATE(A28986, ""de"", ""en"")"),"hartman")</f>
        <v>hartman</v>
      </c>
    </row>
    <row r="28987">
      <c r="A28987" s="1" t="s">
        <v>28986</v>
      </c>
      <c r="B28987" s="2" t="str">
        <f>IFERROR(__xludf.DUMMYFUNCTION("GOOGLETRANSLATE(A28987, ""de"", ""en"")"),"trainer")</f>
        <v>trainer</v>
      </c>
    </row>
    <row r="28988">
      <c r="A28988" s="1" t="s">
        <v>28987</v>
      </c>
      <c r="B28988" s="2" t="str">
        <f>IFERROR(__xludf.DUMMYFUNCTION("GOOGLETRANSLATE(A28988, ""de"", ""en"")"),"functioning")</f>
        <v>functioning</v>
      </c>
    </row>
    <row r="28989">
      <c r="A28989" s="1" t="s">
        <v>28988</v>
      </c>
      <c r="B28989" s="2" t="str">
        <f>IFERROR(__xludf.DUMMYFUNCTION("GOOGLETRANSLATE(A28989, ""de"", ""en"")"),"incorrigible")</f>
        <v>incorrigible</v>
      </c>
    </row>
    <row r="28990">
      <c r="A28990" s="1" t="s">
        <v>28989</v>
      </c>
      <c r="B28990" s="2" t="str">
        <f>IFERROR(__xludf.DUMMYFUNCTION("GOOGLETRANSLATE(A28990, ""de"", ""en"")"),"receipt")</f>
        <v>receipt</v>
      </c>
    </row>
    <row r="28991">
      <c r="A28991" s="1" t="s">
        <v>28990</v>
      </c>
      <c r="B28991" s="2" t="str">
        <f>IFERROR(__xludf.DUMMYFUNCTION("GOOGLETRANSLATE(A28991, ""de"", ""en"")"),"seamstress")</f>
        <v>seamstress</v>
      </c>
    </row>
    <row r="28992">
      <c r="A28992" s="1" t="s">
        <v>28991</v>
      </c>
      <c r="B28992" s="2" t="str">
        <f>IFERROR(__xludf.DUMMYFUNCTION("GOOGLETRANSLATE(A28992, ""de"", ""en"")"),"Serbia")</f>
        <v>Serbia</v>
      </c>
    </row>
    <row r="28993">
      <c r="A28993" s="1" t="s">
        <v>28992</v>
      </c>
      <c r="B28993" s="2" t="str">
        <f>IFERROR(__xludf.DUMMYFUNCTION("GOOGLETRANSLATE(A28993, ""de"", ""en"")"),"more blatant")</f>
        <v>more blatant</v>
      </c>
    </row>
    <row r="28994">
      <c r="A28994" s="1" t="s">
        <v>28993</v>
      </c>
      <c r="B28994" s="2" t="str">
        <f>IFERROR(__xludf.DUMMYFUNCTION("GOOGLETRANSLATE(A28994, ""de"", ""en"")"),"gynecologist")</f>
        <v>gynecologist</v>
      </c>
    </row>
    <row r="28995">
      <c r="A28995" s="1" t="s">
        <v>28994</v>
      </c>
      <c r="B28995" s="2" t="str">
        <f>IFERROR(__xludf.DUMMYFUNCTION("GOOGLETRANSLATE(A28995, ""de"", ""en"")"),"experimental")</f>
        <v>experimental</v>
      </c>
    </row>
    <row r="28996">
      <c r="A28996" s="1" t="s">
        <v>28995</v>
      </c>
      <c r="B28996" s="2" t="str">
        <f>IFERROR(__xludf.DUMMYFUNCTION("GOOGLETRANSLATE(A28996, ""de"", ""en"")"),"it's okay")</f>
        <v>it's okay</v>
      </c>
    </row>
    <row r="28997">
      <c r="A28997" s="1" t="s">
        <v>28996</v>
      </c>
      <c r="B28997" s="2" t="str">
        <f>IFERROR(__xludf.DUMMYFUNCTION("GOOGLETRANSLATE(A28997, ""de"", ""en"")"),"grinch")</f>
        <v>grinch</v>
      </c>
    </row>
    <row r="28998">
      <c r="A28998" s="1" t="s">
        <v>28997</v>
      </c>
      <c r="B28998" s="2" t="str">
        <f>IFERROR(__xludf.DUMMYFUNCTION("GOOGLETRANSLATE(A28998, ""de"", ""en"")"),"fire escape")</f>
        <v>fire escape</v>
      </c>
    </row>
    <row r="28999">
      <c r="A28999" s="1" t="s">
        <v>28998</v>
      </c>
      <c r="B28999" s="2" t="str">
        <f>IFERROR(__xludf.DUMMYFUNCTION("GOOGLETRANSLATE(A28999, ""de"", ""en"")"),"visual")</f>
        <v>visual</v>
      </c>
    </row>
    <row r="29000">
      <c r="A29000" s="1" t="s">
        <v>28999</v>
      </c>
      <c r="B29000" s="2" t="str">
        <f>IFERROR(__xludf.DUMMYFUNCTION("GOOGLETRANSLATE(A29000, ""de"", ""en"")"),"kobe")</f>
        <v>kobe</v>
      </c>
    </row>
    <row r="29001">
      <c r="A29001" s="1" t="s">
        <v>29000</v>
      </c>
      <c r="B29001" s="2" t="str">
        <f>IFERROR(__xludf.DUMMYFUNCTION("GOOGLETRANSLATE(A29001, ""de"", ""en"")"),"exploded")</f>
        <v>exploded</v>
      </c>
    </row>
    <row r="29002">
      <c r="A29002" s="1" t="s">
        <v>29001</v>
      </c>
      <c r="B29002" s="2" t="str">
        <f>IFERROR(__xludf.DUMMYFUNCTION("GOOGLETRANSLATE(A29002, ""de"", ""en"")"),"wrestler")</f>
        <v>wrestler</v>
      </c>
    </row>
    <row r="29003">
      <c r="A29003" s="1" t="s">
        <v>29002</v>
      </c>
      <c r="B29003" s="2" t="str">
        <f>IFERROR(__xludf.DUMMYFUNCTION("GOOGLETRANSLATE(A29003, ""de"", ""en"")"),"drove over")</f>
        <v>drove over</v>
      </c>
    </row>
    <row r="29004">
      <c r="A29004" s="1" t="s">
        <v>29003</v>
      </c>
      <c r="B29004" s="2" t="str">
        <f>IFERROR(__xludf.DUMMYFUNCTION("GOOGLETRANSLATE(A29004, ""de"", ""en"")"),"krauts")</f>
        <v>krauts</v>
      </c>
    </row>
    <row r="29005">
      <c r="A29005" s="1" t="s">
        <v>29004</v>
      </c>
      <c r="B29005" s="2" t="str">
        <f>IFERROR(__xludf.DUMMYFUNCTION("GOOGLETRANSLATE(A29005, ""de"", ""en"")"),"supernatural")</f>
        <v>supernatural</v>
      </c>
    </row>
    <row r="29006">
      <c r="A29006" s="1" t="s">
        <v>29005</v>
      </c>
      <c r="B29006" s="2" t="str">
        <f>IFERROR(__xludf.DUMMYFUNCTION("GOOGLETRANSLATE(A29006, ""de"", ""en"")"),"account balance")</f>
        <v>account balance</v>
      </c>
    </row>
    <row r="29007">
      <c r="A29007" s="1" t="s">
        <v>29006</v>
      </c>
      <c r="B29007" s="2" t="str">
        <f>IFERROR(__xludf.DUMMYFUNCTION("GOOGLETRANSLATE(A29007, ""de"", ""en"")"),"axe")</f>
        <v>axe</v>
      </c>
    </row>
    <row r="29008">
      <c r="A29008" s="1" t="s">
        <v>29007</v>
      </c>
      <c r="B29008" s="2" t="str">
        <f>IFERROR(__xludf.DUMMYFUNCTION("GOOGLETRANSLATE(A29008, ""de"", ""en"")"),"persistently")</f>
        <v>persistently</v>
      </c>
    </row>
    <row r="29009">
      <c r="A29009" s="1" t="s">
        <v>29008</v>
      </c>
      <c r="B29009" s="2" t="str">
        <f>IFERROR(__xludf.DUMMYFUNCTION("GOOGLETRANSLATE(A29009, ""de"", ""en"")"),"spirit")</f>
        <v>spirit</v>
      </c>
    </row>
    <row r="29010">
      <c r="A29010" s="1" t="s">
        <v>29009</v>
      </c>
      <c r="B29010" s="2" t="str">
        <f>IFERROR(__xludf.DUMMYFUNCTION("GOOGLETRANSLATE(A29010, ""de"", ""en"")"),"effort")</f>
        <v>effort</v>
      </c>
    </row>
    <row r="29011">
      <c r="A29011" s="1" t="s">
        <v>29010</v>
      </c>
      <c r="B29011" s="2" t="str">
        <f>IFERROR(__xludf.DUMMYFUNCTION("GOOGLETRANSLATE(A29011, ""de"", ""en"")"),"overload")</f>
        <v>overload</v>
      </c>
    </row>
    <row r="29012">
      <c r="A29012" s="1" t="s">
        <v>29011</v>
      </c>
      <c r="B29012" s="2" t="str">
        <f>IFERROR(__xludf.DUMMYFUNCTION("GOOGLETRANSLATE(A29012, ""de"", ""en"")"),"coupling")</f>
        <v>coupling</v>
      </c>
    </row>
    <row r="29013">
      <c r="A29013" s="1" t="s">
        <v>29012</v>
      </c>
      <c r="B29013" s="2" t="str">
        <f>IFERROR(__xludf.DUMMYFUNCTION("GOOGLETRANSLATE(A29013, ""de"", ""en"")"),"barrel")</f>
        <v>barrel</v>
      </c>
    </row>
    <row r="29014">
      <c r="A29014" s="1" t="s">
        <v>29013</v>
      </c>
      <c r="B29014" s="2" t="str">
        <f>IFERROR(__xludf.DUMMYFUNCTION("GOOGLETRANSLATE(A29014, ""de"", ""en"")"),"bicker")</f>
        <v>bicker</v>
      </c>
    </row>
    <row r="29015">
      <c r="A29015" s="1" t="s">
        <v>29014</v>
      </c>
      <c r="B29015" s="2" t="str">
        <f>IFERROR(__xludf.DUMMYFUNCTION("GOOGLETRANSLATE(A29015, ""de"", ""en"")"),"minorities")</f>
        <v>minorities</v>
      </c>
    </row>
    <row r="29016">
      <c r="A29016" s="1" t="s">
        <v>29015</v>
      </c>
      <c r="B29016" s="2" t="str">
        <f>IFERROR(__xludf.DUMMYFUNCTION("GOOGLETRANSLATE(A29016, ""de"", ""en"")"),"erase")</f>
        <v>erase</v>
      </c>
    </row>
    <row r="29017">
      <c r="A29017" s="1" t="s">
        <v>29016</v>
      </c>
      <c r="B29017" s="2" t="str">
        <f>IFERROR(__xludf.DUMMYFUNCTION("GOOGLETRANSLATE(A29017, ""de"", ""en"")"),"to read aloud")</f>
        <v>to read aloud</v>
      </c>
    </row>
    <row r="29018">
      <c r="A29018" s="1" t="s">
        <v>29017</v>
      </c>
      <c r="B29018" s="2" t="str">
        <f>IFERROR(__xludf.DUMMYFUNCTION("GOOGLETRANSLATE(A29018, ""de"", ""en"")"),"to call back")</f>
        <v>to call back</v>
      </c>
    </row>
    <row r="29019">
      <c r="A29019" s="1" t="s">
        <v>29018</v>
      </c>
      <c r="B29019" s="2" t="str">
        <f>IFERROR(__xludf.DUMMYFUNCTION("GOOGLETRANSLATE(A29019, ""de"", ""en"")"),"smell")</f>
        <v>smell</v>
      </c>
    </row>
    <row r="29020">
      <c r="A29020" s="1" t="s">
        <v>29019</v>
      </c>
      <c r="B29020" s="2" t="str">
        <f>IFERROR(__xludf.DUMMYFUNCTION("GOOGLETRANSLATE(A29020, ""de"", ""en"")"),"Norrell")</f>
        <v>Norrell</v>
      </c>
    </row>
    <row r="29021">
      <c r="A29021" s="1" t="s">
        <v>29020</v>
      </c>
      <c r="B29021" s="2" t="str">
        <f>IFERROR(__xludf.DUMMYFUNCTION("GOOGLETRANSLATE(A29021, ""de"", ""en"")"),"queenie")</f>
        <v>queenie</v>
      </c>
    </row>
    <row r="29022">
      <c r="A29022" s="1" t="s">
        <v>29021</v>
      </c>
      <c r="B29022" s="2" t="str">
        <f>IFERROR(__xludf.DUMMYFUNCTION("GOOGLETRANSLATE(A29022, ""de"", ""en"")"),"maximus")</f>
        <v>maximus</v>
      </c>
    </row>
    <row r="29023">
      <c r="A29023" s="1" t="s">
        <v>29022</v>
      </c>
      <c r="B29023" s="2" t="str">
        <f>IFERROR(__xludf.DUMMYFUNCTION("GOOGLETRANSLATE(A29023, ""de"", ""en"")"),"lear")</f>
        <v>lear</v>
      </c>
    </row>
    <row r="29024">
      <c r="A29024" s="1" t="s">
        <v>29023</v>
      </c>
      <c r="B29024" s="2" t="str">
        <f>IFERROR(__xludf.DUMMYFUNCTION("GOOGLETRANSLATE(A29024, ""de"", ""en"")"),"Icarus")</f>
        <v>Icarus</v>
      </c>
    </row>
    <row r="29025">
      <c r="A29025" s="1" t="s">
        <v>29024</v>
      </c>
      <c r="B29025" s="2" t="str">
        <f>IFERROR(__xludf.DUMMYFUNCTION("GOOGLETRANSLATE(A29025, ""de"", ""en"")"),"turban")</f>
        <v>turban</v>
      </c>
    </row>
    <row r="29026">
      <c r="A29026" s="1" t="s">
        <v>29025</v>
      </c>
      <c r="B29026" s="2" t="str">
        <f>IFERROR(__xludf.DUMMYFUNCTION("GOOGLETRANSLATE(A29026, ""de"", ""en"")"),"calhoun")</f>
        <v>calhoun</v>
      </c>
    </row>
    <row r="29027">
      <c r="A29027" s="1" t="s">
        <v>29026</v>
      </c>
      <c r="B29027" s="2" t="str">
        <f>IFERROR(__xludf.DUMMYFUNCTION("GOOGLETRANSLATE(A29027, ""de"", ""en"")"),"drug problem")</f>
        <v>drug problem</v>
      </c>
    </row>
    <row r="29028">
      <c r="A29028" s="1" t="s">
        <v>29027</v>
      </c>
      <c r="B29028" s="2" t="str">
        <f>IFERROR(__xludf.DUMMYFUNCTION("GOOGLETRANSLATE(A29028, ""de"", ""en"")"),"bellies")</f>
        <v>bellies</v>
      </c>
    </row>
    <row r="29029">
      <c r="A29029" s="1" t="s">
        <v>29028</v>
      </c>
      <c r="B29029" s="2" t="str">
        <f>IFERROR(__xludf.DUMMYFUNCTION("GOOGLETRANSLATE(A29029, ""de"", ""en"")"),"several")</f>
        <v>several</v>
      </c>
    </row>
    <row r="29030">
      <c r="A29030" s="1" t="s">
        <v>29029</v>
      </c>
      <c r="B29030" s="2" t="str">
        <f>IFERROR(__xludf.DUMMYFUNCTION("GOOGLETRANSLATE(A29030, ""de"", ""en"")"),"parallel")</f>
        <v>parallel</v>
      </c>
    </row>
    <row r="29031">
      <c r="A29031" s="1" t="s">
        <v>29030</v>
      </c>
      <c r="B29031" s="2" t="str">
        <f>IFERROR(__xludf.DUMMYFUNCTION("GOOGLETRANSLATE(A29031, ""de"", ""en"")"),"chilled")</f>
        <v>chilled</v>
      </c>
    </row>
    <row r="29032">
      <c r="A29032" s="1" t="s">
        <v>29031</v>
      </c>
      <c r="B29032" s="2" t="str">
        <f>IFERROR(__xludf.DUMMYFUNCTION("GOOGLETRANSLATE(A29032, ""de"", ""en"")"),"doorbells")</f>
        <v>doorbells</v>
      </c>
    </row>
    <row r="29033">
      <c r="A29033" s="1" t="s">
        <v>29032</v>
      </c>
      <c r="B29033" s="2" t="str">
        <f>IFERROR(__xludf.DUMMYFUNCTION("GOOGLETRANSLATE(A29033, ""de"", ""en"")"),"come in")</f>
        <v>come in</v>
      </c>
    </row>
    <row r="29034">
      <c r="A29034" s="1" t="s">
        <v>29033</v>
      </c>
      <c r="B29034" s="2" t="str">
        <f>IFERROR(__xludf.DUMMYFUNCTION("GOOGLETRANSLATE(A29034, ""de"", ""en"")"),"solved")</f>
        <v>solved</v>
      </c>
    </row>
    <row r="29035">
      <c r="A29035" s="1" t="s">
        <v>29034</v>
      </c>
      <c r="B29035" s="2" t="str">
        <f>IFERROR(__xludf.DUMMYFUNCTION("GOOGLETRANSLATE(A29035, ""de"", ""en"")"),"jumped off")</f>
        <v>jumped off</v>
      </c>
    </row>
    <row r="29036">
      <c r="A29036" s="1" t="s">
        <v>29035</v>
      </c>
      <c r="B29036" s="2" t="str">
        <f>IFERROR(__xludf.DUMMYFUNCTION("GOOGLETRANSLATE(A29036, ""de"", ""en"")"),"femininity")</f>
        <v>femininity</v>
      </c>
    </row>
    <row r="29037">
      <c r="A29037" s="1" t="s">
        <v>29036</v>
      </c>
      <c r="B29037" s="2" t="str">
        <f>IFERROR(__xludf.DUMMYFUNCTION("GOOGLETRANSLATE(A29037, ""de"", ""en"")"),"strange")</f>
        <v>strange</v>
      </c>
    </row>
    <row r="29038">
      <c r="A29038" s="1" t="s">
        <v>29037</v>
      </c>
      <c r="B29038" s="2" t="str">
        <f>IFERROR(__xludf.DUMMYFUNCTION("GOOGLETRANSLATE(A29038, ""de"", ""en"")"),"holbrook")</f>
        <v>holbrook</v>
      </c>
    </row>
    <row r="29039">
      <c r="A29039" s="1" t="s">
        <v>29038</v>
      </c>
      <c r="B29039" s="2" t="str">
        <f>IFERROR(__xludf.DUMMYFUNCTION("GOOGLETRANSLATE(A29039, ""de"", ""en"")"),"ado")</f>
        <v>ado</v>
      </c>
    </row>
    <row r="29040">
      <c r="A29040" s="1" t="s">
        <v>29039</v>
      </c>
      <c r="B29040" s="2" t="str">
        <f>IFERROR(__xludf.DUMMYFUNCTION("GOOGLETRANSLATE(A29040, ""de"", ""en"")"),"defense")</f>
        <v>defense</v>
      </c>
    </row>
    <row r="29041">
      <c r="A29041" s="1" t="s">
        <v>29040</v>
      </c>
      <c r="B29041" s="2" t="str">
        <f>IFERROR(__xludf.DUMMYFUNCTION("GOOGLETRANSLATE(A29041, ""de"", ""en"")"),"cold storage")</f>
        <v>cold storage</v>
      </c>
    </row>
    <row r="29042">
      <c r="A29042" s="1" t="s">
        <v>29041</v>
      </c>
      <c r="B29042" s="2" t="str">
        <f>IFERROR(__xludf.DUMMYFUNCTION("GOOGLETRANSLATE(A29042, ""de"", ""en"")"),"call girl")</f>
        <v>call girl</v>
      </c>
    </row>
    <row r="29043">
      <c r="A29043" s="1" t="s">
        <v>29042</v>
      </c>
      <c r="B29043" s="2" t="str">
        <f>IFERROR(__xludf.DUMMYFUNCTION("GOOGLETRANSLATE(A29043, ""de"", ""en"")"),"called")</f>
        <v>called</v>
      </c>
    </row>
    <row r="29044">
      <c r="A29044" s="1" t="s">
        <v>29043</v>
      </c>
      <c r="B29044" s="2" t="str">
        <f>IFERROR(__xludf.DUMMYFUNCTION("GOOGLETRANSLATE(A29044, ""de"", ""en"")"),"plug")</f>
        <v>plug</v>
      </c>
    </row>
    <row r="29045">
      <c r="A29045" s="1" t="s">
        <v>29044</v>
      </c>
      <c r="B29045" s="2" t="str">
        <f>IFERROR(__xludf.DUMMYFUNCTION("GOOGLETRANSLATE(A29045, ""de"", ""en"")"),"roan")</f>
        <v>roan</v>
      </c>
    </row>
    <row r="29046">
      <c r="A29046" s="1" t="s">
        <v>29045</v>
      </c>
      <c r="B29046" s="2" t="str">
        <f>IFERROR(__xludf.DUMMYFUNCTION("GOOGLETRANSLATE(A29046, ""de"", ""en"")"),"spin")</f>
        <v>spin</v>
      </c>
    </row>
    <row r="29047">
      <c r="A29047" s="1" t="s">
        <v>29046</v>
      </c>
      <c r="B29047" s="2" t="str">
        <f>IFERROR(__xludf.DUMMYFUNCTION("GOOGLETRANSLATE(A29047, ""de"", ""en"")"),"worse")</f>
        <v>worse</v>
      </c>
    </row>
    <row r="29048">
      <c r="A29048" s="1" t="s">
        <v>29047</v>
      </c>
      <c r="B29048" s="2" t="str">
        <f>IFERROR(__xludf.DUMMYFUNCTION("GOOGLETRANSLATE(A29048, ""de"", ""en"")"),"car repair shop")</f>
        <v>car repair shop</v>
      </c>
    </row>
    <row r="29049">
      <c r="A29049" s="1" t="s">
        <v>29048</v>
      </c>
      <c r="B29049" s="2" t="str">
        <f>IFERROR(__xludf.DUMMYFUNCTION("GOOGLETRANSLATE(A29049, ""de"", ""en"")"),"funeral")</f>
        <v>funeral</v>
      </c>
    </row>
    <row r="29050">
      <c r="A29050" s="1" t="s">
        <v>29049</v>
      </c>
      <c r="B29050" s="2" t="str">
        <f>IFERROR(__xludf.DUMMYFUNCTION("GOOGLETRANSLATE(A29050, ""de"", ""en"")"),"murphys")</f>
        <v>murphys</v>
      </c>
    </row>
    <row r="29051">
      <c r="A29051" s="1" t="s">
        <v>29050</v>
      </c>
      <c r="B29051" s="2" t="str">
        <f>IFERROR(__xludf.DUMMYFUNCTION("GOOGLETRANSLATE(A29051, ""de"", ""en"")"),"denominator")</f>
        <v>denominator</v>
      </c>
    </row>
    <row r="29052">
      <c r="A29052" s="1" t="s">
        <v>29051</v>
      </c>
      <c r="B29052" s="2" t="str">
        <f>IFERROR(__xludf.DUMMYFUNCTION("GOOGLETRANSLATE(A29052, ""de"", ""en"")"),"pregnancy test")</f>
        <v>pregnancy test</v>
      </c>
    </row>
    <row r="29053">
      <c r="A29053" s="1" t="s">
        <v>29052</v>
      </c>
      <c r="B29053" s="2" t="str">
        <f>IFERROR(__xludf.DUMMYFUNCTION("GOOGLETRANSLATE(A29053, ""de"", ""en"")"),"synchronous")</f>
        <v>synchronous</v>
      </c>
    </row>
    <row r="29054">
      <c r="A29054" s="1" t="s">
        <v>29053</v>
      </c>
      <c r="B29054" s="2" t="str">
        <f>IFERROR(__xludf.DUMMYFUNCTION("GOOGLETRANSLATE(A29054, ""de"", ""en"")"),"nighthorse")</f>
        <v>nighthorse</v>
      </c>
    </row>
    <row r="29055">
      <c r="A29055" s="1" t="s">
        <v>29054</v>
      </c>
      <c r="B29055" s="2" t="str">
        <f>IFERROR(__xludf.DUMMYFUNCTION("GOOGLETRANSLATE(A29055, ""de"", ""en"")"),"graft")</f>
        <v>graft</v>
      </c>
    </row>
    <row r="29056">
      <c r="A29056" s="1" t="s">
        <v>29055</v>
      </c>
      <c r="B29056" s="2" t="str">
        <f>IFERROR(__xludf.DUMMYFUNCTION("GOOGLETRANSLATE(A29056, ""de"", ""en"")"),"commander")</f>
        <v>commander</v>
      </c>
    </row>
    <row r="29057">
      <c r="A29057" s="1" t="s">
        <v>29056</v>
      </c>
      <c r="B29057" s="2" t="str">
        <f>IFERROR(__xludf.DUMMYFUNCTION("GOOGLETRANSLATE(A29057, ""de"", ""en"")"),"sent")</f>
        <v>sent</v>
      </c>
    </row>
    <row r="29058">
      <c r="A29058" s="1" t="s">
        <v>29057</v>
      </c>
      <c r="B29058" s="2" t="str">
        <f>IFERROR(__xludf.DUMMYFUNCTION("GOOGLETRANSLATE(A29058, ""de"", ""en"")"),"naturally")</f>
        <v>naturally</v>
      </c>
    </row>
    <row r="29059">
      <c r="A29059" s="1" t="s">
        <v>29058</v>
      </c>
      <c r="B29059" s="2" t="str">
        <f>IFERROR(__xludf.DUMMYFUNCTION("GOOGLETRANSLATE(A29059, ""de"", ""en"")"),"enema")</f>
        <v>enema</v>
      </c>
    </row>
    <row r="29060">
      <c r="A29060" s="1" t="s">
        <v>29059</v>
      </c>
      <c r="B29060" s="2" t="str">
        <f>IFERROR(__xludf.DUMMYFUNCTION("GOOGLETRANSLATE(A29060, ""de"", ""en"")"),"slingshot")</f>
        <v>slingshot</v>
      </c>
    </row>
    <row r="29061">
      <c r="A29061" s="1" t="s">
        <v>29060</v>
      </c>
      <c r="B29061" s="2" t="str">
        <f>IFERROR(__xludf.DUMMYFUNCTION("GOOGLETRANSLATE(A29061, ""de"", ""en"")"),"shape")</f>
        <v>shape</v>
      </c>
    </row>
    <row r="29062">
      <c r="A29062" s="1" t="s">
        <v>29061</v>
      </c>
      <c r="B29062" s="2" t="str">
        <f>IFERROR(__xludf.DUMMYFUNCTION("GOOGLETRANSLATE(A29062, ""de"", ""en"")"),"horror")</f>
        <v>horror</v>
      </c>
    </row>
    <row r="29063">
      <c r="A29063" s="1" t="s">
        <v>29062</v>
      </c>
      <c r="B29063" s="2" t="str">
        <f>IFERROR(__xludf.DUMMYFUNCTION("GOOGLETRANSLATE(A29063, ""de"", ""en"")"),"invented")</f>
        <v>invented</v>
      </c>
    </row>
    <row r="29064">
      <c r="A29064" s="1" t="s">
        <v>29063</v>
      </c>
      <c r="B29064" s="2" t="str">
        <f>IFERROR(__xludf.DUMMYFUNCTION("GOOGLETRANSLATE(A29064, ""de"", ""en"")"),"conjured")</f>
        <v>conjured</v>
      </c>
    </row>
    <row r="29065">
      <c r="A29065" s="1" t="s">
        <v>29064</v>
      </c>
      <c r="B29065" s="2" t="str">
        <f>IFERROR(__xludf.DUMMYFUNCTION("GOOGLETRANSLATE(A29065, ""de"", ""en"")"),"lomax")</f>
        <v>lomax</v>
      </c>
    </row>
    <row r="29066">
      <c r="A29066" s="1" t="s">
        <v>29065</v>
      </c>
      <c r="B29066" s="2" t="str">
        <f>IFERROR(__xludf.DUMMYFUNCTION("GOOGLETRANSLATE(A29066, ""de"", ""en"")"),"seance")</f>
        <v>seance</v>
      </c>
    </row>
    <row r="29067">
      <c r="A29067" s="1" t="s">
        <v>29066</v>
      </c>
      <c r="B29067" s="2" t="str">
        <f>IFERROR(__xludf.DUMMYFUNCTION("GOOGLETRANSLATE(A29067, ""de"", ""en"")"),"reade")</f>
        <v>reade</v>
      </c>
    </row>
    <row r="29068">
      <c r="A29068" s="1" t="s">
        <v>29067</v>
      </c>
      <c r="B29068" s="2" t="str">
        <f>IFERROR(__xludf.DUMMYFUNCTION("GOOGLETRANSLATE(A29068, ""de"", ""en"")"),"filming location")</f>
        <v>filming location</v>
      </c>
    </row>
    <row r="29069">
      <c r="A29069" s="1" t="s">
        <v>29068</v>
      </c>
      <c r="B29069" s="2" t="str">
        <f>IFERROR(__xludf.DUMMYFUNCTION("GOOGLETRANSLATE(A29069, ""de"", ""en"")"),"luz")</f>
        <v>luz</v>
      </c>
    </row>
    <row r="29070">
      <c r="A29070" s="1" t="s">
        <v>29069</v>
      </c>
      <c r="B29070" s="2" t="str">
        <f>IFERROR(__xludf.DUMMYFUNCTION("GOOGLETRANSLATE(A29070, ""de"", ""en"")"),"ew")</f>
        <v>ew</v>
      </c>
    </row>
    <row r="29071">
      <c r="A29071" s="1" t="s">
        <v>29070</v>
      </c>
      <c r="B29071" s="2" t="str">
        <f>IFERROR(__xludf.DUMMYFUNCTION("GOOGLETRANSLATE(A29071, ""de"", ""en"")"),"criminal")</f>
        <v>criminal</v>
      </c>
    </row>
    <row r="29072">
      <c r="A29072" s="1" t="s">
        <v>29071</v>
      </c>
      <c r="B29072" s="2" t="str">
        <f>IFERROR(__xludf.DUMMYFUNCTION("GOOGLETRANSLATE(A29072, ""de"", ""en"")"),"aim")</f>
        <v>aim</v>
      </c>
    </row>
    <row r="29073">
      <c r="A29073" s="1" t="s">
        <v>29072</v>
      </c>
      <c r="B29073" s="2" t="str">
        <f>IFERROR(__xludf.DUMMYFUNCTION("GOOGLETRANSLATE(A29073, ""de"", ""en"")"),"detest")</f>
        <v>detest</v>
      </c>
    </row>
    <row r="29074">
      <c r="A29074" s="1" t="s">
        <v>29073</v>
      </c>
      <c r="B29074" s="2" t="str">
        <f>IFERROR(__xludf.DUMMYFUNCTION("GOOGLETRANSLATE(A29074, ""de"", ""en"")"),"economic")</f>
        <v>economic</v>
      </c>
    </row>
    <row r="29075">
      <c r="A29075" s="1" t="s">
        <v>29074</v>
      </c>
      <c r="B29075" s="2" t="str">
        <f>IFERROR(__xludf.DUMMYFUNCTION("GOOGLETRANSLATE(A29075, ""de"", ""en"")"),"second best")</f>
        <v>second best</v>
      </c>
    </row>
    <row r="29076">
      <c r="A29076" s="1" t="s">
        <v>29075</v>
      </c>
      <c r="B29076" s="2" t="str">
        <f>IFERROR(__xludf.DUMMYFUNCTION("GOOGLETRANSLATE(A29076, ""de"", ""en"")"),"polite ones")</f>
        <v>polite ones</v>
      </c>
    </row>
    <row r="29077">
      <c r="A29077" s="1" t="s">
        <v>29076</v>
      </c>
      <c r="B29077" s="2" t="str">
        <f>IFERROR(__xludf.DUMMYFUNCTION("GOOGLETRANSLATE(A29077, ""de"", ""en"")"),"mourners")</f>
        <v>mourners</v>
      </c>
    </row>
    <row r="29078">
      <c r="A29078" s="1" t="s">
        <v>29077</v>
      </c>
      <c r="B29078" s="2" t="str">
        <f>IFERROR(__xludf.DUMMYFUNCTION("GOOGLETRANSLATE(A29078, ""de"", ""en"")"),"philanderer")</f>
        <v>philanderer</v>
      </c>
    </row>
    <row r="29079">
      <c r="A29079" s="1" t="s">
        <v>29078</v>
      </c>
      <c r="B29079" s="2" t="str">
        <f>IFERROR(__xludf.DUMMYFUNCTION("GOOGLETRANSLATE(A29079, ""de"", ""en"")"),"icy")</f>
        <v>icy</v>
      </c>
    </row>
    <row r="29080">
      <c r="A29080" s="1" t="s">
        <v>29079</v>
      </c>
      <c r="B29080" s="2" t="str">
        <f>IFERROR(__xludf.DUMMYFUNCTION("GOOGLETRANSLATE(A29080, ""de"", ""en"")"),"narrower")</f>
        <v>narrower</v>
      </c>
    </row>
    <row r="29081">
      <c r="A29081" s="1" t="s">
        <v>29080</v>
      </c>
      <c r="B29081" s="2" t="str">
        <f>IFERROR(__xludf.DUMMYFUNCTION("GOOGLETRANSLATE(A29081, ""de"", ""en"")"),"advises")</f>
        <v>advises</v>
      </c>
    </row>
    <row r="29082">
      <c r="A29082" s="1" t="s">
        <v>29081</v>
      </c>
      <c r="B29082" s="2" t="str">
        <f>IFERROR(__xludf.DUMMYFUNCTION("GOOGLETRANSLATE(A29082, ""de"", ""en"")"),"justice of the peace")</f>
        <v>justice of the peace</v>
      </c>
    </row>
    <row r="29083">
      <c r="A29083" s="1" t="s">
        <v>29082</v>
      </c>
      <c r="B29083" s="2" t="str">
        <f>IFERROR(__xludf.DUMMYFUNCTION("GOOGLETRANSLATE(A29083, ""de"", ""en"")"),"reconstruction")</f>
        <v>reconstruction</v>
      </c>
    </row>
    <row r="29084">
      <c r="A29084" s="1" t="s">
        <v>29083</v>
      </c>
      <c r="B29084" s="2" t="str">
        <f>IFERROR(__xludf.DUMMYFUNCTION("GOOGLETRANSLATE(A29084, ""de"", ""en"")"),"happiness")</f>
        <v>happiness</v>
      </c>
    </row>
    <row r="29085">
      <c r="A29085" s="1" t="s">
        <v>29084</v>
      </c>
      <c r="B29085" s="2" t="str">
        <f>IFERROR(__xludf.DUMMYFUNCTION("GOOGLETRANSLATE(A29085, ""de"", ""en"")"),"pans")</f>
        <v>pans</v>
      </c>
    </row>
    <row r="29086">
      <c r="A29086" s="1" t="s">
        <v>29085</v>
      </c>
      <c r="B29086" s="2" t="str">
        <f>IFERROR(__xludf.DUMMYFUNCTION("GOOGLETRANSLATE(A29086, ""de"", ""en"")"),"rot")</f>
        <v>rot</v>
      </c>
    </row>
    <row r="29087">
      <c r="A29087" s="1" t="s">
        <v>29086</v>
      </c>
      <c r="B29087" s="2" t="str">
        <f>IFERROR(__xludf.DUMMYFUNCTION("GOOGLETRANSLATE(A29087, ""de"", ""en"")"),"rojas")</f>
        <v>rojas</v>
      </c>
    </row>
    <row r="29088">
      <c r="A29088" s="1" t="s">
        <v>29087</v>
      </c>
      <c r="B29088" s="2" t="str">
        <f>IFERROR(__xludf.DUMMYFUNCTION("GOOGLETRANSLATE(A29088, ""de"", ""en"")"),"yael")</f>
        <v>yael</v>
      </c>
    </row>
    <row r="29089">
      <c r="A29089" s="1" t="s">
        <v>29088</v>
      </c>
      <c r="B29089" s="2" t="str">
        <f>IFERROR(__xludf.DUMMYFUNCTION("GOOGLETRANSLATE(A29089, ""de"", ""en"")"),"dissect")</f>
        <v>dissect</v>
      </c>
    </row>
    <row r="29090">
      <c r="A29090" s="1" t="s">
        <v>29089</v>
      </c>
      <c r="B29090" s="2" t="str">
        <f>IFERROR(__xludf.DUMMYFUNCTION("GOOGLETRANSLATE(A29090, ""de"", ""en"")"),"rhetorical")</f>
        <v>rhetorical</v>
      </c>
    </row>
    <row r="29091">
      <c r="A29091" s="1" t="s">
        <v>29090</v>
      </c>
      <c r="B29091" s="2" t="str">
        <f>IFERROR(__xludf.DUMMYFUNCTION("GOOGLETRANSLATE(A29091, ""de"", ""en"")"),"dampen")</f>
        <v>dampen</v>
      </c>
    </row>
    <row r="29092">
      <c r="A29092" s="1" t="s">
        <v>29091</v>
      </c>
      <c r="B29092" s="2" t="str">
        <f>IFERROR(__xludf.DUMMYFUNCTION("GOOGLETRANSLATE(A29092, ""de"", ""en"")"),"existing")</f>
        <v>existing</v>
      </c>
    </row>
    <row r="29093">
      <c r="A29093" s="1" t="s">
        <v>29092</v>
      </c>
      <c r="B29093" s="2" t="str">
        <f>IFERROR(__xludf.DUMMYFUNCTION("GOOGLETRANSLATE(A29093, ""de"", ""en"")"),"world domination")</f>
        <v>world domination</v>
      </c>
    </row>
    <row r="29094">
      <c r="A29094" s="1" t="s">
        <v>29093</v>
      </c>
      <c r="B29094" s="2" t="str">
        <f>IFERROR(__xludf.DUMMYFUNCTION("GOOGLETRANSLATE(A29094, ""de"", ""en"")"),"doghouse")</f>
        <v>doghouse</v>
      </c>
    </row>
    <row r="29095">
      <c r="A29095" s="1" t="s">
        <v>29094</v>
      </c>
      <c r="B29095" s="2" t="str">
        <f>IFERROR(__xludf.DUMMYFUNCTION("GOOGLETRANSLATE(A29095, ""de"", ""en"")"),"Denton")</f>
        <v>Denton</v>
      </c>
    </row>
    <row r="29096">
      <c r="A29096" s="1" t="s">
        <v>29095</v>
      </c>
      <c r="B29096" s="2" t="str">
        <f>IFERROR(__xludf.DUMMYFUNCTION("GOOGLETRANSLATE(A29096, ""de"", ""en"")"),"defendant")</f>
        <v>defendant</v>
      </c>
    </row>
    <row r="29097">
      <c r="A29097" s="1" t="s">
        <v>29096</v>
      </c>
      <c r="B29097" s="2" t="str">
        <f>IFERROR(__xludf.DUMMYFUNCTION("GOOGLETRANSLATE(A29097, ""de"", ""en"")"),"Dany")</f>
        <v>Dany</v>
      </c>
    </row>
    <row r="29098">
      <c r="A29098" s="1" t="s">
        <v>29097</v>
      </c>
      <c r="B29098" s="2" t="str">
        <f>IFERROR(__xludf.DUMMYFUNCTION("GOOGLETRANSLATE(A29098, ""de"", ""en"")"),"quickie")</f>
        <v>quickie</v>
      </c>
    </row>
    <row r="29099">
      <c r="A29099" s="1" t="s">
        <v>29098</v>
      </c>
      <c r="B29099" s="2" t="str">
        <f>IFERROR(__xludf.DUMMYFUNCTION("GOOGLETRANSLATE(A29099, ""de"", ""en"")"),"ga")</f>
        <v>ga</v>
      </c>
    </row>
    <row r="29100">
      <c r="A29100" s="1" t="s">
        <v>29099</v>
      </c>
      <c r="B29100" s="2" t="str">
        <f>IFERROR(__xludf.DUMMYFUNCTION("GOOGLETRANSLATE(A29100, ""de"", ""en"")"),"qin")</f>
        <v>qin</v>
      </c>
    </row>
    <row r="29101">
      <c r="A29101" s="1" t="s">
        <v>29100</v>
      </c>
      <c r="B29101" s="2" t="str">
        <f>IFERROR(__xludf.DUMMYFUNCTION("GOOGLETRANSLATE(A29101, ""de"", ""en"")"),"unsettle")</f>
        <v>unsettle</v>
      </c>
    </row>
    <row r="29102">
      <c r="A29102" s="1" t="s">
        <v>29101</v>
      </c>
      <c r="B29102" s="2" t="str">
        <f>IFERROR(__xludf.DUMMYFUNCTION("GOOGLETRANSLATE(A29102, ""de"", ""en"")"),"parachutes")</f>
        <v>parachutes</v>
      </c>
    </row>
    <row r="29103">
      <c r="A29103" s="1" t="s">
        <v>29102</v>
      </c>
      <c r="B29103" s="2" t="str">
        <f>IFERROR(__xludf.DUMMYFUNCTION("GOOGLETRANSLATE(A29103, ""de"", ""en"")"),"orally")</f>
        <v>orally</v>
      </c>
    </row>
    <row r="29104">
      <c r="A29104" s="1" t="s">
        <v>29103</v>
      </c>
      <c r="B29104" s="2" t="str">
        <f>IFERROR(__xludf.DUMMYFUNCTION("GOOGLETRANSLATE(A29104, ""de"", ""en"")"),"crutch")</f>
        <v>crutch</v>
      </c>
    </row>
    <row r="29105">
      <c r="A29105" s="1" t="s">
        <v>29104</v>
      </c>
      <c r="B29105" s="2" t="str">
        <f>IFERROR(__xludf.DUMMYFUNCTION("GOOGLETRANSLATE(A29105, ""de"", ""en"")"),"hashish")</f>
        <v>hashish</v>
      </c>
    </row>
    <row r="29106">
      <c r="A29106" s="1" t="s">
        <v>29105</v>
      </c>
      <c r="B29106" s="2" t="str">
        <f>IFERROR(__xludf.DUMMYFUNCTION("GOOGLETRANSLATE(A29106, ""de"", ""en"")"),"lockdown")</f>
        <v>lockdown</v>
      </c>
    </row>
    <row r="29107">
      <c r="A29107" s="1" t="s">
        <v>29106</v>
      </c>
      <c r="B29107" s="2" t="str">
        <f>IFERROR(__xludf.DUMMYFUNCTION("GOOGLETRANSLATE(A29107, ""de"", ""en"")"),"chopper")</f>
        <v>chopper</v>
      </c>
    </row>
    <row r="29108">
      <c r="A29108" s="1" t="s">
        <v>29107</v>
      </c>
      <c r="B29108" s="2" t="str">
        <f>IFERROR(__xludf.DUMMYFUNCTION("GOOGLETRANSLATE(A29108, ""de"", ""en"")"),"braise")</f>
        <v>braise</v>
      </c>
    </row>
    <row r="29109">
      <c r="A29109" s="1" t="s">
        <v>29108</v>
      </c>
      <c r="B29109" s="2" t="str">
        <f>IFERROR(__xludf.DUMMYFUNCTION("GOOGLETRANSLATE(A29109, ""de"", ""en"")"),"fatima")</f>
        <v>fatima</v>
      </c>
    </row>
    <row r="29110">
      <c r="A29110" s="1" t="s">
        <v>29109</v>
      </c>
      <c r="B29110" s="2" t="str">
        <f>IFERROR(__xludf.DUMMYFUNCTION("GOOGLETRANSLATE(A29110, ""de"", ""en"")"),"wasted")</f>
        <v>wasted</v>
      </c>
    </row>
    <row r="29111">
      <c r="A29111" s="1" t="s">
        <v>29110</v>
      </c>
      <c r="B29111" s="2" t="str">
        <f>IFERROR(__xludf.DUMMYFUNCTION("GOOGLETRANSLATE(A29111, ""de"", ""en"")"),"masterson")</f>
        <v>masterson</v>
      </c>
    </row>
    <row r="29112">
      <c r="A29112" s="1" t="s">
        <v>29111</v>
      </c>
      <c r="B29112" s="2" t="str">
        <f>IFERROR(__xludf.DUMMYFUNCTION("GOOGLETRANSLATE(A29112, ""de"", ""en"")"),"waterhole")</f>
        <v>waterhole</v>
      </c>
    </row>
    <row r="29113">
      <c r="A29113" s="1" t="s">
        <v>29112</v>
      </c>
      <c r="B29113" s="2" t="str">
        <f>IFERROR(__xludf.DUMMYFUNCTION("GOOGLETRANSLATE(A29113, ""de"", ""en"")"),"nomad")</f>
        <v>nomad</v>
      </c>
    </row>
    <row r="29114">
      <c r="A29114" s="1" t="s">
        <v>29113</v>
      </c>
      <c r="B29114" s="2" t="str">
        <f>IFERROR(__xludf.DUMMYFUNCTION("GOOGLETRANSLATE(A29114, ""de"", ""en"")"),"unwind")</f>
        <v>unwind</v>
      </c>
    </row>
    <row r="29115">
      <c r="A29115" s="1" t="s">
        <v>29114</v>
      </c>
      <c r="B29115" s="2" t="str">
        <f>IFERROR(__xludf.DUMMYFUNCTION("GOOGLETRANSLATE(A29115, ""de"", ""en"")"),"from here")</f>
        <v>from here</v>
      </c>
    </row>
    <row r="29116">
      <c r="A29116" s="1" t="s">
        <v>29115</v>
      </c>
      <c r="B29116" s="2" t="str">
        <f>IFERROR(__xludf.DUMMYFUNCTION("GOOGLETRANSLATE(A29116, ""de"", ""en"")"),"knightley")</f>
        <v>knightley</v>
      </c>
    </row>
    <row r="29117">
      <c r="A29117" s="1" t="s">
        <v>29116</v>
      </c>
      <c r="B29117" s="2" t="str">
        <f>IFERROR(__xludf.DUMMYFUNCTION("GOOGLETRANSLATE(A29117, ""de"", ""en"")"),"laverne")</f>
        <v>laverne</v>
      </c>
    </row>
    <row r="29118">
      <c r="A29118" s="1" t="s">
        <v>29117</v>
      </c>
      <c r="B29118" s="2" t="str">
        <f>IFERROR(__xludf.DUMMYFUNCTION("GOOGLETRANSLATE(A29118, ""de"", ""en"")"),"ewings")</f>
        <v>ewings</v>
      </c>
    </row>
    <row r="29119">
      <c r="A29119" s="1" t="s">
        <v>29118</v>
      </c>
      <c r="B29119" s="2" t="str">
        <f>IFERROR(__xludf.DUMMYFUNCTION("GOOGLETRANSLATE(A29119, ""de"", ""en"")"),"gossip")</f>
        <v>gossip</v>
      </c>
    </row>
    <row r="29120">
      <c r="A29120" s="1" t="s">
        <v>29119</v>
      </c>
      <c r="B29120" s="2" t="str">
        <f>IFERROR(__xludf.DUMMYFUNCTION("GOOGLETRANSLATE(A29120, ""de"", ""en"")"),"gillis")</f>
        <v>gillis</v>
      </c>
    </row>
    <row r="29121">
      <c r="A29121" s="1" t="s">
        <v>29120</v>
      </c>
      <c r="B29121" s="2" t="str">
        <f>IFERROR(__xludf.DUMMYFUNCTION("GOOGLETRANSLATE(A29121, ""de"", ""en"")"),"award ceremony")</f>
        <v>award ceremony</v>
      </c>
    </row>
    <row r="29122">
      <c r="A29122" s="1" t="s">
        <v>29121</v>
      </c>
      <c r="B29122" s="2" t="str">
        <f>IFERROR(__xludf.DUMMYFUNCTION("GOOGLETRANSLATE(A29122, ""de"", ""en"")"),"peanut butter")</f>
        <v>peanut butter</v>
      </c>
    </row>
    <row r="29123">
      <c r="A29123" s="1" t="s">
        <v>29122</v>
      </c>
      <c r="B29123" s="2" t="str">
        <f>IFERROR(__xludf.DUMMYFUNCTION("GOOGLETRANSLATE(A29123, ""de"", ""en"")"),"told")</f>
        <v>told</v>
      </c>
    </row>
    <row r="29124">
      <c r="A29124" s="1" t="s">
        <v>29123</v>
      </c>
      <c r="B29124" s="2" t="str">
        <f>IFERROR(__xludf.DUMMYFUNCTION("GOOGLETRANSLATE(A29124, ""de"", ""en"")"),"wagons")</f>
        <v>wagons</v>
      </c>
    </row>
    <row r="29125">
      <c r="A29125" s="1" t="s">
        <v>29124</v>
      </c>
      <c r="B29125" s="2" t="str">
        <f>IFERROR(__xludf.DUMMYFUNCTION("GOOGLETRANSLATE(A29125, ""de"", ""en"")"),"inadmissible")</f>
        <v>inadmissible</v>
      </c>
    </row>
    <row r="29126">
      <c r="A29126" s="1" t="s">
        <v>29125</v>
      </c>
      <c r="B29126" s="2" t="str">
        <f>IFERROR(__xludf.DUMMYFUNCTION("GOOGLETRANSLATE(A29126, ""de"", ""en"")"),"read through")</f>
        <v>read through</v>
      </c>
    </row>
    <row r="29127">
      <c r="A29127" s="1" t="s">
        <v>29126</v>
      </c>
      <c r="B29127" s="2" t="str">
        <f>IFERROR(__xludf.DUMMYFUNCTION("GOOGLETRANSLATE(A29127, ""de"", ""en"")"),"get carried away")</f>
        <v>get carried away</v>
      </c>
    </row>
    <row r="29128">
      <c r="A29128" s="1" t="s">
        <v>29127</v>
      </c>
      <c r="B29128" s="2" t="str">
        <f>IFERROR(__xludf.DUMMYFUNCTION("GOOGLETRANSLATE(A29128, ""de"", ""en"")"),"county")</f>
        <v>county</v>
      </c>
    </row>
    <row r="29129">
      <c r="A29129" s="1" t="s">
        <v>29128</v>
      </c>
      <c r="B29129" s="2" t="str">
        <f>IFERROR(__xludf.DUMMYFUNCTION("GOOGLETRANSLATE(A29129, ""de"", ""en"")"),"inquire")</f>
        <v>inquire</v>
      </c>
    </row>
    <row r="29130">
      <c r="A29130" s="1" t="s">
        <v>29129</v>
      </c>
      <c r="B29130" s="2" t="str">
        <f>IFERROR(__xludf.DUMMYFUNCTION("GOOGLETRANSLATE(A29130, ""de"", ""en"")"),"and-")</f>
        <v>and-</v>
      </c>
    </row>
    <row r="29131">
      <c r="A29131" s="1" t="s">
        <v>29130</v>
      </c>
      <c r="B29131" s="2" t="str">
        <f>IFERROR(__xludf.DUMMYFUNCTION("GOOGLETRANSLATE(A29131, ""de"", ""en"")"),"murderous")</f>
        <v>murderous</v>
      </c>
    </row>
    <row r="29132">
      <c r="A29132" s="1" t="s">
        <v>29131</v>
      </c>
      <c r="B29132" s="2" t="str">
        <f>IFERROR(__xludf.DUMMYFUNCTION("GOOGLETRANSLATE(A29132, ""de"", ""en"")"),"compulsive")</f>
        <v>compulsive</v>
      </c>
    </row>
    <row r="29133">
      <c r="A29133" s="1" t="s">
        <v>29132</v>
      </c>
      <c r="B29133" s="2" t="str">
        <f>IFERROR(__xludf.DUMMYFUNCTION("GOOGLETRANSLATE(A29133, ""de"", ""en"")"),"doctor")</f>
        <v>doctor</v>
      </c>
    </row>
    <row r="29134">
      <c r="A29134" s="1" t="s">
        <v>29133</v>
      </c>
      <c r="B29134" s="2" t="str">
        <f>IFERROR(__xludf.DUMMYFUNCTION("GOOGLETRANSLATE(A29134, ""de"", ""en"")"),"hagrid")</f>
        <v>hagrid</v>
      </c>
    </row>
    <row r="29135">
      <c r="A29135" s="1" t="s">
        <v>29134</v>
      </c>
      <c r="B29135" s="2" t="str">
        <f>IFERROR(__xludf.DUMMYFUNCTION("GOOGLETRANSLATE(A29135, ""de"", ""en"")"),"ravish")</f>
        <v>ravish</v>
      </c>
    </row>
    <row r="29136">
      <c r="A29136" s="1" t="s">
        <v>29135</v>
      </c>
      <c r="B29136" s="2" t="str">
        <f>IFERROR(__xludf.DUMMYFUNCTION("GOOGLETRANSLATE(A29136, ""de"", ""en"")"),"schnidel")</f>
        <v>schnidel</v>
      </c>
    </row>
    <row r="29137">
      <c r="A29137" s="1" t="s">
        <v>29136</v>
      </c>
      <c r="B29137" s="2" t="str">
        <f>IFERROR(__xludf.DUMMYFUNCTION("GOOGLETRANSLATE(A29137, ""de"", ""en"")"),"return")</f>
        <v>return</v>
      </c>
    </row>
    <row r="29138">
      <c r="A29138" s="1" t="s">
        <v>29137</v>
      </c>
      <c r="B29138" s="2" t="str">
        <f>IFERROR(__xludf.DUMMYFUNCTION("GOOGLETRANSLATE(A29138, ""de"", ""en"")"),"best possible")</f>
        <v>best possible</v>
      </c>
    </row>
    <row r="29139">
      <c r="A29139" s="1" t="s">
        <v>29138</v>
      </c>
      <c r="B29139" s="2" t="str">
        <f>IFERROR(__xludf.DUMMYFUNCTION("GOOGLETRANSLATE(A29139, ""de"", ""en"")"),"braked")</f>
        <v>braked</v>
      </c>
    </row>
    <row r="29140">
      <c r="A29140" s="1" t="s">
        <v>29139</v>
      </c>
      <c r="B29140" s="2" t="str">
        <f>IFERROR(__xludf.DUMMYFUNCTION("GOOGLETRANSLATE(A29140, ""de"", ""en"")"),"rumble")</f>
        <v>rumble</v>
      </c>
    </row>
    <row r="29141">
      <c r="A29141" s="1" t="s">
        <v>29140</v>
      </c>
      <c r="B29141" s="2" t="str">
        <f>IFERROR(__xludf.DUMMYFUNCTION("GOOGLETRANSLATE(A29141, ""de"", ""en"")"),"sad")</f>
        <v>sad</v>
      </c>
    </row>
    <row r="29142">
      <c r="A29142" s="1" t="s">
        <v>29141</v>
      </c>
      <c r="B29142" s="2" t="str">
        <f>IFERROR(__xludf.DUMMYFUNCTION("GOOGLETRANSLATE(A29142, ""de"", ""en"")"),"sen")</f>
        <v>sen</v>
      </c>
    </row>
    <row r="29143">
      <c r="A29143" s="1" t="s">
        <v>29142</v>
      </c>
      <c r="B29143" s="2" t="str">
        <f>IFERROR(__xludf.DUMMYFUNCTION("GOOGLETRANSLATE(A29143, ""de"", ""en"")"),"sword")</f>
        <v>sword</v>
      </c>
    </row>
    <row r="29144">
      <c r="A29144" s="1" t="s">
        <v>29143</v>
      </c>
      <c r="B29144" s="2" t="str">
        <f>IFERROR(__xludf.DUMMYFUNCTION("GOOGLETRANSLATE(A29144, ""de"", ""en"")"),"to fill out")</f>
        <v>to fill out</v>
      </c>
    </row>
    <row r="29145">
      <c r="A29145" s="1" t="s">
        <v>29144</v>
      </c>
      <c r="B29145" s="2" t="str">
        <f>IFERROR(__xludf.DUMMYFUNCTION("GOOGLETRANSLATE(A29145, ""de"", ""en"")"),"eggs")</f>
        <v>eggs</v>
      </c>
    </row>
    <row r="29146">
      <c r="A29146" s="1" t="s">
        <v>29145</v>
      </c>
      <c r="B29146" s="2" t="str">
        <f>IFERROR(__xludf.DUMMYFUNCTION("GOOGLETRANSLATE(A29146, ""de"", ""en"")"),"smear")</f>
        <v>smear</v>
      </c>
    </row>
    <row r="29147">
      <c r="A29147" s="1" t="s">
        <v>29146</v>
      </c>
      <c r="B29147" s="2" t="str">
        <f>IFERROR(__xludf.DUMMYFUNCTION("GOOGLETRANSLATE(A29147, ""de"", ""en"")"),"bring down")</f>
        <v>bring down</v>
      </c>
    </row>
    <row r="29148">
      <c r="A29148" s="1" t="s">
        <v>29147</v>
      </c>
      <c r="B29148" s="2" t="str">
        <f>IFERROR(__xludf.DUMMYFUNCTION("GOOGLETRANSLATE(A29148, ""de"", ""en"")"),"Suu")</f>
        <v>Suu</v>
      </c>
    </row>
    <row r="29149">
      <c r="A29149" s="1" t="s">
        <v>29148</v>
      </c>
      <c r="B29149" s="2" t="str">
        <f>IFERROR(__xludf.DUMMYFUNCTION("GOOGLETRANSLATE(A29149, ""de"", ""en"")"),"dealt")</f>
        <v>dealt</v>
      </c>
    </row>
    <row r="29150">
      <c r="A29150" s="1" t="s">
        <v>29149</v>
      </c>
      <c r="B29150" s="2" t="str">
        <f>IFERROR(__xludf.DUMMYFUNCTION("GOOGLETRANSLATE(A29150, ""de"", ""en"")"),"furthest")</f>
        <v>furthest</v>
      </c>
    </row>
    <row r="29151">
      <c r="A29151" s="1" t="s">
        <v>29150</v>
      </c>
      <c r="B29151" s="2" t="str">
        <f>IFERROR(__xludf.DUMMYFUNCTION("GOOGLETRANSLATE(A29151, ""de"", ""en"")"),"more fabulous")</f>
        <v>more fabulous</v>
      </c>
    </row>
    <row r="29152">
      <c r="A29152" s="1" t="s">
        <v>29151</v>
      </c>
      <c r="B29152" s="2" t="str">
        <f>IFERROR(__xludf.DUMMYFUNCTION("GOOGLETRANSLATE(A29152, ""de"", ""en"")"),"premature")</f>
        <v>premature</v>
      </c>
    </row>
    <row r="29153">
      <c r="A29153" s="1" t="s">
        <v>29152</v>
      </c>
      <c r="B29153" s="2" t="str">
        <f>IFERROR(__xludf.DUMMYFUNCTION("GOOGLETRANSLATE(A29153, ""de"", ""en"")"),"due")</f>
        <v>due</v>
      </c>
    </row>
    <row r="29154">
      <c r="A29154" s="1" t="s">
        <v>29153</v>
      </c>
      <c r="B29154" s="2" t="str">
        <f>IFERROR(__xludf.DUMMYFUNCTION("GOOGLETRANSLATE(A29154, ""de"", ""en"")"),"dots")</f>
        <v>dots</v>
      </c>
    </row>
    <row r="29155">
      <c r="A29155" s="1" t="s">
        <v>29154</v>
      </c>
      <c r="B29155" s="2" t="str">
        <f>IFERROR(__xludf.DUMMYFUNCTION("GOOGLETRANSLATE(A29155, ""de"", ""en"")"),"demanded")</f>
        <v>demanded</v>
      </c>
    </row>
    <row r="29156">
      <c r="A29156" s="1" t="s">
        <v>29155</v>
      </c>
      <c r="B29156" s="2" t="str">
        <f>IFERROR(__xludf.DUMMYFUNCTION("GOOGLETRANSLATE(A29156, ""de"", ""en"")"),"flooding")</f>
        <v>flooding</v>
      </c>
    </row>
    <row r="29157">
      <c r="A29157" s="1" t="s">
        <v>29156</v>
      </c>
      <c r="B29157" s="2" t="str">
        <f>IFERROR(__xludf.DUMMYFUNCTION("GOOGLETRANSLATE(A29157, ""de"", ""en"")"),"invented")</f>
        <v>invented</v>
      </c>
    </row>
    <row r="29158">
      <c r="A29158" s="1" t="s">
        <v>29157</v>
      </c>
      <c r="B29158" s="2" t="str">
        <f>IFERROR(__xludf.DUMMYFUNCTION("GOOGLETRANSLATE(A29158, ""de"", ""en"")"),"surrendered")</f>
        <v>surrendered</v>
      </c>
    </row>
    <row r="29159">
      <c r="A29159" s="1" t="s">
        <v>29158</v>
      </c>
      <c r="B29159" s="2" t="str">
        <f>IFERROR(__xludf.DUMMYFUNCTION("GOOGLETRANSLATE(A29159, ""de"", ""en"")"),"puke")</f>
        <v>puke</v>
      </c>
    </row>
    <row r="29160">
      <c r="A29160" s="1" t="s">
        <v>29159</v>
      </c>
      <c r="B29160" s="2" t="str">
        <f>IFERROR(__xludf.DUMMYFUNCTION("GOOGLETRANSLATE(A29160, ""de"", ""en"")"),"rosamund")</f>
        <v>rosamund</v>
      </c>
    </row>
    <row r="29161">
      <c r="A29161" s="1" t="s">
        <v>29160</v>
      </c>
      <c r="B29161" s="2" t="str">
        <f>IFERROR(__xludf.DUMMYFUNCTION("GOOGLETRANSLATE(A29161, ""de"", ""en"")"),"Salzburg")</f>
        <v>Salzburg</v>
      </c>
    </row>
    <row r="29162">
      <c r="A29162" s="1" t="s">
        <v>29161</v>
      </c>
      <c r="B29162" s="2" t="str">
        <f>IFERROR(__xludf.DUMMYFUNCTION("GOOGLETRANSLATE(A29162, ""de"", ""en"")"),"burning")</f>
        <v>burning</v>
      </c>
    </row>
    <row r="29163">
      <c r="A29163" s="1" t="s">
        <v>29162</v>
      </c>
      <c r="B29163" s="2" t="str">
        <f>IFERROR(__xludf.DUMMYFUNCTION("GOOGLETRANSLATE(A29163, ""de"", ""en"")"),"waistline")</f>
        <v>waistline</v>
      </c>
    </row>
    <row r="29164">
      <c r="A29164" s="1" t="s">
        <v>29163</v>
      </c>
      <c r="B29164" s="2" t="str">
        <f>IFERROR(__xludf.DUMMYFUNCTION("GOOGLETRANSLATE(A29164, ""de"", ""en"")"),"bagwell")</f>
        <v>bagwell</v>
      </c>
    </row>
    <row r="29165">
      <c r="A29165" s="1" t="s">
        <v>29164</v>
      </c>
      <c r="B29165" s="2" t="str">
        <f>IFERROR(__xludf.DUMMYFUNCTION("GOOGLETRANSLATE(A29165, ""de"", ""en"")"),"gcpd")</f>
        <v>gcpd</v>
      </c>
    </row>
    <row r="29166">
      <c r="A29166" s="1" t="s">
        <v>29165</v>
      </c>
      <c r="B29166" s="2" t="str">
        <f>IFERROR(__xludf.DUMMYFUNCTION("GOOGLETRANSLATE(A29166, ""de"", ""en"")"),"hike")</f>
        <v>hike</v>
      </c>
    </row>
    <row r="29167">
      <c r="A29167" s="1" t="s">
        <v>29166</v>
      </c>
      <c r="B29167" s="2" t="str">
        <f>IFERROR(__xludf.DUMMYFUNCTION("GOOGLETRANSLATE(A29167, ""de"", ""en"")"),"blessed")</f>
        <v>blessed</v>
      </c>
    </row>
    <row r="29168">
      <c r="A29168" s="1" t="s">
        <v>29167</v>
      </c>
      <c r="B29168" s="2" t="str">
        <f>IFERROR(__xludf.DUMMYFUNCTION("GOOGLETRANSLATE(A29168, ""de"", ""en"")"),"masked")</f>
        <v>masked</v>
      </c>
    </row>
    <row r="29169">
      <c r="A29169" s="1" t="s">
        <v>29168</v>
      </c>
      <c r="B29169" s="2" t="str">
        <f>IFERROR(__xludf.DUMMYFUNCTION("GOOGLETRANSLATE(A29169, ""de"", ""en"")"),"to suggest")</f>
        <v>to suggest</v>
      </c>
    </row>
    <row r="29170">
      <c r="A29170" s="1" t="s">
        <v>29169</v>
      </c>
      <c r="B29170" s="2" t="str">
        <f>IFERROR(__xludf.DUMMYFUNCTION("GOOGLETRANSLATE(A29170, ""de"", ""en"")"),"onn")</f>
        <v>onn</v>
      </c>
    </row>
    <row r="29171">
      <c r="A29171" s="1" t="s">
        <v>29170</v>
      </c>
      <c r="B29171" s="2" t="str">
        <f>IFERROR(__xludf.DUMMYFUNCTION("GOOGLETRANSLATE(A29171, ""de"", ""en"")"),"supernova")</f>
        <v>supernova</v>
      </c>
    </row>
    <row r="29172">
      <c r="A29172" s="1" t="s">
        <v>29171</v>
      </c>
      <c r="B29172" s="2" t="str">
        <f>IFERROR(__xludf.DUMMYFUNCTION("GOOGLETRANSLATE(A29172, ""de"", ""en"")"),"subspace")</f>
        <v>subspace</v>
      </c>
    </row>
    <row r="29173">
      <c r="A29173" s="1" t="s">
        <v>29172</v>
      </c>
      <c r="B29173" s="2" t="str">
        <f>IFERROR(__xludf.DUMMYFUNCTION("GOOGLETRANSLATE(A29173, ""de"", ""en"")"),"pulaski")</f>
        <v>pulaski</v>
      </c>
    </row>
    <row r="29174">
      <c r="A29174" s="1" t="s">
        <v>29173</v>
      </c>
      <c r="B29174" s="2" t="str">
        <f>IFERROR(__xludf.DUMMYFUNCTION("GOOGLETRANSLATE(A29174, ""de"", ""en"")"),"Alton")</f>
        <v>Alton</v>
      </c>
    </row>
    <row r="29175">
      <c r="A29175" s="1" t="s">
        <v>29174</v>
      </c>
      <c r="B29175" s="2" t="str">
        <f>IFERROR(__xludf.DUMMYFUNCTION("GOOGLETRANSLATE(A29175, ""de"", ""en"")"),"partridge")</f>
        <v>partridge</v>
      </c>
    </row>
    <row r="29176">
      <c r="A29176" s="1" t="s">
        <v>29175</v>
      </c>
      <c r="B29176" s="2" t="str">
        <f>IFERROR(__xludf.DUMMYFUNCTION("GOOGLETRANSLATE(A29176, ""de"", ""en"")"),"suit wearer")</f>
        <v>suit wearer</v>
      </c>
    </row>
    <row r="29177">
      <c r="A29177" s="1" t="s">
        <v>29176</v>
      </c>
      <c r="B29177" s="2" t="str">
        <f>IFERROR(__xludf.DUMMYFUNCTION("GOOGLETRANSLATE(A29177, ""de"", ""en"")"),"gypsy")</f>
        <v>gypsy</v>
      </c>
    </row>
    <row r="29178">
      <c r="A29178" s="1" t="s">
        <v>29177</v>
      </c>
      <c r="B29178" s="2" t="str">
        <f>IFERROR(__xludf.DUMMYFUNCTION("GOOGLETRANSLATE(A29178, ""de"", ""en"")"),"munsters")</f>
        <v>munsters</v>
      </c>
    </row>
    <row r="29179">
      <c r="A29179" s="1" t="s">
        <v>29178</v>
      </c>
      <c r="B29179" s="2" t="str">
        <f>IFERROR(__xludf.DUMMYFUNCTION("GOOGLETRANSLATE(A29179, ""de"", ""en"")"),"sciences")</f>
        <v>sciences</v>
      </c>
    </row>
    <row r="29180">
      <c r="A29180" s="1" t="s">
        <v>29179</v>
      </c>
      <c r="B29180" s="2" t="str">
        <f>IFERROR(__xludf.DUMMYFUNCTION("GOOGLETRANSLATE(A29180, ""de"", ""en"")"),"colleagues")</f>
        <v>colleagues</v>
      </c>
    </row>
    <row r="29181">
      <c r="A29181" s="1" t="s">
        <v>29180</v>
      </c>
      <c r="B29181" s="2" t="str">
        <f>IFERROR(__xludf.DUMMYFUNCTION("GOOGLETRANSLATE(A29181, ""de"", ""en"")"),"complicit")</f>
        <v>complicit</v>
      </c>
    </row>
    <row r="29182">
      <c r="A29182" s="1" t="s">
        <v>29181</v>
      </c>
      <c r="B29182" s="2" t="str">
        <f>IFERROR(__xludf.DUMMYFUNCTION("GOOGLETRANSLATE(A29182, ""de"", ""en"")"),"inaccurate")</f>
        <v>inaccurate</v>
      </c>
    </row>
    <row r="29183">
      <c r="A29183" s="1" t="s">
        <v>29182</v>
      </c>
      <c r="B29183" s="2" t="str">
        <f>IFERROR(__xludf.DUMMYFUNCTION("GOOGLETRANSLATE(A29183, ""de"", ""en"")"),"unleashed")</f>
        <v>unleashed</v>
      </c>
    </row>
    <row r="29184">
      <c r="A29184" s="1" t="s">
        <v>29183</v>
      </c>
      <c r="B29184" s="2" t="str">
        <f>IFERROR(__xludf.DUMMYFUNCTION("GOOGLETRANSLATE(A29184, ""de"", ""en"")"),"paths")</f>
        <v>paths</v>
      </c>
    </row>
    <row r="29185">
      <c r="A29185" s="1" t="s">
        <v>29184</v>
      </c>
      <c r="B29185" s="2" t="str">
        <f>IFERROR(__xludf.DUMMYFUNCTION("GOOGLETRANSLATE(A29185, ""de"", ""en"")"),"baseball player")</f>
        <v>baseball player</v>
      </c>
    </row>
    <row r="29186">
      <c r="A29186" s="1" t="s">
        <v>29185</v>
      </c>
      <c r="B29186" s="2" t="str">
        <f>IFERROR(__xludf.DUMMYFUNCTION("GOOGLETRANSLATE(A29186, ""de"", ""en"")"),"stethoscope")</f>
        <v>stethoscope</v>
      </c>
    </row>
    <row r="29187">
      <c r="A29187" s="1" t="s">
        <v>29186</v>
      </c>
      <c r="B29187" s="2" t="str">
        <f>IFERROR(__xludf.DUMMYFUNCTION("GOOGLETRANSLATE(A29187, ""de"", ""en"")"),"karina")</f>
        <v>karina</v>
      </c>
    </row>
    <row r="29188">
      <c r="A29188" s="1" t="s">
        <v>29187</v>
      </c>
      <c r="B29188" s="2" t="str">
        <f>IFERROR(__xludf.DUMMYFUNCTION("GOOGLETRANSLATE(A29188, ""de"", ""en"")"),"gasp")</f>
        <v>gasp</v>
      </c>
    </row>
    <row r="29189">
      <c r="A29189" s="1" t="s">
        <v>29188</v>
      </c>
      <c r="B29189" s="2" t="str">
        <f>IFERROR(__xludf.DUMMYFUNCTION("GOOGLETRANSLATE(A29189, ""de"", ""en"")"),"mechanical")</f>
        <v>mechanical</v>
      </c>
    </row>
    <row r="29190">
      <c r="A29190" s="1" t="s">
        <v>29189</v>
      </c>
      <c r="B29190" s="2" t="str">
        <f>IFERROR(__xludf.DUMMYFUNCTION("GOOGLETRANSLATE(A29190, ""de"", ""en"")"),"leprosy")</f>
        <v>leprosy</v>
      </c>
    </row>
    <row r="29191">
      <c r="A29191" s="1" t="s">
        <v>29190</v>
      </c>
      <c r="B29191" s="2" t="str">
        <f>IFERROR(__xludf.DUMMYFUNCTION("GOOGLETRANSLATE(A29191, ""de"", ""en"")"),"crystal clear")</f>
        <v>crystal clear</v>
      </c>
    </row>
    <row r="29192">
      <c r="A29192" s="1" t="s">
        <v>29191</v>
      </c>
      <c r="B29192" s="2" t="str">
        <f>IFERROR(__xludf.DUMMYFUNCTION("GOOGLETRANSLATE(A29192, ""de"", ""en"")"),"act")</f>
        <v>act</v>
      </c>
    </row>
    <row r="29193">
      <c r="A29193" s="1" t="s">
        <v>29192</v>
      </c>
      <c r="B29193" s="2" t="str">
        <f>IFERROR(__xludf.DUMMYFUNCTION("GOOGLETRANSLATE(A29193, ""de"", ""en"")"),"screw up")</f>
        <v>screw up</v>
      </c>
    </row>
    <row r="29194">
      <c r="A29194" s="1" t="s">
        <v>29193</v>
      </c>
      <c r="B29194" s="2" t="str">
        <f>IFERROR(__xludf.DUMMYFUNCTION("GOOGLETRANSLATE(A29194, ""de"", ""en"")"),"stomach ulcer")</f>
        <v>stomach ulcer</v>
      </c>
    </row>
    <row r="29195">
      <c r="A29195" s="1" t="s">
        <v>29194</v>
      </c>
      <c r="B29195" s="2" t="str">
        <f>IFERROR(__xludf.DUMMYFUNCTION("GOOGLETRANSLATE(A29195, ""de"", ""en"")"),"prohibition")</f>
        <v>prohibition</v>
      </c>
    </row>
    <row r="29196">
      <c r="A29196" s="1" t="s">
        <v>29195</v>
      </c>
      <c r="B29196" s="2" t="str">
        <f>IFERROR(__xludf.DUMMYFUNCTION("GOOGLETRANSLATE(A29196, ""de"", ""en"")"),"remaining")</f>
        <v>remaining</v>
      </c>
    </row>
    <row r="29197">
      <c r="A29197" s="1" t="s">
        <v>29196</v>
      </c>
      <c r="B29197" s="2" t="str">
        <f>IFERROR(__xludf.DUMMYFUNCTION("GOOGLETRANSLATE(A29197, ""de"", ""en"")"),"peaks")</f>
        <v>peaks</v>
      </c>
    </row>
    <row r="29198">
      <c r="A29198" s="1" t="s">
        <v>29197</v>
      </c>
      <c r="B29198" s="2" t="str">
        <f>IFERROR(__xludf.DUMMYFUNCTION("GOOGLETRANSLATE(A29198, ""de"", ""en"")"),"scoff")</f>
        <v>scoff</v>
      </c>
    </row>
    <row r="29199">
      <c r="A29199" s="1" t="s">
        <v>29198</v>
      </c>
      <c r="B29199" s="2" t="str">
        <f>IFERROR(__xludf.DUMMYFUNCTION("GOOGLETRANSLATE(A29199, ""de"", ""en"")"),"departs")</f>
        <v>departs</v>
      </c>
    </row>
    <row r="29200">
      <c r="A29200" s="1" t="s">
        <v>29199</v>
      </c>
      <c r="B29200" s="2" t="str">
        <f>IFERROR(__xludf.DUMMYFUNCTION("GOOGLETRANSLATE(A29200, ""de"", ""en"")"),"charisma")</f>
        <v>charisma</v>
      </c>
    </row>
    <row r="29201">
      <c r="A29201" s="1" t="s">
        <v>29200</v>
      </c>
      <c r="B29201" s="2" t="str">
        <f>IFERROR(__xludf.DUMMYFUNCTION("GOOGLETRANSLATE(A29201, ""de"", ""en"")"),"typhoon")</f>
        <v>typhoon</v>
      </c>
    </row>
    <row r="29202">
      <c r="A29202" s="1" t="s">
        <v>29201</v>
      </c>
      <c r="B29202" s="2" t="str">
        <f>IFERROR(__xludf.DUMMYFUNCTION("GOOGLETRANSLATE(A29202, ""de"", ""en"")"),"cha-cha-cha")</f>
        <v>cha-cha-cha</v>
      </c>
    </row>
    <row r="29203">
      <c r="A29203" s="1" t="s">
        <v>29202</v>
      </c>
      <c r="B29203" s="2" t="str">
        <f>IFERROR(__xludf.DUMMYFUNCTION("GOOGLETRANSLATE(A29203, ""de"", ""en"")"),"cubs")</f>
        <v>cubs</v>
      </c>
    </row>
    <row r="29204">
      <c r="A29204" s="1" t="s">
        <v>29203</v>
      </c>
      <c r="B29204" s="2" t="str">
        <f>IFERROR(__xludf.DUMMYFUNCTION("GOOGLETRANSLATE(A29204, ""de"", ""en"")"),"violin music")</f>
        <v>violin music</v>
      </c>
    </row>
    <row r="29205">
      <c r="A29205" s="1" t="s">
        <v>29204</v>
      </c>
      <c r="B29205" s="2" t="str">
        <f>IFERROR(__xludf.DUMMYFUNCTION("GOOGLETRANSLATE(A29205, ""de"", ""en"")"),"decorated")</f>
        <v>decorated</v>
      </c>
    </row>
    <row r="29206">
      <c r="A29206" s="1" t="s">
        <v>29205</v>
      </c>
      <c r="B29206" s="2" t="str">
        <f>IFERROR(__xludf.DUMMYFUNCTION("GOOGLETRANSLATE(A29206, ""de"", ""en"")"),"most terrible")</f>
        <v>most terrible</v>
      </c>
    </row>
    <row r="29207">
      <c r="A29207" s="1" t="s">
        <v>29206</v>
      </c>
      <c r="B29207" s="2" t="str">
        <f>IFERROR(__xludf.DUMMYFUNCTION("GOOGLETRANSLATE(A29207, ""de"", ""en"")"),"Germans")</f>
        <v>Germans</v>
      </c>
    </row>
    <row r="29208">
      <c r="A29208" s="1" t="s">
        <v>29207</v>
      </c>
      <c r="B29208" s="2" t="str">
        <f>IFERROR(__xludf.DUMMYFUNCTION("GOOGLETRANSLATE(A29208, ""de"", ""en"")"),"cynicism")</f>
        <v>cynicism</v>
      </c>
    </row>
    <row r="29209">
      <c r="A29209" s="1" t="s">
        <v>29208</v>
      </c>
      <c r="B29209" s="2" t="str">
        <f>IFERROR(__xludf.DUMMYFUNCTION("GOOGLETRANSLATE(A29209, ""de"", ""en"")"),"tricia")</f>
        <v>tricia</v>
      </c>
    </row>
    <row r="29210">
      <c r="A29210" s="1" t="s">
        <v>29209</v>
      </c>
      <c r="B29210" s="2" t="str">
        <f>IFERROR(__xludf.DUMMYFUNCTION("GOOGLETRANSLATE(A29210, ""de"", ""en"")"),"minos")</f>
        <v>minos</v>
      </c>
    </row>
    <row r="29211">
      <c r="A29211" s="1" t="s">
        <v>29210</v>
      </c>
      <c r="B29211" s="2" t="str">
        <f>IFERROR(__xludf.DUMMYFUNCTION("GOOGLETRANSLATE(A29211, ""de"", ""en"")"),"gringos")</f>
        <v>gringos</v>
      </c>
    </row>
    <row r="29212">
      <c r="A29212" s="1" t="s">
        <v>29211</v>
      </c>
      <c r="B29212" s="2" t="str">
        <f>IFERROR(__xludf.DUMMYFUNCTION("GOOGLETRANSLATE(A29212, ""de"", ""en"")"),"nairobi")</f>
        <v>nairobi</v>
      </c>
    </row>
    <row r="29213">
      <c r="A29213" s="1" t="s">
        <v>29212</v>
      </c>
      <c r="B29213" s="2" t="str">
        <f>IFERROR(__xludf.DUMMYFUNCTION("GOOGLETRANSLATE(A29213, ""de"", ""en"")"),"snot")</f>
        <v>snot</v>
      </c>
    </row>
    <row r="29214">
      <c r="A29214" s="1" t="s">
        <v>29213</v>
      </c>
      <c r="B29214" s="2" t="str">
        <f>IFERROR(__xludf.DUMMYFUNCTION("GOOGLETRANSLATE(A29214, ""de"", ""en"")"),"mass murder")</f>
        <v>mass murder</v>
      </c>
    </row>
    <row r="29215">
      <c r="A29215" s="1" t="s">
        <v>29214</v>
      </c>
      <c r="B29215" s="2" t="str">
        <f>IFERROR(__xludf.DUMMYFUNCTION("GOOGLETRANSLATE(A29215, ""de"", ""en"")"),"ideology")</f>
        <v>ideology</v>
      </c>
    </row>
    <row r="29216">
      <c r="A29216" s="1" t="s">
        <v>29215</v>
      </c>
      <c r="B29216" s="2" t="str">
        <f>IFERROR(__xludf.DUMMYFUNCTION("GOOGLETRANSLATE(A29216, ""de"", ""en"")"),"practiced")</f>
        <v>practiced</v>
      </c>
    </row>
    <row r="29217">
      <c r="A29217" s="1" t="s">
        <v>29216</v>
      </c>
      <c r="B29217" s="2" t="str">
        <f>IFERROR(__xludf.DUMMYFUNCTION("GOOGLETRANSLATE(A29217, ""de"", ""en"")"),"ha-ha-ha")</f>
        <v>ha-ha-ha</v>
      </c>
    </row>
    <row r="29218">
      <c r="A29218" s="1" t="s">
        <v>29217</v>
      </c>
      <c r="B29218" s="2" t="str">
        <f>IFERROR(__xludf.DUMMYFUNCTION("GOOGLETRANSLATE(A29218, ""de"", ""en"")"),"zoidberg")</f>
        <v>zoidberg</v>
      </c>
    </row>
    <row r="29219">
      <c r="A29219" s="1" t="s">
        <v>29218</v>
      </c>
      <c r="B29219" s="2" t="str">
        <f>IFERROR(__xludf.DUMMYFUNCTION("GOOGLETRANSLATE(A29219, ""de"", ""en"")"),"claimed")</f>
        <v>claimed</v>
      </c>
    </row>
    <row r="29220">
      <c r="A29220" s="1" t="s">
        <v>29219</v>
      </c>
      <c r="B29220" s="2" t="str">
        <f>IFERROR(__xludf.DUMMYFUNCTION("GOOGLETRANSLATE(A29220, ""de"", ""en"")"),"serious")</f>
        <v>serious</v>
      </c>
    </row>
    <row r="29221">
      <c r="A29221" s="1" t="s">
        <v>29220</v>
      </c>
      <c r="B29221" s="2" t="str">
        <f>IFERROR(__xludf.DUMMYFUNCTION("GOOGLETRANSLATE(A29221, ""de"", ""en"")"),"suspected")</f>
        <v>suspected</v>
      </c>
    </row>
    <row r="29222">
      <c r="A29222" s="1" t="s">
        <v>29221</v>
      </c>
      <c r="B29222" s="2" t="str">
        <f>IFERROR(__xludf.DUMMYFUNCTION("GOOGLETRANSLATE(A29222, ""de"", ""en"")"),"deluxe")</f>
        <v>deluxe</v>
      </c>
    </row>
    <row r="29223">
      <c r="A29223" s="1" t="s">
        <v>29222</v>
      </c>
      <c r="B29223" s="2" t="str">
        <f>IFERROR(__xludf.DUMMYFUNCTION("GOOGLETRANSLATE(A29223, ""de"", ""en"")"),"lock")</f>
        <v>lock</v>
      </c>
    </row>
    <row r="29224">
      <c r="A29224" s="1" t="s">
        <v>29223</v>
      </c>
      <c r="B29224" s="2" t="str">
        <f>IFERROR(__xludf.DUMMYFUNCTION("GOOGLETRANSLATE(A29224, ""de"", ""en"")"),"jack")</f>
        <v>jack</v>
      </c>
    </row>
    <row r="29225">
      <c r="A29225" s="1" t="s">
        <v>29224</v>
      </c>
      <c r="B29225" s="2" t="str">
        <f>IFERROR(__xludf.DUMMYFUNCTION("GOOGLETRANSLATE(A29225, ""de"", ""en"")"),"do nothing")</f>
        <v>do nothing</v>
      </c>
    </row>
    <row r="29226">
      <c r="A29226" s="1" t="s">
        <v>29225</v>
      </c>
      <c r="B29226" s="2" t="str">
        <f>IFERROR(__xludf.DUMMYFUNCTION("GOOGLETRANSLATE(A29226, ""de"", ""en"")"),"rafa")</f>
        <v>rafa</v>
      </c>
    </row>
    <row r="29227">
      <c r="A29227" s="1" t="s">
        <v>29226</v>
      </c>
      <c r="B29227" s="2" t="str">
        <f>IFERROR(__xludf.DUMMYFUNCTION("GOOGLETRANSLATE(A29227, ""de"", ""en"")"),"fagin")</f>
        <v>fagin</v>
      </c>
    </row>
    <row r="29228">
      <c r="A29228" s="1" t="s">
        <v>29227</v>
      </c>
      <c r="B29228" s="2" t="str">
        <f>IFERROR(__xludf.DUMMYFUNCTION("GOOGLETRANSLATE(A29228, ""de"", ""en"")"),"frosting")</f>
        <v>frosting</v>
      </c>
    </row>
    <row r="29229">
      <c r="A29229" s="1" t="s">
        <v>29228</v>
      </c>
      <c r="B29229" s="2" t="str">
        <f>IFERROR(__xludf.DUMMYFUNCTION("GOOGLETRANSLATE(A29229, ""de"", ""en"")"),"management")</f>
        <v>management</v>
      </c>
    </row>
    <row r="29230">
      <c r="A29230" s="1" t="s">
        <v>29229</v>
      </c>
      <c r="B29230" s="2" t="str">
        <f>IFERROR(__xludf.DUMMYFUNCTION("GOOGLETRANSLATE(A29230, ""de"", ""en"")"),"borrow")</f>
        <v>borrow</v>
      </c>
    </row>
    <row r="29231">
      <c r="A29231" s="1" t="s">
        <v>29230</v>
      </c>
      <c r="B29231" s="2" t="str">
        <f>IFERROR(__xludf.DUMMYFUNCTION("GOOGLETRANSLATE(A29231, ""de"", ""en"")"),"washed up")</f>
        <v>washed up</v>
      </c>
    </row>
    <row r="29232">
      <c r="A29232" s="1" t="s">
        <v>29231</v>
      </c>
      <c r="B29232" s="2" t="str">
        <f>IFERROR(__xludf.DUMMYFUNCTION("GOOGLETRANSLATE(A29232, ""de"", ""en"")"),"pusher")</f>
        <v>pusher</v>
      </c>
    </row>
    <row r="29233">
      <c r="A29233" s="1" t="s">
        <v>29232</v>
      </c>
      <c r="B29233" s="2" t="str">
        <f>IFERROR(__xludf.DUMMYFUNCTION("GOOGLETRANSLATE(A29233, ""de"", ""en"")"),"chameleon")</f>
        <v>chameleon</v>
      </c>
    </row>
    <row r="29234">
      <c r="A29234" s="1" t="s">
        <v>29233</v>
      </c>
      <c r="B29234" s="2" t="str">
        <f>IFERROR(__xludf.DUMMYFUNCTION("GOOGLETRANSLATE(A29234, ""de"", ""en"")"),"Thawne")</f>
        <v>Thawne</v>
      </c>
    </row>
    <row r="29235">
      <c r="A29235" s="1" t="s">
        <v>29234</v>
      </c>
      <c r="B29235" s="2" t="str">
        <f>IFERROR(__xludf.DUMMYFUNCTION("GOOGLETRANSLATE(A29235, ""de"", ""en"")"),"nuclear war")</f>
        <v>nuclear war</v>
      </c>
    </row>
    <row r="29236">
      <c r="A29236" s="1" t="s">
        <v>29235</v>
      </c>
      <c r="B29236" s="2" t="str">
        <f>IFERROR(__xludf.DUMMYFUNCTION("GOOGLETRANSLATE(A29236, ""de"", ""en"")"),"ems")</f>
        <v>ems</v>
      </c>
    </row>
    <row r="29237">
      <c r="A29237" s="1" t="s">
        <v>29236</v>
      </c>
      <c r="B29237" s="2" t="str">
        <f>IFERROR(__xludf.DUMMYFUNCTION("GOOGLETRANSLATE(A29237, ""de"", ""en"")"),"lasso")</f>
        <v>lasso</v>
      </c>
    </row>
    <row r="29238">
      <c r="A29238" s="1" t="s">
        <v>29237</v>
      </c>
      <c r="B29238" s="2" t="str">
        <f>IFERROR(__xludf.DUMMYFUNCTION("GOOGLETRANSLATE(A29238, ""de"", ""en"")"),"security forces")</f>
        <v>security forces</v>
      </c>
    </row>
    <row r="29239">
      <c r="A29239" s="1" t="s">
        <v>29238</v>
      </c>
      <c r="B29239" s="2" t="str">
        <f>IFERROR(__xludf.DUMMYFUNCTION("GOOGLETRANSLATE(A29239, ""de"", ""en"")"),"tiny little one")</f>
        <v>tiny little one</v>
      </c>
    </row>
    <row r="29240">
      <c r="A29240" s="1" t="s">
        <v>29239</v>
      </c>
      <c r="B29240" s="2" t="str">
        <f>IFERROR(__xludf.DUMMYFUNCTION("GOOGLETRANSLATE(A29240, ""de"", ""en"")"),"islands")</f>
        <v>islands</v>
      </c>
    </row>
    <row r="29241">
      <c r="A29241" s="1" t="s">
        <v>29240</v>
      </c>
      <c r="B29241" s="2" t="str">
        <f>IFERROR(__xludf.DUMMYFUNCTION("GOOGLETRANSLATE(A29241, ""de"", ""en"")"),"started")</f>
        <v>started</v>
      </c>
    </row>
    <row r="29242">
      <c r="A29242" s="1" t="s">
        <v>29241</v>
      </c>
      <c r="B29242" s="2" t="str">
        <f>IFERROR(__xludf.DUMMYFUNCTION("GOOGLETRANSLATE(A29242, ""de"", ""en"")"),"condition")</f>
        <v>condition</v>
      </c>
    </row>
    <row r="29243">
      <c r="A29243" s="1" t="s">
        <v>29242</v>
      </c>
      <c r="B29243" s="2" t="str">
        <f>IFERROR(__xludf.DUMMYFUNCTION("GOOGLETRANSLATE(A29243, ""de"", ""en"")"),"suffered")</f>
        <v>suffered</v>
      </c>
    </row>
    <row r="29244">
      <c r="A29244" s="1" t="s">
        <v>29243</v>
      </c>
      <c r="B29244" s="2" t="str">
        <f>IFERROR(__xludf.DUMMYFUNCTION("GOOGLETRANSLATE(A29244, ""de"", ""en"")"),"carlitos")</f>
        <v>carlitos</v>
      </c>
    </row>
    <row r="29245">
      <c r="A29245" s="1" t="s">
        <v>29244</v>
      </c>
      <c r="B29245" s="2" t="str">
        <f>IFERROR(__xludf.DUMMYFUNCTION("GOOGLETRANSLATE(A29245, ""de"", ""en"")"),"photon torpedoes")</f>
        <v>photon torpedoes</v>
      </c>
    </row>
    <row r="29246">
      <c r="A29246" s="1" t="s">
        <v>29245</v>
      </c>
      <c r="B29246" s="2" t="str">
        <f>IFERROR(__xludf.DUMMYFUNCTION("GOOGLETRANSLATE(A29246, ""de"", ""en"")"),"procure")</f>
        <v>procure</v>
      </c>
    </row>
    <row r="29247">
      <c r="A29247" s="1" t="s">
        <v>29246</v>
      </c>
      <c r="B29247" s="2" t="str">
        <f>IFERROR(__xludf.DUMMYFUNCTION("GOOGLETRANSLATE(A29247, ""de"", ""en"")"),"encourage")</f>
        <v>encourage</v>
      </c>
    </row>
    <row r="29248">
      <c r="A29248" s="1" t="s">
        <v>29247</v>
      </c>
      <c r="B29248" s="2" t="str">
        <f>IFERROR(__xludf.DUMMYFUNCTION("GOOGLETRANSLATE(A29248, ""de"", ""en"")"),"keyhole")</f>
        <v>keyhole</v>
      </c>
    </row>
    <row r="29249">
      <c r="A29249" s="1" t="s">
        <v>29248</v>
      </c>
      <c r="B29249" s="2" t="str">
        <f>IFERROR(__xludf.DUMMYFUNCTION("GOOGLETRANSLATE(A29249, ""de"", ""en"")"),"flanders")</f>
        <v>flanders</v>
      </c>
    </row>
    <row r="29250">
      <c r="A29250" s="1" t="s">
        <v>29249</v>
      </c>
      <c r="B29250" s="2" t="str">
        <f>IFERROR(__xludf.DUMMYFUNCTION("GOOGLETRANSLATE(A29250, ""de"", ""en"")"),"hybrid")</f>
        <v>hybrid</v>
      </c>
    </row>
    <row r="29251">
      <c r="A29251" s="1" t="s">
        <v>29250</v>
      </c>
      <c r="B29251" s="2" t="str">
        <f>IFERROR(__xludf.DUMMYFUNCTION("GOOGLETRANSLATE(A29251, ""de"", ""en"")"),"filet")</f>
        <v>filet</v>
      </c>
    </row>
    <row r="29252">
      <c r="A29252" s="1" t="s">
        <v>29251</v>
      </c>
      <c r="B29252" s="2" t="str">
        <f>IFERROR(__xludf.DUMMYFUNCTION("GOOGLETRANSLATE(A29252, ""de"", ""en"")"),"motivations")</f>
        <v>motivations</v>
      </c>
    </row>
    <row r="29253">
      <c r="A29253" s="1" t="s">
        <v>29252</v>
      </c>
      <c r="B29253" s="2" t="str">
        <f>IFERROR(__xludf.DUMMYFUNCTION("GOOGLETRANSLATE(A29253, ""de"", ""en"")"),"sameer")</f>
        <v>sameer</v>
      </c>
    </row>
    <row r="29254">
      <c r="A29254" s="1" t="s">
        <v>29253</v>
      </c>
      <c r="B29254" s="2" t="str">
        <f>IFERROR(__xludf.DUMMYFUNCTION("GOOGLETRANSLATE(A29254, ""de"", ""en"")"),"anthrax")</f>
        <v>anthrax</v>
      </c>
    </row>
    <row r="29255">
      <c r="A29255" s="1" t="s">
        <v>29254</v>
      </c>
      <c r="B29255" s="2" t="str">
        <f>IFERROR(__xludf.DUMMYFUNCTION("GOOGLETRANSLATE(A29255, ""de"", ""en"")"),"dramas")</f>
        <v>dramas</v>
      </c>
    </row>
    <row r="29256">
      <c r="A29256" s="1" t="s">
        <v>29255</v>
      </c>
      <c r="B29256" s="2" t="str">
        <f>IFERROR(__xludf.DUMMYFUNCTION("GOOGLETRANSLATE(A29256, ""de"", ""en"")"),"capable")</f>
        <v>capable</v>
      </c>
    </row>
    <row r="29257">
      <c r="A29257" s="1" t="s">
        <v>29256</v>
      </c>
      <c r="B29257" s="2" t="str">
        <f>IFERROR(__xludf.DUMMYFUNCTION("GOOGLETRANSLATE(A29257, ""de"", ""en"")"),"kroll")</f>
        <v>kroll</v>
      </c>
    </row>
    <row r="29258">
      <c r="A29258" s="1" t="s">
        <v>29257</v>
      </c>
      <c r="B29258" s="2" t="str">
        <f>IFERROR(__xludf.DUMMYFUNCTION("GOOGLETRANSLATE(A29258, ""de"", ""en"")"),"confessions")</f>
        <v>confessions</v>
      </c>
    </row>
    <row r="29259">
      <c r="A29259" s="1" t="s">
        <v>29258</v>
      </c>
      <c r="B29259" s="2" t="str">
        <f>IFERROR(__xludf.DUMMYFUNCTION("GOOGLETRANSLATE(A29259, ""de"", ""en"")"),"coffee")</f>
        <v>coffee</v>
      </c>
    </row>
    <row r="29260">
      <c r="A29260" s="1" t="s">
        <v>29259</v>
      </c>
      <c r="B29260" s="2" t="str">
        <f>IFERROR(__xludf.DUMMYFUNCTION("GOOGLETRANSLATE(A29260, ""de"", ""en"")"),"polk")</f>
        <v>polk</v>
      </c>
    </row>
    <row r="29261">
      <c r="A29261" s="1" t="s">
        <v>29260</v>
      </c>
      <c r="B29261" s="2" t="str">
        <f>IFERROR(__xludf.DUMMYFUNCTION("GOOGLETRANSLATE(A29261, ""de"", ""en"")"),"provide")</f>
        <v>provide</v>
      </c>
    </row>
    <row r="29262">
      <c r="A29262" s="1" t="s">
        <v>29261</v>
      </c>
      <c r="B29262" s="2" t="str">
        <f>IFERROR(__xludf.DUMMYFUNCTION("GOOGLETRANSLATE(A29262, ""de"", ""en"")"),"homage")</f>
        <v>homage</v>
      </c>
    </row>
    <row r="29263">
      <c r="A29263" s="1" t="s">
        <v>29262</v>
      </c>
      <c r="B29263" s="2" t="str">
        <f>IFERROR(__xludf.DUMMYFUNCTION("GOOGLETRANSLATE(A29263, ""de"", ""en"")"),"stolen goods")</f>
        <v>stolen goods</v>
      </c>
    </row>
    <row r="29264">
      <c r="A29264" s="1" t="s">
        <v>29263</v>
      </c>
      <c r="B29264" s="2" t="str">
        <f>IFERROR(__xludf.DUMMYFUNCTION("GOOGLETRANSLATE(A29264, ""de"", ""en"")"),"suspected murder")</f>
        <v>suspected murder</v>
      </c>
    </row>
    <row r="29265">
      <c r="A29265" s="1" t="s">
        <v>29264</v>
      </c>
      <c r="B29265" s="2" t="str">
        <f>IFERROR(__xludf.DUMMYFUNCTION("GOOGLETRANSLATE(A29265, ""de"", ""en"")"),"warwick")</f>
        <v>warwick</v>
      </c>
    </row>
    <row r="29266">
      <c r="A29266" s="1" t="s">
        <v>29265</v>
      </c>
      <c r="B29266" s="2" t="str">
        <f>IFERROR(__xludf.DUMMYFUNCTION("GOOGLETRANSLATE(A29266, ""de"", ""en"")"),"Israeli")</f>
        <v>Israeli</v>
      </c>
    </row>
    <row r="29267">
      <c r="A29267" s="1" t="s">
        <v>29266</v>
      </c>
      <c r="B29267" s="2" t="str">
        <f>IFERROR(__xludf.DUMMYFUNCTION("GOOGLETRANSLATE(A29267, ""de"", ""en"")"),"markie")</f>
        <v>markie</v>
      </c>
    </row>
    <row r="29268">
      <c r="A29268" s="1" t="s">
        <v>29267</v>
      </c>
      <c r="B29268" s="2" t="str">
        <f>IFERROR(__xludf.DUMMYFUNCTION("GOOGLETRANSLATE(A29268, ""de"", ""en"")"),"tchitty")</f>
        <v>tchitty</v>
      </c>
    </row>
    <row r="29269">
      <c r="A29269" s="1" t="s">
        <v>29268</v>
      </c>
      <c r="B29269" s="2" t="str">
        <f>IFERROR(__xludf.DUMMYFUNCTION("GOOGLETRANSLATE(A29269, ""de"", ""en"")"),"convert")</f>
        <v>convert</v>
      </c>
    </row>
    <row r="29270">
      <c r="A29270" s="1" t="s">
        <v>29269</v>
      </c>
      <c r="B29270" s="2" t="str">
        <f>IFERROR(__xludf.DUMMYFUNCTION("GOOGLETRANSLATE(A29270, ""de"", ""en"")"),"spelling")</f>
        <v>spelling</v>
      </c>
    </row>
    <row r="29271">
      <c r="A29271" s="1" t="s">
        <v>29270</v>
      </c>
      <c r="B29271" s="2" t="str">
        <f>IFERROR(__xludf.DUMMYFUNCTION("GOOGLETRANSLATE(A29271, ""de"", ""en"")"),"fraction")</f>
        <v>fraction</v>
      </c>
    </row>
    <row r="29272">
      <c r="A29272" s="1" t="s">
        <v>29271</v>
      </c>
      <c r="B29272" s="2" t="str">
        <f>IFERROR(__xludf.DUMMYFUNCTION("GOOGLETRANSLATE(A29272, ""de"", ""en"")"),"ke")</f>
        <v>ke</v>
      </c>
    </row>
    <row r="29273">
      <c r="A29273" s="1" t="s">
        <v>29272</v>
      </c>
      <c r="B29273" s="2" t="str">
        <f>IFERROR(__xludf.DUMMYFUNCTION("GOOGLETRANSLATE(A29273, ""de"", ""en"")"),"brand")</f>
        <v>brand</v>
      </c>
    </row>
    <row r="29274">
      <c r="A29274" s="1" t="s">
        <v>29273</v>
      </c>
      <c r="B29274" s="2" t="str">
        <f>IFERROR(__xludf.DUMMYFUNCTION("GOOGLETRANSLATE(A29274, ""de"", ""en"")"),"perrin")</f>
        <v>perrin</v>
      </c>
    </row>
    <row r="29275">
      <c r="A29275" s="1" t="s">
        <v>29274</v>
      </c>
      <c r="B29275" s="2" t="str">
        <f>IFERROR(__xludf.DUMMYFUNCTION("GOOGLETRANSLATE(A29275, ""de"", ""en"")"),"cetera")</f>
        <v>cetera</v>
      </c>
    </row>
    <row r="29276">
      <c r="A29276" s="1" t="s">
        <v>29275</v>
      </c>
      <c r="B29276" s="2" t="str">
        <f>IFERROR(__xludf.DUMMYFUNCTION("GOOGLETRANSLATE(A29276, ""de"", ""en"")"),"logical")</f>
        <v>logical</v>
      </c>
    </row>
    <row r="29277">
      <c r="A29277" s="1" t="s">
        <v>29276</v>
      </c>
      <c r="B29277" s="2" t="str">
        <f>IFERROR(__xludf.DUMMYFUNCTION("GOOGLETRANSLATE(A29277, ""de"", ""en"")"),"knife")</f>
        <v>knife</v>
      </c>
    </row>
    <row r="29278">
      <c r="A29278" s="1" t="s">
        <v>29277</v>
      </c>
      <c r="B29278" s="2" t="str">
        <f>IFERROR(__xludf.DUMMYFUNCTION("GOOGLETRANSLATE(A29278, ""de"", ""en"")"),"simple")</f>
        <v>simple</v>
      </c>
    </row>
    <row r="29279">
      <c r="A29279" s="1" t="s">
        <v>29278</v>
      </c>
      <c r="B29279" s="2" t="str">
        <f>IFERROR(__xludf.DUMMYFUNCTION("GOOGLETRANSLATE(A29279, ""de"", ""en"")"),"return journey")</f>
        <v>return journey</v>
      </c>
    </row>
    <row r="29280">
      <c r="A29280" s="1" t="s">
        <v>29279</v>
      </c>
      <c r="B29280" s="2" t="str">
        <f>IFERROR(__xludf.DUMMYFUNCTION("GOOGLETRANSLATE(A29280, ""de"", ""en"")"),"update")</f>
        <v>update</v>
      </c>
    </row>
    <row r="29281">
      <c r="A29281" s="1" t="s">
        <v>29280</v>
      </c>
      <c r="B29281" s="2" t="str">
        <f>IFERROR(__xludf.DUMMYFUNCTION("GOOGLETRANSLATE(A29281, ""de"", ""en"")"),"more magnificent")</f>
        <v>more magnificent</v>
      </c>
    </row>
    <row r="29282">
      <c r="A29282" s="1" t="s">
        <v>29281</v>
      </c>
      <c r="B29282" s="2" t="str">
        <f>IFERROR(__xludf.DUMMYFUNCTION("GOOGLETRANSLATE(A29282, ""de"", ""en"")"),"meetings")</f>
        <v>meetings</v>
      </c>
    </row>
    <row r="29283">
      <c r="A29283" s="1" t="s">
        <v>29282</v>
      </c>
      <c r="B29283" s="2" t="str">
        <f>IFERROR(__xludf.DUMMYFUNCTION("GOOGLETRANSLATE(A29283, ""de"", ""en"")"),"strenuous")</f>
        <v>strenuous</v>
      </c>
    </row>
    <row r="29284">
      <c r="A29284" s="1" t="s">
        <v>29283</v>
      </c>
      <c r="B29284" s="2" t="str">
        <f>IFERROR(__xludf.DUMMYFUNCTION("GOOGLETRANSLATE(A29284, ""de"", ""en"")"),"conroy")</f>
        <v>conroy</v>
      </c>
    </row>
    <row r="29285">
      <c r="A29285" s="1" t="s">
        <v>29284</v>
      </c>
      <c r="B29285" s="2" t="str">
        <f>IFERROR(__xludf.DUMMYFUNCTION("GOOGLETRANSLATE(A29285, ""de"", ""en"")"),"aguilar")</f>
        <v>aguilar</v>
      </c>
    </row>
    <row r="29286">
      <c r="A29286" s="1" t="s">
        <v>29285</v>
      </c>
      <c r="B29286" s="2" t="str">
        <f>IFERROR(__xludf.DUMMYFUNCTION("GOOGLETRANSLATE(A29286, ""de"", ""en"")"),"protect")</f>
        <v>protect</v>
      </c>
    </row>
    <row r="29287">
      <c r="A29287" s="1" t="s">
        <v>29286</v>
      </c>
      <c r="B29287" s="2" t="str">
        <f>IFERROR(__xludf.DUMMYFUNCTION("GOOGLETRANSLATE(A29287, ""de"", ""en"")"),"ask around")</f>
        <v>ask around</v>
      </c>
    </row>
    <row r="29288">
      <c r="A29288" s="1" t="s">
        <v>29287</v>
      </c>
      <c r="B29288" s="2" t="str">
        <f>IFERROR(__xludf.DUMMYFUNCTION("GOOGLETRANSLATE(A29288, ""de"", ""en"")"),"desert")</f>
        <v>desert</v>
      </c>
    </row>
    <row r="29289">
      <c r="A29289" s="1" t="s">
        <v>29288</v>
      </c>
      <c r="B29289" s="2" t="str">
        <f>IFERROR(__xludf.DUMMYFUNCTION("GOOGLETRANSLATE(A29289, ""de"", ""en"")"),"lagoon")</f>
        <v>lagoon</v>
      </c>
    </row>
    <row r="29290">
      <c r="A29290" s="1" t="s">
        <v>29289</v>
      </c>
      <c r="B29290" s="2" t="str">
        <f>IFERROR(__xludf.DUMMYFUNCTION("GOOGLETRANSLATE(A29290, ""de"", ""en"")"),"colors")</f>
        <v>colors</v>
      </c>
    </row>
    <row r="29291">
      <c r="A29291" s="1" t="s">
        <v>29290</v>
      </c>
      <c r="B29291" s="2" t="str">
        <f>IFERROR(__xludf.DUMMYFUNCTION("GOOGLETRANSLATE(A29291, ""de"", ""en"")"),"invade")</f>
        <v>invade</v>
      </c>
    </row>
    <row r="29292">
      <c r="A29292" s="1" t="s">
        <v>29291</v>
      </c>
      <c r="B29292" s="2" t="str">
        <f>IFERROR(__xludf.DUMMYFUNCTION("GOOGLETRANSLATE(A29292, ""de"", ""en"")"),"governor")</f>
        <v>governor</v>
      </c>
    </row>
    <row r="29293">
      <c r="A29293" s="1" t="s">
        <v>29292</v>
      </c>
      <c r="B29293" s="2" t="str">
        <f>IFERROR(__xludf.DUMMYFUNCTION("GOOGLETRANSLATE(A29293, ""de"", ""en"")"),"consent")</f>
        <v>consent</v>
      </c>
    </row>
    <row r="29294">
      <c r="A29294" s="1" t="s">
        <v>29293</v>
      </c>
      <c r="B29294" s="2" t="str">
        <f>IFERROR(__xludf.DUMMYFUNCTION("GOOGLETRANSLATE(A29294, ""de"", ""en"")"),"blackstone")</f>
        <v>blackstone</v>
      </c>
    </row>
    <row r="29295">
      <c r="A29295" s="1" t="s">
        <v>29294</v>
      </c>
      <c r="B29295" s="2" t="str">
        <f>IFERROR(__xludf.DUMMYFUNCTION("GOOGLETRANSLATE(A29295, ""de"", ""en"")"),"petroleum")</f>
        <v>petroleum</v>
      </c>
    </row>
    <row r="29296">
      <c r="A29296" s="1" t="s">
        <v>29295</v>
      </c>
      <c r="B29296" s="2" t="str">
        <f>IFERROR(__xludf.DUMMYFUNCTION("GOOGLETRANSLATE(A29296, ""de"", ""en"")"),"based")</f>
        <v>based</v>
      </c>
    </row>
    <row r="29297">
      <c r="A29297" s="1" t="s">
        <v>29296</v>
      </c>
      <c r="B29297" s="2" t="str">
        <f>IFERROR(__xludf.DUMMYFUNCTION("GOOGLETRANSLATE(A29297, ""de"", ""en"")"),"show")</f>
        <v>show</v>
      </c>
    </row>
    <row r="29298">
      <c r="A29298" s="1" t="s">
        <v>29297</v>
      </c>
      <c r="B29298" s="2" t="str">
        <f>IFERROR(__xludf.DUMMYFUNCTION("GOOGLETRANSLATE(A29298, ""de"", ""en"")"),"Ilse")</f>
        <v>Ilse</v>
      </c>
    </row>
    <row r="29299">
      <c r="A29299" s="1" t="s">
        <v>29298</v>
      </c>
      <c r="B29299" s="2" t="str">
        <f>IFERROR(__xludf.DUMMYFUNCTION("GOOGLETRANSLATE(A29299, ""de"", ""en"")"),"bitch")</f>
        <v>bitch</v>
      </c>
    </row>
    <row r="29300">
      <c r="A29300" s="1" t="s">
        <v>29299</v>
      </c>
      <c r="B29300" s="2" t="str">
        <f>IFERROR(__xludf.DUMMYFUNCTION("GOOGLETRANSLATE(A29300, ""de"", ""en"")"),"time pressure")</f>
        <v>time pressure</v>
      </c>
    </row>
    <row r="29301">
      <c r="A29301" s="1" t="s">
        <v>29300</v>
      </c>
      <c r="B29301" s="2" t="str">
        <f>IFERROR(__xludf.DUMMYFUNCTION("GOOGLETRANSLATE(A29301, ""de"", ""en"")"),"Thursday evening")</f>
        <v>Thursday evening</v>
      </c>
    </row>
    <row r="29302">
      <c r="A29302" s="1" t="s">
        <v>29301</v>
      </c>
      <c r="B29302" s="2" t="str">
        <f>IFERROR(__xludf.DUMMYFUNCTION("GOOGLETRANSLATE(A29302, ""de"", ""en"")"),"knit")</f>
        <v>knit</v>
      </c>
    </row>
    <row r="29303">
      <c r="A29303" s="1" t="s">
        <v>29302</v>
      </c>
      <c r="B29303" s="2" t="str">
        <f>IFERROR(__xludf.DUMMYFUNCTION("GOOGLETRANSLATE(A29303, ""de"", ""en"")"),"frontal")</f>
        <v>frontal</v>
      </c>
    </row>
    <row r="29304">
      <c r="A29304" s="1" t="s">
        <v>29303</v>
      </c>
      <c r="B29304" s="2" t="str">
        <f>IFERROR(__xludf.DUMMYFUNCTION("GOOGLETRANSLATE(A29304, ""de"", ""en"")"),"goes down")</f>
        <v>goes down</v>
      </c>
    </row>
    <row r="29305">
      <c r="A29305" s="1" t="s">
        <v>29304</v>
      </c>
      <c r="B29305" s="2" t="str">
        <f>IFERROR(__xludf.DUMMYFUNCTION("GOOGLETRANSLATE(A29305, ""de"", ""en"")"),"narrow")</f>
        <v>narrow</v>
      </c>
    </row>
    <row r="29306">
      <c r="A29306" s="1" t="s">
        <v>29305</v>
      </c>
      <c r="B29306" s="2" t="str">
        <f>IFERROR(__xludf.DUMMYFUNCTION("GOOGLETRANSLATE(A29306, ""de"", ""en"")"),"press spokesman")</f>
        <v>press spokesman</v>
      </c>
    </row>
    <row r="29307">
      <c r="A29307" s="1" t="s">
        <v>29306</v>
      </c>
      <c r="B29307" s="2" t="str">
        <f>IFERROR(__xludf.DUMMYFUNCTION("GOOGLETRANSLATE(A29307, ""de"", ""en"")"),"pubic hair")</f>
        <v>pubic hair</v>
      </c>
    </row>
    <row r="29308">
      <c r="A29308" s="1" t="s">
        <v>29307</v>
      </c>
      <c r="B29308" s="2" t="str">
        <f>IFERROR(__xludf.DUMMYFUNCTION("GOOGLETRANSLATE(A29308, ""de"", ""en"")"),"unusual")</f>
        <v>unusual</v>
      </c>
    </row>
    <row r="29309">
      <c r="A29309" s="1" t="s">
        <v>29308</v>
      </c>
      <c r="B29309" s="2" t="str">
        <f>IFERROR(__xludf.DUMMYFUNCTION("GOOGLETRANSLATE(A29309, ""de"", ""en"")"),"irrevocable")</f>
        <v>irrevocable</v>
      </c>
    </row>
    <row r="29310">
      <c r="A29310" s="1" t="s">
        <v>29309</v>
      </c>
      <c r="B29310" s="2" t="str">
        <f>IFERROR(__xludf.DUMMYFUNCTION("GOOGLETRANSLATE(A29310, ""de"", ""en"")"),"gets along")</f>
        <v>gets along</v>
      </c>
    </row>
    <row r="29311">
      <c r="A29311" s="1" t="s">
        <v>29310</v>
      </c>
      <c r="B29311" s="2" t="str">
        <f>IFERROR(__xludf.DUMMYFUNCTION("GOOGLETRANSLATE(A29311, ""de"", ""en"")"),"petrified")</f>
        <v>petrified</v>
      </c>
    </row>
    <row r="29312">
      <c r="A29312" s="1" t="s">
        <v>29311</v>
      </c>
      <c r="B29312" s="2" t="str">
        <f>IFERROR(__xludf.DUMMYFUNCTION("GOOGLETRANSLATE(A29312, ""de"", ""en"")"),"violence")</f>
        <v>violence</v>
      </c>
    </row>
    <row r="29313">
      <c r="A29313" s="1" t="s">
        <v>29312</v>
      </c>
      <c r="B29313" s="2" t="str">
        <f>IFERROR(__xludf.DUMMYFUNCTION("GOOGLETRANSLATE(A29313, ""de"", ""en"")"),"crazy")</f>
        <v>crazy</v>
      </c>
    </row>
    <row r="29314">
      <c r="A29314" s="1" t="s">
        <v>29313</v>
      </c>
      <c r="B29314" s="2" t="str">
        <f>IFERROR(__xludf.DUMMYFUNCTION("GOOGLETRANSLATE(A29314, ""de"", ""en"")"),"petes")</f>
        <v>petes</v>
      </c>
    </row>
    <row r="29315">
      <c r="A29315" s="1" t="s">
        <v>29314</v>
      </c>
      <c r="B29315" s="2" t="str">
        <f>IFERROR(__xludf.DUMMYFUNCTION("GOOGLETRANSLATE(A29315, ""de"", ""en"")"),"head waiter")</f>
        <v>head waiter</v>
      </c>
    </row>
    <row r="29316">
      <c r="A29316" s="1" t="s">
        <v>29315</v>
      </c>
      <c r="B29316" s="2" t="str">
        <f>IFERROR(__xludf.DUMMYFUNCTION("GOOGLETRANSLATE(A29316, ""de"", ""en"")"),"navigate")</f>
        <v>navigate</v>
      </c>
    </row>
    <row r="29317">
      <c r="A29317" s="1" t="s">
        <v>29316</v>
      </c>
      <c r="B29317" s="2" t="str">
        <f>IFERROR(__xludf.DUMMYFUNCTION("GOOGLETRANSLATE(A29317, ""de"", ""en"")"),"brave")</f>
        <v>brave</v>
      </c>
    </row>
    <row r="29318">
      <c r="A29318" s="1" t="s">
        <v>29317</v>
      </c>
      <c r="B29318" s="2" t="str">
        <f>IFERROR(__xludf.DUMMYFUNCTION("GOOGLETRANSLATE(A29318, ""de"", ""en"")"),"chew")</f>
        <v>chew</v>
      </c>
    </row>
    <row r="29319">
      <c r="A29319" s="1" t="s">
        <v>29318</v>
      </c>
      <c r="B29319" s="2" t="str">
        <f>IFERROR(__xludf.DUMMYFUNCTION("GOOGLETRANSLATE(A29319, ""de"", ""en"")"),"Deans")</f>
        <v>Deans</v>
      </c>
    </row>
    <row r="29320">
      <c r="A29320" s="1" t="s">
        <v>29319</v>
      </c>
      <c r="B29320" s="2" t="str">
        <f>IFERROR(__xludf.DUMMYFUNCTION("GOOGLETRANSLATE(A29320, ""de"", ""en"")"),"walrus")</f>
        <v>walrus</v>
      </c>
    </row>
    <row r="29321">
      <c r="A29321" s="1" t="s">
        <v>29320</v>
      </c>
      <c r="B29321" s="2" t="str">
        <f>IFERROR(__xludf.DUMMYFUNCTION("GOOGLETRANSLATE(A29321, ""de"", ""en"")"),"to attend")</f>
        <v>to attend</v>
      </c>
    </row>
    <row r="29322">
      <c r="A29322" s="1" t="s">
        <v>29321</v>
      </c>
      <c r="B29322" s="2" t="str">
        <f>IFERROR(__xludf.DUMMYFUNCTION("GOOGLETRANSLATE(A29322, ""de"", ""en"")"),"forearm")</f>
        <v>forearm</v>
      </c>
    </row>
    <row r="29323">
      <c r="A29323" s="1" t="s">
        <v>29322</v>
      </c>
      <c r="B29323" s="2" t="str">
        <f>IFERROR(__xludf.DUMMYFUNCTION("GOOGLETRANSLATE(A29323, ""de"", ""en"")"),"scratch")</f>
        <v>scratch</v>
      </c>
    </row>
    <row r="29324">
      <c r="A29324" s="1" t="s">
        <v>29323</v>
      </c>
      <c r="B29324" s="2" t="str">
        <f>IFERROR(__xludf.DUMMYFUNCTION("GOOGLETRANSLATE(A29324, ""de"", ""en"")"),"relic")</f>
        <v>relic</v>
      </c>
    </row>
    <row r="29325">
      <c r="A29325" s="1" t="s">
        <v>29324</v>
      </c>
      <c r="B29325" s="2" t="str">
        <f>IFERROR(__xludf.DUMMYFUNCTION("GOOGLETRANSLATE(A29325, ""de"", ""en"")"),"security risk")</f>
        <v>security risk</v>
      </c>
    </row>
    <row r="29326">
      <c r="A29326" s="1" t="s">
        <v>29325</v>
      </c>
      <c r="B29326" s="2" t="str">
        <f>IFERROR(__xludf.DUMMYFUNCTION("GOOGLETRANSLATE(A29326, ""de"", ""en"")"),"acceptance")</f>
        <v>acceptance</v>
      </c>
    </row>
    <row r="29327">
      <c r="A29327" s="1" t="s">
        <v>29326</v>
      </c>
      <c r="B29327" s="2" t="str">
        <f>IFERROR(__xludf.DUMMYFUNCTION("GOOGLETRANSLATE(A29327, ""de"", ""en"")"),"more sudden")</f>
        <v>more sudden</v>
      </c>
    </row>
    <row r="29328">
      <c r="A29328" s="1" t="s">
        <v>29327</v>
      </c>
      <c r="B29328" s="2" t="str">
        <f>IFERROR(__xludf.DUMMYFUNCTION("GOOGLETRANSLATE(A29328, ""de"", ""en"")"),"interruptions")</f>
        <v>interruptions</v>
      </c>
    </row>
    <row r="29329">
      <c r="A29329" s="1" t="s">
        <v>29328</v>
      </c>
      <c r="B29329" s="2" t="str">
        <f>IFERROR(__xludf.DUMMYFUNCTION("GOOGLETRANSLATE(A29329, ""de"", ""en"")"),"shooting distance")</f>
        <v>shooting distance</v>
      </c>
    </row>
    <row r="29330">
      <c r="A29330" s="1" t="s">
        <v>29329</v>
      </c>
      <c r="B29330" s="2" t="str">
        <f>IFERROR(__xludf.DUMMYFUNCTION("GOOGLETRANSLATE(A29330, ""de"", ""en"")"),"profiles")</f>
        <v>profiles</v>
      </c>
    </row>
    <row r="29331">
      <c r="A29331" s="1" t="s">
        <v>29330</v>
      </c>
      <c r="B29331" s="2" t="str">
        <f>IFERROR(__xludf.DUMMYFUNCTION("GOOGLETRANSLATE(A29331, ""de"", ""en"")"),"cleverberger")</f>
        <v>cleverberger</v>
      </c>
    </row>
    <row r="29332">
      <c r="A29332" s="1" t="s">
        <v>29331</v>
      </c>
      <c r="B29332" s="2" t="str">
        <f>IFERROR(__xludf.DUMMYFUNCTION("GOOGLETRANSLATE(A29332, ""de"", ""en"")"),"ride a bike")</f>
        <v>ride a bike</v>
      </c>
    </row>
    <row r="29333">
      <c r="A29333" s="1" t="s">
        <v>29332</v>
      </c>
      <c r="B29333" s="2" t="str">
        <f>IFERROR(__xludf.DUMMYFUNCTION("GOOGLETRANSLATE(A29333, ""de"", ""en"")"),"ucla")</f>
        <v>ucla</v>
      </c>
    </row>
    <row r="29334">
      <c r="A29334" s="1" t="s">
        <v>29333</v>
      </c>
      <c r="B29334" s="2" t="str">
        <f>IFERROR(__xludf.DUMMYFUNCTION("GOOGLETRANSLATE(A29334, ""de"", ""en"")"),"backpage")</f>
        <v>backpage</v>
      </c>
    </row>
    <row r="29335">
      <c r="A29335" s="1" t="s">
        <v>29334</v>
      </c>
      <c r="B29335" s="2" t="str">
        <f>IFERROR(__xludf.DUMMYFUNCTION("GOOGLETRANSLATE(A29335, ""de"", ""en"")"),"airwolf")</f>
        <v>airwolf</v>
      </c>
    </row>
    <row r="29336">
      <c r="A29336" s="1" t="s">
        <v>29335</v>
      </c>
      <c r="B29336" s="2" t="str">
        <f>IFERROR(__xludf.DUMMYFUNCTION("GOOGLETRANSLATE(A29336, ""de"", ""en"")"),"borgias")</f>
        <v>borgias</v>
      </c>
    </row>
    <row r="29337">
      <c r="A29337" s="1" t="s">
        <v>29336</v>
      </c>
      <c r="B29337" s="2" t="str">
        <f>IFERROR(__xludf.DUMMYFUNCTION("GOOGLETRANSLATE(A29337, ""de"", ""en"")"),"book")</f>
        <v>book</v>
      </c>
    </row>
    <row r="29338">
      <c r="A29338" s="1" t="s">
        <v>29337</v>
      </c>
      <c r="B29338" s="2" t="str">
        <f>IFERROR(__xludf.DUMMYFUNCTION("GOOGLETRANSLATE(A29338, ""de"", ""en"")"),"gettysburg")</f>
        <v>gettysburg</v>
      </c>
    </row>
    <row r="29339">
      <c r="A29339" s="1" t="s">
        <v>29338</v>
      </c>
      <c r="B29339" s="2" t="str">
        <f>IFERROR(__xludf.DUMMYFUNCTION("GOOGLETRANSLATE(A29339, ""de"", ""en"")"),"behind")</f>
        <v>behind</v>
      </c>
    </row>
    <row r="29340">
      <c r="A29340" s="1" t="s">
        <v>29339</v>
      </c>
      <c r="B29340" s="2" t="str">
        <f>IFERROR(__xludf.DUMMYFUNCTION("GOOGLETRANSLATE(A29340, ""de"", ""en"")"),"conception")</f>
        <v>conception</v>
      </c>
    </row>
    <row r="29341">
      <c r="A29341" s="1" t="s">
        <v>29340</v>
      </c>
      <c r="B29341" s="2" t="str">
        <f>IFERROR(__xludf.DUMMYFUNCTION("GOOGLETRANSLATE(A29341, ""de"", ""en"")"),"guinea pig")</f>
        <v>guinea pig</v>
      </c>
    </row>
    <row r="29342">
      <c r="A29342" s="1" t="s">
        <v>29341</v>
      </c>
      <c r="B29342" s="2" t="str">
        <f>IFERROR(__xludf.DUMMYFUNCTION("GOOGLETRANSLATE(A29342, ""de"", ""en"")"),"hostile")</f>
        <v>hostile</v>
      </c>
    </row>
    <row r="29343">
      <c r="A29343" s="1" t="s">
        <v>29342</v>
      </c>
      <c r="B29343" s="2" t="str">
        <f>IFERROR(__xludf.DUMMYFUNCTION("GOOGLETRANSLATE(A29343, ""de"", ""en"")"),"disgraceful")</f>
        <v>disgraceful</v>
      </c>
    </row>
    <row r="29344">
      <c r="A29344" s="1" t="s">
        <v>29343</v>
      </c>
      <c r="B29344" s="2" t="str">
        <f>IFERROR(__xludf.DUMMYFUNCTION("GOOGLETRANSLATE(A29344, ""de"", ""en"")"),"fillory")</f>
        <v>fillory</v>
      </c>
    </row>
    <row r="29345">
      <c r="A29345" s="1" t="s">
        <v>29344</v>
      </c>
      <c r="B29345" s="2" t="str">
        <f>IFERROR(__xludf.DUMMYFUNCTION("GOOGLETRANSLATE(A29345, ""de"", ""en"")"),"mumble")</f>
        <v>mumble</v>
      </c>
    </row>
    <row r="29346">
      <c r="A29346" s="1" t="s">
        <v>29345</v>
      </c>
      <c r="B29346" s="2" t="str">
        <f>IFERROR(__xludf.DUMMYFUNCTION("GOOGLETRANSLATE(A29346, ""de"", ""en"")"),"robbi")</f>
        <v>robbi</v>
      </c>
    </row>
    <row r="29347">
      <c r="A29347" s="1" t="s">
        <v>29346</v>
      </c>
      <c r="B29347" s="2" t="str">
        <f>IFERROR(__xludf.DUMMYFUNCTION("GOOGLETRANSLATE(A29347, ""de"", ""en"")"),"savoy")</f>
        <v>savoy</v>
      </c>
    </row>
    <row r="29348">
      <c r="A29348" s="1" t="s">
        <v>29347</v>
      </c>
      <c r="B29348" s="2" t="str">
        <f>IFERROR(__xludf.DUMMYFUNCTION("GOOGLETRANSLATE(A29348, ""de"", ""en"")"),"base camp")</f>
        <v>base camp</v>
      </c>
    </row>
    <row r="29349">
      <c r="A29349" s="1" t="s">
        <v>29348</v>
      </c>
      <c r="B29349" s="2" t="str">
        <f>IFERROR(__xludf.DUMMYFUNCTION("GOOGLETRANSLATE(A29349, ""de"", ""en"")"),"hers")</f>
        <v>hers</v>
      </c>
    </row>
    <row r="29350">
      <c r="A29350" s="1" t="s">
        <v>29349</v>
      </c>
      <c r="B29350" s="2" t="str">
        <f>IFERROR(__xludf.DUMMYFUNCTION("GOOGLETRANSLATE(A29350, ""de"", ""en"")"),"five year old")</f>
        <v>five year old</v>
      </c>
    </row>
    <row r="29351">
      <c r="A29351" s="1" t="s">
        <v>29350</v>
      </c>
      <c r="B29351" s="2" t="str">
        <f>IFERROR(__xludf.DUMMYFUNCTION("GOOGLETRANSLATE(A29351, ""de"", ""en"")"),"extras")</f>
        <v>extras</v>
      </c>
    </row>
    <row r="29352">
      <c r="A29352" s="1" t="s">
        <v>29351</v>
      </c>
      <c r="B29352" s="2" t="str">
        <f>IFERROR(__xludf.DUMMYFUNCTION("GOOGLETRANSLATE(A29352, ""de"", ""en"")"),"Lakers")</f>
        <v>Lakers</v>
      </c>
    </row>
    <row r="29353">
      <c r="A29353" s="1" t="s">
        <v>29352</v>
      </c>
      <c r="B29353" s="2" t="str">
        <f>IFERROR(__xludf.DUMMYFUNCTION("GOOGLETRANSLATE(A29353, ""de"", ""en"")"),"tablet")</f>
        <v>tablet</v>
      </c>
    </row>
    <row r="29354">
      <c r="A29354" s="1" t="s">
        <v>29353</v>
      </c>
      <c r="B29354" s="2" t="str">
        <f>IFERROR(__xludf.DUMMYFUNCTION("GOOGLETRANSLATE(A29354, ""de"", ""en"")"),"transformation")</f>
        <v>transformation</v>
      </c>
    </row>
    <row r="29355">
      <c r="A29355" s="1" t="s">
        <v>29354</v>
      </c>
      <c r="B29355" s="2" t="str">
        <f>IFERROR(__xludf.DUMMYFUNCTION("GOOGLETRANSLATE(A29355, ""de"", ""en"")"),"donnell")</f>
        <v>donnell</v>
      </c>
    </row>
    <row r="29356">
      <c r="A29356" s="1" t="s">
        <v>29355</v>
      </c>
      <c r="B29356" s="2" t="str">
        <f>IFERROR(__xludf.DUMMYFUNCTION("GOOGLETRANSLATE(A29356, ""de"", ""en"")"),"for your sake")</f>
        <v>for your sake</v>
      </c>
    </row>
    <row r="29357">
      <c r="A29357" s="1" t="s">
        <v>29356</v>
      </c>
      <c r="B29357" s="2" t="str">
        <f>IFERROR(__xludf.DUMMYFUNCTION("GOOGLETRANSLATE(A29357, ""de"", ""en"")"),"terrorize")</f>
        <v>terrorize</v>
      </c>
    </row>
    <row r="29358">
      <c r="A29358" s="1" t="s">
        <v>29357</v>
      </c>
      <c r="B29358" s="2" t="str">
        <f>IFERROR(__xludf.DUMMYFUNCTION("GOOGLETRANSLATE(A29358, ""de"", ""en"")"),"fata")</f>
        <v>fata</v>
      </c>
    </row>
    <row r="29359">
      <c r="A29359" s="1" t="s">
        <v>29358</v>
      </c>
      <c r="B29359" s="2" t="str">
        <f>IFERROR(__xludf.DUMMYFUNCTION("GOOGLETRANSLATE(A29359, ""de"", ""en"")"),"distance")</f>
        <v>distance</v>
      </c>
    </row>
    <row r="29360">
      <c r="A29360" s="1" t="s">
        <v>29359</v>
      </c>
      <c r="B29360" s="2" t="str">
        <f>IFERROR(__xludf.DUMMYFUNCTION("GOOGLETRANSLATE(A29360, ""de"", ""en"")"),"stables")</f>
        <v>stables</v>
      </c>
    </row>
    <row r="29361">
      <c r="A29361" s="1" t="s">
        <v>29360</v>
      </c>
      <c r="B29361" s="2" t="str">
        <f>IFERROR(__xludf.DUMMYFUNCTION("GOOGLETRANSLATE(A29361, ""de"", ""en"")"),"animal")</f>
        <v>animal</v>
      </c>
    </row>
    <row r="29362">
      <c r="A29362" s="1" t="s">
        <v>29361</v>
      </c>
      <c r="B29362" s="2" t="str">
        <f>IFERROR(__xludf.DUMMYFUNCTION("GOOGLETRANSLATE(A29362, ""de"", ""en"")"),"jiro")</f>
        <v>jiro</v>
      </c>
    </row>
    <row r="29363">
      <c r="A29363" s="1" t="s">
        <v>29362</v>
      </c>
      <c r="B29363" s="2" t="str">
        <f>IFERROR(__xludf.DUMMYFUNCTION("GOOGLETRANSLATE(A29363, ""de"", ""en"")"),"dump")</f>
        <v>dump</v>
      </c>
    </row>
    <row r="29364">
      <c r="A29364" s="1" t="s">
        <v>29363</v>
      </c>
      <c r="B29364" s="2" t="str">
        <f>IFERROR(__xludf.DUMMYFUNCTION("GOOGLETRANSLATE(A29364, ""de"", ""en"")"),"children's voices")</f>
        <v>children's voices</v>
      </c>
    </row>
    <row r="29365">
      <c r="A29365" s="1" t="s">
        <v>29364</v>
      </c>
      <c r="B29365" s="2" t="str">
        <f>IFERROR(__xludf.DUMMYFUNCTION("GOOGLETRANSLATE(A29365, ""de"", ""en"")"),"sharif")</f>
        <v>sharif</v>
      </c>
    </row>
    <row r="29366">
      <c r="A29366" s="1" t="s">
        <v>29365</v>
      </c>
      <c r="B29366" s="2" t="str">
        <f>IFERROR(__xludf.DUMMYFUNCTION("GOOGLETRANSLATE(A29366, ""de"", ""en"")"),"skydiver")</f>
        <v>skydiver</v>
      </c>
    </row>
    <row r="29367">
      <c r="A29367" s="1" t="s">
        <v>29366</v>
      </c>
      <c r="B29367" s="2" t="str">
        <f>IFERROR(__xludf.DUMMYFUNCTION("GOOGLETRANSLATE(A29367, ""de"", ""en"")"),"energy field")</f>
        <v>energy field</v>
      </c>
    </row>
    <row r="29368">
      <c r="A29368" s="1" t="s">
        <v>29367</v>
      </c>
      <c r="B29368" s="2" t="str">
        <f>IFERROR(__xludf.DUMMYFUNCTION("GOOGLETRANSLATE(A29368, ""de"", ""en"")"),"Tuesday evening")</f>
        <v>Tuesday evening</v>
      </c>
    </row>
    <row r="29369">
      <c r="A29369" s="1" t="s">
        <v>29368</v>
      </c>
      <c r="B29369" s="2" t="str">
        <f>IFERROR(__xludf.DUMMYFUNCTION("GOOGLETRANSLATE(A29369, ""de"", ""en"")"),"ladders")</f>
        <v>ladders</v>
      </c>
    </row>
    <row r="29370">
      <c r="A29370" s="1" t="s">
        <v>29369</v>
      </c>
      <c r="B29370" s="2" t="str">
        <f>IFERROR(__xludf.DUMMYFUNCTION("GOOGLETRANSLATE(A29370, ""de"", ""en"")"),"strategic")</f>
        <v>strategic</v>
      </c>
    </row>
    <row r="29371">
      <c r="A29371" s="1" t="s">
        <v>29370</v>
      </c>
      <c r="B29371" s="2" t="str">
        <f>IFERROR(__xludf.DUMMYFUNCTION("GOOGLETRANSLATE(A29371, ""de"", ""en"")"),"cy")</f>
        <v>cy</v>
      </c>
    </row>
    <row r="29372">
      <c r="A29372" s="1" t="s">
        <v>29371</v>
      </c>
      <c r="B29372" s="2" t="str">
        <f>IFERROR(__xludf.DUMMYFUNCTION("GOOGLETRANSLATE(A29372, ""de"", ""en"")"),"napalm")</f>
        <v>napalm</v>
      </c>
    </row>
    <row r="29373">
      <c r="A29373" s="1" t="s">
        <v>29372</v>
      </c>
      <c r="B29373" s="2" t="str">
        <f>IFERROR(__xludf.DUMMYFUNCTION("GOOGLETRANSLATE(A29373, ""de"", ""en"")"),"csi")</f>
        <v>csi</v>
      </c>
    </row>
    <row r="29374">
      <c r="A29374" s="1" t="s">
        <v>29373</v>
      </c>
      <c r="B29374" s="2" t="str">
        <f>IFERROR(__xludf.DUMMYFUNCTION("GOOGLETRANSLATE(A29374, ""de"", ""en"")"),"aftershave")</f>
        <v>aftershave</v>
      </c>
    </row>
    <row r="29375">
      <c r="A29375" s="1" t="s">
        <v>29374</v>
      </c>
      <c r="B29375" s="2" t="str">
        <f>IFERROR(__xludf.DUMMYFUNCTION("GOOGLETRANSLATE(A29375, ""de"", ""en"")"),"brought over")</f>
        <v>brought over</v>
      </c>
    </row>
    <row r="29376">
      <c r="A29376" s="1" t="s">
        <v>29375</v>
      </c>
      <c r="B29376" s="2" t="str">
        <f>IFERROR(__xludf.DUMMYFUNCTION("GOOGLETRANSLATE(A29376, ""de"", ""en"")"),"brahms")</f>
        <v>brahms</v>
      </c>
    </row>
    <row r="29377">
      <c r="A29377" s="1" t="s">
        <v>29376</v>
      </c>
      <c r="B29377" s="2" t="str">
        <f>IFERROR(__xludf.DUMMYFUNCTION("GOOGLETRANSLATE(A29377, ""de"", ""en"")"),"visual material")</f>
        <v>visual material</v>
      </c>
    </row>
    <row r="29378">
      <c r="A29378" s="1" t="s">
        <v>29377</v>
      </c>
      <c r="B29378" s="2" t="str">
        <f>IFERROR(__xludf.DUMMYFUNCTION("GOOGLETRANSLATE(A29378, ""de"", ""en"")"),"external")</f>
        <v>external</v>
      </c>
    </row>
    <row r="29379">
      <c r="A29379" s="1" t="s">
        <v>29378</v>
      </c>
      <c r="B29379" s="2" t="str">
        <f>IFERROR(__xludf.DUMMYFUNCTION("GOOGLETRANSLATE(A29379, ""de"", ""en"")"),"comes forward")</f>
        <v>comes forward</v>
      </c>
    </row>
    <row r="29380">
      <c r="A29380" s="1" t="s">
        <v>29379</v>
      </c>
      <c r="B29380" s="2" t="str">
        <f>IFERROR(__xludf.DUMMYFUNCTION("GOOGLETRANSLATE(A29380, ""de"", ""en"")"),"kink")</f>
        <v>kink</v>
      </c>
    </row>
    <row r="29381">
      <c r="A29381" s="1" t="s">
        <v>29380</v>
      </c>
      <c r="B29381" s="2" t="str">
        <f>IFERROR(__xludf.DUMMYFUNCTION("GOOGLETRANSLATE(A29381, ""de"", ""en"")"),"hail")</f>
        <v>hail</v>
      </c>
    </row>
    <row r="29382">
      <c r="A29382" s="1" t="s">
        <v>29381</v>
      </c>
      <c r="B29382" s="2" t="str">
        <f>IFERROR(__xludf.DUMMYFUNCTION("GOOGLETRANSLATE(A29382, ""de"", ""en"")"),"commit")</f>
        <v>commit</v>
      </c>
    </row>
    <row r="29383">
      <c r="A29383" s="1" t="s">
        <v>29382</v>
      </c>
      <c r="B29383" s="2" t="str">
        <f>IFERROR(__xludf.DUMMYFUNCTION("GOOGLETRANSLATE(A29383, ""de"", ""en"")"),"kiss")</f>
        <v>kiss</v>
      </c>
    </row>
    <row r="29384">
      <c r="A29384" s="1" t="s">
        <v>29383</v>
      </c>
      <c r="B29384" s="2" t="str">
        <f>IFERROR(__xludf.DUMMYFUNCTION("GOOGLETRANSLATE(A29384, ""de"", ""en"")"),"muppets")</f>
        <v>muppets</v>
      </c>
    </row>
    <row r="29385">
      <c r="A29385" s="1" t="s">
        <v>29384</v>
      </c>
      <c r="B29385" s="2" t="str">
        <f>IFERROR(__xludf.DUMMYFUNCTION("GOOGLETRANSLATE(A29385, ""de"", ""en"")"),"slums")</f>
        <v>slums</v>
      </c>
    </row>
    <row r="29386">
      <c r="A29386" s="1" t="s">
        <v>29385</v>
      </c>
      <c r="B29386" s="2" t="str">
        <f>IFERROR(__xludf.DUMMYFUNCTION("GOOGLETRANSLATE(A29386, ""de"", ""en"")"),"Maury")</f>
        <v>Maury</v>
      </c>
    </row>
    <row r="29387">
      <c r="A29387" s="1" t="s">
        <v>29386</v>
      </c>
      <c r="B29387" s="2" t="str">
        <f>IFERROR(__xludf.DUMMYFUNCTION("GOOGLETRANSLATE(A29387, ""de"", ""en"")"),"directions")</f>
        <v>directions</v>
      </c>
    </row>
    <row r="29388">
      <c r="A29388" s="1" t="s">
        <v>29387</v>
      </c>
      <c r="B29388" s="2" t="str">
        <f>IFERROR(__xludf.DUMMYFUNCTION("GOOGLETRANSLATE(A29388, ""de"", ""en"")"),"goes in")</f>
        <v>goes in</v>
      </c>
    </row>
    <row r="29389">
      <c r="A29389" s="1" t="s">
        <v>29388</v>
      </c>
      <c r="B29389" s="2" t="str">
        <f>IFERROR(__xludf.DUMMYFUNCTION("GOOGLETRANSLATE(A29389, ""de"", ""en"")"),"deposit")</f>
        <v>deposit</v>
      </c>
    </row>
    <row r="29390">
      <c r="A29390" s="1" t="s">
        <v>29389</v>
      </c>
      <c r="B29390" s="2" t="str">
        <f>IFERROR(__xludf.DUMMYFUNCTION("GOOGLETRANSLATE(A29390, ""de"", ""en"")"),"weigh")</f>
        <v>weigh</v>
      </c>
    </row>
    <row r="29391">
      <c r="A29391" s="1" t="s">
        <v>29390</v>
      </c>
      <c r="B29391" s="2" t="str">
        <f>IFERROR(__xludf.DUMMYFUNCTION("GOOGLETRANSLATE(A29391, ""de"", ""en"")"),"caddy")</f>
        <v>caddy</v>
      </c>
    </row>
    <row r="29392">
      <c r="A29392" s="1" t="s">
        <v>29391</v>
      </c>
      <c r="B29392" s="2" t="str">
        <f>IFERROR(__xludf.DUMMYFUNCTION("GOOGLETRANSLATE(A29392, ""de"", ""en"")"),"unpleasant")</f>
        <v>unpleasant</v>
      </c>
    </row>
    <row r="29393">
      <c r="A29393" s="1" t="s">
        <v>29392</v>
      </c>
      <c r="B29393" s="2" t="str">
        <f>IFERROR(__xludf.DUMMYFUNCTION("GOOGLETRANSLATE(A29393, ""de"", ""en"")"),"ingram")</f>
        <v>ingram</v>
      </c>
    </row>
    <row r="29394">
      <c r="A29394" s="1" t="s">
        <v>29393</v>
      </c>
      <c r="B29394" s="2" t="str">
        <f>IFERROR(__xludf.DUMMYFUNCTION("GOOGLETRANSLATE(A29394, ""de"", ""en"")"),"maren")</f>
        <v>maren</v>
      </c>
    </row>
    <row r="29395">
      <c r="A29395" s="1" t="s">
        <v>29394</v>
      </c>
      <c r="B29395" s="2" t="str">
        <f>IFERROR(__xludf.DUMMYFUNCTION("GOOGLETRANSLATE(A29395, ""de"", ""en"")"),"fix")</f>
        <v>fix</v>
      </c>
    </row>
    <row r="29396">
      <c r="A29396" s="1" t="s">
        <v>29395</v>
      </c>
      <c r="B29396" s="2" t="str">
        <f>IFERROR(__xludf.DUMMYFUNCTION("GOOGLETRANSLATE(A29396, ""de"", ""en"")"),"dussel")</f>
        <v>dussel</v>
      </c>
    </row>
    <row r="29397">
      <c r="A29397" s="1" t="s">
        <v>29396</v>
      </c>
      <c r="B29397" s="2" t="str">
        <f>IFERROR(__xludf.DUMMYFUNCTION("GOOGLETRANSLATE(A29397, ""de"", ""en"")"),"triggered")</f>
        <v>triggered</v>
      </c>
    </row>
    <row r="29398">
      <c r="A29398" s="1" t="s">
        <v>29397</v>
      </c>
      <c r="B29398" s="2" t="str">
        <f>IFERROR(__xludf.DUMMYFUNCTION("GOOGLETRANSLATE(A29398, ""de"", ""en"")"),"precisely")</f>
        <v>precisely</v>
      </c>
    </row>
    <row r="29399">
      <c r="A29399" s="1" t="s">
        <v>29398</v>
      </c>
      <c r="B29399" s="2" t="str">
        <f>IFERROR(__xludf.DUMMYFUNCTION("GOOGLETRANSLATE(A29399, ""de"", ""en"")"),"assassinations")</f>
        <v>assassinations</v>
      </c>
    </row>
    <row r="29400">
      <c r="A29400" s="1" t="s">
        <v>29399</v>
      </c>
      <c r="B29400" s="2" t="str">
        <f>IFERROR(__xludf.DUMMYFUNCTION("GOOGLETRANSLATE(A29400, ""de"", ""en"")"),"regular")</f>
        <v>regular</v>
      </c>
    </row>
    <row r="29401">
      <c r="A29401" s="1" t="s">
        <v>29400</v>
      </c>
      <c r="B29401" s="2" t="str">
        <f>IFERROR(__xludf.DUMMYFUNCTION("GOOGLETRANSLATE(A29401, ""de"", ""en"")"),"respiratory system")</f>
        <v>respiratory system</v>
      </c>
    </row>
    <row r="29402">
      <c r="A29402" s="1" t="s">
        <v>29401</v>
      </c>
      <c r="B29402" s="2" t="str">
        <f>IFERROR(__xludf.DUMMYFUNCTION("GOOGLETRANSLATE(A29402, ""de"", ""en"")"),"hammelburg")</f>
        <v>hammelburg</v>
      </c>
    </row>
    <row r="29403">
      <c r="A29403" s="1" t="s">
        <v>29402</v>
      </c>
      <c r="B29403" s="2" t="str">
        <f>IFERROR(__xludf.DUMMYFUNCTION("GOOGLETRANSLATE(A29403, ""de"", ""en"")"),"hjørdis")</f>
        <v>hjørdis</v>
      </c>
    </row>
    <row r="29404">
      <c r="A29404" s="1" t="s">
        <v>29403</v>
      </c>
      <c r="B29404" s="2" t="str">
        <f>IFERROR(__xludf.DUMMYFUNCTION("GOOGLETRANSLATE(A29404, ""de"", ""en"")"),"expensive")</f>
        <v>expensive</v>
      </c>
    </row>
    <row r="29405">
      <c r="A29405" s="1" t="s">
        <v>29404</v>
      </c>
      <c r="B29405" s="2" t="str">
        <f>IFERROR(__xludf.DUMMYFUNCTION("GOOGLETRANSLATE(A29405, ""de"", ""en"")"),"pilgrim")</f>
        <v>pilgrim</v>
      </c>
    </row>
    <row r="29406">
      <c r="A29406" s="1" t="s">
        <v>29405</v>
      </c>
      <c r="B29406" s="2" t="str">
        <f>IFERROR(__xludf.DUMMYFUNCTION("GOOGLETRANSLATE(A29406, ""de"", ""en"")"),"bratva")</f>
        <v>bratva</v>
      </c>
    </row>
    <row r="29407">
      <c r="A29407" s="1" t="s">
        <v>29406</v>
      </c>
      <c r="B29407" s="2" t="str">
        <f>IFERROR(__xludf.DUMMYFUNCTION("GOOGLETRANSLATE(A29407, ""de"", ""en"")"),"Joanna")</f>
        <v>Joanna</v>
      </c>
    </row>
    <row r="29408">
      <c r="A29408" s="1" t="s">
        <v>29407</v>
      </c>
      <c r="B29408" s="2" t="str">
        <f>IFERROR(__xludf.DUMMYFUNCTION("GOOGLETRANSLATE(A29408, ""de"", ""en"")"),"get here")</f>
        <v>get here</v>
      </c>
    </row>
    <row r="29409">
      <c r="A29409" s="1" t="s">
        <v>29408</v>
      </c>
      <c r="B29409" s="2" t="str">
        <f>IFERROR(__xludf.DUMMYFUNCTION("GOOGLETRANSLATE(A29409, ""de"", ""en"")"),"downloaded")</f>
        <v>downloaded</v>
      </c>
    </row>
    <row r="29410">
      <c r="A29410" s="1" t="s">
        <v>29409</v>
      </c>
      <c r="B29410" s="2" t="str">
        <f>IFERROR(__xludf.DUMMYFUNCTION("GOOGLETRANSLATE(A29410, ""de"", ""en"")"),"according to plan")</f>
        <v>according to plan</v>
      </c>
    </row>
    <row r="29411">
      <c r="A29411" s="1" t="s">
        <v>29410</v>
      </c>
      <c r="B29411" s="2" t="str">
        <f>IFERROR(__xludf.DUMMYFUNCTION("GOOGLETRANSLATE(A29411, ""de"", ""en"")"),"earlobes")</f>
        <v>earlobes</v>
      </c>
    </row>
    <row r="29412">
      <c r="A29412" s="1" t="s">
        <v>29411</v>
      </c>
      <c r="B29412" s="2" t="str">
        <f>IFERROR(__xludf.DUMMYFUNCTION("GOOGLETRANSLATE(A29412, ""de"", ""en"")"),"giver")</f>
        <v>giver</v>
      </c>
    </row>
    <row r="29413">
      <c r="A29413" s="1" t="s">
        <v>29412</v>
      </c>
      <c r="B29413" s="2" t="str">
        <f>IFERROR(__xludf.DUMMYFUNCTION("GOOGLETRANSLATE(A29413, ""de"", ""en"")"),"vouchers")</f>
        <v>vouchers</v>
      </c>
    </row>
    <row r="29414">
      <c r="A29414" s="1" t="s">
        <v>29413</v>
      </c>
      <c r="B29414" s="2" t="str">
        <f>IFERROR(__xludf.DUMMYFUNCTION("GOOGLETRANSLATE(A29414, ""de"", ""en"")"),"winthrop")</f>
        <v>winthrop</v>
      </c>
    </row>
    <row r="29415">
      <c r="A29415" s="1" t="s">
        <v>29414</v>
      </c>
      <c r="B29415" s="2" t="str">
        <f>IFERROR(__xludf.DUMMYFUNCTION("GOOGLETRANSLATE(A29415, ""de"", ""en"")"),"unattended")</f>
        <v>unattended</v>
      </c>
    </row>
    <row r="29416">
      <c r="A29416" s="1" t="s">
        <v>29415</v>
      </c>
      <c r="B29416" s="2" t="str">
        <f>IFERROR(__xludf.DUMMYFUNCTION("GOOGLETRANSLATE(A29416, ""de"", ""en"")"),"donated")</f>
        <v>donated</v>
      </c>
    </row>
    <row r="29417">
      <c r="A29417" s="1" t="s">
        <v>29416</v>
      </c>
      <c r="B29417" s="2" t="str">
        <f>IFERROR(__xludf.DUMMYFUNCTION("GOOGLETRANSLATE(A29417, ""de"", ""en"")"),"misery")</f>
        <v>misery</v>
      </c>
    </row>
    <row r="29418">
      <c r="A29418" s="1" t="s">
        <v>29417</v>
      </c>
      <c r="B29418" s="2" t="str">
        <f>IFERROR(__xludf.DUMMYFUNCTION("GOOGLETRANSLATE(A29418, ""de"", ""en"")"),"g.i.")</f>
        <v>g.i.</v>
      </c>
    </row>
    <row r="29419">
      <c r="A29419" s="1" t="s">
        <v>29418</v>
      </c>
      <c r="B29419" s="2" t="str">
        <f>IFERROR(__xludf.DUMMYFUNCTION("GOOGLETRANSLATE(A29419, ""de"", ""en"")"),"send")</f>
        <v>send</v>
      </c>
    </row>
    <row r="29420">
      <c r="A29420" s="1" t="s">
        <v>29419</v>
      </c>
      <c r="B29420" s="2" t="str">
        <f>IFERROR(__xludf.DUMMYFUNCTION("GOOGLETRANSLATE(A29420, ""de"", ""en"")"),"touch")</f>
        <v>touch</v>
      </c>
    </row>
    <row r="29421">
      <c r="A29421" s="1" t="s">
        <v>29420</v>
      </c>
      <c r="B29421" s="2" t="str">
        <f>IFERROR(__xludf.DUMMYFUNCTION("GOOGLETRANSLATE(A29421, ""de"", ""en"")"),"peanut")</f>
        <v>peanut</v>
      </c>
    </row>
    <row r="29422">
      <c r="A29422" s="1" t="s">
        <v>29421</v>
      </c>
      <c r="B29422" s="2" t="str">
        <f>IFERROR(__xludf.DUMMYFUNCTION("GOOGLETRANSLATE(A29422, ""de"", ""en"")"),"howling")</f>
        <v>howling</v>
      </c>
    </row>
    <row r="29423">
      <c r="A29423" s="1" t="s">
        <v>29422</v>
      </c>
      <c r="B29423" s="2" t="str">
        <f>IFERROR(__xludf.DUMMYFUNCTION("GOOGLETRANSLATE(A29423, ""de"", ""en"")"),"footprint")</f>
        <v>footprint</v>
      </c>
    </row>
    <row r="29424">
      <c r="A29424" s="1" t="s">
        <v>29423</v>
      </c>
      <c r="B29424" s="2" t="str">
        <f>IFERROR(__xludf.DUMMYFUNCTION("GOOGLETRANSLATE(A29424, ""de"", ""en"")"),"punish")</f>
        <v>punish</v>
      </c>
    </row>
    <row r="29425">
      <c r="A29425" s="1" t="s">
        <v>29424</v>
      </c>
      <c r="B29425" s="2" t="str">
        <f>IFERROR(__xludf.DUMMYFUNCTION("GOOGLETRANSLATE(A29425, ""de"", ""en"")"),"rod")</f>
        <v>rod</v>
      </c>
    </row>
    <row r="29426">
      <c r="A29426" s="1" t="s">
        <v>29425</v>
      </c>
      <c r="B29426" s="2" t="str">
        <f>IFERROR(__xludf.DUMMYFUNCTION("GOOGLETRANSLATE(A29426, ""de"", ""en"")"),"hasty")</f>
        <v>hasty</v>
      </c>
    </row>
    <row r="29427">
      <c r="A29427" s="1" t="s">
        <v>29426</v>
      </c>
      <c r="B29427" s="2" t="str">
        <f>IFERROR(__xludf.DUMMYFUNCTION("GOOGLETRANSLATE(A29427, ""de"", ""en"")"),"more inflated")</f>
        <v>more inflated</v>
      </c>
    </row>
    <row r="29428">
      <c r="A29428" s="1" t="s">
        <v>29427</v>
      </c>
      <c r="B29428" s="2" t="str">
        <f>IFERROR(__xludf.DUMMYFUNCTION("GOOGLETRANSLATE(A29428, ""de"", ""en"")"),"mas")</f>
        <v>mas</v>
      </c>
    </row>
    <row r="29429">
      <c r="A29429" s="1" t="s">
        <v>29428</v>
      </c>
      <c r="B29429" s="2" t="str">
        <f>IFERROR(__xludf.DUMMYFUNCTION("GOOGLETRANSLATE(A29429, ""de"", ""en"")"),"crushed")</f>
        <v>crushed</v>
      </c>
    </row>
    <row r="29430">
      <c r="A29430" s="1" t="s">
        <v>29429</v>
      </c>
      <c r="B29430" s="2" t="str">
        <f>IFERROR(__xludf.DUMMYFUNCTION("GOOGLETRANSLATE(A29430, ""de"", ""en"")"),"beer")</f>
        <v>beer</v>
      </c>
    </row>
    <row r="29431">
      <c r="A29431" s="1" t="s">
        <v>29430</v>
      </c>
      <c r="B29431" s="2" t="str">
        <f>IFERROR(__xludf.DUMMYFUNCTION("GOOGLETRANSLATE(A29431, ""de"", ""en"")"),"hungrier")</f>
        <v>hungrier</v>
      </c>
    </row>
    <row r="29432">
      <c r="A29432" s="1" t="s">
        <v>29431</v>
      </c>
      <c r="B29432" s="2" t="str">
        <f>IFERROR(__xludf.DUMMYFUNCTION("GOOGLETRANSLATE(A29432, ""de"", ""en"")"),"earlier")</f>
        <v>earlier</v>
      </c>
    </row>
    <row r="29433">
      <c r="A29433" s="1" t="s">
        <v>29432</v>
      </c>
      <c r="B29433" s="2" t="str">
        <f>IFERROR(__xludf.DUMMYFUNCTION("GOOGLETRANSLATE(A29433, ""de"", ""en"")"),"to dismantle")</f>
        <v>to dismantle</v>
      </c>
    </row>
    <row r="29434">
      <c r="A29434" s="1" t="s">
        <v>29433</v>
      </c>
      <c r="B29434" s="2" t="str">
        <f>IFERROR(__xludf.DUMMYFUNCTION("GOOGLETRANSLATE(A29434, ""de"", ""en"")"),"shitty ones")</f>
        <v>shitty ones</v>
      </c>
    </row>
    <row r="29435">
      <c r="A29435" s="1" t="s">
        <v>29434</v>
      </c>
      <c r="B29435" s="2" t="str">
        <f>IFERROR(__xludf.DUMMYFUNCTION("GOOGLETRANSLATE(A29435, ""de"", ""en"")"),"academic")</f>
        <v>academic</v>
      </c>
    </row>
    <row r="29436">
      <c r="A29436" s="1" t="s">
        <v>29435</v>
      </c>
      <c r="B29436" s="2" t="str">
        <f>IFERROR(__xludf.DUMMYFUNCTION("GOOGLETRANSLATE(A29436, ""de"", ""en"")"),"do gymnastics")</f>
        <v>do gymnastics</v>
      </c>
    </row>
    <row r="29437">
      <c r="A29437" s="1" t="s">
        <v>29436</v>
      </c>
      <c r="B29437" s="2" t="str">
        <f>IFERROR(__xludf.DUMMYFUNCTION("GOOGLETRANSLATE(A29437, ""de"", ""en"")"),"to run away")</f>
        <v>to run away</v>
      </c>
    </row>
    <row r="29438">
      <c r="A29438" s="1" t="s">
        <v>29437</v>
      </c>
      <c r="B29438" s="2" t="str">
        <f>IFERROR(__xludf.DUMMYFUNCTION("GOOGLETRANSLATE(A29438, ""de"", ""en"")"),"fife")</f>
        <v>fife</v>
      </c>
    </row>
    <row r="29439">
      <c r="A29439" s="1" t="s">
        <v>29438</v>
      </c>
      <c r="B29439" s="2" t="str">
        <f>IFERROR(__xludf.DUMMYFUNCTION("GOOGLETRANSLATE(A29439, ""de"", ""en"")"),"tetsuo")</f>
        <v>tetsuo</v>
      </c>
    </row>
    <row r="29440">
      <c r="A29440" s="1" t="s">
        <v>29439</v>
      </c>
      <c r="B29440" s="2" t="str">
        <f>IFERROR(__xludf.DUMMYFUNCTION("GOOGLETRANSLATE(A29440, ""de"", ""en"")"),"inlet")</f>
        <v>inlet</v>
      </c>
    </row>
    <row r="29441">
      <c r="A29441" s="1" t="s">
        <v>29440</v>
      </c>
      <c r="B29441" s="2" t="str">
        <f>IFERROR(__xludf.DUMMYFUNCTION("GOOGLETRANSLATE(A29441, ""de"", ""en"")"),"newborns")</f>
        <v>newborns</v>
      </c>
    </row>
    <row r="29442">
      <c r="A29442" s="1" t="s">
        <v>29441</v>
      </c>
      <c r="B29442" s="2" t="str">
        <f>IFERROR(__xludf.DUMMYFUNCTION("GOOGLETRANSLATE(A29442, ""de"", ""en"")"),"mint")</f>
        <v>mint</v>
      </c>
    </row>
    <row r="29443">
      <c r="A29443" s="1" t="s">
        <v>29442</v>
      </c>
      <c r="B29443" s="2" t="str">
        <f>IFERROR(__xludf.DUMMYFUNCTION("GOOGLETRANSLATE(A29443, ""de"", ""en"")"),"came out")</f>
        <v>came out</v>
      </c>
    </row>
    <row r="29444">
      <c r="A29444" s="1" t="s">
        <v>29443</v>
      </c>
      <c r="B29444" s="2" t="str">
        <f>IFERROR(__xludf.DUMMYFUNCTION("GOOGLETRANSLATE(A29444, ""de"", ""en"")"),"plow")</f>
        <v>plow</v>
      </c>
    </row>
    <row r="29445">
      <c r="A29445" s="1" t="s">
        <v>29444</v>
      </c>
      <c r="B29445" s="2" t="str">
        <f>IFERROR(__xludf.DUMMYFUNCTION("GOOGLETRANSLATE(A29445, ""de"", ""en"")"),"intake")</f>
        <v>intake</v>
      </c>
    </row>
    <row r="29446">
      <c r="A29446" s="1" t="s">
        <v>29445</v>
      </c>
      <c r="B29446" s="2" t="str">
        <f>IFERROR(__xludf.DUMMYFUNCTION("GOOGLETRANSLATE(A29446, ""de"", ""en"")"),"luthors")</f>
        <v>luthors</v>
      </c>
    </row>
    <row r="29447">
      <c r="A29447" s="1" t="s">
        <v>29446</v>
      </c>
      <c r="B29447" s="2" t="str">
        <f>IFERROR(__xludf.DUMMYFUNCTION("GOOGLETRANSLATE(A29447, ""de"", ""en"")"),"blast")</f>
        <v>blast</v>
      </c>
    </row>
    <row r="29448">
      <c r="A29448" s="1" t="s">
        <v>29447</v>
      </c>
      <c r="B29448" s="2" t="str">
        <f>IFERROR(__xludf.DUMMYFUNCTION("GOOGLETRANSLATE(A29448, ""de"", ""en"")"),"poetry")</f>
        <v>poetry</v>
      </c>
    </row>
    <row r="29449">
      <c r="A29449" s="1" t="s">
        <v>29448</v>
      </c>
      <c r="B29449" s="2" t="str">
        <f>IFERROR(__xludf.DUMMYFUNCTION("GOOGLETRANSLATE(A29449, ""de"", ""en"")"),"fried eggs")</f>
        <v>fried eggs</v>
      </c>
    </row>
    <row r="29450">
      <c r="A29450" s="1" t="s">
        <v>29449</v>
      </c>
      <c r="B29450" s="2" t="str">
        <f>IFERROR(__xludf.DUMMYFUNCTION("GOOGLETRANSLATE(A29450, ""de"", ""en"")"),"sexist")</f>
        <v>sexist</v>
      </c>
    </row>
    <row r="29451">
      <c r="A29451" s="1" t="s">
        <v>29450</v>
      </c>
      <c r="B29451" s="2" t="str">
        <f>IFERROR(__xludf.DUMMYFUNCTION("GOOGLETRANSLATE(A29451, ""de"", ""en"")"),"cunning")</f>
        <v>cunning</v>
      </c>
    </row>
    <row r="29452">
      <c r="A29452" s="1" t="s">
        <v>29451</v>
      </c>
      <c r="B29452" s="2" t="str">
        <f>IFERROR(__xludf.DUMMYFUNCTION("GOOGLETRANSLATE(A29452, ""de"", ""en"")"),"viet Cong")</f>
        <v>viet Cong</v>
      </c>
    </row>
    <row r="29453">
      <c r="A29453" s="1" t="s">
        <v>29452</v>
      </c>
      <c r="B29453" s="2" t="str">
        <f>IFERROR(__xludf.DUMMYFUNCTION("GOOGLETRANSLATE(A29453, ""de"", ""en"")"),"roast")</f>
        <v>roast</v>
      </c>
    </row>
    <row r="29454">
      <c r="A29454" s="1" t="s">
        <v>29453</v>
      </c>
      <c r="B29454" s="2" t="str">
        <f>IFERROR(__xludf.DUMMYFUNCTION("GOOGLETRANSLATE(A29454, ""de"", ""en"")"),"shrugged")</f>
        <v>shrugged</v>
      </c>
    </row>
    <row r="29455">
      <c r="A29455" s="1" t="s">
        <v>29454</v>
      </c>
      <c r="B29455" s="2" t="str">
        <f>IFERROR(__xludf.DUMMYFUNCTION("GOOGLETRANSLATE(A29455, ""de"", ""en"")"),"prisoners of war")</f>
        <v>prisoners of war</v>
      </c>
    </row>
    <row r="29456">
      <c r="A29456" s="1" t="s">
        <v>29455</v>
      </c>
      <c r="B29456" s="2" t="str">
        <f>IFERROR(__xludf.DUMMYFUNCTION("GOOGLETRANSLATE(A29456, ""de"", ""en"")"),"Schumann")</f>
        <v>Schumann</v>
      </c>
    </row>
    <row r="29457">
      <c r="A29457" s="1" t="s">
        <v>29456</v>
      </c>
      <c r="B29457" s="2" t="str">
        <f>IFERROR(__xludf.DUMMYFUNCTION("GOOGLETRANSLATE(A29457, ""de"", ""en"")"),"cookies")</f>
        <v>cookies</v>
      </c>
    </row>
    <row r="29458">
      <c r="A29458" s="1" t="s">
        <v>29457</v>
      </c>
      <c r="B29458" s="2" t="str">
        <f>IFERROR(__xludf.DUMMYFUNCTION("GOOGLETRANSLATE(A29458, ""de"", ""en"")"),"refinery")</f>
        <v>refinery</v>
      </c>
    </row>
    <row r="29459">
      <c r="A29459" s="1" t="s">
        <v>29458</v>
      </c>
      <c r="B29459" s="2" t="str">
        <f>IFERROR(__xludf.DUMMYFUNCTION("GOOGLETRANSLATE(A29459, ""de"", ""en"")"),"test person")</f>
        <v>test person</v>
      </c>
    </row>
    <row r="29460">
      <c r="A29460" s="1" t="s">
        <v>29459</v>
      </c>
      <c r="B29460" s="2" t="str">
        <f>IFERROR(__xludf.DUMMYFUNCTION("GOOGLETRANSLATE(A29460, ""de"", ""en"")"),"thoughtless")</f>
        <v>thoughtless</v>
      </c>
    </row>
    <row r="29461">
      <c r="A29461" s="1" t="s">
        <v>29460</v>
      </c>
      <c r="B29461" s="2" t="str">
        <f>IFERROR(__xludf.DUMMYFUNCTION("GOOGLETRANSLATE(A29461, ""de"", ""en"")"),"to determine")</f>
        <v>to determine</v>
      </c>
    </row>
    <row r="29462">
      <c r="A29462" s="1" t="s">
        <v>29461</v>
      </c>
      <c r="B29462" s="2" t="str">
        <f>IFERROR(__xludf.DUMMYFUNCTION("GOOGLETRANSLATE(A29462, ""de"", ""en"")"),"crapped on")</f>
        <v>crapped on</v>
      </c>
    </row>
    <row r="29463">
      <c r="A29463" s="1" t="s">
        <v>29462</v>
      </c>
      <c r="B29463" s="2" t="str">
        <f>IFERROR(__xludf.DUMMYFUNCTION("GOOGLETRANSLATE(A29463, ""de"", ""en"")"),"to exhibit")</f>
        <v>to exhibit</v>
      </c>
    </row>
    <row r="29464">
      <c r="A29464" s="1" t="s">
        <v>29463</v>
      </c>
      <c r="B29464" s="2" t="str">
        <f>IFERROR(__xludf.DUMMYFUNCTION("GOOGLETRANSLATE(A29464, ""de"", ""en"")"),"quagmire")</f>
        <v>quagmire</v>
      </c>
    </row>
    <row r="29465">
      <c r="A29465" s="1" t="s">
        <v>29464</v>
      </c>
      <c r="B29465" s="2" t="str">
        <f>IFERROR(__xludf.DUMMYFUNCTION("GOOGLETRANSLATE(A29465, ""de"", ""en"")"),"skeletons")</f>
        <v>skeletons</v>
      </c>
    </row>
    <row r="29466">
      <c r="A29466" s="1" t="s">
        <v>29465</v>
      </c>
      <c r="B29466" s="2" t="str">
        <f>IFERROR(__xludf.DUMMYFUNCTION("GOOGLETRANSLATE(A29466, ""de"", ""en"")"),"effective")</f>
        <v>effective</v>
      </c>
    </row>
    <row r="29467">
      <c r="A29467" s="1" t="s">
        <v>29466</v>
      </c>
      <c r="B29467" s="2" t="str">
        <f>IFERROR(__xludf.DUMMYFUNCTION("GOOGLETRANSLATE(A29467, ""de"", ""en"")"),"brave")</f>
        <v>brave</v>
      </c>
    </row>
    <row r="29468">
      <c r="A29468" s="1" t="s">
        <v>29467</v>
      </c>
      <c r="B29468" s="2" t="str">
        <f>IFERROR(__xludf.DUMMYFUNCTION("GOOGLETRANSLATE(A29468, ""de"", ""en"")"),"footballer")</f>
        <v>footballer</v>
      </c>
    </row>
    <row r="29469">
      <c r="A29469" s="1" t="s">
        <v>29468</v>
      </c>
      <c r="B29469" s="2" t="str">
        <f>IFERROR(__xludf.DUMMYFUNCTION("GOOGLETRANSLATE(A29469, ""de"", ""en"")"),"tear")</f>
        <v>tear</v>
      </c>
    </row>
    <row r="29470">
      <c r="A29470" s="1" t="s">
        <v>29469</v>
      </c>
      <c r="B29470" s="2" t="str">
        <f>IFERROR(__xludf.DUMMYFUNCTION("GOOGLETRANSLATE(A29470, ""de"", ""en"")"),"smiled at")</f>
        <v>smiled at</v>
      </c>
    </row>
    <row r="29471">
      <c r="A29471" s="1" t="s">
        <v>29470</v>
      </c>
      <c r="B29471" s="2" t="str">
        <f>IFERROR(__xludf.DUMMYFUNCTION("GOOGLETRANSLATE(A29471, ""de"", ""en"")"),"logged in")</f>
        <v>logged in</v>
      </c>
    </row>
    <row r="29472">
      <c r="A29472" s="1" t="s">
        <v>29471</v>
      </c>
      <c r="B29472" s="2" t="str">
        <f>IFERROR(__xludf.DUMMYFUNCTION("GOOGLETRANSLATE(A29472, ""de"", ""en"")"),"miner")</f>
        <v>miner</v>
      </c>
    </row>
    <row r="29473">
      <c r="A29473" s="1" t="s">
        <v>29472</v>
      </c>
      <c r="B29473" s="2" t="str">
        <f>IFERROR(__xludf.DUMMYFUNCTION("GOOGLETRANSLATE(A29473, ""de"", ""en"")"),"subjected")</f>
        <v>subjected</v>
      </c>
    </row>
    <row r="29474">
      <c r="A29474" s="1" t="s">
        <v>29473</v>
      </c>
      <c r="B29474" s="2" t="str">
        <f>IFERROR(__xludf.DUMMYFUNCTION("GOOGLETRANSLATE(A29474, ""de"", ""en"")"),"painted out")</f>
        <v>painted out</v>
      </c>
    </row>
    <row r="29475">
      <c r="A29475" s="1" t="s">
        <v>29474</v>
      </c>
      <c r="B29475" s="2" t="str">
        <f>IFERROR(__xludf.DUMMYFUNCTION("GOOGLETRANSLATE(A29475, ""de"", ""en"")"),"legal assistance")</f>
        <v>legal assistance</v>
      </c>
    </row>
    <row r="29476">
      <c r="A29476" s="1" t="s">
        <v>29475</v>
      </c>
      <c r="B29476" s="2" t="str">
        <f>IFERROR(__xludf.DUMMYFUNCTION("GOOGLETRANSLATE(A29476, ""de"", ""en"")"),"fir tree")</f>
        <v>fir tree</v>
      </c>
    </row>
    <row r="29477">
      <c r="A29477" s="1" t="s">
        <v>29476</v>
      </c>
      <c r="B29477" s="2" t="str">
        <f>IFERROR(__xludf.DUMMYFUNCTION("GOOGLETRANSLATE(A29477, ""de"", ""en"")"),"ran")</f>
        <v>ran</v>
      </c>
    </row>
    <row r="29478">
      <c r="A29478" s="1" t="s">
        <v>29477</v>
      </c>
      <c r="B29478" s="2" t="str">
        <f>IFERROR(__xludf.DUMMYFUNCTION("GOOGLETRANSLATE(A29478, ""de"", ""en"")"),"intervened")</f>
        <v>intervened</v>
      </c>
    </row>
    <row r="29479">
      <c r="A29479" s="1" t="s">
        <v>29478</v>
      </c>
      <c r="B29479" s="2" t="str">
        <f>IFERROR(__xludf.DUMMYFUNCTION("GOOGLETRANSLATE(A29479, ""de"", ""en"")"),"high-ranking")</f>
        <v>high-ranking</v>
      </c>
    </row>
    <row r="29480">
      <c r="A29480" s="1" t="s">
        <v>29479</v>
      </c>
      <c r="B29480" s="2" t="str">
        <f>IFERROR(__xludf.DUMMYFUNCTION("GOOGLETRANSLATE(A29480, ""de"", ""en"")"),"Silke")</f>
        <v>Silke</v>
      </c>
    </row>
    <row r="29481">
      <c r="A29481" s="1" t="s">
        <v>29480</v>
      </c>
      <c r="B29481" s="2" t="str">
        <f>IFERROR(__xludf.DUMMYFUNCTION("GOOGLETRANSLATE(A29481, ""de"", ""en"")"),"sisterhood")</f>
        <v>sisterhood</v>
      </c>
    </row>
    <row r="29482">
      <c r="A29482" s="1" t="s">
        <v>29481</v>
      </c>
      <c r="B29482" s="2" t="str">
        <f>IFERROR(__xludf.DUMMYFUNCTION("GOOGLETRANSLATE(A29482, ""de"", ""en"")"),"riot")</f>
        <v>riot</v>
      </c>
    </row>
    <row r="29483">
      <c r="A29483" s="1" t="s">
        <v>29482</v>
      </c>
      <c r="B29483" s="2" t="str">
        <f>IFERROR(__xludf.DUMMYFUNCTION("GOOGLETRANSLATE(A29483, ""de"", ""en"")"),"control freak")</f>
        <v>control freak</v>
      </c>
    </row>
    <row r="29484">
      <c r="A29484" s="1" t="s">
        <v>29483</v>
      </c>
      <c r="B29484" s="2" t="str">
        <f>IFERROR(__xludf.DUMMYFUNCTION("GOOGLETRANSLATE(A29484, ""de"", ""en"")"),"accordion")</f>
        <v>accordion</v>
      </c>
    </row>
    <row r="29485">
      <c r="A29485" s="1" t="s">
        <v>29484</v>
      </c>
      <c r="B29485" s="2" t="str">
        <f>IFERROR(__xludf.DUMMYFUNCTION("GOOGLETRANSLATE(A29485, ""de"", ""en"")"),"Whitaker")</f>
        <v>Whitaker</v>
      </c>
    </row>
    <row r="29486">
      <c r="A29486" s="1" t="s">
        <v>29485</v>
      </c>
      <c r="B29486" s="2" t="str">
        <f>IFERROR(__xludf.DUMMYFUNCTION("GOOGLETRANSLATE(A29486, ""de"", ""en"")"),"beastmaster")</f>
        <v>beastmaster</v>
      </c>
    </row>
    <row r="29487">
      <c r="A29487" s="1" t="s">
        <v>29486</v>
      </c>
      <c r="B29487" s="2" t="str">
        <f>IFERROR(__xludf.DUMMYFUNCTION("GOOGLETRANSLATE(A29487, ""de"", ""en"")"),"huge success")</f>
        <v>huge success</v>
      </c>
    </row>
    <row r="29488">
      <c r="A29488" s="1" t="s">
        <v>29487</v>
      </c>
      <c r="B29488" s="2" t="str">
        <f>IFERROR(__xludf.DUMMYFUNCTION("GOOGLETRANSLATE(A29488, ""de"", ""en"")"),"Bajoran")</f>
        <v>Bajoran</v>
      </c>
    </row>
    <row r="29489">
      <c r="A29489" s="1" t="s">
        <v>29488</v>
      </c>
      <c r="B29489" s="2" t="str">
        <f>IFERROR(__xludf.DUMMYFUNCTION("GOOGLETRANSLATE(A29489, ""de"", ""en"")"),"more perfect")</f>
        <v>more perfect</v>
      </c>
    </row>
    <row r="29490">
      <c r="A29490" s="1" t="s">
        <v>29489</v>
      </c>
      <c r="B29490" s="2" t="str">
        <f>IFERROR(__xludf.DUMMYFUNCTION("GOOGLETRANSLATE(A29490, ""de"", ""en"")"),"mix up")</f>
        <v>mix up</v>
      </c>
    </row>
    <row r="29491">
      <c r="A29491" s="1" t="s">
        <v>29490</v>
      </c>
      <c r="B29491" s="2" t="str">
        <f>IFERROR(__xludf.DUMMYFUNCTION("GOOGLETRANSLATE(A29491, ""de"", ""en"")"),"cleared away")</f>
        <v>cleared away</v>
      </c>
    </row>
    <row r="29492">
      <c r="A29492" s="1" t="s">
        <v>29491</v>
      </c>
      <c r="B29492" s="2" t="str">
        <f>IFERROR(__xludf.DUMMYFUNCTION("GOOGLETRANSLATE(A29492, ""de"", ""en"")"),"garbage man")</f>
        <v>garbage man</v>
      </c>
    </row>
    <row r="29493">
      <c r="A29493" s="1" t="s">
        <v>29492</v>
      </c>
      <c r="B29493" s="2" t="str">
        <f>IFERROR(__xludf.DUMMYFUNCTION("GOOGLETRANSLATE(A29493, ""de"", ""en"")"),"mouths")</f>
        <v>mouths</v>
      </c>
    </row>
    <row r="29494">
      <c r="A29494" s="1" t="s">
        <v>29493</v>
      </c>
      <c r="B29494" s="2" t="str">
        <f>IFERROR(__xludf.DUMMYFUNCTION("GOOGLETRANSLATE(A29494, ""de"", ""en"")"),"entrance hall")</f>
        <v>entrance hall</v>
      </c>
    </row>
    <row r="29495">
      <c r="A29495" s="1" t="s">
        <v>29494</v>
      </c>
      <c r="B29495" s="2" t="str">
        <f>IFERROR(__xludf.DUMMYFUNCTION("GOOGLETRANSLATE(A29495, ""de"", ""en"")"),"pass through")</f>
        <v>pass through</v>
      </c>
    </row>
    <row r="29496">
      <c r="A29496" s="1" t="s">
        <v>29495</v>
      </c>
      <c r="B29496" s="2" t="str">
        <f>IFERROR(__xludf.DUMMYFUNCTION("GOOGLETRANSLATE(A29496, ""de"", ""en"")"),"liquorice")</f>
        <v>liquorice</v>
      </c>
    </row>
    <row r="29497">
      <c r="A29497" s="1" t="s">
        <v>29496</v>
      </c>
      <c r="B29497" s="2" t="str">
        <f>IFERROR(__xludf.DUMMYFUNCTION("GOOGLETRANSLATE(A29497, ""de"", ""en"")"),"objects")</f>
        <v>objects</v>
      </c>
    </row>
    <row r="29498">
      <c r="A29498" s="1" t="s">
        <v>29497</v>
      </c>
      <c r="B29498" s="2" t="str">
        <f>IFERROR(__xludf.DUMMYFUNCTION("GOOGLETRANSLATE(A29498, ""de"", ""en"")"),"lupo")</f>
        <v>lupo</v>
      </c>
    </row>
    <row r="29499">
      <c r="A29499" s="1" t="s">
        <v>29498</v>
      </c>
      <c r="B29499" s="2" t="str">
        <f>IFERROR(__xludf.DUMMYFUNCTION("GOOGLETRANSLATE(A29499, ""de"", ""en"")"),"chavez")</f>
        <v>chavez</v>
      </c>
    </row>
    <row r="29500">
      <c r="A29500" s="1" t="s">
        <v>29499</v>
      </c>
      <c r="B29500" s="2" t="str">
        <f>IFERROR(__xludf.DUMMYFUNCTION("GOOGLETRANSLATE(A29500, ""de"", ""en"")"),"congress")</f>
        <v>congress</v>
      </c>
    </row>
    <row r="29501">
      <c r="A29501" s="1" t="s">
        <v>29500</v>
      </c>
      <c r="B29501" s="2" t="str">
        <f>IFERROR(__xludf.DUMMYFUNCTION("GOOGLETRANSLATE(A29501, ""de"", ""en"")"),"theaters")</f>
        <v>theaters</v>
      </c>
    </row>
    <row r="29502">
      <c r="A29502" s="1" t="s">
        <v>29501</v>
      </c>
      <c r="B29502" s="2" t="str">
        <f>IFERROR(__xludf.DUMMYFUNCTION("GOOGLETRANSLATE(A29502, ""de"", ""en"")"),"worthless")</f>
        <v>worthless</v>
      </c>
    </row>
    <row r="29503">
      <c r="A29503" s="1" t="s">
        <v>29502</v>
      </c>
      <c r="B29503" s="2" t="str">
        <f>IFERROR(__xludf.DUMMYFUNCTION("GOOGLETRANSLATE(A29503, ""de"", ""en"")"),"thin")</f>
        <v>thin</v>
      </c>
    </row>
    <row r="29504">
      <c r="A29504" s="1" t="s">
        <v>29503</v>
      </c>
      <c r="B29504" s="2" t="str">
        <f>IFERROR(__xludf.DUMMYFUNCTION("GOOGLETRANSLATE(A29504, ""de"", ""en"")"),"birder")</f>
        <v>birder</v>
      </c>
    </row>
    <row r="29505">
      <c r="A29505" s="1" t="s">
        <v>29504</v>
      </c>
      <c r="B29505" s="2" t="str">
        <f>IFERROR(__xludf.DUMMYFUNCTION("GOOGLETRANSLATE(A29505, ""de"", ""en"")"),"suggested")</f>
        <v>suggested</v>
      </c>
    </row>
    <row r="29506">
      <c r="A29506" s="1" t="s">
        <v>29505</v>
      </c>
      <c r="B29506" s="2" t="str">
        <f>IFERROR(__xludf.DUMMYFUNCTION("GOOGLETRANSLATE(A29506, ""de"", ""en"")"),"foreground")</f>
        <v>foreground</v>
      </c>
    </row>
    <row r="29507">
      <c r="A29507" s="1" t="s">
        <v>29506</v>
      </c>
      <c r="B29507" s="2" t="str">
        <f>IFERROR(__xludf.DUMMYFUNCTION("GOOGLETRANSLATE(A29507, ""de"", ""en"")"),"shrinks")</f>
        <v>shrinks</v>
      </c>
    </row>
    <row r="29508">
      <c r="A29508" s="1" t="s">
        <v>29507</v>
      </c>
      <c r="B29508" s="2" t="str">
        <f>IFERROR(__xludf.DUMMYFUNCTION("GOOGLETRANSLATE(A29508, ""de"", ""en"")"),"winkler")</f>
        <v>winkler</v>
      </c>
    </row>
    <row r="29509">
      <c r="A29509" s="1" t="s">
        <v>29508</v>
      </c>
      <c r="B29509" s="2" t="str">
        <f>IFERROR(__xludf.DUMMYFUNCTION("GOOGLETRANSLATE(A29509, ""de"", ""en"")"),"100 times")</f>
        <v>100 times</v>
      </c>
    </row>
    <row r="29510">
      <c r="A29510" s="1" t="s">
        <v>29509</v>
      </c>
      <c r="B29510" s="2" t="str">
        <f>IFERROR(__xludf.DUMMYFUNCTION("GOOGLETRANSLATE(A29510, ""de"", ""en"")"),"throw down")</f>
        <v>throw down</v>
      </c>
    </row>
    <row r="29511">
      <c r="A29511" s="1" t="s">
        <v>29510</v>
      </c>
      <c r="B29511" s="2" t="str">
        <f>IFERROR(__xludf.DUMMYFUNCTION("GOOGLETRANSLATE(A29511, ""de"", ""en"")"),"synthetic")</f>
        <v>synthetic</v>
      </c>
    </row>
    <row r="29512">
      <c r="A29512" s="1" t="s">
        <v>29511</v>
      </c>
      <c r="B29512" s="2" t="str">
        <f>IFERROR(__xludf.DUMMYFUNCTION("GOOGLETRANSLATE(A29512, ""de"", ""en"")"),"alvey")</f>
        <v>alvey</v>
      </c>
    </row>
    <row r="29513">
      <c r="A29513" s="1" t="s">
        <v>29512</v>
      </c>
      <c r="B29513" s="2" t="str">
        <f>IFERROR(__xludf.DUMMYFUNCTION("GOOGLETRANSLATE(A29513, ""de"", ""en"")"),"chassis")</f>
        <v>chassis</v>
      </c>
    </row>
    <row r="29514">
      <c r="A29514" s="1" t="s">
        <v>29513</v>
      </c>
      <c r="B29514" s="2" t="str">
        <f>IFERROR(__xludf.DUMMYFUNCTION("GOOGLETRANSLATE(A29514, ""de"", ""en"")"),"Feldman")</f>
        <v>Feldman</v>
      </c>
    </row>
    <row r="29515">
      <c r="A29515" s="1" t="s">
        <v>29514</v>
      </c>
      <c r="B29515" s="2" t="str">
        <f>IFERROR(__xludf.DUMMYFUNCTION("GOOGLETRANSLATE(A29515, ""de"", ""en"")"),"treasure map")</f>
        <v>treasure map</v>
      </c>
    </row>
    <row r="29516">
      <c r="A29516" s="1" t="s">
        <v>29515</v>
      </c>
      <c r="B29516" s="2" t="str">
        <f>IFERROR(__xludf.DUMMYFUNCTION("GOOGLETRANSLATE(A29516, ""de"", ""en"")"),"respected")</f>
        <v>respected</v>
      </c>
    </row>
    <row r="29517">
      <c r="A29517" s="1" t="s">
        <v>29516</v>
      </c>
      <c r="B29517" s="2" t="str">
        <f>IFERROR(__xludf.DUMMYFUNCTION("GOOGLETRANSLATE(A29517, ""de"", ""en"")"),"curtainer")</f>
        <v>curtainer</v>
      </c>
    </row>
    <row r="29518">
      <c r="A29518" s="1" t="s">
        <v>29517</v>
      </c>
      <c r="B29518" s="2" t="str">
        <f>IFERROR(__xludf.DUMMYFUNCTION("GOOGLETRANSLATE(A29518, ""de"", ""en"")"),"rocking chair")</f>
        <v>rocking chair</v>
      </c>
    </row>
    <row r="29519">
      <c r="A29519" s="1" t="s">
        <v>29518</v>
      </c>
      <c r="B29519" s="2" t="str">
        <f>IFERROR(__xludf.DUMMYFUNCTION("GOOGLETRANSLATE(A29519, ""de"", ""en"")"),"junction")</f>
        <v>junction</v>
      </c>
    </row>
    <row r="29520">
      <c r="A29520" s="1" t="s">
        <v>29519</v>
      </c>
      <c r="B29520" s="2" t="str">
        <f>IFERROR(__xludf.DUMMYFUNCTION("GOOGLETRANSLATE(A29520, ""de"", ""en"")"),"Williamsburg")</f>
        <v>Williamsburg</v>
      </c>
    </row>
    <row r="29521">
      <c r="A29521" s="1" t="s">
        <v>29520</v>
      </c>
      <c r="B29521" s="2" t="str">
        <f>IFERROR(__xludf.DUMMYFUNCTION("GOOGLETRANSLATE(A29521, ""de"", ""en"")"),"ice water")</f>
        <v>ice water</v>
      </c>
    </row>
    <row r="29522">
      <c r="A29522" s="1" t="s">
        <v>29521</v>
      </c>
      <c r="B29522" s="2" t="str">
        <f>IFERROR(__xludf.DUMMYFUNCTION("GOOGLETRANSLATE(A29522, ""de"", ""en"")"),"foot")</f>
        <v>foot</v>
      </c>
    </row>
    <row r="29523">
      <c r="A29523" s="1" t="s">
        <v>29522</v>
      </c>
      <c r="B29523" s="2" t="str">
        <f>IFERROR(__xludf.DUMMYFUNCTION("GOOGLETRANSLATE(A29523, ""de"", ""en"")"),"ginger")</f>
        <v>ginger</v>
      </c>
    </row>
    <row r="29524">
      <c r="A29524" s="1" t="s">
        <v>29523</v>
      </c>
      <c r="B29524" s="2" t="str">
        <f>IFERROR(__xludf.DUMMYFUNCTION("GOOGLETRANSLATE(A29524, ""de"", ""en"")"),"greatest")</f>
        <v>greatest</v>
      </c>
    </row>
    <row r="29525">
      <c r="A29525" s="1" t="s">
        <v>29524</v>
      </c>
      <c r="B29525" s="2" t="str">
        <f>IFERROR(__xludf.DUMMYFUNCTION("GOOGLETRANSLATE(A29525, ""de"", ""en"")"),"murdoc")</f>
        <v>murdoc</v>
      </c>
    </row>
    <row r="29526">
      <c r="A29526" s="1" t="s">
        <v>29525</v>
      </c>
      <c r="B29526" s="2" t="str">
        <f>IFERROR(__xludf.DUMMYFUNCTION("GOOGLETRANSLATE(A29526, ""de"", ""en"")"),"digs")</f>
        <v>digs</v>
      </c>
    </row>
    <row r="29527">
      <c r="A29527" s="1" t="s">
        <v>29526</v>
      </c>
      <c r="B29527" s="2" t="str">
        <f>IFERROR(__xludf.DUMMYFUNCTION("GOOGLETRANSLATE(A29527, ""de"", ""en"")"),"two thousand")</f>
        <v>two thousand</v>
      </c>
    </row>
    <row r="29528">
      <c r="A29528" s="1" t="s">
        <v>29527</v>
      </c>
      <c r="B29528" s="2" t="str">
        <f>IFERROR(__xludf.DUMMYFUNCTION("GOOGLETRANSLATE(A29528, ""de"", ""en"")"),"towered")</f>
        <v>towered</v>
      </c>
    </row>
    <row r="29529">
      <c r="A29529" s="1" t="s">
        <v>29528</v>
      </c>
      <c r="B29529" s="2" t="str">
        <f>IFERROR(__xludf.DUMMYFUNCTION("GOOGLETRANSLATE(A29529, ""de"", ""en"")"),"merchants")</f>
        <v>merchants</v>
      </c>
    </row>
    <row r="29530">
      <c r="A29530" s="1" t="s">
        <v>29529</v>
      </c>
      <c r="B29530" s="2" t="str">
        <f>IFERROR(__xludf.DUMMYFUNCTION("GOOGLETRANSLATE(A29530, ""de"", ""en"")"),"rayna")</f>
        <v>rayna</v>
      </c>
    </row>
    <row r="29531">
      <c r="A29531" s="1" t="s">
        <v>29530</v>
      </c>
      <c r="B29531" s="2" t="str">
        <f>IFERROR(__xludf.DUMMYFUNCTION("GOOGLETRANSLATE(A29531, ""de"", ""en"")"),"Elya")</f>
        <v>Elya</v>
      </c>
    </row>
    <row r="29532">
      <c r="A29532" s="1" t="s">
        <v>29531</v>
      </c>
      <c r="B29532" s="2" t="str">
        <f>IFERROR(__xludf.DUMMYFUNCTION("GOOGLETRANSLATE(A29532, ""de"", ""en"")"),"items")</f>
        <v>items</v>
      </c>
    </row>
    <row r="29533">
      <c r="A29533" s="1" t="s">
        <v>29532</v>
      </c>
      <c r="B29533" s="2" t="str">
        <f>IFERROR(__xludf.DUMMYFUNCTION("GOOGLETRANSLATE(A29533, ""de"", ""en"")"),"sucked out")</f>
        <v>sucked out</v>
      </c>
    </row>
    <row r="29534">
      <c r="A29534" s="1" t="s">
        <v>29533</v>
      </c>
      <c r="B29534" s="2" t="str">
        <f>IFERROR(__xludf.DUMMYFUNCTION("GOOGLETRANSLATE(A29534, ""de"", ""en"")"),"mental")</f>
        <v>mental</v>
      </c>
    </row>
    <row r="29535">
      <c r="A29535" s="1" t="s">
        <v>29534</v>
      </c>
      <c r="B29535" s="2" t="str">
        <f>IFERROR(__xludf.DUMMYFUNCTION("GOOGLETRANSLATE(A29535, ""de"", ""en"")"),"difference")</f>
        <v>difference</v>
      </c>
    </row>
    <row r="29536">
      <c r="A29536" s="1" t="s">
        <v>29535</v>
      </c>
      <c r="B29536" s="2" t="str">
        <f>IFERROR(__xludf.DUMMYFUNCTION("GOOGLETRANSLATE(A29536, ""de"", ""en"")"),"Granada")</f>
        <v>Granada</v>
      </c>
    </row>
    <row r="29537">
      <c r="A29537" s="1" t="s">
        <v>29536</v>
      </c>
      <c r="B29537" s="2" t="str">
        <f>IFERROR(__xludf.DUMMYFUNCTION("GOOGLETRANSLATE(A29537, ""de"", ""en"")"),"guess")</f>
        <v>guess</v>
      </c>
    </row>
    <row r="29538">
      <c r="A29538" s="1" t="s">
        <v>29537</v>
      </c>
      <c r="B29538" s="2" t="str">
        <f>IFERROR(__xludf.DUMMYFUNCTION("GOOGLETRANSLATE(A29538, ""de"", ""en"")"),"clumsy")</f>
        <v>clumsy</v>
      </c>
    </row>
    <row r="29539">
      <c r="A29539" s="1" t="s">
        <v>29538</v>
      </c>
      <c r="B29539" s="2" t="str">
        <f>IFERROR(__xludf.DUMMYFUNCTION("GOOGLETRANSLATE(A29539, ""de"", ""en"")"),"cute")</f>
        <v>cute</v>
      </c>
    </row>
    <row r="29540">
      <c r="A29540" s="1" t="s">
        <v>29539</v>
      </c>
      <c r="B29540" s="2" t="str">
        <f>IFERROR(__xludf.DUMMYFUNCTION("GOOGLETRANSLATE(A29540, ""de"", ""en"")"),"weigh up")</f>
        <v>weigh up</v>
      </c>
    </row>
    <row r="29541">
      <c r="A29541" s="1" t="s">
        <v>29540</v>
      </c>
      <c r="B29541" s="2" t="str">
        <f>IFERROR(__xludf.DUMMYFUNCTION("GOOGLETRANSLATE(A29541, ""de"", ""en"")"),"creation")</f>
        <v>creation</v>
      </c>
    </row>
    <row r="29542">
      <c r="A29542" s="1" t="s">
        <v>29541</v>
      </c>
      <c r="B29542" s="2" t="str">
        <f>IFERROR(__xludf.DUMMYFUNCTION("GOOGLETRANSLATE(A29542, ""de"", ""en"")"),"Spartan")</f>
        <v>Spartan</v>
      </c>
    </row>
    <row r="29543">
      <c r="A29543" s="1" t="s">
        <v>29542</v>
      </c>
      <c r="B29543" s="2" t="str">
        <f>IFERROR(__xludf.DUMMYFUNCTION("GOOGLETRANSLATE(A29543, ""de"", ""en"")"),"responded")</f>
        <v>responded</v>
      </c>
    </row>
    <row r="29544">
      <c r="A29544" s="1" t="s">
        <v>29543</v>
      </c>
      <c r="B29544" s="2" t="str">
        <f>IFERROR(__xludf.DUMMYFUNCTION("GOOGLETRANSLATE(A29544, ""de"", ""en"")"),"fill up")</f>
        <v>fill up</v>
      </c>
    </row>
    <row r="29545">
      <c r="A29545" s="1" t="s">
        <v>29544</v>
      </c>
      <c r="B29545" s="2" t="str">
        <f>IFERROR(__xludf.DUMMYFUNCTION("GOOGLETRANSLATE(A29545, ""de"", ""en"")"),"Serbs")</f>
        <v>Serbs</v>
      </c>
    </row>
    <row r="29546">
      <c r="A29546" s="1" t="s">
        <v>29545</v>
      </c>
      <c r="B29546" s="2" t="str">
        <f>IFERROR(__xludf.DUMMYFUNCTION("GOOGLETRANSLATE(A29546, ""de"", ""en"")"),"decay")</f>
        <v>decay</v>
      </c>
    </row>
    <row r="29547">
      <c r="A29547" s="1" t="s">
        <v>29546</v>
      </c>
      <c r="B29547" s="2" t="str">
        <f>IFERROR(__xludf.DUMMYFUNCTION("GOOGLETRANSLATE(A29547, ""de"", ""en"")"),"xanax")</f>
        <v>xanax</v>
      </c>
    </row>
    <row r="29548">
      <c r="A29548" s="1" t="s">
        <v>29547</v>
      </c>
      <c r="B29548" s="2" t="str">
        <f>IFERROR(__xludf.DUMMYFUNCTION("GOOGLETRANSLATE(A29548, ""de"", ""en"")"),"love song")</f>
        <v>love song</v>
      </c>
    </row>
    <row r="29549">
      <c r="A29549" s="1" t="s">
        <v>29548</v>
      </c>
      <c r="B29549" s="2" t="str">
        <f>IFERROR(__xludf.DUMMYFUNCTION("GOOGLETRANSLATE(A29549, ""de"", ""en"")"),"significant")</f>
        <v>significant</v>
      </c>
    </row>
    <row r="29550">
      <c r="A29550" s="1" t="s">
        <v>29549</v>
      </c>
      <c r="B29550" s="2" t="str">
        <f>IFERROR(__xludf.DUMMYFUNCTION("GOOGLETRANSLATE(A29550, ""de"", ""en"")"),"walnuts")</f>
        <v>walnuts</v>
      </c>
    </row>
    <row r="29551">
      <c r="A29551" s="1" t="s">
        <v>29550</v>
      </c>
      <c r="B29551" s="2" t="str">
        <f>IFERROR(__xludf.DUMMYFUNCTION("GOOGLETRANSLATE(A29551, ""de"", ""en"")"),"but-")</f>
        <v>but-</v>
      </c>
    </row>
    <row r="29552">
      <c r="A29552" s="1" t="s">
        <v>29551</v>
      </c>
      <c r="B29552" s="2" t="str">
        <f>IFERROR(__xludf.DUMMYFUNCTION("GOOGLETRANSLATE(A29552, ""de"", ""en"")"),"resist")</f>
        <v>resist</v>
      </c>
    </row>
    <row r="29553">
      <c r="A29553" s="1" t="s">
        <v>29552</v>
      </c>
      <c r="B29553" s="2" t="str">
        <f>IFERROR(__xludf.DUMMYFUNCTION("GOOGLETRANSLATE(A29553, ""de"", ""en"")"),"rap")</f>
        <v>rap</v>
      </c>
    </row>
    <row r="29554">
      <c r="A29554" s="1" t="s">
        <v>29553</v>
      </c>
      <c r="B29554" s="2" t="str">
        <f>IFERROR(__xludf.DUMMYFUNCTION("GOOGLETRANSLATE(A29554, ""de"", ""en"")"),"biggs")</f>
        <v>biggs</v>
      </c>
    </row>
    <row r="29555">
      <c r="A29555" s="1" t="s">
        <v>29554</v>
      </c>
      <c r="B29555" s="2" t="str">
        <f>IFERROR(__xludf.DUMMYFUNCTION("GOOGLETRANSLATE(A29555, ""de"", ""en"")"),"surname")</f>
        <v>surname</v>
      </c>
    </row>
    <row r="29556">
      <c r="A29556" s="1" t="s">
        <v>29555</v>
      </c>
      <c r="B29556" s="2" t="str">
        <f>IFERROR(__xludf.DUMMYFUNCTION("GOOGLETRANSLATE(A29556, ""de"", ""en"")"),"decoration")</f>
        <v>decoration</v>
      </c>
    </row>
    <row r="29557">
      <c r="A29557" s="1" t="s">
        <v>29556</v>
      </c>
      <c r="B29557" s="2" t="str">
        <f>IFERROR(__xludf.DUMMYFUNCTION("GOOGLETRANSLATE(A29557, ""de"", ""en"")"),"conspiracy theories")</f>
        <v>conspiracy theories</v>
      </c>
    </row>
    <row r="29558">
      <c r="A29558" s="1" t="s">
        <v>29557</v>
      </c>
      <c r="B29558" s="2" t="str">
        <f>IFERROR(__xludf.DUMMYFUNCTION("GOOGLETRANSLATE(A29558, ""de"", ""en"")"),"questioned")</f>
        <v>questioned</v>
      </c>
    </row>
    <row r="29559">
      <c r="A29559" s="1" t="s">
        <v>29558</v>
      </c>
      <c r="B29559" s="2" t="str">
        <f>IFERROR(__xludf.DUMMYFUNCTION("GOOGLETRANSLATE(A29559, ""de"", ""en"")"),"elder")</f>
        <v>elder</v>
      </c>
    </row>
    <row r="29560">
      <c r="A29560" s="1" t="s">
        <v>29559</v>
      </c>
      <c r="B29560" s="2" t="str">
        <f>IFERROR(__xludf.DUMMYFUNCTION("GOOGLETRANSLATE(A29560, ""de"", ""en"")"),"kobol")</f>
        <v>kobol</v>
      </c>
    </row>
    <row r="29561">
      <c r="A29561" s="1" t="s">
        <v>29560</v>
      </c>
      <c r="B29561" s="2" t="str">
        <f>IFERROR(__xludf.DUMMYFUNCTION("GOOGLETRANSLATE(A29561, ""de"", ""en"")"),"Gothenburg")</f>
        <v>Gothenburg</v>
      </c>
    </row>
    <row r="29562">
      <c r="A29562" s="1" t="s">
        <v>29561</v>
      </c>
      <c r="B29562" s="2" t="str">
        <f>IFERROR(__xludf.DUMMYFUNCTION("GOOGLETRANSLATE(A29562, ""de"", ""en"")"),"establish")</f>
        <v>establish</v>
      </c>
    </row>
    <row r="29563">
      <c r="A29563" s="1" t="s">
        <v>29562</v>
      </c>
      <c r="B29563" s="2" t="str">
        <f>IFERROR(__xludf.DUMMYFUNCTION("GOOGLETRANSLATE(A29563, ""de"", ""en"")"),"fall back")</f>
        <v>fall back</v>
      </c>
    </row>
    <row r="29564">
      <c r="A29564" s="1" t="s">
        <v>29563</v>
      </c>
      <c r="B29564" s="2" t="str">
        <f>IFERROR(__xludf.DUMMYFUNCTION("GOOGLETRANSLATE(A29564, ""de"", ""en"")"),"city ​​councilor")</f>
        <v>city ​​councilor</v>
      </c>
    </row>
    <row r="29565">
      <c r="A29565" s="1" t="s">
        <v>29564</v>
      </c>
      <c r="B29565" s="2" t="str">
        <f>IFERROR(__xludf.DUMMYFUNCTION("GOOGLETRANSLATE(A29565, ""de"", ""en"")"),"resident")</f>
        <v>resident</v>
      </c>
    </row>
    <row r="29566">
      <c r="A29566" s="1" t="s">
        <v>29565</v>
      </c>
      <c r="B29566" s="2" t="str">
        <f>IFERROR(__xludf.DUMMYFUNCTION("GOOGLETRANSLATE(A29566, ""de"", ""en"")"),"effective")</f>
        <v>effective</v>
      </c>
    </row>
    <row r="29567">
      <c r="A29567" s="1" t="s">
        <v>29566</v>
      </c>
      <c r="B29567" s="2" t="str">
        <f>IFERROR(__xludf.DUMMYFUNCTION("GOOGLETRANSLATE(A29567, ""de"", ""en"")"),"world order")</f>
        <v>world order</v>
      </c>
    </row>
    <row r="29568">
      <c r="A29568" s="1" t="s">
        <v>29567</v>
      </c>
      <c r="B29568" s="2" t="str">
        <f>IFERROR(__xludf.DUMMYFUNCTION("GOOGLETRANSLATE(A29568, ""de"", ""en"")"),"monster")</f>
        <v>monster</v>
      </c>
    </row>
    <row r="29569">
      <c r="A29569" s="1" t="s">
        <v>29568</v>
      </c>
      <c r="B29569" s="2" t="str">
        <f>IFERROR(__xludf.DUMMYFUNCTION("GOOGLETRANSLATE(A29569, ""de"", ""en"")"),"m-m")</f>
        <v>m-m</v>
      </c>
    </row>
    <row r="29570">
      <c r="A29570" s="1" t="s">
        <v>29569</v>
      </c>
      <c r="B29570" s="2" t="str">
        <f>IFERROR(__xludf.DUMMYFUNCTION("GOOGLETRANSLATE(A29570, ""de"", ""en"")"),"exclusive")</f>
        <v>exclusive</v>
      </c>
    </row>
    <row r="29571">
      <c r="A29571" s="1" t="s">
        <v>29570</v>
      </c>
      <c r="B29571" s="2" t="str">
        <f>IFERROR(__xludf.DUMMYFUNCTION("GOOGLETRANSLATE(A29571, ""de"", ""en"")"),"donahue")</f>
        <v>donahue</v>
      </c>
    </row>
    <row r="29572">
      <c r="A29572" s="1" t="s">
        <v>29571</v>
      </c>
      <c r="B29572" s="2" t="str">
        <f>IFERROR(__xludf.DUMMYFUNCTION("GOOGLETRANSLATE(A29572, ""de"", ""en"")"),"checked")</f>
        <v>checked</v>
      </c>
    </row>
    <row r="29573">
      <c r="A29573" s="1" t="s">
        <v>29572</v>
      </c>
      <c r="B29573" s="2" t="str">
        <f>IFERROR(__xludf.DUMMYFUNCTION("GOOGLETRANSLATE(A29573, ""de"", ""en"")"),"lullaby")</f>
        <v>lullaby</v>
      </c>
    </row>
    <row r="29574">
      <c r="A29574" s="1" t="s">
        <v>29573</v>
      </c>
      <c r="B29574" s="2" t="str">
        <f>IFERROR(__xludf.DUMMYFUNCTION("GOOGLETRANSLATE(A29574, ""de"", ""en"")"),"antique")</f>
        <v>antique</v>
      </c>
    </row>
    <row r="29575">
      <c r="A29575" s="1" t="s">
        <v>29574</v>
      </c>
      <c r="B29575" s="2" t="str">
        <f>IFERROR(__xludf.DUMMYFUNCTION("GOOGLETRANSLATE(A29575, ""de"", ""en"")"),"fuss")</f>
        <v>fuss</v>
      </c>
    </row>
    <row r="29576">
      <c r="A29576" s="1" t="s">
        <v>29575</v>
      </c>
      <c r="B29576" s="2" t="str">
        <f>IFERROR(__xludf.DUMMYFUNCTION("GOOGLETRANSLATE(A29576, ""de"", ""en"")"),"knights")</f>
        <v>knights</v>
      </c>
    </row>
    <row r="29577">
      <c r="A29577" s="1" t="s">
        <v>29576</v>
      </c>
      <c r="B29577" s="2" t="str">
        <f>IFERROR(__xludf.DUMMYFUNCTION("GOOGLETRANSLATE(A29577, ""de"", ""en"")"),"braid")</f>
        <v>braid</v>
      </c>
    </row>
    <row r="29578">
      <c r="A29578" s="1" t="s">
        <v>29577</v>
      </c>
      <c r="B29578" s="2" t="str">
        <f>IFERROR(__xludf.DUMMYFUNCTION("GOOGLETRANSLATE(A29578, ""de"", ""en"")"),"drove in")</f>
        <v>drove in</v>
      </c>
    </row>
    <row r="29579">
      <c r="A29579" s="1" t="s">
        <v>29578</v>
      </c>
      <c r="B29579" s="2" t="str">
        <f>IFERROR(__xludf.DUMMYFUNCTION("GOOGLETRANSLATE(A29579, ""de"", ""en"")"),"commentator")</f>
        <v>commentator</v>
      </c>
    </row>
    <row r="29580">
      <c r="A29580" s="1" t="s">
        <v>29579</v>
      </c>
      <c r="B29580" s="2" t="str">
        <f>IFERROR(__xludf.DUMMYFUNCTION("GOOGLETRANSLATE(A29580, ""de"", ""en"")"),"splashed")</f>
        <v>splashed</v>
      </c>
    </row>
    <row r="29581">
      <c r="A29581" s="1" t="s">
        <v>29580</v>
      </c>
      <c r="B29581" s="2" t="str">
        <f>IFERROR(__xludf.DUMMYFUNCTION("GOOGLETRANSLATE(A29581, ""de"", ""en"")"),"colliery")</f>
        <v>colliery</v>
      </c>
    </row>
    <row r="29582">
      <c r="A29582" s="1" t="s">
        <v>29581</v>
      </c>
      <c r="B29582" s="2" t="str">
        <f>IFERROR(__xludf.DUMMYFUNCTION("GOOGLETRANSLATE(A29582, ""de"", ""en"")"),"interlocutor")</f>
        <v>interlocutor</v>
      </c>
    </row>
    <row r="29583">
      <c r="A29583" s="1" t="s">
        <v>29582</v>
      </c>
      <c r="B29583" s="2" t="str">
        <f>IFERROR(__xludf.DUMMYFUNCTION("GOOGLETRANSLATE(A29583, ""de"", ""en"")"),"first class")</f>
        <v>first class</v>
      </c>
    </row>
    <row r="29584">
      <c r="A29584" s="1" t="s">
        <v>29583</v>
      </c>
      <c r="B29584" s="2" t="str">
        <f>IFERROR(__xludf.DUMMYFUNCTION("GOOGLETRANSLATE(A29584, ""de"", ""en"")"),"scrape")</f>
        <v>scrape</v>
      </c>
    </row>
    <row r="29585">
      <c r="A29585" s="1" t="s">
        <v>29584</v>
      </c>
      <c r="B29585" s="2" t="str">
        <f>IFERROR(__xludf.DUMMYFUNCTION("GOOGLETRANSLATE(A29585, ""de"", ""en"")"),"newspaper article")</f>
        <v>newspaper article</v>
      </c>
    </row>
    <row r="29586">
      <c r="A29586" s="1" t="s">
        <v>29585</v>
      </c>
      <c r="B29586" s="2" t="str">
        <f>IFERROR(__xludf.DUMMYFUNCTION("GOOGLETRANSLATE(A29586, ""de"", ""en"")"),"outrageous")</f>
        <v>outrageous</v>
      </c>
    </row>
    <row r="29587">
      <c r="A29587" s="1" t="s">
        <v>29586</v>
      </c>
      <c r="B29587" s="2" t="str">
        <f>IFERROR(__xludf.DUMMYFUNCTION("GOOGLETRANSLATE(A29587, ""de"", ""en"")"),"overzealous")</f>
        <v>overzealous</v>
      </c>
    </row>
    <row r="29588">
      <c r="A29588" s="1" t="s">
        <v>29587</v>
      </c>
      <c r="B29588" s="2" t="str">
        <f>IFERROR(__xludf.DUMMYFUNCTION("GOOGLETRANSLATE(A29588, ""de"", ""en"")"),"whipped")</f>
        <v>whipped</v>
      </c>
    </row>
    <row r="29589">
      <c r="A29589" s="1" t="s">
        <v>29588</v>
      </c>
      <c r="B29589" s="2" t="str">
        <f>IFERROR(__xludf.DUMMYFUNCTION("GOOGLETRANSLATE(A29589, ""de"", ""en"")"),"strayed")</f>
        <v>strayed</v>
      </c>
    </row>
    <row r="29590">
      <c r="A29590" s="1" t="s">
        <v>29589</v>
      </c>
      <c r="B29590" s="2" t="str">
        <f>IFERROR(__xludf.DUMMYFUNCTION("GOOGLETRANSLATE(A29590, ""de"", ""en"")"),"sellers")</f>
        <v>sellers</v>
      </c>
    </row>
    <row r="29591">
      <c r="A29591" s="1" t="s">
        <v>29590</v>
      </c>
      <c r="B29591" s="2" t="str">
        <f>IFERROR(__xludf.DUMMYFUNCTION("GOOGLETRANSLATE(A29591, ""de"", ""en"")"),"bring with you")</f>
        <v>bring with you</v>
      </c>
    </row>
    <row r="29592">
      <c r="A29592" s="1" t="s">
        <v>29591</v>
      </c>
      <c r="B29592" s="2" t="str">
        <f>IFERROR(__xludf.DUMMYFUNCTION("GOOGLETRANSLATE(A29592, ""de"", ""en"")"),"crazy")</f>
        <v>crazy</v>
      </c>
    </row>
    <row r="29593">
      <c r="A29593" s="1" t="s">
        <v>29592</v>
      </c>
      <c r="B29593" s="2" t="str">
        <f>IFERROR(__xludf.DUMMYFUNCTION("GOOGLETRANSLATE(A29593, ""de"", ""en"")"),"Crete")</f>
        <v>Crete</v>
      </c>
    </row>
    <row r="29594">
      <c r="A29594" s="1" t="s">
        <v>29593</v>
      </c>
      <c r="B29594" s="2" t="str">
        <f>IFERROR(__xludf.DUMMYFUNCTION("GOOGLETRANSLATE(A29594, ""de"", ""en"")"),"pictures")</f>
        <v>pictures</v>
      </c>
    </row>
    <row r="29595">
      <c r="A29595" s="1" t="s">
        <v>29594</v>
      </c>
      <c r="B29595" s="2" t="str">
        <f>IFERROR(__xludf.DUMMYFUNCTION("GOOGLETRANSLATE(A29595, ""de"", ""en"")"),"otaru-kun")</f>
        <v>otaru-kun</v>
      </c>
    </row>
    <row r="29596">
      <c r="A29596" s="1" t="s">
        <v>29595</v>
      </c>
      <c r="B29596" s="2" t="str">
        <f>IFERROR(__xludf.DUMMYFUNCTION("GOOGLETRANSLATE(A29596, ""de"", ""en"")"),"yarn")</f>
        <v>yarn</v>
      </c>
    </row>
    <row r="29597">
      <c r="A29597" s="1" t="s">
        <v>29596</v>
      </c>
      <c r="B29597" s="2" t="str">
        <f>IFERROR(__xludf.DUMMYFUNCTION("GOOGLETRANSLATE(A29597, ""de"", ""en"")"),"rode along")</f>
        <v>rode along</v>
      </c>
    </row>
    <row r="29598">
      <c r="A29598" s="1" t="s">
        <v>29597</v>
      </c>
      <c r="B29598" s="2" t="str">
        <f>IFERROR(__xludf.DUMMYFUNCTION("GOOGLETRANSLATE(A29598, ""de"", ""en"")"),"egan")</f>
        <v>egan</v>
      </c>
    </row>
    <row r="29599">
      <c r="A29599" s="1" t="s">
        <v>29598</v>
      </c>
      <c r="B29599" s="2" t="str">
        <f>IFERROR(__xludf.DUMMYFUNCTION("GOOGLETRANSLATE(A29599, ""de"", ""en"")"),"Westminster")</f>
        <v>Westminster</v>
      </c>
    </row>
    <row r="29600">
      <c r="A29600" s="1" t="s">
        <v>29599</v>
      </c>
      <c r="B29600" s="2" t="str">
        <f>IFERROR(__xludf.DUMMYFUNCTION("GOOGLETRANSLATE(A29600, ""de"", ""en"")"),"antichrist")</f>
        <v>antichrist</v>
      </c>
    </row>
    <row r="29601">
      <c r="A29601" s="1" t="s">
        <v>29600</v>
      </c>
      <c r="B29601" s="2" t="str">
        <f>IFERROR(__xludf.DUMMYFUNCTION("GOOGLETRANSLATE(A29601, ""de"", ""en"")"),"dragons")</f>
        <v>dragons</v>
      </c>
    </row>
    <row r="29602">
      <c r="A29602" s="1" t="s">
        <v>29601</v>
      </c>
      <c r="B29602" s="2" t="str">
        <f>IFERROR(__xludf.DUMMYFUNCTION("GOOGLETRANSLATE(A29602, ""de"", ""en"")"),"habib")</f>
        <v>habib</v>
      </c>
    </row>
    <row r="29603">
      <c r="A29603" s="1" t="s">
        <v>29602</v>
      </c>
      <c r="B29603" s="2" t="str">
        <f>IFERROR(__xludf.DUMMYFUNCTION("GOOGLETRANSLATE(A29603, ""de"", ""en"")"),"torn")</f>
        <v>torn</v>
      </c>
    </row>
    <row r="29604">
      <c r="A29604" s="1" t="s">
        <v>29603</v>
      </c>
      <c r="B29604" s="2" t="str">
        <f>IFERROR(__xludf.DUMMYFUNCTION("GOOGLETRANSLATE(A29604, ""de"", ""en"")"),"babble")</f>
        <v>babble</v>
      </c>
    </row>
    <row r="29605">
      <c r="A29605" s="1" t="s">
        <v>29604</v>
      </c>
      <c r="B29605" s="2" t="str">
        <f>IFERROR(__xludf.DUMMYFUNCTION("GOOGLETRANSLATE(A29605, ""de"", ""en"")"),"est")</f>
        <v>est</v>
      </c>
    </row>
    <row r="29606">
      <c r="A29606" s="1" t="s">
        <v>29605</v>
      </c>
      <c r="B29606" s="2" t="str">
        <f>IFERROR(__xludf.DUMMYFUNCTION("GOOGLETRANSLATE(A29606, ""de"", ""en"")"),"prompt")</f>
        <v>prompt</v>
      </c>
    </row>
    <row r="29607">
      <c r="A29607" s="1" t="s">
        <v>29606</v>
      </c>
      <c r="B29607" s="2" t="str">
        <f>IFERROR(__xludf.DUMMYFUNCTION("GOOGLETRANSLATE(A29607, ""de"", ""en"")"),"house number")</f>
        <v>house number</v>
      </c>
    </row>
    <row r="29608">
      <c r="A29608" s="1" t="s">
        <v>29607</v>
      </c>
      <c r="B29608" s="2" t="str">
        <f>IFERROR(__xludf.DUMMYFUNCTION("GOOGLETRANSLATE(A29608, ""de"", ""en"")"),"cargo ship")</f>
        <v>cargo ship</v>
      </c>
    </row>
    <row r="29609">
      <c r="A29609" s="1" t="s">
        <v>29608</v>
      </c>
      <c r="B29609" s="2" t="str">
        <f>IFERROR(__xludf.DUMMYFUNCTION("GOOGLETRANSLATE(A29609, ""de"", ""en"")"),"to play along")</f>
        <v>to play along</v>
      </c>
    </row>
    <row r="29610">
      <c r="A29610" s="1" t="s">
        <v>29609</v>
      </c>
      <c r="B29610" s="2" t="str">
        <f>IFERROR(__xludf.DUMMYFUNCTION("GOOGLETRANSLATE(A29610, ""de"", ""en"")"),"bullet")</f>
        <v>bullet</v>
      </c>
    </row>
    <row r="29611">
      <c r="A29611" s="1" t="s">
        <v>29610</v>
      </c>
      <c r="B29611" s="2" t="str">
        <f>IFERROR(__xludf.DUMMYFUNCTION("GOOGLETRANSLATE(A29611, ""de"", ""en"")"),"talon")</f>
        <v>talon</v>
      </c>
    </row>
    <row r="29612">
      <c r="A29612" s="1" t="s">
        <v>29611</v>
      </c>
      <c r="B29612" s="2" t="str">
        <f>IFERROR(__xludf.DUMMYFUNCTION("GOOGLETRANSLATE(A29612, ""de"", ""en"")"),"mentor")</f>
        <v>mentor</v>
      </c>
    </row>
    <row r="29613">
      <c r="A29613" s="1" t="s">
        <v>29612</v>
      </c>
      <c r="B29613" s="2" t="str">
        <f>IFERROR(__xludf.DUMMYFUNCTION("GOOGLETRANSLATE(A29613, ""de"", ""en"")"),"dry")</f>
        <v>dry</v>
      </c>
    </row>
    <row r="29614">
      <c r="A29614" s="1" t="s">
        <v>29613</v>
      </c>
      <c r="B29614" s="2" t="str">
        <f>IFERROR(__xludf.DUMMYFUNCTION("GOOGLETRANSLATE(A29614, ""de"", ""en"")"),"manipulated")</f>
        <v>manipulated</v>
      </c>
    </row>
    <row r="29615">
      <c r="A29615" s="1" t="s">
        <v>29614</v>
      </c>
      <c r="B29615" s="2" t="str">
        <f>IFERROR(__xludf.DUMMYFUNCTION("GOOGLETRANSLATE(A29615, ""de"", ""en"")"),"aldrin")</f>
        <v>aldrin</v>
      </c>
    </row>
    <row r="29616">
      <c r="A29616" s="1" t="s">
        <v>29615</v>
      </c>
      <c r="B29616" s="2" t="str">
        <f>IFERROR(__xludf.DUMMYFUNCTION("GOOGLETRANSLATE(A29616, ""de"", ""en"")"),"waitresses")</f>
        <v>waitresses</v>
      </c>
    </row>
    <row r="29617">
      <c r="A29617" s="1" t="s">
        <v>29616</v>
      </c>
      <c r="B29617" s="2" t="str">
        <f>IFERROR(__xludf.DUMMYFUNCTION("GOOGLETRANSLATE(A29617, ""de"", ""en"")"),"pattern")</f>
        <v>pattern</v>
      </c>
    </row>
    <row r="29618">
      <c r="A29618" s="1" t="s">
        <v>29617</v>
      </c>
      <c r="B29618" s="2" t="str">
        <f>IFERROR(__xludf.DUMMYFUNCTION("GOOGLETRANSLATE(A29618, ""de"", ""en"")"),"stopped")</f>
        <v>stopped</v>
      </c>
    </row>
    <row r="29619">
      <c r="A29619" s="1" t="s">
        <v>29618</v>
      </c>
      <c r="B29619" s="2" t="str">
        <f>IFERROR(__xludf.DUMMYFUNCTION("GOOGLETRANSLATE(A29619, ""de"", ""en"")"),"prescribed")</f>
        <v>prescribed</v>
      </c>
    </row>
    <row r="29620">
      <c r="A29620" s="1" t="s">
        <v>29619</v>
      </c>
      <c r="B29620" s="2" t="str">
        <f>IFERROR(__xludf.DUMMYFUNCTION("GOOGLETRANSLATE(A29620, ""de"", ""en"")"),"fraternity")</f>
        <v>fraternity</v>
      </c>
    </row>
    <row r="29621">
      <c r="A29621" s="1" t="s">
        <v>29620</v>
      </c>
      <c r="B29621" s="2" t="str">
        <f>IFERROR(__xludf.DUMMYFUNCTION("GOOGLETRANSLATE(A29621, ""de"", ""en"")"),"work")</f>
        <v>work</v>
      </c>
    </row>
    <row r="29622">
      <c r="A29622" s="1" t="s">
        <v>29621</v>
      </c>
      <c r="B29622" s="2" t="str">
        <f>IFERROR(__xludf.DUMMYFUNCTION("GOOGLETRANSLATE(A29622, ""de"", ""en"")"),"sentinel")</f>
        <v>sentinel</v>
      </c>
    </row>
    <row r="29623">
      <c r="A29623" s="1" t="s">
        <v>29622</v>
      </c>
      <c r="B29623" s="2" t="str">
        <f>IFERROR(__xludf.DUMMYFUNCTION("GOOGLETRANSLATE(A29623, ""de"", ""en"")"),"swab")</f>
        <v>swab</v>
      </c>
    </row>
    <row r="29624">
      <c r="A29624" s="1" t="s">
        <v>29623</v>
      </c>
      <c r="B29624" s="2" t="str">
        <f>IFERROR(__xludf.DUMMYFUNCTION("GOOGLETRANSLATE(A29624, ""de"", ""en"")"),"cardiac massage")</f>
        <v>cardiac massage</v>
      </c>
    </row>
    <row r="29625">
      <c r="A29625" s="1" t="s">
        <v>29624</v>
      </c>
      <c r="B29625" s="2" t="str">
        <f>IFERROR(__xludf.DUMMYFUNCTION("GOOGLETRANSLATE(A29625, ""de"", ""en"")"),"dow")</f>
        <v>dow</v>
      </c>
    </row>
    <row r="29626">
      <c r="A29626" s="1" t="s">
        <v>29625</v>
      </c>
      <c r="B29626" s="2" t="str">
        <f>IFERROR(__xludf.DUMMYFUNCTION("GOOGLETRANSLATE(A29626, ""de"", ""en"")"),"bellick")</f>
        <v>bellick</v>
      </c>
    </row>
    <row r="29627">
      <c r="A29627" s="1" t="s">
        <v>29626</v>
      </c>
      <c r="B29627" s="2" t="str">
        <f>IFERROR(__xludf.DUMMYFUNCTION("GOOGLETRANSLATE(A29627, ""de"", ""en"")"),"crabs")</f>
        <v>crabs</v>
      </c>
    </row>
    <row r="29628">
      <c r="A29628" s="1" t="s">
        <v>29627</v>
      </c>
      <c r="B29628" s="2" t="str">
        <f>IFERROR(__xludf.DUMMYFUNCTION("GOOGLETRANSLATE(A29628, ""de"", ""en"")"),"supernatural")</f>
        <v>supernatural</v>
      </c>
    </row>
    <row r="29629">
      <c r="A29629" s="1" t="s">
        <v>29628</v>
      </c>
      <c r="B29629" s="2" t="str">
        <f>IFERROR(__xludf.DUMMYFUNCTION("GOOGLETRANSLATE(A29629, ""de"", ""en"")"),"Christian")</f>
        <v>Christian</v>
      </c>
    </row>
    <row r="29630">
      <c r="A29630" s="1" t="s">
        <v>29629</v>
      </c>
      <c r="B29630" s="2" t="str">
        <f>IFERROR(__xludf.DUMMYFUNCTION("GOOGLETRANSLATE(A29630, ""de"", ""en"")"),"distributed")</f>
        <v>distributed</v>
      </c>
    </row>
    <row r="29631">
      <c r="A29631" s="1" t="s">
        <v>29630</v>
      </c>
      <c r="B29631" s="2" t="str">
        <f>IFERROR(__xludf.DUMMYFUNCTION("GOOGLETRANSLATE(A29631, ""de"", ""en"")"),"interested")</f>
        <v>interested</v>
      </c>
    </row>
    <row r="29632">
      <c r="A29632" s="1" t="s">
        <v>29631</v>
      </c>
      <c r="B29632" s="2" t="str">
        <f>IFERROR(__xludf.DUMMYFUNCTION("GOOGLETRANSLATE(A29632, ""de"", ""en"")"),"hunk")</f>
        <v>hunk</v>
      </c>
    </row>
    <row r="29633">
      <c r="A29633" s="1" t="s">
        <v>29632</v>
      </c>
      <c r="B29633" s="2" t="str">
        <f>IFERROR(__xludf.DUMMYFUNCTION("GOOGLETRANSLATE(A29633, ""de"", ""en"")"),"gravity")</f>
        <v>gravity</v>
      </c>
    </row>
    <row r="29634">
      <c r="A29634" s="1" t="s">
        <v>29633</v>
      </c>
      <c r="B29634" s="2" t="str">
        <f>IFERROR(__xludf.DUMMYFUNCTION("GOOGLETRANSLATE(A29634, ""de"", ""en"")"),"anson")</f>
        <v>anson</v>
      </c>
    </row>
    <row r="29635">
      <c r="A29635" s="1" t="s">
        <v>29634</v>
      </c>
      <c r="B29635" s="2" t="str">
        <f>IFERROR(__xludf.DUMMYFUNCTION("GOOGLETRANSLATE(A29635, ""de"", ""en"")"),"dosage")</f>
        <v>dosage</v>
      </c>
    </row>
    <row r="29636">
      <c r="A29636" s="1" t="s">
        <v>29635</v>
      </c>
      <c r="B29636" s="2" t="str">
        <f>IFERROR(__xludf.DUMMYFUNCTION("GOOGLETRANSLATE(A29636, ""de"", ""en"")"),"admit")</f>
        <v>admit</v>
      </c>
    </row>
    <row r="29637">
      <c r="A29637" s="1" t="s">
        <v>29636</v>
      </c>
      <c r="B29637" s="2" t="str">
        <f>IFERROR(__xludf.DUMMYFUNCTION("GOOGLETRANSLATE(A29637, ""de"", ""en"")"),"jerk off")</f>
        <v>jerk off</v>
      </c>
    </row>
    <row r="29638">
      <c r="A29638" s="1" t="s">
        <v>29637</v>
      </c>
      <c r="B29638" s="2" t="str">
        <f>IFERROR(__xludf.DUMMYFUNCTION("GOOGLETRANSLATE(A29638, ""de"", ""en"")"),"sleeve")</f>
        <v>sleeve</v>
      </c>
    </row>
    <row r="29639">
      <c r="A29639" s="1" t="s">
        <v>29638</v>
      </c>
      <c r="B29639" s="2" t="str">
        <f>IFERROR(__xludf.DUMMYFUNCTION("GOOGLETRANSLATE(A29639, ""de"", ""en"")"),"uncouth")</f>
        <v>uncouth</v>
      </c>
    </row>
    <row r="29640">
      <c r="A29640" s="1" t="s">
        <v>29639</v>
      </c>
      <c r="B29640" s="2" t="str">
        <f>IFERROR(__xludf.DUMMYFUNCTION("GOOGLETRANSLATE(A29640, ""de"", ""en"")"),"got away")</f>
        <v>got away</v>
      </c>
    </row>
    <row r="29641">
      <c r="A29641" s="1" t="s">
        <v>29640</v>
      </c>
      <c r="B29641" s="2" t="str">
        <f>IFERROR(__xludf.DUMMYFUNCTION("GOOGLETRANSLATE(A29641, ""de"", ""en"")"),"cardboard")</f>
        <v>cardboard</v>
      </c>
    </row>
    <row r="29642">
      <c r="A29642" s="1" t="s">
        <v>29641</v>
      </c>
      <c r="B29642" s="2" t="str">
        <f>IFERROR(__xludf.DUMMYFUNCTION("GOOGLETRANSLATE(A29642, ""de"", ""en"")"),"listen")</f>
        <v>listen</v>
      </c>
    </row>
    <row r="29643">
      <c r="A29643" s="1" t="s">
        <v>29642</v>
      </c>
      <c r="B29643" s="2" t="str">
        <f>IFERROR(__xludf.DUMMYFUNCTION("GOOGLETRANSLATE(A29643, ""de"", ""en"")"),"merged")</f>
        <v>merged</v>
      </c>
    </row>
    <row r="29644">
      <c r="A29644" s="1" t="s">
        <v>29643</v>
      </c>
      <c r="B29644" s="2" t="str">
        <f>IFERROR(__xludf.DUMMYFUNCTION("GOOGLETRANSLATE(A29644, ""de"", ""en"")"),"to touch")</f>
        <v>to touch</v>
      </c>
    </row>
    <row r="29645">
      <c r="A29645" s="1" t="s">
        <v>29644</v>
      </c>
      <c r="B29645" s="2" t="str">
        <f>IFERROR(__xludf.DUMMYFUNCTION("GOOGLETRANSLATE(A29645, ""de"", ""en"")"),"landing permit")</f>
        <v>landing permit</v>
      </c>
    </row>
    <row r="29646">
      <c r="A29646" s="1" t="s">
        <v>29645</v>
      </c>
      <c r="B29646" s="2" t="str">
        <f>IFERROR(__xludf.DUMMYFUNCTION("GOOGLETRANSLATE(A29646, ""de"", ""en"")"),"email")</f>
        <v>email</v>
      </c>
    </row>
    <row r="29647">
      <c r="A29647" s="1" t="s">
        <v>29646</v>
      </c>
      <c r="B29647" s="2" t="str">
        <f>IFERROR(__xludf.DUMMYFUNCTION("GOOGLETRANSLATE(A29647, ""de"", ""en"")"),"tense")</f>
        <v>tense</v>
      </c>
    </row>
    <row r="29648">
      <c r="A29648" s="1" t="s">
        <v>29647</v>
      </c>
      <c r="B29648" s="2" t="str">
        <f>IFERROR(__xludf.DUMMYFUNCTION("GOOGLETRANSLATE(A29648, ""de"", ""en"")"),"cold")</f>
        <v>cold</v>
      </c>
    </row>
    <row r="29649">
      <c r="A29649" s="1" t="s">
        <v>29648</v>
      </c>
      <c r="B29649" s="2" t="str">
        <f>IFERROR(__xludf.DUMMYFUNCTION("GOOGLETRANSLATE(A29649, ""de"", ""en"")"),"lit")</f>
        <v>lit</v>
      </c>
    </row>
    <row r="29650">
      <c r="A29650" s="1" t="s">
        <v>29649</v>
      </c>
      <c r="B29650" s="2" t="str">
        <f>IFERROR(__xludf.DUMMYFUNCTION("GOOGLETRANSLATE(A29650, ""de"", ""en"")"),"recent")</f>
        <v>recent</v>
      </c>
    </row>
    <row r="29651">
      <c r="A29651" s="1" t="s">
        <v>29650</v>
      </c>
      <c r="B29651" s="2" t="str">
        <f>IFERROR(__xludf.DUMMYFUNCTION("GOOGLETRANSLATE(A29651, ""de"", ""en"")"),"be present")</f>
        <v>be present</v>
      </c>
    </row>
    <row r="29652">
      <c r="A29652" s="1" t="s">
        <v>29651</v>
      </c>
      <c r="B29652" s="2" t="str">
        <f>IFERROR(__xludf.DUMMYFUNCTION("GOOGLETRANSLATE(A29652, ""de"", ""en"")"),"u.s.s.")</f>
        <v>u.s.s.</v>
      </c>
    </row>
    <row r="29653">
      <c r="A29653" s="1" t="s">
        <v>29652</v>
      </c>
      <c r="B29653" s="2" t="str">
        <f>IFERROR(__xludf.DUMMYFUNCTION("GOOGLETRANSLATE(A29653, ""de"", ""en"")"),"breakfast")</f>
        <v>breakfast</v>
      </c>
    </row>
    <row r="29654">
      <c r="A29654" s="1" t="s">
        <v>29653</v>
      </c>
      <c r="B29654" s="2" t="str">
        <f>IFERROR(__xludf.DUMMYFUNCTION("GOOGLETRANSLATE(A29654, ""de"", ""en"")"),"cool box")</f>
        <v>cool box</v>
      </c>
    </row>
    <row r="29655">
      <c r="A29655" s="1" t="s">
        <v>29654</v>
      </c>
      <c r="B29655" s="2" t="str">
        <f>IFERROR(__xludf.DUMMYFUNCTION("GOOGLETRANSLATE(A29655, ""de"", ""en"")"),"apostate")</f>
        <v>apostate</v>
      </c>
    </row>
    <row r="29656">
      <c r="A29656" s="1" t="s">
        <v>29655</v>
      </c>
      <c r="B29656" s="2" t="str">
        <f>IFERROR(__xludf.DUMMYFUNCTION("GOOGLETRANSLATE(A29656, ""de"", ""en"")"),"clinical")</f>
        <v>clinical</v>
      </c>
    </row>
    <row r="29657">
      <c r="A29657" s="1" t="s">
        <v>29656</v>
      </c>
      <c r="B29657" s="2" t="str">
        <f>IFERROR(__xludf.DUMMYFUNCTION("GOOGLETRANSLATE(A29657, ""de"", ""en"")"),"Langdon")</f>
        <v>Langdon</v>
      </c>
    </row>
    <row r="29658">
      <c r="A29658" s="1" t="s">
        <v>29657</v>
      </c>
      <c r="B29658" s="2" t="str">
        <f>IFERROR(__xludf.DUMMYFUNCTION("GOOGLETRANSLATE(A29658, ""de"", ""en"")"),"validity")</f>
        <v>validity</v>
      </c>
    </row>
    <row r="29659">
      <c r="A29659" s="1" t="s">
        <v>29658</v>
      </c>
      <c r="B29659" s="2" t="str">
        <f>IFERROR(__xludf.DUMMYFUNCTION("GOOGLETRANSLATE(A29659, ""de"", ""en"")"),"garbage truck")</f>
        <v>garbage truck</v>
      </c>
    </row>
    <row r="29660">
      <c r="A29660" s="1" t="s">
        <v>29659</v>
      </c>
      <c r="B29660" s="2" t="str">
        <f>IFERROR(__xludf.DUMMYFUNCTION("GOOGLETRANSLATE(A29660, ""de"", ""en"")"),"for")</f>
        <v>for</v>
      </c>
    </row>
    <row r="29661">
      <c r="A29661" s="1" t="s">
        <v>29660</v>
      </c>
      <c r="B29661" s="2" t="str">
        <f>IFERROR(__xludf.DUMMYFUNCTION("GOOGLETRANSLATE(A29661, ""de"", ""en"")"),"ophthalmologist")</f>
        <v>ophthalmologist</v>
      </c>
    </row>
    <row r="29662">
      <c r="A29662" s="1" t="s">
        <v>29661</v>
      </c>
      <c r="B29662" s="2" t="str">
        <f>IFERROR(__xludf.DUMMYFUNCTION("GOOGLETRANSLATE(A29662, ""de"", ""en"")"),"petrelli")</f>
        <v>petrelli</v>
      </c>
    </row>
    <row r="29663">
      <c r="A29663" s="1" t="s">
        <v>29662</v>
      </c>
      <c r="B29663" s="2" t="str">
        <f>IFERROR(__xludf.DUMMYFUNCTION("GOOGLETRANSLATE(A29663, ""de"", ""en"")"),"meetings")</f>
        <v>meetings</v>
      </c>
    </row>
    <row r="29664">
      <c r="A29664" s="1" t="s">
        <v>29663</v>
      </c>
      <c r="B29664" s="2" t="str">
        <f>IFERROR(__xludf.DUMMYFUNCTION("GOOGLETRANSLATE(A29664, ""de"", ""en"")"),"firearm")</f>
        <v>firearm</v>
      </c>
    </row>
    <row r="29665">
      <c r="A29665" s="1" t="s">
        <v>29664</v>
      </c>
      <c r="B29665" s="2" t="str">
        <f>IFERROR(__xludf.DUMMYFUNCTION("GOOGLETRANSLATE(A29665, ""de"", ""en"")"),"hear")</f>
        <v>hear</v>
      </c>
    </row>
    <row r="29666">
      <c r="A29666" s="1" t="s">
        <v>29665</v>
      </c>
      <c r="B29666" s="2" t="str">
        <f>IFERROR(__xludf.DUMMYFUNCTION("GOOGLETRANSLATE(A29666, ""de"", ""en"")"),"shooter")</f>
        <v>shooter</v>
      </c>
    </row>
    <row r="29667">
      <c r="A29667" s="1" t="s">
        <v>29666</v>
      </c>
      <c r="B29667" s="2" t="str">
        <f>IFERROR(__xludf.DUMMYFUNCTION("GOOGLETRANSLATE(A29667, ""de"", ""en"")"),"rushed")</f>
        <v>rushed</v>
      </c>
    </row>
    <row r="29668">
      <c r="A29668" s="1" t="s">
        <v>29667</v>
      </c>
      <c r="B29668" s="2" t="str">
        <f>IFERROR(__xludf.DUMMYFUNCTION("GOOGLETRANSLATE(A29668, ""de"", ""en"")"),"to show")</f>
        <v>to show</v>
      </c>
    </row>
    <row r="29669">
      <c r="A29669" s="1" t="s">
        <v>29668</v>
      </c>
      <c r="B29669" s="2" t="str">
        <f>IFERROR(__xludf.DUMMYFUNCTION("GOOGLETRANSLATE(A29669, ""de"", ""en"")"),"revision")</f>
        <v>revision</v>
      </c>
    </row>
    <row r="29670">
      <c r="A29670" s="1" t="s">
        <v>29669</v>
      </c>
      <c r="B29670" s="2" t="str">
        <f>IFERROR(__xludf.DUMMYFUNCTION("GOOGLETRANSLATE(A29670, ""de"", ""en"")"),"schoolwork")</f>
        <v>schoolwork</v>
      </c>
    </row>
    <row r="29671">
      <c r="A29671" s="1" t="s">
        <v>29670</v>
      </c>
      <c r="B29671" s="2" t="str">
        <f>IFERROR(__xludf.DUMMYFUNCTION("GOOGLETRANSLATE(A29671, ""de"", ""en"")"),"drug addict")</f>
        <v>drug addict</v>
      </c>
    </row>
    <row r="29672">
      <c r="A29672" s="1" t="s">
        <v>29671</v>
      </c>
      <c r="B29672" s="2" t="str">
        <f>IFERROR(__xludf.DUMMYFUNCTION("GOOGLETRANSLATE(A29672, ""de"", ""en"")"),"indisposed")</f>
        <v>indisposed</v>
      </c>
    </row>
    <row r="29673">
      <c r="A29673" s="1" t="s">
        <v>29672</v>
      </c>
      <c r="B29673" s="2" t="str">
        <f>IFERROR(__xludf.DUMMYFUNCTION("GOOGLETRANSLATE(A29673, ""de"", ""en"")"),"entertained")</f>
        <v>entertained</v>
      </c>
    </row>
    <row r="29674">
      <c r="A29674" s="1" t="s">
        <v>29673</v>
      </c>
      <c r="B29674" s="2" t="str">
        <f>IFERROR(__xludf.DUMMYFUNCTION("GOOGLETRANSLATE(A29674, ""de"", ""en"")"),"escaped")</f>
        <v>escaped</v>
      </c>
    </row>
    <row r="29675">
      <c r="A29675" s="1" t="s">
        <v>29674</v>
      </c>
      <c r="B29675" s="2" t="str">
        <f>IFERROR(__xludf.DUMMYFUNCTION("GOOGLETRANSLATE(A29675, ""de"", ""en"")"),"peach")</f>
        <v>peach</v>
      </c>
    </row>
    <row r="29676">
      <c r="A29676" s="1" t="s">
        <v>29675</v>
      </c>
      <c r="B29676" s="2" t="str">
        <f>IFERROR(__xludf.DUMMYFUNCTION("GOOGLETRANSLATE(A29676, ""de"", ""en"")"),"mathematical")</f>
        <v>mathematical</v>
      </c>
    </row>
    <row r="29677">
      <c r="A29677" s="1" t="s">
        <v>29676</v>
      </c>
      <c r="B29677" s="2" t="str">
        <f>IFERROR(__xludf.DUMMYFUNCTION("GOOGLETRANSLATE(A29677, ""de"", ""en"")"),"greasy")</f>
        <v>greasy</v>
      </c>
    </row>
    <row r="29678">
      <c r="A29678" s="1" t="s">
        <v>29677</v>
      </c>
      <c r="B29678" s="2" t="str">
        <f>IFERROR(__xludf.DUMMYFUNCTION("GOOGLETRANSLATE(A29678, ""de"", ""en"")"),"akkie")</f>
        <v>akkie</v>
      </c>
    </row>
    <row r="29679">
      <c r="A29679" s="1" t="s">
        <v>29678</v>
      </c>
      <c r="B29679" s="2" t="str">
        <f>IFERROR(__xludf.DUMMYFUNCTION("GOOGLETRANSLATE(A29679, ""de"", ""en"")"),"cybermen")</f>
        <v>cybermen</v>
      </c>
    </row>
    <row r="29680">
      <c r="A29680" s="1" t="s">
        <v>29679</v>
      </c>
      <c r="B29680" s="2" t="str">
        <f>IFERROR(__xludf.DUMMYFUNCTION("GOOGLETRANSLATE(A29680, ""de"", ""en"")"),"bite marks")</f>
        <v>bite marks</v>
      </c>
    </row>
    <row r="29681">
      <c r="A29681" s="1" t="s">
        <v>29680</v>
      </c>
      <c r="B29681" s="2" t="str">
        <f>IFERROR(__xludf.DUMMYFUNCTION("GOOGLETRANSLATE(A29681, ""de"", ""en"")"),"stimulate")</f>
        <v>stimulate</v>
      </c>
    </row>
    <row r="29682">
      <c r="A29682" s="1" t="s">
        <v>29681</v>
      </c>
      <c r="B29682" s="2" t="str">
        <f>IFERROR(__xludf.DUMMYFUNCTION("GOOGLETRANSLATE(A29682, ""de"", ""en"")"),"remember")</f>
        <v>remember</v>
      </c>
    </row>
    <row r="29683">
      <c r="A29683" s="1" t="s">
        <v>29682</v>
      </c>
      <c r="B29683" s="2" t="str">
        <f>IFERROR(__xludf.DUMMYFUNCTION("GOOGLETRANSLATE(A29683, ""de"", ""en"")"),"sentimentality")</f>
        <v>sentimentality</v>
      </c>
    </row>
    <row r="29684">
      <c r="A29684" s="1" t="s">
        <v>29683</v>
      </c>
      <c r="B29684" s="2" t="str">
        <f>IFERROR(__xludf.DUMMYFUNCTION("GOOGLETRANSLATE(A29684, ""de"", ""en"")"),"monkeys")</f>
        <v>monkeys</v>
      </c>
    </row>
    <row r="29685">
      <c r="A29685" s="1" t="s">
        <v>29684</v>
      </c>
      <c r="B29685" s="2" t="str">
        <f>IFERROR(__xludf.DUMMYFUNCTION("GOOGLETRANSLATE(A29685, ""de"", ""en"")"),"honorable")</f>
        <v>honorable</v>
      </c>
    </row>
    <row r="29686">
      <c r="A29686" s="1" t="s">
        <v>29685</v>
      </c>
      <c r="B29686" s="2" t="str">
        <f>IFERROR(__xludf.DUMMYFUNCTION("GOOGLETRANSLATE(A29686, ""de"", ""en"")"),"identified")</f>
        <v>identified</v>
      </c>
    </row>
    <row r="29687">
      <c r="A29687" s="1" t="s">
        <v>29686</v>
      </c>
      <c r="B29687" s="2" t="str">
        <f>IFERROR(__xludf.DUMMYFUNCTION("GOOGLETRANSLATE(A29687, ""de"", ""en"")"),"shackle")</f>
        <v>shackle</v>
      </c>
    </row>
    <row r="29688">
      <c r="A29688" s="1" t="s">
        <v>29687</v>
      </c>
      <c r="B29688" s="2" t="str">
        <f>IFERROR(__xludf.DUMMYFUNCTION("GOOGLETRANSLATE(A29688, ""de"", ""en"")"),"goes well")</f>
        <v>goes well</v>
      </c>
    </row>
    <row r="29689">
      <c r="A29689" s="1" t="s">
        <v>29688</v>
      </c>
      <c r="B29689" s="2" t="str">
        <f>IFERROR(__xludf.DUMMYFUNCTION("GOOGLETRANSLATE(A29689, ""de"", ""en"")"),"paddle")</f>
        <v>paddle</v>
      </c>
    </row>
    <row r="29690">
      <c r="A29690" s="1" t="s">
        <v>29689</v>
      </c>
      <c r="B29690" s="2" t="str">
        <f>IFERROR(__xludf.DUMMYFUNCTION("GOOGLETRANSLATE(A29690, ""de"", ""en"")"),"kline")</f>
        <v>kline</v>
      </c>
    </row>
    <row r="29691">
      <c r="A29691" s="1" t="s">
        <v>29690</v>
      </c>
      <c r="B29691" s="2" t="str">
        <f>IFERROR(__xludf.DUMMYFUNCTION("GOOGLETRANSLATE(A29691, ""de"", ""en"")"),"thrilled")</f>
        <v>thrilled</v>
      </c>
    </row>
    <row r="29692">
      <c r="A29692" s="1" t="s">
        <v>29691</v>
      </c>
      <c r="B29692" s="2" t="str">
        <f>IFERROR(__xludf.DUMMYFUNCTION("GOOGLETRANSLATE(A29692, ""de"", ""en"")"),"hacienda")</f>
        <v>hacienda</v>
      </c>
    </row>
    <row r="29693">
      <c r="A29693" s="1" t="s">
        <v>29692</v>
      </c>
      <c r="B29693" s="2" t="str">
        <f>IFERROR(__xludf.DUMMYFUNCTION("GOOGLETRANSLATE(A29693, ""de"", ""en"")"),"arcy")</f>
        <v>arcy</v>
      </c>
    </row>
    <row r="29694">
      <c r="A29694" s="1" t="s">
        <v>29693</v>
      </c>
      <c r="B29694" s="2" t="str">
        <f>IFERROR(__xludf.DUMMYFUNCTION("GOOGLETRANSLATE(A29694, ""de"", ""en"")"),"Saturday morning")</f>
        <v>Saturday morning</v>
      </c>
    </row>
    <row r="29695">
      <c r="A29695" s="1" t="s">
        <v>29694</v>
      </c>
      <c r="B29695" s="2" t="str">
        <f>IFERROR(__xludf.DUMMYFUNCTION("GOOGLETRANSLATE(A29695, ""de"", ""en"")"),"catcher")</f>
        <v>catcher</v>
      </c>
    </row>
    <row r="29696">
      <c r="A29696" s="1" t="s">
        <v>29695</v>
      </c>
      <c r="B29696" s="2" t="str">
        <f>IFERROR(__xludf.DUMMYFUNCTION("GOOGLETRANSLATE(A29696, ""de"", ""en"")"),"monopoly")</f>
        <v>monopoly</v>
      </c>
    </row>
    <row r="29697">
      <c r="A29697" s="1" t="s">
        <v>29696</v>
      </c>
      <c r="B29697" s="2" t="str">
        <f>IFERROR(__xludf.DUMMYFUNCTION("GOOGLETRANSLATE(A29697, ""de"", ""en"")"),"mouths")</f>
        <v>mouths</v>
      </c>
    </row>
    <row r="29698">
      <c r="A29698" s="1" t="s">
        <v>29697</v>
      </c>
      <c r="B29698" s="2" t="str">
        <f>IFERROR(__xludf.DUMMYFUNCTION("GOOGLETRANSLATE(A29698, ""de"", ""en"")"),"rivalry")</f>
        <v>rivalry</v>
      </c>
    </row>
    <row r="29699">
      <c r="A29699" s="1" t="s">
        <v>29698</v>
      </c>
      <c r="B29699" s="2" t="str">
        <f>IFERROR(__xludf.DUMMYFUNCTION("GOOGLETRANSLATE(A29699, ""de"", ""en"")"),"Algiers")</f>
        <v>Algiers</v>
      </c>
    </row>
    <row r="29700">
      <c r="A29700" s="1" t="s">
        <v>29699</v>
      </c>
      <c r="B29700" s="2" t="str">
        <f>IFERROR(__xludf.DUMMYFUNCTION("GOOGLETRANSLATE(A29700, ""de"", ""en"")"),"devotion")</f>
        <v>devotion</v>
      </c>
    </row>
    <row r="29701">
      <c r="A29701" s="1" t="s">
        <v>29700</v>
      </c>
      <c r="B29701" s="2" t="str">
        <f>IFERROR(__xludf.DUMMYFUNCTION("GOOGLETRANSLATE(A29701, ""de"", ""en"")"),"rivers")</f>
        <v>rivers</v>
      </c>
    </row>
    <row r="29702">
      <c r="A29702" s="1" t="s">
        <v>29701</v>
      </c>
      <c r="B29702" s="2" t="str">
        <f>IFERROR(__xludf.DUMMYFUNCTION("GOOGLETRANSLATE(A29702, ""de"", ""en"")"),"looked")</f>
        <v>looked</v>
      </c>
    </row>
    <row r="29703">
      <c r="A29703" s="1" t="s">
        <v>29702</v>
      </c>
      <c r="B29703" s="2" t="str">
        <f>IFERROR(__xludf.DUMMYFUNCTION("GOOGLETRANSLATE(A29703, ""de"", ""en"")"),"armor")</f>
        <v>armor</v>
      </c>
    </row>
    <row r="29704">
      <c r="A29704" s="1" t="s">
        <v>29703</v>
      </c>
      <c r="B29704" s="2" t="str">
        <f>IFERROR(__xludf.DUMMYFUNCTION("GOOGLETRANSLATE(A29704, ""de"", ""en"")"),"girard")</f>
        <v>girard</v>
      </c>
    </row>
    <row r="29705">
      <c r="A29705" s="1" t="s">
        <v>29704</v>
      </c>
      <c r="B29705" s="2" t="str">
        <f>IFERROR(__xludf.DUMMYFUNCTION("GOOGLETRANSLATE(A29705, ""de"", ""en"")"),"keenan")</f>
        <v>keenan</v>
      </c>
    </row>
    <row r="29706">
      <c r="A29706" s="1" t="s">
        <v>29705</v>
      </c>
      <c r="B29706" s="2" t="str">
        <f>IFERROR(__xludf.DUMMYFUNCTION("GOOGLETRANSLATE(A29706, ""de"", ""en"")"),"cornerstone")</f>
        <v>cornerstone</v>
      </c>
    </row>
    <row r="29707">
      <c r="A29707" s="1" t="s">
        <v>29706</v>
      </c>
      <c r="B29707" s="2" t="str">
        <f>IFERROR(__xludf.DUMMYFUNCTION("GOOGLETRANSLATE(A29707, ""de"", ""en"")"),"births")</f>
        <v>births</v>
      </c>
    </row>
    <row r="29708">
      <c r="A29708" s="1" t="s">
        <v>29707</v>
      </c>
      <c r="B29708" s="2" t="str">
        <f>IFERROR(__xludf.DUMMYFUNCTION("GOOGLETRANSLATE(A29708, ""de"", ""en"")"),"protected")</f>
        <v>protected</v>
      </c>
    </row>
    <row r="29709">
      <c r="A29709" s="1" t="s">
        <v>29708</v>
      </c>
      <c r="B29709" s="2" t="str">
        <f>IFERROR(__xludf.DUMMYFUNCTION("GOOGLETRANSLATE(A29709, ""de"", ""en"")"),"sole")</f>
        <v>sole</v>
      </c>
    </row>
    <row r="29710">
      <c r="A29710" s="1" t="s">
        <v>29709</v>
      </c>
      <c r="B29710" s="2" t="str">
        <f>IFERROR(__xludf.DUMMYFUNCTION("GOOGLETRANSLATE(A29710, ""de"", ""en"")"),"kellerman")</f>
        <v>kellerman</v>
      </c>
    </row>
    <row r="29711">
      <c r="A29711" s="1" t="s">
        <v>29710</v>
      </c>
      <c r="B29711" s="2" t="str">
        <f>IFERROR(__xludf.DUMMYFUNCTION("GOOGLETRANSLATE(A29711, ""de"", ""en"")"),"legitimate")</f>
        <v>legitimate</v>
      </c>
    </row>
    <row r="29712">
      <c r="A29712" s="1" t="s">
        <v>29711</v>
      </c>
      <c r="B29712" s="2" t="str">
        <f>IFERROR(__xludf.DUMMYFUNCTION("GOOGLETRANSLATE(A29712, ""de"", ""en"")"),"floki")</f>
        <v>floki</v>
      </c>
    </row>
    <row r="29713">
      <c r="A29713" s="1" t="s">
        <v>29712</v>
      </c>
      <c r="B29713" s="2" t="str">
        <f>IFERROR(__xludf.DUMMYFUNCTION("GOOGLETRANSLATE(A29713, ""de"", ""en"")"),"killed")</f>
        <v>killed</v>
      </c>
    </row>
    <row r="29714">
      <c r="A29714" s="1" t="s">
        <v>29713</v>
      </c>
      <c r="B29714" s="2" t="str">
        <f>IFERROR(__xludf.DUMMYFUNCTION("GOOGLETRANSLATE(A29714, ""de"", ""en"")"),"quicksand")</f>
        <v>quicksand</v>
      </c>
    </row>
    <row r="29715">
      <c r="A29715" s="1" t="s">
        <v>29714</v>
      </c>
      <c r="B29715" s="2" t="str">
        <f>IFERROR(__xludf.DUMMYFUNCTION("GOOGLETRANSLATE(A29715, ""de"", ""en"")"),"hinterland")</f>
        <v>hinterland</v>
      </c>
    </row>
    <row r="29716">
      <c r="A29716" s="1" t="s">
        <v>29715</v>
      </c>
      <c r="B29716" s="2" t="str">
        <f>IFERROR(__xludf.DUMMYFUNCTION("GOOGLETRANSLATE(A29716, ""de"", ""en"")"),"freshmen")</f>
        <v>freshmen</v>
      </c>
    </row>
    <row r="29717">
      <c r="A29717" s="1" t="s">
        <v>29716</v>
      </c>
      <c r="B29717" s="2" t="str">
        <f>IFERROR(__xludf.DUMMYFUNCTION("GOOGLETRANSLATE(A29717, ""de"", ""en"")"),"strangely enough")</f>
        <v>strangely enough</v>
      </c>
    </row>
    <row r="29718">
      <c r="A29718" s="1" t="s">
        <v>29717</v>
      </c>
      <c r="B29718" s="2" t="str">
        <f>IFERROR(__xludf.DUMMYFUNCTION("GOOGLETRANSLATE(A29718, ""de"", ""en"")"),"get back")</f>
        <v>get back</v>
      </c>
    </row>
    <row r="29719">
      <c r="A29719" s="1" t="s">
        <v>29718</v>
      </c>
      <c r="B29719" s="2" t="str">
        <f>IFERROR(__xludf.DUMMYFUNCTION("GOOGLETRANSLATE(A29719, ""de"", ""en"")"),"Trojan")</f>
        <v>Trojan</v>
      </c>
    </row>
    <row r="29720">
      <c r="A29720" s="1" t="s">
        <v>29719</v>
      </c>
      <c r="B29720" s="2" t="str">
        <f>IFERROR(__xludf.DUMMYFUNCTION("GOOGLETRANSLATE(A29720, ""de"", ""en"")"),"brew")</f>
        <v>brew</v>
      </c>
    </row>
    <row r="29721">
      <c r="A29721" s="1" t="s">
        <v>29720</v>
      </c>
      <c r="B29721" s="2" t="str">
        <f>IFERROR(__xludf.DUMMYFUNCTION("GOOGLETRANSLATE(A29721, ""de"", ""en"")"),"Salinger")</f>
        <v>Salinger</v>
      </c>
    </row>
    <row r="29722">
      <c r="A29722" s="1" t="s">
        <v>29721</v>
      </c>
      <c r="B29722" s="2" t="str">
        <f>IFERROR(__xludf.DUMMYFUNCTION("GOOGLETRANSLATE(A29722, ""de"", ""en"")"),"to demolish")</f>
        <v>to demolish</v>
      </c>
    </row>
    <row r="29723">
      <c r="A29723" s="1" t="s">
        <v>29722</v>
      </c>
      <c r="B29723" s="2" t="str">
        <f>IFERROR(__xludf.DUMMYFUNCTION("GOOGLETRANSLATE(A29723, ""de"", ""en"")"),"achievements")</f>
        <v>achievements</v>
      </c>
    </row>
    <row r="29724">
      <c r="A29724" s="1" t="s">
        <v>29723</v>
      </c>
      <c r="B29724" s="2" t="str">
        <f>IFERROR(__xludf.DUMMYFUNCTION("GOOGLETRANSLATE(A29724, ""de"", ""en"")"),"fates")</f>
        <v>fates</v>
      </c>
    </row>
    <row r="29725">
      <c r="A29725" s="1" t="s">
        <v>29724</v>
      </c>
      <c r="B29725" s="2" t="str">
        <f>IFERROR(__xludf.DUMMYFUNCTION("GOOGLETRANSLATE(A29725, ""de"", ""en"")"),"burn")</f>
        <v>burn</v>
      </c>
    </row>
    <row r="29726">
      <c r="A29726" s="1" t="s">
        <v>29725</v>
      </c>
      <c r="B29726" s="2" t="str">
        <f>IFERROR(__xludf.DUMMYFUNCTION("GOOGLETRANSLATE(A29726, ""de"", ""en"")"),"mother")</f>
        <v>mother</v>
      </c>
    </row>
    <row r="29727">
      <c r="A29727" s="1" t="s">
        <v>29726</v>
      </c>
      <c r="B29727" s="2" t="str">
        <f>IFERROR(__xludf.DUMMYFUNCTION("GOOGLETRANSLATE(A29727, ""de"", ""en"")"),"farah")</f>
        <v>farah</v>
      </c>
    </row>
    <row r="29728">
      <c r="A29728" s="1" t="s">
        <v>29727</v>
      </c>
      <c r="B29728" s="2" t="str">
        <f>IFERROR(__xludf.DUMMYFUNCTION("GOOGLETRANSLATE(A29728, ""de"", ""en"")"),"prestigious")</f>
        <v>prestigious</v>
      </c>
    </row>
    <row r="29729">
      <c r="A29729" s="1" t="s">
        <v>29728</v>
      </c>
      <c r="B29729" s="2" t="str">
        <f>IFERROR(__xludf.DUMMYFUNCTION("GOOGLETRANSLATE(A29729, ""de"", ""en"")"),"skull")</f>
        <v>skull</v>
      </c>
    </row>
    <row r="29730">
      <c r="A29730" s="1" t="s">
        <v>29729</v>
      </c>
      <c r="B29730" s="2" t="str">
        <f>IFERROR(__xludf.DUMMYFUNCTION("GOOGLETRANSLATE(A29730, ""de"", ""en"")"),"phosphorus")</f>
        <v>phosphorus</v>
      </c>
    </row>
    <row r="29731">
      <c r="A29731" s="1" t="s">
        <v>29730</v>
      </c>
      <c r="B29731" s="2" t="str">
        <f>IFERROR(__xludf.DUMMYFUNCTION("GOOGLETRANSLATE(A29731, ""de"", ""en"")"),"drover")</f>
        <v>drover</v>
      </c>
    </row>
    <row r="29732">
      <c r="A29732" s="1" t="s">
        <v>29731</v>
      </c>
      <c r="B29732" s="2" t="str">
        <f>IFERROR(__xludf.DUMMYFUNCTION("GOOGLETRANSLATE(A29732, ""de"", ""en"")"),"Tunisia")</f>
        <v>Tunisia</v>
      </c>
    </row>
    <row r="29733">
      <c r="A29733" s="1" t="s">
        <v>29732</v>
      </c>
      <c r="B29733" s="2" t="str">
        <f>IFERROR(__xludf.DUMMYFUNCTION("GOOGLETRANSLATE(A29733, ""de"", ""en"")"),"hopeful")</f>
        <v>hopeful</v>
      </c>
    </row>
    <row r="29734">
      <c r="A29734" s="1" t="s">
        <v>29733</v>
      </c>
      <c r="B29734" s="2" t="str">
        <f>IFERROR(__xludf.DUMMYFUNCTION("GOOGLETRANSLATE(A29734, ""de"", ""en"")"),"squat")</f>
        <v>squat</v>
      </c>
    </row>
    <row r="29735">
      <c r="A29735" s="1" t="s">
        <v>29734</v>
      </c>
      <c r="B29735" s="2" t="str">
        <f>IFERROR(__xludf.DUMMYFUNCTION("GOOGLETRANSLATE(A29735, ""de"", ""en"")"),"satoshi")</f>
        <v>satoshi</v>
      </c>
    </row>
    <row r="29736">
      <c r="A29736" s="1" t="s">
        <v>29735</v>
      </c>
      <c r="B29736" s="2" t="str">
        <f>IFERROR(__xludf.DUMMYFUNCTION("GOOGLETRANSLATE(A29736, ""de"", ""en"")"),"rehabilitated")</f>
        <v>rehabilitated</v>
      </c>
    </row>
    <row r="29737">
      <c r="A29737" s="1" t="s">
        <v>29736</v>
      </c>
      <c r="B29737" s="2" t="str">
        <f>IFERROR(__xludf.DUMMYFUNCTION("GOOGLETRANSLATE(A29737, ""de"", ""en"")"),"euphoria")</f>
        <v>euphoria</v>
      </c>
    </row>
    <row r="29738">
      <c r="A29738" s="1" t="s">
        <v>29737</v>
      </c>
      <c r="B29738" s="2" t="str">
        <f>IFERROR(__xludf.DUMMYFUNCTION("GOOGLETRANSLATE(A29738, ""de"", ""en"")"),"stormed")</f>
        <v>stormed</v>
      </c>
    </row>
    <row r="29739">
      <c r="A29739" s="1" t="s">
        <v>29738</v>
      </c>
      <c r="B29739" s="2" t="str">
        <f>IFERROR(__xludf.DUMMYFUNCTION("GOOGLETRANSLATE(A29739, ""de"", ""en"")"),"justus")</f>
        <v>justus</v>
      </c>
    </row>
    <row r="29740">
      <c r="A29740" s="1" t="s">
        <v>29739</v>
      </c>
      <c r="B29740" s="2" t="str">
        <f>IFERROR(__xludf.DUMMYFUNCTION("GOOGLETRANSLATE(A29740, ""de"", ""en"")"),"break the habit")</f>
        <v>break the habit</v>
      </c>
    </row>
    <row r="29741">
      <c r="A29741" s="1" t="s">
        <v>29740</v>
      </c>
      <c r="B29741" s="2" t="str">
        <f>IFERROR(__xludf.DUMMYFUNCTION("GOOGLETRANSLATE(A29741, ""de"", ""en"")"),"address")</f>
        <v>address</v>
      </c>
    </row>
    <row r="29742">
      <c r="A29742" s="1" t="s">
        <v>29741</v>
      </c>
      <c r="B29742" s="2" t="str">
        <f>IFERROR(__xludf.DUMMYFUNCTION("GOOGLETRANSLATE(A29742, ""de"", ""en"")"),"trio")</f>
        <v>trio</v>
      </c>
    </row>
    <row r="29743">
      <c r="A29743" s="1" t="s">
        <v>29742</v>
      </c>
      <c r="B29743" s="2" t="str">
        <f>IFERROR(__xludf.DUMMYFUNCTION("GOOGLETRANSLATE(A29743, ""de"", ""en"")"),"elfi")</f>
        <v>elfi</v>
      </c>
    </row>
    <row r="29744">
      <c r="A29744" s="1" t="s">
        <v>29743</v>
      </c>
      <c r="B29744" s="2" t="str">
        <f>IFERROR(__xludf.DUMMYFUNCTION("GOOGLETRANSLATE(A29744, ""de"", ""en"")"),"contribute")</f>
        <v>contribute</v>
      </c>
    </row>
    <row r="29745">
      <c r="A29745" s="1" t="s">
        <v>29744</v>
      </c>
      <c r="B29745" s="2" t="str">
        <f>IFERROR(__xludf.DUMMYFUNCTION("GOOGLETRANSLATE(A29745, ""de"", ""en"")"),"growing")</f>
        <v>growing</v>
      </c>
    </row>
    <row r="29746">
      <c r="A29746" s="1" t="s">
        <v>29745</v>
      </c>
      <c r="B29746" s="2" t="str">
        <f>IFERROR(__xludf.DUMMYFUNCTION("GOOGLETRANSLATE(A29746, ""de"", ""en"")"),"wind")</f>
        <v>wind</v>
      </c>
    </row>
    <row r="29747">
      <c r="A29747" s="1" t="s">
        <v>29746</v>
      </c>
      <c r="B29747" s="2" t="str">
        <f>IFERROR(__xludf.DUMMYFUNCTION("GOOGLETRANSLATE(A29747, ""de"", ""en"")"),"b.j.")</f>
        <v>b.j.</v>
      </c>
    </row>
    <row r="29748">
      <c r="A29748" s="1" t="s">
        <v>29747</v>
      </c>
      <c r="B29748" s="2" t="str">
        <f>IFERROR(__xludf.DUMMYFUNCTION("GOOGLETRANSLATE(A29748, ""de"", ""en"")"),"world championship")</f>
        <v>world championship</v>
      </c>
    </row>
    <row r="29749">
      <c r="A29749" s="1" t="s">
        <v>29748</v>
      </c>
      <c r="B29749" s="2" t="str">
        <f>IFERROR(__xludf.DUMMYFUNCTION("GOOGLETRANSLATE(A29749, ""de"", ""en"")"),"forces")</f>
        <v>forces</v>
      </c>
    </row>
    <row r="29750">
      <c r="A29750" s="1" t="s">
        <v>29749</v>
      </c>
      <c r="B29750" s="2" t="str">
        <f>IFERROR(__xludf.DUMMYFUNCTION("GOOGLETRANSLATE(A29750, ""de"", ""en"")"),"ban from the house")</f>
        <v>ban from the house</v>
      </c>
    </row>
    <row r="29751">
      <c r="A29751" s="1" t="s">
        <v>29750</v>
      </c>
      <c r="B29751" s="2" t="str">
        <f>IFERROR(__xludf.DUMMYFUNCTION("GOOGLETRANSLATE(A29751, ""de"", ""en"")"),"children")</f>
        <v>children</v>
      </c>
    </row>
    <row r="29752">
      <c r="A29752" s="1" t="s">
        <v>29751</v>
      </c>
      <c r="B29752" s="2" t="str">
        <f>IFERROR(__xludf.DUMMYFUNCTION("GOOGLETRANSLATE(A29752, ""de"", ""en"")"),"shaka")</f>
        <v>shaka</v>
      </c>
    </row>
    <row r="29753">
      <c r="A29753" s="1" t="s">
        <v>29752</v>
      </c>
      <c r="B29753" s="2" t="str">
        <f>IFERROR(__xludf.DUMMYFUNCTION("GOOGLETRANSLATE(A29753, ""de"", ""en"")"),"creation")</f>
        <v>creation</v>
      </c>
    </row>
    <row r="29754">
      <c r="A29754" s="1" t="s">
        <v>29753</v>
      </c>
      <c r="B29754" s="2" t="str">
        <f>IFERROR(__xludf.DUMMYFUNCTION("GOOGLETRANSLATE(A29754, ""de"", ""en"")"),"huge problem")</f>
        <v>huge problem</v>
      </c>
    </row>
    <row r="29755">
      <c r="A29755" s="1" t="s">
        <v>29754</v>
      </c>
      <c r="B29755" s="2" t="str">
        <f>IFERROR(__xludf.DUMMYFUNCTION("GOOGLETRANSLATE(A29755, ""de"", ""en"")"),"surrounded")</f>
        <v>surrounded</v>
      </c>
    </row>
    <row r="29756">
      <c r="A29756" s="1" t="s">
        <v>29755</v>
      </c>
      <c r="B29756" s="2" t="str">
        <f>IFERROR(__xludf.DUMMYFUNCTION("GOOGLETRANSLATE(A29756, ""de"", ""en"")"),"accommodation")</f>
        <v>accommodation</v>
      </c>
    </row>
    <row r="29757">
      <c r="A29757" s="1" t="s">
        <v>29756</v>
      </c>
      <c r="B29757" s="2" t="str">
        <f>IFERROR(__xludf.DUMMYFUNCTION("GOOGLETRANSLATE(A29757, ""de"", ""en"")"),"cursed")</f>
        <v>cursed</v>
      </c>
    </row>
    <row r="29758">
      <c r="A29758" s="1" t="s">
        <v>29757</v>
      </c>
      <c r="B29758" s="2" t="str">
        <f>IFERROR(__xludf.DUMMYFUNCTION("GOOGLETRANSLATE(A29758, ""de"", ""en"")"),"amélie")</f>
        <v>amélie</v>
      </c>
    </row>
    <row r="29759">
      <c r="A29759" s="1" t="s">
        <v>29758</v>
      </c>
      <c r="B29759" s="2" t="str">
        <f>IFERROR(__xludf.DUMMYFUNCTION("GOOGLETRANSLATE(A29759, ""de"", ""en"")"),"flatterer")</f>
        <v>flatterer</v>
      </c>
    </row>
    <row r="29760">
      <c r="A29760" s="1" t="s">
        <v>29759</v>
      </c>
      <c r="B29760" s="2" t="str">
        <f>IFERROR(__xludf.DUMMYFUNCTION("GOOGLETRANSLATE(A29760, ""de"", ""en"")"),"needed")</f>
        <v>needed</v>
      </c>
    </row>
    <row r="29761">
      <c r="A29761" s="1" t="s">
        <v>29760</v>
      </c>
      <c r="B29761" s="2" t="str">
        <f>IFERROR(__xludf.DUMMYFUNCTION("GOOGLETRANSLATE(A29761, ""de"", ""en"")"),"yeah")</f>
        <v>yeah</v>
      </c>
    </row>
    <row r="29762">
      <c r="A29762" s="1" t="s">
        <v>29761</v>
      </c>
      <c r="B29762" s="2" t="str">
        <f>IFERROR(__xludf.DUMMYFUNCTION("GOOGLETRANSLATE(A29762, ""de"", ""en"")"),"mobile")</f>
        <v>mobile</v>
      </c>
    </row>
    <row r="29763">
      <c r="A29763" s="1" t="s">
        <v>29762</v>
      </c>
      <c r="B29763" s="2" t="str">
        <f>IFERROR(__xludf.DUMMYFUNCTION("GOOGLETRANSLATE(A29763, ""de"", ""en"")"),"juror")</f>
        <v>juror</v>
      </c>
    </row>
    <row r="29764">
      <c r="A29764" s="1" t="s">
        <v>29763</v>
      </c>
      <c r="B29764" s="2" t="str">
        <f>IFERROR(__xludf.DUMMYFUNCTION("GOOGLETRANSLATE(A29764, ""de"", ""en"")"),"taken care of")</f>
        <v>taken care of</v>
      </c>
    </row>
    <row r="29765">
      <c r="A29765" s="1" t="s">
        <v>29764</v>
      </c>
      <c r="B29765" s="2" t="str">
        <f>IFERROR(__xludf.DUMMYFUNCTION("GOOGLETRANSLATE(A29765, ""de"", ""en"")"),"abdullah")</f>
        <v>abdullah</v>
      </c>
    </row>
    <row r="29766">
      <c r="A29766" s="1" t="s">
        <v>29765</v>
      </c>
      <c r="B29766" s="2" t="str">
        <f>IFERROR(__xludf.DUMMYFUNCTION("GOOGLETRANSLATE(A29766, ""de"", ""en"")"),"mayhew")</f>
        <v>mayhew</v>
      </c>
    </row>
    <row r="29767">
      <c r="A29767" s="1" t="s">
        <v>29766</v>
      </c>
      <c r="B29767" s="2" t="str">
        <f>IFERROR(__xludf.DUMMYFUNCTION("GOOGLETRANSLATE(A29767, ""de"", ""en"")"),"progressive")</f>
        <v>progressive</v>
      </c>
    </row>
    <row r="29768">
      <c r="A29768" s="1" t="s">
        <v>29767</v>
      </c>
      <c r="B29768" s="2" t="str">
        <f>IFERROR(__xludf.DUMMYFUNCTION("GOOGLETRANSLATE(A29768, ""de"", ""en"")"),"messes")</f>
        <v>messes</v>
      </c>
    </row>
    <row r="29769">
      <c r="A29769" s="1" t="s">
        <v>29768</v>
      </c>
      <c r="B29769" s="2" t="str">
        <f>IFERROR(__xludf.DUMMYFUNCTION("GOOGLETRANSLATE(A29769, ""de"", ""en"")"),"argue")</f>
        <v>argue</v>
      </c>
    </row>
    <row r="29770">
      <c r="A29770" s="1" t="s">
        <v>29769</v>
      </c>
      <c r="B29770" s="2" t="str">
        <f>IFERROR(__xludf.DUMMYFUNCTION("GOOGLETRANSLATE(A29770, ""de"", ""en"")"),"prime minister")</f>
        <v>prime minister</v>
      </c>
    </row>
    <row r="29771">
      <c r="A29771" s="1" t="s">
        <v>29770</v>
      </c>
      <c r="B29771" s="2" t="str">
        <f>IFERROR(__xludf.DUMMYFUNCTION("GOOGLETRANSLATE(A29771, ""de"", ""en"")"),"samcro")</f>
        <v>samcro</v>
      </c>
    </row>
    <row r="29772">
      <c r="A29772" s="1" t="s">
        <v>29771</v>
      </c>
      <c r="B29772" s="2" t="str">
        <f>IFERROR(__xludf.DUMMYFUNCTION("GOOGLETRANSLATE(A29772, ""de"", ""en"")"),"teased")</f>
        <v>teased</v>
      </c>
    </row>
    <row r="29773">
      <c r="A29773" s="1" t="s">
        <v>29772</v>
      </c>
      <c r="B29773" s="2" t="str">
        <f>IFERROR(__xludf.DUMMYFUNCTION("GOOGLETRANSLATE(A29773, ""de"", ""en"")"),"eats")</f>
        <v>eats</v>
      </c>
    </row>
    <row r="29774">
      <c r="A29774" s="1" t="s">
        <v>29773</v>
      </c>
      <c r="B29774" s="2" t="str">
        <f>IFERROR(__xludf.DUMMYFUNCTION("GOOGLETRANSLATE(A29774, ""de"", ""en"")"),"tiny little ones")</f>
        <v>tiny little ones</v>
      </c>
    </row>
    <row r="29775">
      <c r="A29775" s="1" t="s">
        <v>29774</v>
      </c>
      <c r="B29775" s="2" t="str">
        <f>IFERROR(__xludf.DUMMYFUNCTION("GOOGLETRANSLATE(A29775, ""de"", ""en"")"),"nevins")</f>
        <v>nevins</v>
      </c>
    </row>
    <row r="29776">
      <c r="A29776" s="1" t="s">
        <v>29775</v>
      </c>
      <c r="B29776" s="2" t="str">
        <f>IFERROR(__xludf.DUMMYFUNCTION("GOOGLETRANSLATE(A29776, ""de"", ""en"")"),"east")</f>
        <v>east</v>
      </c>
    </row>
    <row r="29777">
      <c r="A29777" s="1" t="s">
        <v>29776</v>
      </c>
      <c r="B29777" s="2" t="str">
        <f>IFERROR(__xludf.DUMMYFUNCTION("GOOGLETRANSLATE(A29777, ""de"", ""en"")"),"hellfire")</f>
        <v>hellfire</v>
      </c>
    </row>
    <row r="29778">
      <c r="A29778" s="1" t="s">
        <v>29777</v>
      </c>
      <c r="B29778" s="2" t="str">
        <f>IFERROR(__xludf.DUMMYFUNCTION("GOOGLETRANSLATE(A29778, ""de"", ""en"")"),"lease")</f>
        <v>lease</v>
      </c>
    </row>
    <row r="29779">
      <c r="A29779" s="1" t="s">
        <v>29778</v>
      </c>
      <c r="B29779" s="2" t="str">
        <f>IFERROR(__xludf.DUMMYFUNCTION("GOOGLETRANSLATE(A29779, ""de"", ""en"")"),"cold")</f>
        <v>cold</v>
      </c>
    </row>
    <row r="29780">
      <c r="A29780" s="1" t="s">
        <v>29779</v>
      </c>
      <c r="B29780" s="2" t="str">
        <f>IFERROR(__xludf.DUMMYFUNCTION("GOOGLETRANSLATE(A29780, ""de"", ""en"")"),"mutton")</f>
        <v>mutton</v>
      </c>
    </row>
    <row r="29781">
      <c r="A29781" s="1" t="s">
        <v>29780</v>
      </c>
      <c r="B29781" s="2" t="str">
        <f>IFERROR(__xludf.DUMMYFUNCTION("GOOGLETRANSLATE(A29781, ""de"", ""en"")"),"slapped")</f>
        <v>slapped</v>
      </c>
    </row>
    <row r="29782">
      <c r="A29782" s="1" t="s">
        <v>29781</v>
      </c>
      <c r="B29782" s="2" t="str">
        <f>IFERROR(__xludf.DUMMYFUNCTION("GOOGLETRANSLATE(A29782, ""de"", ""en"")"),"dollhouse")</f>
        <v>dollhouse</v>
      </c>
    </row>
    <row r="29783">
      <c r="A29783" s="1" t="s">
        <v>29782</v>
      </c>
      <c r="B29783" s="2" t="str">
        <f>IFERROR(__xludf.DUMMYFUNCTION("GOOGLETRANSLATE(A29783, ""de"", ""en"")"),"pretzels")</f>
        <v>pretzels</v>
      </c>
    </row>
    <row r="29784">
      <c r="A29784" s="1" t="s">
        <v>29783</v>
      </c>
      <c r="B29784" s="2" t="str">
        <f>IFERROR(__xludf.DUMMYFUNCTION("GOOGLETRANSLATE(A29784, ""de"", ""en"")"),"kept")</f>
        <v>kept</v>
      </c>
    </row>
    <row r="29785">
      <c r="A29785" s="1" t="s">
        <v>29784</v>
      </c>
      <c r="B29785" s="2" t="str">
        <f>IFERROR(__xludf.DUMMYFUNCTION("GOOGLETRANSLATE(A29785, ""de"", ""en"")"),"julies")</f>
        <v>julies</v>
      </c>
    </row>
    <row r="29786">
      <c r="A29786" s="1" t="s">
        <v>29785</v>
      </c>
      <c r="B29786" s="2" t="str">
        <f>IFERROR(__xludf.DUMMYFUNCTION("GOOGLETRANSLATE(A29786, ""de"", ""en"")"),"maxie")</f>
        <v>maxie</v>
      </c>
    </row>
    <row r="29787">
      <c r="A29787" s="1" t="s">
        <v>29786</v>
      </c>
      <c r="B29787" s="2" t="str">
        <f>IFERROR(__xludf.DUMMYFUNCTION("GOOGLETRANSLATE(A29787, ""de"", ""en"")"),"simple")</f>
        <v>simple</v>
      </c>
    </row>
    <row r="29788">
      <c r="A29788" s="1" t="s">
        <v>29787</v>
      </c>
      <c r="B29788" s="2" t="str">
        <f>IFERROR(__xludf.DUMMYFUNCTION("GOOGLETRANSLATE(A29788, ""de"", ""en"")"),"more different")</f>
        <v>more different</v>
      </c>
    </row>
    <row r="29789">
      <c r="A29789" s="1" t="s">
        <v>29788</v>
      </c>
      <c r="B29789" s="2" t="str">
        <f>IFERROR(__xludf.DUMMYFUNCTION("GOOGLETRANSLATE(A29789, ""de"", ""en"")"),"unicorns")</f>
        <v>unicorns</v>
      </c>
    </row>
    <row r="29790">
      <c r="A29790" s="1" t="s">
        <v>29789</v>
      </c>
      <c r="B29790" s="2" t="str">
        <f>IFERROR(__xludf.DUMMYFUNCTION("GOOGLETRANSLATE(A29790, ""de"", ""en"")"),"monopoly")</f>
        <v>monopoly</v>
      </c>
    </row>
    <row r="29791">
      <c r="A29791" s="1" t="s">
        <v>29790</v>
      </c>
      <c r="B29791" s="2" t="str">
        <f>IFERROR(__xludf.DUMMYFUNCTION("GOOGLETRANSLATE(A29791, ""de"", ""en"")"),"drunker")</f>
        <v>drunker</v>
      </c>
    </row>
    <row r="29792">
      <c r="A29792" s="1" t="s">
        <v>29791</v>
      </c>
      <c r="B29792" s="2" t="str">
        <f>IFERROR(__xludf.DUMMYFUNCTION("GOOGLETRANSLATE(A29792, ""de"", ""en"")"),"this year")</f>
        <v>this year</v>
      </c>
    </row>
    <row r="29793">
      <c r="A29793" s="1" t="s">
        <v>29792</v>
      </c>
      <c r="B29793" s="2" t="str">
        <f>IFERROR(__xludf.DUMMYFUNCTION("GOOGLETRANSLATE(A29793, ""de"", ""en"")"),"additional items")</f>
        <v>additional items</v>
      </c>
    </row>
    <row r="29794">
      <c r="A29794" s="1" t="s">
        <v>29793</v>
      </c>
      <c r="B29794" s="2" t="str">
        <f>IFERROR(__xludf.DUMMYFUNCTION("GOOGLETRANSLATE(A29794, ""de"", ""en"")"),"lobo")</f>
        <v>lobo</v>
      </c>
    </row>
    <row r="29795">
      <c r="A29795" s="1" t="s">
        <v>29794</v>
      </c>
      <c r="B29795" s="2" t="str">
        <f>IFERROR(__xludf.DUMMYFUNCTION("GOOGLETRANSLATE(A29795, ""de"", ""en"")"),"racist")</f>
        <v>racist</v>
      </c>
    </row>
    <row r="29796">
      <c r="A29796" s="1" t="s">
        <v>29795</v>
      </c>
      <c r="B29796" s="2" t="str">
        <f>IFERROR(__xludf.DUMMYFUNCTION("GOOGLETRANSLATE(A29796, ""de"", ""en"")"),"vicente")</f>
        <v>vicente</v>
      </c>
    </row>
    <row r="29797">
      <c r="A29797" s="1" t="s">
        <v>29796</v>
      </c>
      <c r="B29797" s="2" t="str">
        <f>IFERROR(__xludf.DUMMYFUNCTION("GOOGLETRANSLATE(A29797, ""de"", ""en"")"),"feeling guilty")</f>
        <v>feeling guilty</v>
      </c>
    </row>
    <row r="29798">
      <c r="A29798" s="1" t="s">
        <v>29797</v>
      </c>
      <c r="B29798" s="2" t="str">
        <f>IFERROR(__xludf.DUMMYFUNCTION("GOOGLETRANSLATE(A29798, ""de"", ""en"")"),"astronomy")</f>
        <v>astronomy</v>
      </c>
    </row>
    <row r="29799">
      <c r="A29799" s="1" t="s">
        <v>29798</v>
      </c>
      <c r="B29799" s="2" t="str">
        <f>IFERROR(__xludf.DUMMYFUNCTION("GOOGLETRANSLATE(A29799, ""de"", ""en"")"),"lucio")</f>
        <v>lucio</v>
      </c>
    </row>
    <row r="29800">
      <c r="A29800" s="1" t="s">
        <v>29799</v>
      </c>
      <c r="B29800" s="2" t="str">
        <f>IFERROR(__xludf.DUMMYFUNCTION("GOOGLETRANSLATE(A29800, ""de"", ""en"")"),"hung")</f>
        <v>hung</v>
      </c>
    </row>
    <row r="29801">
      <c r="A29801" s="1" t="s">
        <v>29800</v>
      </c>
      <c r="B29801" s="2" t="str">
        <f>IFERROR(__xludf.DUMMYFUNCTION("GOOGLETRANSLATE(A29801, ""de"", ""en"")"),"intimate")</f>
        <v>intimate</v>
      </c>
    </row>
    <row r="29802">
      <c r="A29802" s="1" t="s">
        <v>29801</v>
      </c>
      <c r="B29802" s="2" t="str">
        <f>IFERROR(__xludf.DUMMYFUNCTION("GOOGLETRANSLATE(A29802, ""de"", ""en"")"),"more intellectual")</f>
        <v>more intellectual</v>
      </c>
    </row>
    <row r="29803">
      <c r="A29803" s="1" t="s">
        <v>29802</v>
      </c>
      <c r="B29803" s="2" t="str">
        <f>IFERROR(__xludf.DUMMYFUNCTION("GOOGLETRANSLATE(A29803, ""de"", ""en"")"),"sexually transmitted disease")</f>
        <v>sexually transmitted disease</v>
      </c>
    </row>
    <row r="29804">
      <c r="A29804" s="1" t="s">
        <v>29803</v>
      </c>
      <c r="B29804" s="2" t="str">
        <f>IFERROR(__xludf.DUMMYFUNCTION("GOOGLETRANSLATE(A29804, ""de"", ""en"")"),"cat food")</f>
        <v>cat food</v>
      </c>
    </row>
    <row r="29805">
      <c r="A29805" s="1" t="s">
        <v>29804</v>
      </c>
      <c r="B29805" s="2" t="str">
        <f>IFERROR(__xludf.DUMMYFUNCTION("GOOGLETRANSLATE(A29805, ""de"", ""en"")"),"to stand out")</f>
        <v>to stand out</v>
      </c>
    </row>
    <row r="29806">
      <c r="A29806" s="1" t="s">
        <v>29805</v>
      </c>
      <c r="B29806" s="2" t="str">
        <f>IFERROR(__xludf.DUMMYFUNCTION("GOOGLETRANSLATE(A29806, ""de"", ""en"")"),"Aquarius")</f>
        <v>Aquarius</v>
      </c>
    </row>
    <row r="29807">
      <c r="A29807" s="1" t="s">
        <v>29806</v>
      </c>
      <c r="B29807" s="2" t="str">
        <f>IFERROR(__xludf.DUMMYFUNCTION("GOOGLETRANSLATE(A29807, ""de"", ""en"")"),"perversion")</f>
        <v>perversion</v>
      </c>
    </row>
    <row r="29808">
      <c r="A29808" s="1" t="s">
        <v>29807</v>
      </c>
      <c r="B29808" s="2" t="str">
        <f>IFERROR(__xludf.DUMMYFUNCTION("GOOGLETRANSLATE(A29808, ""de"", ""en"")"),"patentant")</f>
        <v>patentant</v>
      </c>
    </row>
    <row r="29809">
      <c r="A29809" s="1" t="s">
        <v>29808</v>
      </c>
      <c r="B29809" s="2" t="str">
        <f>IFERROR(__xludf.DUMMYFUNCTION("GOOGLETRANSLATE(A29809, ""de"", ""en"")"),"captured")</f>
        <v>captured</v>
      </c>
    </row>
    <row r="29810">
      <c r="A29810" s="1" t="s">
        <v>29809</v>
      </c>
      <c r="B29810" s="2" t="str">
        <f>IFERROR(__xludf.DUMMYFUNCTION("GOOGLETRANSLATE(A29810, ""de"", ""en"")"),"riza")</f>
        <v>riza</v>
      </c>
    </row>
    <row r="29811">
      <c r="A29811" s="1" t="s">
        <v>29810</v>
      </c>
      <c r="B29811" s="2" t="str">
        <f>IFERROR(__xludf.DUMMYFUNCTION("GOOGLETRANSLATE(A29811, ""de"", ""en"")"),"landscapes")</f>
        <v>landscapes</v>
      </c>
    </row>
    <row r="29812">
      <c r="A29812" s="1" t="s">
        <v>29811</v>
      </c>
      <c r="B29812" s="2" t="str">
        <f>IFERROR(__xludf.DUMMYFUNCTION("GOOGLETRANSLATE(A29812, ""de"", ""en"")"),"apples")</f>
        <v>apples</v>
      </c>
    </row>
    <row r="29813">
      <c r="A29813" s="1" t="s">
        <v>29812</v>
      </c>
      <c r="B29813" s="2" t="str">
        <f>IFERROR(__xludf.DUMMYFUNCTION("GOOGLETRANSLATE(A29813, ""de"", ""en"")"),"roar")</f>
        <v>roar</v>
      </c>
    </row>
    <row r="29814">
      <c r="A29814" s="1" t="s">
        <v>29813</v>
      </c>
      <c r="B29814" s="2" t="str">
        <f>IFERROR(__xludf.DUMMYFUNCTION("GOOGLETRANSLATE(A29814, ""de"", ""en"")"),"tourism")</f>
        <v>tourism</v>
      </c>
    </row>
    <row r="29815">
      <c r="A29815" s="1" t="s">
        <v>29814</v>
      </c>
      <c r="B29815" s="2" t="str">
        <f>IFERROR(__xludf.DUMMYFUNCTION("GOOGLETRANSLATE(A29815, ""de"", ""en"")"),"high-ranking")</f>
        <v>high-ranking</v>
      </c>
    </row>
    <row r="29816">
      <c r="A29816" s="1" t="s">
        <v>29815</v>
      </c>
      <c r="B29816" s="2" t="str">
        <f>IFERROR(__xludf.DUMMYFUNCTION("GOOGLETRANSLATE(A29816, ""de"", ""en"")"),"snooze")</f>
        <v>snooze</v>
      </c>
    </row>
    <row r="29817">
      <c r="A29817" s="1" t="s">
        <v>29816</v>
      </c>
      <c r="B29817" s="2" t="str">
        <f>IFERROR(__xludf.DUMMYFUNCTION("GOOGLETRANSLATE(A29817, ""de"", ""en"")"),"wrestler")</f>
        <v>wrestler</v>
      </c>
    </row>
    <row r="29818">
      <c r="A29818" s="1" t="s">
        <v>29817</v>
      </c>
      <c r="B29818" s="2" t="str">
        <f>IFERROR(__xludf.DUMMYFUNCTION("GOOGLETRANSLATE(A29818, ""de"", ""en"")"),"to watch")</f>
        <v>to watch</v>
      </c>
    </row>
    <row r="29819">
      <c r="A29819" s="1" t="s">
        <v>29818</v>
      </c>
      <c r="B29819" s="2" t="str">
        <f>IFERROR(__xludf.DUMMYFUNCTION("GOOGLETRANSLATE(A29819, ""de"", ""en"")"),"exploit")</f>
        <v>exploit</v>
      </c>
    </row>
    <row r="29820">
      <c r="A29820" s="1" t="s">
        <v>29819</v>
      </c>
      <c r="B29820" s="2" t="str">
        <f>IFERROR(__xludf.DUMMYFUNCTION("GOOGLETRANSLATE(A29820, ""de"", ""en"")"),"to let out")</f>
        <v>to let out</v>
      </c>
    </row>
    <row r="29821">
      <c r="A29821" s="1" t="s">
        <v>29820</v>
      </c>
      <c r="B29821" s="2" t="str">
        <f>IFERROR(__xludf.DUMMYFUNCTION("GOOGLETRANSLATE(A29821, ""de"", ""en"")"),"playroom")</f>
        <v>playroom</v>
      </c>
    </row>
    <row r="29822">
      <c r="A29822" s="1" t="s">
        <v>29821</v>
      </c>
      <c r="B29822" s="2" t="str">
        <f>IFERROR(__xludf.DUMMYFUNCTION("GOOGLETRANSLATE(A29822, ""de"", ""en"")"),"lassiter")</f>
        <v>lassiter</v>
      </c>
    </row>
    <row r="29823">
      <c r="A29823" s="1" t="s">
        <v>29822</v>
      </c>
      <c r="B29823" s="2" t="str">
        <f>IFERROR(__xludf.DUMMYFUNCTION("GOOGLETRANSLATE(A29823, ""de"", ""en"")"),"special effects")</f>
        <v>special effects</v>
      </c>
    </row>
    <row r="29824">
      <c r="A29824" s="1" t="s">
        <v>29823</v>
      </c>
      <c r="B29824" s="2" t="str">
        <f>IFERROR(__xludf.DUMMYFUNCTION("GOOGLETRANSLATE(A29824, ""de"", ""en"")"),"gollum")</f>
        <v>gollum</v>
      </c>
    </row>
    <row r="29825">
      <c r="A29825" s="1" t="s">
        <v>29824</v>
      </c>
      <c r="B29825" s="2" t="str">
        <f>IFERROR(__xludf.DUMMYFUNCTION("GOOGLETRANSLATE(A29825, ""de"", ""en"")"),"tanner")</f>
        <v>tanner</v>
      </c>
    </row>
    <row r="29826">
      <c r="A29826" s="1" t="s">
        <v>29825</v>
      </c>
      <c r="B29826" s="2" t="str">
        <f>IFERROR(__xludf.DUMMYFUNCTION("GOOGLETRANSLATE(A29826, ""de"", ""en"")"),"go in")</f>
        <v>go in</v>
      </c>
    </row>
    <row r="29827">
      <c r="A29827" s="1" t="s">
        <v>29826</v>
      </c>
      <c r="B29827" s="2" t="str">
        <f>IFERROR(__xludf.DUMMYFUNCTION("GOOGLETRANSLATE(A29827, ""de"", ""en"")"),"initiated")</f>
        <v>initiated</v>
      </c>
    </row>
    <row r="29828">
      <c r="A29828" s="1" t="s">
        <v>29827</v>
      </c>
      <c r="B29828" s="2" t="str">
        <f>IFERROR(__xludf.DUMMYFUNCTION("GOOGLETRANSLATE(A29828, ""de"", ""en"")"),"arlette")</f>
        <v>arlette</v>
      </c>
    </row>
    <row r="29829">
      <c r="A29829" s="1" t="s">
        <v>29828</v>
      </c>
      <c r="B29829" s="2" t="str">
        <f>IFERROR(__xludf.DUMMYFUNCTION("GOOGLETRANSLATE(A29829, ""de"", ""en"")"),"everything")</f>
        <v>everything</v>
      </c>
    </row>
    <row r="29830">
      <c r="A29830" s="1" t="s">
        <v>29829</v>
      </c>
      <c r="B29830" s="2" t="str">
        <f>IFERROR(__xludf.DUMMYFUNCTION("GOOGLETRANSLATE(A29830, ""de"", ""en"")"),"newborn")</f>
        <v>newborn</v>
      </c>
    </row>
    <row r="29831">
      <c r="A29831" s="1" t="s">
        <v>29830</v>
      </c>
      <c r="B29831" s="2" t="str">
        <f>IFERROR(__xludf.DUMMYFUNCTION("GOOGLETRANSLATE(A29831, ""de"", ""en"")"),"extreme")</f>
        <v>extreme</v>
      </c>
    </row>
    <row r="29832">
      <c r="A29832" s="1" t="s">
        <v>29831</v>
      </c>
      <c r="B29832" s="2" t="str">
        <f>IFERROR(__xludf.DUMMYFUNCTION("GOOGLETRANSLATE(A29832, ""de"", ""en"")"),"bjorn")</f>
        <v>bjorn</v>
      </c>
    </row>
    <row r="29833">
      <c r="A29833" s="1" t="s">
        <v>29832</v>
      </c>
      <c r="B29833" s="2" t="str">
        <f>IFERROR(__xludf.DUMMYFUNCTION("GOOGLETRANSLATE(A29833, ""de"", ""en"")"),"over-reach")</f>
        <v>over-reach</v>
      </c>
    </row>
    <row r="29834">
      <c r="A29834" s="1" t="s">
        <v>29833</v>
      </c>
      <c r="B29834" s="2" t="str">
        <f>IFERROR(__xludf.DUMMYFUNCTION("GOOGLETRANSLATE(A29834, ""de"", ""en"")"),"rejected")</f>
        <v>rejected</v>
      </c>
    </row>
    <row r="29835">
      <c r="A29835" s="1" t="s">
        <v>29834</v>
      </c>
      <c r="B29835" s="2" t="str">
        <f>IFERROR(__xludf.DUMMYFUNCTION("GOOGLETRANSLATE(A29835, ""de"", ""en"")"),"dyad")</f>
        <v>dyad</v>
      </c>
    </row>
    <row r="29836">
      <c r="A29836" s="1" t="s">
        <v>29835</v>
      </c>
      <c r="B29836" s="2" t="str">
        <f>IFERROR(__xludf.DUMMYFUNCTION("GOOGLETRANSLATE(A29836, ""de"", ""en"")"),"cruchot")</f>
        <v>cruchot</v>
      </c>
    </row>
    <row r="29837">
      <c r="A29837" s="1" t="s">
        <v>29836</v>
      </c>
      <c r="B29837" s="2" t="str">
        <f>IFERROR(__xludf.DUMMYFUNCTION("GOOGLETRANSLATE(A29837, ""de"", ""en"")"),"thwart")</f>
        <v>thwart</v>
      </c>
    </row>
    <row r="29838">
      <c r="A29838" s="1" t="s">
        <v>29837</v>
      </c>
      <c r="B29838" s="2" t="str">
        <f>IFERROR(__xludf.DUMMYFUNCTION("GOOGLETRANSLATE(A29838, ""de"", ""en"")"),"listen")</f>
        <v>listen</v>
      </c>
    </row>
    <row r="29839">
      <c r="A29839" s="1" t="s">
        <v>29838</v>
      </c>
      <c r="B29839" s="2" t="str">
        <f>IFERROR(__xludf.DUMMYFUNCTION("GOOGLETRANSLATE(A29839, ""de"", ""en"")"),"more venerable")</f>
        <v>more venerable</v>
      </c>
    </row>
    <row r="29840">
      <c r="A29840" s="1" t="s">
        <v>29839</v>
      </c>
      <c r="B29840" s="2" t="str">
        <f>IFERROR(__xludf.DUMMYFUNCTION("GOOGLETRANSLATE(A29840, ""de"", ""en"")"),"main suspects")</f>
        <v>main suspects</v>
      </c>
    </row>
    <row r="29841">
      <c r="A29841" s="1" t="s">
        <v>29840</v>
      </c>
      <c r="B29841" s="2" t="str">
        <f>IFERROR(__xludf.DUMMYFUNCTION("GOOGLETRANSLATE(A29841, ""de"", ""en"")"),"twelfth")</f>
        <v>twelfth</v>
      </c>
    </row>
    <row r="29842">
      <c r="A29842" s="1" t="s">
        <v>29841</v>
      </c>
      <c r="B29842" s="2" t="str">
        <f>IFERROR(__xludf.DUMMYFUNCTION("GOOGLETRANSLATE(A29842, ""de"", ""en"")"),"left behind")</f>
        <v>left behind</v>
      </c>
    </row>
    <row r="29843">
      <c r="A29843" s="1" t="s">
        <v>29842</v>
      </c>
      <c r="B29843" s="2" t="str">
        <f>IFERROR(__xludf.DUMMYFUNCTION("GOOGLETRANSLATE(A29843, ""de"", ""en"")"),"called up")</f>
        <v>called up</v>
      </c>
    </row>
    <row r="29844">
      <c r="A29844" s="1" t="s">
        <v>29843</v>
      </c>
      <c r="B29844" s="2" t="str">
        <f>IFERROR(__xludf.DUMMYFUNCTION("GOOGLETRANSLATE(A29844, ""de"", ""en"")"),"completion")</f>
        <v>completion</v>
      </c>
    </row>
    <row r="29845">
      <c r="A29845" s="1" t="s">
        <v>29844</v>
      </c>
      <c r="B29845" s="2" t="str">
        <f>IFERROR(__xludf.DUMMYFUNCTION("GOOGLETRANSLATE(A29845, ""de"", ""en"")"),"swamps")</f>
        <v>swamps</v>
      </c>
    </row>
    <row r="29846">
      <c r="A29846" s="1" t="s">
        <v>29845</v>
      </c>
      <c r="B29846" s="2" t="str">
        <f>IFERROR(__xludf.DUMMYFUNCTION("GOOGLETRANSLATE(A29846, ""de"", ""en"")"),"vocal cords")</f>
        <v>vocal cords</v>
      </c>
    </row>
    <row r="29847">
      <c r="A29847" s="1" t="s">
        <v>29846</v>
      </c>
      <c r="B29847" s="2" t="str">
        <f>IFERROR(__xludf.DUMMYFUNCTION("GOOGLETRANSLATE(A29847, ""de"", ""en"")"),"deer")</f>
        <v>deer</v>
      </c>
    </row>
    <row r="29848">
      <c r="A29848" s="1" t="s">
        <v>29847</v>
      </c>
      <c r="B29848" s="2" t="str">
        <f>IFERROR(__xludf.DUMMYFUNCTION("GOOGLETRANSLATE(A29848, ""de"", ""en"")"),"Brazilian")</f>
        <v>Brazilian</v>
      </c>
    </row>
    <row r="29849">
      <c r="A29849" s="1" t="s">
        <v>29848</v>
      </c>
      <c r="B29849" s="2" t="str">
        <f>IFERROR(__xludf.DUMMYFUNCTION("GOOGLETRANSLATE(A29849, ""de"", ""en"")"),"extremely interesting")</f>
        <v>extremely interesting</v>
      </c>
    </row>
    <row r="29850">
      <c r="A29850" s="1" t="s">
        <v>29849</v>
      </c>
      <c r="B29850" s="2" t="str">
        <f>IFERROR(__xludf.DUMMYFUNCTION("GOOGLETRANSLATE(A29850, ""de"", ""en"")"),"rochefort")</f>
        <v>rochefort</v>
      </c>
    </row>
    <row r="29851">
      <c r="A29851" s="1" t="s">
        <v>29850</v>
      </c>
      <c r="B29851" s="2" t="str">
        <f>IFERROR(__xludf.DUMMYFUNCTION("GOOGLETRANSLATE(A29851, ""de"", ""en"")"),"referee")</f>
        <v>referee</v>
      </c>
    </row>
    <row r="29852">
      <c r="A29852" s="1" t="s">
        <v>29851</v>
      </c>
      <c r="B29852" s="2" t="str">
        <f>IFERROR(__xludf.DUMMYFUNCTION("GOOGLETRANSLATE(A29852, ""de"", ""en"")"),"auction house")</f>
        <v>auction house</v>
      </c>
    </row>
    <row r="29853">
      <c r="A29853" s="1" t="s">
        <v>29852</v>
      </c>
      <c r="B29853" s="2" t="str">
        <f>IFERROR(__xludf.DUMMYFUNCTION("GOOGLETRANSLATE(A29853, ""de"", ""en"")"),"waste of money")</f>
        <v>waste of money</v>
      </c>
    </row>
    <row r="29854">
      <c r="A29854" s="1" t="s">
        <v>29853</v>
      </c>
      <c r="B29854" s="2" t="str">
        <f>IFERROR(__xludf.DUMMYFUNCTION("GOOGLETRANSLATE(A29854, ""de"", ""en"")"),"bubbly")</f>
        <v>bubbly</v>
      </c>
    </row>
    <row r="29855">
      <c r="A29855" s="1" t="s">
        <v>29854</v>
      </c>
      <c r="B29855" s="2" t="str">
        <f>IFERROR(__xludf.DUMMYFUNCTION("GOOGLETRANSLATE(A29855, ""de"", ""en"")"),"mulders")</f>
        <v>mulders</v>
      </c>
    </row>
    <row r="29856">
      <c r="A29856" s="1" t="s">
        <v>29855</v>
      </c>
      <c r="B29856" s="2" t="str">
        <f>IFERROR(__xludf.DUMMYFUNCTION("GOOGLETRANSLATE(A29856, ""de"", ""en"")"),"send here")</f>
        <v>send here</v>
      </c>
    </row>
    <row r="29857">
      <c r="A29857" s="1" t="s">
        <v>29856</v>
      </c>
      <c r="B29857" s="2" t="str">
        <f>IFERROR(__xludf.DUMMYFUNCTION("GOOGLETRANSLATE(A29857, ""de"", ""en"")"),"permits")</f>
        <v>permits</v>
      </c>
    </row>
    <row r="29858">
      <c r="A29858" s="1" t="s">
        <v>29857</v>
      </c>
      <c r="B29858" s="2" t="str">
        <f>IFERROR(__xludf.DUMMYFUNCTION("GOOGLETRANSLATE(A29858, ""de"", ""en"")"),"leyla")</f>
        <v>leyla</v>
      </c>
    </row>
    <row r="29859">
      <c r="A29859" s="1" t="s">
        <v>29858</v>
      </c>
      <c r="B29859" s="2" t="str">
        <f>IFERROR(__xludf.DUMMYFUNCTION("GOOGLETRANSLATE(A29859, ""de"", ""en"")"),"mackerel")</f>
        <v>mackerel</v>
      </c>
    </row>
    <row r="29860">
      <c r="A29860" s="1" t="s">
        <v>29859</v>
      </c>
      <c r="B29860" s="2" t="str">
        <f>IFERROR(__xludf.DUMMYFUNCTION("GOOGLETRANSLATE(A29860, ""de"", ""en"")"),"prisoner of war")</f>
        <v>prisoner of war</v>
      </c>
    </row>
    <row r="29861">
      <c r="A29861" s="1" t="s">
        <v>29860</v>
      </c>
      <c r="B29861" s="2" t="str">
        <f>IFERROR(__xludf.DUMMYFUNCTION("GOOGLETRANSLATE(A29861, ""de"", ""en"")"),"Neumann")</f>
        <v>Neumann</v>
      </c>
    </row>
    <row r="29862">
      <c r="A29862" s="1" t="s">
        <v>29861</v>
      </c>
      <c r="B29862" s="2" t="str">
        <f>IFERROR(__xludf.DUMMYFUNCTION("GOOGLETRANSLATE(A29862, ""de"", ""en"")"),"occupational risk")</f>
        <v>occupational risk</v>
      </c>
    </row>
    <row r="29863">
      <c r="A29863" s="1" t="s">
        <v>29862</v>
      </c>
      <c r="B29863" s="2" t="str">
        <f>IFERROR(__xludf.DUMMYFUNCTION("GOOGLETRANSLATE(A29863, ""de"", ""en"")"),"you promised")</f>
        <v>you promised</v>
      </c>
    </row>
    <row r="29864">
      <c r="A29864" s="1" t="s">
        <v>29863</v>
      </c>
      <c r="B29864" s="2" t="str">
        <f>IFERROR(__xludf.DUMMYFUNCTION("GOOGLETRANSLATE(A29864, ""de"", ""en"")"),"advanced")</f>
        <v>advanced</v>
      </c>
    </row>
    <row r="29865">
      <c r="A29865" s="1" t="s">
        <v>29864</v>
      </c>
      <c r="B29865" s="2" t="str">
        <f>IFERROR(__xludf.DUMMYFUNCTION("GOOGLETRANSLATE(A29865, ""de"", ""en"")"),"score")</f>
        <v>score</v>
      </c>
    </row>
    <row r="29866">
      <c r="A29866" s="1" t="s">
        <v>29865</v>
      </c>
      <c r="B29866" s="2" t="str">
        <f>IFERROR(__xludf.DUMMYFUNCTION("GOOGLETRANSLATE(A29866, ""de"", ""en"")"),"Mr. Orange")</f>
        <v>Mr. Orange</v>
      </c>
    </row>
    <row r="29867">
      <c r="A29867" s="1" t="s">
        <v>29866</v>
      </c>
      <c r="B29867" s="2" t="str">
        <f>IFERROR(__xludf.DUMMYFUNCTION("GOOGLETRANSLATE(A29867, ""de"", ""en"")"),"buoy")</f>
        <v>buoy</v>
      </c>
    </row>
    <row r="29868">
      <c r="A29868" s="1" t="s">
        <v>29867</v>
      </c>
      <c r="B29868" s="2" t="str">
        <f>IFERROR(__xludf.DUMMYFUNCTION("GOOGLETRANSLATE(A29868, ""de"", ""en"")"),"hospital room")</f>
        <v>hospital room</v>
      </c>
    </row>
    <row r="29869">
      <c r="A29869" s="1" t="s">
        <v>29868</v>
      </c>
      <c r="B29869" s="2" t="str">
        <f>IFERROR(__xludf.DUMMYFUNCTION("GOOGLETRANSLATE(A29869, ""de"", ""en"")"),"masked")</f>
        <v>masked</v>
      </c>
    </row>
    <row r="29870">
      <c r="A29870" s="1" t="s">
        <v>29869</v>
      </c>
      <c r="B29870" s="2" t="str">
        <f>IFERROR(__xludf.DUMMYFUNCTION("GOOGLETRANSLATE(A29870, ""de"", ""en"")"),"tormented")</f>
        <v>tormented</v>
      </c>
    </row>
    <row r="29871">
      <c r="A29871" s="1" t="s">
        <v>29870</v>
      </c>
      <c r="B29871" s="2" t="str">
        <f>IFERROR(__xludf.DUMMYFUNCTION("GOOGLETRANSLATE(A29871, ""de"", ""en"")"),"sectors")</f>
        <v>sectors</v>
      </c>
    </row>
    <row r="29872">
      <c r="A29872" s="1" t="s">
        <v>29871</v>
      </c>
      <c r="B29872" s="2" t="str">
        <f>IFERROR(__xludf.DUMMYFUNCTION("GOOGLETRANSLATE(A29872, ""de"", ""en"")"),"text")</f>
        <v>text</v>
      </c>
    </row>
    <row r="29873">
      <c r="A29873" s="1" t="s">
        <v>29872</v>
      </c>
      <c r="B29873" s="2" t="str">
        <f>IFERROR(__xludf.DUMMYFUNCTION("GOOGLETRANSLATE(A29873, ""de"", ""en"")"),"blazer")</f>
        <v>blazer</v>
      </c>
    </row>
    <row r="29874">
      <c r="A29874" s="1" t="s">
        <v>29873</v>
      </c>
      <c r="B29874" s="2" t="str">
        <f>IFERROR(__xludf.DUMMYFUNCTION("GOOGLETRANSLATE(A29874, ""de"", ""en"")"),"casual")</f>
        <v>casual</v>
      </c>
    </row>
    <row r="29875">
      <c r="A29875" s="1" t="s">
        <v>29874</v>
      </c>
      <c r="B29875" s="2" t="str">
        <f>IFERROR(__xludf.DUMMYFUNCTION("GOOGLETRANSLATE(A29875, ""de"", ""en"")"),"back seat")</f>
        <v>back seat</v>
      </c>
    </row>
    <row r="29876">
      <c r="A29876" s="1" t="s">
        <v>29875</v>
      </c>
      <c r="B29876" s="2" t="str">
        <f>IFERROR(__xludf.DUMMYFUNCTION("GOOGLETRANSLATE(A29876, ""de"", ""en"")"),"Suffolk")</f>
        <v>Suffolk</v>
      </c>
    </row>
    <row r="29877">
      <c r="A29877" s="1" t="s">
        <v>29876</v>
      </c>
      <c r="B29877" s="2" t="str">
        <f>IFERROR(__xludf.DUMMYFUNCTION("GOOGLETRANSLATE(A29877, ""de"", ""en"")"),"radon")</f>
        <v>radon</v>
      </c>
    </row>
    <row r="29878">
      <c r="A29878" s="1" t="s">
        <v>29877</v>
      </c>
      <c r="B29878" s="2" t="str">
        <f>IFERROR(__xludf.DUMMYFUNCTION("GOOGLETRANSLATE(A29878, ""de"", ""en"")"),"more artificial")</f>
        <v>more artificial</v>
      </c>
    </row>
    <row r="29879">
      <c r="A29879" s="1" t="s">
        <v>29878</v>
      </c>
      <c r="B29879" s="2" t="str">
        <f>IFERROR(__xludf.DUMMYFUNCTION("GOOGLETRANSLATE(A29879, ""de"", ""en"")"),"ambassador")</f>
        <v>ambassador</v>
      </c>
    </row>
    <row r="29880">
      <c r="A29880" s="1" t="s">
        <v>29879</v>
      </c>
      <c r="B29880" s="2" t="str">
        <f>IFERROR(__xludf.DUMMYFUNCTION("GOOGLETRANSLATE(A29880, ""de"", ""en"")"),"got it")</f>
        <v>got it</v>
      </c>
    </row>
    <row r="29881">
      <c r="A29881" s="1" t="s">
        <v>29880</v>
      </c>
      <c r="B29881" s="2" t="str">
        <f>IFERROR(__xludf.DUMMYFUNCTION("GOOGLETRANSLATE(A29881, ""de"", ""en"")"),"advise against")</f>
        <v>advise against</v>
      </c>
    </row>
    <row r="29882">
      <c r="A29882" s="1" t="s">
        <v>29881</v>
      </c>
      <c r="B29882" s="2" t="str">
        <f>IFERROR(__xludf.DUMMYFUNCTION("GOOGLETRANSLATE(A29882, ""de"", ""en"")"),"damages")</f>
        <v>damages</v>
      </c>
    </row>
    <row r="29883">
      <c r="A29883" s="1" t="s">
        <v>29882</v>
      </c>
      <c r="B29883" s="2" t="str">
        <f>IFERROR(__xludf.DUMMYFUNCTION("GOOGLETRANSLATE(A29883, ""de"", ""en"")"),"ibiza")</f>
        <v>ibiza</v>
      </c>
    </row>
    <row r="29884">
      <c r="A29884" s="1" t="s">
        <v>29883</v>
      </c>
      <c r="B29884" s="2" t="str">
        <f>IFERROR(__xludf.DUMMYFUNCTION("GOOGLETRANSLATE(A29884, ""de"", ""en"")"),"grapes")</f>
        <v>grapes</v>
      </c>
    </row>
    <row r="29885">
      <c r="A29885" s="1" t="s">
        <v>29884</v>
      </c>
      <c r="B29885" s="2" t="str">
        <f>IFERROR(__xludf.DUMMYFUNCTION("GOOGLETRANSLATE(A29885, ""de"", ""en"")"),"condemned")</f>
        <v>condemned</v>
      </c>
    </row>
    <row r="29886">
      <c r="A29886" s="1" t="s">
        <v>29885</v>
      </c>
      <c r="B29886" s="2" t="str">
        <f>IFERROR(__xludf.DUMMYFUNCTION("GOOGLETRANSLATE(A29886, ""de"", ""en"")"),"fears")</f>
        <v>fears</v>
      </c>
    </row>
    <row r="29887">
      <c r="A29887" s="1" t="s">
        <v>29886</v>
      </c>
      <c r="B29887" s="2" t="str">
        <f>IFERROR(__xludf.DUMMYFUNCTION("GOOGLETRANSLATE(A29887, ""de"", ""en"")"),"lupus")</f>
        <v>lupus</v>
      </c>
    </row>
    <row r="29888">
      <c r="A29888" s="1" t="s">
        <v>29887</v>
      </c>
      <c r="B29888" s="2" t="str">
        <f>IFERROR(__xludf.DUMMYFUNCTION("GOOGLETRANSLATE(A29888, ""de"", ""en"")"),"dugan")</f>
        <v>dugan</v>
      </c>
    </row>
    <row r="29889">
      <c r="A29889" s="1" t="s">
        <v>29888</v>
      </c>
      <c r="B29889" s="2" t="str">
        <f>IFERROR(__xludf.DUMMYFUNCTION("GOOGLETRANSLATE(A29889, ""de"", ""en"")"),"area of ​​responsibility")</f>
        <v>area of ​​responsibility</v>
      </c>
    </row>
    <row r="29890">
      <c r="A29890" s="1" t="s">
        <v>29889</v>
      </c>
      <c r="B29890" s="2" t="str">
        <f>IFERROR(__xludf.DUMMYFUNCTION("GOOGLETRANSLATE(A29890, ""de"", ""en"")"),"delighted")</f>
        <v>delighted</v>
      </c>
    </row>
    <row r="29891">
      <c r="A29891" s="1" t="s">
        <v>29890</v>
      </c>
      <c r="B29891" s="2" t="str">
        <f>IFERROR(__xludf.DUMMYFUNCTION("GOOGLETRANSLATE(A29891, ""de"", ""en"")"),"tts")</f>
        <v>tts</v>
      </c>
    </row>
    <row r="29892">
      <c r="A29892" s="1" t="s">
        <v>29891</v>
      </c>
      <c r="B29892" s="2" t="str">
        <f>IFERROR(__xludf.DUMMYFUNCTION("GOOGLETRANSLATE(A29892, ""de"", ""en"")"),"running step")</f>
        <v>running step</v>
      </c>
    </row>
    <row r="29893">
      <c r="A29893" s="1" t="s">
        <v>29892</v>
      </c>
      <c r="B29893" s="2" t="str">
        <f>IFERROR(__xludf.DUMMYFUNCTION("GOOGLETRANSLATE(A29893, ""de"", ""en"")"),"backgrounds")</f>
        <v>backgrounds</v>
      </c>
    </row>
    <row r="29894">
      <c r="A29894" s="1" t="s">
        <v>29893</v>
      </c>
      <c r="B29894" s="2" t="str">
        <f>IFERROR(__xludf.DUMMYFUNCTION("GOOGLETRANSLATE(A29894, ""de"", ""en"")"),"dianne")</f>
        <v>dianne</v>
      </c>
    </row>
    <row r="29895">
      <c r="A29895" s="1" t="s">
        <v>29894</v>
      </c>
      <c r="B29895" s="2" t="str">
        <f>IFERROR(__xludf.DUMMYFUNCTION("GOOGLETRANSLATE(A29895, ""de"", ""en"")"),"pious")</f>
        <v>pious</v>
      </c>
    </row>
    <row r="29896">
      <c r="A29896" s="1" t="s">
        <v>29895</v>
      </c>
      <c r="B29896" s="2" t="str">
        <f>IFERROR(__xludf.DUMMYFUNCTION("GOOGLETRANSLATE(A29896, ""de"", ""en"")"),"sears")</f>
        <v>sears</v>
      </c>
    </row>
    <row r="29897">
      <c r="A29897" s="1" t="s">
        <v>29896</v>
      </c>
      <c r="B29897" s="2" t="str">
        <f>IFERROR(__xludf.DUMMYFUNCTION("GOOGLETRANSLATE(A29897, ""de"", ""en"")"),"born")</f>
        <v>born</v>
      </c>
    </row>
    <row r="29898">
      <c r="A29898" s="1" t="s">
        <v>29897</v>
      </c>
      <c r="B29898" s="2" t="str">
        <f>IFERROR(__xludf.DUMMYFUNCTION("GOOGLETRANSLATE(A29898, ""de"", ""en"")"),"blood trail")</f>
        <v>blood trail</v>
      </c>
    </row>
    <row r="29899">
      <c r="A29899" s="1" t="s">
        <v>29898</v>
      </c>
      <c r="B29899" s="2" t="str">
        <f>IFERROR(__xludf.DUMMYFUNCTION("GOOGLETRANSLATE(A29899, ""de"", ""en"")"),"erect")</f>
        <v>erect</v>
      </c>
    </row>
    <row r="29900">
      <c r="A29900" s="1" t="s">
        <v>29899</v>
      </c>
      <c r="B29900" s="2" t="str">
        <f>IFERROR(__xludf.DUMMYFUNCTION("GOOGLETRANSLATE(A29900, ""de"", ""en"")"),"lula")</f>
        <v>lula</v>
      </c>
    </row>
    <row r="29901">
      <c r="A29901" s="1" t="s">
        <v>29900</v>
      </c>
      <c r="B29901" s="2" t="str">
        <f>IFERROR(__xludf.DUMMYFUNCTION("GOOGLETRANSLATE(A29901, ""de"", ""en"")"),"Timo")</f>
        <v>Timo</v>
      </c>
    </row>
    <row r="29902">
      <c r="A29902" s="1" t="s">
        <v>29901</v>
      </c>
      <c r="B29902" s="2" t="str">
        <f>IFERROR(__xludf.DUMMYFUNCTION("GOOGLETRANSLATE(A29902, ""de"", ""en"")"),"greasy")</f>
        <v>greasy</v>
      </c>
    </row>
    <row r="29903">
      <c r="A29903" s="1" t="s">
        <v>29902</v>
      </c>
      <c r="B29903" s="2" t="str">
        <f>IFERROR(__xludf.DUMMYFUNCTION("GOOGLETRANSLATE(A29903, ""de"", ""en"")"),"have it")</f>
        <v>have it</v>
      </c>
    </row>
    <row r="29904">
      <c r="A29904" s="1" t="s">
        <v>29903</v>
      </c>
      <c r="B29904" s="2" t="str">
        <f>IFERROR(__xludf.DUMMYFUNCTION("GOOGLETRANSLATE(A29904, ""de"", ""en"")"),"worthless")</f>
        <v>worthless</v>
      </c>
    </row>
    <row r="29905">
      <c r="A29905" s="1" t="s">
        <v>29904</v>
      </c>
      <c r="B29905" s="2" t="str">
        <f>IFERROR(__xludf.DUMMYFUNCTION("GOOGLETRANSLATE(A29905, ""de"", ""en"")"),"sexually transmitted diseases")</f>
        <v>sexually transmitted diseases</v>
      </c>
    </row>
    <row r="29906">
      <c r="A29906" s="1" t="s">
        <v>29905</v>
      </c>
      <c r="B29906" s="2" t="str">
        <f>IFERROR(__xludf.DUMMYFUNCTION("GOOGLETRANSLATE(A29906, ""de"", ""en"")"),"vocabulary")</f>
        <v>vocabulary</v>
      </c>
    </row>
    <row r="29907">
      <c r="A29907" s="1" t="s">
        <v>29906</v>
      </c>
      <c r="B29907" s="2" t="str">
        <f>IFERROR(__xludf.DUMMYFUNCTION("GOOGLETRANSLATE(A29907, ""de"", ""en"")"),"buzzes")</f>
        <v>buzzes</v>
      </c>
    </row>
    <row r="29908">
      <c r="A29908" s="1" t="s">
        <v>29907</v>
      </c>
      <c r="B29908" s="2" t="str">
        <f>IFERROR(__xludf.DUMMYFUNCTION("GOOGLETRANSLATE(A29908, ""de"", ""en"")"),"eat")</f>
        <v>eat</v>
      </c>
    </row>
    <row r="29909">
      <c r="A29909" s="1" t="s">
        <v>29908</v>
      </c>
      <c r="B29909" s="2" t="str">
        <f>IFERROR(__xludf.DUMMYFUNCTION("GOOGLETRANSLATE(A29909, ""de"", ""en"")"),"strategic")</f>
        <v>strategic</v>
      </c>
    </row>
    <row r="29910">
      <c r="A29910" s="1" t="s">
        <v>29909</v>
      </c>
      <c r="B29910" s="2" t="str">
        <f>IFERROR(__xludf.DUMMYFUNCTION("GOOGLETRANSLATE(A29910, ""de"", ""en"")"),"glamorous")</f>
        <v>glamorous</v>
      </c>
    </row>
    <row r="29911">
      <c r="A29911" s="1" t="s">
        <v>29910</v>
      </c>
      <c r="B29911" s="2" t="str">
        <f>IFERROR(__xludf.DUMMYFUNCTION("GOOGLETRANSLATE(A29911, ""de"", ""en"")"),"directors")</f>
        <v>directors</v>
      </c>
    </row>
    <row r="29912">
      <c r="A29912" s="1" t="s">
        <v>29911</v>
      </c>
      <c r="B29912" s="2" t="str">
        <f>IFERROR(__xludf.DUMMYFUNCTION("GOOGLETRANSLATE(A29912, ""de"", ""en"")"),"public")</f>
        <v>public</v>
      </c>
    </row>
    <row r="29913">
      <c r="A29913" s="1" t="s">
        <v>29912</v>
      </c>
      <c r="B29913" s="2" t="str">
        <f>IFERROR(__xludf.DUMMYFUNCTION("GOOGLETRANSLATE(A29913, ""de"", ""en"")"),"saboteur")</f>
        <v>saboteur</v>
      </c>
    </row>
    <row r="29914">
      <c r="A29914" s="1" t="s">
        <v>29913</v>
      </c>
      <c r="B29914" s="2" t="str">
        <f>IFERROR(__xludf.DUMMYFUNCTION("GOOGLETRANSLATE(A29914, ""de"", ""en"")"),"accountant")</f>
        <v>accountant</v>
      </c>
    </row>
    <row r="29915">
      <c r="A29915" s="1" t="s">
        <v>29914</v>
      </c>
      <c r="B29915" s="2" t="str">
        <f>IFERROR(__xludf.DUMMYFUNCTION("GOOGLETRANSLATE(A29915, ""de"", ""en"")"),"Somalia")</f>
        <v>Somalia</v>
      </c>
    </row>
    <row r="29916">
      <c r="A29916" s="1" t="s">
        <v>29915</v>
      </c>
      <c r="B29916" s="2" t="str">
        <f>IFERROR(__xludf.DUMMYFUNCTION("GOOGLETRANSLATE(A29916, ""de"", ""en"")"),"rattlesnake")</f>
        <v>rattlesnake</v>
      </c>
    </row>
    <row r="29917">
      <c r="A29917" s="1" t="s">
        <v>29916</v>
      </c>
      <c r="B29917" s="2" t="str">
        <f>IFERROR(__xludf.DUMMYFUNCTION("GOOGLETRANSLATE(A29917, ""de"", ""en"")"),"Armageddon")</f>
        <v>Armageddon</v>
      </c>
    </row>
    <row r="29918">
      <c r="A29918" s="1" t="s">
        <v>29917</v>
      </c>
      <c r="B29918" s="2" t="str">
        <f>IFERROR(__xludf.DUMMYFUNCTION("GOOGLETRANSLATE(A29918, ""de"", ""en"")"),"harmonic")</f>
        <v>harmonic</v>
      </c>
    </row>
    <row r="29919">
      <c r="A29919" s="1" t="s">
        <v>29918</v>
      </c>
      <c r="B29919" s="2" t="str">
        <f>IFERROR(__xludf.DUMMYFUNCTION("GOOGLETRANSLATE(A29919, ""de"", ""en"")"),"Phoebes")</f>
        <v>Phoebes</v>
      </c>
    </row>
    <row r="29920">
      <c r="A29920" s="1" t="s">
        <v>29919</v>
      </c>
      <c r="B29920" s="2" t="str">
        <f>IFERROR(__xludf.DUMMYFUNCTION("GOOGLETRANSLATE(A29920, ""de"", ""en"")"),"bradford")</f>
        <v>bradford</v>
      </c>
    </row>
    <row r="29921">
      <c r="A29921" s="1" t="s">
        <v>29920</v>
      </c>
      <c r="B29921" s="2" t="str">
        <f>IFERROR(__xludf.DUMMYFUNCTION("GOOGLETRANSLATE(A29921, ""de"", ""en"")"),"pep")</f>
        <v>pep</v>
      </c>
    </row>
    <row r="29922">
      <c r="A29922" s="1" t="s">
        <v>29921</v>
      </c>
      <c r="B29922" s="2" t="str">
        <f>IFERROR(__xludf.DUMMYFUNCTION("GOOGLETRANSLATE(A29922, ""de"", ""en"")"),"lily")</f>
        <v>lily</v>
      </c>
    </row>
    <row r="29923">
      <c r="A29923" s="1" t="s">
        <v>29922</v>
      </c>
      <c r="B29923" s="2" t="str">
        <f>IFERROR(__xludf.DUMMYFUNCTION("GOOGLETRANSLATE(A29923, ""de"", ""en"")"),"docked")</f>
        <v>docked</v>
      </c>
    </row>
    <row r="29924">
      <c r="A29924" s="1" t="s">
        <v>29923</v>
      </c>
      <c r="B29924" s="2" t="str">
        <f>IFERROR(__xludf.DUMMYFUNCTION("GOOGLETRANSLATE(A29924, ""de"", ""en"")"),"ru")</f>
        <v>ru</v>
      </c>
    </row>
    <row r="29925">
      <c r="A29925" s="1" t="s">
        <v>29924</v>
      </c>
      <c r="B29925" s="2" t="str">
        <f>IFERROR(__xludf.DUMMYFUNCTION("GOOGLETRANSLATE(A29925, ""de"", ""en"")"),"mtv")</f>
        <v>mtv</v>
      </c>
    </row>
    <row r="29926">
      <c r="A29926" s="1" t="s">
        <v>29925</v>
      </c>
      <c r="B29926" s="2" t="str">
        <f>IFERROR(__xludf.DUMMYFUNCTION("GOOGLETRANSLATE(A29926, ""de"", ""en"")"),"found out")</f>
        <v>found out</v>
      </c>
    </row>
    <row r="29927">
      <c r="A29927" s="1" t="s">
        <v>29926</v>
      </c>
      <c r="B29927" s="2" t="str">
        <f>IFERROR(__xludf.DUMMYFUNCTION("GOOGLETRANSLATE(A29927, ""de"", ""en"")"),"Frannie")</f>
        <v>Frannie</v>
      </c>
    </row>
    <row r="29928">
      <c r="A29928" s="1" t="s">
        <v>29927</v>
      </c>
      <c r="B29928" s="2" t="str">
        <f>IFERROR(__xludf.DUMMYFUNCTION("GOOGLETRANSLATE(A29928, ""de"", ""en"")"),"pidge")</f>
        <v>pidge</v>
      </c>
    </row>
    <row r="29929">
      <c r="A29929" s="1" t="s">
        <v>29928</v>
      </c>
      <c r="B29929" s="2" t="str">
        <f>IFERROR(__xludf.DUMMYFUNCTION("GOOGLETRANSLATE(A29929, ""de"", ""en"")"),"pea")</f>
        <v>pea</v>
      </c>
    </row>
    <row r="29930">
      <c r="A29930" s="1" t="s">
        <v>29929</v>
      </c>
      <c r="B29930" s="2" t="str">
        <f>IFERROR(__xludf.DUMMYFUNCTION("GOOGLETRANSLATE(A29930, ""de"", ""en"")"),"merger")</f>
        <v>merger</v>
      </c>
    </row>
    <row r="29931">
      <c r="A29931" s="1" t="s">
        <v>29930</v>
      </c>
      <c r="B29931" s="2" t="str">
        <f>IFERROR(__xludf.DUMMYFUNCTION("GOOGLETRANSLATE(A29931, ""de"", ""en"")"),"hakan")</f>
        <v>hakan</v>
      </c>
    </row>
    <row r="29932">
      <c r="A29932" s="1" t="s">
        <v>29931</v>
      </c>
      <c r="B29932" s="2" t="str">
        <f>IFERROR(__xludf.DUMMYFUNCTION("GOOGLETRANSLATE(A29932, ""de"", ""en"")"),"desires")</f>
        <v>desires</v>
      </c>
    </row>
    <row r="29933">
      <c r="A29933" s="1" t="s">
        <v>29932</v>
      </c>
      <c r="B29933" s="2" t="str">
        <f>IFERROR(__xludf.DUMMYFUNCTION("GOOGLETRANSLATE(A29933, ""de"", ""en"")"),"emmanuel")</f>
        <v>emmanuel</v>
      </c>
    </row>
    <row r="29934">
      <c r="A29934" s="1" t="s">
        <v>29933</v>
      </c>
      <c r="B29934" s="2" t="str">
        <f>IFERROR(__xludf.DUMMYFUNCTION("GOOGLETRANSLATE(A29934, ""de"", ""en"")"),"bright")</f>
        <v>bright</v>
      </c>
    </row>
    <row r="29935">
      <c r="A29935" s="1" t="s">
        <v>29934</v>
      </c>
      <c r="B29935" s="2" t="str">
        <f>IFERROR(__xludf.DUMMYFUNCTION("GOOGLETRANSLATE(A29935, ""de"", ""en"")"),"lis")</f>
        <v>lis</v>
      </c>
    </row>
    <row r="29936">
      <c r="A29936" s="1" t="s">
        <v>29935</v>
      </c>
      <c r="B29936" s="2" t="str">
        <f>IFERROR(__xludf.DUMMYFUNCTION("GOOGLETRANSLATE(A29936, ""de"", ""en"")"),"republican")</f>
        <v>republican</v>
      </c>
    </row>
    <row r="29937">
      <c r="A29937" s="1" t="s">
        <v>29936</v>
      </c>
      <c r="B29937" s="2" t="str">
        <f>IFERROR(__xludf.DUMMYFUNCTION("GOOGLETRANSLATE(A29937, ""de"", ""en"")"),"briefs")</f>
        <v>briefs</v>
      </c>
    </row>
    <row r="29938">
      <c r="A29938" s="1" t="s">
        <v>29937</v>
      </c>
      <c r="B29938" s="2" t="str">
        <f>IFERROR(__xludf.DUMMYFUNCTION("GOOGLETRANSLATE(A29938, ""de"", ""en"")"),"icy")</f>
        <v>icy</v>
      </c>
    </row>
    <row r="29939">
      <c r="A29939" s="1" t="s">
        <v>29938</v>
      </c>
      <c r="B29939" s="2" t="str">
        <f>IFERROR(__xludf.DUMMYFUNCTION("GOOGLETRANSLATE(A29939, ""de"", ""en"")"),"material")</f>
        <v>material</v>
      </c>
    </row>
    <row r="29940">
      <c r="A29940" s="1" t="s">
        <v>29939</v>
      </c>
      <c r="B29940" s="2" t="str">
        <f>IFERROR(__xludf.DUMMYFUNCTION("GOOGLETRANSLATE(A29940, ""de"", ""en"")"),"Belize")</f>
        <v>Belize</v>
      </c>
    </row>
    <row r="29941">
      <c r="A29941" s="1" t="s">
        <v>29940</v>
      </c>
      <c r="B29941" s="2" t="str">
        <f>IFERROR(__xludf.DUMMYFUNCTION("GOOGLETRANSLATE(A29941, ""de"", ""en"")"),"plait")</f>
        <v>plait</v>
      </c>
    </row>
    <row r="29942">
      <c r="A29942" s="1" t="s">
        <v>29941</v>
      </c>
      <c r="B29942" s="2" t="str">
        <f>IFERROR(__xludf.DUMMYFUNCTION("GOOGLETRANSLATE(A29942, ""de"", ""en"")"),"Volker")</f>
        <v>Volker</v>
      </c>
    </row>
    <row r="29943">
      <c r="A29943" s="1" t="s">
        <v>29942</v>
      </c>
      <c r="B29943" s="2" t="str">
        <f>IFERROR(__xludf.DUMMYFUNCTION("GOOGLETRANSLATE(A29943, ""de"", ""en"")"),"security zone")</f>
        <v>security zone</v>
      </c>
    </row>
    <row r="29944">
      <c r="A29944" s="1" t="s">
        <v>29943</v>
      </c>
      <c r="B29944" s="2" t="str">
        <f>IFERROR(__xludf.DUMMYFUNCTION("GOOGLETRANSLATE(A29944, ""de"", ""en"")"),"Eric")</f>
        <v>Eric</v>
      </c>
    </row>
    <row r="29945">
      <c r="A29945" s="1" t="s">
        <v>29944</v>
      </c>
      <c r="B29945" s="2" t="str">
        <f>IFERROR(__xludf.DUMMYFUNCTION("GOOGLETRANSLATE(A29945, ""de"", ""en"")"),"slain")</f>
        <v>slain</v>
      </c>
    </row>
    <row r="29946">
      <c r="A29946" s="1" t="s">
        <v>29945</v>
      </c>
      <c r="B29946" s="2" t="str">
        <f>IFERROR(__xludf.DUMMYFUNCTION("GOOGLETRANSLATE(A29946, ""de"", ""en"")"),"rancho")</f>
        <v>rancho</v>
      </c>
    </row>
    <row r="29947">
      <c r="A29947" s="1" t="s">
        <v>29946</v>
      </c>
      <c r="B29947" s="2" t="str">
        <f>IFERROR(__xludf.DUMMYFUNCTION("GOOGLETRANSLATE(A29947, ""de"", ""en"")"),"sacrament")</f>
        <v>sacrament</v>
      </c>
    </row>
    <row r="29948">
      <c r="A29948" s="1" t="s">
        <v>29947</v>
      </c>
      <c r="B29948" s="2" t="str">
        <f>IFERROR(__xludf.DUMMYFUNCTION("GOOGLETRANSLATE(A29948, ""de"", ""en"")"),"business lunch")</f>
        <v>business lunch</v>
      </c>
    </row>
    <row r="29949">
      <c r="A29949" s="1" t="s">
        <v>29948</v>
      </c>
      <c r="B29949" s="2" t="str">
        <f>IFERROR(__xludf.DUMMYFUNCTION("GOOGLETRANSLATE(A29949, ""de"", ""en"")"),"salud")</f>
        <v>salud</v>
      </c>
    </row>
    <row r="29950">
      <c r="A29950" s="1" t="s">
        <v>29949</v>
      </c>
      <c r="B29950" s="2" t="str">
        <f>IFERROR(__xludf.DUMMYFUNCTION("GOOGLETRANSLATE(A29950, ""de"", ""en"")"),"hurdle")</f>
        <v>hurdle</v>
      </c>
    </row>
    <row r="29951">
      <c r="A29951" s="1" t="s">
        <v>29950</v>
      </c>
      <c r="B29951" s="2" t="str">
        <f>IFERROR(__xludf.DUMMYFUNCTION("GOOGLETRANSLATE(A29951, ""de"", ""en"")"),"vicious circle")</f>
        <v>vicious circle</v>
      </c>
    </row>
    <row r="29952">
      <c r="A29952" s="1" t="s">
        <v>29951</v>
      </c>
      <c r="B29952" s="2" t="str">
        <f>IFERROR(__xludf.DUMMYFUNCTION("GOOGLETRANSLATE(A29952, ""de"", ""en"")"),"miles")</f>
        <v>miles</v>
      </c>
    </row>
    <row r="29953">
      <c r="A29953" s="1" t="s">
        <v>29952</v>
      </c>
      <c r="B29953" s="2" t="str">
        <f>IFERROR(__xludf.DUMMYFUNCTION("GOOGLETRANSLATE(A29953, ""de"", ""en"")"),"gazette")</f>
        <v>gazette</v>
      </c>
    </row>
    <row r="29954">
      <c r="A29954" s="1" t="s">
        <v>29953</v>
      </c>
      <c r="B29954" s="2" t="str">
        <f>IFERROR(__xludf.DUMMYFUNCTION("GOOGLETRANSLATE(A29954, ""de"", ""en"")"),"ruffian")</f>
        <v>ruffian</v>
      </c>
    </row>
    <row r="29955">
      <c r="A29955" s="1" t="s">
        <v>29954</v>
      </c>
      <c r="B29955" s="2" t="str">
        <f>IFERROR(__xludf.DUMMYFUNCTION("GOOGLETRANSLATE(A29955, ""de"", ""en"")"),"lovable")</f>
        <v>lovable</v>
      </c>
    </row>
    <row r="29956">
      <c r="A29956" s="1" t="s">
        <v>29955</v>
      </c>
      <c r="B29956" s="2" t="str">
        <f>IFERROR(__xludf.DUMMYFUNCTION("GOOGLETRANSLATE(A29956, ""de"", ""en"")"),"squeeze")</f>
        <v>squeeze</v>
      </c>
    </row>
    <row r="29957">
      <c r="A29957" s="1" t="s">
        <v>29956</v>
      </c>
      <c r="B29957" s="2" t="str">
        <f>IFERROR(__xludf.DUMMYFUNCTION("GOOGLETRANSLATE(A29957, ""de"", ""en"")"),"suicide")</f>
        <v>suicide</v>
      </c>
    </row>
    <row r="29958">
      <c r="A29958" s="1" t="s">
        <v>29957</v>
      </c>
      <c r="B29958" s="2" t="str">
        <f>IFERROR(__xludf.DUMMYFUNCTION("GOOGLETRANSLATE(A29958, ""de"", ""en"")"),"more capable")</f>
        <v>more capable</v>
      </c>
    </row>
    <row r="29959">
      <c r="A29959" s="1" t="s">
        <v>29958</v>
      </c>
      <c r="B29959" s="2" t="str">
        <f>IFERROR(__xludf.DUMMYFUNCTION("GOOGLETRANSLATE(A29959, ""de"", ""en"")"),"discouraged")</f>
        <v>discouraged</v>
      </c>
    </row>
    <row r="29960">
      <c r="A29960" s="1" t="s">
        <v>29959</v>
      </c>
      <c r="B29960" s="2" t="str">
        <f>IFERROR(__xludf.DUMMYFUNCTION("GOOGLETRANSLATE(A29960, ""de"", ""en"")"),"bookshelf")</f>
        <v>bookshelf</v>
      </c>
    </row>
    <row r="29961">
      <c r="A29961" s="1" t="s">
        <v>29960</v>
      </c>
      <c r="B29961" s="2" t="str">
        <f>IFERROR(__xludf.DUMMYFUNCTION("GOOGLETRANSLATE(A29961, ""de"", ""en"")"),"children")</f>
        <v>children</v>
      </c>
    </row>
    <row r="29962">
      <c r="A29962" s="1" t="s">
        <v>29961</v>
      </c>
      <c r="B29962" s="2" t="str">
        <f>IFERROR(__xludf.DUMMYFUNCTION("GOOGLETRANSLATE(A29962, ""de"", ""en"")"),"milk")</f>
        <v>milk</v>
      </c>
    </row>
    <row r="29963">
      <c r="A29963" s="1" t="s">
        <v>29962</v>
      </c>
      <c r="B29963" s="2" t="str">
        <f>IFERROR(__xludf.DUMMYFUNCTION("GOOGLETRANSLATE(A29963, ""de"", ""en"")"),"stopwatch")</f>
        <v>stopwatch</v>
      </c>
    </row>
    <row r="29964">
      <c r="A29964" s="1" t="s">
        <v>29963</v>
      </c>
      <c r="B29964" s="2" t="str">
        <f>IFERROR(__xludf.DUMMYFUNCTION("GOOGLETRANSLATE(A29964, ""de"", ""en"")"),"tube")</f>
        <v>tube</v>
      </c>
    </row>
    <row r="29965">
      <c r="A29965" s="1" t="s">
        <v>29964</v>
      </c>
      <c r="B29965" s="2" t="str">
        <f>IFERROR(__xludf.DUMMYFUNCTION("GOOGLETRANSLATE(A29965, ""de"", ""en"")"),"social")</f>
        <v>social</v>
      </c>
    </row>
    <row r="29966">
      <c r="A29966" s="1" t="s">
        <v>29965</v>
      </c>
      <c r="B29966" s="2" t="str">
        <f>IFERROR(__xludf.DUMMYFUNCTION("GOOGLETRANSLATE(A29966, ""de"", ""en"")"),"button")</f>
        <v>button</v>
      </c>
    </row>
    <row r="29967">
      <c r="A29967" s="1" t="s">
        <v>29966</v>
      </c>
      <c r="B29967" s="2" t="str">
        <f>IFERROR(__xludf.DUMMYFUNCTION("GOOGLETRANSLATE(A29967, ""de"", ""en"")"),"defective")</f>
        <v>defective</v>
      </c>
    </row>
    <row r="29968">
      <c r="A29968" s="1" t="s">
        <v>29967</v>
      </c>
      <c r="B29968" s="2" t="str">
        <f>IFERROR(__xludf.DUMMYFUNCTION("GOOGLETRANSLATE(A29968, ""de"", ""en"")"),"spit")</f>
        <v>spit</v>
      </c>
    </row>
    <row r="29969">
      <c r="A29969" s="1" t="s">
        <v>29968</v>
      </c>
      <c r="B29969" s="2" t="str">
        <f>IFERROR(__xludf.DUMMYFUNCTION("GOOGLETRANSLATE(A29969, ""de"", ""en"")"),"long term")</f>
        <v>long term</v>
      </c>
    </row>
    <row r="29970">
      <c r="A29970" s="1" t="s">
        <v>29969</v>
      </c>
      <c r="B29970" s="2" t="str">
        <f>IFERROR(__xludf.DUMMYFUNCTION("GOOGLETRANSLATE(A29970, ""de"", ""en"")"),"effects")</f>
        <v>effects</v>
      </c>
    </row>
    <row r="29971">
      <c r="A29971" s="1" t="s">
        <v>29970</v>
      </c>
      <c r="B29971" s="2" t="str">
        <f>IFERROR(__xludf.DUMMYFUNCTION("GOOGLETRANSLATE(A29971, ""de"", ""en"")"),"most interesting")</f>
        <v>most interesting</v>
      </c>
    </row>
    <row r="29972">
      <c r="A29972" s="1" t="s">
        <v>29971</v>
      </c>
      <c r="B29972" s="2" t="str">
        <f>IFERROR(__xludf.DUMMYFUNCTION("GOOGLETRANSLATE(A29972, ""de"", ""en"")"),"deena")</f>
        <v>deena</v>
      </c>
    </row>
    <row r="29973">
      <c r="A29973" s="1" t="s">
        <v>29972</v>
      </c>
      <c r="B29973" s="2" t="str">
        <f>IFERROR(__xludf.DUMMYFUNCTION("GOOGLETRANSLATE(A29973, ""de"", ""en"")"),"inexplicable")</f>
        <v>inexplicable</v>
      </c>
    </row>
    <row r="29974">
      <c r="A29974" s="1" t="s">
        <v>29973</v>
      </c>
      <c r="B29974" s="2" t="str">
        <f>IFERROR(__xludf.DUMMYFUNCTION("GOOGLETRANSLATE(A29974, ""de"", ""en"")"),"happiness")</f>
        <v>happiness</v>
      </c>
    </row>
    <row r="29975">
      <c r="A29975" s="1" t="s">
        <v>29974</v>
      </c>
      <c r="B29975" s="2" t="str">
        <f>IFERROR(__xludf.DUMMYFUNCTION("GOOGLETRANSLATE(A29975, ""de"", ""en"")"),"Iranian")</f>
        <v>Iranian</v>
      </c>
    </row>
    <row r="29976">
      <c r="A29976" s="1" t="s">
        <v>29975</v>
      </c>
      <c r="B29976" s="2" t="str">
        <f>IFERROR(__xludf.DUMMYFUNCTION("GOOGLETRANSLATE(A29976, ""de"", ""en"")"),"raw")</f>
        <v>raw</v>
      </c>
    </row>
    <row r="29977">
      <c r="A29977" s="1" t="s">
        <v>29976</v>
      </c>
      <c r="B29977" s="2" t="str">
        <f>IFERROR(__xludf.DUMMYFUNCTION("GOOGLETRANSLATE(A29977, ""de"", ""en"")"),"juicy")</f>
        <v>juicy</v>
      </c>
    </row>
    <row r="29978">
      <c r="A29978" s="1" t="s">
        <v>29977</v>
      </c>
      <c r="B29978" s="2" t="str">
        <f>IFERROR(__xludf.DUMMYFUNCTION("GOOGLETRANSLATE(A29978, ""de"", ""en"")"),"anais")</f>
        <v>anais</v>
      </c>
    </row>
    <row r="29979">
      <c r="A29979" s="1" t="s">
        <v>29978</v>
      </c>
      <c r="B29979" s="2" t="str">
        <f>IFERROR(__xludf.DUMMYFUNCTION("GOOGLETRANSLATE(A29979, ""de"", ""en"")"),"jussy")</f>
        <v>jussy</v>
      </c>
    </row>
    <row r="29980">
      <c r="A29980" s="1" t="s">
        <v>29979</v>
      </c>
      <c r="B29980" s="2" t="str">
        <f>IFERROR(__xludf.DUMMYFUNCTION("GOOGLETRANSLATE(A29980, ""de"", ""en"")"),"thumbs up")</f>
        <v>thumbs up</v>
      </c>
    </row>
    <row r="29981">
      <c r="A29981" s="1" t="s">
        <v>29980</v>
      </c>
      <c r="B29981" s="2" t="str">
        <f>IFERROR(__xludf.DUMMYFUNCTION("GOOGLETRANSLATE(A29981, ""de"", ""en"")"),"reservations")</f>
        <v>reservations</v>
      </c>
    </row>
    <row r="29982">
      <c r="A29982" s="1" t="s">
        <v>29981</v>
      </c>
      <c r="B29982" s="2" t="str">
        <f>IFERROR(__xludf.DUMMYFUNCTION("GOOGLETRANSLATE(A29982, ""de"", ""en"")"),"alertness")</f>
        <v>alertness</v>
      </c>
    </row>
    <row r="29983">
      <c r="A29983" s="1" t="s">
        <v>29982</v>
      </c>
      <c r="B29983" s="2" t="str">
        <f>IFERROR(__xludf.DUMMYFUNCTION("GOOGLETRANSLATE(A29983, ""de"", ""en"")"),"aftershave")</f>
        <v>aftershave</v>
      </c>
    </row>
    <row r="29984">
      <c r="A29984" s="1" t="s">
        <v>29983</v>
      </c>
      <c r="B29984" s="2" t="str">
        <f>IFERROR(__xludf.DUMMYFUNCTION("GOOGLETRANSLATE(A29984, ""de"", ""en"")"),"more radiant")</f>
        <v>more radiant</v>
      </c>
    </row>
    <row r="29985">
      <c r="A29985" s="1" t="s">
        <v>29984</v>
      </c>
      <c r="B29985" s="2" t="str">
        <f>IFERROR(__xludf.DUMMYFUNCTION("GOOGLETRANSLATE(A29985, ""de"", ""en"")"),"divide")</f>
        <v>divide</v>
      </c>
    </row>
    <row r="29986">
      <c r="A29986" s="1" t="s">
        <v>29985</v>
      </c>
      <c r="B29986" s="2" t="str">
        <f>IFERROR(__xludf.DUMMYFUNCTION("GOOGLETRANSLATE(A29986, ""de"", ""en"")"),"Linda")</f>
        <v>Linda</v>
      </c>
    </row>
    <row r="29987">
      <c r="A29987" s="1" t="s">
        <v>29986</v>
      </c>
      <c r="B29987" s="2" t="str">
        <f>IFERROR(__xludf.DUMMYFUNCTION("GOOGLETRANSLATE(A29987, ""de"", ""en"")"),"remembered")</f>
        <v>remembered</v>
      </c>
    </row>
    <row r="29988">
      <c r="A29988" s="1" t="s">
        <v>29987</v>
      </c>
      <c r="B29988" s="2" t="str">
        <f>IFERROR(__xludf.DUMMYFUNCTION("GOOGLETRANSLATE(A29988, ""de"", ""en"")"),"spasti")</f>
        <v>spasti</v>
      </c>
    </row>
    <row r="29989">
      <c r="A29989" s="1" t="s">
        <v>29988</v>
      </c>
      <c r="B29989" s="2" t="str">
        <f>IFERROR(__xludf.DUMMYFUNCTION("GOOGLETRANSLATE(A29989, ""de"", ""en"")"),"soot")</f>
        <v>soot</v>
      </c>
    </row>
    <row r="29990">
      <c r="A29990" s="1" t="s">
        <v>29989</v>
      </c>
      <c r="B29990" s="2" t="str">
        <f>IFERROR(__xludf.DUMMYFUNCTION("GOOGLETRANSLATE(A29990, ""de"", ""en"")"),"Balkans")</f>
        <v>Balkans</v>
      </c>
    </row>
    <row r="29991">
      <c r="A29991" s="1" t="s">
        <v>29990</v>
      </c>
      <c r="B29991" s="2" t="str">
        <f>IFERROR(__xludf.DUMMYFUNCTION("GOOGLETRANSLATE(A29991, ""de"", ""en"")"),"kents")</f>
        <v>kents</v>
      </c>
    </row>
    <row r="29992">
      <c r="A29992" s="1" t="s">
        <v>29991</v>
      </c>
      <c r="B29992" s="2" t="str">
        <f>IFERROR(__xludf.DUMMYFUNCTION("GOOGLETRANSLATE(A29992, ""de"", ""en"")"),"drive in")</f>
        <v>drive in</v>
      </c>
    </row>
    <row r="29993">
      <c r="A29993" s="1" t="s">
        <v>29992</v>
      </c>
      <c r="B29993" s="2" t="str">
        <f>IFERROR(__xludf.DUMMYFUNCTION("GOOGLETRANSLATE(A29993, ""de"", ""en"")"),"fossil")</f>
        <v>fossil</v>
      </c>
    </row>
    <row r="29994">
      <c r="A29994" s="1" t="s">
        <v>29993</v>
      </c>
      <c r="B29994" s="2" t="str">
        <f>IFERROR(__xludf.DUMMYFUNCTION("GOOGLETRANSLATE(A29994, ""de"", ""en"")"),"goran")</f>
        <v>goran</v>
      </c>
    </row>
    <row r="29995">
      <c r="A29995" s="1" t="s">
        <v>29994</v>
      </c>
      <c r="B29995" s="2" t="str">
        <f>IFERROR(__xludf.DUMMYFUNCTION("GOOGLETRANSLATE(A29995, ""de"", ""en"")"),"clea")</f>
        <v>clea</v>
      </c>
    </row>
    <row r="29996">
      <c r="A29996" s="1" t="s">
        <v>29995</v>
      </c>
      <c r="B29996" s="2" t="str">
        <f>IFERROR(__xludf.DUMMYFUNCTION("GOOGLETRANSLATE(A29996, ""de"", ""en"")"),"andromeda")</f>
        <v>andromeda</v>
      </c>
    </row>
    <row r="29997">
      <c r="A29997" s="1" t="s">
        <v>29996</v>
      </c>
      <c r="B29997" s="2" t="str">
        <f>IFERROR(__xludf.DUMMYFUNCTION("GOOGLETRANSLATE(A29997, ""de"", ""en"")"),"painkillers")</f>
        <v>painkillers</v>
      </c>
    </row>
    <row r="29998">
      <c r="A29998" s="1" t="s">
        <v>29997</v>
      </c>
      <c r="B29998" s="2" t="str">
        <f>IFERROR(__xludf.DUMMYFUNCTION("GOOGLETRANSLATE(A29998, ""de"", ""en"")"),"use")</f>
        <v>use</v>
      </c>
    </row>
    <row r="29999">
      <c r="A29999" s="1" t="s">
        <v>29998</v>
      </c>
      <c r="B29999" s="2" t="str">
        <f>IFERROR(__xludf.DUMMYFUNCTION("GOOGLETRANSLATE(A29999, ""de"", ""en"")"),"teenagers")</f>
        <v>teenagers</v>
      </c>
    </row>
    <row r="30000">
      <c r="A30000" s="1" t="s">
        <v>29999</v>
      </c>
      <c r="B30000" s="2" t="str">
        <f>IFERROR(__xludf.DUMMYFUNCTION("GOOGLETRANSLATE(A30000, ""de"", ""en"")"),"stryker")</f>
        <v>stryker</v>
      </c>
    </row>
    <row r="30001">
      <c r="A30001" s="1" t="s">
        <v>30000</v>
      </c>
      <c r="B30001" s="2" t="str">
        <f>IFERROR(__xludf.DUMMYFUNCTION("GOOGLETRANSLATE(A30001, ""de"", ""en"")"),"to arrive")</f>
        <v>to arrive</v>
      </c>
    </row>
    <row r="30002">
      <c r="A30002" s="1" t="s">
        <v>30001</v>
      </c>
      <c r="B30002" s="2" t="str">
        <f>IFERROR(__xludf.DUMMYFUNCTION("GOOGLETRANSLATE(A30002, ""de"", ""en"")"),"carnegie")</f>
        <v>carnegie</v>
      </c>
    </row>
    <row r="30003">
      <c r="A30003" s="1" t="s">
        <v>30002</v>
      </c>
      <c r="B30003" s="2" t="str">
        <f>IFERROR(__xludf.DUMMYFUNCTION("GOOGLETRANSLATE(A30003, ""de"", ""en"")"),"serious criminal")</f>
        <v>serious criminal</v>
      </c>
    </row>
    <row r="30004">
      <c r="A30004" s="1" t="s">
        <v>30003</v>
      </c>
      <c r="B30004" s="2" t="str">
        <f>IFERROR(__xludf.DUMMYFUNCTION("GOOGLETRANSLATE(A30004, ""de"", ""en"")"),"firewood")</f>
        <v>firewood</v>
      </c>
    </row>
    <row r="30005">
      <c r="A30005" s="1" t="s">
        <v>30004</v>
      </c>
      <c r="B30005" s="2" t="str">
        <f>IFERROR(__xludf.DUMMYFUNCTION("GOOGLETRANSLATE(A30005, ""de"", ""en"")"),"costumes")</f>
        <v>costumes</v>
      </c>
    </row>
    <row r="30006">
      <c r="A30006" s="1" t="s">
        <v>30005</v>
      </c>
      <c r="B30006" s="2" t="str">
        <f>IFERROR(__xludf.DUMMYFUNCTION("GOOGLETRANSLATE(A30006, ""de"", ""en"")"),"s01e01")</f>
        <v>s01e01</v>
      </c>
    </row>
    <row r="30007">
      <c r="A30007" s="1" t="s">
        <v>30006</v>
      </c>
      <c r="B30007" s="2" t="str">
        <f>IFERROR(__xludf.DUMMYFUNCTION("GOOGLETRANSLATE(A30007, ""de"", ""en"")"),"contraband")</f>
        <v>contraband</v>
      </c>
    </row>
    <row r="30008">
      <c r="A30008" s="1" t="s">
        <v>30007</v>
      </c>
      <c r="B30008" s="2" t="str">
        <f>IFERROR(__xludf.DUMMYFUNCTION("GOOGLETRANSLATE(A30008, ""de"", ""en"")"),"whirl")</f>
        <v>whirl</v>
      </c>
    </row>
    <row r="30009">
      <c r="A30009" s="1" t="s">
        <v>30008</v>
      </c>
      <c r="B30009" s="2" t="str">
        <f>IFERROR(__xludf.DUMMYFUNCTION("GOOGLETRANSLATE(A30009, ""de"", ""en"")"),"inaudible")</f>
        <v>inaudible</v>
      </c>
    </row>
    <row r="30010">
      <c r="A30010" s="1" t="s">
        <v>30009</v>
      </c>
      <c r="B30010" s="2" t="str">
        <f>IFERROR(__xludf.DUMMYFUNCTION("GOOGLETRANSLATE(A30010, ""de"", ""en"")"),"surprising")</f>
        <v>surprising</v>
      </c>
    </row>
    <row r="30011">
      <c r="A30011" s="1" t="s">
        <v>30010</v>
      </c>
      <c r="B30011" s="2" t="str">
        <f>IFERROR(__xludf.DUMMYFUNCTION("GOOGLETRANSLATE(A30011, ""de"", ""en"")"),"gue")</f>
        <v>gue</v>
      </c>
    </row>
    <row r="30012">
      <c r="A30012" s="1" t="s">
        <v>30011</v>
      </c>
      <c r="B30012" s="2" t="str">
        <f>IFERROR(__xludf.DUMMYFUNCTION("GOOGLETRANSLATE(A30012, ""de"", ""en"")"),"ours")</f>
        <v>ours</v>
      </c>
    </row>
    <row r="30013">
      <c r="A30013" s="1" t="s">
        <v>30012</v>
      </c>
      <c r="B30013" s="2" t="str">
        <f>IFERROR(__xludf.DUMMYFUNCTION("GOOGLETRANSLATE(A30013, ""de"", ""en"")"),"shoot")</f>
        <v>shoot</v>
      </c>
    </row>
    <row r="30014">
      <c r="A30014" s="1" t="s">
        <v>30013</v>
      </c>
      <c r="B30014" s="2" t="str">
        <f>IFERROR(__xludf.DUMMYFUNCTION("GOOGLETRANSLATE(A30014, ""de"", ""en"")"),"chords")</f>
        <v>chords</v>
      </c>
    </row>
    <row r="30015">
      <c r="A30015" s="1" t="s">
        <v>30014</v>
      </c>
      <c r="B30015" s="2" t="str">
        <f>IFERROR(__xludf.DUMMYFUNCTION("GOOGLETRANSLATE(A30015, ""de"", ""en"")"),"ghost town")</f>
        <v>ghost town</v>
      </c>
    </row>
    <row r="30016">
      <c r="A30016" s="1" t="s">
        <v>30015</v>
      </c>
      <c r="B30016" s="2" t="str">
        <f>IFERROR(__xludf.DUMMYFUNCTION("GOOGLETRANSLATE(A30016, ""de"", ""en"")"),"sniff")</f>
        <v>sniff</v>
      </c>
    </row>
    <row r="30017">
      <c r="A30017" s="1" t="s">
        <v>30016</v>
      </c>
      <c r="B30017" s="2" t="str">
        <f>IFERROR(__xludf.DUMMYFUNCTION("GOOGLETRANSLATE(A30017, ""de"", ""en"")"),"megumi")</f>
        <v>megumi</v>
      </c>
    </row>
    <row r="30018">
      <c r="A30018" s="1" t="s">
        <v>30017</v>
      </c>
      <c r="B30018" s="2" t="str">
        <f>IFERROR(__xludf.DUMMYFUNCTION("GOOGLETRANSLATE(A30018, ""de"", ""en"")"),"stamped")</f>
        <v>stamped</v>
      </c>
    </row>
    <row r="30019">
      <c r="A30019" s="1" t="s">
        <v>30018</v>
      </c>
      <c r="B30019" s="2" t="str">
        <f>IFERROR(__xludf.DUMMYFUNCTION("GOOGLETRANSLATE(A30019, ""de"", ""en"")"),"burned in")</f>
        <v>burned in</v>
      </c>
    </row>
    <row r="30020">
      <c r="A30020" s="1" t="s">
        <v>30019</v>
      </c>
      <c r="B30020" s="2" t="str">
        <f>IFERROR(__xludf.DUMMYFUNCTION("GOOGLETRANSLATE(A30020, ""de"", ""en"")"),"supreme")</f>
        <v>supreme</v>
      </c>
    </row>
    <row r="30021">
      <c r="A30021" s="1" t="s">
        <v>30020</v>
      </c>
      <c r="B30021" s="2" t="str">
        <f>IFERROR(__xludf.DUMMYFUNCTION("GOOGLETRANSLATE(A30021, ""de"", ""en"")"),"brought here")</f>
        <v>brought here</v>
      </c>
    </row>
    <row r="30022">
      <c r="A30022" s="1" t="s">
        <v>30021</v>
      </c>
      <c r="B30022" s="2" t="str">
        <f>IFERROR(__xludf.DUMMYFUNCTION("GOOGLETRANSLATE(A30022, ""de"", ""en"")"),"Norwegian")</f>
        <v>Norwegian</v>
      </c>
    </row>
    <row r="30023">
      <c r="A30023" s="1" t="s">
        <v>30022</v>
      </c>
      <c r="B30023" s="2" t="str">
        <f>IFERROR(__xludf.DUMMYFUNCTION("GOOGLETRANSLATE(A30023, ""de"", ""en"")"),"assaults")</f>
        <v>assaults</v>
      </c>
    </row>
    <row r="30024">
      <c r="A30024" s="1" t="s">
        <v>30023</v>
      </c>
      <c r="B30024" s="2" t="str">
        <f>IFERROR(__xludf.DUMMYFUNCTION("GOOGLETRANSLATE(A30024, ""de"", ""en"")"),"dyke")</f>
        <v>dyke</v>
      </c>
    </row>
    <row r="30025">
      <c r="A30025" s="1" t="s">
        <v>30024</v>
      </c>
      <c r="B30025" s="2" t="str">
        <f>IFERROR(__xludf.DUMMYFUNCTION("GOOGLETRANSLATE(A30025, ""de"", ""en"")"),"a.l.i.e.")</f>
        <v>a.l.i.e.</v>
      </c>
    </row>
    <row r="30026">
      <c r="A30026" s="1" t="s">
        <v>30025</v>
      </c>
      <c r="B30026" s="2" t="str">
        <f>IFERROR(__xludf.DUMMYFUNCTION("GOOGLETRANSLATE(A30026, ""de"", ""en"")"),"condor")</f>
        <v>condor</v>
      </c>
    </row>
    <row r="30027">
      <c r="A30027" s="1" t="s">
        <v>30026</v>
      </c>
      <c r="B30027" s="2" t="str">
        <f>IFERROR(__xludf.DUMMYFUNCTION("GOOGLETRANSLATE(A30027, ""de"", ""en"")"),"nuggets")</f>
        <v>nuggets</v>
      </c>
    </row>
    <row r="30028">
      <c r="A30028" s="1" t="s">
        <v>30027</v>
      </c>
      <c r="B30028" s="2" t="str">
        <f>IFERROR(__xludf.DUMMYFUNCTION("GOOGLETRANSLATE(A30028, ""de"", ""en"")"),"tilly")</f>
        <v>tilly</v>
      </c>
    </row>
    <row r="30029">
      <c r="A30029" s="1" t="s">
        <v>30028</v>
      </c>
      <c r="B30029" s="2" t="str">
        <f>IFERROR(__xludf.DUMMYFUNCTION("GOOGLETRANSLATE(A30029, ""de"", ""en"")"),"post office")</f>
        <v>post office</v>
      </c>
    </row>
    <row r="30030">
      <c r="A30030" s="1" t="s">
        <v>30029</v>
      </c>
      <c r="B30030" s="2" t="str">
        <f>IFERROR(__xludf.DUMMYFUNCTION("GOOGLETRANSLATE(A30030, ""de"", ""en"")"),"nomine")</f>
        <v>nomine</v>
      </c>
    </row>
    <row r="30031">
      <c r="A30031" s="1" t="s">
        <v>30030</v>
      </c>
      <c r="B30031" s="2" t="str">
        <f>IFERROR(__xludf.DUMMYFUNCTION("GOOGLETRANSLATE(A30031, ""de"", ""en"")"),"systems")</f>
        <v>systems</v>
      </c>
    </row>
    <row r="30032">
      <c r="A30032" s="1" t="s">
        <v>30031</v>
      </c>
      <c r="B30032" s="2" t="str">
        <f>IFERROR(__xludf.DUMMYFUNCTION("GOOGLETRANSLATE(A30032, ""de"", ""en"")"),"beauty sleep")</f>
        <v>beauty sleep</v>
      </c>
    </row>
    <row r="30033">
      <c r="A30033" s="1" t="s">
        <v>30032</v>
      </c>
      <c r="B30033" s="2" t="str">
        <f>IFERROR(__xludf.DUMMYFUNCTION("GOOGLETRANSLATE(A30033, ""de"", ""en"")"),"babble")</f>
        <v>babble</v>
      </c>
    </row>
    <row r="30034">
      <c r="A30034" s="1" t="s">
        <v>30033</v>
      </c>
      <c r="B30034" s="2" t="str">
        <f>IFERROR(__xludf.DUMMYFUNCTION("GOOGLETRANSLATE(A30034, ""de"", ""en"")"),"dining table")</f>
        <v>dining table</v>
      </c>
    </row>
    <row r="30035">
      <c r="A30035" s="1" t="s">
        <v>30034</v>
      </c>
      <c r="B30035" s="2" t="str">
        <f>IFERROR(__xludf.DUMMYFUNCTION("GOOGLETRANSLATE(A30035, ""de"", ""en"")"),"scorpius")</f>
        <v>scorpius</v>
      </c>
    </row>
    <row r="30036">
      <c r="A30036" s="1" t="s">
        <v>30035</v>
      </c>
      <c r="B30036" s="2" t="str">
        <f>IFERROR(__xludf.DUMMYFUNCTION("GOOGLETRANSLATE(A30036, ""de"", ""en"")"),"rods")</f>
        <v>rods</v>
      </c>
    </row>
    <row r="30037">
      <c r="A30037" s="1" t="s">
        <v>30036</v>
      </c>
      <c r="B30037" s="2" t="str">
        <f>IFERROR(__xludf.DUMMYFUNCTION("GOOGLETRANSLATE(A30037, ""de"", ""en"")"),"invite")</f>
        <v>invite</v>
      </c>
    </row>
    <row r="30038">
      <c r="A30038" s="1" t="s">
        <v>30037</v>
      </c>
      <c r="B30038" s="2" t="str">
        <f>IFERROR(__xludf.DUMMYFUNCTION("GOOGLETRANSLATE(A30038, ""de"", ""en"")"),"consumption")</f>
        <v>consumption</v>
      </c>
    </row>
    <row r="30039">
      <c r="A30039" s="1" t="s">
        <v>30038</v>
      </c>
      <c r="B30039" s="2" t="str">
        <f>IFERROR(__xludf.DUMMYFUNCTION("GOOGLETRANSLATE(A30039, ""de"", ""en"")"),"ride")</f>
        <v>ride</v>
      </c>
    </row>
    <row r="30040">
      <c r="A30040" s="1" t="s">
        <v>30039</v>
      </c>
      <c r="B30040" s="2" t="str">
        <f>IFERROR(__xludf.DUMMYFUNCTION("GOOGLETRANSLATE(A30040, ""de"", ""en"")"),"Westchester")</f>
        <v>Westchester</v>
      </c>
    </row>
    <row r="30041">
      <c r="A30041" s="1" t="s">
        <v>30040</v>
      </c>
      <c r="B30041" s="2" t="str">
        <f>IFERROR(__xludf.DUMMYFUNCTION("GOOGLETRANSLATE(A30041, ""de"", ""en"")"),"divorce lawyer")</f>
        <v>divorce lawyer</v>
      </c>
    </row>
    <row r="30042">
      <c r="A30042" s="1" t="s">
        <v>30041</v>
      </c>
      <c r="B30042" s="2" t="str">
        <f>IFERROR(__xludf.DUMMYFUNCTION("GOOGLETRANSLATE(A30042, ""de"", ""en"")"),"veterinary clinic")</f>
        <v>veterinary clinic</v>
      </c>
    </row>
    <row r="30043">
      <c r="A30043" s="1" t="s">
        <v>30042</v>
      </c>
      <c r="B30043" s="2" t="str">
        <f>IFERROR(__xludf.DUMMYFUNCTION("GOOGLETRANSLATE(A30043, ""de"", ""en"")"),"thin")</f>
        <v>thin</v>
      </c>
    </row>
    <row r="30044">
      <c r="A30044" s="1" t="s">
        <v>30043</v>
      </c>
      <c r="B30044" s="2" t="str">
        <f>IFERROR(__xludf.DUMMYFUNCTION("GOOGLETRANSLATE(A30044, ""de"", ""en"")"),"inserted")</f>
        <v>inserted</v>
      </c>
    </row>
    <row r="30045">
      <c r="A30045" s="1" t="s">
        <v>30044</v>
      </c>
      <c r="B30045" s="2" t="str">
        <f>IFERROR(__xludf.DUMMYFUNCTION("GOOGLETRANSLATE(A30045, ""de"", ""en"")"),"unattractive")</f>
        <v>unattractive</v>
      </c>
    </row>
    <row r="30046">
      <c r="A30046" s="1" t="s">
        <v>30045</v>
      </c>
      <c r="B30046" s="2" t="str">
        <f>IFERROR(__xludf.DUMMYFUNCTION("GOOGLETRANSLATE(A30046, ""de"", ""en"")"),"ruprecht")</f>
        <v>ruprecht</v>
      </c>
    </row>
    <row r="30047">
      <c r="A30047" s="1" t="s">
        <v>30046</v>
      </c>
      <c r="B30047" s="2" t="str">
        <f>IFERROR(__xludf.DUMMYFUNCTION("GOOGLETRANSLATE(A30047, ""de"", ""en"")"),"Evi")</f>
        <v>Evi</v>
      </c>
    </row>
    <row r="30048">
      <c r="A30048" s="1" t="s">
        <v>30047</v>
      </c>
      <c r="B30048" s="2" t="str">
        <f>IFERROR(__xludf.DUMMYFUNCTION("GOOGLETRANSLATE(A30048, ""de"", ""en"")"),"performs")</f>
        <v>performs</v>
      </c>
    </row>
    <row r="30049">
      <c r="A30049" s="1" t="s">
        <v>30048</v>
      </c>
      <c r="B30049" s="2" t="str">
        <f>IFERROR(__xludf.DUMMYFUNCTION("GOOGLETRANSLATE(A30049, ""de"", ""en"")"),"card index")</f>
        <v>card index</v>
      </c>
    </row>
    <row r="30050">
      <c r="A30050" s="1" t="s">
        <v>30049</v>
      </c>
      <c r="B30050" s="2" t="str">
        <f>IFERROR(__xludf.DUMMYFUNCTION("GOOGLETRANSLATE(A30050, ""de"", ""en"")"),"Gagarin")</f>
        <v>Gagarin</v>
      </c>
    </row>
    <row r="30051">
      <c r="A30051" s="1" t="s">
        <v>30050</v>
      </c>
      <c r="B30051" s="2" t="str">
        <f>IFERROR(__xludf.DUMMYFUNCTION("GOOGLETRANSLATE(A30051, ""de"", ""en"")"),"handled")</f>
        <v>handled</v>
      </c>
    </row>
    <row r="30052">
      <c r="A30052" s="1" t="s">
        <v>30051</v>
      </c>
      <c r="B30052" s="2" t="str">
        <f>IFERROR(__xludf.DUMMYFUNCTION("GOOGLETRANSLATE(A30052, ""de"", ""en"")"),"sent")</f>
        <v>sent</v>
      </c>
    </row>
    <row r="30053">
      <c r="A30053" s="1" t="s">
        <v>30052</v>
      </c>
      <c r="B30053" s="2" t="str">
        <f>IFERROR(__xludf.DUMMYFUNCTION("GOOGLETRANSLATE(A30053, ""de"", ""en"")"),"concrete")</f>
        <v>concrete</v>
      </c>
    </row>
    <row r="30054">
      <c r="A30054" s="1" t="s">
        <v>30053</v>
      </c>
      <c r="B30054" s="2" t="str">
        <f>IFERROR(__xludf.DUMMYFUNCTION("GOOGLETRANSLATE(A30054, ""de"", ""en"")"),"tax evasion")</f>
        <v>tax evasion</v>
      </c>
    </row>
    <row r="30055">
      <c r="A30055" s="1" t="s">
        <v>30054</v>
      </c>
      <c r="B30055" s="2" t="str">
        <f>IFERROR(__xludf.DUMMYFUNCTION("GOOGLETRANSLATE(A30055, ""de"", ""en"")"),"monkey sounds")</f>
        <v>monkey sounds</v>
      </c>
    </row>
    <row r="30056">
      <c r="A30056" s="1" t="s">
        <v>30055</v>
      </c>
      <c r="B30056" s="2" t="str">
        <f>IFERROR(__xludf.DUMMYFUNCTION("GOOGLETRANSLATE(A30056, ""de"", ""en"")"),"quadrant")</f>
        <v>quadrant</v>
      </c>
    </row>
    <row r="30057">
      <c r="A30057" s="1" t="s">
        <v>30056</v>
      </c>
      <c r="B30057" s="2" t="str">
        <f>IFERROR(__xludf.DUMMYFUNCTION("GOOGLETRANSLATE(A30057, ""de"", ""en"")"),"arguments")</f>
        <v>arguments</v>
      </c>
    </row>
    <row r="30058">
      <c r="A30058" s="1" t="s">
        <v>30057</v>
      </c>
      <c r="B30058" s="2" t="str">
        <f>IFERROR(__xludf.DUMMYFUNCTION("GOOGLETRANSLATE(A30058, ""de"", ""en"")"),"Wilton")</f>
        <v>Wilton</v>
      </c>
    </row>
    <row r="30059">
      <c r="A30059" s="1" t="s">
        <v>30058</v>
      </c>
      <c r="B30059" s="2" t="str">
        <f>IFERROR(__xludf.DUMMYFUNCTION("GOOGLETRANSLATE(A30059, ""de"", ""en"")"),"pedal")</f>
        <v>pedal</v>
      </c>
    </row>
    <row r="30060">
      <c r="A30060" s="1" t="s">
        <v>30059</v>
      </c>
      <c r="B30060" s="2" t="str">
        <f>IFERROR(__xludf.DUMMYFUNCTION("GOOGLETRANSLATE(A30060, ""de"", ""en"")"),"principal")</f>
        <v>principal</v>
      </c>
    </row>
    <row r="30061">
      <c r="A30061" s="1" t="s">
        <v>30060</v>
      </c>
      <c r="B30061" s="2" t="str">
        <f>IFERROR(__xludf.DUMMYFUNCTION("GOOGLETRANSLATE(A30061, ""de"", ""en"")"),"sent out")</f>
        <v>sent out</v>
      </c>
    </row>
    <row r="30062">
      <c r="A30062" s="1" t="s">
        <v>30061</v>
      </c>
      <c r="B30062" s="2" t="str">
        <f>IFERROR(__xludf.DUMMYFUNCTION("GOOGLETRANSLATE(A30062, ""de"", ""en"")"),"covered")</f>
        <v>covered</v>
      </c>
    </row>
    <row r="30063">
      <c r="A30063" s="1" t="s">
        <v>30062</v>
      </c>
      <c r="B30063" s="2" t="str">
        <f>IFERROR(__xludf.DUMMYFUNCTION("GOOGLETRANSLATE(A30063, ""de"", ""en"")"),"spears")</f>
        <v>spears</v>
      </c>
    </row>
    <row r="30064">
      <c r="A30064" s="1" t="s">
        <v>30063</v>
      </c>
      <c r="B30064" s="2" t="str">
        <f>IFERROR(__xludf.DUMMYFUNCTION("GOOGLETRANSLATE(A30064, ""de"", ""en"")"),"rawlings")</f>
        <v>rawlings</v>
      </c>
    </row>
    <row r="30065">
      <c r="A30065" s="1" t="s">
        <v>30064</v>
      </c>
      <c r="B30065" s="2" t="str">
        <f>IFERROR(__xludf.DUMMYFUNCTION("GOOGLETRANSLATE(A30065, ""de"", ""en"")"),"prudent")</f>
        <v>prudent</v>
      </c>
    </row>
    <row r="30066">
      <c r="A30066" s="1" t="s">
        <v>30065</v>
      </c>
      <c r="B30066" s="2" t="str">
        <f>IFERROR(__xludf.DUMMYFUNCTION("GOOGLETRANSLATE(A30066, ""de"", ""en"")"),"panthers")</f>
        <v>panthers</v>
      </c>
    </row>
    <row r="30067">
      <c r="A30067" s="1" t="s">
        <v>30066</v>
      </c>
      <c r="B30067" s="2" t="str">
        <f>IFERROR(__xludf.DUMMYFUNCTION("GOOGLETRANSLATE(A30067, ""de"", ""en"")"),"dentists")</f>
        <v>dentists</v>
      </c>
    </row>
    <row r="30068">
      <c r="A30068" s="1" t="s">
        <v>30067</v>
      </c>
      <c r="B30068" s="2" t="str">
        <f>IFERROR(__xludf.DUMMYFUNCTION("GOOGLETRANSLATE(A30068, ""de"", ""en"")"),"mood swings")</f>
        <v>mood swings</v>
      </c>
    </row>
    <row r="30069">
      <c r="A30069" s="1" t="s">
        <v>30068</v>
      </c>
      <c r="B30069" s="2" t="str">
        <f>IFERROR(__xludf.DUMMYFUNCTION("GOOGLETRANSLATE(A30069, ""de"", ""en"")"),"trust fund")</f>
        <v>trust fund</v>
      </c>
    </row>
    <row r="30070">
      <c r="A30070" s="1" t="s">
        <v>30069</v>
      </c>
      <c r="B30070" s="2" t="str">
        <f>IFERROR(__xludf.DUMMYFUNCTION("GOOGLETRANSLATE(A30070, ""de"", ""en"")"),"magical powers")</f>
        <v>magical powers</v>
      </c>
    </row>
    <row r="30071">
      <c r="A30071" s="1" t="s">
        <v>30070</v>
      </c>
      <c r="B30071" s="2" t="str">
        <f>IFERROR(__xludf.DUMMYFUNCTION("GOOGLETRANSLATE(A30071, ""de"", ""en"")"),"price tag")</f>
        <v>price tag</v>
      </c>
    </row>
    <row r="30072">
      <c r="A30072" s="1" t="s">
        <v>30071</v>
      </c>
      <c r="B30072" s="2" t="str">
        <f>IFERROR(__xludf.DUMMYFUNCTION("GOOGLETRANSLATE(A30072, ""de"", ""en"")"),"enchanting")</f>
        <v>enchanting</v>
      </c>
    </row>
    <row r="30073">
      <c r="A30073" s="1" t="s">
        <v>30072</v>
      </c>
      <c r="B30073" s="2" t="str">
        <f>IFERROR(__xludf.DUMMYFUNCTION("GOOGLETRANSLATE(A30073, ""de"", ""en"")"),"Hanover")</f>
        <v>Hanover</v>
      </c>
    </row>
    <row r="30074">
      <c r="A30074" s="1" t="s">
        <v>30073</v>
      </c>
      <c r="B30074" s="2" t="str">
        <f>IFERROR(__xludf.DUMMYFUNCTION("GOOGLETRANSLATE(A30074, ""de"", ""en"")"),"gable")</f>
        <v>gable</v>
      </c>
    </row>
    <row r="30075">
      <c r="A30075" s="1" t="s">
        <v>30074</v>
      </c>
      <c r="B30075" s="2" t="str">
        <f>IFERROR(__xludf.DUMMYFUNCTION("GOOGLETRANSLATE(A30075, ""de"", ""en"")"),"Caesar")</f>
        <v>Caesar</v>
      </c>
    </row>
    <row r="30076">
      <c r="A30076" s="1" t="s">
        <v>30075</v>
      </c>
      <c r="B30076" s="2" t="str">
        <f>IFERROR(__xludf.DUMMYFUNCTION("GOOGLETRANSLATE(A30076, ""de"", ""en"")"),"drove away")</f>
        <v>drove away</v>
      </c>
    </row>
    <row r="30077">
      <c r="A30077" s="1" t="s">
        <v>30076</v>
      </c>
      <c r="B30077" s="2" t="str">
        <f>IFERROR(__xludf.DUMMYFUNCTION("GOOGLETRANSLATE(A30077, ""de"", ""en"")"),"green stuff")</f>
        <v>green stuff</v>
      </c>
    </row>
    <row r="30078">
      <c r="A30078" s="1" t="s">
        <v>30077</v>
      </c>
      <c r="B30078" s="2" t="str">
        <f>IFERROR(__xludf.DUMMYFUNCTION("GOOGLETRANSLATE(A30078, ""de"", ""en"")"),"store")</f>
        <v>store</v>
      </c>
    </row>
    <row r="30079">
      <c r="A30079" s="1" t="s">
        <v>30078</v>
      </c>
      <c r="B30079" s="2" t="str">
        <f>IFERROR(__xludf.DUMMYFUNCTION("GOOGLETRANSLATE(A30079, ""de"", ""en"")"),"team spirit")</f>
        <v>team spirit</v>
      </c>
    </row>
    <row r="30080">
      <c r="A30080" s="1" t="s">
        <v>30079</v>
      </c>
      <c r="B30080" s="2" t="str">
        <f>IFERROR(__xludf.DUMMYFUNCTION("GOOGLETRANSLATE(A30080, ""de"", ""en"")"),"locations")</f>
        <v>locations</v>
      </c>
    </row>
    <row r="30081">
      <c r="A30081" s="1" t="s">
        <v>30080</v>
      </c>
      <c r="B30081" s="2" t="str">
        <f>IFERROR(__xludf.DUMMYFUNCTION("GOOGLETRANSLATE(A30081, ""de"", ""en"")"),"stands")</f>
        <v>stands</v>
      </c>
    </row>
    <row r="30082">
      <c r="A30082" s="1" t="s">
        <v>30081</v>
      </c>
      <c r="B30082" s="2" t="str">
        <f>IFERROR(__xludf.DUMMYFUNCTION("GOOGLETRANSLATE(A30082, ""de"", ""en"")"),"rebel")</f>
        <v>rebel</v>
      </c>
    </row>
    <row r="30083">
      <c r="A30083" s="1" t="s">
        <v>30082</v>
      </c>
      <c r="B30083" s="2" t="str">
        <f>IFERROR(__xludf.DUMMYFUNCTION("GOOGLETRANSLATE(A30083, ""de"", ""en"")"),"northern")</f>
        <v>northern</v>
      </c>
    </row>
    <row r="30084">
      <c r="A30084" s="1" t="s">
        <v>30083</v>
      </c>
      <c r="B30084" s="2" t="str">
        <f>IFERROR(__xludf.DUMMYFUNCTION("GOOGLETRANSLATE(A30084, ""de"", ""en"")"),"laces")</f>
        <v>laces</v>
      </c>
    </row>
    <row r="30085">
      <c r="A30085" s="1" t="s">
        <v>30084</v>
      </c>
      <c r="B30085" s="2" t="str">
        <f>IFERROR(__xludf.DUMMYFUNCTION("GOOGLETRANSLATE(A30085, ""de"", ""en"")"),"French")</f>
        <v>French</v>
      </c>
    </row>
    <row r="30086">
      <c r="A30086" s="1" t="s">
        <v>30085</v>
      </c>
      <c r="B30086" s="2" t="str">
        <f>IFERROR(__xludf.DUMMYFUNCTION("GOOGLETRANSLATE(A30086, ""de"", ""en"")"),"comte")</f>
        <v>comte</v>
      </c>
    </row>
    <row r="30087">
      <c r="A30087" s="1" t="s">
        <v>30086</v>
      </c>
      <c r="B30087" s="2" t="str">
        <f>IFERROR(__xludf.DUMMYFUNCTION("GOOGLETRANSLATE(A30087, ""de"", ""en"")"),"stand straight")</f>
        <v>stand straight</v>
      </c>
    </row>
    <row r="30088">
      <c r="A30088" s="1" t="s">
        <v>30087</v>
      </c>
      <c r="B30088" s="2" t="str">
        <f>IFERROR(__xludf.DUMMYFUNCTION("GOOGLETRANSLATE(A30088, ""de"", ""en"")"),"auction")</f>
        <v>auction</v>
      </c>
    </row>
    <row r="30089">
      <c r="A30089" s="1" t="s">
        <v>30088</v>
      </c>
      <c r="B30089" s="2" t="str">
        <f>IFERROR(__xludf.DUMMYFUNCTION("GOOGLETRANSLATE(A30089, ""de"", ""en"")"),"dowd")</f>
        <v>dowd</v>
      </c>
    </row>
    <row r="30090">
      <c r="A30090" s="1" t="s">
        <v>30089</v>
      </c>
      <c r="B30090" s="2" t="str">
        <f>IFERROR(__xludf.DUMMYFUNCTION("GOOGLETRANSLATE(A30090, ""de"", ""en"")"),"Mexican")</f>
        <v>Mexican</v>
      </c>
    </row>
    <row r="30091">
      <c r="A30091" s="1" t="s">
        <v>30090</v>
      </c>
      <c r="B30091" s="2" t="str">
        <f>IFERROR(__xludf.DUMMYFUNCTION("GOOGLETRANSLATE(A30091, ""de"", ""en"")"),"trash")</f>
        <v>trash</v>
      </c>
    </row>
    <row r="30092">
      <c r="A30092" s="1" t="s">
        <v>30091</v>
      </c>
      <c r="B30092" s="2" t="str">
        <f>IFERROR(__xludf.DUMMYFUNCTION("GOOGLETRANSLATE(A30092, ""de"", ""en"")"),"kept away")</f>
        <v>kept away</v>
      </c>
    </row>
    <row r="30093">
      <c r="A30093" s="1" t="s">
        <v>30092</v>
      </c>
      <c r="B30093" s="2" t="str">
        <f>IFERROR(__xludf.DUMMYFUNCTION("GOOGLETRANSLATE(A30093, ""de"", ""en"")"),"high security wing")</f>
        <v>high security wing</v>
      </c>
    </row>
    <row r="30094">
      <c r="A30094" s="1" t="s">
        <v>30093</v>
      </c>
      <c r="B30094" s="2" t="str">
        <f>IFERROR(__xludf.DUMMYFUNCTION("GOOGLETRANSLATE(A30094, ""de"", ""en"")"),"billed")</f>
        <v>billed</v>
      </c>
    </row>
    <row r="30095">
      <c r="A30095" s="1" t="s">
        <v>30094</v>
      </c>
      <c r="B30095" s="2" t="str">
        <f>IFERROR(__xludf.DUMMYFUNCTION("GOOGLETRANSLATE(A30095, ""de"", ""en"")"),"exclamation")</f>
        <v>exclamation</v>
      </c>
    </row>
    <row r="30096">
      <c r="A30096" s="1" t="s">
        <v>30095</v>
      </c>
      <c r="B30096" s="2" t="str">
        <f>IFERROR(__xludf.DUMMYFUNCTION("GOOGLETRANSLATE(A30096, ""de"", ""en"")"),"excavation")</f>
        <v>excavation</v>
      </c>
    </row>
    <row r="30097">
      <c r="A30097" s="1" t="s">
        <v>30096</v>
      </c>
      <c r="B30097" s="2" t="str">
        <f>IFERROR(__xludf.DUMMYFUNCTION("GOOGLETRANSLATE(A30097, ""de"", ""en"")"),"spotted")</f>
        <v>spotted</v>
      </c>
    </row>
    <row r="30098">
      <c r="A30098" s="1" t="s">
        <v>30097</v>
      </c>
      <c r="B30098" s="2" t="str">
        <f>IFERROR(__xludf.DUMMYFUNCTION("GOOGLETRANSLATE(A30098, ""de"", ""en"")"),"treasurer")</f>
        <v>treasurer</v>
      </c>
    </row>
    <row r="30099">
      <c r="A30099" s="1" t="s">
        <v>30098</v>
      </c>
      <c r="B30099" s="2" t="str">
        <f>IFERROR(__xludf.DUMMYFUNCTION("GOOGLETRANSLATE(A30099, ""de"", ""en"")"),"commands")</f>
        <v>commands</v>
      </c>
    </row>
    <row r="30100">
      <c r="A30100" s="1" t="s">
        <v>30099</v>
      </c>
      <c r="B30100" s="2" t="str">
        <f>IFERROR(__xludf.DUMMYFUNCTION("GOOGLETRANSLATE(A30100, ""de"", ""en"")"),"industrial")</f>
        <v>industrial</v>
      </c>
    </row>
    <row r="30101">
      <c r="A30101" s="1" t="s">
        <v>30100</v>
      </c>
      <c r="B30101" s="2" t="str">
        <f>IFERROR(__xludf.DUMMYFUNCTION("GOOGLETRANSLATE(A30101, ""de"", ""en"")"),"adversary")</f>
        <v>adversary</v>
      </c>
    </row>
    <row r="30102">
      <c r="A30102" s="1" t="s">
        <v>30101</v>
      </c>
      <c r="B30102" s="2" t="str">
        <f>IFERROR(__xludf.DUMMYFUNCTION("GOOGLETRANSLATE(A30102, ""de"", ""en"")"),"suck out")</f>
        <v>suck out</v>
      </c>
    </row>
    <row r="30103">
      <c r="A30103" s="1" t="s">
        <v>30102</v>
      </c>
      <c r="B30103" s="2" t="str">
        <f>IFERROR(__xludf.DUMMYFUNCTION("GOOGLETRANSLATE(A30103, ""de"", ""en"")"),"jia")</f>
        <v>jia</v>
      </c>
    </row>
    <row r="30104">
      <c r="A30104" s="1" t="s">
        <v>30103</v>
      </c>
      <c r="B30104" s="2" t="str">
        <f>IFERROR(__xludf.DUMMYFUNCTION("GOOGLETRANSLATE(A30104, ""de"", ""en"")"),"slick")</f>
        <v>slick</v>
      </c>
    </row>
    <row r="30105">
      <c r="A30105" s="1" t="s">
        <v>30104</v>
      </c>
      <c r="B30105" s="2" t="str">
        <f>IFERROR(__xludf.DUMMYFUNCTION("GOOGLETRANSLATE(A30105, ""de"", ""en"")"),"to put together")</f>
        <v>to put together</v>
      </c>
    </row>
    <row r="30106">
      <c r="A30106" s="1" t="s">
        <v>30105</v>
      </c>
      <c r="B30106" s="2" t="str">
        <f>IFERROR(__xludf.DUMMYFUNCTION("GOOGLETRANSLATE(A30106, ""de"", ""en"")"),"race")</f>
        <v>race</v>
      </c>
    </row>
    <row r="30107">
      <c r="A30107" s="1" t="s">
        <v>30106</v>
      </c>
      <c r="B30107" s="2" t="str">
        <f>IFERROR(__xludf.DUMMYFUNCTION("GOOGLETRANSLATE(A30107, ""de"", ""en"")"),"hickey")</f>
        <v>hickey</v>
      </c>
    </row>
    <row r="30108">
      <c r="A30108" s="1" t="s">
        <v>30107</v>
      </c>
      <c r="B30108" s="2" t="str">
        <f>IFERROR(__xludf.DUMMYFUNCTION("GOOGLETRANSLATE(A30108, ""de"", ""en"")"),"paragraph")</f>
        <v>paragraph</v>
      </c>
    </row>
    <row r="30109">
      <c r="A30109" s="1" t="s">
        <v>30108</v>
      </c>
      <c r="B30109" s="2" t="str">
        <f>IFERROR(__xludf.DUMMYFUNCTION("GOOGLETRANSLATE(A30109, ""de"", ""en"")"),"reset")</f>
        <v>reset</v>
      </c>
    </row>
    <row r="30110">
      <c r="A30110" s="1" t="s">
        <v>30109</v>
      </c>
      <c r="B30110" s="2" t="str">
        <f>IFERROR(__xludf.DUMMYFUNCTION("GOOGLETRANSLATE(A30110, ""de"", ""en"")"),"reproduce")</f>
        <v>reproduce</v>
      </c>
    </row>
    <row r="30111">
      <c r="A30111" s="1" t="s">
        <v>30110</v>
      </c>
      <c r="B30111" s="2" t="str">
        <f>IFERROR(__xludf.DUMMYFUNCTION("GOOGLETRANSLATE(A30111, ""de"", ""en"")"),"illuminated")</f>
        <v>illuminated</v>
      </c>
    </row>
    <row r="30112">
      <c r="A30112" s="1" t="s">
        <v>30111</v>
      </c>
      <c r="B30112" s="2" t="str">
        <f>IFERROR(__xludf.DUMMYFUNCTION("GOOGLETRANSLATE(A30112, ""de"", ""en"")"),"prosthesis")</f>
        <v>prosthesis</v>
      </c>
    </row>
    <row r="30113">
      <c r="A30113" s="1" t="s">
        <v>30112</v>
      </c>
      <c r="B30113" s="2" t="str">
        <f>IFERROR(__xludf.DUMMYFUNCTION("GOOGLETRANSLATE(A30113, ""de"", ""en"")"),"tenoch")</f>
        <v>tenoch</v>
      </c>
    </row>
    <row r="30114">
      <c r="A30114" s="1" t="s">
        <v>30113</v>
      </c>
      <c r="B30114" s="2" t="str">
        <f>IFERROR(__xludf.DUMMYFUNCTION("GOOGLETRANSLATE(A30114, ""de"", ""en"")"),"fullest")</f>
        <v>fullest</v>
      </c>
    </row>
    <row r="30115">
      <c r="A30115" s="1" t="s">
        <v>30114</v>
      </c>
      <c r="B30115" s="2" t="str">
        <f>IFERROR(__xludf.DUMMYFUNCTION("GOOGLETRANSLATE(A30115, ""de"", ""en"")"),"Aries")</f>
        <v>Aries</v>
      </c>
    </row>
    <row r="30116">
      <c r="A30116" s="1" t="s">
        <v>30115</v>
      </c>
      <c r="B30116" s="2" t="str">
        <f>IFERROR(__xludf.DUMMYFUNCTION("GOOGLETRANSLATE(A30116, ""de"", ""en"")"),"sayings")</f>
        <v>sayings</v>
      </c>
    </row>
    <row r="30117">
      <c r="A30117" s="1" t="s">
        <v>30116</v>
      </c>
      <c r="B30117" s="2" t="str">
        <f>IFERROR(__xludf.DUMMYFUNCTION("GOOGLETRANSLATE(A30117, ""de"", ""en"")"),"prison director")</f>
        <v>prison director</v>
      </c>
    </row>
    <row r="30118">
      <c r="A30118" s="1" t="s">
        <v>30117</v>
      </c>
      <c r="B30118" s="2" t="str">
        <f>IFERROR(__xludf.DUMMYFUNCTION("GOOGLETRANSLATE(A30118, ""de"", ""en"")"),"bluffed")</f>
        <v>bluffed</v>
      </c>
    </row>
    <row r="30119">
      <c r="A30119" s="1" t="s">
        <v>30118</v>
      </c>
      <c r="B30119" s="2" t="str">
        <f>IFERROR(__xludf.DUMMYFUNCTION("GOOGLETRANSLATE(A30119, ""de"", ""en"")"),"construction company")</f>
        <v>construction company</v>
      </c>
    </row>
    <row r="30120">
      <c r="A30120" s="1" t="s">
        <v>30119</v>
      </c>
      <c r="B30120" s="2" t="str">
        <f>IFERROR(__xludf.DUMMYFUNCTION("GOOGLETRANSLATE(A30120, ""de"", ""en"")"),"repelled")</f>
        <v>repelled</v>
      </c>
    </row>
    <row r="30121">
      <c r="A30121" s="1" t="s">
        <v>30120</v>
      </c>
      <c r="B30121" s="2" t="str">
        <f>IFERROR(__xludf.DUMMYFUNCTION("GOOGLETRANSLATE(A30121, ""de"", ""en"")"),"approach")</f>
        <v>approach</v>
      </c>
    </row>
    <row r="30122">
      <c r="A30122" s="1" t="s">
        <v>30121</v>
      </c>
      <c r="B30122" s="2" t="str">
        <f>IFERROR(__xludf.DUMMYFUNCTION("GOOGLETRANSLATE(A30122, ""de"", ""en"")"),"suffocate")</f>
        <v>suffocate</v>
      </c>
    </row>
    <row r="30123">
      <c r="A30123" s="1" t="s">
        <v>30122</v>
      </c>
      <c r="B30123" s="2" t="str">
        <f>IFERROR(__xludf.DUMMYFUNCTION("GOOGLETRANSLATE(A30123, ""de"", ""en"")"),"prayed")</f>
        <v>prayed</v>
      </c>
    </row>
    <row r="30124">
      <c r="A30124" s="1" t="s">
        <v>30123</v>
      </c>
      <c r="B30124" s="2" t="str">
        <f>IFERROR(__xludf.DUMMYFUNCTION("GOOGLETRANSLATE(A30124, ""de"", ""en"")"),"20s")</f>
        <v>20s</v>
      </c>
    </row>
    <row r="30125">
      <c r="A30125" s="1" t="s">
        <v>30124</v>
      </c>
      <c r="B30125" s="2" t="str">
        <f>IFERROR(__xludf.DUMMYFUNCTION("GOOGLETRANSLATE(A30125, ""de"", ""en"")"),"tahoe")</f>
        <v>tahoe</v>
      </c>
    </row>
    <row r="30126">
      <c r="A30126" s="1" t="s">
        <v>30125</v>
      </c>
      <c r="B30126" s="2" t="str">
        <f>IFERROR(__xludf.DUMMYFUNCTION("GOOGLETRANSLATE(A30126, ""de"", ""en"")"),"love nest")</f>
        <v>love nest</v>
      </c>
    </row>
    <row r="30127">
      <c r="A30127" s="1" t="s">
        <v>30126</v>
      </c>
      <c r="B30127" s="2" t="str">
        <f>IFERROR(__xludf.DUMMYFUNCTION("GOOGLETRANSLATE(A30127, ""de"", ""en"")"),"nitro")</f>
        <v>nitro</v>
      </c>
    </row>
    <row r="30128">
      <c r="A30128" s="1" t="s">
        <v>30127</v>
      </c>
      <c r="B30128" s="2" t="str">
        <f>IFERROR(__xludf.DUMMYFUNCTION("GOOGLETRANSLATE(A30128, ""de"", ""en"")"),"carelessness")</f>
        <v>carelessness</v>
      </c>
    </row>
    <row r="30129">
      <c r="A30129" s="1" t="s">
        <v>30128</v>
      </c>
      <c r="B30129" s="2" t="str">
        <f>IFERROR(__xludf.DUMMYFUNCTION("GOOGLETRANSLATE(A30129, ""de"", ""en"")"),"plankton")</f>
        <v>plankton</v>
      </c>
    </row>
    <row r="30130">
      <c r="A30130" s="1" t="s">
        <v>30129</v>
      </c>
      <c r="B30130" s="2" t="str">
        <f>IFERROR(__xludf.DUMMYFUNCTION("GOOGLETRANSLATE(A30130, ""de"", ""en"")"),"gentle")</f>
        <v>gentle</v>
      </c>
    </row>
    <row r="30131">
      <c r="A30131" s="1" t="s">
        <v>30130</v>
      </c>
      <c r="B30131" s="2" t="str">
        <f>IFERROR(__xludf.DUMMYFUNCTION("GOOGLETRANSLATE(A30131, ""de"", ""en"")"),"whisper")</f>
        <v>whisper</v>
      </c>
    </row>
    <row r="30132">
      <c r="A30132" s="1" t="s">
        <v>30131</v>
      </c>
      <c r="B30132" s="2" t="str">
        <f>IFERROR(__xludf.DUMMYFUNCTION("GOOGLETRANSLATE(A30132, ""de"", ""en"")"),"shui")</f>
        <v>shui</v>
      </c>
    </row>
    <row r="30133">
      <c r="A30133" s="1" t="s">
        <v>30132</v>
      </c>
      <c r="B30133" s="2" t="str">
        <f>IFERROR(__xludf.DUMMYFUNCTION("GOOGLETRANSLATE(A30133, ""de"", ""en"")"),"alexei")</f>
        <v>alexei</v>
      </c>
    </row>
    <row r="30134">
      <c r="A30134" s="1" t="s">
        <v>30133</v>
      </c>
      <c r="B30134" s="2" t="str">
        <f>IFERROR(__xludf.DUMMYFUNCTION("GOOGLETRANSLATE(A30134, ""de"", ""en"")"),"collapse")</f>
        <v>collapse</v>
      </c>
    </row>
    <row r="30135">
      <c r="A30135" s="1" t="s">
        <v>30134</v>
      </c>
      <c r="B30135" s="2" t="str">
        <f>IFERROR(__xludf.DUMMYFUNCTION("GOOGLETRANSLATE(A30135, ""de"", ""en"")"),"tada")</f>
        <v>tada</v>
      </c>
    </row>
    <row r="30136">
      <c r="A30136" s="1" t="s">
        <v>30135</v>
      </c>
      <c r="B30136" s="2" t="str">
        <f>IFERROR(__xludf.DUMMYFUNCTION("GOOGLETRANSLATE(A30136, ""de"", ""en"")"),"millennia")</f>
        <v>millennia</v>
      </c>
    </row>
    <row r="30137">
      <c r="A30137" s="1" t="s">
        <v>30136</v>
      </c>
      <c r="B30137" s="2" t="str">
        <f>IFERROR(__xludf.DUMMYFUNCTION("GOOGLETRANSLATE(A30137, ""de"", ""en"")"),"progress")</f>
        <v>progress</v>
      </c>
    </row>
    <row r="30138">
      <c r="A30138" s="1" t="s">
        <v>30137</v>
      </c>
      <c r="B30138" s="2" t="str">
        <f>IFERROR(__xludf.DUMMYFUNCTION("GOOGLETRANSLATE(A30138, ""de"", ""en"")"),"digested")</f>
        <v>digested</v>
      </c>
    </row>
    <row r="30139">
      <c r="A30139" s="1" t="s">
        <v>30138</v>
      </c>
      <c r="B30139" s="2" t="str">
        <f>IFERROR(__xludf.DUMMYFUNCTION("GOOGLETRANSLATE(A30139, ""de"", ""en"")"),"celebrity")</f>
        <v>celebrity</v>
      </c>
    </row>
    <row r="30140">
      <c r="A30140" s="1" t="s">
        <v>30139</v>
      </c>
      <c r="B30140" s="2" t="str">
        <f>IFERROR(__xludf.DUMMYFUNCTION("GOOGLETRANSLATE(A30140, ""de"", ""en"")"),"starving")</f>
        <v>starving</v>
      </c>
    </row>
    <row r="30141">
      <c r="A30141" s="1" t="s">
        <v>30140</v>
      </c>
      <c r="B30141" s="2" t="str">
        <f>IFERROR(__xludf.DUMMYFUNCTION("GOOGLETRANSLATE(A30141, ""de"", ""en"")"),"scented")</f>
        <v>scented</v>
      </c>
    </row>
    <row r="30142">
      <c r="A30142" s="1" t="s">
        <v>30141</v>
      </c>
      <c r="B30142" s="2" t="str">
        <f>IFERROR(__xludf.DUMMYFUNCTION("GOOGLETRANSLATE(A30142, ""de"", ""en"")"),"monas")</f>
        <v>monas</v>
      </c>
    </row>
    <row r="30143">
      <c r="A30143" s="1" t="s">
        <v>30142</v>
      </c>
      <c r="B30143" s="2" t="str">
        <f>IFERROR(__xludf.DUMMYFUNCTION("GOOGLETRANSLATE(A30143, ""de"", ""en"")"),"wormwood")</f>
        <v>wormwood</v>
      </c>
    </row>
    <row r="30144">
      <c r="A30144" s="1" t="s">
        <v>30143</v>
      </c>
      <c r="B30144" s="2" t="str">
        <f>IFERROR(__xludf.DUMMYFUNCTION("GOOGLETRANSLATE(A30144, ""de"", ""en"")"),"car wash")</f>
        <v>car wash</v>
      </c>
    </row>
    <row r="30145">
      <c r="A30145" s="1" t="s">
        <v>30144</v>
      </c>
      <c r="B30145" s="2" t="str">
        <f>IFERROR(__xludf.DUMMYFUNCTION("GOOGLETRANSLATE(A30145, ""de"", ""en"")"),"farnese")</f>
        <v>farnese</v>
      </c>
    </row>
    <row r="30146">
      <c r="A30146" s="1" t="s">
        <v>30145</v>
      </c>
      <c r="B30146" s="2" t="str">
        <f>IFERROR(__xludf.DUMMYFUNCTION("GOOGLETRANSLATE(A30146, ""de"", ""en"")"),"gave")</f>
        <v>gave</v>
      </c>
    </row>
    <row r="30147">
      <c r="A30147" s="1" t="s">
        <v>30146</v>
      </c>
      <c r="B30147" s="2" t="str">
        <f>IFERROR(__xludf.DUMMYFUNCTION("GOOGLETRANSLATE(A30147, ""de"", ""en"")"),"egos")</f>
        <v>egos</v>
      </c>
    </row>
    <row r="30148">
      <c r="A30148" s="1" t="s">
        <v>30147</v>
      </c>
      <c r="B30148" s="2" t="str">
        <f>IFERROR(__xludf.DUMMYFUNCTION("GOOGLETRANSLATE(A30148, ""de"", ""en"")"),"striker")</f>
        <v>striker</v>
      </c>
    </row>
    <row r="30149">
      <c r="A30149" s="1" t="s">
        <v>30148</v>
      </c>
      <c r="B30149" s="2" t="str">
        <f>IFERROR(__xludf.DUMMYFUNCTION("GOOGLETRANSLATE(A30149, ""de"", ""en"")"),"medium size")</f>
        <v>medium size</v>
      </c>
    </row>
    <row r="30150">
      <c r="A30150" s="1" t="s">
        <v>30149</v>
      </c>
      <c r="B30150" s="2" t="str">
        <f>IFERROR(__xludf.DUMMYFUNCTION("GOOGLETRANSLATE(A30150, ""de"", ""en"")"),"margareta")</f>
        <v>margareta</v>
      </c>
    </row>
    <row r="30151">
      <c r="A30151" s="1" t="s">
        <v>30150</v>
      </c>
      <c r="B30151" s="2" t="str">
        <f>IFERROR(__xludf.DUMMYFUNCTION("GOOGLETRANSLATE(A30151, ""de"", ""en"")"),"more thorough")</f>
        <v>more thorough</v>
      </c>
    </row>
    <row r="30152">
      <c r="A30152" s="1" t="s">
        <v>30151</v>
      </c>
      <c r="B30152" s="2" t="str">
        <f>IFERROR(__xludf.DUMMYFUNCTION("GOOGLETRANSLATE(A30152, ""de"", ""en"")"),"contradictions")</f>
        <v>contradictions</v>
      </c>
    </row>
    <row r="30153">
      <c r="A30153" s="1" t="s">
        <v>30152</v>
      </c>
      <c r="B30153" s="2" t="str">
        <f>IFERROR(__xludf.DUMMYFUNCTION("GOOGLETRANSLATE(A30153, ""de"", ""en"")"),"to hold together")</f>
        <v>to hold together</v>
      </c>
    </row>
    <row r="30154">
      <c r="A30154" s="1" t="s">
        <v>30153</v>
      </c>
      <c r="B30154" s="2" t="str">
        <f>IFERROR(__xludf.DUMMYFUNCTION("GOOGLETRANSLATE(A30154, ""de"", ""en"")"),"shopping cart")</f>
        <v>shopping cart</v>
      </c>
    </row>
    <row r="30155">
      <c r="A30155" s="1" t="s">
        <v>30154</v>
      </c>
      <c r="B30155" s="2" t="str">
        <f>IFERROR(__xludf.DUMMYFUNCTION("GOOGLETRANSLATE(A30155, ""de"", ""en"")"),"coupled up")</f>
        <v>coupled up</v>
      </c>
    </row>
    <row r="30156">
      <c r="A30156" s="1" t="s">
        <v>30155</v>
      </c>
      <c r="B30156" s="2" t="str">
        <f>IFERROR(__xludf.DUMMYFUNCTION("GOOGLETRANSLATE(A30156, ""de"", ""en"")"),"remarkable")</f>
        <v>remarkable</v>
      </c>
    </row>
    <row r="30157">
      <c r="A30157" s="1" t="s">
        <v>30156</v>
      </c>
      <c r="B30157" s="2" t="str">
        <f>IFERROR(__xludf.DUMMYFUNCTION("GOOGLETRANSLATE(A30157, ""de"", ""en"")"),"executed")</f>
        <v>executed</v>
      </c>
    </row>
    <row r="30158">
      <c r="A30158" s="1" t="s">
        <v>30157</v>
      </c>
      <c r="B30158" s="2" t="str">
        <f>IFERROR(__xludf.DUMMYFUNCTION("GOOGLETRANSLATE(A30158, ""de"", ""en"")"),"were valid")</f>
        <v>were valid</v>
      </c>
    </row>
    <row r="30159">
      <c r="A30159" s="1" t="s">
        <v>30158</v>
      </c>
      <c r="B30159" s="2" t="str">
        <f>IFERROR(__xludf.DUMMYFUNCTION("GOOGLETRANSLATE(A30159, ""de"", ""en"")"),"sanford")</f>
        <v>sanford</v>
      </c>
    </row>
    <row r="30160">
      <c r="A30160" s="1" t="s">
        <v>30159</v>
      </c>
      <c r="B30160" s="2" t="str">
        <f>IFERROR(__xludf.DUMMYFUNCTION("GOOGLETRANSLATE(A30160, ""de"", ""en"")"),"embezzlement")</f>
        <v>embezzlement</v>
      </c>
    </row>
    <row r="30161">
      <c r="A30161" s="1" t="s">
        <v>30160</v>
      </c>
      <c r="B30161" s="2" t="str">
        <f>IFERROR(__xludf.DUMMYFUNCTION("GOOGLETRANSLATE(A30161, ""de"", ""en"")"),"shrill")</f>
        <v>shrill</v>
      </c>
    </row>
    <row r="30162">
      <c r="A30162" s="1" t="s">
        <v>30161</v>
      </c>
      <c r="B30162" s="2" t="str">
        <f>IFERROR(__xludf.DUMMYFUNCTION("GOOGLETRANSLATE(A30162, ""de"", ""en"")"),"radioactive")</f>
        <v>radioactive</v>
      </c>
    </row>
    <row r="30163">
      <c r="A30163" s="1" t="s">
        <v>30162</v>
      </c>
      <c r="B30163" s="2" t="str">
        <f>IFERROR(__xludf.DUMMYFUNCTION("GOOGLETRANSLATE(A30163, ""de"", ""en"")"),"telephone bill")</f>
        <v>telephone bill</v>
      </c>
    </row>
    <row r="30164">
      <c r="A30164" s="1" t="s">
        <v>30163</v>
      </c>
      <c r="B30164" s="2" t="str">
        <f>IFERROR(__xludf.DUMMYFUNCTION("GOOGLETRANSLATE(A30164, ""de"", ""en"")"),"asbestos")</f>
        <v>asbestos</v>
      </c>
    </row>
    <row r="30165">
      <c r="A30165" s="1" t="s">
        <v>30164</v>
      </c>
      <c r="B30165" s="2" t="str">
        <f>IFERROR(__xludf.DUMMYFUNCTION("GOOGLETRANSLATE(A30165, ""de"", ""en"")"),"victors")</f>
        <v>victors</v>
      </c>
    </row>
    <row r="30166">
      <c r="A30166" s="1" t="s">
        <v>30165</v>
      </c>
      <c r="B30166" s="2" t="str">
        <f>IFERROR(__xludf.DUMMYFUNCTION("GOOGLETRANSLATE(A30166, ""de"", ""en"")"),"refusal")</f>
        <v>refusal</v>
      </c>
    </row>
    <row r="30167">
      <c r="A30167" s="1" t="s">
        <v>30166</v>
      </c>
      <c r="B30167" s="2" t="str">
        <f>IFERROR(__xludf.DUMMYFUNCTION("GOOGLETRANSLATE(A30167, ""de"", ""en"")"),"gorgeous guy")</f>
        <v>gorgeous guy</v>
      </c>
    </row>
    <row r="30168">
      <c r="A30168" s="1" t="s">
        <v>30167</v>
      </c>
      <c r="B30168" s="2" t="str">
        <f>IFERROR(__xludf.DUMMYFUNCTION("GOOGLETRANSLATE(A30168, ""de"", ""en"")"),"sent")</f>
        <v>sent</v>
      </c>
    </row>
    <row r="30169">
      <c r="A30169" s="1" t="s">
        <v>30168</v>
      </c>
      <c r="B30169" s="2" t="str">
        <f>IFERROR(__xludf.DUMMYFUNCTION("GOOGLETRANSLATE(A30169, ""de"", ""en"")"),"run after")</f>
        <v>run after</v>
      </c>
    </row>
    <row r="30170">
      <c r="A30170" s="1" t="s">
        <v>30169</v>
      </c>
      <c r="B30170" s="2" t="str">
        <f>IFERROR(__xludf.DUMMYFUNCTION("GOOGLETRANSLATE(A30170, ""de"", ""en"")"),"overheated")</f>
        <v>overheated</v>
      </c>
    </row>
    <row r="30171">
      <c r="A30171" s="1" t="s">
        <v>30170</v>
      </c>
      <c r="B30171" s="2" t="str">
        <f>IFERROR(__xludf.DUMMYFUNCTION("GOOGLETRANSLATE(A30171, ""de"", ""en"")"),"hari")</f>
        <v>hari</v>
      </c>
    </row>
    <row r="30172">
      <c r="A30172" s="1" t="s">
        <v>30171</v>
      </c>
      <c r="B30172" s="2" t="str">
        <f>IFERROR(__xludf.DUMMYFUNCTION("GOOGLETRANSLATE(A30172, ""de"", ""en"")"),"postponed")</f>
        <v>postponed</v>
      </c>
    </row>
    <row r="30173">
      <c r="A30173" s="1" t="s">
        <v>30172</v>
      </c>
      <c r="B30173" s="2" t="str">
        <f>IFERROR(__xludf.DUMMYFUNCTION("GOOGLETRANSLATE(A30173, ""de"", ""en"")"),"pleases")</f>
        <v>pleases</v>
      </c>
    </row>
    <row r="30174">
      <c r="A30174" s="1" t="s">
        <v>30173</v>
      </c>
      <c r="B30174" s="2" t="str">
        <f>IFERROR(__xludf.DUMMYFUNCTION("GOOGLETRANSLATE(A30174, ""de"", ""en"")"),"swear words")</f>
        <v>swear words</v>
      </c>
    </row>
    <row r="30175">
      <c r="A30175" s="1" t="s">
        <v>30174</v>
      </c>
      <c r="B30175" s="2" t="str">
        <f>IFERROR(__xludf.DUMMYFUNCTION("GOOGLETRANSLATE(A30175, ""de"", ""en"")"),"capital crime")</f>
        <v>capital crime</v>
      </c>
    </row>
    <row r="30176">
      <c r="A30176" s="1" t="s">
        <v>30175</v>
      </c>
      <c r="B30176" s="2" t="str">
        <f>IFERROR(__xludf.DUMMYFUNCTION("GOOGLETRANSLATE(A30176, ""de"", ""en"")"),"blown up")</f>
        <v>blown up</v>
      </c>
    </row>
    <row r="30177">
      <c r="A30177" s="1" t="s">
        <v>30176</v>
      </c>
      <c r="B30177" s="2" t="str">
        <f>IFERROR(__xludf.DUMMYFUNCTION("GOOGLETRANSLATE(A30177, ""de"", ""en"")"),"shaman")</f>
        <v>shaman</v>
      </c>
    </row>
    <row r="30178">
      <c r="A30178" s="1" t="s">
        <v>30177</v>
      </c>
      <c r="B30178" s="2" t="str">
        <f>IFERROR(__xludf.DUMMYFUNCTION("GOOGLETRANSLATE(A30178, ""de"", ""en"")"),"saved")</f>
        <v>saved</v>
      </c>
    </row>
    <row r="30179">
      <c r="A30179" s="1" t="s">
        <v>30178</v>
      </c>
      <c r="B30179" s="2" t="str">
        <f>IFERROR(__xludf.DUMMYFUNCTION("GOOGLETRANSLATE(A30179, ""de"", ""en"")"),"fragments")</f>
        <v>fragments</v>
      </c>
    </row>
    <row r="30180">
      <c r="A30180" s="1" t="s">
        <v>30179</v>
      </c>
      <c r="B30180" s="2" t="str">
        <f>IFERROR(__xludf.DUMMYFUNCTION("GOOGLETRANSLATE(A30180, ""de"", ""en"")"),"lilac")</f>
        <v>lilac</v>
      </c>
    </row>
    <row r="30181">
      <c r="A30181" s="1" t="s">
        <v>30180</v>
      </c>
      <c r="B30181" s="2" t="str">
        <f>IFERROR(__xludf.DUMMYFUNCTION("GOOGLETRANSLATE(A30181, ""de"", ""en"")"),"inspired")</f>
        <v>inspired</v>
      </c>
    </row>
    <row r="30182">
      <c r="A30182" s="1" t="s">
        <v>30181</v>
      </c>
      <c r="B30182" s="2" t="str">
        <f>IFERROR(__xludf.DUMMYFUNCTION("GOOGLETRANSLATE(A30182, ""de"", ""en"")"),"relax")</f>
        <v>relax</v>
      </c>
    </row>
    <row r="30183">
      <c r="A30183" s="1" t="s">
        <v>30182</v>
      </c>
      <c r="B30183" s="2" t="str">
        <f>IFERROR(__xludf.DUMMYFUNCTION("GOOGLETRANSLATE(A30183, ""de"", ""en"")"),"nozzles")</f>
        <v>nozzles</v>
      </c>
    </row>
    <row r="30184">
      <c r="A30184" s="1" t="s">
        <v>30183</v>
      </c>
      <c r="B30184" s="2" t="str">
        <f>IFERROR(__xludf.DUMMYFUNCTION("GOOGLETRANSLATE(A30184, ""de"", ""en"")"),"rammed")</f>
        <v>rammed</v>
      </c>
    </row>
    <row r="30185">
      <c r="A30185" s="1" t="s">
        <v>30184</v>
      </c>
      <c r="B30185" s="2" t="str">
        <f>IFERROR(__xludf.DUMMYFUNCTION("GOOGLETRANSLATE(A30185, ""de"", ""en"")"),"steppe")</f>
        <v>steppe</v>
      </c>
    </row>
    <row r="30186">
      <c r="A30186" s="1" t="s">
        <v>30185</v>
      </c>
      <c r="B30186" s="2" t="str">
        <f>IFERROR(__xludf.DUMMYFUNCTION("GOOGLETRANSLATE(A30186, ""de"", ""en"")"),"unreasonable")</f>
        <v>unreasonable</v>
      </c>
    </row>
    <row r="30187">
      <c r="A30187" s="1" t="s">
        <v>30186</v>
      </c>
      <c r="B30187" s="2" t="str">
        <f>IFERROR(__xludf.DUMMYFUNCTION("GOOGLETRANSLATE(A30187, ""de"", ""en"")"),"Gunter")</f>
        <v>Gunter</v>
      </c>
    </row>
    <row r="30188">
      <c r="A30188" s="1" t="s">
        <v>30187</v>
      </c>
      <c r="B30188" s="2" t="str">
        <f>IFERROR(__xludf.DUMMYFUNCTION("GOOGLETRANSLATE(A30188, ""de"", ""en"")"),"clip")</f>
        <v>clip</v>
      </c>
    </row>
    <row r="30189">
      <c r="A30189" s="1" t="s">
        <v>30188</v>
      </c>
      <c r="B30189" s="2" t="str">
        <f>IFERROR(__xludf.DUMMYFUNCTION("GOOGLETRANSLATE(A30189, ""de"", ""en"")"),"tennis court")</f>
        <v>tennis court</v>
      </c>
    </row>
    <row r="30190">
      <c r="A30190" s="1" t="s">
        <v>30189</v>
      </c>
      <c r="B30190" s="2" t="str">
        <f>IFERROR(__xludf.DUMMYFUNCTION("GOOGLETRANSLATE(A30190, ""de"", ""en"")"),"comes over")</f>
        <v>comes over</v>
      </c>
    </row>
    <row r="30191">
      <c r="A30191" s="1" t="s">
        <v>30190</v>
      </c>
      <c r="B30191" s="2" t="str">
        <f>IFERROR(__xludf.DUMMYFUNCTION("GOOGLETRANSLATE(A30191, ""de"", ""en"")"),"allowed")</f>
        <v>allowed</v>
      </c>
    </row>
    <row r="30192">
      <c r="A30192" s="1" t="s">
        <v>30191</v>
      </c>
      <c r="B30192" s="2" t="str">
        <f>IFERROR(__xludf.DUMMYFUNCTION("GOOGLETRANSLATE(A30192, ""de"", ""en"")"),"controlled")</f>
        <v>controlled</v>
      </c>
    </row>
    <row r="30193">
      <c r="A30193" s="1" t="s">
        <v>30192</v>
      </c>
      <c r="B30193" s="2" t="str">
        <f>IFERROR(__xludf.DUMMYFUNCTION("GOOGLETRANSLATE(A30193, ""de"", ""en"")"),"beds")</f>
        <v>beds</v>
      </c>
    </row>
    <row r="30194">
      <c r="A30194" s="1" t="s">
        <v>30193</v>
      </c>
      <c r="B30194" s="2" t="str">
        <f>IFERROR(__xludf.DUMMYFUNCTION("GOOGLETRANSLATE(A30194, ""de"", ""en"")"),"enemy")</f>
        <v>enemy</v>
      </c>
    </row>
    <row r="30195">
      <c r="A30195" s="1" t="s">
        <v>30194</v>
      </c>
      <c r="B30195" s="2" t="str">
        <f>IFERROR(__xludf.DUMMYFUNCTION("GOOGLETRANSLATE(A30195, ""de"", ""en"")"),"darkroom")</f>
        <v>darkroom</v>
      </c>
    </row>
    <row r="30196">
      <c r="A30196" s="1" t="s">
        <v>30195</v>
      </c>
      <c r="B30196" s="2" t="str">
        <f>IFERROR(__xludf.DUMMYFUNCTION("GOOGLETRANSLATE(A30196, ""de"", ""en"")"),"anarchists")</f>
        <v>anarchists</v>
      </c>
    </row>
    <row r="30197">
      <c r="A30197" s="1" t="s">
        <v>30196</v>
      </c>
      <c r="B30197" s="2" t="str">
        <f>IFERROR(__xludf.DUMMYFUNCTION("GOOGLETRANSLATE(A30197, ""de"", ""en"")"),"jump")</f>
        <v>jump</v>
      </c>
    </row>
    <row r="30198">
      <c r="A30198" s="1" t="s">
        <v>30197</v>
      </c>
      <c r="B30198" s="2" t="str">
        <f>IFERROR(__xludf.DUMMYFUNCTION("GOOGLETRANSLATE(A30198, ""de"", ""en"")"),"telepathic")</f>
        <v>telepathic</v>
      </c>
    </row>
    <row r="30199">
      <c r="A30199" s="1" t="s">
        <v>30198</v>
      </c>
      <c r="B30199" s="2" t="str">
        <f>IFERROR(__xludf.DUMMYFUNCTION("GOOGLETRANSLATE(A30199, ""de"", ""en"")"),"intubate")</f>
        <v>intubate</v>
      </c>
    </row>
    <row r="30200">
      <c r="A30200" s="1" t="s">
        <v>30199</v>
      </c>
      <c r="B30200" s="2" t="str">
        <f>IFERROR(__xludf.DUMMYFUNCTION("GOOGLETRANSLATE(A30200, ""de"", ""en"")"),"bring across")</f>
        <v>bring across</v>
      </c>
    </row>
    <row r="30201">
      <c r="A30201" s="1" t="s">
        <v>30200</v>
      </c>
      <c r="B30201" s="2" t="str">
        <f>IFERROR(__xludf.DUMMYFUNCTION("GOOGLETRANSLATE(A30201, ""de"", ""en"")"),"libido")</f>
        <v>libido</v>
      </c>
    </row>
    <row r="30202">
      <c r="A30202" s="1" t="s">
        <v>30201</v>
      </c>
      <c r="B30202" s="2" t="str">
        <f>IFERROR(__xludf.DUMMYFUNCTION("GOOGLETRANSLATE(A30202, ""de"", ""en"")"),"educated")</f>
        <v>educated</v>
      </c>
    </row>
    <row r="30203">
      <c r="A30203" s="1" t="s">
        <v>30202</v>
      </c>
      <c r="B30203" s="2" t="str">
        <f>IFERROR(__xludf.DUMMYFUNCTION("GOOGLETRANSLATE(A30203, ""de"", ""en"")"),"hankmed")</f>
        <v>hankmed</v>
      </c>
    </row>
    <row r="30204">
      <c r="A30204" s="1" t="s">
        <v>30203</v>
      </c>
      <c r="B30204" s="2" t="str">
        <f>IFERROR(__xludf.DUMMYFUNCTION("GOOGLETRANSLATE(A30204, ""de"", ""en"")"),"weekly")</f>
        <v>weekly</v>
      </c>
    </row>
    <row r="30205">
      <c r="A30205" s="1" t="s">
        <v>30204</v>
      </c>
      <c r="B30205" s="2" t="str">
        <f>IFERROR(__xludf.DUMMYFUNCTION("GOOGLETRANSLATE(A30205, ""de"", ""en"")"),"stole")</f>
        <v>stole</v>
      </c>
    </row>
    <row r="30206">
      <c r="A30206" s="1" t="s">
        <v>30205</v>
      </c>
      <c r="B30206" s="2" t="str">
        <f>IFERROR(__xludf.DUMMYFUNCTION("GOOGLETRANSLATE(A30206, ""de"", ""en"")"),"Hanover")</f>
        <v>Hanover</v>
      </c>
    </row>
    <row r="30207">
      <c r="A30207" s="1" t="s">
        <v>30206</v>
      </c>
      <c r="B30207" s="2" t="str">
        <f>IFERROR(__xludf.DUMMYFUNCTION("GOOGLETRANSLATE(A30207, ""de"", ""en"")"),"mikhail")</f>
        <v>mikhail</v>
      </c>
    </row>
    <row r="30208">
      <c r="A30208" s="1" t="s">
        <v>30207</v>
      </c>
      <c r="B30208" s="2" t="str">
        <f>IFERROR(__xludf.DUMMYFUNCTION("GOOGLETRANSLATE(A30208, ""de"", ""en"")"),"behavior patterns")</f>
        <v>behavior patterns</v>
      </c>
    </row>
    <row r="30209">
      <c r="A30209" s="1" t="s">
        <v>30208</v>
      </c>
      <c r="B30209" s="2" t="str">
        <f>IFERROR(__xludf.DUMMYFUNCTION("GOOGLETRANSLATE(A30209, ""de"", ""en"")"),"stresses")</f>
        <v>stresses</v>
      </c>
    </row>
    <row r="30210">
      <c r="A30210" s="1" t="s">
        <v>30209</v>
      </c>
      <c r="B30210" s="2" t="str">
        <f>IFERROR(__xludf.DUMMYFUNCTION("GOOGLETRANSLATE(A30210, ""de"", ""en"")"),"certificate")</f>
        <v>certificate</v>
      </c>
    </row>
    <row r="30211">
      <c r="A30211" s="1" t="s">
        <v>30210</v>
      </c>
      <c r="B30211" s="2" t="str">
        <f>IFERROR(__xludf.DUMMYFUNCTION("GOOGLETRANSLATE(A30211, ""de"", ""en"")"),"impose")</f>
        <v>impose</v>
      </c>
    </row>
    <row r="30212">
      <c r="A30212" s="1" t="s">
        <v>30211</v>
      </c>
      <c r="B30212" s="2" t="str">
        <f>IFERROR(__xludf.DUMMYFUNCTION("GOOGLETRANSLATE(A30212, ""de"", ""en"")"),"look")</f>
        <v>look</v>
      </c>
    </row>
    <row r="30213">
      <c r="A30213" s="1" t="s">
        <v>30212</v>
      </c>
      <c r="B30213" s="2" t="str">
        <f>IFERROR(__xludf.DUMMYFUNCTION("GOOGLETRANSLATE(A30213, ""de"", ""en"")"),"batzen")</f>
        <v>batzen</v>
      </c>
    </row>
    <row r="30214">
      <c r="A30214" s="1" t="s">
        <v>30213</v>
      </c>
      <c r="B30214" s="2" t="str">
        <f>IFERROR(__xludf.DUMMYFUNCTION("GOOGLETRANSLATE(A30214, ""de"", ""en"")"),"jh.")</f>
        <v>jh.</v>
      </c>
    </row>
    <row r="30215">
      <c r="A30215" s="1" t="s">
        <v>30214</v>
      </c>
      <c r="B30215" s="2" t="str">
        <f>IFERROR(__xludf.DUMMYFUNCTION("GOOGLETRANSLATE(A30215, ""de"", ""en"")"),"rational")</f>
        <v>rational</v>
      </c>
    </row>
    <row r="30216">
      <c r="A30216" s="1" t="s">
        <v>30215</v>
      </c>
      <c r="B30216" s="2" t="str">
        <f>IFERROR(__xludf.DUMMYFUNCTION("GOOGLETRANSLATE(A30216, ""de"", ""en"")"),"potentially")</f>
        <v>potentially</v>
      </c>
    </row>
    <row r="30217">
      <c r="A30217" s="1" t="s">
        <v>30216</v>
      </c>
      <c r="B30217" s="2" t="str">
        <f>IFERROR(__xludf.DUMMYFUNCTION("GOOGLETRANSLATE(A30217, ""de"", ""en"")"),"arms trade")</f>
        <v>arms trade</v>
      </c>
    </row>
    <row r="30218">
      <c r="A30218" s="1" t="s">
        <v>30217</v>
      </c>
      <c r="B30218" s="2" t="str">
        <f>IFERROR(__xludf.DUMMYFUNCTION("GOOGLETRANSLATE(A30218, ""de"", ""en"")"),"très")</f>
        <v>très</v>
      </c>
    </row>
    <row r="30219">
      <c r="A30219" s="1" t="s">
        <v>30218</v>
      </c>
      <c r="B30219" s="2" t="str">
        <f>IFERROR(__xludf.DUMMYFUNCTION("GOOGLETRANSLATE(A30219, ""de"", ""en"")"),"croft")</f>
        <v>croft</v>
      </c>
    </row>
    <row r="30220">
      <c r="A30220" s="1" t="s">
        <v>30219</v>
      </c>
      <c r="B30220" s="2" t="str">
        <f>IFERROR(__xludf.DUMMYFUNCTION("GOOGLETRANSLATE(A30220, ""de"", ""en"")"),"structural")</f>
        <v>structural</v>
      </c>
    </row>
    <row r="30221">
      <c r="A30221" s="1" t="s">
        <v>30220</v>
      </c>
      <c r="B30221" s="2" t="str">
        <f>IFERROR(__xludf.DUMMYFUNCTION("GOOGLETRANSLATE(A30221, ""de"", ""en"")"),"ove")</f>
        <v>ove</v>
      </c>
    </row>
    <row r="30222">
      <c r="A30222" s="1" t="s">
        <v>30221</v>
      </c>
      <c r="B30222" s="2" t="str">
        <f>IFERROR(__xludf.DUMMYFUNCTION("GOOGLETRANSLATE(A30222, ""de"", ""en"")"),"have a say")</f>
        <v>have a say</v>
      </c>
    </row>
    <row r="30223">
      <c r="A30223" s="1" t="s">
        <v>30222</v>
      </c>
      <c r="B30223" s="2" t="str">
        <f>IFERROR(__xludf.DUMMYFUNCTION("GOOGLETRANSLATE(A30223, ""de"", ""en"")"),"crew member")</f>
        <v>crew member</v>
      </c>
    </row>
    <row r="30224">
      <c r="A30224" s="1" t="s">
        <v>30223</v>
      </c>
      <c r="B30224" s="2" t="str">
        <f>IFERROR(__xludf.DUMMYFUNCTION("GOOGLETRANSLATE(A30224, ""de"", ""en"")"),"kingdom")</f>
        <v>kingdom</v>
      </c>
    </row>
    <row r="30225">
      <c r="A30225" s="1" t="s">
        <v>30224</v>
      </c>
      <c r="B30225" s="2" t="str">
        <f>IFERROR(__xludf.DUMMYFUNCTION("GOOGLETRANSLATE(A30225, ""de"", ""en"")"),"glowing")</f>
        <v>glowing</v>
      </c>
    </row>
    <row r="30226">
      <c r="A30226" s="1" t="s">
        <v>30225</v>
      </c>
      <c r="B30226" s="2" t="str">
        <f>IFERROR(__xludf.DUMMYFUNCTION("GOOGLETRANSLATE(A30226, ""de"", ""en"")"),"shooting iron")</f>
        <v>shooting iron</v>
      </c>
    </row>
    <row r="30227">
      <c r="A30227" s="1" t="s">
        <v>30226</v>
      </c>
      <c r="B30227" s="2" t="str">
        <f>IFERROR(__xludf.DUMMYFUNCTION("GOOGLETRANSLATE(A30227, ""de"", ""en"")"),"Angela")</f>
        <v>Angela</v>
      </c>
    </row>
    <row r="30228">
      <c r="A30228" s="1" t="s">
        <v>30227</v>
      </c>
      <c r="B30228" s="2" t="str">
        <f>IFERROR(__xludf.DUMMYFUNCTION("GOOGLETRANSLATE(A30228, ""de"", ""en"")"),"wheels")</f>
        <v>wheels</v>
      </c>
    </row>
    <row r="30229">
      <c r="A30229" s="1" t="s">
        <v>30228</v>
      </c>
      <c r="B30229" s="2" t="str">
        <f>IFERROR(__xludf.DUMMYFUNCTION("GOOGLETRANSLATE(A30229, ""de"", ""en"")"),"landing approach")</f>
        <v>landing approach</v>
      </c>
    </row>
    <row r="30230">
      <c r="A30230" s="1" t="s">
        <v>30229</v>
      </c>
      <c r="B30230" s="2" t="str">
        <f>IFERROR(__xludf.DUMMYFUNCTION("GOOGLETRANSLATE(A30230, ""de"", ""en"")"),"foods")</f>
        <v>foods</v>
      </c>
    </row>
    <row r="30231">
      <c r="A30231" s="1" t="s">
        <v>30230</v>
      </c>
      <c r="B30231" s="2" t="str">
        <f>IFERROR(__xludf.DUMMYFUNCTION("GOOGLETRANSLATE(A30231, ""de"", ""en"")"),"reinforced")</f>
        <v>reinforced</v>
      </c>
    </row>
    <row r="30232">
      <c r="A30232" s="1" t="s">
        <v>30231</v>
      </c>
      <c r="B30232" s="2" t="str">
        <f>IFERROR(__xludf.DUMMYFUNCTION("GOOGLETRANSLATE(A30232, ""de"", ""en"")"),"kind")</f>
        <v>kind</v>
      </c>
    </row>
    <row r="30233">
      <c r="A30233" s="1" t="s">
        <v>30232</v>
      </c>
      <c r="B30233" s="2" t="str">
        <f>IFERROR(__xludf.DUMMYFUNCTION("GOOGLETRANSLATE(A30233, ""de"", ""en"")"),"fund")</f>
        <v>fund</v>
      </c>
    </row>
    <row r="30234">
      <c r="A30234" s="1" t="s">
        <v>30233</v>
      </c>
      <c r="B30234" s="2" t="str">
        <f>IFERROR(__xludf.DUMMYFUNCTION("GOOGLETRANSLATE(A30234, ""de"", ""en"")"),"wentworth")</f>
        <v>wentworth</v>
      </c>
    </row>
    <row r="30235">
      <c r="A30235" s="1" t="s">
        <v>30234</v>
      </c>
      <c r="B30235" s="2" t="str">
        <f>IFERROR(__xludf.DUMMYFUNCTION("GOOGLETRANSLATE(A30235, ""de"", ""en"")"),"troll hunter")</f>
        <v>troll hunter</v>
      </c>
    </row>
    <row r="30236">
      <c r="A30236" s="1" t="s">
        <v>30235</v>
      </c>
      <c r="B30236" s="2" t="str">
        <f>IFERROR(__xludf.DUMMYFUNCTION("GOOGLETRANSLATE(A30236, ""de"", ""en"")"),"waiting room")</f>
        <v>waiting room</v>
      </c>
    </row>
    <row r="30237">
      <c r="A30237" s="1" t="s">
        <v>30236</v>
      </c>
      <c r="B30237" s="2" t="str">
        <f>IFERROR(__xludf.DUMMYFUNCTION("GOOGLETRANSLATE(A30237, ""de"", ""en"")"),"vadim")</f>
        <v>vadim</v>
      </c>
    </row>
    <row r="30238">
      <c r="A30238" s="1" t="s">
        <v>30237</v>
      </c>
      <c r="B30238" s="2" t="str">
        <f>IFERROR(__xludf.DUMMYFUNCTION("GOOGLETRANSLATE(A30238, ""de"", ""en"")"),"thwart")</f>
        <v>thwart</v>
      </c>
    </row>
    <row r="30239">
      <c r="A30239" s="1" t="s">
        <v>30238</v>
      </c>
      <c r="B30239" s="2" t="str">
        <f>IFERROR(__xludf.DUMMYFUNCTION("GOOGLETRANSLATE(A30239, ""de"", ""en"")"),"feeling of shame")</f>
        <v>feeling of shame</v>
      </c>
    </row>
    <row r="30240">
      <c r="A30240" s="1" t="s">
        <v>30239</v>
      </c>
      <c r="B30240" s="2" t="str">
        <f>IFERROR(__xludf.DUMMYFUNCTION("GOOGLETRANSLATE(A30240, ""de"", ""en"")"),"operations manager")</f>
        <v>operations manager</v>
      </c>
    </row>
    <row r="30241">
      <c r="A30241" s="1" t="s">
        <v>30240</v>
      </c>
      <c r="B30241" s="2" t="str">
        <f>IFERROR(__xludf.DUMMYFUNCTION("GOOGLETRANSLATE(A30241, ""de"", ""en"")"),"insidious")</f>
        <v>insidious</v>
      </c>
    </row>
    <row r="30242">
      <c r="A30242" s="1" t="s">
        <v>30241</v>
      </c>
      <c r="B30242" s="2" t="str">
        <f>IFERROR(__xludf.DUMMYFUNCTION("GOOGLETRANSLATE(A30242, ""de"", ""en"")"),"rinse down")</f>
        <v>rinse down</v>
      </c>
    </row>
    <row r="30243">
      <c r="A30243" s="1" t="s">
        <v>30242</v>
      </c>
      <c r="B30243" s="2" t="str">
        <f>IFERROR(__xludf.DUMMYFUNCTION("GOOGLETRANSLATE(A30243, ""de"", ""en"")"),"observatory")</f>
        <v>observatory</v>
      </c>
    </row>
    <row r="30244">
      <c r="A30244" s="1" t="s">
        <v>30243</v>
      </c>
      <c r="B30244" s="2" t="str">
        <f>IFERROR(__xludf.DUMMYFUNCTION("GOOGLETRANSLATE(A30244, ""de"", ""en"")"),"barricaded")</f>
        <v>barricaded</v>
      </c>
    </row>
    <row r="30245">
      <c r="A30245" s="1" t="s">
        <v>30244</v>
      </c>
      <c r="B30245" s="2" t="str">
        <f>IFERROR(__xludf.DUMMYFUNCTION("GOOGLETRANSLATE(A30245, ""de"", ""en"")"),"conversion")</f>
        <v>conversion</v>
      </c>
    </row>
    <row r="30246">
      <c r="A30246" s="1" t="s">
        <v>30245</v>
      </c>
      <c r="B30246" s="2" t="str">
        <f>IFERROR(__xludf.DUMMYFUNCTION("GOOGLETRANSLATE(A30246, ""de"", ""en"")"),"stressful")</f>
        <v>stressful</v>
      </c>
    </row>
    <row r="30247">
      <c r="A30247" s="1" t="s">
        <v>30246</v>
      </c>
      <c r="B30247" s="2" t="str">
        <f>IFERROR(__xludf.DUMMYFUNCTION("GOOGLETRANSLATE(A30247, ""de"", ""en"")"),"rhoades")</f>
        <v>rhoades</v>
      </c>
    </row>
    <row r="30248">
      <c r="A30248" s="1" t="s">
        <v>30247</v>
      </c>
      <c r="B30248" s="2" t="str">
        <f>IFERROR(__xludf.DUMMYFUNCTION("GOOGLETRANSLATE(A30248, ""de"", ""en"")"),"cuchillo")</f>
        <v>cuchillo</v>
      </c>
    </row>
    <row r="30249">
      <c r="A30249" s="1" t="s">
        <v>30248</v>
      </c>
      <c r="B30249" s="2" t="str">
        <f>IFERROR(__xludf.DUMMYFUNCTION("GOOGLETRANSLATE(A30249, ""de"", ""en"")"),"flutters")</f>
        <v>flutters</v>
      </c>
    </row>
    <row r="30250">
      <c r="A30250" s="1" t="s">
        <v>30249</v>
      </c>
      <c r="B30250" s="2" t="str">
        <f>IFERROR(__xludf.DUMMYFUNCTION("GOOGLETRANSLATE(A30250, ""de"", ""en"")"),"stretches")</f>
        <v>stretches</v>
      </c>
    </row>
    <row r="30251">
      <c r="A30251" s="1" t="s">
        <v>30250</v>
      </c>
      <c r="B30251" s="2" t="str">
        <f>IFERROR(__xludf.DUMMYFUNCTION("GOOGLETRANSLATE(A30251, ""de"", ""en"")"),"anything")</f>
        <v>anything</v>
      </c>
    </row>
    <row r="30252">
      <c r="A30252" s="1" t="s">
        <v>30251</v>
      </c>
      <c r="B30252" s="2" t="str">
        <f>IFERROR(__xludf.DUMMYFUNCTION("GOOGLETRANSLATE(A30252, ""de"", ""en"")"),"collette")</f>
        <v>collette</v>
      </c>
    </row>
    <row r="30253">
      <c r="A30253" s="1" t="s">
        <v>30252</v>
      </c>
      <c r="B30253" s="2" t="str">
        <f>IFERROR(__xludf.DUMMYFUNCTION("GOOGLETRANSLATE(A30253, ""de"", ""en"")"),"funny")</f>
        <v>funny</v>
      </c>
    </row>
    <row r="30254">
      <c r="A30254" s="1" t="s">
        <v>30253</v>
      </c>
      <c r="B30254" s="2" t="str">
        <f>IFERROR(__xludf.DUMMYFUNCTION("GOOGLETRANSLATE(A30254, ""de"", ""en"")"),"toine")</f>
        <v>toine</v>
      </c>
    </row>
    <row r="30255">
      <c r="A30255" s="1" t="s">
        <v>30254</v>
      </c>
      <c r="B30255" s="2" t="str">
        <f>IFERROR(__xludf.DUMMYFUNCTION("GOOGLETRANSLATE(A30255, ""de"", ""en"")"),"Corsica")</f>
        <v>Corsica</v>
      </c>
    </row>
    <row r="30256">
      <c r="A30256" s="1" t="s">
        <v>30255</v>
      </c>
      <c r="B30256" s="2" t="str">
        <f>IFERROR(__xludf.DUMMYFUNCTION("GOOGLETRANSLATE(A30256, ""de"", ""en"")"),"commanded")</f>
        <v>commanded</v>
      </c>
    </row>
    <row r="30257">
      <c r="A30257" s="1" t="s">
        <v>30256</v>
      </c>
      <c r="B30257" s="2" t="str">
        <f>IFERROR(__xludf.DUMMYFUNCTION("GOOGLETRANSLATE(A30257, ""de"", ""en"")"),"microphones")</f>
        <v>microphones</v>
      </c>
    </row>
    <row r="30258">
      <c r="A30258" s="1" t="s">
        <v>30257</v>
      </c>
      <c r="B30258" s="2" t="str">
        <f>IFERROR(__xludf.DUMMYFUNCTION("GOOGLETRANSLATE(A30258, ""de"", ""en"")"),"survivor")</f>
        <v>survivor</v>
      </c>
    </row>
    <row r="30259">
      <c r="A30259" s="1" t="s">
        <v>30258</v>
      </c>
      <c r="B30259" s="2" t="str">
        <f>IFERROR(__xludf.DUMMYFUNCTION("GOOGLETRANSLATE(A30259, ""de"", ""en"")"),"esp.")</f>
        <v>esp.</v>
      </c>
    </row>
    <row r="30260">
      <c r="A30260" s="1" t="s">
        <v>30259</v>
      </c>
      <c r="B30260" s="2" t="str">
        <f>IFERROR(__xludf.DUMMYFUNCTION("GOOGLETRANSLATE(A30260, ""de"", ""en"")"),"rogue")</f>
        <v>rogue</v>
      </c>
    </row>
    <row r="30261">
      <c r="A30261" s="1" t="s">
        <v>30260</v>
      </c>
      <c r="B30261" s="2" t="str">
        <f>IFERROR(__xludf.DUMMYFUNCTION("GOOGLETRANSLATE(A30261, ""de"", ""en"")"),"scout")</f>
        <v>scout</v>
      </c>
    </row>
    <row r="30262">
      <c r="A30262" s="1" t="s">
        <v>30261</v>
      </c>
      <c r="B30262" s="2" t="str">
        <f>IFERROR(__xludf.DUMMYFUNCTION("GOOGLETRANSLATE(A30262, ""de"", ""en"")"),"pool table")</f>
        <v>pool table</v>
      </c>
    </row>
    <row r="30263">
      <c r="A30263" s="1" t="s">
        <v>30262</v>
      </c>
      <c r="B30263" s="2" t="str">
        <f>IFERROR(__xludf.DUMMYFUNCTION("GOOGLETRANSLATE(A30263, ""de"", ""en"")"),"send out")</f>
        <v>send out</v>
      </c>
    </row>
    <row r="30264">
      <c r="A30264" s="1" t="s">
        <v>30263</v>
      </c>
      <c r="B30264" s="2" t="str">
        <f>IFERROR(__xludf.DUMMYFUNCTION("GOOGLETRANSLATE(A30264, ""de"", ""en"")"),"historical")</f>
        <v>historical</v>
      </c>
    </row>
    <row r="30265">
      <c r="A30265" s="1" t="s">
        <v>30264</v>
      </c>
      <c r="B30265" s="2" t="str">
        <f>IFERROR(__xludf.DUMMYFUNCTION("GOOGLETRANSLATE(A30265, ""de"", ""en"")"),"expand")</f>
        <v>expand</v>
      </c>
    </row>
    <row r="30266">
      <c r="A30266" s="1" t="s">
        <v>30265</v>
      </c>
      <c r="B30266" s="2" t="str">
        <f>IFERROR(__xludf.DUMMYFUNCTION("GOOGLETRANSLATE(A30266, ""de"", ""en"")"),"stunning")</f>
        <v>stunning</v>
      </c>
    </row>
    <row r="30267">
      <c r="A30267" s="1" t="s">
        <v>30266</v>
      </c>
      <c r="B30267" s="2" t="str">
        <f>IFERROR(__xludf.DUMMYFUNCTION("GOOGLETRANSLATE(A30267, ""de"", ""en"")"),"apt")</f>
        <v>apt</v>
      </c>
    </row>
    <row r="30268">
      <c r="A30268" s="1" t="s">
        <v>30267</v>
      </c>
      <c r="B30268" s="2" t="str">
        <f>IFERROR(__xludf.DUMMYFUNCTION("GOOGLETRANSLATE(A30268, ""de"", ""en"")"),"fountain")</f>
        <v>fountain</v>
      </c>
    </row>
    <row r="30269">
      <c r="A30269" s="1" t="s">
        <v>30268</v>
      </c>
      <c r="B30269" s="2" t="str">
        <f>IFERROR(__xludf.DUMMYFUNCTION("GOOGLETRANSLATE(A30269, ""de"", ""en"")"),"varus")</f>
        <v>varus</v>
      </c>
    </row>
    <row r="30270">
      <c r="A30270" s="1" t="s">
        <v>30269</v>
      </c>
      <c r="B30270" s="2" t="str">
        <f>IFERROR(__xludf.DUMMYFUNCTION("GOOGLETRANSLATE(A30270, ""de"", ""en"")"),"repayment")</f>
        <v>repayment</v>
      </c>
    </row>
    <row r="30271">
      <c r="A30271" s="1" t="s">
        <v>30270</v>
      </c>
      <c r="B30271" s="2" t="str">
        <f>IFERROR(__xludf.DUMMYFUNCTION("GOOGLETRANSLATE(A30271, ""de"", ""en"")"),"dummy")</f>
        <v>dummy</v>
      </c>
    </row>
    <row r="30272">
      <c r="A30272" s="1" t="s">
        <v>30271</v>
      </c>
      <c r="B30272" s="2" t="str">
        <f>IFERROR(__xludf.DUMMYFUNCTION("GOOGLETRANSLATE(A30272, ""de"", ""en"")"),"simulations")</f>
        <v>simulations</v>
      </c>
    </row>
    <row r="30273">
      <c r="A30273" s="1" t="s">
        <v>30272</v>
      </c>
      <c r="B30273" s="2" t="str">
        <f>IFERROR(__xludf.DUMMYFUNCTION("GOOGLETRANSLATE(A30273, ""de"", ""en"")"),"fishing boat")</f>
        <v>fishing boat</v>
      </c>
    </row>
    <row r="30274">
      <c r="A30274" s="1" t="s">
        <v>30273</v>
      </c>
      <c r="B30274" s="2" t="str">
        <f>IFERROR(__xludf.DUMMYFUNCTION("GOOGLETRANSLATE(A30274, ""de"", ""en"")"),"livingston")</f>
        <v>livingston</v>
      </c>
    </row>
    <row r="30275">
      <c r="A30275" s="1" t="s">
        <v>30274</v>
      </c>
      <c r="B30275" s="2" t="str">
        <f>IFERROR(__xludf.DUMMYFUNCTION("GOOGLETRANSLATE(A30275, ""de"", ""en"")"),"verne")</f>
        <v>verne</v>
      </c>
    </row>
    <row r="30276">
      <c r="A30276" s="1" t="s">
        <v>30275</v>
      </c>
      <c r="B30276" s="2" t="str">
        <f>IFERROR(__xludf.DUMMYFUNCTION("GOOGLETRANSLATE(A30276, ""de"", ""en"")"),"milhouse")</f>
        <v>milhouse</v>
      </c>
    </row>
    <row r="30277">
      <c r="A30277" s="1" t="s">
        <v>30276</v>
      </c>
      <c r="B30277" s="2" t="str">
        <f>IFERROR(__xludf.DUMMYFUNCTION("GOOGLETRANSLATE(A30277, ""de"", ""en"")"),"liberated")</f>
        <v>liberated</v>
      </c>
    </row>
    <row r="30278">
      <c r="A30278" s="1" t="s">
        <v>30277</v>
      </c>
      <c r="B30278" s="2" t="str">
        <f>IFERROR(__xludf.DUMMYFUNCTION("GOOGLETRANSLATE(A30278, ""de"", ""en"")"),"tweezers")</f>
        <v>tweezers</v>
      </c>
    </row>
    <row r="30279">
      <c r="A30279" s="1" t="s">
        <v>30278</v>
      </c>
      <c r="B30279" s="2" t="str">
        <f>IFERROR(__xludf.DUMMYFUNCTION("GOOGLETRANSLATE(A30279, ""de"", ""en"")"),"bader")</f>
        <v>bader</v>
      </c>
    </row>
    <row r="30280">
      <c r="A30280" s="1" t="s">
        <v>30279</v>
      </c>
      <c r="B30280" s="2" t="str">
        <f>IFERROR(__xludf.DUMMYFUNCTION("GOOGLETRANSLATE(A30280, ""de"", ""en"")"),"donuts")</f>
        <v>donuts</v>
      </c>
    </row>
    <row r="30281">
      <c r="A30281" s="1" t="s">
        <v>30280</v>
      </c>
      <c r="B30281" s="2" t="str">
        <f>IFERROR(__xludf.DUMMYFUNCTION("GOOGLETRANSLATE(A30281, ""de"", ""en"")"),"conduct")</f>
        <v>conduct</v>
      </c>
    </row>
    <row r="30282">
      <c r="A30282" s="1" t="s">
        <v>30281</v>
      </c>
      <c r="B30282" s="2" t="str">
        <f>IFERROR(__xludf.DUMMYFUNCTION("GOOGLETRANSLATE(A30282, ""de"", ""en"")"),"navarro")</f>
        <v>navarro</v>
      </c>
    </row>
    <row r="30283">
      <c r="A30283" s="1" t="s">
        <v>30282</v>
      </c>
      <c r="B30283" s="2" t="str">
        <f>IFERROR(__xludf.DUMMYFUNCTION("GOOGLETRANSLATE(A30283, ""de"", ""en"")"),"dena")</f>
        <v>dena</v>
      </c>
    </row>
    <row r="30284">
      <c r="A30284" s="1" t="s">
        <v>30283</v>
      </c>
      <c r="B30284" s="2" t="str">
        <f>IFERROR(__xludf.DUMMYFUNCTION("GOOGLETRANSLATE(A30284, ""de"", ""en"")"),"tribes")</f>
        <v>tribes</v>
      </c>
    </row>
    <row r="30285">
      <c r="A30285" s="1" t="s">
        <v>30284</v>
      </c>
      <c r="B30285" s="2" t="str">
        <f>IFERROR(__xludf.DUMMYFUNCTION("GOOGLETRANSLATE(A30285, ""de"", ""en"")"),"bliss")</f>
        <v>bliss</v>
      </c>
    </row>
    <row r="30286">
      <c r="A30286" s="1" t="s">
        <v>30285</v>
      </c>
      <c r="B30286" s="2" t="str">
        <f>IFERROR(__xludf.DUMMYFUNCTION("GOOGLETRANSLATE(A30286, ""de"", ""en"")"),"addicts")</f>
        <v>addicts</v>
      </c>
    </row>
    <row r="30287">
      <c r="A30287" s="1" t="s">
        <v>30286</v>
      </c>
      <c r="B30287" s="2" t="str">
        <f>IFERROR(__xludf.DUMMYFUNCTION("GOOGLETRANSLATE(A30287, ""de"", ""en"")"),"humanitarian")</f>
        <v>humanitarian</v>
      </c>
    </row>
    <row r="30288">
      <c r="A30288" s="1" t="s">
        <v>30287</v>
      </c>
      <c r="B30288" s="2" t="str">
        <f>IFERROR(__xludf.DUMMYFUNCTION("GOOGLETRANSLATE(A30288, ""de"", ""en"")"),"talking")</f>
        <v>talking</v>
      </c>
    </row>
    <row r="30289">
      <c r="A30289" s="1" t="s">
        <v>30288</v>
      </c>
      <c r="B30289" s="2" t="str">
        <f>IFERROR(__xludf.DUMMYFUNCTION("GOOGLETRANSLATE(A30289, ""de"", ""en"")"),"sweetest")</f>
        <v>sweetest</v>
      </c>
    </row>
    <row r="30290">
      <c r="A30290" s="1" t="s">
        <v>30289</v>
      </c>
      <c r="B30290" s="2" t="str">
        <f>IFERROR(__xludf.DUMMYFUNCTION("GOOGLETRANSLATE(A30290, ""de"", ""en"")"),"chosen")</f>
        <v>chosen</v>
      </c>
    </row>
    <row r="30291">
      <c r="A30291" s="1" t="s">
        <v>30290</v>
      </c>
      <c r="B30291" s="2" t="str">
        <f>IFERROR(__xludf.DUMMYFUNCTION("GOOGLETRANSLATE(A30291, ""de"", ""en"")"),"sleep")</f>
        <v>sleep</v>
      </c>
    </row>
    <row r="30292">
      <c r="A30292" s="1" t="s">
        <v>30291</v>
      </c>
      <c r="B30292" s="2" t="str">
        <f>IFERROR(__xludf.DUMMYFUNCTION("GOOGLETRANSLATE(A30292, ""de"", ""en"")"),"fetish")</f>
        <v>fetish</v>
      </c>
    </row>
    <row r="30293">
      <c r="A30293" s="1" t="s">
        <v>30292</v>
      </c>
      <c r="B30293" s="2" t="str">
        <f>IFERROR(__xludf.DUMMYFUNCTION("GOOGLETRANSLATE(A30293, ""de"", ""en"")"),"pipes")</f>
        <v>pipes</v>
      </c>
    </row>
    <row r="30294">
      <c r="A30294" s="1" t="s">
        <v>30293</v>
      </c>
      <c r="B30294" s="2" t="str">
        <f>IFERROR(__xludf.DUMMYFUNCTION("GOOGLETRANSLATE(A30294, ""de"", ""en"")"),"grossman")</f>
        <v>grossman</v>
      </c>
    </row>
    <row r="30295">
      <c r="A30295" s="1" t="s">
        <v>30294</v>
      </c>
      <c r="B30295" s="2" t="str">
        <f>IFERROR(__xludf.DUMMYFUNCTION("GOOGLETRANSLATE(A30295, ""de"", ""en"")"),"ceren")</f>
        <v>ceren</v>
      </c>
    </row>
    <row r="30296">
      <c r="A30296" s="1" t="s">
        <v>30295</v>
      </c>
      <c r="B30296" s="2" t="str">
        <f>IFERROR(__xludf.DUMMYFUNCTION("GOOGLETRANSLATE(A30296, ""de"", ""en"")"),"mistletoe")</f>
        <v>mistletoe</v>
      </c>
    </row>
    <row r="30297">
      <c r="A30297" s="1" t="s">
        <v>30296</v>
      </c>
      <c r="B30297" s="2" t="str">
        <f>IFERROR(__xludf.DUMMYFUNCTION("GOOGLETRANSLATE(A30297, ""de"", ""en"")"),"metaphorically")</f>
        <v>metaphorically</v>
      </c>
    </row>
    <row r="30298">
      <c r="A30298" s="1" t="s">
        <v>30297</v>
      </c>
      <c r="B30298" s="2" t="str">
        <f>IFERROR(__xludf.DUMMYFUNCTION("GOOGLETRANSLATE(A30298, ""de"", ""en"")"),"horrible ones")</f>
        <v>horrible ones</v>
      </c>
    </row>
    <row r="30299">
      <c r="A30299" s="1" t="s">
        <v>30298</v>
      </c>
      <c r="B30299" s="2" t="str">
        <f>IFERROR(__xludf.DUMMYFUNCTION("GOOGLETRANSLATE(A30299, ""de"", ""en"")"),"nos")</f>
        <v>nos</v>
      </c>
    </row>
    <row r="30300">
      <c r="A30300" s="1" t="s">
        <v>30299</v>
      </c>
      <c r="B30300" s="2" t="str">
        <f>IFERROR(__xludf.DUMMYFUNCTION("GOOGLETRANSLATE(A30300, ""de"", ""en"")"),"cooled down")</f>
        <v>cooled down</v>
      </c>
    </row>
    <row r="30301">
      <c r="A30301" s="1" t="s">
        <v>30300</v>
      </c>
      <c r="B30301" s="2" t="str">
        <f>IFERROR(__xludf.DUMMYFUNCTION("GOOGLETRANSLATE(A30301, ""de"", ""en"")"),"commissioner")</f>
        <v>commissioner</v>
      </c>
    </row>
    <row r="30302">
      <c r="A30302" s="1" t="s">
        <v>30301</v>
      </c>
      <c r="B30302" s="2" t="str">
        <f>IFERROR(__xludf.DUMMYFUNCTION("GOOGLETRANSLATE(A30302, ""de"", ""en"")"),"entrusted")</f>
        <v>entrusted</v>
      </c>
    </row>
    <row r="30303">
      <c r="A30303" s="1" t="s">
        <v>30302</v>
      </c>
      <c r="B30303" s="2" t="str">
        <f>IFERROR(__xludf.DUMMYFUNCTION("GOOGLETRANSLATE(A30303, ""de"", ""en"")"),"lubricant")</f>
        <v>lubricant</v>
      </c>
    </row>
    <row r="30304">
      <c r="A30304" s="1" t="s">
        <v>30303</v>
      </c>
      <c r="B30304" s="2" t="str">
        <f>IFERROR(__xludf.DUMMYFUNCTION("GOOGLETRANSLATE(A30304, ""de"", ""en"")"),"sank")</f>
        <v>sank</v>
      </c>
    </row>
    <row r="30305">
      <c r="A30305" s="1" t="s">
        <v>30304</v>
      </c>
      <c r="B30305" s="2" t="str">
        <f>IFERROR(__xludf.DUMMYFUNCTION("GOOGLETRANSLATE(A30305, ""de"", ""en"")"),"take you by surprise")</f>
        <v>take you by surprise</v>
      </c>
    </row>
    <row r="30306">
      <c r="A30306" s="1" t="s">
        <v>30305</v>
      </c>
      <c r="B30306" s="2" t="str">
        <f>IFERROR(__xludf.DUMMYFUNCTION("GOOGLETRANSLATE(A30306, ""de"", ""en"")"),"abstinence")</f>
        <v>abstinence</v>
      </c>
    </row>
    <row r="30307">
      <c r="A30307" s="1" t="s">
        <v>30306</v>
      </c>
      <c r="B30307" s="2" t="str">
        <f>IFERROR(__xludf.DUMMYFUNCTION("GOOGLETRANSLATE(A30307, ""de"", ""en"")"),"she.")</f>
        <v>she.</v>
      </c>
    </row>
    <row r="30308">
      <c r="A30308" s="1" t="s">
        <v>30307</v>
      </c>
      <c r="B30308" s="2" t="str">
        <f>IFERROR(__xludf.DUMMYFUNCTION("GOOGLETRANSLATE(A30308, ""de"", ""en"")"),"hor")</f>
        <v>hor</v>
      </c>
    </row>
    <row r="30309">
      <c r="A30309" s="1" t="s">
        <v>30308</v>
      </c>
      <c r="B30309" s="2" t="str">
        <f>IFERROR(__xludf.DUMMYFUNCTION("GOOGLETRANSLATE(A30309, ""de"", ""en"")"),"serious")</f>
        <v>serious</v>
      </c>
    </row>
    <row r="30310">
      <c r="A30310" s="1" t="s">
        <v>30309</v>
      </c>
      <c r="B30310" s="2" t="str">
        <f>IFERROR(__xludf.DUMMYFUNCTION("GOOGLETRANSLATE(A30310, ""de"", ""en"")"),"main character")</f>
        <v>main character</v>
      </c>
    </row>
    <row r="30311">
      <c r="A30311" s="1" t="s">
        <v>30310</v>
      </c>
      <c r="B30311" s="2" t="str">
        <f>IFERROR(__xludf.DUMMYFUNCTION("GOOGLETRANSLATE(A30311, ""de"", ""en"")"),"conservative")</f>
        <v>conservative</v>
      </c>
    </row>
    <row r="30312">
      <c r="A30312" s="1" t="s">
        <v>30311</v>
      </c>
      <c r="B30312" s="2" t="str">
        <f>IFERROR(__xludf.DUMMYFUNCTION("GOOGLETRANSLATE(A30312, ""de"", ""en"")"),"extraterrestrial")</f>
        <v>extraterrestrial</v>
      </c>
    </row>
    <row r="30313">
      <c r="A30313" s="1" t="s">
        <v>30312</v>
      </c>
      <c r="B30313" s="2" t="str">
        <f>IFERROR(__xludf.DUMMYFUNCTION("GOOGLETRANSLATE(A30313, ""de"", ""en"")"),"bleat")</f>
        <v>bleat</v>
      </c>
    </row>
    <row r="30314">
      <c r="A30314" s="1" t="s">
        <v>30313</v>
      </c>
      <c r="B30314" s="2" t="str">
        <f>IFERROR(__xludf.DUMMYFUNCTION("GOOGLETRANSLATE(A30314, ""de"", ""en"")"),"jud")</f>
        <v>jud</v>
      </c>
    </row>
    <row r="30315">
      <c r="A30315" s="1" t="s">
        <v>30314</v>
      </c>
      <c r="B30315" s="2" t="str">
        <f>IFERROR(__xludf.DUMMYFUNCTION("GOOGLETRANSLATE(A30315, ""de"", ""en"")"),"coped")</f>
        <v>coped</v>
      </c>
    </row>
    <row r="30316">
      <c r="A30316" s="1" t="s">
        <v>30315</v>
      </c>
      <c r="B30316" s="2" t="str">
        <f>IFERROR(__xludf.DUMMYFUNCTION("GOOGLETRANSLATE(A30316, ""de"", ""en"")"),"morelli")</f>
        <v>morelli</v>
      </c>
    </row>
    <row r="30317">
      <c r="A30317" s="1" t="s">
        <v>30316</v>
      </c>
      <c r="B30317" s="2" t="str">
        <f>IFERROR(__xludf.DUMMYFUNCTION("GOOGLETRANSLATE(A30317, ""de"", ""en"")"),"lir")</f>
        <v>lir</v>
      </c>
    </row>
    <row r="30318">
      <c r="A30318" s="1" t="s">
        <v>30317</v>
      </c>
      <c r="B30318" s="2" t="str">
        <f>IFERROR(__xludf.DUMMYFUNCTION("GOOGLETRANSLATE(A30318, ""de"", ""en"")"),"quilt")</f>
        <v>quilt</v>
      </c>
    </row>
    <row r="30319">
      <c r="A30319" s="1" t="s">
        <v>30318</v>
      </c>
      <c r="B30319" s="2" t="str">
        <f>IFERROR(__xludf.DUMMYFUNCTION("GOOGLETRANSLATE(A30319, ""de"", ""en"")"),"transfer")</f>
        <v>transfer</v>
      </c>
    </row>
    <row r="30320">
      <c r="A30320" s="1" t="s">
        <v>30319</v>
      </c>
      <c r="B30320" s="2" t="str">
        <f>IFERROR(__xludf.DUMMYFUNCTION("GOOGLETRANSLATE(A30320, ""de"", ""en"")"),"mate")</f>
        <v>mate</v>
      </c>
    </row>
    <row r="30321">
      <c r="A30321" s="1" t="s">
        <v>30320</v>
      </c>
      <c r="B30321" s="2" t="str">
        <f>IFERROR(__xludf.DUMMYFUNCTION("GOOGLETRANSLATE(A30321, ""de"", ""en"")"),"royal family")</f>
        <v>royal family</v>
      </c>
    </row>
    <row r="30322">
      <c r="A30322" s="1" t="s">
        <v>30321</v>
      </c>
      <c r="B30322" s="2" t="str">
        <f>IFERROR(__xludf.DUMMYFUNCTION("GOOGLETRANSLATE(A30322, ""de"", ""en"")"),"reduce")</f>
        <v>reduce</v>
      </c>
    </row>
    <row r="30323">
      <c r="A30323" s="1" t="s">
        <v>30322</v>
      </c>
      <c r="B30323" s="2" t="str">
        <f>IFERROR(__xludf.DUMMYFUNCTION("GOOGLETRANSLATE(A30323, ""de"", ""en"")"),"honored")</f>
        <v>honored</v>
      </c>
    </row>
    <row r="30324">
      <c r="A30324" s="1" t="s">
        <v>30323</v>
      </c>
      <c r="B30324" s="2" t="str">
        <f>IFERROR(__xludf.DUMMYFUNCTION("GOOGLETRANSLATE(A30324, ""de"", ""en"")"),"dib")</f>
        <v>dib</v>
      </c>
    </row>
    <row r="30325">
      <c r="A30325" s="1" t="s">
        <v>30324</v>
      </c>
      <c r="B30325" s="2" t="str">
        <f>IFERROR(__xludf.DUMMYFUNCTION("GOOGLETRANSLATE(A30325, ""de"", ""en"")"),"iceberg")</f>
        <v>iceberg</v>
      </c>
    </row>
    <row r="30326">
      <c r="A30326" s="1" t="s">
        <v>30325</v>
      </c>
      <c r="B30326" s="2" t="str">
        <f>IFERROR(__xludf.DUMMYFUNCTION("GOOGLETRANSLATE(A30326, ""de"", ""en"")"),"enmity")</f>
        <v>enmity</v>
      </c>
    </row>
    <row r="30327">
      <c r="A30327" s="1" t="s">
        <v>30326</v>
      </c>
      <c r="B30327" s="2" t="str">
        <f>IFERROR(__xludf.DUMMYFUNCTION("GOOGLETRANSLATE(A30327, ""de"", ""en"")"),"rhythmic")</f>
        <v>rhythmic</v>
      </c>
    </row>
    <row r="30328">
      <c r="A30328" s="1" t="s">
        <v>30327</v>
      </c>
      <c r="B30328" s="2" t="str">
        <f>IFERROR(__xludf.DUMMYFUNCTION("GOOGLETRANSLATE(A30328, ""de"", ""en"")"),"Carrington")</f>
        <v>Carrington</v>
      </c>
    </row>
    <row r="30329">
      <c r="A30329" s="1" t="s">
        <v>30328</v>
      </c>
      <c r="B30329" s="2" t="str">
        <f>IFERROR(__xludf.DUMMYFUNCTION("GOOGLETRANSLATE(A30329, ""de"", ""en"")"),"harveys")</f>
        <v>harveys</v>
      </c>
    </row>
    <row r="30330">
      <c r="A30330" s="1" t="s">
        <v>30329</v>
      </c>
      <c r="B30330" s="2" t="str">
        <f>IFERROR(__xludf.DUMMYFUNCTION("GOOGLETRANSLATE(A30330, ""de"", ""en"")"),"tuco")</f>
        <v>tuco</v>
      </c>
    </row>
    <row r="30331">
      <c r="A30331" s="1" t="s">
        <v>30330</v>
      </c>
      <c r="B30331" s="2" t="str">
        <f>IFERROR(__xludf.DUMMYFUNCTION("GOOGLETRANSLATE(A30331, ""de"", ""en"")"),"merlins")</f>
        <v>merlins</v>
      </c>
    </row>
    <row r="30332">
      <c r="A30332" s="1" t="s">
        <v>30331</v>
      </c>
      <c r="B30332" s="2" t="str">
        <f>IFERROR(__xludf.DUMMYFUNCTION("GOOGLETRANSLATE(A30332, ""de"", ""en"")"),"today")</f>
        <v>today</v>
      </c>
    </row>
    <row r="30333">
      <c r="A30333" s="1" t="s">
        <v>30332</v>
      </c>
      <c r="B30333" s="2" t="str">
        <f>IFERROR(__xludf.DUMMYFUNCTION("GOOGLETRANSLATE(A30333, ""de"", ""en"")"),"world war")</f>
        <v>world war</v>
      </c>
    </row>
    <row r="30334">
      <c r="A30334" s="1" t="s">
        <v>30333</v>
      </c>
      <c r="B30334" s="2" t="str">
        <f>IFERROR(__xludf.DUMMYFUNCTION("GOOGLETRANSLATE(A30334, ""de"", ""en"")"),"crematorium")</f>
        <v>crematorium</v>
      </c>
    </row>
    <row r="30335">
      <c r="A30335" s="1" t="s">
        <v>30334</v>
      </c>
      <c r="B30335" s="2" t="str">
        <f>IFERROR(__xludf.DUMMYFUNCTION("GOOGLETRANSLATE(A30335, ""de"", ""en"")"),"prevented")</f>
        <v>prevented</v>
      </c>
    </row>
    <row r="30336">
      <c r="A30336" s="1" t="s">
        <v>30335</v>
      </c>
      <c r="B30336" s="2" t="str">
        <f>IFERROR(__xludf.DUMMYFUNCTION("GOOGLETRANSLATE(A30336, ""de"", ""en"")"),"tam")</f>
        <v>tam</v>
      </c>
    </row>
    <row r="30337">
      <c r="A30337" s="1" t="s">
        <v>30336</v>
      </c>
      <c r="B30337" s="2" t="str">
        <f>IFERROR(__xludf.DUMMYFUNCTION("GOOGLETRANSLATE(A30337, ""de"", ""en"")"),"tangible")</f>
        <v>tangible</v>
      </c>
    </row>
    <row r="30338">
      <c r="A30338" s="1" t="s">
        <v>30337</v>
      </c>
      <c r="B30338" s="2" t="str">
        <f>IFERROR(__xludf.DUMMYFUNCTION("GOOGLETRANSLATE(A30338, ""de"", ""en"")"),"country life")</f>
        <v>country life</v>
      </c>
    </row>
    <row r="30339">
      <c r="A30339" s="1" t="s">
        <v>30338</v>
      </c>
      <c r="B30339" s="2" t="str">
        <f>IFERROR(__xludf.DUMMYFUNCTION("GOOGLETRANSLATE(A30339, ""de"", ""en"")"),"evaporates")</f>
        <v>evaporates</v>
      </c>
    </row>
    <row r="30340">
      <c r="A30340" s="1" t="s">
        <v>30339</v>
      </c>
      <c r="B30340" s="2" t="str">
        <f>IFERROR(__xludf.DUMMYFUNCTION("GOOGLETRANSLATE(A30340, ""de"", ""en"")"),"confederacy")</f>
        <v>confederacy</v>
      </c>
    </row>
    <row r="30341">
      <c r="A30341" s="1" t="s">
        <v>30340</v>
      </c>
      <c r="B30341" s="2" t="str">
        <f>IFERROR(__xludf.DUMMYFUNCTION("GOOGLETRANSLATE(A30341, ""de"", ""en"")"),"weeds")</f>
        <v>weeds</v>
      </c>
    </row>
    <row r="30342">
      <c r="A30342" s="1" t="s">
        <v>30341</v>
      </c>
      <c r="B30342" s="2" t="str">
        <f>IFERROR(__xludf.DUMMYFUNCTION("GOOGLETRANSLATE(A30342, ""de"", ""en"")"),"gold medal")</f>
        <v>gold medal</v>
      </c>
    </row>
    <row r="30343">
      <c r="A30343" s="1" t="s">
        <v>30342</v>
      </c>
      <c r="B30343" s="2" t="str">
        <f>IFERROR(__xludf.DUMMYFUNCTION("GOOGLETRANSLATE(A30343, ""de"", ""en"")"),"tanga")</f>
        <v>tanga</v>
      </c>
    </row>
    <row r="30344">
      <c r="A30344" s="1" t="s">
        <v>30343</v>
      </c>
      <c r="B30344" s="2" t="str">
        <f>IFERROR(__xludf.DUMMYFUNCTION("GOOGLETRANSLATE(A30344, ""de"", ""en"")"),"morbid")</f>
        <v>morbid</v>
      </c>
    </row>
    <row r="30345">
      <c r="A30345" s="1" t="s">
        <v>30344</v>
      </c>
      <c r="B30345" s="2" t="str">
        <f>IFERROR(__xludf.DUMMYFUNCTION("GOOGLETRANSLATE(A30345, ""de"", ""en"")"),"banish")</f>
        <v>banish</v>
      </c>
    </row>
    <row r="30346">
      <c r="A30346" s="1" t="s">
        <v>30345</v>
      </c>
      <c r="B30346" s="2" t="str">
        <f>IFERROR(__xludf.DUMMYFUNCTION("GOOGLETRANSLATE(A30346, ""de"", ""en"")"),"demonstrations")</f>
        <v>demonstrations</v>
      </c>
    </row>
    <row r="30347">
      <c r="A30347" s="1" t="s">
        <v>30346</v>
      </c>
      <c r="B30347" s="2" t="str">
        <f>IFERROR(__xludf.DUMMYFUNCTION("GOOGLETRANSLATE(A30347, ""de"", ""en"")"),"kima")</f>
        <v>kima</v>
      </c>
    </row>
    <row r="30348">
      <c r="A30348" s="1" t="s">
        <v>30347</v>
      </c>
      <c r="B30348" s="2" t="str">
        <f>IFERROR(__xludf.DUMMYFUNCTION("GOOGLETRANSLATE(A30348, ""de"", ""en"")"),"promenade deck")</f>
        <v>promenade deck</v>
      </c>
    </row>
    <row r="30349">
      <c r="A30349" s="1" t="s">
        <v>30348</v>
      </c>
      <c r="B30349" s="2" t="str">
        <f>IFERROR(__xludf.DUMMYFUNCTION("GOOGLETRANSLATE(A30349, ""de"", ""en"")"),"bb")</f>
        <v>bb</v>
      </c>
    </row>
    <row r="30350">
      <c r="A30350" s="1" t="s">
        <v>30349</v>
      </c>
      <c r="B30350" s="2" t="str">
        <f>IFERROR(__xludf.DUMMYFUNCTION("GOOGLETRANSLATE(A30350, ""de"", ""en"")"),"jacket")</f>
        <v>jacket</v>
      </c>
    </row>
    <row r="30351">
      <c r="A30351" s="1" t="s">
        <v>30350</v>
      </c>
      <c r="B30351" s="2" t="str">
        <f>IFERROR(__xludf.DUMMYFUNCTION("GOOGLETRANSLATE(A30351, ""de"", ""en"")"),"jellyfish")</f>
        <v>jellyfish</v>
      </c>
    </row>
    <row r="30352">
      <c r="A30352" s="1" t="s">
        <v>30351</v>
      </c>
      <c r="B30352" s="2" t="str">
        <f>IFERROR(__xludf.DUMMYFUNCTION("GOOGLETRANSLATE(A30352, ""de"", ""en"")"),"tipsy")</f>
        <v>tipsy</v>
      </c>
    </row>
    <row r="30353">
      <c r="A30353" s="1" t="s">
        <v>30352</v>
      </c>
      <c r="B30353" s="2" t="str">
        <f>IFERROR(__xludf.DUMMYFUNCTION("GOOGLETRANSLATE(A30353, ""de"", ""en"")"),"stroke")</f>
        <v>stroke</v>
      </c>
    </row>
    <row r="30354">
      <c r="A30354" s="1" t="s">
        <v>30353</v>
      </c>
      <c r="B30354" s="2" t="str">
        <f>IFERROR(__xludf.DUMMYFUNCTION("GOOGLETRANSLATE(A30354, ""de"", ""en"")"),"real estate")</f>
        <v>real estate</v>
      </c>
    </row>
    <row r="30355">
      <c r="A30355" s="1" t="s">
        <v>30354</v>
      </c>
      <c r="B30355" s="2" t="str">
        <f>IFERROR(__xludf.DUMMYFUNCTION("GOOGLETRANSLATE(A30355, ""de"", ""en"")"),"priests")</f>
        <v>priests</v>
      </c>
    </row>
    <row r="30356">
      <c r="A30356" s="1" t="s">
        <v>30355</v>
      </c>
      <c r="B30356" s="2" t="str">
        <f>IFERROR(__xludf.DUMMYFUNCTION("GOOGLETRANSLATE(A30356, ""de"", ""en"")"),"granted")</f>
        <v>granted</v>
      </c>
    </row>
    <row r="30357">
      <c r="A30357" s="1" t="s">
        <v>30356</v>
      </c>
      <c r="B30357" s="2" t="str">
        <f>IFERROR(__xludf.DUMMYFUNCTION("GOOGLETRANSLATE(A30357, ""de"", ""en"")"),"cried")</f>
        <v>cried</v>
      </c>
    </row>
    <row r="30358">
      <c r="A30358" s="1" t="s">
        <v>30357</v>
      </c>
      <c r="B30358" s="2" t="str">
        <f>IFERROR(__xludf.DUMMYFUNCTION("GOOGLETRANSLATE(A30358, ""de"", ""en"")"),"degubrut")</f>
        <v>degubrut</v>
      </c>
    </row>
    <row r="30359">
      <c r="A30359" s="1" t="s">
        <v>30358</v>
      </c>
      <c r="B30359" s="2" t="str">
        <f>IFERROR(__xludf.DUMMYFUNCTION("GOOGLETRANSLATE(A30359, ""de"", ""en"")"),"bloody")</f>
        <v>bloody</v>
      </c>
    </row>
    <row r="30360">
      <c r="A30360" s="1" t="s">
        <v>30359</v>
      </c>
      <c r="B30360" s="2" t="str">
        <f>IFERROR(__xludf.DUMMYFUNCTION("GOOGLETRANSLATE(A30360, ""de"", ""en"")"),"special message")</f>
        <v>special message</v>
      </c>
    </row>
    <row r="30361">
      <c r="A30361" s="1" t="s">
        <v>30360</v>
      </c>
      <c r="B30361" s="2" t="str">
        <f>IFERROR(__xludf.DUMMYFUNCTION("GOOGLETRANSLATE(A30361, ""de"", ""en"")"),"healed")</f>
        <v>healed</v>
      </c>
    </row>
    <row r="30362">
      <c r="A30362" s="1" t="s">
        <v>30361</v>
      </c>
      <c r="B30362" s="2" t="str">
        <f>IFERROR(__xludf.DUMMYFUNCTION("GOOGLETRANSLATE(A30362, ""de"", ""en"")"),"rosy")</f>
        <v>rosy</v>
      </c>
    </row>
    <row r="30363">
      <c r="A30363" s="1" t="s">
        <v>30362</v>
      </c>
      <c r="B30363" s="2" t="str">
        <f>IFERROR(__xludf.DUMMYFUNCTION("GOOGLETRANSLATE(A30363, ""de"", ""en"")"),"oak")</f>
        <v>oak</v>
      </c>
    </row>
    <row r="30364">
      <c r="A30364" s="1" t="s">
        <v>30363</v>
      </c>
      <c r="B30364" s="2" t="str">
        <f>IFERROR(__xludf.DUMMYFUNCTION("GOOGLETRANSLATE(A30364, ""de"", ""en"")"),"hotch")</f>
        <v>hotch</v>
      </c>
    </row>
    <row r="30365">
      <c r="A30365" s="1" t="s">
        <v>30364</v>
      </c>
      <c r="B30365" s="2" t="str">
        <f>IFERROR(__xludf.DUMMYFUNCTION("GOOGLETRANSLATE(A30365, ""de"", ""en"")"),"imperial")</f>
        <v>imperial</v>
      </c>
    </row>
    <row r="30366">
      <c r="A30366" s="1" t="s">
        <v>30365</v>
      </c>
      <c r="B30366" s="2" t="str">
        <f>IFERROR(__xludf.DUMMYFUNCTION("GOOGLETRANSLATE(A30366, ""de"", ""en"")"),"simpler")</f>
        <v>simpler</v>
      </c>
    </row>
    <row r="30367">
      <c r="A30367" s="1" t="s">
        <v>30366</v>
      </c>
      <c r="B30367" s="2" t="str">
        <f>IFERROR(__xludf.DUMMYFUNCTION("GOOGLETRANSLATE(A30367, ""de"", ""en"")"),"privilege")</f>
        <v>privilege</v>
      </c>
    </row>
    <row r="30368">
      <c r="A30368" s="1" t="s">
        <v>30367</v>
      </c>
      <c r="B30368" s="2" t="str">
        <f>IFERROR(__xludf.DUMMYFUNCTION("GOOGLETRANSLATE(A30368, ""de"", ""en"")"),"roasted")</f>
        <v>roasted</v>
      </c>
    </row>
    <row r="30369">
      <c r="A30369" s="1" t="s">
        <v>30368</v>
      </c>
      <c r="B30369" s="2" t="str">
        <f>IFERROR(__xludf.DUMMYFUNCTION("GOOGLETRANSLATE(A30369, ""de"", ""en"")"),"trouble")</f>
        <v>trouble</v>
      </c>
    </row>
    <row r="30370">
      <c r="A30370" s="1" t="s">
        <v>30369</v>
      </c>
      <c r="B30370" s="2" t="str">
        <f>IFERROR(__xludf.DUMMYFUNCTION("GOOGLETRANSLATE(A30370, ""de"", ""en"")"),"shalom")</f>
        <v>shalom</v>
      </c>
    </row>
    <row r="30371">
      <c r="A30371" s="1" t="s">
        <v>30370</v>
      </c>
      <c r="B30371" s="2" t="str">
        <f>IFERROR(__xludf.DUMMYFUNCTION("GOOGLETRANSLATE(A30371, ""de"", ""en"")"),"trickster")</f>
        <v>trickster</v>
      </c>
    </row>
    <row r="30372">
      <c r="A30372" s="1" t="s">
        <v>30371</v>
      </c>
      <c r="B30372" s="2" t="str">
        <f>IFERROR(__xludf.DUMMYFUNCTION("GOOGLETRANSLATE(A30372, ""de"", ""en"")"),"stepson")</f>
        <v>stepson</v>
      </c>
    </row>
    <row r="30373">
      <c r="A30373" s="1" t="s">
        <v>30372</v>
      </c>
      <c r="B30373" s="2" t="str">
        <f>IFERROR(__xludf.DUMMYFUNCTION("GOOGLETRANSLATE(A30373, ""de"", ""en"")"),"bekir")</f>
        <v>bekir</v>
      </c>
    </row>
    <row r="30374">
      <c r="A30374" s="1" t="s">
        <v>30373</v>
      </c>
      <c r="B30374" s="2" t="str">
        <f>IFERROR(__xludf.DUMMYFUNCTION("GOOGLETRANSLATE(A30374, ""de"", ""en"")"),"switched on")</f>
        <v>switched on</v>
      </c>
    </row>
    <row r="30375">
      <c r="A30375" s="1" t="s">
        <v>30374</v>
      </c>
      <c r="B30375" s="2" t="str">
        <f>IFERROR(__xludf.DUMMYFUNCTION("GOOGLETRANSLATE(A30375, ""de"", ""en"")"),"overwhelming")</f>
        <v>overwhelming</v>
      </c>
    </row>
    <row r="30376">
      <c r="A30376" s="1" t="s">
        <v>30375</v>
      </c>
      <c r="B30376" s="2" t="str">
        <f>IFERROR(__xludf.DUMMYFUNCTION("GOOGLETRANSLATE(A30376, ""de"", ""en"")"),"get up")</f>
        <v>get up</v>
      </c>
    </row>
    <row r="30377">
      <c r="A30377" s="1" t="s">
        <v>30376</v>
      </c>
      <c r="B30377" s="2" t="str">
        <f>IFERROR(__xludf.DUMMYFUNCTION("GOOGLETRANSLATE(A30377, ""de"", ""en"")"),"to persevere")</f>
        <v>to persevere</v>
      </c>
    </row>
    <row r="30378">
      <c r="A30378" s="1" t="s">
        <v>30377</v>
      </c>
      <c r="B30378" s="2" t="str">
        <f>IFERROR(__xludf.DUMMYFUNCTION("GOOGLETRANSLATE(A30378, ""de"", ""en"")"),"pheromones")</f>
        <v>pheromones</v>
      </c>
    </row>
    <row r="30379">
      <c r="A30379" s="1" t="s">
        <v>30378</v>
      </c>
      <c r="B30379" s="2" t="str">
        <f>IFERROR(__xludf.DUMMYFUNCTION("GOOGLETRANSLATE(A30379, ""de"", ""en"")"),"grapefruit")</f>
        <v>grapefruit</v>
      </c>
    </row>
    <row r="30380">
      <c r="A30380" s="1" t="s">
        <v>30379</v>
      </c>
      <c r="B30380" s="2" t="str">
        <f>IFERROR(__xludf.DUMMYFUNCTION("GOOGLETRANSLATE(A30380, ""de"", ""en"")"),"crime scenes")</f>
        <v>crime scenes</v>
      </c>
    </row>
    <row r="30381">
      <c r="A30381" s="1" t="s">
        <v>30380</v>
      </c>
      <c r="B30381" s="2" t="str">
        <f>IFERROR(__xludf.DUMMYFUNCTION("GOOGLETRANSLATE(A30381, ""de"", ""en"")"),"preserve")</f>
        <v>preserve</v>
      </c>
    </row>
    <row r="30382">
      <c r="A30382" s="1" t="s">
        <v>30381</v>
      </c>
      <c r="B30382" s="2" t="str">
        <f>IFERROR(__xludf.DUMMYFUNCTION("GOOGLETRANSLATE(A30382, ""de"", ""en"")"),"emergency plan")</f>
        <v>emergency plan</v>
      </c>
    </row>
    <row r="30383">
      <c r="A30383" s="1" t="s">
        <v>30382</v>
      </c>
      <c r="B30383" s="2" t="str">
        <f>IFERROR(__xludf.DUMMYFUNCTION("GOOGLETRANSLATE(A30383, ""de"", ""en"")"),"feminine")</f>
        <v>feminine</v>
      </c>
    </row>
    <row r="30384">
      <c r="A30384" s="1" t="s">
        <v>30383</v>
      </c>
      <c r="B30384" s="2" t="str">
        <f>IFERROR(__xludf.DUMMYFUNCTION("GOOGLETRANSLATE(A30384, ""de"", ""en"")"),"blood flow")</f>
        <v>blood flow</v>
      </c>
    </row>
    <row r="30385">
      <c r="A30385" s="1" t="s">
        <v>30384</v>
      </c>
      <c r="B30385" s="2" t="str">
        <f>IFERROR(__xludf.DUMMYFUNCTION("GOOGLETRANSLATE(A30385, ""de"", ""en"")"),"williamson")</f>
        <v>williamson</v>
      </c>
    </row>
    <row r="30386">
      <c r="A30386" s="1" t="s">
        <v>30385</v>
      </c>
      <c r="B30386" s="2" t="str">
        <f>IFERROR(__xludf.DUMMYFUNCTION("GOOGLETRANSLATE(A30386, ""de"", ""en"")"),"psychologically")</f>
        <v>psychologically</v>
      </c>
    </row>
    <row r="30387">
      <c r="A30387" s="1" t="s">
        <v>30386</v>
      </c>
      <c r="B30387" s="2" t="str">
        <f>IFERROR(__xludf.DUMMYFUNCTION("GOOGLETRANSLATE(A30387, ""de"", ""en"")"),"joints")</f>
        <v>joints</v>
      </c>
    </row>
    <row r="30388">
      <c r="A30388" s="1" t="s">
        <v>30387</v>
      </c>
      <c r="B30388" s="2" t="str">
        <f>IFERROR(__xludf.DUMMYFUNCTION("GOOGLETRANSLATE(A30388, ""de"", ""en"")"),"southeast")</f>
        <v>southeast</v>
      </c>
    </row>
    <row r="30389">
      <c r="A30389" s="1" t="s">
        <v>30388</v>
      </c>
      <c r="B30389" s="2" t="str">
        <f>IFERROR(__xludf.DUMMYFUNCTION("GOOGLETRANSLATE(A30389, ""de"", ""en"")"),"flash")</f>
        <v>flash</v>
      </c>
    </row>
    <row r="30390">
      <c r="A30390" s="1" t="s">
        <v>30389</v>
      </c>
      <c r="B30390" s="2" t="str">
        <f>IFERROR(__xludf.DUMMYFUNCTION("GOOGLETRANSLATE(A30390, ""de"", ""en"")"),"more spiritual")</f>
        <v>more spiritual</v>
      </c>
    </row>
    <row r="30391">
      <c r="A30391" s="1" t="s">
        <v>30390</v>
      </c>
      <c r="B30391" s="2" t="str">
        <f>IFERROR(__xludf.DUMMYFUNCTION("GOOGLETRANSLATE(A30391, ""de"", ""en"")"),"remaining")</f>
        <v>remaining</v>
      </c>
    </row>
    <row r="30392">
      <c r="A30392" s="1" t="s">
        <v>30391</v>
      </c>
      <c r="B30392" s="2" t="str">
        <f>IFERROR(__xludf.DUMMYFUNCTION("GOOGLETRANSLATE(A30392, ""de"", ""en"")"),"tillman")</f>
        <v>tillman</v>
      </c>
    </row>
    <row r="30393">
      <c r="A30393" s="1" t="s">
        <v>30392</v>
      </c>
      <c r="B30393" s="2" t="str">
        <f>IFERROR(__xludf.DUMMYFUNCTION("GOOGLETRANSLATE(A30393, ""de"", ""en"")"),"pickles")</f>
        <v>pickles</v>
      </c>
    </row>
    <row r="30394">
      <c r="A30394" s="1" t="s">
        <v>30393</v>
      </c>
      <c r="B30394" s="2" t="str">
        <f>IFERROR(__xludf.DUMMYFUNCTION("GOOGLETRANSLATE(A30394, ""de"", ""en"")"),"handicap")</f>
        <v>handicap</v>
      </c>
    </row>
    <row r="30395">
      <c r="A30395" s="1" t="s">
        <v>30394</v>
      </c>
      <c r="B30395" s="2" t="str">
        <f>IFERROR(__xludf.DUMMYFUNCTION("GOOGLETRANSLATE(A30395, ""de"", ""en"")"),"surprisingly")</f>
        <v>surprisingly</v>
      </c>
    </row>
    <row r="30396">
      <c r="A30396" s="1" t="s">
        <v>30395</v>
      </c>
      <c r="B30396" s="2" t="str">
        <f>IFERROR(__xludf.DUMMYFUNCTION("GOOGLETRANSLATE(A30396, ""de"", ""en"")"),"represent")</f>
        <v>represent</v>
      </c>
    </row>
    <row r="30397">
      <c r="A30397" s="1" t="s">
        <v>30396</v>
      </c>
      <c r="B30397" s="2" t="str">
        <f>IFERROR(__xludf.DUMMYFUNCTION("GOOGLETRANSLATE(A30397, ""de"", ""en"")"),"enormous")</f>
        <v>enormous</v>
      </c>
    </row>
    <row r="30398">
      <c r="A30398" s="1" t="s">
        <v>30397</v>
      </c>
      <c r="B30398" s="2" t="str">
        <f>IFERROR(__xludf.DUMMYFUNCTION("GOOGLETRANSLATE(A30398, ""de"", ""en"")"),"cato")</f>
        <v>cato</v>
      </c>
    </row>
    <row r="30399">
      <c r="A30399" s="1" t="s">
        <v>30398</v>
      </c>
      <c r="B30399" s="2" t="str">
        <f>IFERROR(__xludf.DUMMYFUNCTION("GOOGLETRANSLATE(A30399, ""de"", ""en"")"),"fei-hung")</f>
        <v>fei-hung</v>
      </c>
    </row>
    <row r="30400">
      <c r="A30400" s="1" t="s">
        <v>30399</v>
      </c>
      <c r="B30400" s="2" t="str">
        <f>IFERROR(__xludf.DUMMYFUNCTION("GOOGLETRANSLATE(A30400, ""de"", ""en"")"),"jordy")</f>
        <v>jordy</v>
      </c>
    </row>
    <row r="30401">
      <c r="A30401" s="1" t="s">
        <v>30400</v>
      </c>
      <c r="B30401" s="2" t="str">
        <f>IFERROR(__xludf.DUMMYFUNCTION("GOOGLETRANSLATE(A30401, ""de"", ""en"")"),"mobilized")</f>
        <v>mobilized</v>
      </c>
    </row>
    <row r="30402">
      <c r="A30402" s="1" t="s">
        <v>30401</v>
      </c>
      <c r="B30402" s="2" t="str">
        <f>IFERROR(__xludf.DUMMYFUNCTION("GOOGLETRANSLATE(A30402, ""de"", ""en"")"),"weakest")</f>
        <v>weakest</v>
      </c>
    </row>
    <row r="30403">
      <c r="A30403" s="1" t="s">
        <v>30402</v>
      </c>
      <c r="B30403" s="2" t="str">
        <f>IFERROR(__xludf.DUMMYFUNCTION("GOOGLETRANSLATE(A30403, ""de"", ""en"")"),"Albin")</f>
        <v>Albin</v>
      </c>
    </row>
    <row r="30404">
      <c r="A30404" s="1" t="s">
        <v>30403</v>
      </c>
      <c r="B30404" s="2" t="str">
        <f>IFERROR(__xludf.DUMMYFUNCTION("GOOGLETRANSLATE(A30404, ""de"", ""en"")"),"melancholy")</f>
        <v>melancholy</v>
      </c>
    </row>
    <row r="30405">
      <c r="A30405" s="1" t="s">
        <v>30404</v>
      </c>
      <c r="B30405" s="2" t="str">
        <f>IFERROR(__xludf.DUMMYFUNCTION("GOOGLETRANSLATE(A30405, ""de"", ""en"")"),"Grissom")</f>
        <v>Grissom</v>
      </c>
    </row>
    <row r="30406">
      <c r="A30406" s="1" t="s">
        <v>30405</v>
      </c>
      <c r="B30406" s="2" t="str">
        <f>IFERROR(__xludf.DUMMYFUNCTION("GOOGLETRANSLATE(A30406, ""de"", ""en"")"),"snowden")</f>
        <v>snowden</v>
      </c>
    </row>
    <row r="30407">
      <c r="A30407" s="1" t="s">
        <v>30406</v>
      </c>
      <c r="B30407" s="2" t="str">
        <f>IFERROR(__xludf.DUMMYFUNCTION("GOOGLETRANSLATE(A30407, ""de"", ""en"")"),"ticking")</f>
        <v>ticking</v>
      </c>
    </row>
    <row r="30408">
      <c r="A30408" s="1" t="s">
        <v>30407</v>
      </c>
      <c r="B30408" s="2" t="str">
        <f>IFERROR(__xludf.DUMMYFUNCTION("GOOGLETRANSLATE(A30408, ""de"", ""en"")"),"crazy ones")</f>
        <v>crazy ones</v>
      </c>
    </row>
    <row r="30409">
      <c r="A30409" s="1" t="s">
        <v>30408</v>
      </c>
      <c r="B30409" s="2" t="str">
        <f>IFERROR(__xludf.DUMMYFUNCTION("GOOGLETRANSLATE(A30409, ""de"", ""en"")"),"thornhill")</f>
        <v>thornhill</v>
      </c>
    </row>
    <row r="30410">
      <c r="A30410" s="1" t="s">
        <v>30409</v>
      </c>
      <c r="B30410" s="2" t="str">
        <f>IFERROR(__xludf.DUMMYFUNCTION("GOOGLETRANSLATE(A30410, ""de"", ""en"")"),"fall asleep")</f>
        <v>fall asleep</v>
      </c>
    </row>
    <row r="30411">
      <c r="A30411" s="1" t="s">
        <v>30410</v>
      </c>
      <c r="B30411" s="2" t="str">
        <f>IFERROR(__xludf.DUMMYFUNCTION("GOOGLETRANSLATE(A30411, ""de"", ""en"")"),"bubbles")</f>
        <v>bubbles</v>
      </c>
    </row>
    <row r="30412">
      <c r="A30412" s="1" t="s">
        <v>30411</v>
      </c>
      <c r="B30412" s="2" t="str">
        <f>IFERROR(__xludf.DUMMYFUNCTION("GOOGLETRANSLATE(A30412, ""de"", ""en"")"),"fell")</f>
        <v>fell</v>
      </c>
    </row>
    <row r="30413">
      <c r="A30413" s="1" t="s">
        <v>30412</v>
      </c>
      <c r="B30413" s="2" t="str">
        <f>IFERROR(__xludf.DUMMYFUNCTION("GOOGLETRANSLATE(A30413, ""de"", ""en"")"),"misdeed")</f>
        <v>misdeed</v>
      </c>
    </row>
    <row r="30414">
      <c r="A30414" s="1" t="s">
        <v>30413</v>
      </c>
      <c r="B30414" s="2" t="str">
        <f>IFERROR(__xludf.DUMMYFUNCTION("GOOGLETRANSLATE(A30414, ""de"", ""en"")"),"excellent")</f>
        <v>excellent</v>
      </c>
    </row>
    <row r="30415">
      <c r="A30415" s="1" t="s">
        <v>30414</v>
      </c>
      <c r="B30415" s="2" t="str">
        <f>IFERROR(__xludf.DUMMYFUNCTION("GOOGLETRANSLATE(A30415, ""de"", ""en"")"),"grated")</f>
        <v>grated</v>
      </c>
    </row>
    <row r="30416">
      <c r="A30416" s="1" t="s">
        <v>30415</v>
      </c>
      <c r="B30416" s="2" t="str">
        <f>IFERROR(__xludf.DUMMYFUNCTION("GOOGLETRANSLATE(A30416, ""de"", ""en"")"),"to pull in")</f>
        <v>to pull in</v>
      </c>
    </row>
    <row r="30417">
      <c r="A30417" s="1" t="s">
        <v>30416</v>
      </c>
      <c r="B30417" s="2" t="str">
        <f>IFERROR(__xludf.DUMMYFUNCTION("GOOGLETRANSLATE(A30417, ""de"", ""en"")"),"specialties")</f>
        <v>specialties</v>
      </c>
    </row>
    <row r="30418">
      <c r="A30418" s="1" t="s">
        <v>30417</v>
      </c>
      <c r="B30418" s="2" t="str">
        <f>IFERROR(__xludf.DUMMYFUNCTION("GOOGLETRANSLATE(A30418, ""de"", ""en"")"),"nightclub")</f>
        <v>nightclub</v>
      </c>
    </row>
    <row r="30419">
      <c r="A30419" s="1" t="s">
        <v>30418</v>
      </c>
      <c r="B30419" s="2" t="str">
        <f>IFERROR(__xludf.DUMMYFUNCTION("GOOGLETRANSLATE(A30419, ""de"", ""en"")"),"bundle")</f>
        <v>bundle</v>
      </c>
    </row>
    <row r="30420">
      <c r="A30420" s="1" t="s">
        <v>30419</v>
      </c>
      <c r="B30420" s="2" t="str">
        <f>IFERROR(__xludf.DUMMYFUNCTION("GOOGLETRANSLATE(A30420, ""de"", ""en"")"),"sew on")</f>
        <v>sew on</v>
      </c>
    </row>
    <row r="30421">
      <c r="A30421" s="1" t="s">
        <v>30420</v>
      </c>
      <c r="B30421" s="2" t="str">
        <f>IFERROR(__xludf.DUMMYFUNCTION("GOOGLETRANSLATE(A30421, ""de"", ""en"")"),"pious")</f>
        <v>pious</v>
      </c>
    </row>
    <row r="30422">
      <c r="A30422" s="1" t="s">
        <v>30421</v>
      </c>
      <c r="B30422" s="2" t="str">
        <f>IFERROR(__xludf.DUMMYFUNCTION("GOOGLETRANSLATE(A30422, ""de"", ""en"")"),"seabed")</f>
        <v>seabed</v>
      </c>
    </row>
    <row r="30423">
      <c r="A30423" s="1" t="s">
        <v>30422</v>
      </c>
      <c r="B30423" s="2" t="str">
        <f>IFERROR(__xludf.DUMMYFUNCTION("GOOGLETRANSLATE(A30423, ""de"", ""en"")"),"high school")</f>
        <v>high school</v>
      </c>
    </row>
    <row r="30424">
      <c r="A30424" s="1" t="s">
        <v>30423</v>
      </c>
      <c r="B30424" s="2" t="str">
        <f>IFERROR(__xludf.DUMMYFUNCTION("GOOGLETRANSLATE(A30424, ""de"", ""en"")"),"hey")</f>
        <v>hey</v>
      </c>
    </row>
    <row r="30425">
      <c r="A30425" s="1" t="s">
        <v>30424</v>
      </c>
      <c r="B30425" s="2" t="str">
        <f>IFERROR(__xludf.DUMMYFUNCTION("GOOGLETRANSLATE(A30425, ""de"", ""en"")"),"burgess")</f>
        <v>burgess</v>
      </c>
    </row>
    <row r="30426">
      <c r="A30426" s="1" t="s">
        <v>30425</v>
      </c>
      <c r="B30426" s="2" t="str">
        <f>IFERROR(__xludf.DUMMYFUNCTION("GOOGLETRANSLATE(A30426, ""de"", ""en"")"),"ice axe")</f>
        <v>ice axe</v>
      </c>
    </row>
    <row r="30427">
      <c r="A30427" s="1" t="s">
        <v>30426</v>
      </c>
      <c r="B30427" s="2" t="str">
        <f>IFERROR(__xludf.DUMMYFUNCTION("GOOGLETRANSLATE(A30427, ""de"", ""en"")"),"singing")</f>
        <v>singing</v>
      </c>
    </row>
    <row r="30428">
      <c r="A30428" s="1" t="s">
        <v>30427</v>
      </c>
      <c r="B30428" s="2" t="str">
        <f>IFERROR(__xludf.DUMMYFUNCTION("GOOGLETRANSLATE(A30428, ""de"", ""en"")"),"wrong path")</f>
        <v>wrong path</v>
      </c>
    </row>
    <row r="30429">
      <c r="A30429" s="1" t="s">
        <v>30428</v>
      </c>
      <c r="B30429" s="2" t="str">
        <f>IFERROR(__xludf.DUMMYFUNCTION("GOOGLETRANSLATE(A30429, ""de"", ""en"")"),"logged out")</f>
        <v>logged out</v>
      </c>
    </row>
    <row r="30430">
      <c r="A30430" s="1" t="s">
        <v>30429</v>
      </c>
      <c r="B30430" s="2" t="str">
        <f>IFERROR(__xludf.DUMMYFUNCTION("GOOGLETRANSLATE(A30430, ""de"", ""en"")"),"weakest")</f>
        <v>weakest</v>
      </c>
    </row>
    <row r="30431">
      <c r="A30431" s="1" t="s">
        <v>30430</v>
      </c>
      <c r="B30431" s="2" t="str">
        <f>IFERROR(__xludf.DUMMYFUNCTION("GOOGLETRANSLATE(A30431, ""de"", ""en"")"),"stick")</f>
        <v>stick</v>
      </c>
    </row>
    <row r="30432">
      <c r="A30432" s="1" t="s">
        <v>30431</v>
      </c>
      <c r="B30432" s="2" t="str">
        <f>IFERROR(__xludf.DUMMYFUNCTION("GOOGLETRANSLATE(A30432, ""de"", ""en"")"),"hill")</f>
        <v>hill</v>
      </c>
    </row>
    <row r="30433">
      <c r="A30433" s="1" t="s">
        <v>30432</v>
      </c>
      <c r="B30433" s="2" t="str">
        <f>IFERROR(__xludf.DUMMYFUNCTION("GOOGLETRANSLATE(A30433, ""de"", ""en"")"),"transient")</f>
        <v>transient</v>
      </c>
    </row>
    <row r="30434">
      <c r="A30434" s="1" t="s">
        <v>30433</v>
      </c>
      <c r="B30434" s="2" t="str">
        <f>IFERROR(__xludf.DUMMYFUNCTION("GOOGLETRANSLATE(A30434, ""de"", ""en"")"),"moni")</f>
        <v>moni</v>
      </c>
    </row>
    <row r="30435">
      <c r="A30435" s="1" t="s">
        <v>30434</v>
      </c>
      <c r="B30435" s="2" t="str">
        <f>IFERROR(__xludf.DUMMYFUNCTION("GOOGLETRANSLATE(A30435, ""de"", ""en"")"),"handed over")</f>
        <v>handed over</v>
      </c>
    </row>
    <row r="30436">
      <c r="A30436" s="1" t="s">
        <v>30435</v>
      </c>
      <c r="B30436" s="2" t="str">
        <f>IFERROR(__xludf.DUMMYFUNCTION("GOOGLETRANSLATE(A30436, ""de"", ""en"")"),"deserted")</f>
        <v>deserted</v>
      </c>
    </row>
    <row r="30437">
      <c r="A30437" s="1" t="s">
        <v>30436</v>
      </c>
      <c r="B30437" s="2" t="str">
        <f>IFERROR(__xludf.DUMMYFUNCTION("GOOGLETRANSLATE(A30437, ""de"", ""en"")"),"holosuite")</f>
        <v>holosuite</v>
      </c>
    </row>
    <row r="30438">
      <c r="A30438" s="1" t="s">
        <v>30437</v>
      </c>
      <c r="B30438" s="2" t="str">
        <f>IFERROR(__xludf.DUMMYFUNCTION("GOOGLETRANSLATE(A30438, ""de"", ""en"")"),"examining magistrate")</f>
        <v>examining magistrate</v>
      </c>
    </row>
    <row r="30439">
      <c r="A30439" s="1" t="s">
        <v>30438</v>
      </c>
      <c r="B30439" s="2" t="str">
        <f>IFERROR(__xludf.DUMMYFUNCTION("GOOGLETRANSLATE(A30439, ""de"", ""en"")"),"federico")</f>
        <v>federico</v>
      </c>
    </row>
    <row r="30440">
      <c r="A30440" s="1" t="s">
        <v>30439</v>
      </c>
      <c r="B30440" s="2" t="str">
        <f>IFERROR(__xludf.DUMMYFUNCTION("GOOGLETRANSLATE(A30440, ""de"", ""en"")"),"apply")</f>
        <v>apply</v>
      </c>
    </row>
    <row r="30441">
      <c r="A30441" s="1" t="s">
        <v>30440</v>
      </c>
      <c r="B30441" s="2" t="str">
        <f>IFERROR(__xludf.DUMMYFUNCTION("GOOGLETRANSLATE(A30441, ""de"", ""en"")"),"have off")</f>
        <v>have off</v>
      </c>
    </row>
    <row r="30442">
      <c r="A30442" s="1" t="s">
        <v>30441</v>
      </c>
      <c r="B30442" s="2" t="str">
        <f>IFERROR(__xludf.DUMMYFUNCTION("GOOGLETRANSLATE(A30442, ""de"", ""en"")"),"takeda")</f>
        <v>takeda</v>
      </c>
    </row>
    <row r="30443">
      <c r="A30443" s="1" t="s">
        <v>30442</v>
      </c>
      <c r="B30443" s="2" t="str">
        <f>IFERROR(__xludf.DUMMYFUNCTION("GOOGLETRANSLATE(A30443, ""de"", ""en"")"),"Jolene")</f>
        <v>Jolene</v>
      </c>
    </row>
    <row r="30444">
      <c r="A30444" s="1" t="s">
        <v>30443</v>
      </c>
      <c r="B30444" s="2" t="str">
        <f>IFERROR(__xludf.DUMMYFUNCTION("GOOGLETRANSLATE(A30444, ""de"", ""en"")"),"crystal")</f>
        <v>crystal</v>
      </c>
    </row>
    <row r="30445">
      <c r="A30445" s="1" t="s">
        <v>30444</v>
      </c>
      <c r="B30445" s="2" t="str">
        <f>IFERROR(__xludf.DUMMYFUNCTION("GOOGLETRANSLATE(A30445, ""de"", ""en"")"),"grow")</f>
        <v>grow</v>
      </c>
    </row>
    <row r="30446">
      <c r="A30446" s="1" t="s">
        <v>30445</v>
      </c>
      <c r="B30446" s="2" t="str">
        <f>IFERROR(__xludf.DUMMYFUNCTION("GOOGLETRANSLATE(A30446, ""de"", ""en"")"),"competitor")</f>
        <v>competitor</v>
      </c>
    </row>
    <row r="30447">
      <c r="A30447" s="1" t="s">
        <v>30446</v>
      </c>
      <c r="B30447" s="2" t="str">
        <f>IFERROR(__xludf.DUMMYFUNCTION("GOOGLETRANSLATE(A30447, ""de"", ""en"")"),"crush")</f>
        <v>crush</v>
      </c>
    </row>
    <row r="30448">
      <c r="A30448" s="1" t="s">
        <v>30447</v>
      </c>
      <c r="B30448" s="2" t="str">
        <f>IFERROR(__xludf.DUMMYFUNCTION("GOOGLETRANSLATE(A30448, ""de"", ""en"")"),"rally")</f>
        <v>rally</v>
      </c>
    </row>
    <row r="30449">
      <c r="A30449" s="1" t="s">
        <v>30448</v>
      </c>
      <c r="B30449" s="2" t="str">
        <f>IFERROR(__xludf.DUMMYFUNCTION("GOOGLETRANSLATE(A30449, ""de"", ""en"")"),"discontent")</f>
        <v>discontent</v>
      </c>
    </row>
    <row r="30450">
      <c r="A30450" s="1" t="s">
        <v>30449</v>
      </c>
      <c r="B30450" s="2" t="str">
        <f>IFERROR(__xludf.DUMMYFUNCTION("GOOGLETRANSLATE(A30450, ""de"", ""en"")"),"overnight stay")</f>
        <v>overnight stay</v>
      </c>
    </row>
    <row r="30451">
      <c r="A30451" s="1" t="s">
        <v>30450</v>
      </c>
      <c r="B30451" s="2" t="str">
        <f>IFERROR(__xludf.DUMMYFUNCTION("GOOGLETRANSLATE(A30451, ""de"", ""en"")"),"nano")</f>
        <v>nano</v>
      </c>
    </row>
    <row r="30452">
      <c r="A30452" s="1" t="s">
        <v>30451</v>
      </c>
      <c r="B30452" s="2" t="str">
        <f>IFERROR(__xludf.DUMMYFUNCTION("GOOGLETRANSLATE(A30452, ""de"", ""en"")"),"Matisse")</f>
        <v>Matisse</v>
      </c>
    </row>
    <row r="30453">
      <c r="A30453" s="1" t="s">
        <v>30452</v>
      </c>
      <c r="B30453" s="2" t="str">
        <f>IFERROR(__xludf.DUMMYFUNCTION("GOOGLETRANSLATE(A30453, ""de"", ""en"")"),"shit")</f>
        <v>shit</v>
      </c>
    </row>
    <row r="30454">
      <c r="A30454" s="1" t="s">
        <v>30453</v>
      </c>
      <c r="B30454" s="2" t="str">
        <f>IFERROR(__xludf.DUMMYFUNCTION("GOOGLETRANSLATE(A30454, ""de"", ""en"")"),"alina")</f>
        <v>alina</v>
      </c>
    </row>
    <row r="30455">
      <c r="A30455" s="1" t="s">
        <v>30454</v>
      </c>
      <c r="B30455" s="2" t="str">
        <f>IFERROR(__xludf.DUMMYFUNCTION("GOOGLETRANSLATE(A30455, ""de"", ""en"")"),"downing")</f>
        <v>downing</v>
      </c>
    </row>
    <row r="30456">
      <c r="A30456" s="1" t="s">
        <v>30455</v>
      </c>
      <c r="B30456" s="2" t="str">
        <f>IFERROR(__xludf.DUMMYFUNCTION("GOOGLETRANSLATE(A30456, ""de"", ""en"")"),"rudd")</f>
        <v>rudd</v>
      </c>
    </row>
    <row r="30457">
      <c r="A30457" s="1" t="s">
        <v>30456</v>
      </c>
      <c r="B30457" s="2" t="str">
        <f>IFERROR(__xludf.DUMMYFUNCTION("GOOGLETRANSLATE(A30457, ""de"", ""en"")"),"concede")</f>
        <v>concede</v>
      </c>
    </row>
    <row r="30458">
      <c r="A30458" s="1" t="s">
        <v>30457</v>
      </c>
      <c r="B30458" s="2" t="str">
        <f>IFERROR(__xludf.DUMMYFUNCTION("GOOGLETRANSLATE(A30458, ""de"", ""en"")"),"develop further")</f>
        <v>develop further</v>
      </c>
    </row>
    <row r="30459">
      <c r="A30459" s="1" t="s">
        <v>30458</v>
      </c>
      <c r="B30459" s="2" t="str">
        <f>IFERROR(__xludf.DUMMYFUNCTION("GOOGLETRANSLATE(A30459, ""de"", ""en"")"),"button")</f>
        <v>button</v>
      </c>
    </row>
    <row r="30460">
      <c r="A30460" s="1" t="s">
        <v>30459</v>
      </c>
      <c r="B30460" s="2" t="str">
        <f>IFERROR(__xludf.DUMMYFUNCTION("GOOGLETRANSLATE(A30460, ""de"", ""en"")"),"drool")</f>
        <v>drool</v>
      </c>
    </row>
    <row r="30461">
      <c r="A30461" s="1" t="s">
        <v>30460</v>
      </c>
      <c r="B30461" s="2" t="str">
        <f>IFERROR(__xludf.DUMMYFUNCTION("GOOGLETRANSLATE(A30461, ""de"", ""en"")"),"imposition")</f>
        <v>imposition</v>
      </c>
    </row>
    <row r="30462">
      <c r="A30462" s="1" t="s">
        <v>30461</v>
      </c>
      <c r="B30462" s="2" t="str">
        <f>IFERROR(__xludf.DUMMYFUNCTION("GOOGLETRANSLATE(A30462, ""de"", ""en"")"),"everywhere")</f>
        <v>everywhere</v>
      </c>
    </row>
    <row r="30463">
      <c r="A30463" s="1" t="s">
        <v>30462</v>
      </c>
      <c r="B30463" s="2" t="str">
        <f>IFERROR(__xludf.DUMMYFUNCTION("GOOGLETRANSLATE(A30463, ""de"", ""en"")"),"jarle")</f>
        <v>jarle</v>
      </c>
    </row>
    <row r="30464">
      <c r="A30464" s="1" t="s">
        <v>30463</v>
      </c>
      <c r="B30464" s="2" t="str">
        <f>IFERROR(__xludf.DUMMYFUNCTION("GOOGLETRANSLATE(A30464, ""de"", ""en"")"),"neural")</f>
        <v>neural</v>
      </c>
    </row>
    <row r="30465">
      <c r="A30465" s="1" t="s">
        <v>30464</v>
      </c>
      <c r="B30465" s="2" t="str">
        <f>IFERROR(__xludf.DUMMYFUNCTION("GOOGLETRANSLATE(A30465, ""de"", ""en"")"),"lino")</f>
        <v>lino</v>
      </c>
    </row>
    <row r="30466">
      <c r="A30466" s="1" t="s">
        <v>30465</v>
      </c>
      <c r="B30466" s="2" t="str">
        <f>IFERROR(__xludf.DUMMYFUNCTION("GOOGLETRANSLATE(A30466, ""de"", ""en"")"),"thanked")</f>
        <v>thanked</v>
      </c>
    </row>
    <row r="30467">
      <c r="A30467" s="1" t="s">
        <v>30466</v>
      </c>
      <c r="B30467" s="2" t="str">
        <f>IFERROR(__xludf.DUMMYFUNCTION("GOOGLETRANSLATE(A30467, ""de"", ""en"")"),"gennaro")</f>
        <v>gennaro</v>
      </c>
    </row>
    <row r="30468">
      <c r="A30468" s="1" t="s">
        <v>30467</v>
      </c>
      <c r="B30468" s="2" t="str">
        <f>IFERROR(__xludf.DUMMYFUNCTION("GOOGLETRANSLATE(A30468, ""de"", ""en"")"),"pushed under")</f>
        <v>pushed under</v>
      </c>
    </row>
    <row r="30469">
      <c r="A30469" s="1" t="s">
        <v>30468</v>
      </c>
      <c r="B30469" s="2" t="str">
        <f>IFERROR(__xludf.DUMMYFUNCTION("GOOGLETRANSLATE(A30469, ""de"", ""en"")"),"dwarves")</f>
        <v>dwarves</v>
      </c>
    </row>
    <row r="30470">
      <c r="A30470" s="1" t="s">
        <v>30469</v>
      </c>
      <c r="B30470" s="2" t="str">
        <f>IFERROR(__xludf.DUMMYFUNCTION("GOOGLETRANSLATE(A30470, ""de"", ""en"")"),"want to go")</f>
        <v>want to go</v>
      </c>
    </row>
    <row r="30471">
      <c r="A30471" s="1" t="s">
        <v>30470</v>
      </c>
      <c r="B30471" s="2" t="str">
        <f>IFERROR(__xludf.DUMMYFUNCTION("GOOGLETRANSLATE(A30471, ""de"", ""en"")"),"blow")</f>
        <v>blow</v>
      </c>
    </row>
    <row r="30472">
      <c r="A30472" s="1" t="s">
        <v>30471</v>
      </c>
      <c r="B30472" s="2" t="str">
        <f>IFERROR(__xludf.DUMMYFUNCTION("GOOGLETRANSLATE(A30472, ""de"", ""en"")"),"half naked")</f>
        <v>half naked</v>
      </c>
    </row>
    <row r="30473">
      <c r="A30473" s="1" t="s">
        <v>30472</v>
      </c>
      <c r="B30473" s="2" t="str">
        <f>IFERROR(__xludf.DUMMYFUNCTION("GOOGLETRANSLATE(A30473, ""de"", ""en"")"),"mojo")</f>
        <v>mojo</v>
      </c>
    </row>
    <row r="30474">
      <c r="A30474" s="1" t="s">
        <v>30473</v>
      </c>
      <c r="B30474" s="2" t="str">
        <f>IFERROR(__xludf.DUMMYFUNCTION("GOOGLETRANSLATE(A30474, ""de"", ""en"")"),"enough")</f>
        <v>enough</v>
      </c>
    </row>
    <row r="30475">
      <c r="A30475" s="1" t="s">
        <v>30474</v>
      </c>
      <c r="B30475" s="2" t="str">
        <f>IFERROR(__xludf.DUMMYFUNCTION("GOOGLETRANSLATE(A30475, ""de"", ""en"")"),"found")</f>
        <v>found</v>
      </c>
    </row>
    <row r="30476">
      <c r="A30476" s="1" t="s">
        <v>30475</v>
      </c>
      <c r="B30476" s="2" t="str">
        <f>IFERROR(__xludf.DUMMYFUNCTION("GOOGLETRANSLATE(A30476, ""de"", ""en"")"),"heroic act")</f>
        <v>heroic act</v>
      </c>
    </row>
    <row r="30477">
      <c r="A30477" s="1" t="s">
        <v>30476</v>
      </c>
      <c r="B30477" s="2" t="str">
        <f>IFERROR(__xludf.DUMMYFUNCTION("GOOGLETRANSLATE(A30477, ""de"", ""en"")"),"fm")</f>
        <v>fm</v>
      </c>
    </row>
    <row r="30478">
      <c r="A30478" s="1" t="s">
        <v>30477</v>
      </c>
      <c r="B30478" s="2" t="str">
        <f>IFERROR(__xludf.DUMMYFUNCTION("GOOGLETRANSLATE(A30478, ""de"", ""en"")"),"vile")</f>
        <v>vile</v>
      </c>
    </row>
    <row r="30479">
      <c r="A30479" s="1" t="s">
        <v>30478</v>
      </c>
      <c r="B30479" s="2" t="str">
        <f>IFERROR(__xludf.DUMMYFUNCTION("GOOGLETRANSLATE(A30479, ""de"", ""en"")"),"yong")</f>
        <v>yong</v>
      </c>
    </row>
    <row r="30480">
      <c r="A30480" s="1" t="s">
        <v>30479</v>
      </c>
      <c r="B30480" s="2" t="str">
        <f>IFERROR(__xludf.DUMMYFUNCTION("GOOGLETRANSLATE(A30480, ""de"", ""en"")"),"actual")</f>
        <v>actual</v>
      </c>
    </row>
    <row r="30481">
      <c r="A30481" s="1" t="s">
        <v>30480</v>
      </c>
      <c r="B30481" s="2" t="str">
        <f>IFERROR(__xludf.DUMMYFUNCTION("GOOGLETRANSLATE(A30481, ""de"", ""en"")"),"Hildegard")</f>
        <v>Hildegard</v>
      </c>
    </row>
    <row r="30482">
      <c r="A30482" s="1" t="s">
        <v>30481</v>
      </c>
      <c r="B30482" s="2" t="str">
        <f>IFERROR(__xludf.DUMMYFUNCTION("GOOGLETRANSLATE(A30482, ""de"", ""en"")"),"relative")</f>
        <v>relative</v>
      </c>
    </row>
    <row r="30483">
      <c r="A30483" s="1" t="s">
        <v>30482</v>
      </c>
      <c r="B30483" s="2" t="str">
        <f>IFERROR(__xludf.DUMMYFUNCTION("GOOGLETRANSLATE(A30483, ""de"", ""en"")"),"re-entry")</f>
        <v>re-entry</v>
      </c>
    </row>
    <row r="30484">
      <c r="A30484" s="1" t="s">
        <v>30483</v>
      </c>
      <c r="B30484" s="2" t="str">
        <f>IFERROR(__xludf.DUMMYFUNCTION("GOOGLETRANSLATE(A30484, ""de"", ""en"")"),"Trisha")</f>
        <v>Trisha</v>
      </c>
    </row>
    <row r="30485">
      <c r="A30485" s="1" t="s">
        <v>30484</v>
      </c>
      <c r="B30485" s="2" t="str">
        <f>IFERROR(__xludf.DUMMYFUNCTION("GOOGLETRANSLATE(A30485, ""de"", ""en"")"),"jase")</f>
        <v>jase</v>
      </c>
    </row>
    <row r="30486">
      <c r="A30486" s="1" t="s">
        <v>30485</v>
      </c>
      <c r="B30486" s="2" t="str">
        <f>IFERROR(__xludf.DUMMYFUNCTION("GOOGLETRANSLATE(A30486, ""de"", ""en"")"),"extensive")</f>
        <v>extensive</v>
      </c>
    </row>
    <row r="30487">
      <c r="A30487" s="1" t="s">
        <v>30486</v>
      </c>
      <c r="B30487" s="2" t="str">
        <f>IFERROR(__xludf.DUMMYFUNCTION("GOOGLETRANSLATE(A30487, ""de"", ""en"")"),"keep safe")</f>
        <v>keep safe</v>
      </c>
    </row>
    <row r="30488">
      <c r="A30488" s="1" t="s">
        <v>30487</v>
      </c>
      <c r="B30488" s="2" t="str">
        <f>IFERROR(__xludf.DUMMYFUNCTION("GOOGLETRANSLATE(A30488, ""de"", ""en"")"),"middleton")</f>
        <v>middleton</v>
      </c>
    </row>
    <row r="30489">
      <c r="A30489" s="1" t="s">
        <v>30488</v>
      </c>
      <c r="B30489" s="2" t="str">
        <f>IFERROR(__xludf.DUMMYFUNCTION("GOOGLETRANSLATE(A30489, ""de"", ""en"")"),"wallets")</f>
        <v>wallets</v>
      </c>
    </row>
    <row r="30490">
      <c r="A30490" s="1" t="s">
        <v>30489</v>
      </c>
      <c r="B30490" s="2" t="str">
        <f>IFERROR(__xludf.DUMMYFUNCTION("GOOGLETRANSLATE(A30490, ""de"", ""en"")"),"plank")</f>
        <v>plank</v>
      </c>
    </row>
    <row r="30491">
      <c r="A30491" s="1" t="s">
        <v>30490</v>
      </c>
      <c r="B30491" s="2" t="str">
        <f>IFERROR(__xludf.DUMMYFUNCTION("GOOGLETRANSLATE(A30491, ""de"", ""en"")"),"writer")</f>
        <v>writer</v>
      </c>
    </row>
    <row r="30492">
      <c r="A30492" s="1" t="s">
        <v>30491</v>
      </c>
      <c r="B30492" s="2" t="str">
        <f>IFERROR(__xludf.DUMMYFUNCTION("GOOGLETRANSLATE(A30492, ""de"", ""en"")"),"envoys")</f>
        <v>envoys</v>
      </c>
    </row>
    <row r="30493">
      <c r="A30493" s="1" t="s">
        <v>30492</v>
      </c>
      <c r="B30493" s="2" t="str">
        <f>IFERROR(__xludf.DUMMYFUNCTION("GOOGLETRANSLATE(A30493, ""de"", ""en"")"),"state")</f>
        <v>state</v>
      </c>
    </row>
    <row r="30494">
      <c r="A30494" s="1" t="s">
        <v>30493</v>
      </c>
      <c r="B30494" s="2" t="str">
        <f>IFERROR(__xludf.DUMMYFUNCTION("GOOGLETRANSLATE(A30494, ""de"", ""en"")"),"push of a button")</f>
        <v>push of a button</v>
      </c>
    </row>
    <row r="30495">
      <c r="A30495" s="1" t="s">
        <v>30494</v>
      </c>
      <c r="B30495" s="2" t="str">
        <f>IFERROR(__xludf.DUMMYFUNCTION("GOOGLETRANSLATE(A30495, ""de"", ""en"")"),"greeted")</f>
        <v>greeted</v>
      </c>
    </row>
    <row r="30496">
      <c r="A30496" s="1" t="s">
        <v>30495</v>
      </c>
      <c r="B30496" s="2" t="str">
        <f>IFERROR(__xludf.DUMMYFUNCTION("GOOGLETRANSLATE(A30496, ""de"", ""en"")"),"successful")</f>
        <v>successful</v>
      </c>
    </row>
    <row r="30497">
      <c r="A30497" s="1" t="s">
        <v>30496</v>
      </c>
      <c r="B30497" s="2" t="str">
        <f>IFERROR(__xludf.DUMMYFUNCTION("GOOGLETRANSLATE(A30497, ""de"", ""en"")"),"rana")</f>
        <v>rana</v>
      </c>
    </row>
    <row r="30498">
      <c r="A30498" s="1" t="s">
        <v>30497</v>
      </c>
      <c r="B30498" s="2" t="str">
        <f>IFERROR(__xludf.DUMMYFUNCTION("GOOGLETRANSLATE(A30498, ""de"", ""en"")"),"hemorrhoids")</f>
        <v>hemorrhoids</v>
      </c>
    </row>
    <row r="30499">
      <c r="A30499" s="1" t="s">
        <v>30498</v>
      </c>
      <c r="B30499" s="2" t="str">
        <f>IFERROR(__xludf.DUMMYFUNCTION("GOOGLETRANSLATE(A30499, ""de"", ""en"")"),"throbs")</f>
        <v>throbs</v>
      </c>
    </row>
    <row r="30500">
      <c r="A30500" s="1" t="s">
        <v>30499</v>
      </c>
      <c r="B30500" s="2" t="str">
        <f>IFERROR(__xludf.DUMMYFUNCTION("GOOGLETRANSLATE(A30500, ""de"", ""en"")"),"Nepal")</f>
        <v>Nepal</v>
      </c>
    </row>
    <row r="30501">
      <c r="A30501" s="1" t="s">
        <v>30500</v>
      </c>
      <c r="B30501" s="2" t="str">
        <f>IFERROR(__xludf.DUMMYFUNCTION("GOOGLETRANSLATE(A30501, ""de"", ""en"")"),"droplet")</f>
        <v>droplet</v>
      </c>
    </row>
    <row r="30502">
      <c r="A30502" s="1" t="s">
        <v>30501</v>
      </c>
      <c r="B30502" s="2" t="str">
        <f>IFERROR(__xludf.DUMMYFUNCTION("GOOGLETRANSLATE(A30502, ""de"", ""en"")"),"forever")</f>
        <v>forever</v>
      </c>
    </row>
    <row r="30503">
      <c r="A30503" s="1" t="s">
        <v>30502</v>
      </c>
      <c r="B30503" s="2" t="str">
        <f>IFERROR(__xludf.DUMMYFUNCTION("GOOGLETRANSLATE(A30503, ""de"", ""en"")"),"teamed up")</f>
        <v>teamed up</v>
      </c>
    </row>
    <row r="30504">
      <c r="A30504" s="1" t="s">
        <v>30503</v>
      </c>
      <c r="B30504" s="2" t="str">
        <f>IFERROR(__xludf.DUMMYFUNCTION("GOOGLETRANSLATE(A30504, ""de"", ""en"")"),"cultivated")</f>
        <v>cultivated</v>
      </c>
    </row>
    <row r="30505">
      <c r="A30505" s="1" t="s">
        <v>30504</v>
      </c>
      <c r="B30505" s="2" t="str">
        <f>IFERROR(__xludf.DUMMYFUNCTION("GOOGLETRANSLATE(A30505, ""de"", ""en"")"),"trembling")</f>
        <v>trembling</v>
      </c>
    </row>
    <row r="30506">
      <c r="A30506" s="1" t="s">
        <v>30505</v>
      </c>
      <c r="B30506" s="2" t="str">
        <f>IFERROR(__xludf.DUMMYFUNCTION("GOOGLETRANSLATE(A30506, ""de"", ""en"")"),"while")</f>
        <v>while</v>
      </c>
    </row>
    <row r="30507">
      <c r="A30507" s="1" t="s">
        <v>30506</v>
      </c>
      <c r="B30507" s="2" t="str">
        <f>IFERROR(__xludf.DUMMYFUNCTION("GOOGLETRANSLATE(A30507, ""de"", ""en"")"),"foggy")</f>
        <v>foggy</v>
      </c>
    </row>
    <row r="30508">
      <c r="A30508" s="1" t="s">
        <v>30507</v>
      </c>
      <c r="B30508" s="2" t="str">
        <f>IFERROR(__xludf.DUMMYFUNCTION("GOOGLETRANSLATE(A30508, ""de"", ""en"")"),"annoyed")</f>
        <v>annoyed</v>
      </c>
    </row>
    <row r="30509">
      <c r="A30509" s="1" t="s">
        <v>30508</v>
      </c>
      <c r="B30509" s="2" t="str">
        <f>IFERROR(__xludf.DUMMYFUNCTION("GOOGLETRANSLATE(A30509, ""de"", ""en"")"),"Nemesis")</f>
        <v>Nemesis</v>
      </c>
    </row>
    <row r="30510">
      <c r="A30510" s="1" t="s">
        <v>30509</v>
      </c>
      <c r="B30510" s="2" t="str">
        <f>IFERROR(__xludf.DUMMYFUNCTION("GOOGLETRANSLATE(A30510, ""de"", ""en"")"),"vernissage")</f>
        <v>vernissage</v>
      </c>
    </row>
    <row r="30511">
      <c r="A30511" s="1" t="s">
        <v>30510</v>
      </c>
      <c r="B30511" s="2" t="str">
        <f>IFERROR(__xludf.DUMMYFUNCTION("GOOGLETRANSLATE(A30511, ""de"", ""en"")"),"eighty")</f>
        <v>eighty</v>
      </c>
    </row>
    <row r="30512">
      <c r="A30512" s="1" t="s">
        <v>30511</v>
      </c>
      <c r="B30512" s="2" t="str">
        <f>IFERROR(__xludf.DUMMYFUNCTION("GOOGLETRANSLATE(A30512, ""de"", ""en"")"),"transferred")</f>
        <v>transferred</v>
      </c>
    </row>
    <row r="30513">
      <c r="A30513" s="1" t="s">
        <v>30512</v>
      </c>
      <c r="B30513" s="2" t="str">
        <f>IFERROR(__xludf.DUMMYFUNCTION("GOOGLETRANSLATE(A30513, ""de"", ""en"")"),"specific")</f>
        <v>specific</v>
      </c>
    </row>
    <row r="30514">
      <c r="A30514" s="1" t="s">
        <v>30513</v>
      </c>
      <c r="B30514" s="2" t="str">
        <f>IFERROR(__xludf.DUMMYFUNCTION("GOOGLETRANSLATE(A30514, ""de"", ""en"")"),"larrys")</f>
        <v>larrys</v>
      </c>
    </row>
    <row r="30515">
      <c r="A30515" s="1" t="s">
        <v>30514</v>
      </c>
      <c r="B30515" s="2" t="str">
        <f>IFERROR(__xludf.DUMMYFUNCTION("GOOGLETRANSLATE(A30515, ""de"", ""en"")"),"free")</f>
        <v>free</v>
      </c>
    </row>
    <row r="30516">
      <c r="A30516" s="1" t="s">
        <v>30515</v>
      </c>
      <c r="B30516" s="2" t="str">
        <f>IFERROR(__xludf.DUMMYFUNCTION("GOOGLETRANSLATE(A30516, ""de"", ""en"")"),"melancholic ones")</f>
        <v>melancholic ones</v>
      </c>
    </row>
    <row r="30517">
      <c r="A30517" s="1" t="s">
        <v>30516</v>
      </c>
      <c r="B30517" s="2" t="str">
        <f>IFERROR(__xludf.DUMMYFUNCTION("GOOGLETRANSLATE(A30517, ""de"", ""en"")"),"leda")</f>
        <v>leda</v>
      </c>
    </row>
    <row r="30518">
      <c r="A30518" s="1" t="s">
        <v>30517</v>
      </c>
      <c r="B30518" s="2" t="str">
        <f>IFERROR(__xludf.DUMMYFUNCTION("GOOGLETRANSLATE(A30518, ""de"", ""en"")"),"biter")</f>
        <v>biter</v>
      </c>
    </row>
    <row r="30519">
      <c r="A30519" s="1" t="s">
        <v>30518</v>
      </c>
      <c r="B30519" s="2" t="str">
        <f>IFERROR(__xludf.DUMMYFUNCTION("GOOGLETRANSLATE(A30519, ""de"", ""en"")"),"criminal defense attorney")</f>
        <v>criminal defense attorney</v>
      </c>
    </row>
    <row r="30520">
      <c r="A30520" s="1" t="s">
        <v>30519</v>
      </c>
      <c r="B30520" s="2" t="str">
        <f>IFERROR(__xludf.DUMMYFUNCTION("GOOGLETRANSLATE(A30520, ""de"", ""en"")"),"Simon")</f>
        <v>Simon</v>
      </c>
    </row>
    <row r="30521">
      <c r="A30521" s="1" t="s">
        <v>30520</v>
      </c>
      <c r="B30521" s="2" t="str">
        <f>IFERROR(__xludf.DUMMYFUNCTION("GOOGLETRANSLATE(A30521, ""de"", ""en"")"),"spoiled")</f>
        <v>spoiled</v>
      </c>
    </row>
    <row r="30522">
      <c r="A30522" s="1" t="s">
        <v>30521</v>
      </c>
      <c r="B30522" s="2" t="str">
        <f>IFERROR(__xludf.DUMMYFUNCTION("GOOGLETRANSLATE(A30522, ""de"", ""en"")"),"asta")</f>
        <v>asta</v>
      </c>
    </row>
    <row r="30523">
      <c r="A30523" s="1" t="s">
        <v>30522</v>
      </c>
      <c r="B30523" s="2" t="str">
        <f>IFERROR(__xludf.DUMMYFUNCTION("GOOGLETRANSLATE(A30523, ""de"", ""en"")"),"drive home")</f>
        <v>drive home</v>
      </c>
    </row>
    <row r="30524">
      <c r="A30524" s="1" t="s">
        <v>30523</v>
      </c>
      <c r="B30524" s="2" t="str">
        <f>IFERROR(__xludf.DUMMYFUNCTION("GOOGLETRANSLATE(A30524, ""de"", ""en"")"),"alley")</f>
        <v>alley</v>
      </c>
    </row>
    <row r="30525">
      <c r="A30525" s="1" t="s">
        <v>30524</v>
      </c>
      <c r="B30525" s="2" t="str">
        <f>IFERROR(__xludf.DUMMYFUNCTION("GOOGLETRANSLATE(A30525, ""de"", ""en"")"),"computer voice")</f>
        <v>computer voice</v>
      </c>
    </row>
    <row r="30526">
      <c r="A30526" s="1" t="s">
        <v>30525</v>
      </c>
      <c r="B30526" s="2" t="str">
        <f>IFERROR(__xludf.DUMMYFUNCTION("GOOGLETRANSLATE(A30526, ""de"", ""en"")"),"touched")</f>
        <v>touched</v>
      </c>
    </row>
    <row r="30527">
      <c r="A30527" s="1" t="s">
        <v>30526</v>
      </c>
      <c r="B30527" s="2" t="str">
        <f>IFERROR(__xludf.DUMMYFUNCTION("GOOGLETRANSLATE(A30527, ""de"", ""en"")"),"latif")</f>
        <v>latif</v>
      </c>
    </row>
    <row r="30528">
      <c r="A30528" s="1" t="s">
        <v>30527</v>
      </c>
      <c r="B30528" s="2" t="str">
        <f>IFERROR(__xludf.DUMMYFUNCTION("GOOGLETRANSLATE(A30528, ""de"", ""en"")"),"fragment")</f>
        <v>fragment</v>
      </c>
    </row>
    <row r="30529">
      <c r="A30529" s="1" t="s">
        <v>30528</v>
      </c>
      <c r="B30529" s="2" t="str">
        <f>IFERROR(__xludf.DUMMYFUNCTION("GOOGLETRANSLATE(A30529, ""de"", ""en"")"),"control")</f>
        <v>control</v>
      </c>
    </row>
    <row r="30530">
      <c r="A30530" s="1" t="s">
        <v>30529</v>
      </c>
      <c r="B30530" s="2" t="str">
        <f>IFERROR(__xludf.DUMMYFUNCTION("GOOGLETRANSLATE(A30530, ""de"", ""en"")"),"modest")</f>
        <v>modest</v>
      </c>
    </row>
    <row r="30531">
      <c r="A30531" s="1" t="s">
        <v>30530</v>
      </c>
      <c r="B30531" s="2" t="str">
        <f>IFERROR(__xludf.DUMMYFUNCTION("GOOGLETRANSLATE(A30531, ""de"", ""en"")"),"to sit around")</f>
        <v>to sit around</v>
      </c>
    </row>
    <row r="30532">
      <c r="A30532" s="1" t="s">
        <v>30531</v>
      </c>
      <c r="B30532" s="2" t="str">
        <f>IFERROR(__xludf.DUMMYFUNCTION("GOOGLETRANSLATE(A30532, ""de"", ""en"")"),"chance of survival")</f>
        <v>chance of survival</v>
      </c>
    </row>
    <row r="30533">
      <c r="A30533" s="1" t="s">
        <v>30532</v>
      </c>
      <c r="B30533" s="2" t="str">
        <f>IFERROR(__xludf.DUMMYFUNCTION("GOOGLETRANSLATE(A30533, ""de"", ""en"")"),"more sophisticated")</f>
        <v>more sophisticated</v>
      </c>
    </row>
    <row r="30534">
      <c r="A30534" s="1" t="s">
        <v>30533</v>
      </c>
      <c r="B30534" s="2" t="str">
        <f>IFERROR(__xludf.DUMMYFUNCTION("GOOGLETRANSLATE(A30534, ""de"", ""en"")"),"bois")</f>
        <v>bois</v>
      </c>
    </row>
    <row r="30535">
      <c r="A30535" s="1" t="s">
        <v>30534</v>
      </c>
      <c r="B30535" s="2" t="str">
        <f>IFERROR(__xludf.DUMMYFUNCTION("GOOGLETRANSLATE(A30535, ""de"", ""en"")"),"sprayed")</f>
        <v>sprayed</v>
      </c>
    </row>
    <row r="30536">
      <c r="A30536" s="1" t="s">
        <v>30535</v>
      </c>
      <c r="B30536" s="2" t="str">
        <f>IFERROR(__xludf.DUMMYFUNCTION("GOOGLETRANSLATE(A30536, ""de"", ""en"")"),"genders")</f>
        <v>genders</v>
      </c>
    </row>
    <row r="30537">
      <c r="A30537" s="1" t="s">
        <v>30536</v>
      </c>
      <c r="B30537" s="2" t="str">
        <f>IFERROR(__xludf.DUMMYFUNCTION("GOOGLETRANSLATE(A30537, ""de"", ""en"")"),"brain tumor")</f>
        <v>brain tumor</v>
      </c>
    </row>
    <row r="30538">
      <c r="A30538" s="1" t="s">
        <v>30537</v>
      </c>
      <c r="B30538" s="2" t="str">
        <f>IFERROR(__xludf.DUMMYFUNCTION("GOOGLETRANSLATE(A30538, ""de"", ""en"")"),"fame")</f>
        <v>fame</v>
      </c>
    </row>
    <row r="30539">
      <c r="A30539" s="1" t="s">
        <v>30538</v>
      </c>
      <c r="B30539" s="2" t="str">
        <f>IFERROR(__xludf.DUMMYFUNCTION("GOOGLETRANSLATE(A30539, ""de"", ""en"")"),"elke")</f>
        <v>elke</v>
      </c>
    </row>
    <row r="30540">
      <c r="A30540" s="1" t="s">
        <v>30539</v>
      </c>
      <c r="B30540" s="2" t="str">
        <f>IFERROR(__xludf.DUMMYFUNCTION("GOOGLETRANSLATE(A30540, ""de"", ""en"")"),"substantiate")</f>
        <v>substantiate</v>
      </c>
    </row>
    <row r="30541">
      <c r="A30541" s="1" t="s">
        <v>30540</v>
      </c>
      <c r="B30541" s="2" t="str">
        <f>IFERROR(__xludf.DUMMYFUNCTION("GOOGLETRANSLATE(A30541, ""de"", ""en"")"),"nike")</f>
        <v>nike</v>
      </c>
    </row>
    <row r="30542">
      <c r="A30542" s="1" t="s">
        <v>30541</v>
      </c>
      <c r="B30542" s="2" t="str">
        <f>IFERROR(__xludf.DUMMYFUNCTION("GOOGLETRANSLATE(A30542, ""de"", ""en"")"),"buona")</f>
        <v>buona</v>
      </c>
    </row>
    <row r="30543">
      <c r="A30543" s="1" t="s">
        <v>30542</v>
      </c>
      <c r="B30543" s="2" t="str">
        <f>IFERROR(__xludf.DUMMYFUNCTION("GOOGLETRANSLATE(A30543, ""de"", ""en"")"),"radish")</f>
        <v>radish</v>
      </c>
    </row>
    <row r="30544">
      <c r="A30544" s="1" t="s">
        <v>30543</v>
      </c>
      <c r="B30544" s="2" t="str">
        <f>IFERROR(__xludf.DUMMYFUNCTION("GOOGLETRANSLATE(A30544, ""de"", ""en"")"),"hugged")</f>
        <v>hugged</v>
      </c>
    </row>
    <row r="30545">
      <c r="A30545" s="1" t="s">
        <v>30544</v>
      </c>
      <c r="B30545" s="2" t="str">
        <f>IFERROR(__xludf.DUMMYFUNCTION("GOOGLETRANSLATE(A30545, ""de"", ""en"")"),"melt")</f>
        <v>melt</v>
      </c>
    </row>
    <row r="30546">
      <c r="A30546" s="1" t="s">
        <v>30545</v>
      </c>
      <c r="B30546" s="2" t="str">
        <f>IFERROR(__xludf.DUMMYFUNCTION("GOOGLETRANSLATE(A30546, ""de"", ""en"")"),"straps")</f>
        <v>straps</v>
      </c>
    </row>
    <row r="30547">
      <c r="A30547" s="1" t="s">
        <v>30546</v>
      </c>
      <c r="B30547" s="2" t="str">
        <f>IFERROR(__xludf.DUMMYFUNCTION("GOOGLETRANSLATE(A30547, ""de"", ""en"")"),"queue")</f>
        <v>queue</v>
      </c>
    </row>
    <row r="30548">
      <c r="A30548" s="1" t="s">
        <v>30547</v>
      </c>
      <c r="B30548" s="2" t="str">
        <f>IFERROR(__xludf.DUMMYFUNCTION("GOOGLETRANSLATE(A30548, ""de"", ""en"")"),"serve up")</f>
        <v>serve up</v>
      </c>
    </row>
    <row r="30549">
      <c r="A30549" s="1" t="s">
        <v>30548</v>
      </c>
      <c r="B30549" s="2" t="str">
        <f>IFERROR(__xludf.DUMMYFUNCTION("GOOGLETRANSLATE(A30549, ""de"", ""en"")"),"city ​​administration")</f>
        <v>city ​​administration</v>
      </c>
    </row>
    <row r="30550">
      <c r="A30550" s="1" t="s">
        <v>30549</v>
      </c>
      <c r="B30550" s="2" t="str">
        <f>IFERROR(__xludf.DUMMYFUNCTION("GOOGLETRANSLATE(A30550, ""de"", ""en"")"),"scar")</f>
        <v>scar</v>
      </c>
    </row>
    <row r="30551">
      <c r="A30551" s="1" t="s">
        <v>30550</v>
      </c>
      <c r="B30551" s="2" t="str">
        <f>IFERROR(__xludf.DUMMYFUNCTION("GOOGLETRANSLATE(A30551, ""de"", ""en"")"),"slumbers")</f>
        <v>slumbers</v>
      </c>
    </row>
    <row r="30552">
      <c r="A30552" s="1" t="s">
        <v>30551</v>
      </c>
      <c r="B30552" s="2" t="str">
        <f>IFERROR(__xludf.DUMMYFUNCTION("GOOGLETRANSLATE(A30552, ""de"", ""en"")"),"brat")</f>
        <v>brat</v>
      </c>
    </row>
    <row r="30553">
      <c r="A30553" s="1" t="s">
        <v>30552</v>
      </c>
      <c r="B30553" s="2" t="str">
        <f>IFERROR(__xludf.DUMMYFUNCTION("GOOGLETRANSLATE(A30553, ""de"", ""en"")"),"elis")</f>
        <v>elis</v>
      </c>
    </row>
    <row r="30554">
      <c r="A30554" s="1" t="s">
        <v>30553</v>
      </c>
      <c r="B30554" s="2" t="str">
        <f>IFERROR(__xludf.DUMMYFUNCTION("GOOGLETRANSLATE(A30554, ""de"", ""en"")"),"wedding cake")</f>
        <v>wedding cake</v>
      </c>
    </row>
    <row r="30555">
      <c r="A30555" s="1" t="s">
        <v>30554</v>
      </c>
      <c r="B30555" s="2" t="str">
        <f>IFERROR(__xludf.DUMMYFUNCTION("GOOGLETRANSLATE(A30555, ""de"", ""en"")"),"crazy")</f>
        <v>crazy</v>
      </c>
    </row>
    <row r="30556">
      <c r="A30556" s="1" t="s">
        <v>30555</v>
      </c>
      <c r="B30556" s="2" t="str">
        <f>IFERROR(__xludf.DUMMYFUNCTION("GOOGLETRANSLATE(A30556, ""de"", ""en"")"),"cooked ones")</f>
        <v>cooked ones</v>
      </c>
    </row>
    <row r="30557">
      <c r="A30557" s="1" t="s">
        <v>30556</v>
      </c>
      <c r="B30557" s="2" t="str">
        <f>IFERROR(__xludf.DUMMYFUNCTION("GOOGLETRANSLATE(A30557, ""de"", ""en"")"),"genre")</f>
        <v>genre</v>
      </c>
    </row>
    <row r="30558">
      <c r="A30558" s="1" t="s">
        <v>30557</v>
      </c>
      <c r="B30558" s="2" t="str">
        <f>IFERROR(__xludf.DUMMYFUNCTION("GOOGLETRANSLATE(A30558, ""de"", ""en"")"),"jessup")</f>
        <v>jessup</v>
      </c>
    </row>
    <row r="30559">
      <c r="A30559" s="1" t="s">
        <v>30558</v>
      </c>
      <c r="B30559" s="2" t="str">
        <f>IFERROR(__xludf.DUMMYFUNCTION("GOOGLETRANSLATE(A30559, ""de"", ""en"")"),"sometimes")</f>
        <v>sometimes</v>
      </c>
    </row>
    <row r="30560">
      <c r="A30560" s="1" t="s">
        <v>30559</v>
      </c>
      <c r="B30560" s="2" t="str">
        <f>IFERROR(__xludf.DUMMYFUNCTION("GOOGLETRANSLATE(A30560, ""de"", ""en"")"),"paranoid")</f>
        <v>paranoid</v>
      </c>
    </row>
    <row r="30561">
      <c r="A30561" s="1" t="s">
        <v>30560</v>
      </c>
      <c r="B30561" s="2" t="str">
        <f>IFERROR(__xludf.DUMMYFUNCTION("GOOGLETRANSLATE(A30561, ""de"", ""en"")"),"pour")</f>
        <v>pour</v>
      </c>
    </row>
    <row r="30562">
      <c r="A30562" s="1" t="s">
        <v>30561</v>
      </c>
      <c r="B30562" s="2" t="str">
        <f>IFERROR(__xludf.DUMMYFUNCTION("GOOGLETRANSLATE(A30562, ""de"", ""en"")"),"inherited")</f>
        <v>inherited</v>
      </c>
    </row>
    <row r="30563">
      <c r="A30563" s="1" t="s">
        <v>30562</v>
      </c>
      <c r="B30563" s="2" t="str">
        <f>IFERROR(__xludf.DUMMYFUNCTION("GOOGLETRANSLATE(A30563, ""de"", ""en"")"),"tangible")</f>
        <v>tangible</v>
      </c>
    </row>
    <row r="30564">
      <c r="A30564" s="1" t="s">
        <v>30563</v>
      </c>
      <c r="B30564" s="2" t="str">
        <f>IFERROR(__xludf.DUMMYFUNCTION("GOOGLETRANSLATE(A30564, ""de"", ""en"")"),"tripled")</f>
        <v>tripled</v>
      </c>
    </row>
    <row r="30565">
      <c r="A30565" s="1" t="s">
        <v>30564</v>
      </c>
      <c r="B30565" s="2" t="str">
        <f>IFERROR(__xludf.DUMMYFUNCTION("GOOGLETRANSLATE(A30565, ""de"", ""en"")"),"hideous")</f>
        <v>hideous</v>
      </c>
    </row>
    <row r="30566">
      <c r="A30566" s="1" t="s">
        <v>30565</v>
      </c>
      <c r="B30566" s="2" t="str">
        <f>IFERROR(__xludf.DUMMYFUNCTION("GOOGLETRANSLATE(A30566, ""de"", ""en"")"),"Frankenstein's")</f>
        <v>Frankenstein's</v>
      </c>
    </row>
    <row r="30567">
      <c r="A30567" s="1" t="s">
        <v>30566</v>
      </c>
      <c r="B30567" s="2" t="str">
        <f>IFERROR(__xludf.DUMMYFUNCTION("GOOGLETRANSLATE(A30567, ""de"", ""en"")"),"networks")</f>
        <v>networks</v>
      </c>
    </row>
    <row r="30568">
      <c r="A30568" s="1" t="s">
        <v>30567</v>
      </c>
      <c r="B30568" s="2" t="str">
        <f>IFERROR(__xludf.DUMMYFUNCTION("GOOGLETRANSLATE(A30568, ""de"", ""en"")"),"Leone")</f>
        <v>Leone</v>
      </c>
    </row>
    <row r="30569">
      <c r="A30569" s="1" t="s">
        <v>30568</v>
      </c>
      <c r="B30569" s="2" t="str">
        <f>IFERROR(__xludf.DUMMYFUNCTION("GOOGLETRANSLATE(A30569, ""de"", ""en"")"),"prejudice")</f>
        <v>prejudice</v>
      </c>
    </row>
    <row r="30570">
      <c r="A30570" s="1" t="s">
        <v>30569</v>
      </c>
      <c r="B30570" s="2" t="str">
        <f>IFERROR(__xludf.DUMMYFUNCTION("GOOGLETRANSLATE(A30570, ""de"", ""en"")"),"rehab clinic")</f>
        <v>rehab clinic</v>
      </c>
    </row>
    <row r="30571">
      <c r="A30571" s="1" t="s">
        <v>30570</v>
      </c>
      <c r="B30571" s="2" t="str">
        <f>IFERROR(__xludf.DUMMYFUNCTION("GOOGLETRANSLATE(A30571, ""de"", ""en"")"),"more sincere")</f>
        <v>more sincere</v>
      </c>
    </row>
    <row r="30572">
      <c r="A30572" s="1" t="s">
        <v>30571</v>
      </c>
      <c r="B30572" s="2" t="str">
        <f>IFERROR(__xludf.DUMMYFUNCTION("GOOGLETRANSLATE(A30572, ""de"", ""en"")"),"tv5monde")</f>
        <v>tv5monde</v>
      </c>
    </row>
    <row r="30573">
      <c r="A30573" s="1" t="s">
        <v>30572</v>
      </c>
      <c r="B30573" s="2" t="str">
        <f>IFERROR(__xludf.DUMMYFUNCTION("GOOGLETRANSLATE(A30573, ""de"", ""en"")"),"heat wave")</f>
        <v>heat wave</v>
      </c>
    </row>
    <row r="30574">
      <c r="A30574" s="1" t="s">
        <v>30573</v>
      </c>
      <c r="B30574" s="2" t="str">
        <f>IFERROR(__xludf.DUMMYFUNCTION("GOOGLETRANSLATE(A30574, ""de"", ""en"")"),"soak")</f>
        <v>soak</v>
      </c>
    </row>
    <row r="30575">
      <c r="A30575" s="1" t="s">
        <v>30574</v>
      </c>
      <c r="B30575" s="2" t="str">
        <f>IFERROR(__xludf.DUMMYFUNCTION("GOOGLETRANSLATE(A30575, ""de"", ""en"")"),"gullible")</f>
        <v>gullible</v>
      </c>
    </row>
    <row r="30576">
      <c r="A30576" s="1" t="s">
        <v>30575</v>
      </c>
      <c r="B30576" s="2" t="str">
        <f>IFERROR(__xludf.DUMMYFUNCTION("GOOGLETRANSLATE(A30576, ""de"", ""en"")"),"judys")</f>
        <v>judys</v>
      </c>
    </row>
    <row r="30577">
      <c r="A30577" s="1" t="s">
        <v>30576</v>
      </c>
      <c r="B30577" s="2" t="str">
        <f>IFERROR(__xludf.DUMMYFUNCTION("GOOGLETRANSLATE(A30577, ""de"", ""en"")"),"barricade")</f>
        <v>barricade</v>
      </c>
    </row>
    <row r="30578">
      <c r="A30578" s="1" t="s">
        <v>30577</v>
      </c>
      <c r="B30578" s="2" t="str">
        <f>IFERROR(__xludf.DUMMYFUNCTION("GOOGLETRANSLATE(A30578, ""de"", ""en"")"),"taught")</f>
        <v>taught</v>
      </c>
    </row>
    <row r="30579">
      <c r="A30579" s="1" t="s">
        <v>30578</v>
      </c>
      <c r="B30579" s="2" t="str">
        <f>IFERROR(__xludf.DUMMYFUNCTION("GOOGLETRANSLATE(A30579, ""de"", ""en"")"),"painted")</f>
        <v>painted</v>
      </c>
    </row>
    <row r="30580">
      <c r="A30580" s="1" t="s">
        <v>30579</v>
      </c>
      <c r="B30580" s="2" t="str">
        <f>IFERROR(__xludf.DUMMYFUNCTION("GOOGLETRANSLATE(A30580, ""de"", ""en"")"),"Augusta")</f>
        <v>Augusta</v>
      </c>
    </row>
    <row r="30581">
      <c r="A30581" s="1" t="s">
        <v>30580</v>
      </c>
      <c r="B30581" s="2" t="str">
        <f>IFERROR(__xludf.DUMMYFUNCTION("GOOGLETRANSLATE(A30581, ""de"", ""en"")"),"trouble")</f>
        <v>trouble</v>
      </c>
    </row>
    <row r="30582">
      <c r="A30582" s="1" t="s">
        <v>30581</v>
      </c>
      <c r="B30582" s="2" t="str">
        <f>IFERROR(__xludf.DUMMYFUNCTION("GOOGLETRANSLATE(A30582, ""de"", ""en"")"),"lend")</f>
        <v>lend</v>
      </c>
    </row>
    <row r="30583">
      <c r="A30583" s="1" t="s">
        <v>30582</v>
      </c>
      <c r="B30583" s="2" t="str">
        <f>IFERROR(__xludf.DUMMYFUNCTION("GOOGLETRANSLATE(A30583, ""de"", ""en"")"),"dines")</f>
        <v>dines</v>
      </c>
    </row>
    <row r="30584">
      <c r="A30584" s="1" t="s">
        <v>30583</v>
      </c>
      <c r="B30584" s="2" t="str">
        <f>IFERROR(__xludf.DUMMYFUNCTION("GOOGLETRANSLATE(A30584, ""de"", ""en"")"),"Christmas day")</f>
        <v>Christmas day</v>
      </c>
    </row>
    <row r="30585">
      <c r="A30585" s="1" t="s">
        <v>30584</v>
      </c>
      <c r="B30585" s="2" t="str">
        <f>IFERROR(__xludf.DUMMYFUNCTION("GOOGLETRANSLATE(A30585, ""de"", ""en"")"),"instructed")</f>
        <v>instructed</v>
      </c>
    </row>
    <row r="30586">
      <c r="A30586" s="1" t="s">
        <v>30585</v>
      </c>
      <c r="B30586" s="2" t="str">
        <f>IFERROR(__xludf.DUMMYFUNCTION("GOOGLETRANSLATE(A30586, ""de"", ""en"")"),"chuckles")</f>
        <v>chuckles</v>
      </c>
    </row>
    <row r="30587">
      <c r="A30587" s="1" t="s">
        <v>30586</v>
      </c>
      <c r="B30587" s="2" t="str">
        <f>IFERROR(__xludf.DUMMYFUNCTION("GOOGLETRANSLATE(A30587, ""de"", ""en"")"),"ungrateful")</f>
        <v>ungrateful</v>
      </c>
    </row>
    <row r="30588">
      <c r="A30588" s="1" t="s">
        <v>30587</v>
      </c>
      <c r="B30588" s="2" t="str">
        <f>IFERROR(__xludf.DUMMYFUNCTION("GOOGLETRANSLATE(A30588, ""de"", ""en"")"),"marchand")</f>
        <v>marchand</v>
      </c>
    </row>
    <row r="30589">
      <c r="A30589" s="1" t="s">
        <v>30588</v>
      </c>
      <c r="B30589" s="2" t="str">
        <f>IFERROR(__xludf.DUMMYFUNCTION("GOOGLETRANSLATE(A30589, ""de"", ""en"")"),"Confucius")</f>
        <v>Confucius</v>
      </c>
    </row>
    <row r="30590">
      <c r="A30590" s="1" t="s">
        <v>30589</v>
      </c>
      <c r="B30590" s="2" t="str">
        <f>IFERROR(__xludf.DUMMYFUNCTION("GOOGLETRANSLATE(A30590, ""de"", ""en"")"),"theseus")</f>
        <v>theseus</v>
      </c>
    </row>
    <row r="30591">
      <c r="A30591" s="1" t="s">
        <v>30590</v>
      </c>
      <c r="B30591" s="2" t="str">
        <f>IFERROR(__xludf.DUMMYFUNCTION("GOOGLETRANSLATE(A30591, ""de"", ""en"")"),"crown")</f>
        <v>crown</v>
      </c>
    </row>
    <row r="30592">
      <c r="A30592" s="1" t="s">
        <v>30591</v>
      </c>
      <c r="B30592" s="2" t="str">
        <f>IFERROR(__xludf.DUMMYFUNCTION("GOOGLETRANSLATE(A30592, ""de"", ""en"")"),"joiner")</f>
        <v>joiner</v>
      </c>
    </row>
    <row r="30593">
      <c r="A30593" s="1" t="s">
        <v>30592</v>
      </c>
      <c r="B30593" s="2" t="str">
        <f>IFERROR(__xludf.DUMMYFUNCTION("GOOGLETRANSLATE(A30593, ""de"", ""en"")"),"enrico")</f>
        <v>enrico</v>
      </c>
    </row>
    <row r="30594">
      <c r="A30594" s="1" t="s">
        <v>30593</v>
      </c>
      <c r="B30594" s="2" t="str">
        <f>IFERROR(__xludf.DUMMYFUNCTION("GOOGLETRANSLATE(A30594, ""de"", ""en"")"),"monthly")</f>
        <v>monthly</v>
      </c>
    </row>
    <row r="30595">
      <c r="A30595" s="1" t="s">
        <v>30594</v>
      </c>
      <c r="B30595" s="2" t="str">
        <f>IFERROR(__xludf.DUMMYFUNCTION("GOOGLETRANSLATE(A30595, ""de"", ""en"")"),"demetrius")</f>
        <v>demetrius</v>
      </c>
    </row>
    <row r="30596">
      <c r="A30596" s="1" t="s">
        <v>30595</v>
      </c>
      <c r="B30596" s="2" t="str">
        <f>IFERROR(__xludf.DUMMYFUNCTION("GOOGLETRANSLATE(A30596, ""de"", ""en"")"),"collapse")</f>
        <v>collapse</v>
      </c>
    </row>
    <row r="30597">
      <c r="A30597" s="1" t="s">
        <v>30596</v>
      </c>
      <c r="B30597" s="2" t="str">
        <f>IFERROR(__xludf.DUMMYFUNCTION("GOOGLETRANSLATE(A30597, ""de"", ""en"")"),"mango")</f>
        <v>mango</v>
      </c>
    </row>
    <row r="30598">
      <c r="A30598" s="1" t="s">
        <v>30597</v>
      </c>
      <c r="B30598" s="2" t="str">
        <f>IFERROR(__xludf.DUMMYFUNCTION("GOOGLETRANSLATE(A30598, ""de"", ""en"")"),"assimilated")</f>
        <v>assimilated</v>
      </c>
    </row>
    <row r="30599">
      <c r="A30599" s="1" t="s">
        <v>30598</v>
      </c>
      <c r="B30599" s="2" t="str">
        <f>IFERROR(__xludf.DUMMYFUNCTION("GOOGLETRANSLATE(A30599, ""de"", ""en"")"),"verb")</f>
        <v>verb</v>
      </c>
    </row>
    <row r="30600">
      <c r="A30600" s="1" t="s">
        <v>30599</v>
      </c>
      <c r="B30600" s="2" t="str">
        <f>IFERROR(__xludf.DUMMYFUNCTION("GOOGLETRANSLATE(A30600, ""de"", ""en"")"),"visible")</f>
        <v>visible</v>
      </c>
    </row>
    <row r="30601">
      <c r="A30601" s="1" t="s">
        <v>30600</v>
      </c>
      <c r="B30601" s="2" t="str">
        <f>IFERROR(__xludf.DUMMYFUNCTION("GOOGLETRANSLATE(A30601, ""de"", ""en"")"),"rat hole")</f>
        <v>rat hole</v>
      </c>
    </row>
    <row r="30602">
      <c r="A30602" s="1" t="s">
        <v>30601</v>
      </c>
      <c r="B30602" s="2" t="str">
        <f>IFERROR(__xludf.DUMMYFUNCTION("GOOGLETRANSLATE(A30602, ""de"", ""en"")"),"heroes")</f>
        <v>heroes</v>
      </c>
    </row>
    <row r="30603">
      <c r="A30603" s="1" t="s">
        <v>30602</v>
      </c>
      <c r="B30603" s="2" t="str">
        <f>IFERROR(__xludf.DUMMYFUNCTION("GOOGLETRANSLATE(A30603, ""de"", ""en"")"),"earle")</f>
        <v>earle</v>
      </c>
    </row>
    <row r="30604">
      <c r="A30604" s="1" t="s">
        <v>30603</v>
      </c>
      <c r="B30604" s="2" t="str">
        <f>IFERROR(__xludf.DUMMYFUNCTION("GOOGLETRANSLATE(A30604, ""de"", ""en"")"),"written")</f>
        <v>written</v>
      </c>
    </row>
    <row r="30605">
      <c r="A30605" s="1" t="s">
        <v>30604</v>
      </c>
      <c r="B30605" s="2" t="str">
        <f>IFERROR(__xludf.DUMMYFUNCTION("GOOGLETRANSLATE(A30605, ""de"", ""en"")"),"floorboards")</f>
        <v>floorboards</v>
      </c>
    </row>
    <row r="30606">
      <c r="A30606" s="1" t="s">
        <v>30605</v>
      </c>
      <c r="B30606" s="2" t="str">
        <f>IFERROR(__xludf.DUMMYFUNCTION("GOOGLETRANSLATE(A30606, ""de"", ""en"")"),"future")</f>
        <v>future</v>
      </c>
    </row>
    <row r="30607">
      <c r="A30607" s="1" t="s">
        <v>30606</v>
      </c>
      <c r="B30607" s="2" t="str">
        <f>IFERROR(__xludf.DUMMYFUNCTION("GOOGLETRANSLATE(A30607, ""de"", ""en"")"),"ese")</f>
        <v>ese</v>
      </c>
    </row>
    <row r="30608">
      <c r="A30608" s="1" t="s">
        <v>30607</v>
      </c>
      <c r="B30608" s="2" t="str">
        <f>IFERROR(__xludf.DUMMYFUNCTION("GOOGLETRANSLATE(A30608, ""de"", ""en"")"),"nikolaj")</f>
        <v>nikolaj</v>
      </c>
    </row>
    <row r="30609">
      <c r="A30609" s="1" t="s">
        <v>30608</v>
      </c>
      <c r="B30609" s="2" t="str">
        <f>IFERROR(__xludf.DUMMYFUNCTION("GOOGLETRANSLATE(A30609, ""de"", ""en"")"),"tulip")</f>
        <v>tulip</v>
      </c>
    </row>
    <row r="30610">
      <c r="A30610" s="1" t="s">
        <v>30609</v>
      </c>
      <c r="B30610" s="2" t="str">
        <f>IFERROR(__xludf.DUMMYFUNCTION("GOOGLETRANSLATE(A30610, ""de"", ""en"")"),"excursion")</f>
        <v>excursion</v>
      </c>
    </row>
    <row r="30611">
      <c r="A30611" s="1" t="s">
        <v>30610</v>
      </c>
      <c r="B30611" s="2" t="str">
        <f>IFERROR(__xludf.DUMMYFUNCTION("GOOGLETRANSLATE(A30611, ""de"", ""en"")"),"telephone conversation")</f>
        <v>telephone conversation</v>
      </c>
    </row>
    <row r="30612">
      <c r="A30612" s="1" t="s">
        <v>30611</v>
      </c>
      <c r="B30612" s="2" t="str">
        <f>IFERROR(__xludf.DUMMYFUNCTION("GOOGLETRANSLATE(A30612, ""de"", ""en"")"),"practices")</f>
        <v>practices</v>
      </c>
    </row>
    <row r="30613">
      <c r="A30613" s="1" t="s">
        <v>30612</v>
      </c>
      <c r="B30613" s="2" t="str">
        <f>IFERROR(__xludf.DUMMYFUNCTION("GOOGLETRANSLATE(A30613, ""de"", ""en"")"),"spoiled")</f>
        <v>spoiled</v>
      </c>
    </row>
    <row r="30614">
      <c r="A30614" s="1" t="s">
        <v>30613</v>
      </c>
      <c r="B30614" s="2" t="str">
        <f>IFERROR(__xludf.DUMMYFUNCTION("GOOGLETRANSLATE(A30614, ""de"", ""en"")"),"saxophone")</f>
        <v>saxophone</v>
      </c>
    </row>
    <row r="30615">
      <c r="A30615" s="1" t="s">
        <v>30614</v>
      </c>
      <c r="B30615" s="2" t="str">
        <f>IFERROR(__xludf.DUMMYFUNCTION("GOOGLETRANSLATE(A30615, ""de"", ""en"")"),"kieker")</f>
        <v>kieker</v>
      </c>
    </row>
    <row r="30616">
      <c r="A30616" s="1" t="s">
        <v>30615</v>
      </c>
      <c r="B30616" s="2" t="str">
        <f>IFERROR(__xludf.DUMMYFUNCTION("GOOGLETRANSLATE(A30616, ""de"", ""en"")"),"disturbed")</f>
        <v>disturbed</v>
      </c>
    </row>
    <row r="30617">
      <c r="A30617" s="1" t="s">
        <v>30616</v>
      </c>
      <c r="B30617" s="2" t="str">
        <f>IFERROR(__xludf.DUMMYFUNCTION("GOOGLETRANSLATE(A30617, ""de"", ""en"")"),"market")</f>
        <v>market</v>
      </c>
    </row>
    <row r="30618">
      <c r="A30618" s="1" t="s">
        <v>30617</v>
      </c>
      <c r="B30618" s="2" t="str">
        <f>IFERROR(__xludf.DUMMYFUNCTION("GOOGLETRANSLATE(A30618, ""de"", ""en"")"),"slept")</f>
        <v>slept</v>
      </c>
    </row>
    <row r="30619">
      <c r="A30619" s="1" t="s">
        <v>30618</v>
      </c>
      <c r="B30619" s="2" t="str">
        <f>IFERROR(__xludf.DUMMYFUNCTION("GOOGLETRANSLATE(A30619, ""de"", ""en"")"),"organs")</f>
        <v>organs</v>
      </c>
    </row>
    <row r="30620">
      <c r="A30620" s="1" t="s">
        <v>30619</v>
      </c>
      <c r="B30620" s="2" t="str">
        <f>IFERROR(__xludf.DUMMYFUNCTION("GOOGLETRANSLATE(A30620, ""de"", ""en"")"),"burdock")</f>
        <v>burdock</v>
      </c>
    </row>
    <row r="30621">
      <c r="A30621" s="1" t="s">
        <v>30620</v>
      </c>
      <c r="B30621" s="2" t="str">
        <f>IFERROR(__xludf.DUMMYFUNCTION("GOOGLETRANSLATE(A30621, ""de"", ""en"")"),"decline")</f>
        <v>decline</v>
      </c>
    </row>
    <row r="30622">
      <c r="A30622" s="1" t="s">
        <v>30621</v>
      </c>
      <c r="B30622" s="2" t="str">
        <f>IFERROR(__xludf.DUMMYFUNCTION("GOOGLETRANSLATE(A30622, ""de"", ""en"")"),"annoying")</f>
        <v>annoying</v>
      </c>
    </row>
    <row r="30623">
      <c r="A30623" s="1" t="s">
        <v>30622</v>
      </c>
      <c r="B30623" s="2" t="str">
        <f>IFERROR(__xludf.DUMMYFUNCTION("GOOGLETRANSLATE(A30623, ""de"", ""en"")"),"xbox")</f>
        <v>xbox</v>
      </c>
    </row>
    <row r="30624">
      <c r="A30624" s="1" t="s">
        <v>30623</v>
      </c>
      <c r="B30624" s="2" t="str">
        <f>IFERROR(__xludf.DUMMYFUNCTION("GOOGLETRANSLATE(A30624, ""de"", ""en"")"),"yun")</f>
        <v>yun</v>
      </c>
    </row>
    <row r="30625">
      <c r="A30625" s="1" t="s">
        <v>30624</v>
      </c>
      <c r="B30625" s="2" t="str">
        <f>IFERROR(__xludf.DUMMYFUNCTION("GOOGLETRANSLATE(A30625, ""de"", ""en"")"),"eye color")</f>
        <v>eye color</v>
      </c>
    </row>
    <row r="30626">
      <c r="A30626" s="1" t="s">
        <v>30625</v>
      </c>
      <c r="B30626" s="2" t="str">
        <f>IFERROR(__xludf.DUMMYFUNCTION("GOOGLETRANSLATE(A30626, ""de"", ""en"")"),"hieroglyphs")</f>
        <v>hieroglyphs</v>
      </c>
    </row>
    <row r="30627">
      <c r="A30627" s="1" t="s">
        <v>30626</v>
      </c>
      <c r="B30627" s="2" t="str">
        <f>IFERROR(__xludf.DUMMYFUNCTION("GOOGLETRANSLATE(A30627, ""de"", ""en"")"),"Howards")</f>
        <v>Howards</v>
      </c>
    </row>
    <row r="30628">
      <c r="A30628" s="1" t="s">
        <v>30627</v>
      </c>
      <c r="B30628" s="2" t="str">
        <f>IFERROR(__xludf.DUMMYFUNCTION("GOOGLETRANSLATE(A30628, ""de"", ""en"")"),"death row")</f>
        <v>death row</v>
      </c>
    </row>
    <row r="30629">
      <c r="A30629" s="1" t="s">
        <v>30628</v>
      </c>
      <c r="B30629" s="2" t="str">
        <f>IFERROR(__xludf.DUMMYFUNCTION("GOOGLETRANSLATE(A30629, ""de"", ""en"")"),"affectionate")</f>
        <v>affectionate</v>
      </c>
    </row>
    <row r="30630">
      <c r="A30630" s="1" t="s">
        <v>30629</v>
      </c>
      <c r="B30630" s="2" t="str">
        <f>IFERROR(__xludf.DUMMYFUNCTION("GOOGLETRANSLATE(A30630, ""de"", ""en"")"),"strive for")</f>
        <v>strive for</v>
      </c>
    </row>
    <row r="30631">
      <c r="A30631" s="1" t="s">
        <v>30630</v>
      </c>
      <c r="B30631" s="2" t="str">
        <f>IFERROR(__xludf.DUMMYFUNCTION("GOOGLETRANSLATE(A30631, ""de"", ""en"")"),"ditto")</f>
        <v>ditto</v>
      </c>
    </row>
    <row r="30632">
      <c r="A30632" s="1" t="s">
        <v>30631</v>
      </c>
      <c r="B30632" s="2" t="str">
        <f>IFERROR(__xludf.DUMMYFUNCTION("GOOGLETRANSLATE(A30632, ""de"", ""en"")"),"knew")</f>
        <v>knew</v>
      </c>
    </row>
    <row r="30633">
      <c r="A30633" s="1" t="s">
        <v>30632</v>
      </c>
      <c r="B30633" s="2" t="str">
        <f>IFERROR(__xludf.DUMMYFUNCTION("GOOGLETRANSLATE(A30633, ""de"", ""en"")"),"shipped")</f>
        <v>shipped</v>
      </c>
    </row>
    <row r="30634">
      <c r="A30634" s="1" t="s">
        <v>30633</v>
      </c>
      <c r="B30634" s="2" t="str">
        <f>IFERROR(__xludf.DUMMYFUNCTION("GOOGLETRANSLATE(A30634, ""de"", ""en"")"),"aircraft carrier")</f>
        <v>aircraft carrier</v>
      </c>
    </row>
    <row r="30635">
      <c r="A30635" s="1" t="s">
        <v>30634</v>
      </c>
      <c r="B30635" s="2" t="str">
        <f>IFERROR(__xludf.DUMMYFUNCTION("GOOGLETRANSLATE(A30635, ""de"", ""en"")"),"habit")</f>
        <v>habit</v>
      </c>
    </row>
    <row r="30636">
      <c r="A30636" s="1" t="s">
        <v>30635</v>
      </c>
      <c r="B30636" s="2" t="str">
        <f>IFERROR(__xludf.DUMMYFUNCTION("GOOGLETRANSLATE(A30636, ""de"", ""en"")"),"nightmares")</f>
        <v>nightmares</v>
      </c>
    </row>
    <row r="30637">
      <c r="A30637" s="1" t="s">
        <v>30636</v>
      </c>
      <c r="B30637" s="2" t="str">
        <f>IFERROR(__xludf.DUMMYFUNCTION("GOOGLETRANSLATE(A30637, ""de"", ""en"")"),"inger")</f>
        <v>inger</v>
      </c>
    </row>
    <row r="30638">
      <c r="A30638" s="1" t="s">
        <v>30637</v>
      </c>
      <c r="B30638" s="2" t="str">
        <f>IFERROR(__xludf.DUMMYFUNCTION("GOOGLETRANSLATE(A30638, ""de"", ""en"")"),"sum")</f>
        <v>sum</v>
      </c>
    </row>
    <row r="30639">
      <c r="A30639" s="1" t="s">
        <v>30638</v>
      </c>
      <c r="B30639" s="2" t="str">
        <f>IFERROR(__xludf.DUMMYFUNCTION("GOOGLETRANSLATE(A30639, ""de"", ""en"")"),"suspicious")</f>
        <v>suspicious</v>
      </c>
    </row>
    <row r="30640">
      <c r="A30640" s="1" t="s">
        <v>30639</v>
      </c>
      <c r="B30640" s="2" t="str">
        <f>IFERROR(__xludf.DUMMYFUNCTION("GOOGLETRANSLATE(A30640, ""de"", ""en"")"),"table")</f>
        <v>table</v>
      </c>
    </row>
    <row r="30641">
      <c r="A30641" s="1" t="s">
        <v>30640</v>
      </c>
      <c r="B30641" s="2" t="str">
        <f>IFERROR(__xludf.DUMMYFUNCTION("GOOGLETRANSLATE(A30641, ""de"", ""en"")"),"Helge")</f>
        <v>Helge</v>
      </c>
    </row>
    <row r="30642">
      <c r="A30642" s="1" t="s">
        <v>30641</v>
      </c>
      <c r="B30642" s="2" t="str">
        <f>IFERROR(__xludf.DUMMYFUNCTION("GOOGLETRANSLATE(A30642, ""de"", ""en"")"),"djinn")</f>
        <v>djinn</v>
      </c>
    </row>
    <row r="30643">
      <c r="A30643" s="1" t="s">
        <v>30642</v>
      </c>
      <c r="B30643" s="2" t="str">
        <f>IFERROR(__xludf.DUMMYFUNCTION("GOOGLETRANSLATE(A30643, ""de"", ""en"")"),"comparable")</f>
        <v>comparable</v>
      </c>
    </row>
    <row r="30644">
      <c r="A30644" s="1" t="s">
        <v>30643</v>
      </c>
      <c r="B30644" s="2" t="str">
        <f>IFERROR(__xludf.DUMMYFUNCTION("GOOGLETRANSLATE(A30644, ""de"", ""en"")"),"elly")</f>
        <v>elly</v>
      </c>
    </row>
    <row r="30645">
      <c r="A30645" s="1" t="s">
        <v>30644</v>
      </c>
      <c r="B30645" s="2" t="str">
        <f>IFERROR(__xludf.DUMMYFUNCTION("GOOGLETRANSLATE(A30645, ""de"", ""en"")"),"works")</f>
        <v>works</v>
      </c>
    </row>
    <row r="30646">
      <c r="A30646" s="1" t="s">
        <v>30645</v>
      </c>
      <c r="B30646" s="2" t="str">
        <f>IFERROR(__xludf.DUMMYFUNCTION("GOOGLETRANSLATE(A30646, ""de"", ""en"")"),"daily")</f>
        <v>daily</v>
      </c>
    </row>
    <row r="30647">
      <c r="A30647" s="1" t="s">
        <v>30646</v>
      </c>
      <c r="B30647" s="2" t="str">
        <f>IFERROR(__xludf.DUMMYFUNCTION("GOOGLETRANSLATE(A30647, ""de"", ""en"")"),"went")</f>
        <v>went</v>
      </c>
    </row>
    <row r="30648">
      <c r="A30648" s="1" t="s">
        <v>30647</v>
      </c>
      <c r="B30648" s="2" t="str">
        <f>IFERROR(__xludf.DUMMYFUNCTION("GOOGLETRANSLATE(A30648, ""de"", ""en"")"),"adrianna")</f>
        <v>adrianna</v>
      </c>
    </row>
    <row r="30649">
      <c r="A30649" s="1" t="s">
        <v>30648</v>
      </c>
      <c r="B30649" s="2" t="str">
        <f>IFERROR(__xludf.DUMMYFUNCTION("GOOGLETRANSLATE(A30649, ""de"", ""en"")"),"service number")</f>
        <v>service number</v>
      </c>
    </row>
    <row r="30650">
      <c r="A30650" s="1" t="s">
        <v>30649</v>
      </c>
      <c r="B30650" s="2" t="str">
        <f>IFERROR(__xludf.DUMMYFUNCTION("GOOGLETRANSLATE(A30650, ""de"", ""en"")"),"cooke")</f>
        <v>cooke</v>
      </c>
    </row>
    <row r="30651">
      <c r="A30651" s="1" t="s">
        <v>30650</v>
      </c>
      <c r="B30651" s="2" t="str">
        <f>IFERROR(__xludf.DUMMYFUNCTION("GOOGLETRANSLATE(A30651, ""de"", ""en"")"),"Adelheid")</f>
        <v>Adelheid</v>
      </c>
    </row>
    <row r="30652">
      <c r="A30652" s="1" t="s">
        <v>30651</v>
      </c>
      <c r="B30652" s="2" t="str">
        <f>IFERROR(__xludf.DUMMYFUNCTION("GOOGLETRANSLATE(A30652, ""de"", ""en"")"),"documentary")</f>
        <v>documentary</v>
      </c>
    </row>
    <row r="30653">
      <c r="A30653" s="1" t="s">
        <v>30652</v>
      </c>
      <c r="B30653" s="2" t="str">
        <f>IFERROR(__xludf.DUMMYFUNCTION("GOOGLETRANSLATE(A30653, ""de"", ""en"")"),"lotion")</f>
        <v>lotion</v>
      </c>
    </row>
    <row r="30654">
      <c r="A30654" s="1" t="s">
        <v>30653</v>
      </c>
      <c r="B30654" s="2" t="str">
        <f>IFERROR(__xludf.DUMMYFUNCTION("GOOGLETRANSLATE(A30654, ""de"", ""en"")"),"executes")</f>
        <v>executes</v>
      </c>
    </row>
    <row r="30655">
      <c r="A30655" s="1" t="s">
        <v>30654</v>
      </c>
      <c r="B30655" s="2" t="str">
        <f>IFERROR(__xludf.DUMMYFUNCTION("GOOGLETRANSLATE(A30655, ""de"", ""en"")"),"read through")</f>
        <v>read through</v>
      </c>
    </row>
    <row r="30656">
      <c r="A30656" s="1" t="s">
        <v>30655</v>
      </c>
      <c r="B30656" s="2" t="str">
        <f>IFERROR(__xludf.DUMMYFUNCTION("GOOGLETRANSLATE(A30656, ""de"", ""en"")"),"hereafter")</f>
        <v>hereafter</v>
      </c>
    </row>
    <row r="30657">
      <c r="A30657" s="1" t="s">
        <v>30656</v>
      </c>
      <c r="B30657" s="2" t="str">
        <f>IFERROR(__xludf.DUMMYFUNCTION("GOOGLETRANSLATE(A30657, ""de"", ""en"")"),"questioned")</f>
        <v>questioned</v>
      </c>
    </row>
    <row r="30658">
      <c r="A30658" s="1" t="s">
        <v>30657</v>
      </c>
      <c r="B30658" s="2" t="str">
        <f>IFERROR(__xludf.DUMMYFUNCTION("GOOGLETRANSLATE(A30658, ""de"", ""en"")"),"achieved")</f>
        <v>achieved</v>
      </c>
    </row>
    <row r="30659">
      <c r="A30659" s="1" t="s">
        <v>30658</v>
      </c>
      <c r="B30659" s="2" t="str">
        <f>IFERROR(__xludf.DUMMYFUNCTION("GOOGLETRANSLATE(A30659, ""de"", ""en"")"),"dancing")</f>
        <v>dancing</v>
      </c>
    </row>
    <row r="30660">
      <c r="A30660" s="1" t="s">
        <v>30659</v>
      </c>
      <c r="B30660" s="2" t="str">
        <f>IFERROR(__xludf.DUMMYFUNCTION("GOOGLETRANSLATE(A30660, ""de"", ""en"")"),"succeeded")</f>
        <v>succeeded</v>
      </c>
    </row>
    <row r="30661">
      <c r="A30661" s="1" t="s">
        <v>30660</v>
      </c>
      <c r="B30661" s="2" t="str">
        <f>IFERROR(__xludf.DUMMYFUNCTION("GOOGLETRANSLATE(A30661, ""de"", ""en"")"),"panic attacks")</f>
        <v>panic attacks</v>
      </c>
    </row>
    <row r="30662">
      <c r="A30662" s="1" t="s">
        <v>30661</v>
      </c>
      <c r="B30662" s="2" t="str">
        <f>IFERROR(__xludf.DUMMYFUNCTION("GOOGLETRANSLATE(A30662, ""de"", ""en"")"),"atkins")</f>
        <v>atkins</v>
      </c>
    </row>
    <row r="30663">
      <c r="A30663" s="1" t="s">
        <v>30662</v>
      </c>
      <c r="B30663" s="2" t="str">
        <f>IFERROR(__xludf.DUMMYFUNCTION("GOOGLETRANSLATE(A30663, ""de"", ""en"")"),"lack")</f>
        <v>lack</v>
      </c>
    </row>
    <row r="30664">
      <c r="A30664" s="1" t="s">
        <v>30663</v>
      </c>
      <c r="B30664" s="2" t="str">
        <f>IFERROR(__xludf.DUMMYFUNCTION("GOOGLETRANSLATE(A30664, ""de"", ""en"")"),"icebox")</f>
        <v>icebox</v>
      </c>
    </row>
    <row r="30665">
      <c r="A30665" s="1" t="s">
        <v>30664</v>
      </c>
      <c r="B30665" s="2" t="str">
        <f>IFERROR(__xludf.DUMMYFUNCTION("GOOGLETRANSLATE(A30665, ""de"", ""en"")"),"nelsons")</f>
        <v>nelsons</v>
      </c>
    </row>
    <row r="30666">
      <c r="A30666" s="1" t="s">
        <v>30665</v>
      </c>
      <c r="B30666" s="2" t="str">
        <f>IFERROR(__xludf.DUMMYFUNCTION("GOOGLETRANSLATE(A30666, ""de"", ""en"")"),"kenichi")</f>
        <v>kenichi</v>
      </c>
    </row>
    <row r="30667">
      <c r="A30667" s="1" t="s">
        <v>30666</v>
      </c>
      <c r="B30667" s="2" t="str">
        <f>IFERROR(__xludf.DUMMYFUNCTION("GOOGLETRANSLATE(A30667, ""de"", ""en"")"),"stop")</f>
        <v>stop</v>
      </c>
    </row>
    <row r="30668">
      <c r="A30668" s="1" t="s">
        <v>30667</v>
      </c>
      <c r="B30668" s="2" t="str">
        <f>IFERROR(__xludf.DUMMYFUNCTION("GOOGLETRANSLATE(A30668, ""de"", ""en"")"),"examiner")</f>
        <v>examiner</v>
      </c>
    </row>
    <row r="30669">
      <c r="A30669" s="1" t="s">
        <v>30668</v>
      </c>
      <c r="B30669" s="2" t="str">
        <f>IFERROR(__xludf.DUMMYFUNCTION("GOOGLETRANSLATE(A30669, ""de"", ""en"")"),"flowed")</f>
        <v>flowed</v>
      </c>
    </row>
    <row r="30670">
      <c r="A30670" s="1" t="s">
        <v>30669</v>
      </c>
      <c r="B30670" s="2" t="str">
        <f>IFERROR(__xludf.DUMMYFUNCTION("GOOGLETRANSLATE(A30670, ""de"", ""en"")"),"high quality")</f>
        <v>high quality</v>
      </c>
    </row>
    <row r="30671">
      <c r="A30671" s="1" t="s">
        <v>30670</v>
      </c>
      <c r="B30671" s="2" t="str">
        <f>IFERROR(__xludf.DUMMYFUNCTION("GOOGLETRANSLATE(A30671, ""de"", ""en"")"),"traveled")</f>
        <v>traveled</v>
      </c>
    </row>
    <row r="30672">
      <c r="A30672" s="1" t="s">
        <v>30671</v>
      </c>
      <c r="B30672" s="2" t="str">
        <f>IFERROR(__xludf.DUMMYFUNCTION("GOOGLETRANSLATE(A30672, ""de"", ""en"")"),"wishful thinking")</f>
        <v>wishful thinking</v>
      </c>
    </row>
    <row r="30673">
      <c r="A30673" s="1" t="s">
        <v>30672</v>
      </c>
      <c r="B30673" s="2" t="str">
        <f>IFERROR(__xludf.DUMMYFUNCTION("GOOGLETRANSLATE(A30673, ""de"", ""en"")"),"approx")</f>
        <v>approx</v>
      </c>
    </row>
    <row r="30674">
      <c r="A30674" s="1" t="s">
        <v>30673</v>
      </c>
      <c r="B30674" s="2" t="str">
        <f>IFERROR(__xludf.DUMMYFUNCTION("GOOGLETRANSLATE(A30674, ""de"", ""en"")"),"Dukes")</f>
        <v>Dukes</v>
      </c>
    </row>
    <row r="30675">
      <c r="A30675" s="1" t="s">
        <v>30674</v>
      </c>
      <c r="B30675" s="2" t="str">
        <f>IFERROR(__xludf.DUMMYFUNCTION("GOOGLETRANSLATE(A30675, ""de"", ""en"")"),"hysterical")</f>
        <v>hysterical</v>
      </c>
    </row>
    <row r="30676">
      <c r="A30676" s="1" t="s">
        <v>30675</v>
      </c>
      <c r="B30676" s="2" t="str">
        <f>IFERROR(__xludf.DUMMYFUNCTION("GOOGLETRANSLATE(A30676, ""de"", ""en"")"),"leaves behind")</f>
        <v>leaves behind</v>
      </c>
    </row>
    <row r="30677">
      <c r="A30677" s="1" t="s">
        <v>30676</v>
      </c>
      <c r="B30677" s="2" t="str">
        <f>IFERROR(__xludf.DUMMYFUNCTION("GOOGLETRANSLATE(A30677, ""de"", ""en"")"),"cuddle")</f>
        <v>cuddle</v>
      </c>
    </row>
    <row r="30678">
      <c r="A30678" s="1" t="s">
        <v>30677</v>
      </c>
      <c r="B30678" s="2" t="str">
        <f>IFERROR(__xludf.DUMMYFUNCTION("GOOGLETRANSLATE(A30678, ""de"", ""en"")"),"pass")</f>
        <v>pass</v>
      </c>
    </row>
    <row r="30679">
      <c r="A30679" s="1" t="s">
        <v>30678</v>
      </c>
      <c r="B30679" s="2" t="str">
        <f>IFERROR(__xludf.DUMMYFUNCTION("GOOGLETRANSLATE(A30679, ""de"", ""en"")"),"federal court")</f>
        <v>federal court</v>
      </c>
    </row>
    <row r="30680">
      <c r="A30680" s="1" t="s">
        <v>30679</v>
      </c>
      <c r="B30680" s="2" t="str">
        <f>IFERROR(__xludf.DUMMYFUNCTION("GOOGLETRANSLATE(A30680, ""de"", ""en"")"),"winifred")</f>
        <v>winifred</v>
      </c>
    </row>
    <row r="30681">
      <c r="A30681" s="1" t="s">
        <v>30680</v>
      </c>
      <c r="B30681" s="2" t="str">
        <f>IFERROR(__xludf.DUMMYFUNCTION("GOOGLETRANSLATE(A30681, ""de"", ""en"")"),"thx")</f>
        <v>thx</v>
      </c>
    </row>
    <row r="30682">
      <c r="A30682" s="1" t="s">
        <v>30681</v>
      </c>
      <c r="B30682" s="2" t="str">
        <f>IFERROR(__xludf.DUMMYFUNCTION("GOOGLETRANSLATE(A30682, ""de"", ""en"")"),"redundancies")</f>
        <v>redundancies</v>
      </c>
    </row>
    <row r="30683">
      <c r="A30683" s="1" t="s">
        <v>30682</v>
      </c>
      <c r="B30683" s="2" t="str">
        <f>IFERROR(__xludf.DUMMYFUNCTION("GOOGLETRANSLATE(A30683, ""de"", ""en"")"),"genetics")</f>
        <v>genetics</v>
      </c>
    </row>
    <row r="30684">
      <c r="A30684" s="1" t="s">
        <v>30683</v>
      </c>
      <c r="B30684" s="2" t="str">
        <f>IFERROR(__xludf.DUMMYFUNCTION("GOOGLETRANSLATE(A30684, ""de"", ""en"")"),"comfortable")</f>
        <v>comfortable</v>
      </c>
    </row>
    <row r="30685">
      <c r="A30685" s="1" t="s">
        <v>30684</v>
      </c>
      <c r="B30685" s="2" t="str">
        <f>IFERROR(__xludf.DUMMYFUNCTION("GOOGLETRANSLATE(A30685, ""de"", ""en"")"),"indistinct")</f>
        <v>indistinct</v>
      </c>
    </row>
    <row r="30686">
      <c r="A30686" s="1" t="s">
        <v>30685</v>
      </c>
      <c r="B30686" s="2" t="str">
        <f>IFERROR(__xludf.DUMMYFUNCTION("GOOGLETRANSLATE(A30686, ""de"", ""en"")"),"br")</f>
        <v>br</v>
      </c>
    </row>
    <row r="30687">
      <c r="A30687" s="1" t="s">
        <v>30686</v>
      </c>
      <c r="B30687" s="2" t="str">
        <f>IFERROR(__xludf.DUMMYFUNCTION("GOOGLETRANSLATE(A30687, ""de"", ""en"")"),"mcclane")</f>
        <v>mcclane</v>
      </c>
    </row>
    <row r="30688">
      <c r="A30688" s="1" t="s">
        <v>30687</v>
      </c>
      <c r="B30688" s="2" t="str">
        <f>IFERROR(__xludf.DUMMYFUNCTION("GOOGLETRANSLATE(A30688, ""de"", ""en"")"),"board meeting")</f>
        <v>board meeting</v>
      </c>
    </row>
    <row r="30689">
      <c r="A30689" s="1" t="s">
        <v>30688</v>
      </c>
      <c r="B30689" s="2" t="str">
        <f>IFERROR(__xludf.DUMMYFUNCTION("GOOGLETRANSLATE(A30689, ""de"", ""en"")"),"beam")</f>
        <v>beam</v>
      </c>
    </row>
    <row r="30690">
      <c r="A30690" s="1" t="s">
        <v>30689</v>
      </c>
      <c r="B30690" s="2" t="str">
        <f>IFERROR(__xludf.DUMMYFUNCTION("GOOGLETRANSLATE(A30690, ""de"", ""en"")"),"for her sake")</f>
        <v>for her sake</v>
      </c>
    </row>
    <row r="30691">
      <c r="A30691" s="1" t="s">
        <v>30690</v>
      </c>
      <c r="B30691" s="2" t="str">
        <f>IFERROR(__xludf.DUMMYFUNCTION("GOOGLETRANSLATE(A30691, ""de"", ""en"")"),"hairstyles")</f>
        <v>hairstyles</v>
      </c>
    </row>
    <row r="30692">
      <c r="A30692" s="1" t="s">
        <v>30691</v>
      </c>
      <c r="B30692" s="2" t="str">
        <f>IFERROR(__xludf.DUMMYFUNCTION("GOOGLETRANSLATE(A30692, ""de"", ""en"")"),"atomic")</f>
        <v>atomic</v>
      </c>
    </row>
    <row r="30693">
      <c r="A30693" s="1" t="s">
        <v>30692</v>
      </c>
      <c r="B30693" s="2" t="str">
        <f>IFERROR(__xludf.DUMMYFUNCTION("GOOGLETRANSLATE(A30693, ""de"", ""en"")"),"harvested")</f>
        <v>harvested</v>
      </c>
    </row>
    <row r="30694">
      <c r="A30694" s="1" t="s">
        <v>30693</v>
      </c>
      <c r="B30694" s="2" t="str">
        <f>IFERROR(__xludf.DUMMYFUNCTION("GOOGLETRANSLATE(A30694, ""de"", ""en"")"),"hubots")</f>
        <v>hubots</v>
      </c>
    </row>
    <row r="30695">
      <c r="A30695" s="1" t="s">
        <v>30694</v>
      </c>
      <c r="B30695" s="2" t="str">
        <f>IFERROR(__xludf.DUMMYFUNCTION("GOOGLETRANSLATE(A30695, ""de"", ""en"")"),"director")</f>
        <v>director</v>
      </c>
    </row>
    <row r="30696">
      <c r="A30696" s="1" t="s">
        <v>30695</v>
      </c>
      <c r="B30696" s="2" t="str">
        <f>IFERROR(__xludf.DUMMYFUNCTION("GOOGLETRANSLATE(A30696, ""de"", ""en"")"),"go back")</f>
        <v>go back</v>
      </c>
    </row>
    <row r="30697">
      <c r="A30697" s="1" t="s">
        <v>30696</v>
      </c>
      <c r="B30697" s="2" t="str">
        <f>IFERROR(__xludf.DUMMYFUNCTION("GOOGLETRANSLATE(A30697, ""de"", ""en"")"),"repelled")</f>
        <v>repelled</v>
      </c>
    </row>
    <row r="30698">
      <c r="A30698" s="1" t="s">
        <v>30697</v>
      </c>
      <c r="B30698" s="2" t="str">
        <f>IFERROR(__xludf.DUMMYFUNCTION("GOOGLETRANSLATE(A30698, ""de"", ""en"")"),"dressing")</f>
        <v>dressing</v>
      </c>
    </row>
    <row r="30699">
      <c r="A30699" s="1" t="s">
        <v>30698</v>
      </c>
      <c r="B30699" s="2" t="str">
        <f>IFERROR(__xludf.DUMMYFUNCTION("GOOGLETRANSLATE(A30699, ""de"", ""en"")"),"brook")</f>
        <v>brook</v>
      </c>
    </row>
    <row r="30700">
      <c r="A30700" s="1" t="s">
        <v>30699</v>
      </c>
      <c r="B30700" s="2" t="str">
        <f>IFERROR(__xludf.DUMMYFUNCTION("GOOGLETRANSLATE(A30700, ""de"", ""en"")"),"invited")</f>
        <v>invited</v>
      </c>
    </row>
    <row r="30701">
      <c r="A30701" s="1" t="s">
        <v>30700</v>
      </c>
      <c r="B30701" s="2" t="str">
        <f>IFERROR(__xludf.DUMMYFUNCTION("GOOGLETRANSLATE(A30701, ""de"", ""en"")"),"craziest")</f>
        <v>craziest</v>
      </c>
    </row>
    <row r="30702">
      <c r="A30702" s="1" t="s">
        <v>30701</v>
      </c>
      <c r="B30702" s="2" t="str">
        <f>IFERROR(__xludf.DUMMYFUNCTION("GOOGLETRANSLATE(A30702, ""de"", ""en"")"),"empathize")</f>
        <v>empathize</v>
      </c>
    </row>
    <row r="30703">
      <c r="A30703" s="1" t="s">
        <v>30702</v>
      </c>
      <c r="B30703" s="2" t="str">
        <f>IFERROR(__xludf.DUMMYFUNCTION("GOOGLETRANSLATE(A30703, ""de"", ""en"")"),"Brussels sprouts")</f>
        <v>Brussels sprouts</v>
      </c>
    </row>
    <row r="30704">
      <c r="A30704" s="1" t="s">
        <v>30703</v>
      </c>
      <c r="B30704" s="2" t="str">
        <f>IFERROR(__xludf.DUMMYFUNCTION("GOOGLETRANSLATE(A30704, ""de"", ""en"")"),"tatsuya")</f>
        <v>tatsuya</v>
      </c>
    </row>
    <row r="30705">
      <c r="A30705" s="1" t="s">
        <v>30704</v>
      </c>
      <c r="B30705" s="2" t="str">
        <f>IFERROR(__xludf.DUMMYFUNCTION("GOOGLETRANSLATE(A30705, ""de"", ""en"")"),"cute")</f>
        <v>cute</v>
      </c>
    </row>
    <row r="30706">
      <c r="A30706" s="1" t="s">
        <v>30705</v>
      </c>
      <c r="B30706" s="2" t="str">
        <f>IFERROR(__xludf.DUMMYFUNCTION("GOOGLETRANSLATE(A30706, ""de"", ""en"")"),"points")</f>
        <v>points</v>
      </c>
    </row>
    <row r="30707">
      <c r="A30707" s="1" t="s">
        <v>30706</v>
      </c>
      <c r="B30707" s="2" t="str">
        <f>IFERROR(__xludf.DUMMYFUNCTION("GOOGLETRANSLATE(A30707, ""de"", ""en"")"),"chess game")</f>
        <v>chess game</v>
      </c>
    </row>
    <row r="30708">
      <c r="A30708" s="1" t="s">
        <v>30707</v>
      </c>
      <c r="B30708" s="2" t="str">
        <f>IFERROR(__xludf.DUMMYFUNCTION("GOOGLETRANSLATE(A30708, ""de"", ""en"")"),"deported")</f>
        <v>deported</v>
      </c>
    </row>
    <row r="30709">
      <c r="A30709" s="1" t="s">
        <v>30708</v>
      </c>
      <c r="B30709" s="2" t="str">
        <f>IFERROR(__xludf.DUMMYFUNCTION("GOOGLETRANSLATE(A30709, ""de"", ""en"")"),"moiiari")</f>
        <v>moiiari</v>
      </c>
    </row>
    <row r="30710">
      <c r="A30710" s="1" t="s">
        <v>30709</v>
      </c>
      <c r="B30710" s="2" t="str">
        <f>IFERROR(__xludf.DUMMYFUNCTION("GOOGLETRANSLATE(A30710, ""de"", ""en"")"),"more miserable")</f>
        <v>more miserable</v>
      </c>
    </row>
    <row r="30711">
      <c r="A30711" s="1" t="s">
        <v>30710</v>
      </c>
      <c r="B30711" s="2" t="str">
        <f>IFERROR(__xludf.DUMMYFUNCTION("GOOGLETRANSLATE(A30711, ""de"", ""en"")"),"PlayStation")</f>
        <v>PlayStation</v>
      </c>
    </row>
    <row r="30712">
      <c r="A30712" s="1" t="s">
        <v>30711</v>
      </c>
      <c r="B30712" s="2" t="str">
        <f>IFERROR(__xludf.DUMMYFUNCTION("GOOGLETRANSLATE(A30712, ""de"", ""en"")"),"conte")</f>
        <v>conte</v>
      </c>
    </row>
    <row r="30713">
      <c r="A30713" s="1" t="s">
        <v>30712</v>
      </c>
      <c r="B30713" s="2" t="str">
        <f>IFERROR(__xludf.DUMMYFUNCTION("GOOGLETRANSLATE(A30713, ""de"", ""en"")"),"blah blah")</f>
        <v>blah blah</v>
      </c>
    </row>
    <row r="30714">
      <c r="A30714" s="1" t="s">
        <v>30713</v>
      </c>
      <c r="B30714" s="2" t="str">
        <f>IFERROR(__xludf.DUMMYFUNCTION("GOOGLETRANSLATE(A30714, ""de"", ""en"")"),"coordination")</f>
        <v>coordination</v>
      </c>
    </row>
    <row r="30715">
      <c r="A30715" s="1" t="s">
        <v>30714</v>
      </c>
      <c r="B30715" s="2" t="str">
        <f>IFERROR(__xludf.DUMMYFUNCTION("GOOGLETRANSLATE(A30715, ""de"", ""en"")"),"yell at")</f>
        <v>yell at</v>
      </c>
    </row>
    <row r="30716">
      <c r="A30716" s="1" t="s">
        <v>30715</v>
      </c>
      <c r="B30716" s="2" t="str">
        <f>IFERROR(__xludf.DUMMYFUNCTION("GOOGLETRANSLATE(A30716, ""de"", ""en"")"),"beards")</f>
        <v>beards</v>
      </c>
    </row>
    <row r="30717">
      <c r="A30717" s="1" t="s">
        <v>30716</v>
      </c>
      <c r="B30717" s="2" t="str">
        <f>IFERROR(__xludf.DUMMYFUNCTION("GOOGLETRANSLATE(A30717, ""de"", ""en"")"),"thackery")</f>
        <v>thackery</v>
      </c>
    </row>
    <row r="30718">
      <c r="A30718" s="1" t="s">
        <v>30717</v>
      </c>
      <c r="B30718" s="2" t="str">
        <f>IFERROR(__xludf.DUMMYFUNCTION("GOOGLETRANSLATE(A30718, ""de"", ""en"")"),"unbiased")</f>
        <v>unbiased</v>
      </c>
    </row>
    <row r="30719">
      <c r="A30719" s="1" t="s">
        <v>30718</v>
      </c>
      <c r="B30719" s="2" t="str">
        <f>IFERROR(__xludf.DUMMYFUNCTION("GOOGLETRANSLATE(A30719, ""de"", ""en"")"),"masturbates")</f>
        <v>masturbates</v>
      </c>
    </row>
    <row r="30720">
      <c r="A30720" s="1" t="s">
        <v>30719</v>
      </c>
      <c r="B30720" s="2" t="str">
        <f>IFERROR(__xludf.DUMMYFUNCTION("GOOGLETRANSLATE(A30720, ""de"", ""en"")"),"karim")</f>
        <v>karim</v>
      </c>
    </row>
    <row r="30721">
      <c r="A30721" s="1" t="s">
        <v>30720</v>
      </c>
      <c r="B30721" s="2" t="str">
        <f>IFERROR(__xludf.DUMMYFUNCTION("GOOGLETRANSLATE(A30721, ""de"", ""en"")"),"crash landing")</f>
        <v>crash landing</v>
      </c>
    </row>
    <row r="30722">
      <c r="A30722" s="1" t="s">
        <v>30721</v>
      </c>
      <c r="B30722" s="2" t="str">
        <f>IFERROR(__xludf.DUMMYFUNCTION("GOOGLETRANSLATE(A30722, ""de"", ""en"")"),"gockel")</f>
        <v>gockel</v>
      </c>
    </row>
    <row r="30723">
      <c r="A30723" s="1" t="s">
        <v>30722</v>
      </c>
      <c r="B30723" s="2" t="str">
        <f>IFERROR(__xludf.DUMMYFUNCTION("GOOGLETRANSLATE(A30723, ""de"", ""en"")"),"agrees")</f>
        <v>agrees</v>
      </c>
    </row>
    <row r="30724">
      <c r="A30724" s="1" t="s">
        <v>30723</v>
      </c>
      <c r="B30724" s="2" t="str">
        <f>IFERROR(__xludf.DUMMYFUNCTION("GOOGLETRANSLATE(A30724, ""de"", ""en"")"),"inhuman")</f>
        <v>inhuman</v>
      </c>
    </row>
    <row r="30725">
      <c r="A30725" s="1" t="s">
        <v>30724</v>
      </c>
      <c r="B30725" s="2" t="str">
        <f>IFERROR(__xludf.DUMMYFUNCTION("GOOGLETRANSLATE(A30725, ""de"", ""en"")"),"newscaster")</f>
        <v>newscaster</v>
      </c>
    </row>
    <row r="30726">
      <c r="A30726" s="1" t="s">
        <v>30725</v>
      </c>
      <c r="B30726" s="2" t="str">
        <f>IFERROR(__xludf.DUMMYFUNCTION("GOOGLETRANSLATE(A30726, ""de"", ""en"")"),"hage")</f>
        <v>hage</v>
      </c>
    </row>
    <row r="30727">
      <c r="A30727" s="1" t="s">
        <v>30726</v>
      </c>
      <c r="B30727" s="2" t="str">
        <f>IFERROR(__xludf.DUMMYFUNCTION("GOOGLETRANSLATE(A30727, ""de"", ""en"")"),"apply")</f>
        <v>apply</v>
      </c>
    </row>
    <row r="30728">
      <c r="A30728" s="1" t="s">
        <v>30727</v>
      </c>
      <c r="B30728" s="2" t="str">
        <f>IFERROR(__xludf.DUMMYFUNCTION("GOOGLETRANSLATE(A30728, ""de"", ""en"")"),"pathologist")</f>
        <v>pathologist</v>
      </c>
    </row>
    <row r="30729">
      <c r="A30729" s="1" t="s">
        <v>30728</v>
      </c>
      <c r="B30729" s="2" t="str">
        <f>IFERROR(__xludf.DUMMYFUNCTION("GOOGLETRANSLATE(A30729, ""de"", ""en"")"),"risotto")</f>
        <v>risotto</v>
      </c>
    </row>
    <row r="30730">
      <c r="A30730" s="1" t="s">
        <v>30729</v>
      </c>
      <c r="B30730" s="2" t="str">
        <f>IFERROR(__xludf.DUMMYFUNCTION("GOOGLETRANSLATE(A30730, ""de"", ""en"")"),"giulio")</f>
        <v>giulio</v>
      </c>
    </row>
    <row r="30731">
      <c r="A30731" s="1" t="s">
        <v>30730</v>
      </c>
      <c r="B30731" s="2" t="str">
        <f>IFERROR(__xludf.DUMMYFUNCTION("GOOGLETRANSLATE(A30731, ""de"", ""en"")"),"abomination")</f>
        <v>abomination</v>
      </c>
    </row>
    <row r="30732">
      <c r="A30732" s="1" t="s">
        <v>30731</v>
      </c>
      <c r="B30732" s="2" t="str">
        <f>IFERROR(__xludf.DUMMYFUNCTION("GOOGLETRANSLATE(A30732, ""de"", ""en"")"),"appreciated")</f>
        <v>appreciated</v>
      </c>
    </row>
    <row r="30733">
      <c r="A30733" s="1" t="s">
        <v>30732</v>
      </c>
      <c r="B30733" s="2" t="str">
        <f>IFERROR(__xludf.DUMMYFUNCTION("GOOGLETRANSLATE(A30733, ""de"", ""en"")"),"bundy's")</f>
        <v>bundy's</v>
      </c>
    </row>
    <row r="30734">
      <c r="A30734" s="1" t="s">
        <v>30733</v>
      </c>
      <c r="B30734" s="2" t="str">
        <f>IFERROR(__xludf.DUMMYFUNCTION("GOOGLETRANSLATE(A30734, ""de"", ""en"")"),"cage")</f>
        <v>cage</v>
      </c>
    </row>
    <row r="30735">
      <c r="A30735" s="1" t="s">
        <v>30734</v>
      </c>
      <c r="B30735" s="2" t="str">
        <f>IFERROR(__xludf.DUMMYFUNCTION("GOOGLETRANSLATE(A30735, ""de"", ""en"")"),"blood spatter")</f>
        <v>blood spatter</v>
      </c>
    </row>
    <row r="30736">
      <c r="A30736" s="1" t="s">
        <v>30735</v>
      </c>
      <c r="B30736" s="2" t="str">
        <f>IFERROR(__xludf.DUMMYFUNCTION("GOOGLETRANSLATE(A30736, ""de"", ""en"")"),"awkward")</f>
        <v>awkward</v>
      </c>
    </row>
    <row r="30737">
      <c r="A30737" s="1" t="s">
        <v>30736</v>
      </c>
      <c r="B30737" s="2" t="str">
        <f>IFERROR(__xludf.DUMMYFUNCTION("GOOGLETRANSLATE(A30737, ""de"", ""en"")"),"canceled")</f>
        <v>canceled</v>
      </c>
    </row>
    <row r="30738">
      <c r="A30738" s="1" t="s">
        <v>30737</v>
      </c>
      <c r="B30738" s="2" t="str">
        <f>IFERROR(__xludf.DUMMYFUNCTION("GOOGLETRANSLATE(A30738, ""de"", ""en"")"),"charred")</f>
        <v>charred</v>
      </c>
    </row>
    <row r="30739">
      <c r="A30739" s="1" t="s">
        <v>30738</v>
      </c>
      <c r="B30739" s="2" t="str">
        <f>IFERROR(__xludf.DUMMYFUNCTION("GOOGLETRANSLATE(A30739, ""de"", ""en"")"),"fine")</f>
        <v>fine</v>
      </c>
    </row>
    <row r="30740">
      <c r="A30740" s="1" t="s">
        <v>30739</v>
      </c>
      <c r="B30740" s="2" t="str">
        <f>IFERROR(__xludf.DUMMYFUNCTION("GOOGLETRANSLATE(A30740, ""de"", ""en"")"),"sighting")</f>
        <v>sighting</v>
      </c>
    </row>
    <row r="30741">
      <c r="A30741" s="1" t="s">
        <v>30740</v>
      </c>
      <c r="B30741" s="2" t="str">
        <f>IFERROR(__xludf.DUMMYFUNCTION("GOOGLETRANSLATE(A30741, ""de"", ""en"")"),"goro")</f>
        <v>goro</v>
      </c>
    </row>
    <row r="30742">
      <c r="A30742" s="1" t="s">
        <v>30741</v>
      </c>
      <c r="B30742" s="2" t="str">
        <f>IFERROR(__xludf.DUMMYFUNCTION("GOOGLETRANSLATE(A30742, ""de"", ""en"")"),"hurricane")</f>
        <v>hurricane</v>
      </c>
    </row>
    <row r="30743">
      <c r="A30743" s="1" t="s">
        <v>30742</v>
      </c>
      <c r="B30743" s="2" t="str">
        <f>IFERROR(__xludf.DUMMYFUNCTION("GOOGLETRANSLATE(A30743, ""de"", ""en"")"),"bros.")</f>
        <v>bros.</v>
      </c>
    </row>
    <row r="30744">
      <c r="A30744" s="1" t="s">
        <v>30743</v>
      </c>
      <c r="B30744" s="2" t="str">
        <f>IFERROR(__xludf.DUMMYFUNCTION("GOOGLETRANSLATE(A30744, ""de"", ""en"")"),"taken off")</f>
        <v>taken off</v>
      </c>
    </row>
    <row r="30745">
      <c r="A30745" s="1" t="s">
        <v>30744</v>
      </c>
      <c r="B30745" s="2" t="str">
        <f>IFERROR(__xludf.DUMMYFUNCTION("GOOGLETRANSLATE(A30745, ""de"", ""en"")"),"blackie")</f>
        <v>blackie</v>
      </c>
    </row>
    <row r="30746">
      <c r="A30746" s="1" t="s">
        <v>30745</v>
      </c>
      <c r="B30746" s="2" t="str">
        <f>IFERROR(__xludf.DUMMYFUNCTION("GOOGLETRANSLATE(A30746, ""de"", ""en"")"),"minna")</f>
        <v>minna</v>
      </c>
    </row>
    <row r="30747">
      <c r="A30747" s="1" t="s">
        <v>30746</v>
      </c>
      <c r="B30747" s="2" t="str">
        <f>IFERROR(__xludf.DUMMYFUNCTION("GOOGLETRANSLATE(A30747, ""de"", ""en"")"),"luciano")</f>
        <v>luciano</v>
      </c>
    </row>
    <row r="30748">
      <c r="A30748" s="1" t="s">
        <v>30747</v>
      </c>
      <c r="B30748" s="2" t="str">
        <f>IFERROR(__xludf.DUMMYFUNCTION("GOOGLETRANSLATE(A30748, ""de"", ""en"")"),"commit")</f>
        <v>commit</v>
      </c>
    </row>
    <row r="30749">
      <c r="A30749" s="1" t="s">
        <v>30748</v>
      </c>
      <c r="B30749" s="2" t="str">
        <f>IFERROR(__xludf.DUMMYFUNCTION("GOOGLETRANSLATE(A30749, ""de"", ""en"")"),"departs")</f>
        <v>departs</v>
      </c>
    </row>
    <row r="30750">
      <c r="A30750" s="1" t="s">
        <v>30749</v>
      </c>
      <c r="B30750" s="2" t="str">
        <f>IFERROR(__xludf.DUMMYFUNCTION("GOOGLETRANSLATE(A30750, ""de"", ""en"")"),"dagorcai")</f>
        <v>dagorcai</v>
      </c>
    </row>
    <row r="30751">
      <c r="A30751" s="1" t="s">
        <v>30750</v>
      </c>
      <c r="B30751" s="2" t="str">
        <f>IFERROR(__xludf.DUMMYFUNCTION("GOOGLETRANSLATE(A30751, ""de"", ""en"")"),"audacity")</f>
        <v>audacity</v>
      </c>
    </row>
    <row r="30752">
      <c r="A30752" s="1" t="s">
        <v>30751</v>
      </c>
      <c r="B30752" s="2" t="str">
        <f>IFERROR(__xludf.DUMMYFUNCTION("GOOGLETRANSLATE(A30752, ""de"", ""en"")"),"encyclopedia")</f>
        <v>encyclopedia</v>
      </c>
    </row>
    <row r="30753">
      <c r="A30753" s="1" t="s">
        <v>30752</v>
      </c>
      <c r="B30753" s="2" t="str">
        <f>IFERROR(__xludf.DUMMYFUNCTION("GOOGLETRANSLATE(A30753, ""de"", ""en"")"),"beginner")</f>
        <v>beginner</v>
      </c>
    </row>
    <row r="30754">
      <c r="A30754" s="1" t="s">
        <v>30753</v>
      </c>
      <c r="B30754" s="2" t="str">
        <f>IFERROR(__xludf.DUMMYFUNCTION("GOOGLETRANSLATE(A30754, ""de"", ""en"")"),"pay attention")</f>
        <v>pay attention</v>
      </c>
    </row>
    <row r="30755">
      <c r="A30755" s="1" t="s">
        <v>30754</v>
      </c>
      <c r="B30755" s="2" t="str">
        <f>IFERROR(__xludf.DUMMYFUNCTION("GOOGLETRANSLATE(A30755, ""de"", ""en"")"),"slot machines")</f>
        <v>slot machines</v>
      </c>
    </row>
    <row r="30756">
      <c r="A30756" s="1" t="s">
        <v>30755</v>
      </c>
      <c r="B30756" s="2" t="str">
        <f>IFERROR(__xludf.DUMMYFUNCTION("GOOGLETRANSLATE(A30756, ""de"", ""en"")"),"elementary")</f>
        <v>elementary</v>
      </c>
    </row>
    <row r="30757">
      <c r="A30757" s="1" t="s">
        <v>30756</v>
      </c>
      <c r="B30757" s="2" t="str">
        <f>IFERROR(__xludf.DUMMYFUNCTION("GOOGLETRANSLATE(A30757, ""de"", ""en"")"),"bulls")</f>
        <v>bulls</v>
      </c>
    </row>
    <row r="30758">
      <c r="A30758" s="1" t="s">
        <v>30757</v>
      </c>
      <c r="B30758" s="2" t="str">
        <f>IFERROR(__xludf.DUMMYFUNCTION("GOOGLETRANSLATE(A30758, ""de"", ""en"")"),"16 year old")</f>
        <v>16 year old</v>
      </c>
    </row>
    <row r="30759">
      <c r="A30759" s="1" t="s">
        <v>30758</v>
      </c>
      <c r="B30759" s="2" t="str">
        <f>IFERROR(__xludf.DUMMYFUNCTION("GOOGLETRANSLATE(A30759, ""de"", ""en"")"),"sheba")</f>
        <v>sheba</v>
      </c>
    </row>
    <row r="30760">
      <c r="A30760" s="1" t="s">
        <v>30759</v>
      </c>
      <c r="B30760" s="2" t="str">
        <f>IFERROR(__xludf.DUMMYFUNCTION("GOOGLETRANSLATE(A30760, ""de"", ""en"")"),"got it figured out")</f>
        <v>got it figured out</v>
      </c>
    </row>
    <row r="30761">
      <c r="A30761" s="1" t="s">
        <v>30760</v>
      </c>
      <c r="B30761" s="2" t="str">
        <f>IFERROR(__xludf.DUMMYFUNCTION("GOOGLETRANSLATE(A30761, ""de"", ""en"")"),"jacket pocket")</f>
        <v>jacket pocket</v>
      </c>
    </row>
    <row r="30762">
      <c r="A30762" s="1" t="s">
        <v>30761</v>
      </c>
      <c r="B30762" s="2" t="str">
        <f>IFERROR(__xludf.DUMMYFUNCTION("GOOGLETRANSLATE(A30762, ""de"", ""en"")"),"to walk around")</f>
        <v>to walk around</v>
      </c>
    </row>
    <row r="30763">
      <c r="A30763" s="1" t="s">
        <v>30762</v>
      </c>
      <c r="B30763" s="2" t="str">
        <f>IFERROR(__xludf.DUMMYFUNCTION("GOOGLETRANSLATE(A30763, ""de"", ""en"")"),"massage")</f>
        <v>massage</v>
      </c>
    </row>
    <row r="30764">
      <c r="A30764" s="1" t="s">
        <v>30763</v>
      </c>
      <c r="B30764" s="2" t="str">
        <f>IFERROR(__xludf.DUMMYFUNCTION("GOOGLETRANSLATE(A30764, ""de"", ""en"")"),"crooked")</f>
        <v>crooked</v>
      </c>
    </row>
    <row r="30765">
      <c r="A30765" s="1" t="s">
        <v>30764</v>
      </c>
      <c r="B30765" s="2" t="str">
        <f>IFERROR(__xludf.DUMMYFUNCTION("GOOGLETRANSLATE(A30765, ""de"", ""en"")"),"more violent")</f>
        <v>more violent</v>
      </c>
    </row>
    <row r="30766">
      <c r="A30766" s="1" t="s">
        <v>30765</v>
      </c>
      <c r="B30766" s="2" t="str">
        <f>IFERROR(__xludf.DUMMYFUNCTION("GOOGLETRANSLATE(A30766, ""de"", ""en"")"),"gellar")</f>
        <v>gellar</v>
      </c>
    </row>
    <row r="30767">
      <c r="A30767" s="1" t="s">
        <v>30766</v>
      </c>
      <c r="B30767" s="2" t="str">
        <f>IFERROR(__xludf.DUMMYFUNCTION("GOOGLETRANSLATE(A30767, ""de"", ""en"")"),"autism")</f>
        <v>autism</v>
      </c>
    </row>
    <row r="30768">
      <c r="A30768" s="1" t="s">
        <v>30767</v>
      </c>
      <c r="B30768" s="2" t="str">
        <f>IFERROR(__xludf.DUMMYFUNCTION("GOOGLETRANSLATE(A30768, ""de"", ""en"")"),"passenger")</f>
        <v>passenger</v>
      </c>
    </row>
    <row r="30769">
      <c r="A30769" s="1" t="s">
        <v>30768</v>
      </c>
      <c r="B30769" s="2" t="str">
        <f>IFERROR(__xludf.DUMMYFUNCTION("GOOGLETRANSLATE(A30769, ""de"", ""en"")"),"blow away")</f>
        <v>blow away</v>
      </c>
    </row>
    <row r="30770">
      <c r="A30770" s="1" t="s">
        <v>30769</v>
      </c>
      <c r="B30770" s="2" t="str">
        <f>IFERROR(__xludf.DUMMYFUNCTION("GOOGLETRANSLATE(A30770, ""de"", ""en"")"),"wealthy")</f>
        <v>wealthy</v>
      </c>
    </row>
    <row r="30771">
      <c r="A30771" s="1" t="s">
        <v>30770</v>
      </c>
      <c r="B30771" s="2" t="str">
        <f>IFERROR(__xludf.DUMMYFUNCTION("GOOGLETRANSLATE(A30771, ""de"", ""en"")"),"social service")</f>
        <v>social service</v>
      </c>
    </row>
    <row r="30772">
      <c r="A30772" s="1" t="s">
        <v>30771</v>
      </c>
      <c r="B30772" s="2" t="str">
        <f>IFERROR(__xludf.DUMMYFUNCTION("GOOGLETRANSLATE(A30772, ""de"", ""en"")"),"tap water")</f>
        <v>tap water</v>
      </c>
    </row>
    <row r="30773">
      <c r="A30773" s="1" t="s">
        <v>30772</v>
      </c>
      <c r="B30773" s="2" t="str">
        <f>IFERROR(__xludf.DUMMYFUNCTION("GOOGLETRANSLATE(A30773, ""de"", ""en"")"),"ackerman")</f>
        <v>ackerman</v>
      </c>
    </row>
    <row r="30774">
      <c r="A30774" s="1" t="s">
        <v>30773</v>
      </c>
      <c r="B30774" s="2" t="str">
        <f>IFERROR(__xludf.DUMMYFUNCTION("GOOGLETRANSLATE(A30774, ""de"", ""en"")"),"crawl")</f>
        <v>crawl</v>
      </c>
    </row>
    <row r="30775">
      <c r="A30775" s="1" t="s">
        <v>30774</v>
      </c>
      <c r="B30775" s="2" t="str">
        <f>IFERROR(__xludf.DUMMYFUNCTION("GOOGLETRANSLATE(A30775, ""de"", ""en"")"),"musicals")</f>
        <v>musicals</v>
      </c>
    </row>
    <row r="30776">
      <c r="A30776" s="1" t="s">
        <v>30775</v>
      </c>
      <c r="B30776" s="2" t="str">
        <f>IFERROR(__xludf.DUMMYFUNCTION("GOOGLETRANSLATE(A30776, ""de"", ""en"")"),"video surveillance")</f>
        <v>video surveillance</v>
      </c>
    </row>
    <row r="30777">
      <c r="A30777" s="1" t="s">
        <v>30776</v>
      </c>
      <c r="B30777" s="2" t="str">
        <f>IFERROR(__xludf.DUMMYFUNCTION("GOOGLETRANSLATE(A30777, ""de"", ""en"")"),"gallons")</f>
        <v>gallons</v>
      </c>
    </row>
    <row r="30778">
      <c r="A30778" s="1" t="s">
        <v>30777</v>
      </c>
      <c r="B30778" s="2" t="str">
        <f>IFERROR(__xludf.DUMMYFUNCTION("GOOGLETRANSLATE(A30778, ""de"", ""en"")"),"shy away")</f>
        <v>shy away</v>
      </c>
    </row>
    <row r="30779">
      <c r="A30779" s="1" t="s">
        <v>30778</v>
      </c>
      <c r="B30779" s="2" t="str">
        <f>IFERROR(__xludf.DUMMYFUNCTION("GOOGLETRANSLATE(A30779, ""de"", ""en"")"),"cinco")</f>
        <v>cinco</v>
      </c>
    </row>
    <row r="30780">
      <c r="A30780" s="1" t="s">
        <v>30779</v>
      </c>
      <c r="B30780" s="2" t="str">
        <f>IFERROR(__xludf.DUMMYFUNCTION("GOOGLETRANSLATE(A30780, ""de"", ""en"")"),"arrived")</f>
        <v>arrived</v>
      </c>
    </row>
    <row r="30781">
      <c r="A30781" s="1" t="s">
        <v>30780</v>
      </c>
      <c r="B30781" s="2" t="str">
        <f>IFERROR(__xludf.DUMMYFUNCTION("GOOGLETRANSLATE(A30781, ""de"", ""en"")"),"went down")</f>
        <v>went down</v>
      </c>
    </row>
    <row r="30782">
      <c r="A30782" s="1" t="s">
        <v>30781</v>
      </c>
      <c r="B30782" s="2" t="str">
        <f>IFERROR(__xludf.DUMMYFUNCTION("GOOGLETRANSLATE(A30782, ""de"", ""en"")"),"Mexican")</f>
        <v>Mexican</v>
      </c>
    </row>
    <row r="30783">
      <c r="A30783" s="1" t="s">
        <v>30782</v>
      </c>
      <c r="B30783" s="2" t="str">
        <f>IFERROR(__xludf.DUMMYFUNCTION("GOOGLETRANSLATE(A30783, ""de"", ""en"")"),"wheeze")</f>
        <v>wheeze</v>
      </c>
    </row>
    <row r="30784">
      <c r="A30784" s="1" t="s">
        <v>30783</v>
      </c>
      <c r="B30784" s="2" t="str">
        <f>IFERROR(__xludf.DUMMYFUNCTION("GOOGLETRANSLATE(A30784, ""de"", ""en"")"),"crawled up")</f>
        <v>crawled up</v>
      </c>
    </row>
    <row r="30785">
      <c r="A30785" s="1" t="s">
        <v>30784</v>
      </c>
      <c r="B30785" s="2" t="str">
        <f>IFERROR(__xludf.DUMMYFUNCTION("GOOGLETRANSLATE(A30785, ""de"", ""en"")"),"punch")</f>
        <v>punch</v>
      </c>
    </row>
    <row r="30786">
      <c r="A30786" s="1" t="s">
        <v>30785</v>
      </c>
      <c r="B30786" s="2" t="str">
        <f>IFERROR(__xludf.DUMMYFUNCTION("GOOGLETRANSLATE(A30786, ""de"", ""en"")"),"rennie")</f>
        <v>rennie</v>
      </c>
    </row>
    <row r="30787">
      <c r="A30787" s="1" t="s">
        <v>30786</v>
      </c>
      <c r="B30787" s="2" t="str">
        <f>IFERROR(__xludf.DUMMYFUNCTION("GOOGLETRANSLATE(A30787, ""de"", ""en"")"),"angelique")</f>
        <v>angelique</v>
      </c>
    </row>
    <row r="30788">
      <c r="A30788" s="1" t="s">
        <v>30787</v>
      </c>
      <c r="B30788" s="2" t="str">
        <f>IFERROR(__xludf.DUMMYFUNCTION("GOOGLETRANSLATE(A30788, ""de"", ""en"")"),"Niles")</f>
        <v>Niles</v>
      </c>
    </row>
    <row r="30789">
      <c r="A30789" s="1" t="s">
        <v>30788</v>
      </c>
      <c r="B30789" s="2" t="str">
        <f>IFERROR(__xludf.DUMMYFUNCTION("GOOGLETRANSLATE(A30789, ""de"", ""en"")"),"renfield")</f>
        <v>renfield</v>
      </c>
    </row>
    <row r="30790">
      <c r="A30790" s="1" t="s">
        <v>30789</v>
      </c>
      <c r="B30790" s="2" t="str">
        <f>IFERROR(__xludf.DUMMYFUNCTION("GOOGLETRANSLATE(A30790, ""de"", ""en"")"),"enormous")</f>
        <v>enormous</v>
      </c>
    </row>
    <row r="30791">
      <c r="A30791" s="1" t="s">
        <v>30790</v>
      </c>
      <c r="B30791" s="2" t="str">
        <f>IFERROR(__xludf.DUMMYFUNCTION("GOOGLETRANSLATE(A30791, ""de"", ""en"")"),"adored")</f>
        <v>adored</v>
      </c>
    </row>
    <row r="30792">
      <c r="A30792" s="1" t="s">
        <v>30791</v>
      </c>
      <c r="B30792" s="2" t="str">
        <f>IFERROR(__xludf.DUMMYFUNCTION("GOOGLETRANSLATE(A30792, ""de"", ""en"")"),"telephone line")</f>
        <v>telephone line</v>
      </c>
    </row>
    <row r="30793">
      <c r="A30793" s="1" t="s">
        <v>30792</v>
      </c>
      <c r="B30793" s="2" t="str">
        <f>IFERROR(__xludf.DUMMYFUNCTION("GOOGLETRANSLATE(A30793, ""de"", ""en"")"),"tripod")</f>
        <v>tripod</v>
      </c>
    </row>
    <row r="30794">
      <c r="A30794" s="1" t="s">
        <v>30793</v>
      </c>
      <c r="B30794" s="2" t="str">
        <f>IFERROR(__xludf.DUMMYFUNCTION("GOOGLETRANSLATE(A30794, ""de"", ""en"")"),"hurts")</f>
        <v>hurts</v>
      </c>
    </row>
    <row r="30795">
      <c r="A30795" s="1" t="s">
        <v>30794</v>
      </c>
      <c r="B30795" s="2" t="str">
        <f>IFERROR(__xludf.DUMMYFUNCTION("GOOGLETRANSLATE(A30795, ""de"", ""en"")"),"procedural")</f>
        <v>procedural</v>
      </c>
    </row>
    <row r="30796">
      <c r="A30796" s="1" t="s">
        <v>30795</v>
      </c>
      <c r="B30796" s="2" t="str">
        <f>IFERROR(__xludf.DUMMYFUNCTION("GOOGLETRANSLATE(A30796, ""de"", ""en"")"),"bounce")</f>
        <v>bounce</v>
      </c>
    </row>
    <row r="30797">
      <c r="A30797" s="1" t="s">
        <v>30796</v>
      </c>
      <c r="B30797" s="2" t="str">
        <f>IFERROR(__xludf.DUMMYFUNCTION("GOOGLETRANSLATE(A30797, ""de"", ""en"")"),"hand over")</f>
        <v>hand over</v>
      </c>
    </row>
    <row r="30798">
      <c r="A30798" s="1" t="s">
        <v>30797</v>
      </c>
      <c r="B30798" s="2" t="str">
        <f>IFERROR(__xludf.DUMMYFUNCTION("GOOGLETRANSLATE(A30798, ""de"", ""en"")"),"stick")</f>
        <v>stick</v>
      </c>
    </row>
    <row r="30799">
      <c r="A30799" s="1" t="s">
        <v>30798</v>
      </c>
      <c r="B30799" s="2" t="str">
        <f>IFERROR(__xludf.DUMMYFUNCTION("GOOGLETRANSLATE(A30799, ""de"", ""en"")"),"mutes")</f>
        <v>mutes</v>
      </c>
    </row>
    <row r="30800">
      <c r="A30800" s="1" t="s">
        <v>30799</v>
      </c>
      <c r="B30800" s="2" t="str">
        <f>IFERROR(__xludf.DUMMYFUNCTION("GOOGLETRANSLATE(A30800, ""de"", ""en"")"),"decides")</f>
        <v>decides</v>
      </c>
    </row>
    <row r="30801">
      <c r="A30801" s="1" t="s">
        <v>30800</v>
      </c>
      <c r="B30801" s="2" t="str">
        <f>IFERROR(__xludf.DUMMYFUNCTION("GOOGLETRANSLATE(A30801, ""de"", ""en"")"),"fulcrum")</f>
        <v>fulcrum</v>
      </c>
    </row>
    <row r="30802">
      <c r="A30802" s="1" t="s">
        <v>30801</v>
      </c>
      <c r="B30802" s="2" t="str">
        <f>IFERROR(__xludf.DUMMYFUNCTION("GOOGLETRANSLATE(A30802, ""de"", ""en"")"),"quarter million")</f>
        <v>quarter million</v>
      </c>
    </row>
    <row r="30803">
      <c r="A30803" s="1" t="s">
        <v>30802</v>
      </c>
      <c r="B30803" s="2" t="str">
        <f>IFERROR(__xludf.DUMMYFUNCTION("GOOGLETRANSLATE(A30803, ""de"", ""en"")"),"herbal tea")</f>
        <v>herbal tea</v>
      </c>
    </row>
    <row r="30804">
      <c r="A30804" s="1" t="s">
        <v>30803</v>
      </c>
      <c r="B30804" s="2" t="str">
        <f>IFERROR(__xludf.DUMMYFUNCTION("GOOGLETRANSLATE(A30804, ""de"", ""en"")"),"elan")</f>
        <v>elan</v>
      </c>
    </row>
    <row r="30805">
      <c r="A30805" s="1" t="s">
        <v>30804</v>
      </c>
      <c r="B30805" s="2" t="str">
        <f>IFERROR(__xludf.DUMMYFUNCTION("GOOGLETRANSLATE(A30805, ""de"", ""en"")"),"wore")</f>
        <v>wore</v>
      </c>
    </row>
    <row r="30806">
      <c r="A30806" s="1" t="s">
        <v>30805</v>
      </c>
      <c r="B30806" s="2" t="str">
        <f>IFERROR(__xludf.DUMMYFUNCTION("GOOGLETRANSLATE(A30806, ""de"", ""en"")"),"heda")</f>
        <v>heda</v>
      </c>
    </row>
    <row r="30807">
      <c r="A30807" s="1" t="s">
        <v>30806</v>
      </c>
      <c r="B30807" s="2" t="str">
        <f>IFERROR(__xludf.DUMMYFUNCTION("GOOGLETRANSLATE(A30807, ""de"", ""en"")"),"more tired")</f>
        <v>more tired</v>
      </c>
    </row>
    <row r="30808">
      <c r="A30808" s="1" t="s">
        <v>30807</v>
      </c>
      <c r="B30808" s="2" t="str">
        <f>IFERROR(__xludf.DUMMYFUNCTION("GOOGLETRANSLATE(A30808, ""de"", ""en"")"),"probes")</f>
        <v>probes</v>
      </c>
    </row>
    <row r="30809">
      <c r="A30809" s="1" t="s">
        <v>30808</v>
      </c>
      <c r="B30809" s="2" t="str">
        <f>IFERROR(__xludf.DUMMYFUNCTION("GOOGLETRANSLATE(A30809, ""de"", ""en"")"),"to pretend")</f>
        <v>to pretend</v>
      </c>
    </row>
    <row r="30810">
      <c r="A30810" s="1" t="s">
        <v>30809</v>
      </c>
      <c r="B30810" s="2" t="str">
        <f>IFERROR(__xludf.DUMMYFUNCTION("GOOGLETRANSLATE(A30810, ""de"", ""en"")"),"side street")</f>
        <v>side street</v>
      </c>
    </row>
    <row r="30811">
      <c r="A30811" s="1" t="s">
        <v>30810</v>
      </c>
      <c r="B30811" s="2" t="str">
        <f>IFERROR(__xludf.DUMMYFUNCTION("GOOGLETRANSLATE(A30811, ""de"", ""en"")"),"marino")</f>
        <v>marino</v>
      </c>
    </row>
    <row r="30812">
      <c r="A30812" s="1" t="s">
        <v>30811</v>
      </c>
      <c r="B30812" s="2" t="str">
        <f>IFERROR(__xludf.DUMMYFUNCTION("GOOGLETRANSLATE(A30812, ""de"", ""en"")"),"glaze")</f>
        <v>glaze</v>
      </c>
    </row>
    <row r="30813">
      <c r="A30813" s="1" t="s">
        <v>30812</v>
      </c>
      <c r="B30813" s="2" t="str">
        <f>IFERROR(__xludf.DUMMYFUNCTION("GOOGLETRANSLATE(A30813, ""de"", ""en"")"),"cabot")</f>
        <v>cabot</v>
      </c>
    </row>
    <row r="30814">
      <c r="A30814" s="1" t="s">
        <v>30813</v>
      </c>
      <c r="B30814" s="2" t="str">
        <f>IFERROR(__xludf.DUMMYFUNCTION("GOOGLETRANSLATE(A30814, ""de"", ""en"")"),"socially")</f>
        <v>socially</v>
      </c>
    </row>
    <row r="30815">
      <c r="A30815" s="1" t="s">
        <v>30814</v>
      </c>
      <c r="B30815" s="2" t="str">
        <f>IFERROR(__xludf.DUMMYFUNCTION("GOOGLETRANSLATE(A30815, ""de"", ""en"")"),"exploited")</f>
        <v>exploited</v>
      </c>
    </row>
    <row r="30816">
      <c r="A30816" s="1" t="s">
        <v>30815</v>
      </c>
      <c r="B30816" s="2" t="str">
        <f>IFERROR(__xludf.DUMMYFUNCTION("GOOGLETRANSLATE(A30816, ""de"", ""en"")"),"more covert")</f>
        <v>more covert</v>
      </c>
    </row>
    <row r="30817">
      <c r="A30817" s="1" t="s">
        <v>30816</v>
      </c>
      <c r="B30817" s="2" t="str">
        <f>IFERROR(__xludf.DUMMYFUNCTION("GOOGLETRANSLATE(A30817, ""de"", ""en"")"),"knuckle")</f>
        <v>knuckle</v>
      </c>
    </row>
    <row r="30818">
      <c r="A30818" s="1" t="s">
        <v>30817</v>
      </c>
      <c r="B30818" s="2" t="str">
        <f>IFERROR(__xludf.DUMMYFUNCTION("GOOGLETRANSLATE(A30818, ""de"", ""en"")"),"clever")</f>
        <v>clever</v>
      </c>
    </row>
    <row r="30819">
      <c r="A30819" s="1" t="s">
        <v>30818</v>
      </c>
      <c r="B30819" s="2" t="str">
        <f>IFERROR(__xludf.DUMMYFUNCTION("GOOGLETRANSLATE(A30819, ""de"", ""en"")"),"jungle")</f>
        <v>jungle</v>
      </c>
    </row>
    <row r="30820">
      <c r="A30820" s="1" t="s">
        <v>30819</v>
      </c>
      <c r="B30820" s="2" t="str">
        <f>IFERROR(__xludf.DUMMYFUNCTION("GOOGLETRANSLATE(A30820, ""de"", ""en"")"),"edible")</f>
        <v>edible</v>
      </c>
    </row>
    <row r="30821">
      <c r="A30821" s="1" t="s">
        <v>30820</v>
      </c>
      <c r="B30821" s="2" t="str">
        <f>IFERROR(__xludf.DUMMYFUNCTION("GOOGLETRANSLATE(A30821, ""de"", ""en"")"),"warning shot")</f>
        <v>warning shot</v>
      </c>
    </row>
    <row r="30822">
      <c r="A30822" s="1" t="s">
        <v>30821</v>
      </c>
      <c r="B30822" s="2" t="str">
        <f>IFERROR(__xludf.DUMMYFUNCTION("GOOGLETRANSLATE(A30822, ""de"", ""en"")"),"leena")</f>
        <v>leena</v>
      </c>
    </row>
    <row r="30823">
      <c r="A30823" s="1" t="s">
        <v>30822</v>
      </c>
      <c r="B30823" s="2" t="str">
        <f>IFERROR(__xludf.DUMMYFUNCTION("GOOGLETRANSLATE(A30823, ""de"", ""en"")"),"ration")</f>
        <v>ration</v>
      </c>
    </row>
    <row r="30824">
      <c r="A30824" s="1" t="s">
        <v>30823</v>
      </c>
      <c r="B30824" s="2" t="str">
        <f>IFERROR(__xludf.DUMMYFUNCTION("GOOGLETRANSLATE(A30824, ""de"", ""en"")"),"influential")</f>
        <v>influential</v>
      </c>
    </row>
    <row r="30825">
      <c r="A30825" s="1" t="s">
        <v>30824</v>
      </c>
      <c r="B30825" s="2" t="str">
        <f>IFERROR(__xludf.DUMMYFUNCTION("GOOGLETRANSLATE(A30825, ""de"", ""en"")"),"noticed")</f>
        <v>noticed</v>
      </c>
    </row>
    <row r="30826">
      <c r="A30826" s="1" t="s">
        <v>30825</v>
      </c>
      <c r="B30826" s="2" t="str">
        <f>IFERROR(__xludf.DUMMYFUNCTION("GOOGLETRANSLATE(A30826, ""de"", ""en"")"),"something like that")</f>
        <v>something like that</v>
      </c>
    </row>
    <row r="30827">
      <c r="A30827" s="1" t="s">
        <v>30826</v>
      </c>
      <c r="B30827" s="2" t="str">
        <f>IFERROR(__xludf.DUMMYFUNCTION("GOOGLETRANSLATE(A30827, ""de"", ""en"")"),"e-mail address")</f>
        <v>e-mail address</v>
      </c>
    </row>
    <row r="30828">
      <c r="A30828" s="1" t="s">
        <v>30827</v>
      </c>
      <c r="B30828" s="2" t="str">
        <f>IFERROR(__xludf.DUMMYFUNCTION("GOOGLETRANSLATE(A30828, ""de"", ""en"")"),"discovery")</f>
        <v>discovery</v>
      </c>
    </row>
    <row r="30829">
      <c r="A30829" s="1" t="s">
        <v>30828</v>
      </c>
      <c r="B30829" s="2" t="str">
        <f>IFERROR(__xludf.DUMMYFUNCTION("GOOGLETRANSLATE(A30829, ""de"", ""en"")"),"stretched")</f>
        <v>stretched</v>
      </c>
    </row>
    <row r="30830">
      <c r="A30830" s="1" t="s">
        <v>30829</v>
      </c>
      <c r="B30830" s="2" t="str">
        <f>IFERROR(__xludf.DUMMYFUNCTION("GOOGLETRANSLATE(A30830, ""de"", ""en"")"),"triplets")</f>
        <v>triplets</v>
      </c>
    </row>
    <row r="30831">
      <c r="A30831" s="1" t="s">
        <v>30830</v>
      </c>
      <c r="B30831" s="2" t="str">
        <f>IFERROR(__xludf.DUMMYFUNCTION("GOOGLETRANSLATE(A30831, ""de"", ""en"")"),"tear down")</f>
        <v>tear down</v>
      </c>
    </row>
    <row r="30832">
      <c r="A30832" s="1" t="s">
        <v>30831</v>
      </c>
      <c r="B30832" s="2" t="str">
        <f>IFERROR(__xludf.DUMMYFUNCTION("GOOGLETRANSLATE(A30832, ""de"", ""en"")"),"brought here")</f>
        <v>brought here</v>
      </c>
    </row>
    <row r="30833">
      <c r="A30833" s="1" t="s">
        <v>30832</v>
      </c>
      <c r="B30833" s="2" t="str">
        <f>IFERROR(__xludf.DUMMYFUNCTION("GOOGLETRANSLATE(A30833, ""de"", ""en"")"),"zucchini")</f>
        <v>zucchini</v>
      </c>
    </row>
    <row r="30834">
      <c r="A30834" s="1" t="s">
        <v>30833</v>
      </c>
      <c r="B30834" s="2" t="str">
        <f>IFERROR(__xludf.DUMMYFUNCTION("GOOGLETRANSLATE(A30834, ""de"", ""en"")"),"submissive")</f>
        <v>submissive</v>
      </c>
    </row>
    <row r="30835">
      <c r="A30835" s="1" t="s">
        <v>30834</v>
      </c>
      <c r="B30835" s="2" t="str">
        <f>IFERROR(__xludf.DUMMYFUNCTION("GOOGLETRANSLATE(A30835, ""de"", ""en"")"),"gold coins")</f>
        <v>gold coins</v>
      </c>
    </row>
    <row r="30836">
      <c r="A30836" s="1" t="s">
        <v>30835</v>
      </c>
      <c r="B30836" s="2" t="str">
        <f>IFERROR(__xludf.DUMMYFUNCTION("GOOGLETRANSLATE(A30836, ""de"", ""en"")"),"doing")</f>
        <v>doing</v>
      </c>
    </row>
    <row r="30837">
      <c r="A30837" s="1" t="s">
        <v>30836</v>
      </c>
      <c r="B30837" s="2" t="str">
        <f>IFERROR(__xludf.DUMMYFUNCTION("GOOGLETRANSLATE(A30837, ""de"", ""en"")"),"bombing")</f>
        <v>bombing</v>
      </c>
    </row>
    <row r="30838">
      <c r="A30838" s="1" t="s">
        <v>30837</v>
      </c>
      <c r="B30838" s="2" t="str">
        <f>IFERROR(__xludf.DUMMYFUNCTION("GOOGLETRANSLATE(A30838, ""de"", ""en"")"),"considerable")</f>
        <v>considerable</v>
      </c>
    </row>
    <row r="30839">
      <c r="A30839" s="1" t="s">
        <v>30838</v>
      </c>
      <c r="B30839" s="2" t="str">
        <f>IFERROR(__xludf.DUMMYFUNCTION("GOOGLETRANSLATE(A30839, ""de"", ""en"")"),"hypocritical")</f>
        <v>hypocritical</v>
      </c>
    </row>
    <row r="30840">
      <c r="A30840" s="1" t="s">
        <v>30839</v>
      </c>
      <c r="B30840" s="2" t="str">
        <f>IFERROR(__xludf.DUMMYFUNCTION("GOOGLETRANSLATE(A30840, ""de"", ""en"")"),"valleys")</f>
        <v>valleys</v>
      </c>
    </row>
    <row r="30841">
      <c r="A30841" s="1" t="s">
        <v>30840</v>
      </c>
      <c r="B30841" s="2" t="str">
        <f>IFERROR(__xludf.DUMMYFUNCTION("GOOGLETRANSLATE(A30841, ""de"", ""en"")"),"pedals")</f>
        <v>pedals</v>
      </c>
    </row>
    <row r="30842">
      <c r="A30842" s="1" t="s">
        <v>30841</v>
      </c>
      <c r="B30842" s="2" t="str">
        <f>IFERROR(__xludf.DUMMYFUNCTION("GOOGLETRANSLATE(A30842, ""de"", ""en"")"),"Valerie")</f>
        <v>Valerie</v>
      </c>
    </row>
    <row r="30843">
      <c r="A30843" s="1" t="s">
        <v>30842</v>
      </c>
      <c r="B30843" s="2" t="str">
        <f>IFERROR(__xludf.DUMMYFUNCTION("GOOGLETRANSLATE(A30843, ""de"", ""en"")"),"flown out")</f>
        <v>flown out</v>
      </c>
    </row>
    <row r="30844">
      <c r="A30844" s="1" t="s">
        <v>30843</v>
      </c>
      <c r="B30844" s="2" t="str">
        <f>IFERROR(__xludf.DUMMYFUNCTION("GOOGLETRANSLATE(A30844, ""de"", ""en"")"),"piggyback")</f>
        <v>piggyback</v>
      </c>
    </row>
    <row r="30845">
      <c r="A30845" s="1" t="s">
        <v>30844</v>
      </c>
      <c r="B30845" s="2" t="str">
        <f>IFERROR(__xludf.DUMMYFUNCTION("GOOGLETRANSLATE(A30845, ""de"", ""en"")"),"replicate")</f>
        <v>replicate</v>
      </c>
    </row>
    <row r="30846">
      <c r="A30846" s="1" t="s">
        <v>30845</v>
      </c>
      <c r="B30846" s="2" t="str">
        <f>IFERROR(__xludf.DUMMYFUNCTION("GOOGLETRANSLATE(A30846, ""de"", ""en"")"),"foreigner")</f>
        <v>foreigner</v>
      </c>
    </row>
    <row r="30847">
      <c r="A30847" s="1" t="s">
        <v>30846</v>
      </c>
      <c r="B30847" s="2" t="str">
        <f>IFERROR(__xludf.DUMMYFUNCTION("GOOGLETRANSLATE(A30847, ""de"", ""en"")"),"dm")</f>
        <v>dm</v>
      </c>
    </row>
    <row r="30848">
      <c r="A30848" s="1" t="s">
        <v>30847</v>
      </c>
      <c r="B30848" s="2" t="str">
        <f>IFERROR(__xludf.DUMMYFUNCTION("GOOGLETRANSLATE(A30848, ""de"", ""en"")"),"saki")</f>
        <v>saki</v>
      </c>
    </row>
    <row r="30849">
      <c r="A30849" s="1" t="s">
        <v>30848</v>
      </c>
      <c r="B30849" s="2" t="str">
        <f>IFERROR(__xludf.DUMMYFUNCTION("GOOGLETRANSLATE(A30849, ""de"", ""en"")"),"bisexual")</f>
        <v>bisexual</v>
      </c>
    </row>
    <row r="30850">
      <c r="A30850" s="1" t="s">
        <v>30849</v>
      </c>
      <c r="B30850" s="2" t="str">
        <f>IFERROR(__xludf.DUMMYFUNCTION("GOOGLETRANSLATE(A30850, ""de"", ""en"")"),"earplugs")</f>
        <v>earplugs</v>
      </c>
    </row>
    <row r="30851">
      <c r="A30851" s="1" t="s">
        <v>30850</v>
      </c>
      <c r="B30851" s="2" t="str">
        <f>IFERROR(__xludf.DUMMYFUNCTION("GOOGLETRANSLATE(A30851, ""de"", ""en"")"),"nevers")</f>
        <v>nevers</v>
      </c>
    </row>
    <row r="30852">
      <c r="A30852" s="1" t="s">
        <v>30851</v>
      </c>
      <c r="B30852" s="2" t="str">
        <f>IFERROR(__xludf.DUMMYFUNCTION("GOOGLETRANSLATE(A30852, ""de"", ""en"")"),"damaged")</f>
        <v>damaged</v>
      </c>
    </row>
    <row r="30853">
      <c r="A30853" s="1" t="s">
        <v>30852</v>
      </c>
      <c r="B30853" s="2" t="str">
        <f>IFERROR(__xludf.DUMMYFUNCTION("GOOGLETRANSLATE(A30853, ""de"", ""en"")"),"state")</f>
        <v>state</v>
      </c>
    </row>
    <row r="30854">
      <c r="A30854" s="1" t="s">
        <v>30853</v>
      </c>
      <c r="B30854" s="2" t="str">
        <f>IFERROR(__xludf.DUMMYFUNCTION("GOOGLETRANSLATE(A30854, ""de"", ""en"")"),"rebuild")</f>
        <v>rebuild</v>
      </c>
    </row>
    <row r="30855">
      <c r="A30855" s="1" t="s">
        <v>30854</v>
      </c>
      <c r="B30855" s="2" t="str">
        <f>IFERROR(__xludf.DUMMYFUNCTION("GOOGLETRANSLATE(A30855, ""de"", ""en"")"),"endure")</f>
        <v>endure</v>
      </c>
    </row>
    <row r="30856">
      <c r="A30856" s="1" t="s">
        <v>30855</v>
      </c>
      <c r="B30856" s="2" t="str">
        <f>IFERROR(__xludf.DUMMYFUNCTION("GOOGLETRANSLATE(A30856, ""de"", ""en"")"),"credits")</f>
        <v>credits</v>
      </c>
    </row>
    <row r="30857">
      <c r="A30857" s="1" t="s">
        <v>30856</v>
      </c>
      <c r="B30857" s="2" t="str">
        <f>IFERROR(__xludf.DUMMYFUNCTION("GOOGLETRANSLATE(A30857, ""de"", ""en"")"),"tear up")</f>
        <v>tear up</v>
      </c>
    </row>
    <row r="30858">
      <c r="A30858" s="1" t="s">
        <v>30857</v>
      </c>
      <c r="B30858" s="2" t="str">
        <f>IFERROR(__xludf.DUMMYFUNCTION("GOOGLETRANSLATE(A30858, ""de"", ""en"")"),"faruk")</f>
        <v>faruk</v>
      </c>
    </row>
    <row r="30859">
      <c r="A30859" s="1" t="s">
        <v>30858</v>
      </c>
      <c r="B30859" s="2" t="str">
        <f>IFERROR(__xludf.DUMMYFUNCTION("GOOGLETRANSLATE(A30859, ""de"", ""en"")"),"unclear")</f>
        <v>unclear</v>
      </c>
    </row>
    <row r="30860">
      <c r="A30860" s="1" t="s">
        <v>30859</v>
      </c>
      <c r="B30860" s="2" t="str">
        <f>IFERROR(__xludf.DUMMYFUNCTION("GOOGLETRANSLATE(A30860, ""de"", ""en"")"),"exam")</f>
        <v>exam</v>
      </c>
    </row>
    <row r="30861">
      <c r="A30861" s="1" t="s">
        <v>30860</v>
      </c>
      <c r="B30861" s="2" t="str">
        <f>IFERROR(__xludf.DUMMYFUNCTION("GOOGLETRANSLATE(A30861, ""de"", ""en"")"),"confused")</f>
        <v>confused</v>
      </c>
    </row>
    <row r="30862">
      <c r="A30862" s="1" t="s">
        <v>30861</v>
      </c>
      <c r="B30862" s="2" t="str">
        <f>IFERROR(__xludf.DUMMYFUNCTION("GOOGLETRANSLATE(A30862, ""de"", ""en"")"),"praise")</f>
        <v>praise</v>
      </c>
    </row>
    <row r="30863">
      <c r="A30863" s="1" t="s">
        <v>30862</v>
      </c>
      <c r="B30863" s="2" t="str">
        <f>IFERROR(__xludf.DUMMYFUNCTION("GOOGLETRANSLATE(A30863, ""de"", ""en"")"),"scattered")</f>
        <v>scattered</v>
      </c>
    </row>
    <row r="30864">
      <c r="A30864" s="1" t="s">
        <v>30863</v>
      </c>
      <c r="B30864" s="2" t="str">
        <f>IFERROR(__xludf.DUMMYFUNCTION("GOOGLETRANSLATE(A30864, ""de"", ""en"")"),"lich")</f>
        <v>lich</v>
      </c>
    </row>
    <row r="30865">
      <c r="A30865" s="1" t="s">
        <v>30864</v>
      </c>
      <c r="B30865" s="2" t="str">
        <f>IFERROR(__xludf.DUMMYFUNCTION("GOOGLETRANSLATE(A30865, ""de"", ""en"")"),"domine")</f>
        <v>domine</v>
      </c>
    </row>
    <row r="30866">
      <c r="A30866" s="1" t="s">
        <v>30865</v>
      </c>
      <c r="B30866" s="2" t="str">
        <f>IFERROR(__xludf.DUMMYFUNCTION("GOOGLETRANSLATE(A30866, ""de"", ""en"")"),"perished")</f>
        <v>perished</v>
      </c>
    </row>
    <row r="30867">
      <c r="A30867" s="1" t="s">
        <v>30866</v>
      </c>
      <c r="B30867" s="2" t="str">
        <f>IFERROR(__xludf.DUMMYFUNCTION("GOOGLETRANSLATE(A30867, ""de"", ""en"")"),"random")</f>
        <v>random</v>
      </c>
    </row>
    <row r="30868">
      <c r="A30868" s="1" t="s">
        <v>30867</v>
      </c>
      <c r="B30868" s="2" t="str">
        <f>IFERROR(__xludf.DUMMYFUNCTION("GOOGLETRANSLATE(A30868, ""de"", ""en"")"),"Frederik")</f>
        <v>Frederik</v>
      </c>
    </row>
    <row r="30869">
      <c r="A30869" s="1" t="s">
        <v>30868</v>
      </c>
      <c r="B30869" s="2" t="str">
        <f>IFERROR(__xludf.DUMMYFUNCTION("GOOGLETRANSLATE(A30869, ""de"", ""en"")"),"to continue")</f>
        <v>to continue</v>
      </c>
    </row>
    <row r="30870">
      <c r="A30870" s="1" t="s">
        <v>30869</v>
      </c>
      <c r="B30870" s="2" t="str">
        <f>IFERROR(__xludf.DUMMYFUNCTION("GOOGLETRANSLATE(A30870, ""de"", ""en"")"),"stretch")</f>
        <v>stretch</v>
      </c>
    </row>
    <row r="30871">
      <c r="A30871" s="1" t="s">
        <v>30870</v>
      </c>
      <c r="B30871" s="2" t="str">
        <f>IFERROR(__xludf.DUMMYFUNCTION("GOOGLETRANSLATE(A30871, ""de"", ""en"")"),"personals")</f>
        <v>personals</v>
      </c>
    </row>
    <row r="30872">
      <c r="A30872" s="1" t="s">
        <v>30871</v>
      </c>
      <c r="B30872" s="2" t="str">
        <f>IFERROR(__xludf.DUMMYFUNCTION("GOOGLETRANSLATE(A30872, ""de"", ""en"")"),"ounce")</f>
        <v>ounce</v>
      </c>
    </row>
    <row r="30873">
      <c r="A30873" s="1" t="s">
        <v>30872</v>
      </c>
      <c r="B30873" s="2" t="str">
        <f>IFERROR(__xludf.DUMMYFUNCTION("GOOGLETRANSLATE(A30873, ""de"", ""en"")"),"bring up")</f>
        <v>bring up</v>
      </c>
    </row>
    <row r="30874">
      <c r="A30874" s="1" t="s">
        <v>30873</v>
      </c>
      <c r="B30874" s="2" t="str">
        <f>IFERROR(__xludf.DUMMYFUNCTION("GOOGLETRANSLATE(A30874, ""de"", ""en"")"),"defensive")</f>
        <v>defensive</v>
      </c>
    </row>
    <row r="30875">
      <c r="A30875" s="1" t="s">
        <v>30874</v>
      </c>
      <c r="B30875" s="2" t="str">
        <f>IFERROR(__xludf.DUMMYFUNCTION("GOOGLETRANSLATE(A30875, ""de"", ""en"")"),"originals")</f>
        <v>originals</v>
      </c>
    </row>
    <row r="30876">
      <c r="A30876" s="1" t="s">
        <v>30875</v>
      </c>
      <c r="B30876" s="2" t="str">
        <f>IFERROR(__xludf.DUMMYFUNCTION("GOOGLETRANSLATE(A30876, ""de"", ""en"")"),"innate")</f>
        <v>innate</v>
      </c>
    </row>
    <row r="30877">
      <c r="A30877" s="1" t="s">
        <v>30876</v>
      </c>
      <c r="B30877" s="2" t="str">
        <f>IFERROR(__xludf.DUMMYFUNCTION("GOOGLETRANSLATE(A30877, ""de"", ""en"")"),"directory")</f>
        <v>directory</v>
      </c>
    </row>
    <row r="30878">
      <c r="A30878" s="1" t="s">
        <v>30877</v>
      </c>
      <c r="B30878" s="2" t="str">
        <f>IFERROR(__xludf.DUMMYFUNCTION("GOOGLETRANSLATE(A30878, ""de"", ""en"")"),"ovaries")</f>
        <v>ovaries</v>
      </c>
    </row>
    <row r="30879">
      <c r="A30879" s="1" t="s">
        <v>30878</v>
      </c>
      <c r="B30879" s="2" t="str">
        <f>IFERROR(__xludf.DUMMYFUNCTION("GOOGLETRANSLATE(A30879, ""de"", ""en"")"),"swallow")</f>
        <v>swallow</v>
      </c>
    </row>
    <row r="30880">
      <c r="A30880" s="1" t="s">
        <v>30879</v>
      </c>
      <c r="B30880" s="2" t="str">
        <f>IFERROR(__xludf.DUMMYFUNCTION("GOOGLETRANSLATE(A30880, ""de"", ""en"")"),"flesh wound")</f>
        <v>flesh wound</v>
      </c>
    </row>
    <row r="30881">
      <c r="A30881" s="1" t="s">
        <v>30880</v>
      </c>
      <c r="B30881" s="2" t="str">
        <f>IFERROR(__xludf.DUMMYFUNCTION("GOOGLETRANSLATE(A30881, ""de"", ""en"")"),"Sami")</f>
        <v>Sami</v>
      </c>
    </row>
    <row r="30882">
      <c r="A30882" s="1" t="s">
        <v>30881</v>
      </c>
      <c r="B30882" s="2" t="str">
        <f>IFERROR(__xludf.DUMMYFUNCTION("GOOGLETRANSLATE(A30882, ""de"", ""en"")"),"tanners")</f>
        <v>tanners</v>
      </c>
    </row>
    <row r="30883">
      <c r="A30883" s="1" t="s">
        <v>30882</v>
      </c>
      <c r="B30883" s="2" t="str">
        <f>IFERROR(__xludf.DUMMYFUNCTION("GOOGLETRANSLATE(A30883, ""de"", ""en"")"),"irreplaceable")</f>
        <v>irreplaceable</v>
      </c>
    </row>
    <row r="30884">
      <c r="A30884" s="1" t="s">
        <v>30883</v>
      </c>
      <c r="B30884" s="2" t="str">
        <f>IFERROR(__xludf.DUMMYFUNCTION("GOOGLETRANSLATE(A30884, ""de"", ""en"")"),"Stratton")</f>
        <v>Stratton</v>
      </c>
    </row>
    <row r="30885">
      <c r="A30885" s="1" t="s">
        <v>30884</v>
      </c>
      <c r="B30885" s="2" t="str">
        <f>IFERROR(__xludf.DUMMYFUNCTION("GOOGLETRANSLATE(A30885, ""de"", ""en"")"),"monks")</f>
        <v>monks</v>
      </c>
    </row>
    <row r="30886">
      <c r="A30886" s="1" t="s">
        <v>30885</v>
      </c>
      <c r="B30886" s="2" t="str">
        <f>IFERROR(__xludf.DUMMYFUNCTION("GOOGLETRANSLATE(A30886, ""de"", ""en"")"),"targeted")</f>
        <v>targeted</v>
      </c>
    </row>
    <row r="30887">
      <c r="A30887" s="1" t="s">
        <v>30886</v>
      </c>
      <c r="B30887" s="2" t="str">
        <f>IFERROR(__xludf.DUMMYFUNCTION("GOOGLETRANSLATE(A30887, ""de"", ""en"")"),"beaten up")</f>
        <v>beaten up</v>
      </c>
    </row>
    <row r="30888">
      <c r="A30888" s="1" t="s">
        <v>30887</v>
      </c>
      <c r="B30888" s="2" t="str">
        <f>IFERROR(__xludf.DUMMYFUNCTION("GOOGLETRANSLATE(A30888, ""de"", ""en"")"),"praises")</f>
        <v>praises</v>
      </c>
    </row>
    <row r="30889">
      <c r="A30889" s="1" t="s">
        <v>30888</v>
      </c>
      <c r="B30889" s="2" t="str">
        <f>IFERROR(__xludf.DUMMYFUNCTION("GOOGLETRANSLATE(A30889, ""de"", ""en"")"),"dream")</f>
        <v>dream</v>
      </c>
    </row>
    <row r="30890">
      <c r="A30890" s="1" t="s">
        <v>30889</v>
      </c>
      <c r="B30890" s="2" t="str">
        <f>IFERROR(__xludf.DUMMYFUNCTION("GOOGLETRANSLATE(A30890, ""de"", ""en"")"),"jar")</f>
        <v>jar</v>
      </c>
    </row>
    <row r="30891">
      <c r="A30891" s="1" t="s">
        <v>30890</v>
      </c>
      <c r="B30891" s="2" t="str">
        <f>IFERROR(__xludf.DUMMYFUNCTION("GOOGLETRANSLATE(A30891, ""de"", ""en"")"),"Islamic")</f>
        <v>Islamic</v>
      </c>
    </row>
    <row r="30892">
      <c r="A30892" s="1" t="s">
        <v>30891</v>
      </c>
      <c r="B30892" s="2" t="str">
        <f>IFERROR(__xludf.DUMMYFUNCTION("GOOGLETRANSLATE(A30892, ""de"", ""en"")"),"deport")</f>
        <v>deport</v>
      </c>
    </row>
    <row r="30893">
      <c r="A30893" s="1" t="s">
        <v>30892</v>
      </c>
      <c r="B30893" s="2" t="str">
        <f>IFERROR(__xludf.DUMMYFUNCTION("GOOGLETRANSLATE(A30893, ""de"", ""en"")"),"senorita")</f>
        <v>senorita</v>
      </c>
    </row>
    <row r="30894">
      <c r="A30894" s="1" t="s">
        <v>30893</v>
      </c>
      <c r="B30894" s="2" t="str">
        <f>IFERROR(__xludf.DUMMYFUNCTION("GOOGLETRANSLATE(A30894, ""de"", ""en"")"),"zafer")</f>
        <v>zafer</v>
      </c>
    </row>
    <row r="30895">
      <c r="A30895" s="1" t="s">
        <v>30894</v>
      </c>
      <c r="B30895" s="2" t="str">
        <f>IFERROR(__xludf.DUMMYFUNCTION("GOOGLETRANSLATE(A30895, ""de"", ""en"")"),"strangest")</f>
        <v>strangest</v>
      </c>
    </row>
    <row r="30896">
      <c r="A30896" s="1" t="s">
        <v>30895</v>
      </c>
      <c r="B30896" s="2" t="str">
        <f>IFERROR(__xludf.DUMMYFUNCTION("GOOGLETRANSLATE(A30896, ""de"", ""en"")"),"genii")</f>
        <v>genii</v>
      </c>
    </row>
    <row r="30897">
      <c r="A30897" s="1" t="s">
        <v>30896</v>
      </c>
      <c r="B30897" s="2" t="str">
        <f>IFERROR(__xludf.DUMMYFUNCTION("GOOGLETRANSLATE(A30897, ""de"", ""en"")"),"lay down")</f>
        <v>lay down</v>
      </c>
    </row>
    <row r="30898">
      <c r="A30898" s="1" t="s">
        <v>30897</v>
      </c>
      <c r="B30898" s="2" t="str">
        <f>IFERROR(__xludf.DUMMYFUNCTION("GOOGLETRANSLATE(A30898, ""de"", ""en"")"),"transmitted")</f>
        <v>transmitted</v>
      </c>
    </row>
    <row r="30899">
      <c r="A30899" s="1" t="s">
        <v>30898</v>
      </c>
      <c r="B30899" s="2" t="str">
        <f>IFERROR(__xludf.DUMMYFUNCTION("GOOGLETRANSLATE(A30899, ""de"", ""en"")"),"wolsey")</f>
        <v>wolsey</v>
      </c>
    </row>
    <row r="30900">
      <c r="A30900" s="1" t="s">
        <v>30899</v>
      </c>
      <c r="B30900" s="2" t="str">
        <f>IFERROR(__xludf.DUMMYFUNCTION("GOOGLETRANSLATE(A30900, ""de"", ""en"")"),"idiots")</f>
        <v>idiots</v>
      </c>
    </row>
    <row r="30901">
      <c r="A30901" s="1" t="s">
        <v>30900</v>
      </c>
      <c r="B30901" s="2" t="str">
        <f>IFERROR(__xludf.DUMMYFUNCTION("GOOGLETRANSLATE(A30901, ""de"", ""en"")"),"accommodations")</f>
        <v>accommodations</v>
      </c>
    </row>
    <row r="30902">
      <c r="A30902" s="1" t="s">
        <v>30901</v>
      </c>
      <c r="B30902" s="2" t="str">
        <f>IFERROR(__xludf.DUMMYFUNCTION("GOOGLETRANSLATE(A30902, ""de"", ""en"")"),"tomato juice")</f>
        <v>tomato juice</v>
      </c>
    </row>
    <row r="30903">
      <c r="A30903" s="1" t="s">
        <v>30902</v>
      </c>
      <c r="B30903" s="2" t="str">
        <f>IFERROR(__xludf.DUMMYFUNCTION("GOOGLETRANSLATE(A30903, ""de"", ""en"")"),"wag")</f>
        <v>wag</v>
      </c>
    </row>
    <row r="30904">
      <c r="A30904" s="1" t="s">
        <v>30903</v>
      </c>
      <c r="B30904" s="2" t="str">
        <f>IFERROR(__xludf.DUMMYFUNCTION("GOOGLETRANSLATE(A30904, ""de"", ""en"")"),"no matter")</f>
        <v>no matter</v>
      </c>
    </row>
    <row r="30905">
      <c r="A30905" s="1" t="s">
        <v>30904</v>
      </c>
      <c r="B30905" s="2" t="str">
        <f>IFERROR(__xludf.DUMMYFUNCTION("GOOGLETRANSLATE(A30905, ""de"", ""en"")"),"scared")</f>
        <v>scared</v>
      </c>
    </row>
    <row r="30906">
      <c r="A30906" s="1" t="s">
        <v>30905</v>
      </c>
      <c r="B30906" s="2" t="str">
        <f>IFERROR(__xludf.DUMMYFUNCTION("GOOGLETRANSLATE(A30906, ""de"", ""en"")"),"injured")</f>
        <v>injured</v>
      </c>
    </row>
    <row r="30907">
      <c r="A30907" s="1" t="s">
        <v>30906</v>
      </c>
      <c r="B30907" s="2" t="str">
        <f>IFERROR(__xludf.DUMMYFUNCTION("GOOGLETRANSLATE(A30907, ""de"", ""en"")"),"fat belly")</f>
        <v>fat belly</v>
      </c>
    </row>
    <row r="30908">
      <c r="A30908" s="1" t="s">
        <v>30907</v>
      </c>
      <c r="B30908" s="2" t="str">
        <f>IFERROR(__xludf.DUMMYFUNCTION("GOOGLETRANSLATE(A30908, ""de"", ""en"")"),"isn't")</f>
        <v>isn't</v>
      </c>
    </row>
    <row r="30909">
      <c r="A30909" s="1" t="s">
        <v>30908</v>
      </c>
      <c r="B30909" s="2" t="str">
        <f>IFERROR(__xludf.DUMMYFUNCTION("GOOGLETRANSLATE(A30909, ""de"", ""en"")"),"eastern front")</f>
        <v>eastern front</v>
      </c>
    </row>
    <row r="30910">
      <c r="A30910" s="1" t="s">
        <v>30909</v>
      </c>
      <c r="B30910" s="2" t="str">
        <f>IFERROR(__xludf.DUMMYFUNCTION("GOOGLETRANSLATE(A30910, ""de"", ""en"")"),"parkinson")</f>
        <v>parkinson</v>
      </c>
    </row>
    <row r="30911">
      <c r="A30911" s="1" t="s">
        <v>30910</v>
      </c>
      <c r="B30911" s="2" t="str">
        <f>IFERROR(__xludf.DUMMYFUNCTION("GOOGLETRANSLATE(A30911, ""de"", ""en"")"),"birds")</f>
        <v>birds</v>
      </c>
    </row>
    <row r="30912">
      <c r="A30912" s="1" t="s">
        <v>30911</v>
      </c>
      <c r="B30912" s="2" t="str">
        <f>IFERROR(__xludf.DUMMYFUNCTION("GOOGLETRANSLATE(A30912, ""de"", ""en"")"),"family business")</f>
        <v>family business</v>
      </c>
    </row>
    <row r="30913">
      <c r="A30913" s="1" t="s">
        <v>30912</v>
      </c>
      <c r="B30913" s="2" t="str">
        <f>IFERROR(__xludf.DUMMYFUNCTION("GOOGLETRANSLATE(A30913, ""de"", ""en"")"),"elmo")</f>
        <v>elmo</v>
      </c>
    </row>
    <row r="30914">
      <c r="A30914" s="1" t="s">
        <v>30913</v>
      </c>
      <c r="B30914" s="2" t="str">
        <f>IFERROR(__xludf.DUMMYFUNCTION("GOOGLETRANSLATE(A30914, ""de"", ""en"")"),"Orville")</f>
        <v>Orville</v>
      </c>
    </row>
    <row r="30915">
      <c r="A30915" s="1" t="s">
        <v>30914</v>
      </c>
      <c r="B30915" s="2" t="str">
        <f>IFERROR(__xludf.DUMMYFUNCTION("GOOGLETRANSLATE(A30915, ""de"", ""en"")"),"amine")</f>
        <v>amine</v>
      </c>
    </row>
    <row r="30916">
      <c r="A30916" s="1" t="s">
        <v>30915</v>
      </c>
      <c r="B30916" s="2" t="str">
        <f>IFERROR(__xludf.DUMMYFUNCTION("GOOGLETRANSLATE(A30916, ""de"", ""en"")"),"expressed")</f>
        <v>expressed</v>
      </c>
    </row>
    <row r="30917">
      <c r="A30917" s="1" t="s">
        <v>30916</v>
      </c>
      <c r="B30917" s="2" t="str">
        <f>IFERROR(__xludf.DUMMYFUNCTION("GOOGLETRANSLATE(A30917, ""de"", ""en"")"),"bikinis")</f>
        <v>bikinis</v>
      </c>
    </row>
    <row r="30918">
      <c r="A30918" s="1" t="s">
        <v>30917</v>
      </c>
      <c r="B30918" s="2" t="str">
        <f>IFERROR(__xludf.DUMMYFUNCTION("GOOGLETRANSLATE(A30918, ""de"", ""en"")"),"quirky")</f>
        <v>quirky</v>
      </c>
    </row>
    <row r="30919">
      <c r="A30919" s="1" t="s">
        <v>30918</v>
      </c>
      <c r="B30919" s="2" t="str">
        <f>IFERROR(__xludf.DUMMYFUNCTION("GOOGLETRANSLATE(A30919, ""de"", ""en"")"),"insignificant")</f>
        <v>insignificant</v>
      </c>
    </row>
    <row r="30920">
      <c r="A30920" s="1" t="s">
        <v>30919</v>
      </c>
      <c r="B30920" s="2" t="str">
        <f>IFERROR(__xludf.DUMMYFUNCTION("GOOGLETRANSLATE(A30920, ""de"", ""en"")"),"hancock")</f>
        <v>hancock</v>
      </c>
    </row>
    <row r="30921">
      <c r="A30921" s="1" t="s">
        <v>30920</v>
      </c>
      <c r="B30921" s="2" t="str">
        <f>IFERROR(__xludf.DUMMYFUNCTION("GOOGLETRANSLATE(A30921, ""de"", ""en"")"),"pity")</f>
        <v>pity</v>
      </c>
    </row>
    <row r="30922">
      <c r="A30922" s="1" t="s">
        <v>30921</v>
      </c>
      <c r="B30922" s="2" t="str">
        <f>IFERROR(__xludf.DUMMYFUNCTION("GOOGLETRANSLATE(A30922, ""de"", ""en"")"),"owes")</f>
        <v>owes</v>
      </c>
    </row>
    <row r="30923">
      <c r="A30923" s="1" t="s">
        <v>30922</v>
      </c>
      <c r="B30923" s="2" t="str">
        <f>IFERROR(__xludf.DUMMYFUNCTION("GOOGLETRANSLATE(A30923, ""de"", ""en"")"),"tenor")</f>
        <v>tenor</v>
      </c>
    </row>
    <row r="30924">
      <c r="A30924" s="1" t="s">
        <v>30923</v>
      </c>
      <c r="B30924" s="2" t="str">
        <f>IFERROR(__xludf.DUMMYFUNCTION("GOOGLETRANSLATE(A30924, ""de"", ""en"")"),"conquered")</f>
        <v>conquered</v>
      </c>
    </row>
    <row r="30925">
      <c r="A30925" s="1" t="s">
        <v>30924</v>
      </c>
      <c r="B30925" s="2" t="str">
        <f>IFERROR(__xludf.DUMMYFUNCTION("GOOGLETRANSLATE(A30925, ""de"", ""en"")"),"archive")</f>
        <v>archive</v>
      </c>
    </row>
    <row r="30926">
      <c r="A30926" s="1" t="s">
        <v>30925</v>
      </c>
      <c r="B30926" s="2" t="str">
        <f>IFERROR(__xludf.DUMMYFUNCTION("GOOGLETRANSLATE(A30926, ""de"", ""en"")"),"sibley")</f>
        <v>sibley</v>
      </c>
    </row>
    <row r="30927">
      <c r="A30927" s="1" t="s">
        <v>30926</v>
      </c>
      <c r="B30927" s="2" t="str">
        <f>IFERROR(__xludf.DUMMYFUNCTION("GOOGLETRANSLATE(A30927, ""de"", ""en"")"),"pulled away")</f>
        <v>pulled away</v>
      </c>
    </row>
    <row r="30928">
      <c r="A30928" s="1" t="s">
        <v>30927</v>
      </c>
      <c r="B30928" s="2" t="str">
        <f>IFERROR(__xludf.DUMMYFUNCTION("GOOGLETRANSLATE(A30928, ""de"", ""en"")"),"passes by")</f>
        <v>passes by</v>
      </c>
    </row>
    <row r="30929">
      <c r="A30929" s="1" t="s">
        <v>30928</v>
      </c>
      <c r="B30929" s="2" t="str">
        <f>IFERROR(__xludf.DUMMYFUNCTION("GOOGLETRANSLATE(A30929, ""de"", ""en"")"),"seems")</f>
        <v>seems</v>
      </c>
    </row>
    <row r="30930">
      <c r="A30930" s="1" t="s">
        <v>30929</v>
      </c>
      <c r="B30930" s="2" t="str">
        <f>IFERROR(__xludf.DUMMYFUNCTION("GOOGLETRANSLATE(A30930, ""de"", ""en"")"),"punch")</f>
        <v>punch</v>
      </c>
    </row>
    <row r="30931">
      <c r="A30931" s="1" t="s">
        <v>30930</v>
      </c>
      <c r="B30931" s="2" t="str">
        <f>IFERROR(__xludf.DUMMYFUNCTION("GOOGLETRANSLATE(A30931, ""de"", ""en"")"),"made")</f>
        <v>made</v>
      </c>
    </row>
    <row r="30932">
      <c r="A30932" s="1" t="s">
        <v>30931</v>
      </c>
      <c r="B30932" s="2" t="str">
        <f>IFERROR(__xludf.DUMMYFUNCTION("GOOGLETRANSLATE(A30932, ""de"", ""en"")"),"cowardly")</f>
        <v>cowardly</v>
      </c>
    </row>
    <row r="30933">
      <c r="A30933" s="1" t="s">
        <v>30932</v>
      </c>
      <c r="B30933" s="2" t="str">
        <f>IFERROR(__xludf.DUMMYFUNCTION("GOOGLETRANSLATE(A30933, ""de"", ""en"")"),"repeat")</f>
        <v>repeat</v>
      </c>
    </row>
    <row r="30934">
      <c r="A30934" s="1" t="s">
        <v>30933</v>
      </c>
      <c r="B30934" s="2" t="str">
        <f>IFERROR(__xludf.DUMMYFUNCTION("GOOGLETRANSLATE(A30934, ""de"", ""en"")"),"compensation")</f>
        <v>compensation</v>
      </c>
    </row>
    <row r="30935">
      <c r="A30935" s="1" t="s">
        <v>30934</v>
      </c>
      <c r="B30935" s="2" t="str">
        <f>IFERROR(__xludf.DUMMYFUNCTION("GOOGLETRANSLATE(A30935, ""de"", ""en"")"),"directed")</f>
        <v>directed</v>
      </c>
    </row>
    <row r="30936">
      <c r="A30936" s="1" t="s">
        <v>30935</v>
      </c>
      <c r="B30936" s="2" t="str">
        <f>IFERROR(__xludf.DUMMYFUNCTION("GOOGLETRANSLATE(A30936, ""de"", ""en"")"),"Catherine")</f>
        <v>Catherine</v>
      </c>
    </row>
    <row r="30937">
      <c r="A30937" s="1" t="s">
        <v>30936</v>
      </c>
      <c r="B30937" s="2" t="str">
        <f>IFERROR(__xludf.DUMMYFUNCTION("GOOGLETRANSLATE(A30937, ""de"", ""en"")"),"brothers")</f>
        <v>brothers</v>
      </c>
    </row>
    <row r="30938">
      <c r="A30938" s="1" t="s">
        <v>30937</v>
      </c>
      <c r="B30938" s="2" t="str">
        <f>IFERROR(__xludf.DUMMYFUNCTION("GOOGLETRANSLATE(A30938, ""de"", ""en"")"),"kaji")</f>
        <v>kaji</v>
      </c>
    </row>
    <row r="30939">
      <c r="A30939" s="1" t="s">
        <v>30938</v>
      </c>
      <c r="B30939" s="2" t="str">
        <f>IFERROR(__xludf.DUMMYFUNCTION("GOOGLETRANSLATE(A30939, ""de"", ""en"")"),"to give in")</f>
        <v>to give in</v>
      </c>
    </row>
    <row r="30940">
      <c r="A30940" s="1" t="s">
        <v>30939</v>
      </c>
      <c r="B30940" s="2" t="str">
        <f>IFERROR(__xludf.DUMMYFUNCTION("GOOGLETRANSLATE(A30940, ""de"", ""en"")"),"harlow")</f>
        <v>harlow</v>
      </c>
    </row>
    <row r="30941">
      <c r="A30941" s="1" t="s">
        <v>30940</v>
      </c>
      <c r="B30941" s="2" t="str">
        <f>IFERROR(__xludf.DUMMYFUNCTION("GOOGLETRANSLATE(A30941, ""de"", ""en"")"),"antler")</f>
        <v>antler</v>
      </c>
    </row>
    <row r="30942">
      <c r="A30942" s="1" t="s">
        <v>30941</v>
      </c>
      <c r="B30942" s="2" t="str">
        <f>IFERROR(__xludf.DUMMYFUNCTION("GOOGLETRANSLATE(A30942, ""de"", ""en"")"),"monseigneur")</f>
        <v>monseigneur</v>
      </c>
    </row>
    <row r="30943">
      <c r="A30943" s="1" t="s">
        <v>30942</v>
      </c>
      <c r="B30943" s="2" t="str">
        <f>IFERROR(__xludf.DUMMYFUNCTION("GOOGLETRANSLATE(A30943, ""de"", ""en"")"),"make happy")</f>
        <v>make happy</v>
      </c>
    </row>
    <row r="30944">
      <c r="A30944" s="1" t="s">
        <v>30943</v>
      </c>
      <c r="B30944" s="2" t="str">
        <f>IFERROR(__xludf.DUMMYFUNCTION("GOOGLETRANSLATE(A30944, ""de"", ""en"")"),"amputated")</f>
        <v>amputated</v>
      </c>
    </row>
    <row r="30945">
      <c r="A30945" s="1" t="s">
        <v>30944</v>
      </c>
      <c r="B30945" s="2" t="str">
        <f>IFERROR(__xludf.DUMMYFUNCTION("GOOGLETRANSLATE(A30945, ""de"", ""en"")"),"Bingley")</f>
        <v>Bingley</v>
      </c>
    </row>
    <row r="30946">
      <c r="A30946" s="1" t="s">
        <v>30945</v>
      </c>
      <c r="B30946" s="2" t="str">
        <f>IFERROR(__xludf.DUMMYFUNCTION("GOOGLETRANSLATE(A30946, ""de"", ""en"")"),"sleeps")</f>
        <v>sleeps</v>
      </c>
    </row>
    <row r="30947">
      <c r="A30947" s="1" t="s">
        <v>30946</v>
      </c>
      <c r="B30947" s="2" t="str">
        <f>IFERROR(__xludf.DUMMYFUNCTION("GOOGLETRANSLATE(A30947, ""de"", ""en"")"),"caused")</f>
        <v>caused</v>
      </c>
    </row>
    <row r="30948">
      <c r="A30948" s="1" t="s">
        <v>30947</v>
      </c>
      <c r="B30948" s="2" t="str">
        <f>IFERROR(__xludf.DUMMYFUNCTION("GOOGLETRANSLATE(A30948, ""de"", ""en"")"),"simpler")</f>
        <v>simpler</v>
      </c>
    </row>
    <row r="30949">
      <c r="A30949" s="1" t="s">
        <v>30948</v>
      </c>
      <c r="B30949" s="2" t="str">
        <f>IFERROR(__xludf.DUMMYFUNCTION("GOOGLETRANSLATE(A30949, ""de"", ""en"")"),"soon")</f>
        <v>soon</v>
      </c>
    </row>
    <row r="30950">
      <c r="A30950" s="1" t="s">
        <v>30949</v>
      </c>
      <c r="B30950" s="2" t="str">
        <f>IFERROR(__xludf.DUMMYFUNCTION("GOOGLETRANSLATE(A30950, ""de"", ""en"")"),"threatened")</f>
        <v>threatened</v>
      </c>
    </row>
    <row r="30951">
      <c r="A30951" s="1" t="s">
        <v>30950</v>
      </c>
      <c r="B30951" s="2" t="str">
        <f>IFERROR(__xludf.DUMMYFUNCTION("GOOGLETRANSLATE(A30951, ""de"", ""en"")"),"car bomb")</f>
        <v>car bomb</v>
      </c>
    </row>
    <row r="30952">
      <c r="A30952" s="1" t="s">
        <v>30951</v>
      </c>
      <c r="B30952" s="2" t="str">
        <f>IFERROR(__xludf.DUMMYFUNCTION("GOOGLETRANSLATE(A30952, ""de"", ""en"")"),"research")</f>
        <v>research</v>
      </c>
    </row>
    <row r="30953">
      <c r="A30953" s="1" t="s">
        <v>30952</v>
      </c>
      <c r="B30953" s="2" t="str">
        <f>IFERROR(__xludf.DUMMYFUNCTION("GOOGLETRANSLATE(A30953, ""de"", ""en"")"),"dig")</f>
        <v>dig</v>
      </c>
    </row>
    <row r="30954">
      <c r="A30954" s="1" t="s">
        <v>30953</v>
      </c>
      <c r="B30954" s="2" t="str">
        <f>IFERROR(__xludf.DUMMYFUNCTION("GOOGLETRANSLATE(A30954, ""de"", ""en"")"),"paragraphs")</f>
        <v>paragraphs</v>
      </c>
    </row>
    <row r="30955">
      <c r="A30955" s="1" t="s">
        <v>30954</v>
      </c>
      <c r="B30955" s="2" t="str">
        <f>IFERROR(__xludf.DUMMYFUNCTION("GOOGLETRANSLATE(A30955, ""de"", ""en"")"),"out")</f>
        <v>out</v>
      </c>
    </row>
    <row r="30956">
      <c r="A30956" s="1" t="s">
        <v>30955</v>
      </c>
      <c r="B30956" s="2" t="str">
        <f>IFERROR(__xludf.DUMMYFUNCTION("GOOGLETRANSLATE(A30956, ""de"", ""en"")"),"embezzlement")</f>
        <v>embezzlement</v>
      </c>
    </row>
    <row r="30957">
      <c r="A30957" s="1" t="s">
        <v>30956</v>
      </c>
      <c r="B30957" s="2" t="str">
        <f>IFERROR(__xludf.DUMMYFUNCTION("GOOGLETRANSLATE(A30957, ""de"", ""en"")"),"fingernail")</f>
        <v>fingernail</v>
      </c>
    </row>
    <row r="30958">
      <c r="A30958" s="1" t="s">
        <v>30957</v>
      </c>
      <c r="B30958" s="2" t="str">
        <f>IFERROR(__xludf.DUMMYFUNCTION("GOOGLETRANSLATE(A30958, ""de"", ""en"")"),"nicest")</f>
        <v>nicest</v>
      </c>
    </row>
    <row r="30959">
      <c r="A30959" s="1" t="s">
        <v>30958</v>
      </c>
      <c r="B30959" s="2" t="str">
        <f>IFERROR(__xludf.DUMMYFUNCTION("GOOGLETRANSLATE(A30959, ""de"", ""en"")"),"transvestite")</f>
        <v>transvestite</v>
      </c>
    </row>
    <row r="30960">
      <c r="A30960" s="1" t="s">
        <v>30959</v>
      </c>
      <c r="B30960" s="2" t="str">
        <f>IFERROR(__xludf.DUMMYFUNCTION("GOOGLETRANSLATE(A30960, ""de"", ""en"")"),"shook")</f>
        <v>shook</v>
      </c>
    </row>
    <row r="30961">
      <c r="A30961" s="1" t="s">
        <v>30960</v>
      </c>
      <c r="B30961" s="2" t="str">
        <f>IFERROR(__xludf.DUMMYFUNCTION("GOOGLETRANSLATE(A30961, ""de"", ""en"")"),"drowned out")</f>
        <v>drowned out</v>
      </c>
    </row>
    <row r="30962">
      <c r="A30962" s="1" t="s">
        <v>30961</v>
      </c>
      <c r="B30962" s="2" t="str">
        <f>IFERROR(__xludf.DUMMYFUNCTION("GOOGLETRANSLATE(A30962, ""de"", ""en"")"),"psychoanalysis")</f>
        <v>psychoanalysis</v>
      </c>
    </row>
    <row r="30963">
      <c r="A30963" s="1" t="s">
        <v>30962</v>
      </c>
      <c r="B30963" s="2" t="str">
        <f>IFERROR(__xludf.DUMMYFUNCTION("GOOGLETRANSLATE(A30963, ""de"", ""en"")"),"part-time job")</f>
        <v>part-time job</v>
      </c>
    </row>
    <row r="30964">
      <c r="A30964" s="1" t="s">
        <v>30963</v>
      </c>
      <c r="B30964" s="2" t="str">
        <f>IFERROR(__xludf.DUMMYFUNCTION("GOOGLETRANSLATE(A30964, ""de"", ""en"")"),"current")</f>
        <v>current</v>
      </c>
    </row>
    <row r="30965">
      <c r="A30965" s="1" t="s">
        <v>30964</v>
      </c>
      <c r="B30965" s="2" t="str">
        <f>IFERROR(__xludf.DUMMYFUNCTION("GOOGLETRANSLATE(A30965, ""de"", ""en"")"),"television show")</f>
        <v>television show</v>
      </c>
    </row>
    <row r="30966">
      <c r="A30966" s="1" t="s">
        <v>30965</v>
      </c>
      <c r="B30966" s="2" t="str">
        <f>IFERROR(__xludf.DUMMYFUNCTION("GOOGLETRANSLATE(A30966, ""de"", ""en"")"),"desdemona")</f>
        <v>desdemona</v>
      </c>
    </row>
    <row r="30967">
      <c r="A30967" s="1" t="s">
        <v>30966</v>
      </c>
      <c r="B30967" s="2" t="str">
        <f>IFERROR(__xludf.DUMMYFUNCTION("GOOGLETRANSLATE(A30967, ""de"", ""en"")"),"more likeable")</f>
        <v>more likeable</v>
      </c>
    </row>
    <row r="30968">
      <c r="A30968" s="1" t="s">
        <v>30967</v>
      </c>
      <c r="B30968" s="2" t="str">
        <f>IFERROR(__xludf.DUMMYFUNCTION("GOOGLETRANSLATE(A30968, ""de"", ""en"")"),"solve")</f>
        <v>solve</v>
      </c>
    </row>
    <row r="30969">
      <c r="A30969" s="1" t="s">
        <v>30968</v>
      </c>
      <c r="B30969" s="2" t="str">
        <f>IFERROR(__xludf.DUMMYFUNCTION("GOOGLETRANSLATE(A30969, ""de"", ""en"")"),"runes")</f>
        <v>runes</v>
      </c>
    </row>
    <row r="30970">
      <c r="A30970" s="1" t="s">
        <v>30969</v>
      </c>
      <c r="B30970" s="2" t="str">
        <f>IFERROR(__xludf.DUMMYFUNCTION("GOOGLETRANSLATE(A30970, ""de"", ""en"")"),"mon-el")</f>
        <v>mon-el</v>
      </c>
    </row>
    <row r="30971">
      <c r="A30971" s="1" t="s">
        <v>30970</v>
      </c>
      <c r="B30971" s="2" t="str">
        <f>IFERROR(__xludf.DUMMYFUNCTION("GOOGLETRANSLATE(A30971, ""de"", ""en"")"),"persistence")</f>
        <v>persistence</v>
      </c>
    </row>
    <row r="30972">
      <c r="A30972" s="1" t="s">
        <v>30971</v>
      </c>
      <c r="B30972" s="2" t="str">
        <f>IFERROR(__xludf.DUMMYFUNCTION("GOOGLETRANSLATE(A30972, ""de"", ""en"")"),"pumped")</f>
        <v>pumped</v>
      </c>
    </row>
    <row r="30973">
      <c r="A30973" s="1" t="s">
        <v>30972</v>
      </c>
      <c r="B30973" s="2" t="str">
        <f>IFERROR(__xludf.DUMMYFUNCTION("GOOGLETRANSLATE(A30973, ""de"", ""en"")"),"wakefield")</f>
        <v>wakefield</v>
      </c>
    </row>
    <row r="30974">
      <c r="A30974" s="1" t="s">
        <v>30973</v>
      </c>
      <c r="B30974" s="2" t="str">
        <f>IFERROR(__xludf.DUMMYFUNCTION("GOOGLETRANSLATE(A30974, ""de"", ""en"")"),"sloppy")</f>
        <v>sloppy</v>
      </c>
    </row>
    <row r="30975">
      <c r="A30975" s="1" t="s">
        <v>30974</v>
      </c>
      <c r="B30975" s="2" t="str">
        <f>IFERROR(__xludf.DUMMYFUNCTION("GOOGLETRANSLATE(A30975, ""de"", ""en"")"),"blame")</f>
        <v>blame</v>
      </c>
    </row>
    <row r="30976">
      <c r="A30976" s="1" t="s">
        <v>30975</v>
      </c>
      <c r="B30976" s="2" t="str">
        <f>IFERROR(__xludf.DUMMYFUNCTION("GOOGLETRANSLATE(A30976, ""de"", ""en"")"),"repaired")</f>
        <v>repaired</v>
      </c>
    </row>
    <row r="30977">
      <c r="A30977" s="1" t="s">
        <v>30976</v>
      </c>
      <c r="B30977" s="2" t="str">
        <f>IFERROR(__xludf.DUMMYFUNCTION("GOOGLETRANSLATE(A30977, ""de"", ""en"")"),"enter")</f>
        <v>enter</v>
      </c>
    </row>
    <row r="30978">
      <c r="A30978" s="1" t="s">
        <v>30977</v>
      </c>
      <c r="B30978" s="2" t="str">
        <f>IFERROR(__xludf.DUMMYFUNCTION("GOOGLETRANSLATE(A30978, ""de"", ""en"")"),"horrific")</f>
        <v>horrific</v>
      </c>
    </row>
    <row r="30979">
      <c r="A30979" s="1" t="s">
        <v>30978</v>
      </c>
      <c r="B30979" s="2" t="str">
        <f>IFERROR(__xludf.DUMMYFUNCTION("GOOGLETRANSLATE(A30979, ""de"", ""en"")"),"African")</f>
        <v>African</v>
      </c>
    </row>
    <row r="30980">
      <c r="A30980" s="1" t="s">
        <v>30979</v>
      </c>
      <c r="B30980" s="2" t="str">
        <f>IFERROR(__xludf.DUMMYFUNCTION("GOOGLETRANSLATE(A30980, ""de"", ""en"")"),"turn around")</f>
        <v>turn around</v>
      </c>
    </row>
    <row r="30981">
      <c r="A30981" s="1" t="s">
        <v>30980</v>
      </c>
      <c r="B30981" s="2" t="str">
        <f>IFERROR(__xludf.DUMMYFUNCTION("GOOGLETRANSLATE(A30981, ""de"", ""en"")"),"ellens")</f>
        <v>ellens</v>
      </c>
    </row>
    <row r="30982">
      <c r="A30982" s="1" t="s">
        <v>30981</v>
      </c>
      <c r="B30982" s="2" t="str">
        <f>IFERROR(__xludf.DUMMYFUNCTION("GOOGLETRANSLATE(A30982, ""de"", ""en"")"),"magic school")</f>
        <v>magic school</v>
      </c>
    </row>
    <row r="30983">
      <c r="A30983" s="1" t="s">
        <v>30982</v>
      </c>
      <c r="B30983" s="2" t="str">
        <f>IFERROR(__xludf.DUMMYFUNCTION("GOOGLETRANSLATE(A30983, ""de"", ""en"")"),"noise")</f>
        <v>noise</v>
      </c>
    </row>
    <row r="30984">
      <c r="A30984" s="1" t="s">
        <v>30983</v>
      </c>
      <c r="B30984" s="2" t="str">
        <f>IFERROR(__xludf.DUMMYFUNCTION("GOOGLETRANSLATE(A30984, ""de"", ""en"")"),"esophagus")</f>
        <v>esophagus</v>
      </c>
    </row>
    <row r="30985">
      <c r="A30985" s="1" t="s">
        <v>30984</v>
      </c>
      <c r="B30985" s="2" t="str">
        <f>IFERROR(__xludf.DUMMYFUNCTION("GOOGLETRANSLATE(A30985, ""de"", ""en"")"),"homework")</f>
        <v>homework</v>
      </c>
    </row>
    <row r="30986">
      <c r="A30986" s="1" t="s">
        <v>30985</v>
      </c>
      <c r="B30986" s="2" t="str">
        <f>IFERROR(__xludf.DUMMYFUNCTION("GOOGLETRANSLATE(A30986, ""de"", ""en"")"),"management")</f>
        <v>management</v>
      </c>
    </row>
    <row r="30987">
      <c r="A30987" s="1" t="s">
        <v>30986</v>
      </c>
      <c r="B30987" s="2" t="str">
        <f>IFERROR(__xludf.DUMMYFUNCTION("GOOGLETRANSLATE(A30987, ""de"", ""en"")"),"reversed")</f>
        <v>reversed</v>
      </c>
    </row>
    <row r="30988">
      <c r="A30988" s="1" t="s">
        <v>30987</v>
      </c>
      <c r="B30988" s="2" t="str">
        <f>IFERROR(__xludf.DUMMYFUNCTION("GOOGLETRANSLATE(A30988, ""de"", ""en"")"),"intentional")</f>
        <v>intentional</v>
      </c>
    </row>
    <row r="30989">
      <c r="A30989" s="1" t="s">
        <v>30988</v>
      </c>
      <c r="B30989" s="2" t="str">
        <f>IFERROR(__xludf.DUMMYFUNCTION("GOOGLETRANSLATE(A30989, ""de"", ""en"")"),"redskins")</f>
        <v>redskins</v>
      </c>
    </row>
    <row r="30990">
      <c r="A30990" s="1" t="s">
        <v>30989</v>
      </c>
      <c r="B30990" s="2" t="str">
        <f>IFERROR(__xludf.DUMMYFUNCTION("GOOGLETRANSLATE(A30990, ""de"", ""en"")"),"to submit")</f>
        <v>to submit</v>
      </c>
    </row>
    <row r="30991">
      <c r="A30991" s="1" t="s">
        <v>30990</v>
      </c>
      <c r="B30991" s="2" t="str">
        <f>IFERROR(__xludf.DUMMYFUNCTION("GOOGLETRANSLATE(A30991, ""de"", ""en"")"),"passed over")</f>
        <v>passed over</v>
      </c>
    </row>
    <row r="30992">
      <c r="A30992" s="1" t="s">
        <v>30991</v>
      </c>
      <c r="B30992" s="2" t="str">
        <f>IFERROR(__xludf.DUMMYFUNCTION("GOOGLETRANSLATE(A30992, ""de"", ""en"")"),"responsive")</f>
        <v>responsive</v>
      </c>
    </row>
    <row r="30993">
      <c r="A30993" s="1" t="s">
        <v>30992</v>
      </c>
      <c r="B30993" s="2" t="str">
        <f>IFERROR(__xludf.DUMMYFUNCTION("GOOGLETRANSLATE(A30993, ""de"", ""en"")"),"studied")</f>
        <v>studied</v>
      </c>
    </row>
    <row r="30994">
      <c r="A30994" s="1" t="s">
        <v>30993</v>
      </c>
      <c r="B30994" s="2" t="str">
        <f>IFERROR(__xludf.DUMMYFUNCTION("GOOGLETRANSLATE(A30994, ""de"", ""en"")"),"Whittaker")</f>
        <v>Whittaker</v>
      </c>
    </row>
    <row r="30995">
      <c r="A30995" s="1" t="s">
        <v>30994</v>
      </c>
      <c r="B30995" s="2" t="str">
        <f>IFERROR(__xludf.DUMMYFUNCTION("GOOGLETRANSLATE(A30995, ""de"", ""en"")"),"weaklings")</f>
        <v>weaklings</v>
      </c>
    </row>
    <row r="30996">
      <c r="A30996" s="1" t="s">
        <v>30995</v>
      </c>
      <c r="B30996" s="2" t="str">
        <f>IFERROR(__xludf.DUMMYFUNCTION("GOOGLETRANSLATE(A30996, ""de"", ""en"")"),"spend")</f>
        <v>spend</v>
      </c>
    </row>
    <row r="30997">
      <c r="A30997" s="1" t="s">
        <v>30996</v>
      </c>
      <c r="B30997" s="2" t="str">
        <f>IFERROR(__xludf.DUMMYFUNCTION("GOOGLETRANSLATE(A30997, ""de"", ""en"")"),"captain")</f>
        <v>captain</v>
      </c>
    </row>
    <row r="30998">
      <c r="A30998" s="1" t="s">
        <v>30997</v>
      </c>
      <c r="B30998" s="2" t="str">
        <f>IFERROR(__xludf.DUMMYFUNCTION("GOOGLETRANSLATE(A30998, ""de"", ""en"")"),"unbearable")</f>
        <v>unbearable</v>
      </c>
    </row>
    <row r="30999">
      <c r="A30999" s="1" t="s">
        <v>30998</v>
      </c>
      <c r="B30999" s="2" t="str">
        <f>IFERROR(__xludf.DUMMYFUNCTION("GOOGLETRANSLATE(A30999, ""de"", ""en"")"),"Thanksgiving")</f>
        <v>Thanksgiving</v>
      </c>
    </row>
    <row r="31000">
      <c r="A31000" s="1" t="s">
        <v>30999</v>
      </c>
      <c r="B31000" s="2" t="str">
        <f>IFERROR(__xludf.DUMMYFUNCTION("GOOGLETRANSLATE(A31000, ""de"", ""en"")"),"masquerade")</f>
        <v>masquerade</v>
      </c>
    </row>
    <row r="31001">
      <c r="A31001" s="1" t="s">
        <v>31000</v>
      </c>
      <c r="B31001" s="2" t="str">
        <f>IFERROR(__xludf.DUMMYFUNCTION("GOOGLETRANSLATE(A31001, ""de"", ""en"")"),"working")</f>
        <v>working</v>
      </c>
    </row>
    <row r="31002">
      <c r="A31002" s="1" t="s">
        <v>31001</v>
      </c>
      <c r="B31002" s="2" t="str">
        <f>IFERROR(__xludf.DUMMYFUNCTION("GOOGLETRANSLATE(A31002, ""de"", ""en"")"),"pleasing")</f>
        <v>pleasing</v>
      </c>
    </row>
    <row r="31003">
      <c r="A31003" s="1" t="s">
        <v>31002</v>
      </c>
      <c r="B31003" s="2" t="str">
        <f>IFERROR(__xludf.DUMMYFUNCTION("GOOGLETRANSLATE(A31003, ""de"", ""en"")"),"minimize")</f>
        <v>minimize</v>
      </c>
    </row>
    <row r="31004">
      <c r="A31004" s="1" t="s">
        <v>31003</v>
      </c>
      <c r="B31004" s="2" t="str">
        <f>IFERROR(__xludf.DUMMYFUNCTION("GOOGLETRANSLATE(A31004, ""de"", ""en"")"),"yasmin")</f>
        <v>yasmin</v>
      </c>
    </row>
    <row r="31005">
      <c r="A31005" s="1" t="s">
        <v>31004</v>
      </c>
      <c r="B31005" s="2" t="str">
        <f>IFERROR(__xludf.DUMMYFUNCTION("GOOGLETRANSLATE(A31005, ""de"", ""en"")"),"banknotes")</f>
        <v>banknotes</v>
      </c>
    </row>
    <row r="31006">
      <c r="A31006" s="1" t="s">
        <v>31005</v>
      </c>
      <c r="B31006" s="2" t="str">
        <f>IFERROR(__xludf.DUMMYFUNCTION("GOOGLETRANSLATE(A31006, ""de"", ""en"")"),"naive")</f>
        <v>naive</v>
      </c>
    </row>
    <row r="31007">
      <c r="A31007" s="1" t="s">
        <v>31006</v>
      </c>
      <c r="B31007" s="2" t="str">
        <f>IFERROR(__xludf.DUMMYFUNCTION("GOOGLETRANSLATE(A31007, ""de"", ""en"")"),"fried")</f>
        <v>fried</v>
      </c>
    </row>
    <row r="31008">
      <c r="A31008" s="1" t="s">
        <v>31007</v>
      </c>
      <c r="B31008" s="2" t="str">
        <f>IFERROR(__xludf.DUMMYFUNCTION("GOOGLETRANSLATE(A31008, ""de"", ""en"")"),"to announce")</f>
        <v>to announce</v>
      </c>
    </row>
    <row r="31009">
      <c r="A31009" s="1" t="s">
        <v>31008</v>
      </c>
      <c r="B31009" s="2" t="str">
        <f>IFERROR(__xludf.DUMMYFUNCTION("GOOGLETRANSLATE(A31009, ""de"", ""en"")"),"darkened")</f>
        <v>darkened</v>
      </c>
    </row>
    <row r="31010">
      <c r="A31010" s="1" t="s">
        <v>31009</v>
      </c>
      <c r="B31010" s="2" t="str">
        <f>IFERROR(__xludf.DUMMYFUNCTION("GOOGLETRANSLATE(A31010, ""de"", ""en"")"),"surcharge")</f>
        <v>surcharge</v>
      </c>
    </row>
    <row r="31011">
      <c r="A31011" s="1" t="s">
        <v>31010</v>
      </c>
      <c r="B31011" s="2" t="str">
        <f>IFERROR(__xludf.DUMMYFUNCTION("GOOGLETRANSLATE(A31011, ""de"", ""en"")"),"opposites")</f>
        <v>opposites</v>
      </c>
    </row>
    <row r="31012">
      <c r="A31012" s="1" t="s">
        <v>31011</v>
      </c>
      <c r="B31012" s="2" t="str">
        <f>IFERROR(__xludf.DUMMYFUNCTION("GOOGLETRANSLATE(A31012, ""de"", ""en"")"),"detours")</f>
        <v>detours</v>
      </c>
    </row>
    <row r="31013">
      <c r="A31013" s="1" t="s">
        <v>31012</v>
      </c>
      <c r="B31013" s="2" t="str">
        <f>IFERROR(__xludf.DUMMYFUNCTION("GOOGLETRANSLATE(A31013, ""de"", ""en"")"),"would give")</f>
        <v>would give</v>
      </c>
    </row>
    <row r="31014">
      <c r="A31014" s="1" t="s">
        <v>31013</v>
      </c>
      <c r="B31014" s="2" t="str">
        <f>IFERROR(__xludf.DUMMYFUNCTION("GOOGLETRANSLATE(A31014, ""de"", ""en"")"),"unsympathetic")</f>
        <v>unsympathetic</v>
      </c>
    </row>
    <row r="31015">
      <c r="A31015" s="1" t="s">
        <v>31014</v>
      </c>
      <c r="B31015" s="2" t="str">
        <f>IFERROR(__xludf.DUMMYFUNCTION("GOOGLETRANSLATE(A31015, ""de"", ""en"")"),"lust")</f>
        <v>lust</v>
      </c>
    </row>
    <row r="31016">
      <c r="A31016" s="1" t="s">
        <v>31015</v>
      </c>
      <c r="B31016" s="2" t="str">
        <f>IFERROR(__xludf.DUMMYFUNCTION("GOOGLETRANSLATE(A31016, ""de"", ""en"")"),"brightest")</f>
        <v>brightest</v>
      </c>
    </row>
    <row r="31017">
      <c r="A31017" s="1" t="s">
        <v>31016</v>
      </c>
      <c r="B31017" s="2" t="str">
        <f>IFERROR(__xludf.DUMMYFUNCTION("GOOGLETRANSLATE(A31017, ""de"", ""en"")"),"you can manage")</f>
        <v>you can manage</v>
      </c>
    </row>
    <row r="31018">
      <c r="A31018" s="1" t="s">
        <v>31017</v>
      </c>
      <c r="B31018" s="2" t="str">
        <f>IFERROR(__xludf.DUMMYFUNCTION("GOOGLETRANSLATE(A31018, ""de"", ""en"")"),"leading actress")</f>
        <v>leading actress</v>
      </c>
    </row>
    <row r="31019">
      <c r="A31019" s="1" t="s">
        <v>31018</v>
      </c>
      <c r="B31019" s="2" t="str">
        <f>IFERROR(__xludf.DUMMYFUNCTION("GOOGLETRANSLATE(A31019, ""de"", ""en"")"),"punks")</f>
        <v>punks</v>
      </c>
    </row>
    <row r="31020">
      <c r="A31020" s="1" t="s">
        <v>31019</v>
      </c>
      <c r="B31020" s="2" t="str">
        <f>IFERROR(__xludf.DUMMYFUNCTION("GOOGLETRANSLATE(A31020, ""de"", ""en"")"),"provide")</f>
        <v>provide</v>
      </c>
    </row>
    <row r="31021">
      <c r="A31021" s="1" t="s">
        <v>31020</v>
      </c>
      <c r="B31021" s="2" t="str">
        <f>IFERROR(__xludf.DUMMYFUNCTION("GOOGLETRANSLATE(A31021, ""de"", ""en"")"),"interventions")</f>
        <v>interventions</v>
      </c>
    </row>
    <row r="31022">
      <c r="A31022" s="1" t="s">
        <v>31021</v>
      </c>
      <c r="B31022" s="2" t="str">
        <f>IFERROR(__xludf.DUMMYFUNCTION("GOOGLETRANSLATE(A31022, ""de"", ""en"")"),"robots")</f>
        <v>robots</v>
      </c>
    </row>
    <row r="31023">
      <c r="A31023" s="1" t="s">
        <v>31022</v>
      </c>
      <c r="B31023" s="2" t="str">
        <f>IFERROR(__xludf.DUMMYFUNCTION("GOOGLETRANSLATE(A31023, ""de"", ""en"")"),"homeowner")</f>
        <v>homeowner</v>
      </c>
    </row>
    <row r="31024">
      <c r="A31024" s="1" t="s">
        <v>31023</v>
      </c>
      <c r="B31024" s="2" t="str">
        <f>IFERROR(__xludf.DUMMYFUNCTION("GOOGLETRANSLATE(A31024, ""de"", ""en"")"),"mangoes")</f>
        <v>mangoes</v>
      </c>
    </row>
    <row r="31025">
      <c r="A31025" s="1" t="s">
        <v>31024</v>
      </c>
      <c r="B31025" s="2" t="str">
        <f>IFERROR(__xludf.DUMMYFUNCTION("GOOGLETRANSLATE(A31025, ""de"", ""en"")"),"delivered")</f>
        <v>delivered</v>
      </c>
    </row>
    <row r="31026">
      <c r="A31026" s="1" t="s">
        <v>31025</v>
      </c>
      <c r="B31026" s="2" t="str">
        <f>IFERROR(__xludf.DUMMYFUNCTION("GOOGLETRANSLATE(A31026, ""de"", ""en"")"),"baldwins")</f>
        <v>baldwins</v>
      </c>
    </row>
    <row r="31027">
      <c r="A31027" s="1" t="s">
        <v>31026</v>
      </c>
      <c r="B31027" s="2" t="str">
        <f>IFERROR(__xludf.DUMMYFUNCTION("GOOGLETRANSLATE(A31027, ""de"", ""en"")"),"baht")</f>
        <v>baht</v>
      </c>
    </row>
    <row r="31028">
      <c r="A31028" s="1" t="s">
        <v>31027</v>
      </c>
      <c r="B31028" s="2" t="str">
        <f>IFERROR(__xludf.DUMMYFUNCTION("GOOGLETRANSLATE(A31028, ""de"", ""en"")"),"tussen")</f>
        <v>tussen</v>
      </c>
    </row>
    <row r="31029">
      <c r="A31029" s="1" t="s">
        <v>31028</v>
      </c>
      <c r="B31029" s="2" t="str">
        <f>IFERROR(__xludf.DUMMYFUNCTION("GOOGLETRANSLATE(A31029, ""de"", ""en"")"),"extermination")</f>
        <v>extermination</v>
      </c>
    </row>
    <row r="31030">
      <c r="A31030" s="1" t="s">
        <v>31029</v>
      </c>
      <c r="B31030" s="2" t="str">
        <f>IFERROR(__xludf.DUMMYFUNCTION("GOOGLETRANSLATE(A31030, ""de"", ""en"")"),"coalition")</f>
        <v>coalition</v>
      </c>
    </row>
    <row r="31031">
      <c r="A31031" s="1" t="s">
        <v>31030</v>
      </c>
      <c r="B31031" s="2" t="str">
        <f>IFERROR(__xludf.DUMMYFUNCTION("GOOGLETRANSLATE(A31031, ""de"", ""en"")"),"advantageous")</f>
        <v>advantageous</v>
      </c>
    </row>
    <row r="31032">
      <c r="A31032" s="1" t="s">
        <v>31031</v>
      </c>
      <c r="B31032" s="2" t="str">
        <f>IFERROR(__xludf.DUMMYFUNCTION("GOOGLETRANSLATE(A31032, ""de"", ""en"")"),"to train")</f>
        <v>to train</v>
      </c>
    </row>
    <row r="31033">
      <c r="A31033" s="1" t="s">
        <v>31032</v>
      </c>
      <c r="B31033" s="2" t="str">
        <f>IFERROR(__xludf.DUMMYFUNCTION("GOOGLETRANSLATE(A31033, ""de"", ""en"")"),"arrange")</f>
        <v>arrange</v>
      </c>
    </row>
    <row r="31034">
      <c r="A31034" s="1" t="s">
        <v>31033</v>
      </c>
      <c r="B31034" s="2" t="str">
        <f>IFERROR(__xludf.DUMMYFUNCTION("GOOGLETRANSLATE(A31034, ""de"", ""en"")"),"freezer")</f>
        <v>freezer</v>
      </c>
    </row>
    <row r="31035">
      <c r="A31035" s="1" t="s">
        <v>31034</v>
      </c>
      <c r="B31035" s="2" t="str">
        <f>IFERROR(__xludf.DUMMYFUNCTION("GOOGLETRANSLATE(A31035, ""de"", ""en"")"),"rub")</f>
        <v>rub</v>
      </c>
    </row>
    <row r="31036">
      <c r="A31036" s="1" t="s">
        <v>31035</v>
      </c>
      <c r="B31036" s="2" t="str">
        <f>IFERROR(__xludf.DUMMYFUNCTION("GOOGLETRANSLATE(A31036, ""de"", ""en"")"),"buddhas")</f>
        <v>buddhas</v>
      </c>
    </row>
    <row r="31037">
      <c r="A31037" s="1" t="s">
        <v>31036</v>
      </c>
      <c r="B31037" s="2" t="str">
        <f>IFERROR(__xludf.DUMMYFUNCTION("GOOGLETRANSLATE(A31037, ""de"", ""en"")"),"magic tricks")</f>
        <v>magic tricks</v>
      </c>
    </row>
    <row r="31038">
      <c r="A31038" s="1" t="s">
        <v>31037</v>
      </c>
      <c r="B31038" s="2" t="str">
        <f>IFERROR(__xludf.DUMMYFUNCTION("GOOGLETRANSLATE(A31038, ""de"", ""en"")"),"ludovic")</f>
        <v>ludovic</v>
      </c>
    </row>
    <row r="31039">
      <c r="A31039" s="1" t="s">
        <v>31038</v>
      </c>
      <c r="B31039" s="2" t="str">
        <f>IFERROR(__xludf.DUMMYFUNCTION("GOOGLETRANSLATE(A31039, ""de"", ""en"")"),"surrogate mother")</f>
        <v>surrogate mother</v>
      </c>
    </row>
    <row r="31040">
      <c r="A31040" s="1" t="s">
        <v>31039</v>
      </c>
      <c r="B31040" s="2" t="str">
        <f>IFERROR(__xludf.DUMMYFUNCTION("GOOGLETRANSLATE(A31040, ""de"", ""en"")"),"games")</f>
        <v>games</v>
      </c>
    </row>
    <row r="31041">
      <c r="A31041" s="1" t="s">
        <v>31040</v>
      </c>
      <c r="B31041" s="2" t="str">
        <f>IFERROR(__xludf.DUMMYFUNCTION("GOOGLETRANSLATE(A31041, ""de"", ""en"")"),"teacher's room")</f>
        <v>teacher's room</v>
      </c>
    </row>
    <row r="31042">
      <c r="A31042" s="1" t="s">
        <v>31041</v>
      </c>
      <c r="B31042" s="2" t="str">
        <f>IFERROR(__xludf.DUMMYFUNCTION("GOOGLETRANSLATE(A31042, ""de"", ""en"")"),"cannon")</f>
        <v>cannon</v>
      </c>
    </row>
    <row r="31043">
      <c r="A31043" s="1" t="s">
        <v>31042</v>
      </c>
      <c r="B31043" s="2" t="str">
        <f>IFERROR(__xludf.DUMMYFUNCTION("GOOGLETRANSLATE(A31043, ""de"", ""en"")"),"elevators")</f>
        <v>elevators</v>
      </c>
    </row>
    <row r="31044">
      <c r="A31044" s="1" t="s">
        <v>31043</v>
      </c>
      <c r="B31044" s="2" t="str">
        <f>IFERROR(__xludf.DUMMYFUNCTION("GOOGLETRANSLATE(A31044, ""de"", ""en"")"),"fought")</f>
        <v>fought</v>
      </c>
    </row>
    <row r="31045">
      <c r="A31045" s="1" t="s">
        <v>31044</v>
      </c>
      <c r="B31045" s="2" t="str">
        <f>IFERROR(__xludf.DUMMYFUNCTION("GOOGLETRANSLATE(A31045, ""de"", ""en"")"),"strikes")</f>
        <v>strikes</v>
      </c>
    </row>
    <row r="31046">
      <c r="A31046" s="1" t="s">
        <v>31045</v>
      </c>
      <c r="B31046" s="2" t="str">
        <f>IFERROR(__xludf.DUMMYFUNCTION("GOOGLETRANSLATE(A31046, ""de"", ""en"")"),"genji")</f>
        <v>genji</v>
      </c>
    </row>
    <row r="31047">
      <c r="A31047" s="1" t="s">
        <v>31046</v>
      </c>
      <c r="B31047" s="2" t="str">
        <f>IFERROR(__xludf.DUMMYFUNCTION("GOOGLETRANSLATE(A31047, ""de"", ""en"")"),"contemplation")</f>
        <v>contemplation</v>
      </c>
    </row>
    <row r="31048">
      <c r="A31048" s="1" t="s">
        <v>31047</v>
      </c>
      <c r="B31048" s="2" t="str">
        <f>IFERROR(__xludf.DUMMYFUNCTION("GOOGLETRANSLATE(A31048, ""de"", ""en"")"),"riva")</f>
        <v>riva</v>
      </c>
    </row>
    <row r="31049">
      <c r="A31049" s="1" t="s">
        <v>31048</v>
      </c>
      <c r="B31049" s="2" t="str">
        <f>IFERROR(__xludf.DUMMYFUNCTION("GOOGLETRANSLATE(A31049, ""de"", ""en"")"),"discredit")</f>
        <v>discredit</v>
      </c>
    </row>
    <row r="31050">
      <c r="A31050" s="1" t="s">
        <v>31049</v>
      </c>
      <c r="B31050" s="2" t="str">
        <f>IFERROR(__xludf.DUMMYFUNCTION("GOOGLETRANSLATE(A31050, ""de"", ""en"")"),"medieval")</f>
        <v>medieval</v>
      </c>
    </row>
    <row r="31051">
      <c r="A31051" s="1" t="s">
        <v>31050</v>
      </c>
      <c r="B31051" s="2" t="str">
        <f>IFERROR(__xludf.DUMMYFUNCTION("GOOGLETRANSLATE(A31051, ""de"", ""en"")"),"glaring")</f>
        <v>glaring</v>
      </c>
    </row>
    <row r="31052">
      <c r="A31052" s="1" t="s">
        <v>31051</v>
      </c>
      <c r="B31052" s="2" t="str">
        <f>IFERROR(__xludf.DUMMYFUNCTION("GOOGLETRANSLATE(A31052, ""de"", ""en"")"),"refill")</f>
        <v>refill</v>
      </c>
    </row>
    <row r="31053">
      <c r="A31053" s="1" t="s">
        <v>31052</v>
      </c>
      <c r="B31053" s="2" t="str">
        <f>IFERROR(__xludf.DUMMYFUNCTION("GOOGLETRANSLATE(A31053, ""de"", ""en"")"),"heart disease")</f>
        <v>heart disease</v>
      </c>
    </row>
    <row r="31054">
      <c r="A31054" s="1" t="s">
        <v>31053</v>
      </c>
      <c r="B31054" s="2" t="str">
        <f>IFERROR(__xludf.DUMMYFUNCTION("GOOGLETRANSLATE(A31054, ""de"", ""en"")"),"see")</f>
        <v>see</v>
      </c>
    </row>
    <row r="31055">
      <c r="A31055" s="1" t="s">
        <v>31054</v>
      </c>
      <c r="B31055" s="2" t="str">
        <f>IFERROR(__xludf.DUMMYFUNCTION("GOOGLETRANSLATE(A31055, ""de"", ""en"")"),"street noise")</f>
        <v>street noise</v>
      </c>
    </row>
    <row r="31056">
      <c r="A31056" s="1" t="s">
        <v>31055</v>
      </c>
      <c r="B31056" s="2" t="str">
        <f>IFERROR(__xludf.DUMMYFUNCTION("GOOGLETRANSLATE(A31056, ""de"", ""en"")"),"krueger")</f>
        <v>krueger</v>
      </c>
    </row>
    <row r="31057">
      <c r="A31057" s="1" t="s">
        <v>31056</v>
      </c>
      <c r="B31057" s="2" t="str">
        <f>IFERROR(__xludf.DUMMYFUNCTION("GOOGLETRANSLATE(A31057, ""de"", ""en"")"),"sharpen")</f>
        <v>sharpen</v>
      </c>
    </row>
    <row r="31058">
      <c r="A31058" s="1" t="s">
        <v>31057</v>
      </c>
      <c r="B31058" s="2" t="str">
        <f>IFERROR(__xludf.DUMMYFUNCTION("GOOGLETRANSLATE(A31058, ""de"", ""en"")"),"got into it")</f>
        <v>got into it</v>
      </c>
    </row>
    <row r="31059">
      <c r="A31059" s="1" t="s">
        <v>31058</v>
      </c>
      <c r="B31059" s="2" t="str">
        <f>IFERROR(__xludf.DUMMYFUNCTION("GOOGLETRANSLATE(A31059, ""de"", ""en"")"),"phrases")</f>
        <v>phrases</v>
      </c>
    </row>
    <row r="31060">
      <c r="A31060" s="1" t="s">
        <v>31059</v>
      </c>
      <c r="B31060" s="2" t="str">
        <f>IFERROR(__xludf.DUMMYFUNCTION("GOOGLETRANSLATE(A31060, ""de"", ""en"")"),"Mahal")</f>
        <v>Mahal</v>
      </c>
    </row>
    <row r="31061">
      <c r="A31061" s="1" t="s">
        <v>31060</v>
      </c>
      <c r="B31061" s="2" t="str">
        <f>IFERROR(__xludf.DUMMYFUNCTION("GOOGLETRANSLATE(A31061, ""de"", ""en"")"),"strigoi")</f>
        <v>strigoi</v>
      </c>
    </row>
    <row r="31062">
      <c r="A31062" s="1" t="s">
        <v>31061</v>
      </c>
      <c r="B31062" s="2" t="str">
        <f>IFERROR(__xludf.DUMMYFUNCTION("GOOGLETRANSLATE(A31062, ""de"", ""en"")"),"egg")</f>
        <v>egg</v>
      </c>
    </row>
    <row r="31063">
      <c r="A31063" s="1" t="s">
        <v>31062</v>
      </c>
      <c r="B31063" s="2" t="str">
        <f>IFERROR(__xludf.DUMMYFUNCTION("GOOGLETRANSLATE(A31063, ""de"", ""en"")"),"smoke")</f>
        <v>smoke</v>
      </c>
    </row>
    <row r="31064">
      <c r="A31064" s="1" t="s">
        <v>31063</v>
      </c>
      <c r="B31064" s="2" t="str">
        <f>IFERROR(__xludf.DUMMYFUNCTION("GOOGLETRANSLATE(A31064, ""de"", ""en"")"),"indra")</f>
        <v>indra</v>
      </c>
    </row>
    <row r="31065">
      <c r="A31065" s="1" t="s">
        <v>31064</v>
      </c>
      <c r="B31065" s="2" t="str">
        <f>IFERROR(__xludf.DUMMYFUNCTION("GOOGLETRANSLATE(A31065, ""de"", ""en"")"),"around each other")</f>
        <v>around each other</v>
      </c>
    </row>
    <row r="31066">
      <c r="A31066" s="1" t="s">
        <v>31065</v>
      </c>
      <c r="B31066" s="2" t="str">
        <f>IFERROR(__xludf.DUMMYFUNCTION("GOOGLETRANSLATE(A31066, ""de"", ""en"")"),"maximum security prison")</f>
        <v>maximum security prison</v>
      </c>
    </row>
    <row r="31067">
      <c r="A31067" s="1" t="s">
        <v>31066</v>
      </c>
      <c r="B31067" s="2" t="str">
        <f>IFERROR(__xludf.DUMMYFUNCTION("GOOGLETRANSLATE(A31067, ""de"", ""en"")"),"parchment")</f>
        <v>parchment</v>
      </c>
    </row>
    <row r="31068">
      <c r="A31068" s="1" t="s">
        <v>31067</v>
      </c>
      <c r="B31068" s="2" t="str">
        <f>IFERROR(__xludf.DUMMYFUNCTION("GOOGLETRANSLATE(A31068, ""de"", ""en"")"),"dream world")</f>
        <v>dream world</v>
      </c>
    </row>
    <row r="31069">
      <c r="A31069" s="1" t="s">
        <v>31068</v>
      </c>
      <c r="B31069" s="2" t="str">
        <f>IFERROR(__xludf.DUMMYFUNCTION("GOOGLETRANSLATE(A31069, ""de"", ""en"")"),"darrell")</f>
        <v>darrell</v>
      </c>
    </row>
    <row r="31070">
      <c r="A31070" s="1" t="s">
        <v>31069</v>
      </c>
      <c r="B31070" s="2" t="str">
        <f>IFERROR(__xludf.DUMMYFUNCTION("GOOGLETRANSLATE(A31070, ""de"", ""en"")"),"create")</f>
        <v>create</v>
      </c>
    </row>
    <row r="31071">
      <c r="A31071" s="1" t="s">
        <v>31070</v>
      </c>
      <c r="B31071" s="2" t="str">
        <f>IFERROR(__xludf.DUMMYFUNCTION("GOOGLETRANSLATE(A31071, ""de"", ""en"")"),"soft")</f>
        <v>soft</v>
      </c>
    </row>
    <row r="31072">
      <c r="A31072" s="1" t="s">
        <v>31071</v>
      </c>
      <c r="B31072" s="2" t="str">
        <f>IFERROR(__xludf.DUMMYFUNCTION("GOOGLETRANSLATE(A31072, ""de"", ""en"")"),"winner")</f>
        <v>winner</v>
      </c>
    </row>
    <row r="31073">
      <c r="A31073" s="1" t="s">
        <v>31072</v>
      </c>
      <c r="B31073" s="2" t="str">
        <f>IFERROR(__xludf.DUMMYFUNCTION("GOOGLETRANSLATE(A31073, ""de"", ""en"")"),"glitter")</f>
        <v>glitter</v>
      </c>
    </row>
    <row r="31074">
      <c r="A31074" s="1" t="s">
        <v>31073</v>
      </c>
      <c r="B31074" s="2" t="str">
        <f>IFERROR(__xludf.DUMMYFUNCTION("GOOGLETRANSLATE(A31074, ""de"", ""en"")"),"crossroads")</f>
        <v>crossroads</v>
      </c>
    </row>
    <row r="31075">
      <c r="A31075" s="1" t="s">
        <v>31074</v>
      </c>
      <c r="B31075" s="2" t="str">
        <f>IFERROR(__xludf.DUMMYFUNCTION("GOOGLETRANSLATE(A31075, ""de"", ""en"")"),"anticipation")</f>
        <v>anticipation</v>
      </c>
    </row>
    <row r="31076">
      <c r="A31076" s="1" t="s">
        <v>31075</v>
      </c>
      <c r="B31076" s="2" t="str">
        <f>IFERROR(__xludf.DUMMYFUNCTION("GOOGLETRANSLATE(A31076, ""de"", ""en"")"),"luger")</f>
        <v>luger</v>
      </c>
    </row>
    <row r="31077">
      <c r="A31077" s="1" t="s">
        <v>31076</v>
      </c>
      <c r="B31077" s="2" t="str">
        <f>IFERROR(__xludf.DUMMYFUNCTION("GOOGLETRANSLATE(A31077, ""de"", ""en"")"),"halo")</f>
        <v>halo</v>
      </c>
    </row>
    <row r="31078">
      <c r="A31078" s="1" t="s">
        <v>31077</v>
      </c>
      <c r="B31078" s="2" t="str">
        <f>IFERROR(__xludf.DUMMYFUNCTION("GOOGLETRANSLATE(A31078, ""de"", ""en"")"),"Czechoslovakia")</f>
        <v>Czechoslovakia</v>
      </c>
    </row>
    <row r="31079">
      <c r="A31079" s="1" t="s">
        <v>31078</v>
      </c>
      <c r="B31079" s="2" t="str">
        <f>IFERROR(__xludf.DUMMYFUNCTION("GOOGLETRANSLATE(A31079, ""de"", ""en"")"),"to have a say")</f>
        <v>to have a say</v>
      </c>
    </row>
    <row r="31080">
      <c r="A31080" s="1" t="s">
        <v>31079</v>
      </c>
      <c r="B31080" s="2" t="str">
        <f>IFERROR(__xludf.DUMMYFUNCTION("GOOGLETRANSLATE(A31080, ""de"", ""en"")"),"step in step")</f>
        <v>step in step</v>
      </c>
    </row>
    <row r="31081">
      <c r="A31081" s="1" t="s">
        <v>31080</v>
      </c>
      <c r="B31081" s="2" t="str">
        <f>IFERROR(__xludf.DUMMYFUNCTION("GOOGLETRANSLATE(A31081, ""de"", ""en"")"),"castles")</f>
        <v>castles</v>
      </c>
    </row>
    <row r="31082">
      <c r="A31082" s="1" t="s">
        <v>31081</v>
      </c>
      <c r="B31082" s="2" t="str">
        <f>IFERROR(__xludf.DUMMYFUNCTION("GOOGLETRANSLATE(A31082, ""de"", ""en"")"),"great aunt")</f>
        <v>great aunt</v>
      </c>
    </row>
    <row r="31083">
      <c r="A31083" s="1" t="s">
        <v>31082</v>
      </c>
      <c r="B31083" s="2" t="str">
        <f>IFERROR(__xludf.DUMMYFUNCTION("GOOGLETRANSLATE(A31083, ""de"", ""en"")"),"credit")</f>
        <v>credit</v>
      </c>
    </row>
    <row r="31084">
      <c r="A31084" s="1" t="s">
        <v>31083</v>
      </c>
      <c r="B31084" s="2" t="str">
        <f>IFERROR(__xludf.DUMMYFUNCTION("GOOGLETRANSLATE(A31084, ""de"", ""en"")"),"sensitive")</f>
        <v>sensitive</v>
      </c>
    </row>
    <row r="31085">
      <c r="A31085" s="1" t="s">
        <v>31084</v>
      </c>
      <c r="B31085" s="2" t="str">
        <f>IFERROR(__xludf.DUMMYFUNCTION("GOOGLETRANSLATE(A31085, ""de"", ""en"")"),"horizon")</f>
        <v>horizon</v>
      </c>
    </row>
    <row r="31086">
      <c r="A31086" s="1" t="s">
        <v>31085</v>
      </c>
      <c r="B31086" s="2" t="str">
        <f>IFERROR(__xludf.DUMMYFUNCTION("GOOGLETRANSLATE(A31086, ""de"", ""en"")"),"virtuous")</f>
        <v>virtuous</v>
      </c>
    </row>
    <row r="31087">
      <c r="A31087" s="1" t="s">
        <v>31086</v>
      </c>
      <c r="B31087" s="2" t="str">
        <f>IFERROR(__xludf.DUMMYFUNCTION("GOOGLETRANSLATE(A31087, ""de"", ""en"")"),"filmed")</f>
        <v>filmed</v>
      </c>
    </row>
    <row r="31088">
      <c r="A31088" s="1" t="s">
        <v>31087</v>
      </c>
      <c r="B31088" s="2" t="str">
        <f>IFERROR(__xludf.DUMMYFUNCTION("GOOGLETRANSLATE(A31088, ""de"", ""en"")"),"role models")</f>
        <v>role models</v>
      </c>
    </row>
    <row r="31089">
      <c r="A31089" s="1" t="s">
        <v>31088</v>
      </c>
      <c r="B31089" s="2" t="str">
        <f>IFERROR(__xludf.DUMMYFUNCTION("GOOGLETRANSLATE(A31089, ""de"", ""en"")"),"desires")</f>
        <v>desires</v>
      </c>
    </row>
    <row r="31090">
      <c r="A31090" s="1" t="s">
        <v>31089</v>
      </c>
      <c r="B31090" s="2" t="str">
        <f>IFERROR(__xludf.DUMMYFUNCTION("GOOGLETRANSLATE(A31090, ""de"", ""en"")"),"brace")</f>
        <v>brace</v>
      </c>
    </row>
    <row r="31091">
      <c r="A31091" s="1" t="s">
        <v>31090</v>
      </c>
      <c r="B31091" s="2" t="str">
        <f>IFERROR(__xludf.DUMMYFUNCTION("GOOGLETRANSLATE(A31091, ""de"", ""en"")"),"apostates")</f>
        <v>apostates</v>
      </c>
    </row>
    <row r="31092">
      <c r="A31092" s="1" t="s">
        <v>31091</v>
      </c>
      <c r="B31092" s="2" t="str">
        <f>IFERROR(__xludf.DUMMYFUNCTION("GOOGLETRANSLATE(A31092, ""de"", ""en"")"),"rebel")</f>
        <v>rebel</v>
      </c>
    </row>
    <row r="31093">
      <c r="A31093" s="1" t="s">
        <v>31092</v>
      </c>
      <c r="B31093" s="2" t="str">
        <f>IFERROR(__xludf.DUMMYFUNCTION("GOOGLETRANSLATE(A31093, ""de"", ""en"")"),"biceps")</f>
        <v>biceps</v>
      </c>
    </row>
    <row r="31094">
      <c r="A31094" s="1" t="s">
        <v>31093</v>
      </c>
      <c r="B31094" s="2" t="str">
        <f>IFERROR(__xludf.DUMMYFUNCTION("GOOGLETRANSLATE(A31094, ""de"", ""en"")"),"baines")</f>
        <v>baines</v>
      </c>
    </row>
    <row r="31095">
      <c r="A31095" s="1" t="s">
        <v>31094</v>
      </c>
      <c r="B31095" s="2" t="str">
        <f>IFERROR(__xludf.DUMMYFUNCTION("GOOGLETRANSLATE(A31095, ""de"", ""en"")"),"increase")</f>
        <v>increase</v>
      </c>
    </row>
    <row r="31096">
      <c r="A31096" s="1" t="s">
        <v>31095</v>
      </c>
      <c r="B31096" s="2" t="str">
        <f>IFERROR(__xludf.DUMMYFUNCTION("GOOGLETRANSLATE(A31096, ""de"", ""en"")"),"crusoe")</f>
        <v>crusoe</v>
      </c>
    </row>
    <row r="31097">
      <c r="A31097" s="1" t="s">
        <v>31096</v>
      </c>
      <c r="B31097" s="2" t="str">
        <f>IFERROR(__xludf.DUMMYFUNCTION("GOOGLETRANSLATE(A31097, ""de"", ""en"")"),"basic")</f>
        <v>basic</v>
      </c>
    </row>
    <row r="31098">
      <c r="A31098" s="1" t="s">
        <v>31097</v>
      </c>
      <c r="B31098" s="2" t="str">
        <f>IFERROR(__xludf.DUMMYFUNCTION("GOOGLETRANSLATE(A31098, ""de"", ""en"")"),"impressive")</f>
        <v>impressive</v>
      </c>
    </row>
    <row r="31099">
      <c r="A31099" s="1" t="s">
        <v>31098</v>
      </c>
      <c r="B31099" s="2" t="str">
        <f>IFERROR(__xludf.DUMMYFUNCTION("GOOGLETRANSLATE(A31099, ""de"", ""en"")"),"to negotiate")</f>
        <v>to negotiate</v>
      </c>
    </row>
    <row r="31100">
      <c r="A31100" s="1" t="s">
        <v>31099</v>
      </c>
      <c r="B31100" s="2" t="str">
        <f>IFERROR(__xludf.DUMMYFUNCTION("GOOGLETRANSLATE(A31100, ""de"", ""en"")"),"events")</f>
        <v>events</v>
      </c>
    </row>
    <row r="31101">
      <c r="A31101" s="1" t="s">
        <v>31100</v>
      </c>
      <c r="B31101" s="2" t="str">
        <f>IFERROR(__xludf.DUMMYFUNCTION("GOOGLETRANSLATE(A31101, ""de"", ""en"")"),"Manuelo")</f>
        <v>Manuelo</v>
      </c>
    </row>
    <row r="31102">
      <c r="A31102" s="1" t="s">
        <v>31101</v>
      </c>
      <c r="B31102" s="2" t="str">
        <f>IFERROR(__xludf.DUMMYFUNCTION("GOOGLETRANSLATE(A31102, ""de"", ""en"")"),"cattle")</f>
        <v>cattle</v>
      </c>
    </row>
    <row r="31103">
      <c r="A31103" s="1" t="s">
        <v>31102</v>
      </c>
      <c r="B31103" s="2" t="str">
        <f>IFERROR(__xludf.DUMMYFUNCTION("GOOGLETRANSLATE(A31103, ""de"", ""en"")"),"family names")</f>
        <v>family names</v>
      </c>
    </row>
    <row r="31104">
      <c r="A31104" s="1" t="s">
        <v>31103</v>
      </c>
      <c r="B31104" s="2" t="str">
        <f>IFERROR(__xludf.DUMMYFUNCTION("GOOGLETRANSLATE(A31104, ""de"", ""en"")"),"Carlin")</f>
        <v>Carlin</v>
      </c>
    </row>
    <row r="31105">
      <c r="A31105" s="1" t="s">
        <v>31104</v>
      </c>
      <c r="B31105" s="2" t="str">
        <f>IFERROR(__xludf.DUMMYFUNCTION("GOOGLETRANSLATE(A31105, ""de"", ""en"")"),"earthling")</f>
        <v>earthling</v>
      </c>
    </row>
    <row r="31106">
      <c r="A31106" s="1" t="s">
        <v>31105</v>
      </c>
      <c r="B31106" s="2" t="str">
        <f>IFERROR(__xludf.DUMMYFUNCTION("GOOGLETRANSLATE(A31106, ""de"", ""en"")"),"dill")</f>
        <v>dill</v>
      </c>
    </row>
    <row r="31107">
      <c r="A31107" s="1" t="s">
        <v>31106</v>
      </c>
      <c r="B31107" s="2" t="str">
        <f>IFERROR(__xludf.DUMMYFUNCTION("GOOGLETRANSLATE(A31107, ""de"", ""en"")"),"Danish")</f>
        <v>Danish</v>
      </c>
    </row>
    <row r="31108">
      <c r="A31108" s="1" t="s">
        <v>31107</v>
      </c>
      <c r="B31108" s="2" t="str">
        <f>IFERROR(__xludf.DUMMYFUNCTION("GOOGLETRANSLATE(A31108, ""de"", ""en"")"),"provides")</f>
        <v>provides</v>
      </c>
    </row>
    <row r="31109">
      <c r="A31109" s="1" t="s">
        <v>31108</v>
      </c>
      <c r="B31109" s="2" t="str">
        <f>IFERROR(__xludf.DUMMYFUNCTION("GOOGLETRANSLATE(A31109, ""de"", ""en"")"),"fertility")</f>
        <v>fertility</v>
      </c>
    </row>
    <row r="31110">
      <c r="A31110" s="1" t="s">
        <v>31109</v>
      </c>
      <c r="B31110" s="2" t="str">
        <f>IFERROR(__xludf.DUMMYFUNCTION("GOOGLETRANSLATE(A31110, ""de"", ""en"")"),"shrug")</f>
        <v>shrug</v>
      </c>
    </row>
    <row r="31111">
      <c r="A31111" s="1" t="s">
        <v>31110</v>
      </c>
      <c r="B31111" s="2" t="str">
        <f>IFERROR(__xludf.DUMMYFUNCTION("GOOGLETRANSLATE(A31111, ""de"", ""en"")"),"inmates")</f>
        <v>inmates</v>
      </c>
    </row>
    <row r="31112">
      <c r="A31112" s="1" t="s">
        <v>31111</v>
      </c>
      <c r="B31112" s="2" t="str">
        <f>IFERROR(__xludf.DUMMYFUNCTION("GOOGLETRANSLATE(A31112, ""de"", ""en"")"),"more crucial")</f>
        <v>more crucial</v>
      </c>
    </row>
    <row r="31113">
      <c r="A31113" s="1" t="s">
        <v>31112</v>
      </c>
      <c r="B31113" s="2" t="str">
        <f>IFERROR(__xludf.DUMMYFUNCTION("GOOGLETRANSLATE(A31113, ""de"", ""en"")"),"lush")</f>
        <v>lush</v>
      </c>
    </row>
    <row r="31114">
      <c r="A31114" s="1" t="s">
        <v>31113</v>
      </c>
      <c r="B31114" s="2" t="str">
        <f>IFERROR(__xludf.DUMMYFUNCTION("GOOGLETRANSLATE(A31114, ""de"", ""en"")"),"watch")</f>
        <v>watch</v>
      </c>
    </row>
    <row r="31115">
      <c r="A31115" s="1" t="s">
        <v>31114</v>
      </c>
      <c r="B31115" s="2" t="str">
        <f>IFERROR(__xludf.DUMMYFUNCTION("GOOGLETRANSLATE(A31115, ""de"", ""en"")"),"maple syrup")</f>
        <v>maple syrup</v>
      </c>
    </row>
    <row r="31116">
      <c r="A31116" s="1" t="s">
        <v>31115</v>
      </c>
      <c r="B31116" s="2" t="str">
        <f>IFERROR(__xludf.DUMMYFUNCTION("GOOGLETRANSLATE(A31116, ""de"", ""en"")"),"discord")</f>
        <v>discord</v>
      </c>
    </row>
    <row r="31117">
      <c r="A31117" s="1" t="s">
        <v>31116</v>
      </c>
      <c r="B31117" s="2" t="str">
        <f>IFERROR(__xludf.DUMMYFUNCTION("GOOGLETRANSLATE(A31117, ""de"", ""en"")"),"nationality")</f>
        <v>nationality</v>
      </c>
    </row>
    <row r="31118">
      <c r="A31118" s="1" t="s">
        <v>31117</v>
      </c>
      <c r="B31118" s="2" t="str">
        <f>IFERROR(__xludf.DUMMYFUNCTION("GOOGLETRANSLATE(A31118, ""de"", ""en"")"),"contrast")</f>
        <v>contrast</v>
      </c>
    </row>
    <row r="31119">
      <c r="A31119" s="1" t="s">
        <v>31118</v>
      </c>
      <c r="B31119" s="2" t="str">
        <f>IFERROR(__xludf.DUMMYFUNCTION("GOOGLETRANSLATE(A31119, ""de"", ""en"")"),"established")</f>
        <v>established</v>
      </c>
    </row>
    <row r="31120">
      <c r="A31120" s="1" t="s">
        <v>31119</v>
      </c>
      <c r="B31120" s="2" t="str">
        <f>IFERROR(__xludf.DUMMYFUNCTION("GOOGLETRANSLATE(A31120, ""de"", ""en"")"),"eliminate")</f>
        <v>eliminate</v>
      </c>
    </row>
    <row r="31121">
      <c r="A31121" s="1" t="s">
        <v>31120</v>
      </c>
      <c r="B31121" s="2" t="str">
        <f>IFERROR(__xludf.DUMMYFUNCTION("GOOGLETRANSLATE(A31121, ""de"", ""en"")"),"zimmerman")</f>
        <v>zimmerman</v>
      </c>
    </row>
    <row r="31122">
      <c r="A31122" s="1" t="s">
        <v>31121</v>
      </c>
      <c r="B31122" s="2" t="str">
        <f>IFERROR(__xludf.DUMMYFUNCTION("GOOGLETRANSLATE(A31122, ""de"", ""en"")"),"eds")</f>
        <v>eds</v>
      </c>
    </row>
    <row r="31123">
      <c r="A31123" s="1" t="s">
        <v>31122</v>
      </c>
      <c r="B31123" s="2" t="str">
        <f>IFERROR(__xludf.DUMMYFUNCTION("GOOGLETRANSLATE(A31123, ""de"", ""en"")"),"complete")</f>
        <v>complete</v>
      </c>
    </row>
    <row r="31124">
      <c r="A31124" s="1" t="s">
        <v>31123</v>
      </c>
      <c r="B31124" s="2" t="str">
        <f>IFERROR(__xludf.DUMMYFUNCTION("GOOGLETRANSLATE(A31124, ""de"", ""en"")"),"bologna")</f>
        <v>bologna</v>
      </c>
    </row>
    <row r="31125">
      <c r="A31125" s="1" t="s">
        <v>31124</v>
      </c>
      <c r="B31125" s="2" t="str">
        <f>IFERROR(__xludf.DUMMYFUNCTION("GOOGLETRANSLATE(A31125, ""de"", ""en"")"),"schultzie")</f>
        <v>schultzie</v>
      </c>
    </row>
    <row r="31126">
      <c r="A31126" s="1" t="s">
        <v>31125</v>
      </c>
      <c r="B31126" s="2" t="str">
        <f>IFERROR(__xludf.DUMMYFUNCTION("GOOGLETRANSLATE(A31126, ""de"", ""en"")"),"stinky")</f>
        <v>stinky</v>
      </c>
    </row>
    <row r="31127">
      <c r="A31127" s="1" t="s">
        <v>31126</v>
      </c>
      <c r="B31127" s="2" t="str">
        <f>IFERROR(__xludf.DUMMYFUNCTION("GOOGLETRANSLATE(A31127, ""de"", ""en"")"),"print")</f>
        <v>print</v>
      </c>
    </row>
    <row r="31128">
      <c r="A31128" s="1" t="s">
        <v>31127</v>
      </c>
      <c r="B31128" s="2" t="str">
        <f>IFERROR(__xludf.DUMMYFUNCTION("GOOGLETRANSLATE(A31128, ""de"", ""en"")"),"soap opera")</f>
        <v>soap opera</v>
      </c>
    </row>
    <row r="31129">
      <c r="A31129" s="1" t="s">
        <v>31128</v>
      </c>
      <c r="B31129" s="2" t="str">
        <f>IFERROR(__xludf.DUMMYFUNCTION("GOOGLETRANSLATE(A31129, ""de"", ""en"")"),"plains")</f>
        <v>plains</v>
      </c>
    </row>
    <row r="31130">
      <c r="A31130" s="1" t="s">
        <v>31129</v>
      </c>
      <c r="B31130" s="2" t="str">
        <f>IFERROR(__xludf.DUMMYFUNCTION("GOOGLETRANSLATE(A31130, ""de"", ""en"")"),"to go crazy")</f>
        <v>to go crazy</v>
      </c>
    </row>
    <row r="31131">
      <c r="A31131" s="1" t="s">
        <v>31130</v>
      </c>
      <c r="B31131" s="2" t="str">
        <f>IFERROR(__xludf.DUMMYFUNCTION("GOOGLETRANSLATE(A31131, ""de"", ""en"")"),"secret agents")</f>
        <v>secret agents</v>
      </c>
    </row>
    <row r="31132">
      <c r="A31132" s="1" t="s">
        <v>31131</v>
      </c>
      <c r="B31132" s="2" t="str">
        <f>IFERROR(__xludf.DUMMYFUNCTION("GOOGLETRANSLATE(A31132, ""de"", ""en"")"),"mentally ill")</f>
        <v>mentally ill</v>
      </c>
    </row>
    <row r="31133">
      <c r="A31133" s="1" t="s">
        <v>31132</v>
      </c>
      <c r="B31133" s="2" t="str">
        <f>IFERROR(__xludf.DUMMYFUNCTION("GOOGLETRANSLATE(A31133, ""de"", ""en"")"),"teacher")</f>
        <v>teacher</v>
      </c>
    </row>
    <row r="31134">
      <c r="A31134" s="1" t="s">
        <v>31133</v>
      </c>
      <c r="B31134" s="2" t="str">
        <f>IFERROR(__xludf.DUMMYFUNCTION("GOOGLETRANSLATE(A31134, ""de"", ""en"")"),"waynes")</f>
        <v>waynes</v>
      </c>
    </row>
    <row r="31135">
      <c r="A31135" s="1" t="s">
        <v>31134</v>
      </c>
      <c r="B31135" s="2" t="str">
        <f>IFERROR(__xludf.DUMMYFUNCTION("GOOGLETRANSLATE(A31135, ""de"", ""en"")"),"Josey")</f>
        <v>Josey</v>
      </c>
    </row>
    <row r="31136">
      <c r="A31136" s="1" t="s">
        <v>31135</v>
      </c>
      <c r="B31136" s="2" t="str">
        <f>IFERROR(__xludf.DUMMYFUNCTION("GOOGLETRANSLATE(A31136, ""de"", ""en"")"),"paro")</f>
        <v>paro</v>
      </c>
    </row>
    <row r="31137">
      <c r="A31137" s="1" t="s">
        <v>31136</v>
      </c>
      <c r="B31137" s="2" t="str">
        <f>IFERROR(__xludf.DUMMYFUNCTION("GOOGLETRANSLATE(A31137, ""de"", ""en"")"),"pairing")</f>
        <v>pairing</v>
      </c>
    </row>
    <row r="31138">
      <c r="A31138" s="1" t="s">
        <v>31137</v>
      </c>
      <c r="B31138" s="2" t="str">
        <f>IFERROR(__xludf.DUMMYFUNCTION("GOOGLETRANSLATE(A31138, ""de"", ""en"")"),"designs")</f>
        <v>designs</v>
      </c>
    </row>
    <row r="31139">
      <c r="A31139" s="1" t="s">
        <v>31138</v>
      </c>
      <c r="B31139" s="2" t="str">
        <f>IFERROR(__xludf.DUMMYFUNCTION("GOOGLETRANSLATE(A31139, ""de"", ""en"")"),"inauguration")</f>
        <v>inauguration</v>
      </c>
    </row>
    <row r="31140">
      <c r="A31140" s="1" t="s">
        <v>31139</v>
      </c>
      <c r="B31140" s="2" t="str">
        <f>IFERROR(__xludf.DUMMYFUNCTION("GOOGLETRANSLATE(A31140, ""de"", ""en"")"),"supermodel")</f>
        <v>supermodel</v>
      </c>
    </row>
    <row r="31141">
      <c r="A31141" s="1" t="s">
        <v>31140</v>
      </c>
      <c r="B31141" s="2" t="str">
        <f>IFERROR(__xludf.DUMMYFUNCTION("GOOGLETRANSLATE(A31141, ""de"", ""en"")"),"ftl")</f>
        <v>ftl</v>
      </c>
    </row>
    <row r="31142">
      <c r="A31142" s="1" t="s">
        <v>31141</v>
      </c>
      <c r="B31142" s="2" t="str">
        <f>IFERROR(__xludf.DUMMYFUNCTION("GOOGLETRANSLATE(A31142, ""de"", ""en"")"),"eddouard")</f>
        <v>eddouard</v>
      </c>
    </row>
    <row r="31143">
      <c r="A31143" s="1" t="s">
        <v>31142</v>
      </c>
      <c r="B31143" s="2" t="str">
        <f>IFERROR(__xludf.DUMMYFUNCTION("GOOGLETRANSLATE(A31143, ""de"", ""en"")"),"benoit")</f>
        <v>benoit</v>
      </c>
    </row>
    <row r="31144">
      <c r="A31144" s="1" t="s">
        <v>31143</v>
      </c>
      <c r="B31144" s="2" t="str">
        <f>IFERROR(__xludf.DUMMYFUNCTION("GOOGLETRANSLATE(A31144, ""de"", ""en"")"),"chambers")</f>
        <v>chambers</v>
      </c>
    </row>
    <row r="31145">
      <c r="A31145" s="1" t="s">
        <v>31144</v>
      </c>
      <c r="B31145" s="2" t="str">
        <f>IFERROR(__xludf.DUMMYFUNCTION("GOOGLETRANSLATE(A31145, ""de"", ""en"")"),"Adriatic")</f>
        <v>Adriatic</v>
      </c>
    </row>
    <row r="31146">
      <c r="A31146" s="1" t="s">
        <v>31145</v>
      </c>
      <c r="B31146" s="2" t="str">
        <f>IFERROR(__xludf.DUMMYFUNCTION("GOOGLETRANSLATE(A31146, ""de"", ""en"")"),"Molly's")</f>
        <v>Molly's</v>
      </c>
    </row>
    <row r="31147">
      <c r="A31147" s="1" t="s">
        <v>31146</v>
      </c>
      <c r="B31147" s="2" t="str">
        <f>IFERROR(__xludf.DUMMYFUNCTION("GOOGLETRANSLATE(A31147, ""de"", ""en"")"),"disgusting")</f>
        <v>disgusting</v>
      </c>
    </row>
    <row r="31148">
      <c r="A31148" s="1" t="s">
        <v>31147</v>
      </c>
      <c r="B31148" s="2" t="str">
        <f>IFERROR(__xludf.DUMMYFUNCTION("GOOGLETRANSLATE(A31148, ""de"", ""en"")"),"hopeless")</f>
        <v>hopeless</v>
      </c>
    </row>
    <row r="31149">
      <c r="A31149" s="1" t="s">
        <v>31148</v>
      </c>
      <c r="B31149" s="2" t="str">
        <f>IFERROR(__xludf.DUMMYFUNCTION("GOOGLETRANSLATE(A31149, ""de"", ""en"")"),"vital values")</f>
        <v>vital values</v>
      </c>
    </row>
    <row r="31150">
      <c r="A31150" s="1" t="s">
        <v>31149</v>
      </c>
      <c r="B31150" s="2" t="str">
        <f>IFERROR(__xludf.DUMMYFUNCTION("GOOGLETRANSLATE(A31150, ""de"", ""en"")"),"Alison's")</f>
        <v>Alison's</v>
      </c>
    </row>
    <row r="31151">
      <c r="A31151" s="1" t="s">
        <v>31150</v>
      </c>
      <c r="B31151" s="2" t="str">
        <f>IFERROR(__xludf.DUMMYFUNCTION("GOOGLETRANSLATE(A31151, ""de"", ""en"")"),"drove")</f>
        <v>drove</v>
      </c>
    </row>
    <row r="31152">
      <c r="A31152" s="1" t="s">
        <v>31151</v>
      </c>
      <c r="B31152" s="2" t="str">
        <f>IFERROR(__xludf.DUMMYFUNCTION("GOOGLETRANSLATE(A31152, ""de"", ""en"")"),"sent")</f>
        <v>sent</v>
      </c>
    </row>
    <row r="31153">
      <c r="A31153" s="1" t="s">
        <v>31152</v>
      </c>
      <c r="B31153" s="2" t="str">
        <f>IFERROR(__xludf.DUMMYFUNCTION("GOOGLETRANSLATE(A31153, ""de"", ""en"")"),"enzyme")</f>
        <v>enzyme</v>
      </c>
    </row>
    <row r="31154">
      <c r="A31154" s="1" t="s">
        <v>31153</v>
      </c>
      <c r="B31154" s="2" t="str">
        <f>IFERROR(__xludf.DUMMYFUNCTION("GOOGLETRANSLATE(A31154, ""de"", ""en"")"),"reprint")</f>
        <v>reprint</v>
      </c>
    </row>
    <row r="31155">
      <c r="A31155" s="1" t="s">
        <v>31154</v>
      </c>
      <c r="B31155" s="2" t="str">
        <f>IFERROR(__xludf.DUMMYFUNCTION("GOOGLETRANSLATE(A31155, ""de"", ""en"")"),"captivated")</f>
        <v>captivated</v>
      </c>
    </row>
    <row r="31156">
      <c r="A31156" s="1" t="s">
        <v>31155</v>
      </c>
      <c r="B31156" s="2" t="str">
        <f>IFERROR(__xludf.DUMMYFUNCTION("GOOGLETRANSLATE(A31156, ""de"", ""en"")"),"springboard")</f>
        <v>springboard</v>
      </c>
    </row>
    <row r="31157">
      <c r="A31157" s="1" t="s">
        <v>31156</v>
      </c>
      <c r="B31157" s="2" t="str">
        <f>IFERROR(__xludf.DUMMYFUNCTION("GOOGLETRANSLATE(A31157, ""de"", ""en"")"),"birthright")</f>
        <v>birthright</v>
      </c>
    </row>
    <row r="31158">
      <c r="A31158" s="1" t="s">
        <v>31157</v>
      </c>
      <c r="B31158" s="2" t="str">
        <f>IFERROR(__xludf.DUMMYFUNCTION("GOOGLETRANSLATE(A31158, ""de"", ""en"")"),"Indian")</f>
        <v>Indian</v>
      </c>
    </row>
    <row r="31159">
      <c r="A31159" s="1" t="s">
        <v>31158</v>
      </c>
      <c r="B31159" s="2" t="str">
        <f>IFERROR(__xludf.DUMMYFUNCTION("GOOGLETRANSLATE(A31159, ""de"", ""en"")"),"home planet")</f>
        <v>home planet</v>
      </c>
    </row>
    <row r="31160">
      <c r="A31160" s="1" t="s">
        <v>31159</v>
      </c>
      <c r="B31160" s="2" t="str">
        <f>IFERROR(__xludf.DUMMYFUNCTION("GOOGLETRANSLATE(A31160, ""de"", ""en"")"),"Grisha")</f>
        <v>Grisha</v>
      </c>
    </row>
    <row r="31161">
      <c r="A31161" s="1" t="s">
        <v>31160</v>
      </c>
      <c r="B31161" s="2" t="str">
        <f>IFERROR(__xludf.DUMMYFUNCTION("GOOGLETRANSLATE(A31161, ""de"", ""en"")"),"piece")</f>
        <v>piece</v>
      </c>
    </row>
    <row r="31162">
      <c r="A31162" s="1" t="s">
        <v>31161</v>
      </c>
      <c r="B31162" s="2" t="str">
        <f>IFERROR(__xludf.DUMMYFUNCTION("GOOGLETRANSLATE(A31162, ""de"", ""en"")"),"explosive charges")</f>
        <v>explosive charges</v>
      </c>
    </row>
    <row r="31163">
      <c r="A31163" s="1" t="s">
        <v>31162</v>
      </c>
      <c r="B31163" s="2" t="str">
        <f>IFERROR(__xludf.DUMMYFUNCTION("GOOGLETRANSLATE(A31163, ""de"", ""en"")"),"majors")</f>
        <v>majors</v>
      </c>
    </row>
    <row r="31164">
      <c r="A31164" s="1" t="s">
        <v>31163</v>
      </c>
      <c r="B31164" s="2" t="str">
        <f>IFERROR(__xludf.DUMMYFUNCTION("GOOGLETRANSLATE(A31164, ""de"", ""en"")"),"hud")</f>
        <v>hud</v>
      </c>
    </row>
    <row r="31165">
      <c r="A31165" s="1" t="s">
        <v>31164</v>
      </c>
      <c r="B31165" s="2" t="str">
        <f>IFERROR(__xludf.DUMMYFUNCTION("GOOGLETRANSLATE(A31165, ""de"", ""en"")"),"mcneil")</f>
        <v>mcneil</v>
      </c>
    </row>
    <row r="31166">
      <c r="A31166" s="1" t="s">
        <v>31165</v>
      </c>
      <c r="B31166" s="2" t="str">
        <f>IFERROR(__xludf.DUMMYFUNCTION("GOOGLETRANSLATE(A31166, ""de"", ""en"")"),"pampa")</f>
        <v>pampa</v>
      </c>
    </row>
    <row r="31167">
      <c r="A31167" s="1" t="s">
        <v>31166</v>
      </c>
      <c r="B31167" s="2" t="str">
        <f>IFERROR(__xludf.DUMMYFUNCTION("GOOGLETRANSLATE(A31167, ""de"", ""en"")"),"roarer")</f>
        <v>roarer</v>
      </c>
    </row>
    <row r="31168">
      <c r="A31168" s="1" t="s">
        <v>31167</v>
      </c>
      <c r="B31168" s="2" t="str">
        <f>IFERROR(__xludf.DUMMYFUNCTION("GOOGLETRANSLATE(A31168, ""de"", ""en"")"),"rebel")</f>
        <v>rebel</v>
      </c>
    </row>
    <row r="31169">
      <c r="A31169" s="1" t="s">
        <v>31168</v>
      </c>
      <c r="B31169" s="2" t="str">
        <f>IFERROR(__xludf.DUMMYFUNCTION("GOOGLETRANSLATE(A31169, ""de"", ""en"")"),"to continue")</f>
        <v>to continue</v>
      </c>
    </row>
    <row r="31170">
      <c r="A31170" s="1" t="s">
        <v>31169</v>
      </c>
      <c r="B31170" s="2" t="str">
        <f>IFERROR(__xludf.DUMMYFUNCTION("GOOGLETRANSLATE(A31170, ""de"", ""en"")"),"narrow-minded")</f>
        <v>narrow-minded</v>
      </c>
    </row>
    <row r="31171">
      <c r="A31171" s="1" t="s">
        <v>31170</v>
      </c>
      <c r="B31171" s="2" t="str">
        <f>IFERROR(__xludf.DUMMYFUNCTION("GOOGLETRANSLATE(A31171, ""de"", ""en"")"),"touches")</f>
        <v>touches</v>
      </c>
    </row>
    <row r="31172">
      <c r="A31172" s="1" t="s">
        <v>31171</v>
      </c>
      <c r="B31172" s="2" t="str">
        <f>IFERROR(__xludf.DUMMYFUNCTION("GOOGLETRANSLATE(A31172, ""de"", ""en"")"),"perks")</f>
        <v>perks</v>
      </c>
    </row>
    <row r="31173">
      <c r="A31173" s="1" t="s">
        <v>31172</v>
      </c>
      <c r="B31173" s="2" t="str">
        <f>IFERROR(__xludf.DUMMYFUNCTION("GOOGLETRANSLATE(A31173, ""de"", ""en"")"),"plagues")</f>
        <v>plagues</v>
      </c>
    </row>
    <row r="31174">
      <c r="A31174" s="1" t="s">
        <v>31173</v>
      </c>
      <c r="B31174" s="2" t="str">
        <f>IFERROR(__xludf.DUMMYFUNCTION("GOOGLETRANSLATE(A31174, ""de"", ""en"")"),"adorable")</f>
        <v>adorable</v>
      </c>
    </row>
    <row r="31175">
      <c r="A31175" s="1" t="s">
        <v>31174</v>
      </c>
      <c r="B31175" s="2" t="str">
        <f>IFERROR(__xludf.DUMMYFUNCTION("GOOGLETRANSLATE(A31175, ""de"", ""en"")"),"hackett")</f>
        <v>hackett</v>
      </c>
    </row>
    <row r="31176">
      <c r="A31176" s="1" t="s">
        <v>31175</v>
      </c>
      <c r="B31176" s="2" t="str">
        <f>IFERROR(__xludf.DUMMYFUNCTION("GOOGLETRANSLATE(A31176, ""de"", ""en"")"),"age")</f>
        <v>age</v>
      </c>
    </row>
    <row r="31177">
      <c r="A31177" s="1" t="s">
        <v>31176</v>
      </c>
      <c r="B31177" s="2" t="str">
        <f>IFERROR(__xludf.DUMMYFUNCTION("GOOGLETRANSLATE(A31177, ""de"", ""en"")"),"command")</f>
        <v>command</v>
      </c>
    </row>
    <row r="31178">
      <c r="A31178" s="1" t="s">
        <v>31177</v>
      </c>
      <c r="B31178" s="2" t="str">
        <f>IFERROR(__xludf.DUMMYFUNCTION("GOOGLETRANSLATE(A31178, ""de"", ""en"")"),"exercises")</f>
        <v>exercises</v>
      </c>
    </row>
    <row r="31179">
      <c r="A31179" s="1" t="s">
        <v>31178</v>
      </c>
      <c r="B31179" s="2" t="str">
        <f>IFERROR(__xludf.DUMMYFUNCTION("GOOGLETRANSLATE(A31179, ""de"", ""en"")"),"royale")</f>
        <v>royale</v>
      </c>
    </row>
    <row r="31180">
      <c r="A31180" s="1" t="s">
        <v>31179</v>
      </c>
      <c r="B31180" s="2" t="str">
        <f>IFERROR(__xludf.DUMMYFUNCTION("GOOGLETRANSLATE(A31180, ""de"", ""en"")"),"michi")</f>
        <v>michi</v>
      </c>
    </row>
    <row r="31181">
      <c r="A31181" s="1" t="s">
        <v>31180</v>
      </c>
      <c r="B31181" s="2" t="str">
        <f>IFERROR(__xludf.DUMMYFUNCTION("GOOGLETRANSLATE(A31181, ""de"", ""en"")"),"dream house")</f>
        <v>dream house</v>
      </c>
    </row>
    <row r="31182">
      <c r="A31182" s="1" t="s">
        <v>31181</v>
      </c>
      <c r="B31182" s="2" t="str">
        <f>IFERROR(__xludf.DUMMYFUNCTION("GOOGLETRANSLATE(A31182, ""de"", ""en"")"),"hot-tempered")</f>
        <v>hot-tempered</v>
      </c>
    </row>
    <row r="31183">
      <c r="A31183" s="1" t="s">
        <v>31182</v>
      </c>
      <c r="B31183" s="2" t="str">
        <f>IFERROR(__xludf.DUMMYFUNCTION("GOOGLETRANSLATE(A31183, ""de"", ""en"")"),"Our Father")</f>
        <v>Our Father</v>
      </c>
    </row>
    <row r="31184">
      <c r="A31184" s="1" t="s">
        <v>31183</v>
      </c>
      <c r="B31184" s="2" t="str">
        <f>IFERROR(__xludf.DUMMYFUNCTION("GOOGLETRANSLATE(A31184, ""de"", ""en"")"),"mourn")</f>
        <v>mourn</v>
      </c>
    </row>
    <row r="31185">
      <c r="A31185" s="1" t="s">
        <v>31184</v>
      </c>
      <c r="B31185" s="2" t="str">
        <f>IFERROR(__xludf.DUMMYFUNCTION("GOOGLETRANSLATE(A31185, ""de"", ""en"")"),"shh")</f>
        <v>shh</v>
      </c>
    </row>
    <row r="31186">
      <c r="A31186" s="1" t="s">
        <v>31185</v>
      </c>
      <c r="B31186" s="2" t="str">
        <f>IFERROR(__xludf.DUMMYFUNCTION("GOOGLETRANSLATE(A31186, ""de"", ""en"")"),"toot")</f>
        <v>toot</v>
      </c>
    </row>
    <row r="31187">
      <c r="A31187" s="1" t="s">
        <v>31186</v>
      </c>
      <c r="B31187" s="2" t="str">
        <f>IFERROR(__xludf.DUMMYFUNCTION("GOOGLETRANSLATE(A31187, ""de"", ""en"")"),"maserati")</f>
        <v>maserati</v>
      </c>
    </row>
    <row r="31188">
      <c r="A31188" s="1" t="s">
        <v>31187</v>
      </c>
      <c r="B31188" s="2" t="str">
        <f>IFERROR(__xludf.DUMMYFUNCTION("GOOGLETRANSLATE(A31188, ""de"", ""en"")"),"stand there")</f>
        <v>stand there</v>
      </c>
    </row>
    <row r="31189">
      <c r="A31189" s="1" t="s">
        <v>31188</v>
      </c>
      <c r="B31189" s="2" t="str">
        <f>IFERROR(__xludf.DUMMYFUNCTION("GOOGLETRANSLATE(A31189, ""de"", ""en"")"),"gee")</f>
        <v>gee</v>
      </c>
    </row>
    <row r="31190">
      <c r="A31190" s="1" t="s">
        <v>31189</v>
      </c>
      <c r="B31190" s="2" t="str">
        <f>IFERROR(__xludf.DUMMYFUNCTION("GOOGLETRANSLATE(A31190, ""de"", ""en"")"),"liddy")</f>
        <v>liddy</v>
      </c>
    </row>
    <row r="31191">
      <c r="A31191" s="1" t="s">
        <v>31190</v>
      </c>
      <c r="B31191" s="2" t="str">
        <f>IFERROR(__xludf.DUMMYFUNCTION("GOOGLETRANSLATE(A31191, ""de"", ""en"")"),"rank")</f>
        <v>rank</v>
      </c>
    </row>
    <row r="31192">
      <c r="A31192" s="1" t="s">
        <v>31191</v>
      </c>
      <c r="B31192" s="2" t="str">
        <f>IFERROR(__xludf.DUMMYFUNCTION("GOOGLETRANSLATE(A31192, ""de"", ""en"")"),"assistant")</f>
        <v>assistant</v>
      </c>
    </row>
    <row r="31193">
      <c r="A31193" s="1" t="s">
        <v>31192</v>
      </c>
      <c r="B31193" s="2" t="str">
        <f>IFERROR(__xludf.DUMMYFUNCTION("GOOGLETRANSLATE(A31193, ""de"", ""en"")"),"authorization")</f>
        <v>authorization</v>
      </c>
    </row>
    <row r="31194">
      <c r="A31194" s="1" t="s">
        <v>31193</v>
      </c>
      <c r="B31194" s="2" t="str">
        <f>IFERROR(__xludf.DUMMYFUNCTION("GOOGLETRANSLATE(A31194, ""de"", ""en"")"),"lightsaber")</f>
        <v>lightsaber</v>
      </c>
    </row>
    <row r="31195">
      <c r="A31195" s="1" t="s">
        <v>31194</v>
      </c>
      <c r="B31195" s="2" t="str">
        <f>IFERROR(__xludf.DUMMYFUNCTION("GOOGLETRANSLATE(A31195, ""de"", ""en"")"),"dream job")</f>
        <v>dream job</v>
      </c>
    </row>
    <row r="31196">
      <c r="A31196" s="1" t="s">
        <v>31195</v>
      </c>
      <c r="B31196" s="2" t="str">
        <f>IFERROR(__xludf.DUMMYFUNCTION("GOOGLETRANSLATE(A31196, ""de"", ""en"")"),"in principle")</f>
        <v>in principle</v>
      </c>
    </row>
    <row r="31197">
      <c r="A31197" s="1" t="s">
        <v>31196</v>
      </c>
      <c r="B31197" s="2" t="str">
        <f>IFERROR(__xludf.DUMMYFUNCTION("GOOGLETRANSLATE(A31197, ""de"", ""en"")"),"change")</f>
        <v>change</v>
      </c>
    </row>
    <row r="31198">
      <c r="A31198" s="1" t="s">
        <v>31197</v>
      </c>
      <c r="B31198" s="2" t="str">
        <f>IFERROR(__xludf.DUMMYFUNCTION("GOOGLETRANSLATE(A31198, ""de"", ""en"")"),"conflict of interest")</f>
        <v>conflict of interest</v>
      </c>
    </row>
    <row r="31199">
      <c r="A31199" s="1" t="s">
        <v>31198</v>
      </c>
      <c r="B31199" s="2" t="str">
        <f>IFERROR(__xludf.DUMMYFUNCTION("GOOGLETRANSLATE(A31199, ""de"", ""en"")"),"Polanski")</f>
        <v>Polanski</v>
      </c>
    </row>
    <row r="31200">
      <c r="A31200" s="1" t="s">
        <v>31199</v>
      </c>
      <c r="B31200" s="2" t="str">
        <f>IFERROR(__xludf.DUMMYFUNCTION("GOOGLETRANSLATE(A31200, ""de"", ""en"")"),"good")</f>
        <v>good</v>
      </c>
    </row>
    <row r="31201">
      <c r="A31201" s="1" t="s">
        <v>31200</v>
      </c>
      <c r="B31201" s="2" t="str">
        <f>IFERROR(__xludf.DUMMYFUNCTION("GOOGLETRANSLATE(A31201, ""de"", ""en"")"),"run down")</f>
        <v>run down</v>
      </c>
    </row>
    <row r="31202">
      <c r="A31202" s="1" t="s">
        <v>31201</v>
      </c>
      <c r="B31202" s="2" t="str">
        <f>IFERROR(__xludf.DUMMYFUNCTION("GOOGLETRANSLATE(A31202, ""de"", ""en"")"),"10 times")</f>
        <v>10 times</v>
      </c>
    </row>
    <row r="31203">
      <c r="A31203" s="1" t="s">
        <v>31202</v>
      </c>
      <c r="B31203" s="2" t="str">
        <f>IFERROR(__xludf.DUMMYFUNCTION("GOOGLETRANSLATE(A31203, ""de"", ""en"")"),"premises")</f>
        <v>premises</v>
      </c>
    </row>
    <row r="31204">
      <c r="A31204" s="1" t="s">
        <v>31203</v>
      </c>
      <c r="B31204" s="2" t="str">
        <f>IFERROR(__xludf.DUMMYFUNCTION("GOOGLETRANSLATE(A31204, ""de"", ""en"")"),"horrible ones")</f>
        <v>horrible ones</v>
      </c>
    </row>
    <row r="31205">
      <c r="A31205" s="1" t="s">
        <v>31204</v>
      </c>
      <c r="B31205" s="2" t="str">
        <f>IFERROR(__xludf.DUMMYFUNCTION("GOOGLETRANSLATE(A31205, ""de"", ""en"")"),"register")</f>
        <v>register</v>
      </c>
    </row>
    <row r="31206">
      <c r="A31206" s="1" t="s">
        <v>31205</v>
      </c>
      <c r="B31206" s="2" t="str">
        <f>IFERROR(__xludf.DUMMYFUNCTION("GOOGLETRANSLATE(A31206, ""de"", ""en"")"),"Alan")</f>
        <v>Alan</v>
      </c>
    </row>
    <row r="31207">
      <c r="A31207" s="1" t="s">
        <v>31206</v>
      </c>
      <c r="B31207" s="2" t="str">
        <f>IFERROR(__xludf.DUMMYFUNCTION("GOOGLETRANSLATE(A31207, ""de"", ""en"")"),"solveig")</f>
        <v>solveig</v>
      </c>
    </row>
    <row r="31208">
      <c r="A31208" s="1" t="s">
        <v>31207</v>
      </c>
      <c r="B31208" s="2" t="str">
        <f>IFERROR(__xludf.DUMMYFUNCTION("GOOGLETRANSLATE(A31208, ""de"", ""en"")"),"neural")</f>
        <v>neural</v>
      </c>
    </row>
    <row r="31209">
      <c r="A31209" s="1" t="s">
        <v>31208</v>
      </c>
      <c r="B31209" s="2" t="str">
        <f>IFERROR(__xludf.DUMMYFUNCTION("GOOGLETRANSLATE(A31209, ""de"", ""en"")"),"beatrice")</f>
        <v>beatrice</v>
      </c>
    </row>
    <row r="31210">
      <c r="A31210" s="1" t="s">
        <v>31209</v>
      </c>
      <c r="B31210" s="2" t="str">
        <f>IFERROR(__xludf.DUMMYFUNCTION("GOOGLETRANSLATE(A31210, ""de"", ""en"")"),"semifinals")</f>
        <v>semifinals</v>
      </c>
    </row>
    <row r="31211">
      <c r="A31211" s="1" t="s">
        <v>31210</v>
      </c>
      <c r="B31211" s="2" t="str">
        <f>IFERROR(__xludf.DUMMYFUNCTION("GOOGLETRANSLATE(A31211, ""de"", ""en"")"),"oops")</f>
        <v>oops</v>
      </c>
    </row>
    <row r="31212">
      <c r="A31212" s="1" t="s">
        <v>31211</v>
      </c>
      <c r="B31212" s="2" t="str">
        <f>IFERROR(__xludf.DUMMYFUNCTION("GOOGLETRANSLATE(A31212, ""de"", ""en"")"),"teaspoon")</f>
        <v>teaspoon</v>
      </c>
    </row>
    <row r="31213">
      <c r="A31213" s="1" t="s">
        <v>31212</v>
      </c>
      <c r="B31213" s="2" t="str">
        <f>IFERROR(__xludf.DUMMYFUNCTION("GOOGLETRANSLATE(A31213, ""de"", ""en"")"),"navel")</f>
        <v>navel</v>
      </c>
    </row>
    <row r="31214">
      <c r="A31214" s="1" t="s">
        <v>31213</v>
      </c>
      <c r="B31214" s="2" t="str">
        <f>IFERROR(__xludf.DUMMYFUNCTION("GOOGLETRANSLATE(A31214, ""de"", ""en"")"),"three quarters")</f>
        <v>three quarters</v>
      </c>
    </row>
    <row r="31215">
      <c r="A31215" s="1" t="s">
        <v>31214</v>
      </c>
      <c r="B31215" s="2" t="str">
        <f>IFERROR(__xludf.DUMMYFUNCTION("GOOGLETRANSLATE(A31215, ""de"", ""en"")"),"swallower")</f>
        <v>swallower</v>
      </c>
    </row>
    <row r="31216">
      <c r="A31216" s="1" t="s">
        <v>31215</v>
      </c>
      <c r="B31216" s="2" t="str">
        <f>IFERROR(__xludf.DUMMYFUNCTION("GOOGLETRANSLATE(A31216, ""de"", ""en"")"),"iron")</f>
        <v>iron</v>
      </c>
    </row>
    <row r="31217">
      <c r="A31217" s="1" t="s">
        <v>31216</v>
      </c>
      <c r="B31217" s="2" t="str">
        <f>IFERROR(__xludf.DUMMYFUNCTION("GOOGLETRANSLATE(A31217, ""de"", ""en"")"),"Jesus")</f>
        <v>Jesus</v>
      </c>
    </row>
    <row r="31218">
      <c r="A31218" s="1" t="s">
        <v>31217</v>
      </c>
      <c r="B31218" s="2" t="str">
        <f>IFERROR(__xludf.DUMMYFUNCTION("GOOGLETRANSLATE(A31218, ""de"", ""en"")"),"dirty")</f>
        <v>dirty</v>
      </c>
    </row>
    <row r="31219">
      <c r="A31219" s="1" t="s">
        <v>31218</v>
      </c>
      <c r="B31219" s="2" t="str">
        <f>IFERROR(__xludf.DUMMYFUNCTION("GOOGLETRANSLATE(A31219, ""de"", ""en"")"),"wildest")</f>
        <v>wildest</v>
      </c>
    </row>
    <row r="31220">
      <c r="A31220" s="1" t="s">
        <v>31219</v>
      </c>
      <c r="B31220" s="2" t="str">
        <f>IFERROR(__xludf.DUMMYFUNCTION("GOOGLETRANSLATE(A31220, ""de"", ""en"")"),"interpret")</f>
        <v>interpret</v>
      </c>
    </row>
    <row r="31221">
      <c r="A31221" s="1" t="s">
        <v>31220</v>
      </c>
      <c r="B31221" s="2" t="str">
        <f>IFERROR(__xludf.DUMMYFUNCTION("GOOGLETRANSLATE(A31221, ""de"", ""en"")"),"pleads")</f>
        <v>pleads</v>
      </c>
    </row>
    <row r="31222">
      <c r="A31222" s="1" t="s">
        <v>31221</v>
      </c>
      <c r="B31222" s="2" t="str">
        <f>IFERROR(__xludf.DUMMYFUNCTION("GOOGLETRANSLATE(A31222, ""de"", ""en"")"),"all around")</f>
        <v>all around</v>
      </c>
    </row>
    <row r="31223">
      <c r="A31223" s="1" t="s">
        <v>31222</v>
      </c>
      <c r="B31223" s="2" t="str">
        <f>IFERROR(__xludf.DUMMYFUNCTION("GOOGLETRANSLATE(A31223, ""de"", ""en"")"),"malachi")</f>
        <v>malachi</v>
      </c>
    </row>
    <row r="31224">
      <c r="A31224" s="1" t="s">
        <v>31223</v>
      </c>
      <c r="B31224" s="2" t="str">
        <f>IFERROR(__xludf.DUMMYFUNCTION("GOOGLETRANSLATE(A31224, ""de"", ""en"")"),"hors")</f>
        <v>hors</v>
      </c>
    </row>
    <row r="31225">
      <c r="A31225" s="1" t="s">
        <v>31224</v>
      </c>
      <c r="B31225" s="2" t="str">
        <f>IFERROR(__xludf.DUMMYFUNCTION("GOOGLETRANSLATE(A31225, ""de"", ""en"")"),"topic of conversation")</f>
        <v>topic of conversation</v>
      </c>
    </row>
    <row r="31226">
      <c r="A31226" s="1" t="s">
        <v>31225</v>
      </c>
      <c r="B31226" s="2" t="str">
        <f>IFERROR(__xludf.DUMMYFUNCTION("GOOGLETRANSLATE(A31226, ""de"", ""en"")"),"marigold")</f>
        <v>marigold</v>
      </c>
    </row>
    <row r="31227">
      <c r="A31227" s="1" t="s">
        <v>31226</v>
      </c>
      <c r="B31227" s="2" t="str">
        <f>IFERROR(__xludf.DUMMYFUNCTION("GOOGLETRANSLATE(A31227, ""de"", ""en"")"),"worst")</f>
        <v>worst</v>
      </c>
    </row>
    <row r="31228">
      <c r="A31228" s="1" t="s">
        <v>31227</v>
      </c>
      <c r="B31228" s="2" t="str">
        <f>IFERROR(__xludf.DUMMYFUNCTION("GOOGLETRANSLATE(A31228, ""de"", ""en"")"),"basic")</f>
        <v>basic</v>
      </c>
    </row>
    <row r="31229">
      <c r="A31229" s="1" t="s">
        <v>31228</v>
      </c>
      <c r="B31229" s="2" t="str">
        <f>IFERROR(__xludf.DUMMYFUNCTION("GOOGLETRANSLATE(A31229, ""de"", ""en"")"),"cancel")</f>
        <v>cancel</v>
      </c>
    </row>
    <row r="31230">
      <c r="A31230" s="1" t="s">
        <v>31229</v>
      </c>
      <c r="B31230" s="2" t="str">
        <f>IFERROR(__xludf.DUMMYFUNCTION("GOOGLETRANSLATE(A31230, ""de"", ""en"")"),"argus")</f>
        <v>argus</v>
      </c>
    </row>
    <row r="31231">
      <c r="A31231" s="1" t="s">
        <v>31230</v>
      </c>
      <c r="B31231" s="2" t="str">
        <f>IFERROR(__xludf.DUMMYFUNCTION("GOOGLETRANSLATE(A31231, ""de"", ""en"")"),"chao")</f>
        <v>chao</v>
      </c>
    </row>
    <row r="31232">
      <c r="A31232" s="1" t="s">
        <v>31231</v>
      </c>
      <c r="B31232" s="2" t="str">
        <f>IFERROR(__xludf.DUMMYFUNCTION("GOOGLETRANSLATE(A31232, ""de"", ""en"")"),"kovacs")</f>
        <v>kovacs</v>
      </c>
    </row>
    <row r="31233">
      <c r="A31233" s="1" t="s">
        <v>31232</v>
      </c>
      <c r="B31233" s="2" t="str">
        <f>IFERROR(__xludf.DUMMYFUNCTION("GOOGLETRANSLATE(A31233, ""de"", ""en"")"),"coopers")</f>
        <v>coopers</v>
      </c>
    </row>
    <row r="31234">
      <c r="A31234" s="1" t="s">
        <v>31233</v>
      </c>
      <c r="B31234" s="2" t="str">
        <f>IFERROR(__xludf.DUMMYFUNCTION("GOOGLETRANSLATE(A31234, ""de"", ""en"")"),"methane")</f>
        <v>methane</v>
      </c>
    </row>
    <row r="31235">
      <c r="A31235" s="1" t="s">
        <v>31234</v>
      </c>
      <c r="B31235" s="2" t="str">
        <f>IFERROR(__xludf.DUMMYFUNCTION("GOOGLETRANSLATE(A31235, ""de"", ""en"")"),"physical contact")</f>
        <v>physical contact</v>
      </c>
    </row>
    <row r="31236">
      <c r="A31236" s="1" t="s">
        <v>31235</v>
      </c>
      <c r="B31236" s="2" t="str">
        <f>IFERROR(__xludf.DUMMYFUNCTION("GOOGLETRANSLATE(A31236, ""de"", ""en"")"),"state of emergency")</f>
        <v>state of emergency</v>
      </c>
    </row>
    <row r="31237">
      <c r="A31237" s="1" t="s">
        <v>31236</v>
      </c>
      <c r="B31237" s="2" t="str">
        <f>IFERROR(__xludf.DUMMYFUNCTION("GOOGLETRANSLATE(A31237, ""de"", ""en"")"),"relax")</f>
        <v>relax</v>
      </c>
    </row>
    <row r="31238">
      <c r="A31238" s="1" t="s">
        <v>31237</v>
      </c>
      <c r="B31238" s="2" t="str">
        <f>IFERROR(__xludf.DUMMYFUNCTION("GOOGLETRANSLATE(A31238, ""de"", ""en"")"),"bri")</f>
        <v>bri</v>
      </c>
    </row>
    <row r="31239">
      <c r="A31239" s="1" t="s">
        <v>31238</v>
      </c>
      <c r="B31239" s="2" t="str">
        <f>IFERROR(__xludf.DUMMYFUNCTION("GOOGLETRANSLATE(A31239, ""de"", ""en"")"),"ny")</f>
        <v>ny</v>
      </c>
    </row>
    <row r="31240">
      <c r="A31240" s="1" t="s">
        <v>31239</v>
      </c>
      <c r="B31240" s="2" t="str">
        <f>IFERROR(__xludf.DUMMYFUNCTION("GOOGLETRANSLATE(A31240, ""de"", ""en"")"),"android")</f>
        <v>android</v>
      </c>
    </row>
    <row r="31241">
      <c r="A31241" s="1" t="s">
        <v>31240</v>
      </c>
      <c r="B31241" s="2" t="str">
        <f>IFERROR(__xludf.DUMMYFUNCTION("GOOGLETRANSLATE(A31241, ""de"", ""en"")"),"Jehovah")</f>
        <v>Jehovah</v>
      </c>
    </row>
    <row r="31242">
      <c r="A31242" s="1" t="s">
        <v>31241</v>
      </c>
      <c r="B31242" s="2" t="str">
        <f>IFERROR(__xludf.DUMMYFUNCTION("GOOGLETRANSLATE(A31242, ""de"", ""en"")"),"smoke")</f>
        <v>smoke</v>
      </c>
    </row>
    <row r="31243">
      <c r="A31243" s="1" t="s">
        <v>31242</v>
      </c>
      <c r="B31243" s="2" t="str">
        <f>IFERROR(__xludf.DUMMYFUNCTION("GOOGLETRANSLATE(A31243, ""de"", ""en"")"),"Marlow")</f>
        <v>Marlow</v>
      </c>
    </row>
    <row r="31244">
      <c r="A31244" s="1" t="s">
        <v>31243</v>
      </c>
      <c r="B31244" s="2" t="str">
        <f>IFERROR(__xludf.DUMMYFUNCTION("GOOGLETRANSLATE(A31244, ""de"", ""en"")"),"knows")</f>
        <v>knows</v>
      </c>
    </row>
    <row r="31245">
      <c r="A31245" s="1" t="s">
        <v>31244</v>
      </c>
      <c r="B31245" s="2" t="str">
        <f>IFERROR(__xludf.DUMMYFUNCTION("GOOGLETRANSLATE(A31245, ""de"", ""en"")"),"Scottish")</f>
        <v>Scottish</v>
      </c>
    </row>
    <row r="31246">
      <c r="A31246" s="1" t="s">
        <v>31245</v>
      </c>
      <c r="B31246" s="2" t="str">
        <f>IFERROR(__xludf.DUMMYFUNCTION("GOOGLETRANSLATE(A31246, ""de"", ""en"")"),"detour")</f>
        <v>detour</v>
      </c>
    </row>
    <row r="31247">
      <c r="A31247" s="1" t="s">
        <v>31246</v>
      </c>
      <c r="B31247" s="2" t="str">
        <f>IFERROR(__xludf.DUMMYFUNCTION("GOOGLETRANSLATE(A31247, ""de"", ""en"")"),"boulders")</f>
        <v>boulders</v>
      </c>
    </row>
    <row r="31248">
      <c r="A31248" s="1" t="s">
        <v>31247</v>
      </c>
      <c r="B31248" s="2" t="str">
        <f>IFERROR(__xludf.DUMMYFUNCTION("GOOGLETRANSLATE(A31248, ""de"", ""en"")"),"mighty")</f>
        <v>mighty</v>
      </c>
    </row>
    <row r="31249">
      <c r="A31249" s="1" t="s">
        <v>31248</v>
      </c>
      <c r="B31249" s="2" t="str">
        <f>IFERROR(__xludf.DUMMYFUNCTION("GOOGLETRANSLATE(A31249, ""de"", ""en"")"),"biography")</f>
        <v>biography</v>
      </c>
    </row>
    <row r="31250">
      <c r="A31250" s="1" t="s">
        <v>31249</v>
      </c>
      <c r="B31250" s="2" t="str">
        <f>IFERROR(__xludf.DUMMYFUNCTION("GOOGLETRANSLATE(A31250, ""de"", ""en"")"),"sting")</f>
        <v>sting</v>
      </c>
    </row>
    <row r="31251">
      <c r="A31251" s="1" t="s">
        <v>31250</v>
      </c>
      <c r="B31251" s="2" t="str">
        <f>IFERROR(__xludf.DUMMYFUNCTION("GOOGLETRANSLATE(A31251, ""de"", ""en"")"),"to be encountered")</f>
        <v>to be encountered</v>
      </c>
    </row>
    <row r="31252">
      <c r="A31252" s="1" t="s">
        <v>31251</v>
      </c>
      <c r="B31252" s="2" t="str">
        <f>IFERROR(__xludf.DUMMYFUNCTION("GOOGLETRANSLATE(A31252, ""de"", ""en"")"),"mocha")</f>
        <v>mocha</v>
      </c>
    </row>
    <row r="31253">
      <c r="A31253" s="1" t="s">
        <v>31252</v>
      </c>
      <c r="B31253" s="2" t="str">
        <f>IFERROR(__xludf.DUMMYFUNCTION("GOOGLETRANSLATE(A31253, ""de"", ""en"")"),"setbacks")</f>
        <v>setbacks</v>
      </c>
    </row>
    <row r="31254">
      <c r="A31254" s="1" t="s">
        <v>31253</v>
      </c>
      <c r="B31254" s="2" t="str">
        <f>IFERROR(__xludf.DUMMYFUNCTION("GOOGLETRANSLATE(A31254, ""de"", ""en"")"),"oyster")</f>
        <v>oyster</v>
      </c>
    </row>
    <row r="31255">
      <c r="A31255" s="1" t="s">
        <v>31254</v>
      </c>
      <c r="B31255" s="2" t="str">
        <f>IFERROR(__xludf.DUMMYFUNCTION("GOOGLETRANSLATE(A31255, ""de"", ""en"")"),"moment")</f>
        <v>moment</v>
      </c>
    </row>
    <row r="31256">
      <c r="A31256" s="1" t="s">
        <v>31255</v>
      </c>
      <c r="B31256" s="2" t="str">
        <f>IFERROR(__xludf.DUMMYFUNCTION("GOOGLETRANSLATE(A31256, ""de"", ""en"")"),"naina")</f>
        <v>naina</v>
      </c>
    </row>
    <row r="31257">
      <c r="A31257" s="1" t="s">
        <v>31256</v>
      </c>
      <c r="B31257" s="2" t="str">
        <f>IFERROR(__xludf.DUMMYFUNCTION("GOOGLETRANSLATE(A31257, ""de"", ""en"")"),"explosive")</f>
        <v>explosive</v>
      </c>
    </row>
    <row r="31258">
      <c r="A31258" s="1" t="s">
        <v>31257</v>
      </c>
      <c r="B31258" s="2" t="str">
        <f>IFERROR(__xludf.DUMMYFUNCTION("GOOGLETRANSLATE(A31258, ""de"", ""en"")"),"shattered")</f>
        <v>shattered</v>
      </c>
    </row>
    <row r="31259">
      <c r="A31259" s="1" t="s">
        <v>31258</v>
      </c>
      <c r="B31259" s="2" t="str">
        <f>IFERROR(__xludf.DUMMYFUNCTION("GOOGLETRANSLATE(A31259, ""de"", ""en"")"),"uptown")</f>
        <v>uptown</v>
      </c>
    </row>
    <row r="31260">
      <c r="A31260" s="1" t="s">
        <v>31259</v>
      </c>
      <c r="B31260" s="2" t="str">
        <f>IFERROR(__xludf.DUMMYFUNCTION("GOOGLETRANSLATE(A31260, ""de"", ""en"")"),"hurt")</f>
        <v>hurt</v>
      </c>
    </row>
    <row r="31261">
      <c r="A31261" s="1" t="s">
        <v>31260</v>
      </c>
      <c r="B31261" s="2" t="str">
        <f>IFERROR(__xludf.DUMMYFUNCTION("GOOGLETRANSLATE(A31261, ""de"", ""en"")"),"yesterday")</f>
        <v>yesterday</v>
      </c>
    </row>
    <row r="31262">
      <c r="A31262" s="1" t="s">
        <v>31261</v>
      </c>
      <c r="B31262" s="2" t="str">
        <f>IFERROR(__xludf.DUMMYFUNCTION("GOOGLETRANSLATE(A31262, ""de"", ""en"")"),"layman")</f>
        <v>layman</v>
      </c>
    </row>
    <row r="31263">
      <c r="A31263" s="1" t="s">
        <v>31262</v>
      </c>
      <c r="B31263" s="2" t="str">
        <f>IFERROR(__xludf.DUMMYFUNCTION("GOOGLETRANSLATE(A31263, ""de"", ""en"")"),"captain")</f>
        <v>captain</v>
      </c>
    </row>
    <row r="31264">
      <c r="A31264" s="1" t="s">
        <v>31263</v>
      </c>
      <c r="B31264" s="2" t="str">
        <f>IFERROR(__xludf.DUMMYFUNCTION("GOOGLETRANSLATE(A31264, ""de"", ""en"")"),"because of")</f>
        <v>because of</v>
      </c>
    </row>
    <row r="31265">
      <c r="A31265" s="1" t="s">
        <v>31264</v>
      </c>
      <c r="B31265" s="2" t="str">
        <f>IFERROR(__xludf.DUMMYFUNCTION("GOOGLETRANSLATE(A31265, ""de"", ""en"")"),"spend")</f>
        <v>spend</v>
      </c>
    </row>
    <row r="31266">
      <c r="A31266" s="1" t="s">
        <v>31265</v>
      </c>
      <c r="B31266" s="2" t="str">
        <f>IFERROR(__xludf.DUMMYFUNCTION("GOOGLETRANSLATE(A31266, ""de"", ""en"")"),"nanni")</f>
        <v>nanni</v>
      </c>
    </row>
    <row r="31267">
      <c r="A31267" s="1" t="s">
        <v>31266</v>
      </c>
      <c r="B31267" s="2" t="str">
        <f>IFERROR(__xludf.DUMMYFUNCTION("GOOGLETRANSLATE(A31267, ""de"", ""en"")"),"rave")</f>
        <v>rave</v>
      </c>
    </row>
    <row r="31268">
      <c r="A31268" s="1" t="s">
        <v>31267</v>
      </c>
      <c r="B31268" s="2" t="str">
        <f>IFERROR(__xludf.DUMMYFUNCTION("GOOGLETRANSLATE(A31268, ""de"", ""en"")"),"inhaler")</f>
        <v>inhaler</v>
      </c>
    </row>
    <row r="31269">
      <c r="A31269" s="1" t="s">
        <v>31268</v>
      </c>
      <c r="B31269" s="2" t="str">
        <f>IFERROR(__xludf.DUMMYFUNCTION("GOOGLETRANSLATE(A31269, ""de"", ""en"")"),"to change your mind")</f>
        <v>to change your mind</v>
      </c>
    </row>
    <row r="31270">
      <c r="A31270" s="1" t="s">
        <v>31269</v>
      </c>
      <c r="B31270" s="2" t="str">
        <f>IFERROR(__xludf.DUMMYFUNCTION("GOOGLETRANSLATE(A31270, ""de"", ""en"")"),"wedding party")</f>
        <v>wedding party</v>
      </c>
    </row>
    <row r="31271">
      <c r="A31271" s="1" t="s">
        <v>31270</v>
      </c>
      <c r="B31271" s="2" t="str">
        <f>IFERROR(__xludf.DUMMYFUNCTION("GOOGLETRANSLATE(A31271, ""de"", ""en"")"),"playing cards")</f>
        <v>playing cards</v>
      </c>
    </row>
    <row r="31272">
      <c r="A31272" s="1" t="s">
        <v>31271</v>
      </c>
      <c r="B31272" s="2" t="str">
        <f>IFERROR(__xludf.DUMMYFUNCTION("GOOGLETRANSLATE(A31272, ""de"", ""en"")"),"wickets")</f>
        <v>wickets</v>
      </c>
    </row>
    <row r="31273">
      <c r="A31273" s="1" t="s">
        <v>31272</v>
      </c>
      <c r="B31273" s="2" t="str">
        <f>IFERROR(__xludf.DUMMYFUNCTION("GOOGLETRANSLATE(A31273, ""de"", ""en"")"),"rosemary")</f>
        <v>rosemary</v>
      </c>
    </row>
    <row r="31274">
      <c r="A31274" s="1" t="s">
        <v>31273</v>
      </c>
      <c r="B31274" s="2" t="str">
        <f>IFERROR(__xludf.DUMMYFUNCTION("GOOGLETRANSLATE(A31274, ""de"", ""en"")"),"cheers")</f>
        <v>cheers</v>
      </c>
    </row>
    <row r="31275">
      <c r="A31275" s="1" t="s">
        <v>31274</v>
      </c>
      <c r="B31275" s="2" t="str">
        <f>IFERROR(__xludf.DUMMYFUNCTION("GOOGLETRANSLATE(A31275, ""de"", ""en"")"),"sweet potatoes")</f>
        <v>sweet potatoes</v>
      </c>
    </row>
    <row r="31276">
      <c r="A31276" s="1" t="s">
        <v>31275</v>
      </c>
      <c r="B31276" s="2" t="str">
        <f>IFERROR(__xludf.DUMMYFUNCTION("GOOGLETRANSLATE(A31276, ""de"", ""en"")"),"deepest")</f>
        <v>deepest</v>
      </c>
    </row>
    <row r="31277">
      <c r="A31277" s="1" t="s">
        <v>31276</v>
      </c>
      <c r="B31277" s="2" t="str">
        <f>IFERROR(__xludf.DUMMYFUNCTION("GOOGLETRANSLATE(A31277, ""de"", ""en"")"),"appropriate")</f>
        <v>appropriate</v>
      </c>
    </row>
    <row r="31278">
      <c r="A31278" s="1" t="s">
        <v>31277</v>
      </c>
      <c r="B31278" s="2" t="str">
        <f>IFERROR(__xludf.DUMMYFUNCTION("GOOGLETRANSLATE(A31278, ""de"", ""en"")"),"breck")</f>
        <v>breck</v>
      </c>
    </row>
    <row r="31279">
      <c r="A31279" s="1" t="s">
        <v>31278</v>
      </c>
      <c r="B31279" s="2" t="str">
        <f>IFERROR(__xludf.DUMMYFUNCTION("GOOGLETRANSLATE(A31279, ""de"", ""en"")"),"petya")</f>
        <v>petya</v>
      </c>
    </row>
    <row r="31280">
      <c r="A31280" s="1" t="s">
        <v>31279</v>
      </c>
      <c r="B31280" s="2" t="str">
        <f>IFERROR(__xludf.DUMMYFUNCTION("GOOGLETRANSLATE(A31280, ""de"", ""en"")"),"confederates")</f>
        <v>confederates</v>
      </c>
    </row>
    <row r="31281">
      <c r="A31281" s="1" t="s">
        <v>31280</v>
      </c>
      <c r="B31281" s="2" t="str">
        <f>IFERROR(__xludf.DUMMYFUNCTION("GOOGLETRANSLATE(A31281, ""de"", ""en"")"),"trample")</f>
        <v>trample</v>
      </c>
    </row>
    <row r="31282">
      <c r="A31282" s="1" t="s">
        <v>31281</v>
      </c>
      <c r="B31282" s="2" t="str">
        <f>IFERROR(__xludf.DUMMYFUNCTION("GOOGLETRANSLATE(A31282, ""de"", ""en"")"),"art form")</f>
        <v>art form</v>
      </c>
    </row>
    <row r="31283">
      <c r="A31283" s="1" t="s">
        <v>31282</v>
      </c>
      <c r="B31283" s="2" t="str">
        <f>IFERROR(__xludf.DUMMYFUNCTION("GOOGLETRANSLATE(A31283, ""de"", ""en"")"),"achievement")</f>
        <v>achievement</v>
      </c>
    </row>
    <row r="31284">
      <c r="A31284" s="1" t="s">
        <v>31283</v>
      </c>
      <c r="B31284" s="2" t="str">
        <f>IFERROR(__xludf.DUMMYFUNCTION("GOOGLETRANSLATE(A31284, ""de"", ""en"")"),"imagine")</f>
        <v>imagine</v>
      </c>
    </row>
    <row r="31285">
      <c r="A31285" s="1" t="s">
        <v>31284</v>
      </c>
      <c r="B31285" s="2" t="str">
        <f>IFERROR(__xludf.DUMMYFUNCTION("GOOGLETRANSLATE(A31285, ""de"", ""en"")"),"colonna")</f>
        <v>colonna</v>
      </c>
    </row>
    <row r="31286">
      <c r="A31286" s="1" t="s">
        <v>31285</v>
      </c>
      <c r="B31286" s="2" t="str">
        <f>IFERROR(__xludf.DUMMYFUNCTION("GOOGLETRANSLATE(A31286, ""de"", ""en"")"),"lesbian")</f>
        <v>lesbian</v>
      </c>
    </row>
    <row r="31287">
      <c r="A31287" s="1" t="s">
        <v>31286</v>
      </c>
      <c r="B31287" s="2" t="str">
        <f>IFERROR(__xludf.DUMMYFUNCTION("GOOGLETRANSLATE(A31287, ""de"", ""en"")"),"brochure")</f>
        <v>brochure</v>
      </c>
    </row>
    <row r="31288">
      <c r="A31288" s="1" t="s">
        <v>31287</v>
      </c>
      <c r="B31288" s="2" t="str">
        <f>IFERROR(__xludf.DUMMYFUNCTION("GOOGLETRANSLATE(A31288, ""de"", ""en"")"),"people")</f>
        <v>people</v>
      </c>
    </row>
    <row r="31289">
      <c r="A31289" s="1" t="s">
        <v>31288</v>
      </c>
      <c r="B31289" s="2" t="str">
        <f>IFERROR(__xludf.DUMMYFUNCTION("GOOGLETRANSLATE(A31289, ""de"", ""en"")"),"get closer")</f>
        <v>get closer</v>
      </c>
    </row>
    <row r="31290">
      <c r="A31290" s="1" t="s">
        <v>31289</v>
      </c>
      <c r="B31290" s="2" t="str">
        <f>IFERROR(__xludf.DUMMYFUNCTION("GOOGLETRANSLATE(A31290, ""de"", ""en"")"),"carefully")</f>
        <v>carefully</v>
      </c>
    </row>
    <row r="31291">
      <c r="A31291" s="1" t="s">
        <v>31290</v>
      </c>
      <c r="B31291" s="2" t="str">
        <f>IFERROR(__xludf.DUMMYFUNCTION("GOOGLETRANSLATE(A31291, ""de"", ""en"")"),"bow")</f>
        <v>bow</v>
      </c>
    </row>
    <row r="31292">
      <c r="A31292" s="1" t="s">
        <v>31291</v>
      </c>
      <c r="B31292" s="2" t="str">
        <f>IFERROR(__xludf.DUMMYFUNCTION("GOOGLETRANSLATE(A31292, ""de"", ""en"")"),"logis")</f>
        <v>logis</v>
      </c>
    </row>
    <row r="31293">
      <c r="A31293" s="1" t="s">
        <v>31292</v>
      </c>
      <c r="B31293" s="2" t="str">
        <f>IFERROR(__xludf.DUMMYFUNCTION("GOOGLETRANSLATE(A31293, ""de"", ""en"")"),"cross")</f>
        <v>cross</v>
      </c>
    </row>
    <row r="31294">
      <c r="A31294" s="1" t="s">
        <v>31293</v>
      </c>
      <c r="B31294" s="2" t="str">
        <f>IFERROR(__xludf.DUMMYFUNCTION("GOOGLETRANSLATE(A31294, ""de"", ""en"")"),"assistants")</f>
        <v>assistants</v>
      </c>
    </row>
    <row r="31295">
      <c r="A31295" s="1" t="s">
        <v>31294</v>
      </c>
      <c r="B31295" s="2" t="str">
        <f>IFERROR(__xludf.DUMMYFUNCTION("GOOGLETRANSLATE(A31295, ""de"", ""en"")"),"Baltic Sea")</f>
        <v>Baltic Sea</v>
      </c>
    </row>
    <row r="31296">
      <c r="A31296" s="1" t="s">
        <v>31295</v>
      </c>
      <c r="B31296" s="2" t="str">
        <f>IFERROR(__xludf.DUMMYFUNCTION("GOOGLETRANSLATE(A31296, ""de"", ""en"")"),"battleship")</f>
        <v>battleship</v>
      </c>
    </row>
    <row r="31297">
      <c r="A31297" s="1" t="s">
        <v>31296</v>
      </c>
      <c r="B31297" s="2" t="str">
        <f>IFERROR(__xludf.DUMMYFUNCTION("GOOGLETRANSLATE(A31297, ""de"", ""en"")"),"intercept course")</f>
        <v>intercept course</v>
      </c>
    </row>
    <row r="31298">
      <c r="A31298" s="1" t="s">
        <v>31297</v>
      </c>
      <c r="B31298" s="2" t="str">
        <f>IFERROR(__xludf.DUMMYFUNCTION("GOOGLETRANSLATE(A31298, ""de"", ""en"")"),"Mattias")</f>
        <v>Mattias</v>
      </c>
    </row>
    <row r="31299">
      <c r="A31299" s="1" t="s">
        <v>31298</v>
      </c>
      <c r="B31299" s="2" t="str">
        <f>IFERROR(__xludf.DUMMYFUNCTION("GOOGLETRANSLATE(A31299, ""de"", ""en"")"),"dignitary")</f>
        <v>dignitary</v>
      </c>
    </row>
    <row r="31300">
      <c r="A31300" s="1" t="s">
        <v>31299</v>
      </c>
      <c r="B31300" s="2" t="str">
        <f>IFERROR(__xludf.DUMMYFUNCTION("GOOGLETRANSLATE(A31300, ""de"", ""en"")"),"insanity")</f>
        <v>insanity</v>
      </c>
    </row>
    <row r="31301">
      <c r="A31301" s="1" t="s">
        <v>31300</v>
      </c>
      <c r="B31301" s="2" t="str">
        <f>IFERROR(__xludf.DUMMYFUNCTION("GOOGLETRANSLATE(A31301, ""de"", ""en"")"),"avatars")</f>
        <v>avatars</v>
      </c>
    </row>
    <row r="31302">
      <c r="A31302" s="1" t="s">
        <v>31301</v>
      </c>
      <c r="B31302" s="2" t="str">
        <f>IFERROR(__xludf.DUMMYFUNCTION("GOOGLETRANSLATE(A31302, ""de"", ""en"")"),"fell out")</f>
        <v>fell out</v>
      </c>
    </row>
    <row r="31303">
      <c r="A31303" s="1" t="s">
        <v>31302</v>
      </c>
      <c r="B31303" s="2" t="str">
        <f>IFERROR(__xludf.DUMMYFUNCTION("GOOGLETRANSLATE(A31303, ""de"", ""en"")"),"belmont")</f>
        <v>belmont</v>
      </c>
    </row>
    <row r="31304">
      <c r="A31304" s="1" t="s">
        <v>31303</v>
      </c>
      <c r="B31304" s="2" t="str">
        <f>IFERROR(__xludf.DUMMYFUNCTION("GOOGLETRANSLATE(A31304, ""de"", ""en"")"),"main course")</f>
        <v>main course</v>
      </c>
    </row>
    <row r="31305">
      <c r="A31305" s="1" t="s">
        <v>31304</v>
      </c>
      <c r="B31305" s="2" t="str">
        <f>IFERROR(__xludf.DUMMYFUNCTION("GOOGLETRANSLATE(A31305, ""de"", ""en"")"),"addition")</f>
        <v>addition</v>
      </c>
    </row>
    <row r="31306">
      <c r="A31306" s="1" t="s">
        <v>31305</v>
      </c>
      <c r="B31306" s="2" t="str">
        <f>IFERROR(__xludf.DUMMYFUNCTION("GOOGLETRANSLATE(A31306, ""de"", ""en"")"),"mafioso")</f>
        <v>mafioso</v>
      </c>
    </row>
    <row r="31307">
      <c r="A31307" s="1" t="s">
        <v>31306</v>
      </c>
      <c r="B31307" s="2" t="str">
        <f>IFERROR(__xludf.DUMMYFUNCTION("GOOGLETRANSLATE(A31307, ""de"", ""en"")"),"slaughters")</f>
        <v>slaughters</v>
      </c>
    </row>
    <row r="31308">
      <c r="A31308" s="1" t="s">
        <v>31307</v>
      </c>
      <c r="B31308" s="2" t="str">
        <f>IFERROR(__xludf.DUMMYFUNCTION("GOOGLETRANSLATE(A31308, ""de"", ""en"")"),"standby")</f>
        <v>standby</v>
      </c>
    </row>
    <row r="31309">
      <c r="A31309" s="1" t="s">
        <v>31308</v>
      </c>
      <c r="B31309" s="2" t="str">
        <f>IFERROR(__xludf.DUMMYFUNCTION("GOOGLETRANSLATE(A31309, ""de"", ""en"")"),"timetable")</f>
        <v>timetable</v>
      </c>
    </row>
    <row r="31310">
      <c r="A31310" s="1" t="s">
        <v>31309</v>
      </c>
      <c r="B31310" s="2" t="str">
        <f>IFERROR(__xludf.DUMMYFUNCTION("GOOGLETRANSLATE(A31310, ""de"", ""en"")"),"whale")</f>
        <v>whale</v>
      </c>
    </row>
    <row r="31311">
      <c r="A31311" s="1" t="s">
        <v>31310</v>
      </c>
      <c r="B31311" s="2" t="str">
        <f>IFERROR(__xludf.DUMMYFUNCTION("GOOGLETRANSLATE(A31311, ""de"", ""en"")"),"rollie")</f>
        <v>rollie</v>
      </c>
    </row>
    <row r="31312">
      <c r="A31312" s="1" t="s">
        <v>31311</v>
      </c>
      <c r="B31312" s="2" t="str">
        <f>IFERROR(__xludf.DUMMYFUNCTION("GOOGLETRANSLATE(A31312, ""de"", ""en"")"),"Job")</f>
        <v>Job</v>
      </c>
    </row>
    <row r="31313">
      <c r="A31313" s="1" t="s">
        <v>31312</v>
      </c>
      <c r="B31313" s="2" t="str">
        <f>IFERROR(__xludf.DUMMYFUNCTION("GOOGLETRANSLATE(A31313, ""de"", ""en"")"),"citizenship")</f>
        <v>citizenship</v>
      </c>
    </row>
    <row r="31314">
      <c r="A31314" s="1" t="s">
        <v>31313</v>
      </c>
      <c r="B31314" s="2" t="str">
        <f>IFERROR(__xludf.DUMMYFUNCTION("GOOGLETRANSLATE(A31314, ""de"", ""en"")"),"rebelled")</f>
        <v>rebelled</v>
      </c>
    </row>
    <row r="31315">
      <c r="A31315" s="1" t="s">
        <v>31314</v>
      </c>
      <c r="B31315" s="2" t="str">
        <f>IFERROR(__xludf.DUMMYFUNCTION("GOOGLETRANSLATE(A31315, ""de"", ""en"")"),"henny")</f>
        <v>henny</v>
      </c>
    </row>
    <row r="31316">
      <c r="A31316" s="1" t="s">
        <v>31315</v>
      </c>
      <c r="B31316" s="2" t="str">
        <f>IFERROR(__xludf.DUMMYFUNCTION("GOOGLETRANSLATE(A31316, ""de"", ""en"")"),"exact")</f>
        <v>exact</v>
      </c>
    </row>
    <row r="31317">
      <c r="A31317" s="1" t="s">
        <v>31316</v>
      </c>
      <c r="B31317" s="2" t="str">
        <f>IFERROR(__xludf.DUMMYFUNCTION("GOOGLETRANSLATE(A31317, ""de"", ""en"")"),"telephone lines")</f>
        <v>telephone lines</v>
      </c>
    </row>
    <row r="31318">
      <c r="A31318" s="1" t="s">
        <v>31317</v>
      </c>
      <c r="B31318" s="2" t="str">
        <f>IFERROR(__xludf.DUMMYFUNCTION("GOOGLETRANSLATE(A31318, ""de"", ""en"")"),"a bit")</f>
        <v>a bit</v>
      </c>
    </row>
    <row r="31319">
      <c r="A31319" s="1" t="s">
        <v>31318</v>
      </c>
      <c r="B31319" s="2" t="str">
        <f>IFERROR(__xludf.DUMMYFUNCTION("GOOGLETRANSLATE(A31319, ""de"", ""en"")"),"unmistakably")</f>
        <v>unmistakably</v>
      </c>
    </row>
    <row r="31320">
      <c r="A31320" s="1" t="s">
        <v>31319</v>
      </c>
      <c r="B31320" s="2" t="str">
        <f>IFERROR(__xludf.DUMMYFUNCTION("GOOGLETRANSLATE(A31320, ""de"", ""en"")"),"maclaren")</f>
        <v>maclaren</v>
      </c>
    </row>
    <row r="31321">
      <c r="A31321" s="1" t="s">
        <v>31320</v>
      </c>
      <c r="B31321" s="2" t="str">
        <f>IFERROR(__xludf.DUMMYFUNCTION("GOOGLETRANSLATE(A31321, ""de"", ""en"")"),"retired")</f>
        <v>retired</v>
      </c>
    </row>
    <row r="31322">
      <c r="A31322" s="1" t="s">
        <v>31321</v>
      </c>
      <c r="B31322" s="2" t="str">
        <f>IFERROR(__xludf.DUMMYFUNCTION("GOOGLETRANSLATE(A31322, ""de"", ""en"")"),"real")</f>
        <v>real</v>
      </c>
    </row>
    <row r="31323">
      <c r="A31323" s="1" t="s">
        <v>31322</v>
      </c>
      <c r="B31323" s="2" t="str">
        <f>IFERROR(__xludf.DUMMYFUNCTION("GOOGLETRANSLATE(A31323, ""de"", ""en"")"),"you're bluffing")</f>
        <v>you're bluffing</v>
      </c>
    </row>
    <row r="31324">
      <c r="A31324" s="1" t="s">
        <v>31323</v>
      </c>
      <c r="B31324" s="2" t="str">
        <f>IFERROR(__xludf.DUMMYFUNCTION("GOOGLETRANSLATE(A31324, ""de"", ""en"")"),"equip")</f>
        <v>equip</v>
      </c>
    </row>
    <row r="31325">
      <c r="A31325" s="1" t="s">
        <v>31324</v>
      </c>
      <c r="B31325" s="2" t="str">
        <f>IFERROR(__xludf.DUMMYFUNCTION("GOOGLETRANSLATE(A31325, ""de"", ""en"")"),"test drive")</f>
        <v>test drive</v>
      </c>
    </row>
    <row r="31326">
      <c r="A31326" s="1" t="s">
        <v>31325</v>
      </c>
      <c r="B31326" s="2" t="str">
        <f>IFERROR(__xludf.DUMMYFUNCTION("GOOGLETRANSLATE(A31326, ""de"", ""en"")"),"buried")</f>
        <v>buried</v>
      </c>
    </row>
    <row r="31327">
      <c r="A31327" s="1" t="s">
        <v>31326</v>
      </c>
      <c r="B31327" s="2" t="str">
        <f>IFERROR(__xludf.DUMMYFUNCTION("GOOGLETRANSLATE(A31327, ""de"", ""en"")"),"electricity bill")</f>
        <v>electricity bill</v>
      </c>
    </row>
    <row r="31328">
      <c r="A31328" s="1" t="s">
        <v>31327</v>
      </c>
      <c r="B31328" s="2" t="str">
        <f>IFERROR(__xludf.DUMMYFUNCTION("GOOGLETRANSLATE(A31328, ""de"", ""en"")"),"nuclear power plant")</f>
        <v>nuclear power plant</v>
      </c>
    </row>
    <row r="31329">
      <c r="A31329" s="1" t="s">
        <v>31328</v>
      </c>
      <c r="B31329" s="2" t="str">
        <f>IFERROR(__xludf.DUMMYFUNCTION("GOOGLETRANSLATE(A31329, ""de"", ""en"")"),"disarmed")</f>
        <v>disarmed</v>
      </c>
    </row>
    <row r="31330">
      <c r="A31330" s="1" t="s">
        <v>31329</v>
      </c>
      <c r="B31330" s="2" t="str">
        <f>IFERROR(__xludf.DUMMYFUNCTION("GOOGLETRANSLATE(A31330, ""de"", ""en"")"),"Greek")</f>
        <v>Greek</v>
      </c>
    </row>
    <row r="31331">
      <c r="A31331" s="1" t="s">
        <v>31330</v>
      </c>
      <c r="B31331" s="2" t="str">
        <f>IFERROR(__xludf.DUMMYFUNCTION("GOOGLETRANSLATE(A31331, ""de"", ""en"")"),"stay")</f>
        <v>stay</v>
      </c>
    </row>
    <row r="31332">
      <c r="A31332" s="1" t="s">
        <v>31331</v>
      </c>
      <c r="B31332" s="2" t="str">
        <f>IFERROR(__xludf.DUMMYFUNCTION("GOOGLETRANSLATE(A31332, ""de"", ""en"")"),"chrysler")</f>
        <v>chrysler</v>
      </c>
    </row>
    <row r="31333">
      <c r="A31333" s="1" t="s">
        <v>31332</v>
      </c>
      <c r="B31333" s="2" t="str">
        <f>IFERROR(__xludf.DUMMYFUNCTION("GOOGLETRANSLATE(A31333, ""de"", ""en"")"),"capable")</f>
        <v>capable</v>
      </c>
    </row>
    <row r="31334">
      <c r="A31334" s="1" t="s">
        <v>31333</v>
      </c>
      <c r="B31334" s="2" t="str">
        <f>IFERROR(__xludf.DUMMYFUNCTION("GOOGLETRANSLATE(A31334, ""de"", ""en"")"),"mime")</f>
        <v>mime</v>
      </c>
    </row>
    <row r="31335">
      <c r="A31335" s="1" t="s">
        <v>31334</v>
      </c>
      <c r="B31335" s="2" t="str">
        <f>IFERROR(__xludf.DUMMYFUNCTION("GOOGLETRANSLATE(A31335, ""de"", ""en"")"),"purposes")</f>
        <v>purposes</v>
      </c>
    </row>
    <row r="31336">
      <c r="A31336" s="1" t="s">
        <v>31335</v>
      </c>
      <c r="B31336" s="2" t="str">
        <f>IFERROR(__xludf.DUMMYFUNCTION("GOOGLETRANSLATE(A31336, ""de"", ""en"")"),"placed")</f>
        <v>placed</v>
      </c>
    </row>
    <row r="31337">
      <c r="A31337" s="1" t="s">
        <v>31336</v>
      </c>
      <c r="B31337" s="2" t="str">
        <f>IFERROR(__xludf.DUMMYFUNCTION("GOOGLETRANSLATE(A31337, ""de"", ""en"")"),"sim card")</f>
        <v>sim card</v>
      </c>
    </row>
    <row r="31338">
      <c r="A31338" s="1" t="s">
        <v>31337</v>
      </c>
      <c r="B31338" s="2" t="str">
        <f>IFERROR(__xludf.DUMMYFUNCTION("GOOGLETRANSLATE(A31338, ""de"", ""en"")"),"golem")</f>
        <v>golem</v>
      </c>
    </row>
    <row r="31339">
      <c r="A31339" s="1" t="s">
        <v>31338</v>
      </c>
      <c r="B31339" s="2" t="str">
        <f>IFERROR(__xludf.DUMMYFUNCTION("GOOGLETRANSLATE(A31339, ""de"", ""en"")"),"eriksson")</f>
        <v>eriksson</v>
      </c>
    </row>
    <row r="31340">
      <c r="A31340" s="1" t="s">
        <v>31339</v>
      </c>
      <c r="B31340" s="2" t="str">
        <f>IFERROR(__xludf.DUMMYFUNCTION("GOOGLETRANSLATE(A31340, ""de"", ""en"")"),"consolidate")</f>
        <v>consolidate</v>
      </c>
    </row>
    <row r="31341">
      <c r="A31341" s="1" t="s">
        <v>31340</v>
      </c>
      <c r="B31341" s="2" t="str">
        <f>IFERROR(__xludf.DUMMYFUNCTION("GOOGLETRANSLATE(A31341, ""de"", ""en"")"),"insulted")</f>
        <v>insulted</v>
      </c>
    </row>
    <row r="31342">
      <c r="A31342" s="1" t="s">
        <v>31341</v>
      </c>
      <c r="B31342" s="2" t="str">
        <f>IFERROR(__xludf.DUMMYFUNCTION("GOOGLETRANSLATE(A31342, ""de"", ""en"")"),"mccluskey")</f>
        <v>mccluskey</v>
      </c>
    </row>
    <row r="31343">
      <c r="A31343" s="1" t="s">
        <v>31342</v>
      </c>
      <c r="B31343" s="2" t="str">
        <f>IFERROR(__xludf.DUMMYFUNCTION("GOOGLETRANSLATE(A31343, ""de"", ""en"")"),"deaf and dumb")</f>
        <v>deaf and dumb</v>
      </c>
    </row>
    <row r="31344">
      <c r="A31344" s="1" t="s">
        <v>31343</v>
      </c>
      <c r="B31344" s="2" t="str">
        <f>IFERROR(__xludf.DUMMYFUNCTION("GOOGLETRANSLATE(A31344, ""de"", ""en"")"),"nostalgic")</f>
        <v>nostalgic</v>
      </c>
    </row>
    <row r="31345">
      <c r="A31345" s="1" t="s">
        <v>31344</v>
      </c>
      <c r="B31345" s="2" t="str">
        <f>IFERROR(__xludf.DUMMYFUNCTION("GOOGLETRANSLATE(A31345, ""de"", ""en"")"),"cut")</f>
        <v>cut</v>
      </c>
    </row>
    <row r="31346">
      <c r="A31346" s="1" t="s">
        <v>31345</v>
      </c>
      <c r="B31346" s="2" t="str">
        <f>IFERROR(__xludf.DUMMYFUNCTION("GOOGLETRANSLATE(A31346, ""de"", ""en"")"),"satellite phone")</f>
        <v>satellite phone</v>
      </c>
    </row>
    <row r="31347">
      <c r="A31347" s="1" t="s">
        <v>31346</v>
      </c>
      <c r="B31347" s="2" t="str">
        <f>IFERROR(__xludf.DUMMYFUNCTION("GOOGLETRANSLATE(A31347, ""de"", ""en"")"),"domesticated")</f>
        <v>domesticated</v>
      </c>
    </row>
    <row r="31348">
      <c r="A31348" s="1" t="s">
        <v>31347</v>
      </c>
      <c r="B31348" s="2" t="str">
        <f>IFERROR(__xludf.DUMMYFUNCTION("GOOGLETRANSLATE(A31348, ""de"", ""en"")"),"amal")</f>
        <v>amal</v>
      </c>
    </row>
    <row r="31349">
      <c r="A31349" s="1" t="s">
        <v>31348</v>
      </c>
      <c r="B31349" s="2" t="str">
        <f>IFERROR(__xludf.DUMMYFUNCTION("GOOGLETRANSLATE(A31349, ""de"", ""en"")"),"to expose")</f>
        <v>to expose</v>
      </c>
    </row>
    <row r="31350">
      <c r="A31350" s="1" t="s">
        <v>31349</v>
      </c>
      <c r="B31350" s="2" t="str">
        <f>IFERROR(__xludf.DUMMYFUNCTION("GOOGLETRANSLATE(A31350, ""de"", ""en"")"),"meningitis")</f>
        <v>meningitis</v>
      </c>
    </row>
    <row r="31351">
      <c r="A31351" s="1" t="s">
        <v>31350</v>
      </c>
      <c r="B31351" s="2" t="str">
        <f>IFERROR(__xludf.DUMMYFUNCTION("GOOGLETRANSLATE(A31351, ""de"", ""en"")"),"mongo")</f>
        <v>mongo</v>
      </c>
    </row>
    <row r="31352">
      <c r="A31352" s="1" t="s">
        <v>31351</v>
      </c>
      <c r="B31352" s="2" t="str">
        <f>IFERROR(__xludf.DUMMYFUNCTION("GOOGLETRANSLATE(A31352, ""de"", ""en"")"),"sedated")</f>
        <v>sedated</v>
      </c>
    </row>
    <row r="31353">
      <c r="A31353" s="1" t="s">
        <v>31352</v>
      </c>
      <c r="B31353" s="2" t="str">
        <f>IFERROR(__xludf.DUMMYFUNCTION("GOOGLETRANSLATE(A31353, ""de"", ""en"")"),"burn")</f>
        <v>burn</v>
      </c>
    </row>
    <row r="31354">
      <c r="A31354" s="1" t="s">
        <v>31353</v>
      </c>
      <c r="B31354" s="2" t="str">
        <f>IFERROR(__xludf.DUMMYFUNCTION("GOOGLETRANSLATE(A31354, ""de"", ""en"")"),"lace")</f>
        <v>lace</v>
      </c>
    </row>
    <row r="31355">
      <c r="A31355" s="1" t="s">
        <v>31354</v>
      </c>
      <c r="B31355" s="2" t="str">
        <f>IFERROR(__xludf.DUMMYFUNCTION("GOOGLETRANSLATE(A31355, ""de"", ""en"")"),"investment")</f>
        <v>investment</v>
      </c>
    </row>
    <row r="31356">
      <c r="A31356" s="1" t="s">
        <v>31355</v>
      </c>
      <c r="B31356" s="2" t="str">
        <f>IFERROR(__xludf.DUMMYFUNCTION("GOOGLETRANSLATE(A31356, ""de"", ""en"")"),"medical")</f>
        <v>medical</v>
      </c>
    </row>
    <row r="31357">
      <c r="A31357" s="1" t="s">
        <v>31356</v>
      </c>
      <c r="B31357" s="2" t="str">
        <f>IFERROR(__xludf.DUMMYFUNCTION("GOOGLETRANSLATE(A31357, ""de"", ""en"")"),"east wing")</f>
        <v>east wing</v>
      </c>
    </row>
    <row r="31358">
      <c r="A31358" s="1" t="s">
        <v>31357</v>
      </c>
      <c r="B31358" s="2" t="str">
        <f>IFERROR(__xludf.DUMMYFUNCTION("GOOGLETRANSLATE(A31358, ""de"", ""en"")"),"import")</f>
        <v>import</v>
      </c>
    </row>
    <row r="31359">
      <c r="A31359" s="1" t="s">
        <v>31358</v>
      </c>
      <c r="B31359" s="2" t="str">
        <f>IFERROR(__xludf.DUMMYFUNCTION("GOOGLETRANSLATE(A31359, ""de"", ""en"")"),"kendal")</f>
        <v>kendal</v>
      </c>
    </row>
    <row r="31360">
      <c r="A31360" s="1" t="s">
        <v>31359</v>
      </c>
      <c r="B31360" s="2" t="str">
        <f>IFERROR(__xludf.DUMMYFUNCTION("GOOGLETRANSLATE(A31360, ""de"", ""en"")"),"read up")</f>
        <v>read up</v>
      </c>
    </row>
    <row r="31361">
      <c r="A31361" s="1" t="s">
        <v>31360</v>
      </c>
      <c r="B31361" s="2" t="str">
        <f>IFERROR(__xludf.DUMMYFUNCTION("GOOGLETRANSLATE(A31361, ""de"", ""en"")"),"attack")</f>
        <v>attack</v>
      </c>
    </row>
    <row r="31362">
      <c r="A31362" s="1" t="s">
        <v>31361</v>
      </c>
      <c r="B31362" s="2" t="str">
        <f>IFERROR(__xludf.DUMMYFUNCTION("GOOGLETRANSLATE(A31362, ""de"", ""en"")"),"walked")</f>
        <v>walked</v>
      </c>
    </row>
    <row r="31363">
      <c r="A31363" s="1" t="s">
        <v>31362</v>
      </c>
      <c r="B31363" s="2" t="str">
        <f>IFERROR(__xludf.DUMMYFUNCTION("GOOGLETRANSLATE(A31363, ""de"", ""en"")"),"pongo")</f>
        <v>pongo</v>
      </c>
    </row>
    <row r="31364">
      <c r="A31364" s="1" t="s">
        <v>31363</v>
      </c>
      <c r="B31364" s="2" t="str">
        <f>IFERROR(__xludf.DUMMYFUNCTION("GOOGLETRANSLATE(A31364, ""de"", ""en"")"),"medea")</f>
        <v>medea</v>
      </c>
    </row>
    <row r="31365">
      <c r="A31365" s="1" t="s">
        <v>31364</v>
      </c>
      <c r="B31365" s="2" t="str">
        <f>IFERROR(__xludf.DUMMYFUNCTION("GOOGLETRANSLATE(A31365, ""de"", ""en"")"),"fair")</f>
        <v>fair</v>
      </c>
    </row>
    <row r="31366">
      <c r="A31366" s="1" t="s">
        <v>31365</v>
      </c>
      <c r="B31366" s="2" t="str">
        <f>IFERROR(__xludf.DUMMYFUNCTION("GOOGLETRANSLATE(A31366, ""de"", ""en"")"),"oral")</f>
        <v>oral</v>
      </c>
    </row>
    <row r="31367">
      <c r="A31367" s="1" t="s">
        <v>31366</v>
      </c>
      <c r="B31367" s="2" t="str">
        <f>IFERROR(__xludf.DUMMYFUNCTION("GOOGLETRANSLATE(A31367, ""de"", ""en"")"),"listen")</f>
        <v>listen</v>
      </c>
    </row>
    <row r="31368">
      <c r="A31368" s="1" t="s">
        <v>31367</v>
      </c>
      <c r="B31368" s="2" t="str">
        <f>IFERROR(__xludf.DUMMYFUNCTION("GOOGLETRANSLATE(A31368, ""de"", ""en"")"),"drunks")</f>
        <v>drunks</v>
      </c>
    </row>
    <row r="31369">
      <c r="A31369" s="1" t="s">
        <v>31368</v>
      </c>
      <c r="B31369" s="2" t="str">
        <f>IFERROR(__xludf.DUMMYFUNCTION("GOOGLETRANSLATE(A31369, ""de"", ""en"")"),"nutrients")</f>
        <v>nutrients</v>
      </c>
    </row>
    <row r="31370">
      <c r="A31370" s="1" t="s">
        <v>31369</v>
      </c>
      <c r="B31370" s="2" t="str">
        <f>IFERROR(__xludf.DUMMYFUNCTION("GOOGLETRANSLATE(A31370, ""de"", ""en"")"),"wistful ones")</f>
        <v>wistful ones</v>
      </c>
    </row>
    <row r="31371">
      <c r="A31371" s="1" t="s">
        <v>31370</v>
      </c>
      <c r="B31371" s="2" t="str">
        <f>IFERROR(__xludf.DUMMYFUNCTION("GOOGLETRANSLATE(A31371, ""de"", ""en"")"),"rooted")</f>
        <v>rooted</v>
      </c>
    </row>
    <row r="31372">
      <c r="A31372" s="1" t="s">
        <v>31371</v>
      </c>
      <c r="B31372" s="2" t="str">
        <f>IFERROR(__xludf.DUMMYFUNCTION("GOOGLETRANSLATE(A31372, ""de"", ""en"")"),"laboratory results")</f>
        <v>laboratory results</v>
      </c>
    </row>
    <row r="31373">
      <c r="A31373" s="1" t="s">
        <v>31372</v>
      </c>
      <c r="B31373" s="2" t="str">
        <f>IFERROR(__xludf.DUMMYFUNCTION("GOOGLETRANSLATE(A31373, ""de"", ""en"")"),"edge.edge")</f>
        <v>edge.edge</v>
      </c>
    </row>
    <row r="31374">
      <c r="A31374" s="1" t="s">
        <v>31373</v>
      </c>
      <c r="B31374" s="2" t="str">
        <f>IFERROR(__xludf.DUMMYFUNCTION("GOOGLETRANSLATE(A31374, ""de"", ""en"")"),"drove around")</f>
        <v>drove around</v>
      </c>
    </row>
    <row r="31375">
      <c r="A31375" s="1" t="s">
        <v>31374</v>
      </c>
      <c r="B31375" s="2" t="str">
        <f>IFERROR(__xludf.DUMMYFUNCTION("GOOGLETRANSLATE(A31375, ""de"", ""en"")"),"external")</f>
        <v>external</v>
      </c>
    </row>
    <row r="31376">
      <c r="A31376" s="1" t="s">
        <v>31375</v>
      </c>
      <c r="B31376" s="2" t="str">
        <f>IFERROR(__xludf.DUMMYFUNCTION("GOOGLETRANSLATE(A31376, ""de"", ""en"")"),"Korean")</f>
        <v>Korean</v>
      </c>
    </row>
    <row r="31377">
      <c r="A31377" s="1" t="s">
        <v>31376</v>
      </c>
      <c r="B31377" s="2" t="str">
        <f>IFERROR(__xludf.DUMMYFUNCTION("GOOGLETRANSLATE(A31377, ""de"", ""en"")"),"need")</f>
        <v>need</v>
      </c>
    </row>
    <row r="31378">
      <c r="A31378" s="1" t="s">
        <v>31377</v>
      </c>
      <c r="B31378" s="2" t="str">
        <f>IFERROR(__xludf.DUMMYFUNCTION("GOOGLETRANSLATE(A31378, ""de"", ""en"")"),"pargalı")</f>
        <v>pargalı</v>
      </c>
    </row>
    <row r="31379">
      <c r="A31379" s="1" t="s">
        <v>31378</v>
      </c>
      <c r="B31379" s="2" t="str">
        <f>IFERROR(__xludf.DUMMYFUNCTION("GOOGLETRANSLATE(A31379, ""de"", ""en"")"),"pawel")</f>
        <v>pawel</v>
      </c>
    </row>
    <row r="31380">
      <c r="A31380" s="1" t="s">
        <v>31379</v>
      </c>
      <c r="B31380" s="2" t="str">
        <f>IFERROR(__xludf.DUMMYFUNCTION("GOOGLETRANSLATE(A31380, ""de"", ""en"")"),"Kemal")</f>
        <v>Kemal</v>
      </c>
    </row>
    <row r="31381">
      <c r="A31381" s="1" t="s">
        <v>31380</v>
      </c>
      <c r="B31381" s="2" t="str">
        <f>IFERROR(__xludf.DUMMYFUNCTION("GOOGLETRANSLATE(A31381, ""de"", ""en"")"),"waive")</f>
        <v>waive</v>
      </c>
    </row>
    <row r="31382">
      <c r="A31382" s="1" t="s">
        <v>31381</v>
      </c>
      <c r="B31382" s="2" t="str">
        <f>IFERROR(__xludf.DUMMYFUNCTION("GOOGLETRANSLATE(A31382, ""de"", ""en"")"),"more real")</f>
        <v>more real</v>
      </c>
    </row>
    <row r="31383">
      <c r="A31383" s="1" t="s">
        <v>31382</v>
      </c>
      <c r="B31383" s="2" t="str">
        <f>IFERROR(__xludf.DUMMYFUNCTION("GOOGLETRANSLATE(A31383, ""de"", ""en"")"),"tank")</f>
        <v>tank</v>
      </c>
    </row>
    <row r="31384">
      <c r="A31384" s="1" t="s">
        <v>31383</v>
      </c>
      <c r="B31384" s="2" t="str">
        <f>IFERROR(__xludf.DUMMYFUNCTION("GOOGLETRANSLATE(A31384, ""de"", ""en"")"),"confetti")</f>
        <v>confetti</v>
      </c>
    </row>
    <row r="31385">
      <c r="A31385" s="1" t="s">
        <v>31384</v>
      </c>
      <c r="B31385" s="2" t="str">
        <f>IFERROR(__xludf.DUMMYFUNCTION("GOOGLETRANSLATE(A31385, ""de"", ""en"")"),"unintentionally")</f>
        <v>unintentionally</v>
      </c>
    </row>
    <row r="31386">
      <c r="A31386" s="1" t="s">
        <v>31385</v>
      </c>
      <c r="B31386" s="2" t="str">
        <f>IFERROR(__xludf.DUMMYFUNCTION("GOOGLETRANSLATE(A31386, ""de"", ""en"")"),"rumored")</f>
        <v>rumored</v>
      </c>
    </row>
    <row r="31387">
      <c r="A31387" s="1" t="s">
        <v>31386</v>
      </c>
      <c r="B31387" s="2" t="str">
        <f>IFERROR(__xludf.DUMMYFUNCTION("GOOGLETRANSLATE(A31387, ""de"", ""en"")"),"institute")</f>
        <v>institute</v>
      </c>
    </row>
    <row r="31388">
      <c r="A31388" s="1" t="s">
        <v>31387</v>
      </c>
      <c r="B31388" s="2" t="str">
        <f>IFERROR(__xludf.DUMMYFUNCTION("GOOGLETRANSLATE(A31388, ""de"", ""en"")"),"charger")</f>
        <v>charger</v>
      </c>
    </row>
    <row r="31389">
      <c r="A31389" s="1" t="s">
        <v>31388</v>
      </c>
      <c r="B31389" s="2" t="str">
        <f>IFERROR(__xludf.DUMMYFUNCTION("GOOGLETRANSLATE(A31389, ""de"", ""en"")"),"expand")</f>
        <v>expand</v>
      </c>
    </row>
    <row r="31390">
      <c r="A31390" s="1" t="s">
        <v>31389</v>
      </c>
      <c r="B31390" s="2" t="str">
        <f>IFERROR(__xludf.DUMMYFUNCTION("GOOGLETRANSLATE(A31390, ""de"", ""en"")"),"embark")</f>
        <v>embark</v>
      </c>
    </row>
    <row r="31391">
      <c r="A31391" s="1" t="s">
        <v>31390</v>
      </c>
      <c r="B31391" s="2" t="str">
        <f>IFERROR(__xludf.DUMMYFUNCTION("GOOGLETRANSLATE(A31391, ""de"", ""en"")"),"Chalmers")</f>
        <v>Chalmers</v>
      </c>
    </row>
    <row r="31392">
      <c r="A31392" s="1" t="s">
        <v>31391</v>
      </c>
      <c r="B31392" s="2" t="str">
        <f>IFERROR(__xludf.DUMMYFUNCTION("GOOGLETRANSLATE(A31392, ""de"", ""en"")"),"to run away")</f>
        <v>to run away</v>
      </c>
    </row>
    <row r="31393">
      <c r="A31393" s="1" t="s">
        <v>31392</v>
      </c>
      <c r="B31393" s="2" t="str">
        <f>IFERROR(__xludf.DUMMYFUNCTION("GOOGLETRANSLATE(A31393, ""de"", ""en"")"),"bleach")</f>
        <v>bleach</v>
      </c>
    </row>
    <row r="31394">
      <c r="A31394" s="1" t="s">
        <v>31393</v>
      </c>
      <c r="B31394" s="2" t="str">
        <f>IFERROR(__xludf.DUMMYFUNCTION("GOOGLETRANSLATE(A31394, ""de"", ""en"")"),"Moser")</f>
        <v>Moser</v>
      </c>
    </row>
    <row r="31395">
      <c r="A31395" s="1" t="s">
        <v>31394</v>
      </c>
      <c r="B31395" s="2" t="str">
        <f>IFERROR(__xludf.DUMMYFUNCTION("GOOGLETRANSLATE(A31395, ""de"", ""en"")"),"mink")</f>
        <v>mink</v>
      </c>
    </row>
    <row r="31396">
      <c r="A31396" s="1" t="s">
        <v>31395</v>
      </c>
      <c r="B31396" s="2" t="str">
        <f>IFERROR(__xludf.DUMMYFUNCTION("GOOGLETRANSLATE(A31396, ""de"", ""en"")"),"more domestic")</f>
        <v>more domestic</v>
      </c>
    </row>
    <row r="31397">
      <c r="A31397" s="1" t="s">
        <v>31396</v>
      </c>
      <c r="B31397" s="2" t="str">
        <f>IFERROR(__xludf.DUMMYFUNCTION("GOOGLETRANSLATE(A31397, ""de"", ""en"")"),"kebab")</f>
        <v>kebab</v>
      </c>
    </row>
    <row r="31398">
      <c r="A31398" s="1" t="s">
        <v>31397</v>
      </c>
      <c r="B31398" s="2" t="str">
        <f>IFERROR(__xludf.DUMMYFUNCTION("GOOGLETRANSLATE(A31398, ""de"", ""en"")"),"specially")</f>
        <v>specially</v>
      </c>
    </row>
    <row r="31399">
      <c r="A31399" s="1" t="s">
        <v>31398</v>
      </c>
      <c r="B31399" s="2" t="str">
        <f>IFERROR(__xludf.DUMMYFUNCTION("GOOGLETRANSLATE(A31399, ""de"", ""en"")"),"beg")</f>
        <v>beg</v>
      </c>
    </row>
    <row r="31400">
      <c r="A31400" s="1" t="s">
        <v>31399</v>
      </c>
      <c r="B31400" s="2" t="str">
        <f>IFERROR(__xludf.DUMMYFUNCTION("GOOGLETRANSLATE(A31400, ""de"", ""en"")"),"stirred")</f>
        <v>stirred</v>
      </c>
    </row>
    <row r="31401">
      <c r="A31401" s="1" t="s">
        <v>31400</v>
      </c>
      <c r="B31401" s="2" t="str">
        <f>IFERROR(__xludf.DUMMYFUNCTION("GOOGLETRANSLATE(A31401, ""de"", ""en"")"),"services")</f>
        <v>services</v>
      </c>
    </row>
    <row r="31402">
      <c r="A31402" s="1" t="s">
        <v>31401</v>
      </c>
      <c r="B31402" s="2" t="str">
        <f>IFERROR(__xludf.DUMMYFUNCTION("GOOGLETRANSLATE(A31402, ""de"", ""en"")"),"disgusts")</f>
        <v>disgusts</v>
      </c>
    </row>
    <row r="31403">
      <c r="A31403" s="1" t="s">
        <v>31402</v>
      </c>
      <c r="B31403" s="2" t="str">
        <f>IFERROR(__xludf.DUMMYFUNCTION("GOOGLETRANSLATE(A31403, ""de"", ""en"")"),"shitty ones")</f>
        <v>shitty ones</v>
      </c>
    </row>
    <row r="31404">
      <c r="A31404" s="1" t="s">
        <v>31403</v>
      </c>
      <c r="B31404" s="2" t="str">
        <f>IFERROR(__xludf.DUMMYFUNCTION("GOOGLETRANSLATE(A31404, ""de"", ""en"")"),"operating system")</f>
        <v>operating system</v>
      </c>
    </row>
    <row r="31405">
      <c r="A31405" s="1" t="s">
        <v>31404</v>
      </c>
      <c r="B31405" s="2" t="str">
        <f>IFERROR(__xludf.DUMMYFUNCTION("GOOGLETRANSLATE(A31405, ""de"", ""en"")"),"syllables")</f>
        <v>syllables</v>
      </c>
    </row>
    <row r="31406">
      <c r="A31406" s="1" t="s">
        <v>31405</v>
      </c>
      <c r="B31406" s="2" t="str">
        <f>IFERROR(__xludf.DUMMYFUNCTION("GOOGLETRANSLATE(A31406, ""de"", ""en"")"),"Indian")</f>
        <v>Indian</v>
      </c>
    </row>
    <row r="31407">
      <c r="A31407" s="1" t="s">
        <v>31406</v>
      </c>
      <c r="B31407" s="2" t="str">
        <f>IFERROR(__xludf.DUMMYFUNCTION("GOOGLETRANSLATE(A31407, ""de"", ""en"")"),"coral")</f>
        <v>coral</v>
      </c>
    </row>
    <row r="31408">
      <c r="A31408" s="1" t="s">
        <v>31407</v>
      </c>
      <c r="B31408" s="2" t="str">
        <f>IFERROR(__xludf.DUMMYFUNCTION("GOOGLETRANSLATE(A31408, ""de"", ""en"")"),"patched together")</f>
        <v>patched together</v>
      </c>
    </row>
    <row r="31409">
      <c r="A31409" s="1" t="s">
        <v>31408</v>
      </c>
      <c r="B31409" s="2" t="str">
        <f>IFERROR(__xludf.DUMMYFUNCTION("GOOGLETRANSLATE(A31409, ""de"", ""en"")"),"oops")</f>
        <v>oops</v>
      </c>
    </row>
    <row r="31410">
      <c r="A31410" s="1" t="s">
        <v>31409</v>
      </c>
      <c r="B31410" s="2" t="str">
        <f>IFERROR(__xludf.DUMMYFUNCTION("GOOGLETRANSLATE(A31410, ""de"", ""en"")"),"firstborn")</f>
        <v>firstborn</v>
      </c>
    </row>
    <row r="31411">
      <c r="A31411" s="1" t="s">
        <v>31410</v>
      </c>
      <c r="B31411" s="2" t="str">
        <f>IFERROR(__xludf.DUMMYFUNCTION("GOOGLETRANSLATE(A31411, ""de"", ""en"")"),"beeper")</f>
        <v>beeper</v>
      </c>
    </row>
    <row r="31412">
      <c r="A31412" s="1" t="s">
        <v>31411</v>
      </c>
      <c r="B31412" s="2" t="str">
        <f>IFERROR(__xludf.DUMMYFUNCTION("GOOGLETRANSLATE(A31412, ""de"", ""en"")"),"folly")</f>
        <v>folly</v>
      </c>
    </row>
    <row r="31413">
      <c r="A31413" s="1" t="s">
        <v>31412</v>
      </c>
      <c r="B31413" s="2" t="str">
        <f>IFERROR(__xludf.DUMMYFUNCTION("GOOGLETRANSLATE(A31413, ""de"", ""en"")"),"roll up")</f>
        <v>roll up</v>
      </c>
    </row>
    <row r="31414">
      <c r="A31414" s="1" t="s">
        <v>31413</v>
      </c>
      <c r="B31414" s="2" t="str">
        <f>IFERROR(__xludf.DUMMYFUNCTION("GOOGLETRANSLATE(A31414, ""de"", ""en"")"),"hershel")</f>
        <v>hershel</v>
      </c>
    </row>
    <row r="31415">
      <c r="A31415" s="1" t="s">
        <v>31414</v>
      </c>
      <c r="B31415" s="2" t="str">
        <f>IFERROR(__xludf.DUMMYFUNCTION("GOOGLETRANSLATE(A31415, ""de"", ""en"")"),"eyesore")</f>
        <v>eyesore</v>
      </c>
    </row>
    <row r="31416">
      <c r="A31416" s="1" t="s">
        <v>31415</v>
      </c>
      <c r="B31416" s="2" t="str">
        <f>IFERROR(__xludf.DUMMYFUNCTION("GOOGLETRANSLATE(A31416, ""de"", ""en"")"),"project")</f>
        <v>project</v>
      </c>
    </row>
    <row r="31417">
      <c r="A31417" s="1" t="s">
        <v>31416</v>
      </c>
      <c r="B31417" s="2" t="str">
        <f>IFERROR(__xludf.DUMMYFUNCTION("GOOGLETRANSLATE(A31417, ""de"", ""en"")"),"refuted")</f>
        <v>refuted</v>
      </c>
    </row>
    <row r="31418">
      <c r="A31418" s="1" t="s">
        <v>31417</v>
      </c>
      <c r="B31418" s="2" t="str">
        <f>IFERROR(__xludf.DUMMYFUNCTION("GOOGLETRANSLATE(A31418, ""de"", ""en"")"),"kimono")</f>
        <v>kimono</v>
      </c>
    </row>
    <row r="31419">
      <c r="A31419" s="1" t="s">
        <v>31418</v>
      </c>
      <c r="B31419" s="2" t="str">
        <f>IFERROR(__xludf.DUMMYFUNCTION("GOOGLETRANSLATE(A31419, ""de"", ""en"")"),"prevent")</f>
        <v>prevent</v>
      </c>
    </row>
    <row r="31420">
      <c r="A31420" s="1" t="s">
        <v>31419</v>
      </c>
      <c r="B31420" s="2" t="str">
        <f>IFERROR(__xludf.DUMMYFUNCTION("GOOGLETRANSLATE(A31420, ""de"", ""en"")"),"bumps")</f>
        <v>bumps</v>
      </c>
    </row>
    <row r="31421">
      <c r="A31421" s="1" t="s">
        <v>31420</v>
      </c>
      <c r="B31421" s="2" t="str">
        <f>IFERROR(__xludf.DUMMYFUNCTION("GOOGLETRANSLATE(A31421, ""de"", ""en"")"),"hellraiser")</f>
        <v>hellraiser</v>
      </c>
    </row>
    <row r="31422">
      <c r="A31422" s="1" t="s">
        <v>31421</v>
      </c>
      <c r="B31422" s="2" t="str">
        <f>IFERROR(__xludf.DUMMYFUNCTION("GOOGLETRANSLATE(A31422, ""de"", ""en"")"),"blatant")</f>
        <v>blatant</v>
      </c>
    </row>
    <row r="31423">
      <c r="A31423" s="1" t="s">
        <v>31422</v>
      </c>
      <c r="B31423" s="2" t="str">
        <f>IFERROR(__xludf.DUMMYFUNCTION("GOOGLETRANSLATE(A31423, ""de"", ""en"")"),"disposition")</f>
        <v>disposition</v>
      </c>
    </row>
    <row r="31424">
      <c r="A31424" s="1" t="s">
        <v>31423</v>
      </c>
      <c r="B31424" s="2" t="str">
        <f>IFERROR(__xludf.DUMMYFUNCTION("GOOGLETRANSLATE(A31424, ""de"", ""en"")"),"figueroa")</f>
        <v>figueroa</v>
      </c>
    </row>
    <row r="31425">
      <c r="A31425" s="1" t="s">
        <v>31424</v>
      </c>
      <c r="B31425" s="2" t="str">
        <f>IFERROR(__xludf.DUMMYFUNCTION("GOOGLETRANSLATE(A31425, ""de"", ""en"")"),"urinate")</f>
        <v>urinate</v>
      </c>
    </row>
    <row r="31426">
      <c r="A31426" s="1" t="s">
        <v>31425</v>
      </c>
      <c r="B31426" s="2" t="str">
        <f>IFERROR(__xludf.DUMMYFUNCTION("GOOGLETRANSLATE(A31426, ""de"", ""en"")"),"schmitz")</f>
        <v>schmitz</v>
      </c>
    </row>
    <row r="31427">
      <c r="A31427" s="1" t="s">
        <v>31426</v>
      </c>
      <c r="B31427" s="2" t="str">
        <f>IFERROR(__xludf.DUMMYFUNCTION("GOOGLETRANSLATE(A31427, ""de"", ""en"")"),"royalty")</f>
        <v>royalty</v>
      </c>
    </row>
    <row r="31428">
      <c r="A31428" s="1" t="s">
        <v>31427</v>
      </c>
      <c r="B31428" s="2" t="str">
        <f>IFERROR(__xludf.DUMMYFUNCTION("GOOGLETRANSLATE(A31428, ""de"", ""en"")"),"droid")</f>
        <v>droid</v>
      </c>
    </row>
    <row r="31429">
      <c r="A31429" s="1" t="s">
        <v>31428</v>
      </c>
      <c r="B31429" s="2" t="str">
        <f>IFERROR(__xludf.DUMMYFUNCTION("GOOGLETRANSLATE(A31429, ""de"", ""en"")"),"jughead")</f>
        <v>jughead</v>
      </c>
    </row>
    <row r="31430">
      <c r="A31430" s="1" t="s">
        <v>31429</v>
      </c>
      <c r="B31430" s="2" t="str">
        <f>IFERROR(__xludf.DUMMYFUNCTION("GOOGLETRANSLATE(A31430, ""de"", ""en"")"),"strangle")</f>
        <v>strangle</v>
      </c>
    </row>
    <row r="31431">
      <c r="A31431" s="1" t="s">
        <v>31430</v>
      </c>
      <c r="B31431" s="2" t="str">
        <f>IFERROR(__xludf.DUMMYFUNCTION("GOOGLETRANSLATE(A31431, ""de"", ""en"")"),"mustangs")</f>
        <v>mustangs</v>
      </c>
    </row>
    <row r="31432">
      <c r="A31432" s="1" t="s">
        <v>31431</v>
      </c>
      <c r="B31432" s="2" t="str">
        <f>IFERROR(__xludf.DUMMYFUNCTION("GOOGLETRANSLATE(A31432, ""de"", ""en"")"),"contain")</f>
        <v>contain</v>
      </c>
    </row>
    <row r="31433">
      <c r="A31433" s="1" t="s">
        <v>31432</v>
      </c>
      <c r="B31433" s="2" t="str">
        <f>IFERROR(__xludf.DUMMYFUNCTION("GOOGLETRANSLATE(A31433, ""de"", ""en"")"),"operations center")</f>
        <v>operations center</v>
      </c>
    </row>
    <row r="31434">
      <c r="A31434" s="1" t="s">
        <v>31433</v>
      </c>
      <c r="B31434" s="2" t="str">
        <f>IFERROR(__xludf.DUMMYFUNCTION("GOOGLETRANSLATE(A31434, ""de"", ""en"")"),"tendencies")</f>
        <v>tendencies</v>
      </c>
    </row>
    <row r="31435">
      <c r="A31435" s="1" t="s">
        <v>31434</v>
      </c>
      <c r="B31435" s="2" t="str">
        <f>IFERROR(__xludf.DUMMYFUNCTION("GOOGLETRANSLATE(A31435, ""de"", ""en"")"),"pebble")</f>
        <v>pebble</v>
      </c>
    </row>
    <row r="31436">
      <c r="A31436" s="1" t="s">
        <v>31435</v>
      </c>
      <c r="B31436" s="2" t="str">
        <f>IFERROR(__xludf.DUMMYFUNCTION("GOOGLETRANSLATE(A31436, ""de"", ""en"")"),"Beyoncé")</f>
        <v>Beyoncé</v>
      </c>
    </row>
    <row r="31437">
      <c r="A31437" s="1" t="s">
        <v>31436</v>
      </c>
      <c r="B31437" s="2" t="str">
        <f>IFERROR(__xludf.DUMMYFUNCTION("GOOGLETRANSLATE(A31437, ""de"", ""en"")"),"poems")</f>
        <v>poems</v>
      </c>
    </row>
    <row r="31438">
      <c r="A31438" s="1" t="s">
        <v>31437</v>
      </c>
      <c r="B31438" s="2" t="str">
        <f>IFERROR(__xludf.DUMMYFUNCTION("GOOGLETRANSLATE(A31438, ""de"", ""en"")"),"again")</f>
        <v>again</v>
      </c>
    </row>
    <row r="31439">
      <c r="A31439" s="1" t="s">
        <v>31438</v>
      </c>
      <c r="B31439" s="2" t="str">
        <f>IFERROR(__xludf.DUMMYFUNCTION("GOOGLETRANSLATE(A31439, ""de"", ""en"")"),"awards")</f>
        <v>awards</v>
      </c>
    </row>
    <row r="31440">
      <c r="A31440" s="1" t="s">
        <v>31439</v>
      </c>
      <c r="B31440" s="2" t="str">
        <f>IFERROR(__xludf.DUMMYFUNCTION("GOOGLETRANSLATE(A31440, ""de"", ""en"")"),"sigmund")</f>
        <v>sigmund</v>
      </c>
    </row>
    <row r="31441">
      <c r="A31441" s="1" t="s">
        <v>31440</v>
      </c>
      <c r="B31441" s="2" t="str">
        <f>IFERROR(__xludf.DUMMYFUNCTION("GOOGLETRANSLATE(A31441, ""de"", ""en"")"),"patched")</f>
        <v>patched</v>
      </c>
    </row>
    <row r="31442">
      <c r="A31442" s="1" t="s">
        <v>31441</v>
      </c>
      <c r="B31442" s="2" t="str">
        <f>IFERROR(__xludf.DUMMYFUNCTION("GOOGLETRANSLATE(A31442, ""de"", ""en"")"),"use")</f>
        <v>use</v>
      </c>
    </row>
    <row r="31443">
      <c r="A31443" s="1" t="s">
        <v>31442</v>
      </c>
      <c r="B31443" s="2" t="str">
        <f>IFERROR(__xludf.DUMMYFUNCTION("GOOGLETRANSLATE(A31443, ""de"", ""en"")"),"high blood pressure")</f>
        <v>high blood pressure</v>
      </c>
    </row>
    <row r="31444">
      <c r="A31444" s="1" t="s">
        <v>31443</v>
      </c>
      <c r="B31444" s="2" t="str">
        <f>IFERROR(__xludf.DUMMYFUNCTION("GOOGLETRANSLATE(A31444, ""de"", ""en"")"),"Connelly")</f>
        <v>Connelly</v>
      </c>
    </row>
    <row r="31445">
      <c r="A31445" s="1" t="s">
        <v>31444</v>
      </c>
      <c r="B31445" s="2" t="str">
        <f>IFERROR(__xludf.DUMMYFUNCTION("GOOGLETRANSLATE(A31445, ""de"", ""en"")"),"Ministry of War")</f>
        <v>Ministry of War</v>
      </c>
    </row>
    <row r="31446">
      <c r="A31446" s="1" t="s">
        <v>31445</v>
      </c>
      <c r="B31446" s="2" t="str">
        <f>IFERROR(__xludf.DUMMYFUNCTION("GOOGLETRANSLATE(A31446, ""de"", ""en"")"),"get rid of")</f>
        <v>get rid of</v>
      </c>
    </row>
    <row r="31447">
      <c r="A31447" s="1" t="s">
        <v>31446</v>
      </c>
      <c r="B31447" s="2" t="str">
        <f>IFERROR(__xludf.DUMMYFUNCTION("GOOGLETRANSLATE(A31447, ""de"", ""en"")"),"mutilate")</f>
        <v>mutilate</v>
      </c>
    </row>
    <row r="31448">
      <c r="A31448" s="1" t="s">
        <v>31447</v>
      </c>
      <c r="B31448" s="2" t="str">
        <f>IFERROR(__xludf.DUMMYFUNCTION("GOOGLETRANSLATE(A31448, ""de"", ""en"")"),"pies")</f>
        <v>pies</v>
      </c>
    </row>
    <row r="31449">
      <c r="A31449" s="1" t="s">
        <v>31448</v>
      </c>
      <c r="B31449" s="2" t="str">
        <f>IFERROR(__xludf.DUMMYFUNCTION("GOOGLETRANSLATE(A31449, ""de"", ""en"")"),"sandoval")</f>
        <v>sandoval</v>
      </c>
    </row>
    <row r="31450">
      <c r="A31450" s="1" t="s">
        <v>31449</v>
      </c>
      <c r="B31450" s="2" t="str">
        <f>IFERROR(__xludf.DUMMYFUNCTION("GOOGLETRANSLATE(A31450, ""de"", ""en"")"),"headline")</f>
        <v>headline</v>
      </c>
    </row>
    <row r="31451">
      <c r="A31451" s="1" t="s">
        <v>31450</v>
      </c>
      <c r="B31451" s="2" t="str">
        <f>IFERROR(__xludf.DUMMYFUNCTION("GOOGLETRANSLATE(A31451, ""de"", ""en"")"),"pioneer")</f>
        <v>pioneer</v>
      </c>
    </row>
    <row r="31452">
      <c r="A31452" s="1" t="s">
        <v>31451</v>
      </c>
      <c r="B31452" s="2" t="str">
        <f>IFERROR(__xludf.DUMMYFUNCTION("GOOGLETRANSLATE(A31452, ""de"", ""en"")"),"folsom")</f>
        <v>folsom</v>
      </c>
    </row>
    <row r="31453">
      <c r="A31453" s="1" t="s">
        <v>31452</v>
      </c>
      <c r="B31453" s="2" t="str">
        <f>IFERROR(__xludf.DUMMYFUNCTION("GOOGLETRANSLATE(A31453, ""de"", ""en"")"),"trench")</f>
        <v>trench</v>
      </c>
    </row>
    <row r="31454">
      <c r="A31454" s="1" t="s">
        <v>31453</v>
      </c>
      <c r="B31454" s="2" t="str">
        <f>IFERROR(__xludf.DUMMYFUNCTION("GOOGLETRANSLATE(A31454, ""de"", ""en"")"),"dulles")</f>
        <v>dulles</v>
      </c>
    </row>
    <row r="31455">
      <c r="A31455" s="1" t="s">
        <v>31454</v>
      </c>
      <c r="B31455" s="2" t="str">
        <f>IFERROR(__xludf.DUMMYFUNCTION("GOOGLETRANSLATE(A31455, ""de"", ""en"")"),"note")</f>
        <v>note</v>
      </c>
    </row>
    <row r="31456">
      <c r="A31456" s="1" t="s">
        <v>31455</v>
      </c>
      <c r="B31456" s="2" t="str">
        <f>IFERROR(__xludf.DUMMYFUNCTION("GOOGLETRANSLATE(A31456, ""de"", ""en"")"),"cosmetics")</f>
        <v>cosmetics</v>
      </c>
    </row>
    <row r="31457">
      <c r="A31457" s="1" t="s">
        <v>31456</v>
      </c>
      <c r="B31457" s="2" t="str">
        <f>IFERROR(__xludf.DUMMYFUNCTION("GOOGLETRANSLATE(A31457, ""de"", ""en"")"),"essays")</f>
        <v>essays</v>
      </c>
    </row>
    <row r="31458">
      <c r="A31458" s="1" t="s">
        <v>31457</v>
      </c>
      <c r="B31458" s="2" t="str">
        <f>IFERROR(__xludf.DUMMYFUNCTION("GOOGLETRANSLATE(A31458, ""de"", ""en"")"),"thoughtlessly")</f>
        <v>thoughtlessly</v>
      </c>
    </row>
    <row r="31459">
      <c r="A31459" s="1" t="s">
        <v>31458</v>
      </c>
      <c r="B31459" s="2" t="str">
        <f>IFERROR(__xludf.DUMMYFUNCTION("GOOGLETRANSLATE(A31459, ""de"", ""en"")"),"to get out")</f>
        <v>to get out</v>
      </c>
    </row>
    <row r="31460">
      <c r="A31460" s="1" t="s">
        <v>31459</v>
      </c>
      <c r="B31460" s="2" t="str">
        <f>IFERROR(__xludf.DUMMYFUNCTION("GOOGLETRANSLATE(A31460, ""de"", ""en"")"),"liberal")</f>
        <v>liberal</v>
      </c>
    </row>
    <row r="31461">
      <c r="A31461" s="1" t="s">
        <v>31460</v>
      </c>
      <c r="B31461" s="2" t="str">
        <f>IFERROR(__xludf.DUMMYFUNCTION("GOOGLETRANSLATE(A31461, ""de"", ""en"")"),"caresses")</f>
        <v>caresses</v>
      </c>
    </row>
    <row r="31462">
      <c r="A31462" s="1" t="s">
        <v>31461</v>
      </c>
      <c r="B31462" s="2" t="str">
        <f>IFERROR(__xludf.DUMMYFUNCTION("GOOGLETRANSLATE(A31462, ""de"", ""en"")"),"cheeky")</f>
        <v>cheeky</v>
      </c>
    </row>
    <row r="31463">
      <c r="A31463" s="1" t="s">
        <v>31462</v>
      </c>
      <c r="B31463" s="2" t="str">
        <f>IFERROR(__xludf.DUMMYFUNCTION("GOOGLETRANSLATE(A31463, ""de"", ""en"")"),"corrigan")</f>
        <v>corrigan</v>
      </c>
    </row>
    <row r="31464">
      <c r="A31464" s="1" t="s">
        <v>31463</v>
      </c>
      <c r="B31464" s="2" t="str">
        <f>IFERROR(__xludf.DUMMYFUNCTION("GOOGLETRANSLATE(A31464, ""de"", ""en"")"),"to fight")</f>
        <v>to fight</v>
      </c>
    </row>
    <row r="31465">
      <c r="A31465" s="1" t="s">
        <v>31464</v>
      </c>
      <c r="B31465" s="2" t="str">
        <f>IFERROR(__xludf.DUMMYFUNCTION("GOOGLETRANSLATE(A31465, ""de"", ""en"")"),"flight altitude")</f>
        <v>flight altitude</v>
      </c>
    </row>
    <row r="31466">
      <c r="A31466" s="1" t="s">
        <v>31465</v>
      </c>
      <c r="B31466" s="2" t="str">
        <f>IFERROR(__xludf.DUMMYFUNCTION("GOOGLETRANSLATE(A31466, ""de"", ""en"")"),"great uncle")</f>
        <v>great uncle</v>
      </c>
    </row>
    <row r="31467">
      <c r="A31467" s="1" t="s">
        <v>31466</v>
      </c>
      <c r="B31467" s="2" t="str">
        <f>IFERROR(__xludf.DUMMYFUNCTION("GOOGLETRANSLATE(A31467, ""de"", ""en"")"),"reservoir")</f>
        <v>reservoir</v>
      </c>
    </row>
    <row r="31468">
      <c r="A31468" s="1" t="s">
        <v>31467</v>
      </c>
      <c r="B31468" s="2" t="str">
        <f>IFERROR(__xludf.DUMMYFUNCTION("GOOGLETRANSLATE(A31468, ""de"", ""en"")"),"origin")</f>
        <v>origin</v>
      </c>
    </row>
    <row r="31469">
      <c r="A31469" s="1" t="s">
        <v>31468</v>
      </c>
      <c r="B31469" s="2" t="str">
        <f>IFERROR(__xludf.DUMMYFUNCTION("GOOGLETRANSLATE(A31469, ""de"", ""en"")"),"banged")</f>
        <v>banged</v>
      </c>
    </row>
    <row r="31470">
      <c r="A31470" s="1" t="s">
        <v>31469</v>
      </c>
      <c r="B31470" s="2" t="str">
        <f>IFERROR(__xludf.DUMMYFUNCTION("GOOGLETRANSLATE(A31470, ""de"", ""en"")"),"double room")</f>
        <v>double room</v>
      </c>
    </row>
    <row r="31471">
      <c r="A31471" s="1" t="s">
        <v>31470</v>
      </c>
      <c r="B31471" s="2" t="str">
        <f>IFERROR(__xludf.DUMMYFUNCTION("GOOGLETRANSLATE(A31471, ""de"", ""en"")"),"stun gun")</f>
        <v>stun gun</v>
      </c>
    </row>
    <row r="31472">
      <c r="A31472" s="1" t="s">
        <v>31471</v>
      </c>
      <c r="B31472" s="2" t="str">
        <f>IFERROR(__xludf.DUMMYFUNCTION("GOOGLETRANSLATE(A31472, ""de"", ""en"")"),"wickie")</f>
        <v>wickie</v>
      </c>
    </row>
    <row r="31473">
      <c r="A31473" s="1" t="s">
        <v>31472</v>
      </c>
      <c r="B31473" s="2" t="str">
        <f>IFERROR(__xludf.DUMMYFUNCTION("GOOGLETRANSLATE(A31473, ""de"", ""en"")"),"zathras")</f>
        <v>zathras</v>
      </c>
    </row>
    <row r="31474">
      <c r="A31474" s="1" t="s">
        <v>31473</v>
      </c>
      <c r="B31474" s="2" t="str">
        <f>IFERROR(__xludf.DUMMYFUNCTION("GOOGLETRANSLATE(A31474, ""de"", ""en"")"),"sopranos")</f>
        <v>sopranos</v>
      </c>
    </row>
    <row r="31475">
      <c r="A31475" s="1" t="s">
        <v>31474</v>
      </c>
      <c r="B31475" s="2" t="str">
        <f>IFERROR(__xludf.DUMMYFUNCTION("GOOGLETRANSLATE(A31475, ""de"", ""en"")"),"eye patch")</f>
        <v>eye patch</v>
      </c>
    </row>
    <row r="31476">
      <c r="A31476" s="1" t="s">
        <v>31475</v>
      </c>
      <c r="B31476" s="2" t="str">
        <f>IFERROR(__xludf.DUMMYFUNCTION("GOOGLETRANSLATE(A31476, ""de"", ""en"")"),"wharton")</f>
        <v>wharton</v>
      </c>
    </row>
    <row r="31477">
      <c r="A31477" s="1" t="s">
        <v>31476</v>
      </c>
      <c r="B31477" s="2" t="str">
        <f>IFERROR(__xludf.DUMMYFUNCTION("GOOGLETRANSLATE(A31477, ""de"", ""en"")"),"announcement")</f>
        <v>announcement</v>
      </c>
    </row>
    <row r="31478">
      <c r="A31478" s="1" t="s">
        <v>31477</v>
      </c>
      <c r="B31478" s="2" t="str">
        <f>IFERROR(__xludf.DUMMYFUNCTION("GOOGLETRANSLATE(A31478, ""de"", ""en"")"),"turkey")</f>
        <v>turkey</v>
      </c>
    </row>
    <row r="31479">
      <c r="A31479" s="1" t="s">
        <v>31478</v>
      </c>
      <c r="B31479" s="2" t="str">
        <f>IFERROR(__xludf.DUMMYFUNCTION("GOOGLETRANSLATE(A31479, ""de"", ""en"")"),"trotter")</f>
        <v>trotter</v>
      </c>
    </row>
    <row r="31480">
      <c r="A31480" s="1" t="s">
        <v>31479</v>
      </c>
      <c r="B31480" s="2" t="str">
        <f>IFERROR(__xludf.DUMMYFUNCTION("GOOGLETRANSLATE(A31480, ""de"", ""en"")"),"blackmailed")</f>
        <v>blackmailed</v>
      </c>
    </row>
    <row r="31481">
      <c r="A31481" s="1" t="s">
        <v>31480</v>
      </c>
      <c r="B31481" s="2" t="str">
        <f>IFERROR(__xludf.DUMMYFUNCTION("GOOGLETRANSLATE(A31481, ""de"", ""en"")"),"homemade")</f>
        <v>homemade</v>
      </c>
    </row>
    <row r="31482">
      <c r="A31482" s="1" t="s">
        <v>31481</v>
      </c>
      <c r="B31482" s="2" t="str">
        <f>IFERROR(__xludf.DUMMYFUNCTION("GOOGLETRANSLATE(A31482, ""de"", ""en"")"),"Frisco")</f>
        <v>Frisco</v>
      </c>
    </row>
    <row r="31483">
      <c r="A31483" s="1" t="s">
        <v>31482</v>
      </c>
      <c r="B31483" s="2" t="str">
        <f>IFERROR(__xludf.DUMMYFUNCTION("GOOGLETRANSLATE(A31483, ""de"", ""en"")"),"Crocker")</f>
        <v>Crocker</v>
      </c>
    </row>
    <row r="31484">
      <c r="A31484" s="1" t="s">
        <v>31483</v>
      </c>
      <c r="B31484" s="2" t="str">
        <f>IFERROR(__xludf.DUMMYFUNCTION("GOOGLETRANSLATE(A31484, ""de"", ""en"")"),"eastern")</f>
        <v>eastern</v>
      </c>
    </row>
    <row r="31485">
      <c r="A31485" s="1" t="s">
        <v>31484</v>
      </c>
      <c r="B31485" s="2" t="str">
        <f>IFERROR(__xludf.DUMMYFUNCTION("GOOGLETRANSLATE(A31485, ""de"", ""en"")"),"robberies")</f>
        <v>robberies</v>
      </c>
    </row>
    <row r="31486">
      <c r="A31486" s="1" t="s">
        <v>31485</v>
      </c>
      <c r="B31486" s="2" t="str">
        <f>IFERROR(__xludf.DUMMYFUNCTION("GOOGLETRANSLATE(A31486, ""de"", ""en"")"),"you run away")</f>
        <v>you run away</v>
      </c>
    </row>
    <row r="31487">
      <c r="A31487" s="1" t="s">
        <v>31486</v>
      </c>
      <c r="B31487" s="2" t="str">
        <f>IFERROR(__xludf.DUMMYFUNCTION("GOOGLETRANSLATE(A31487, ""de"", ""en"")"),"perfection")</f>
        <v>perfection</v>
      </c>
    </row>
    <row r="31488">
      <c r="A31488" s="1" t="s">
        <v>31487</v>
      </c>
      <c r="B31488" s="2" t="str">
        <f>IFERROR(__xludf.DUMMYFUNCTION("GOOGLETRANSLATE(A31488, ""de"", ""en"")"),"he buys")</f>
        <v>he buys</v>
      </c>
    </row>
    <row r="31489">
      <c r="A31489" s="1" t="s">
        <v>31488</v>
      </c>
      <c r="B31489" s="2" t="str">
        <f>IFERROR(__xludf.DUMMYFUNCTION("GOOGLETRANSLATE(A31489, ""de"", ""en"")"),"conventions")</f>
        <v>conventions</v>
      </c>
    </row>
    <row r="31490">
      <c r="A31490" s="1" t="s">
        <v>31489</v>
      </c>
      <c r="B31490" s="2" t="str">
        <f>IFERROR(__xludf.DUMMYFUNCTION("GOOGLETRANSLATE(A31490, ""de"", ""en"")"),"serial numbers")</f>
        <v>serial numbers</v>
      </c>
    </row>
    <row r="31491">
      <c r="A31491" s="1" t="s">
        <v>31490</v>
      </c>
      <c r="B31491" s="2" t="str">
        <f>IFERROR(__xludf.DUMMYFUNCTION("GOOGLETRANSLATE(A31491, ""de"", ""en"")"),"whine")</f>
        <v>whine</v>
      </c>
    </row>
    <row r="31492">
      <c r="A31492" s="1" t="s">
        <v>31491</v>
      </c>
      <c r="B31492" s="2" t="str">
        <f>IFERROR(__xludf.DUMMYFUNCTION("GOOGLETRANSLATE(A31492, ""de"", ""en"")"),"Veronique")</f>
        <v>Veronique</v>
      </c>
    </row>
    <row r="31493">
      <c r="A31493" s="1" t="s">
        <v>31492</v>
      </c>
      <c r="B31493" s="2" t="str">
        <f>IFERROR(__xludf.DUMMYFUNCTION("GOOGLETRANSLATE(A31493, ""de"", ""en"")"),"settled")</f>
        <v>settled</v>
      </c>
    </row>
    <row r="31494">
      <c r="A31494" s="1" t="s">
        <v>31493</v>
      </c>
      <c r="B31494" s="2" t="str">
        <f>IFERROR(__xludf.DUMMYFUNCTION("GOOGLETRANSLATE(A31494, ""de"", ""en"")"),"sunrise")</f>
        <v>sunrise</v>
      </c>
    </row>
    <row r="31495">
      <c r="A31495" s="1" t="s">
        <v>31494</v>
      </c>
      <c r="B31495" s="2" t="str">
        <f>IFERROR(__xludf.DUMMYFUNCTION("GOOGLETRANSLATE(A31495, ""de"", ""en"")"),"armada")</f>
        <v>armada</v>
      </c>
    </row>
    <row r="31496">
      <c r="A31496" s="1" t="s">
        <v>31495</v>
      </c>
      <c r="B31496" s="2" t="str">
        <f>IFERROR(__xludf.DUMMYFUNCTION("GOOGLETRANSLATE(A31496, ""de"", ""en"")"),"kazuo")</f>
        <v>kazuo</v>
      </c>
    </row>
    <row r="31497">
      <c r="A31497" s="1" t="s">
        <v>31496</v>
      </c>
      <c r="B31497" s="2" t="str">
        <f>IFERROR(__xludf.DUMMYFUNCTION("GOOGLETRANSLATE(A31497, ""de"", ""en"")"),"trail")</f>
        <v>trail</v>
      </c>
    </row>
    <row r="31498">
      <c r="A31498" s="1" t="s">
        <v>31497</v>
      </c>
      <c r="B31498" s="2" t="str">
        <f>IFERROR(__xludf.DUMMYFUNCTION("GOOGLETRANSLATE(A31498, ""de"", ""en"")"),"flashlights")</f>
        <v>flashlights</v>
      </c>
    </row>
    <row r="31499">
      <c r="A31499" s="1" t="s">
        <v>31498</v>
      </c>
      <c r="B31499" s="2" t="str">
        <f>IFERROR(__xludf.DUMMYFUNCTION("GOOGLETRANSLATE(A31499, ""de"", ""en"")"),"massacred")</f>
        <v>massacred</v>
      </c>
    </row>
    <row r="31500">
      <c r="A31500" s="1" t="s">
        <v>31499</v>
      </c>
      <c r="B31500" s="2" t="str">
        <f>IFERROR(__xludf.DUMMYFUNCTION("GOOGLETRANSLATE(A31500, ""de"", ""en"")"),"volume")</f>
        <v>volume</v>
      </c>
    </row>
    <row r="31501">
      <c r="A31501" s="1" t="s">
        <v>31500</v>
      </c>
      <c r="B31501" s="2" t="str">
        <f>IFERROR(__xludf.DUMMYFUNCTION("GOOGLETRANSLATE(A31501, ""de"", ""en"")"),"waver")</f>
        <v>waver</v>
      </c>
    </row>
    <row r="31502">
      <c r="A31502" s="1" t="s">
        <v>31501</v>
      </c>
      <c r="B31502" s="2" t="str">
        <f>IFERROR(__xludf.DUMMYFUNCTION("GOOGLETRANSLATE(A31502, ""de"", ""en"")"),"pookie")</f>
        <v>pookie</v>
      </c>
    </row>
    <row r="31503">
      <c r="A31503" s="1" t="s">
        <v>31502</v>
      </c>
      <c r="B31503" s="2" t="str">
        <f>IFERROR(__xludf.DUMMYFUNCTION("GOOGLETRANSLATE(A31503, ""de"", ""en"")"),"hung out")</f>
        <v>hung out</v>
      </c>
    </row>
    <row r="31504">
      <c r="A31504" s="1" t="s">
        <v>31503</v>
      </c>
      <c r="B31504" s="2" t="str">
        <f>IFERROR(__xludf.DUMMYFUNCTION("GOOGLETRANSLATE(A31504, ""de"", ""en"")"),"support")</f>
        <v>support</v>
      </c>
    </row>
    <row r="31505">
      <c r="A31505" s="1" t="s">
        <v>31504</v>
      </c>
      <c r="B31505" s="2" t="str">
        <f>IFERROR(__xludf.DUMMYFUNCTION("GOOGLETRANSLATE(A31505, ""de"", ""en"")"),"buongiorno")</f>
        <v>buongiorno</v>
      </c>
    </row>
    <row r="31506">
      <c r="A31506" s="1" t="s">
        <v>31505</v>
      </c>
      <c r="B31506" s="2" t="str">
        <f>IFERROR(__xludf.DUMMYFUNCTION("GOOGLETRANSLATE(A31506, ""de"", ""en"")"),"paine")</f>
        <v>paine</v>
      </c>
    </row>
    <row r="31507">
      <c r="A31507" s="1" t="s">
        <v>31506</v>
      </c>
      <c r="B31507" s="2" t="str">
        <f>IFERROR(__xludf.DUMMYFUNCTION("GOOGLETRANSLATE(A31507, ""de"", ""en"")"),"yoke")</f>
        <v>yoke</v>
      </c>
    </row>
    <row r="31508">
      <c r="A31508" s="1" t="s">
        <v>31507</v>
      </c>
      <c r="B31508" s="2" t="str">
        <f>IFERROR(__xludf.DUMMYFUNCTION("GOOGLETRANSLATE(A31508, ""de"", ""en"")"),"supported")</f>
        <v>supported</v>
      </c>
    </row>
    <row r="31509">
      <c r="A31509" s="1" t="s">
        <v>31508</v>
      </c>
      <c r="B31509" s="2" t="str">
        <f>IFERROR(__xludf.DUMMYFUNCTION("GOOGLETRANSLATE(A31509, ""de"", ""en"")"),"any")</f>
        <v>any</v>
      </c>
    </row>
    <row r="31510">
      <c r="A31510" s="1" t="s">
        <v>31509</v>
      </c>
      <c r="B31510" s="2" t="str">
        <f>IFERROR(__xludf.DUMMYFUNCTION("GOOGLETRANSLATE(A31510, ""de"", ""en"")"),"finished")</f>
        <v>finished</v>
      </c>
    </row>
    <row r="31511">
      <c r="A31511" s="1" t="s">
        <v>31510</v>
      </c>
      <c r="B31511" s="2" t="str">
        <f>IFERROR(__xludf.DUMMYFUNCTION("GOOGLETRANSLATE(A31511, ""de"", ""en"")"),"elicit")</f>
        <v>elicit</v>
      </c>
    </row>
    <row r="31512">
      <c r="A31512" s="1" t="s">
        <v>31511</v>
      </c>
      <c r="B31512" s="2" t="str">
        <f>IFERROR(__xludf.DUMMYFUNCTION("GOOGLETRANSLATE(A31512, ""de"", ""en"")"),"titans")</f>
        <v>titans</v>
      </c>
    </row>
    <row r="31513">
      <c r="A31513" s="1" t="s">
        <v>31512</v>
      </c>
      <c r="B31513" s="2" t="str">
        <f>IFERROR(__xludf.DUMMYFUNCTION("GOOGLETRANSLATE(A31513, ""de"", ""en"")"),"anemia")</f>
        <v>anemia</v>
      </c>
    </row>
    <row r="31514">
      <c r="A31514" s="1" t="s">
        <v>31513</v>
      </c>
      <c r="B31514" s="2" t="str">
        <f>IFERROR(__xludf.DUMMYFUNCTION("GOOGLETRANSLATE(A31514, ""de"", ""en"")"),"hoodlums")</f>
        <v>hoodlums</v>
      </c>
    </row>
    <row r="31515">
      <c r="A31515" s="1" t="s">
        <v>31514</v>
      </c>
      <c r="B31515" s="2" t="str">
        <f>IFERROR(__xludf.DUMMYFUNCTION("GOOGLETRANSLATE(A31515, ""de"", ""en"")"),"good looking")</f>
        <v>good looking</v>
      </c>
    </row>
    <row r="31516">
      <c r="A31516" s="1" t="s">
        <v>31515</v>
      </c>
      <c r="B31516" s="2" t="str">
        <f>IFERROR(__xludf.DUMMYFUNCTION("GOOGLETRANSLATE(A31516, ""de"", ""en"")"),"bells and whistles")</f>
        <v>bells and whistles</v>
      </c>
    </row>
    <row r="31517">
      <c r="A31517" s="1" t="s">
        <v>31516</v>
      </c>
      <c r="B31517" s="2" t="str">
        <f>IFERROR(__xludf.DUMMYFUNCTION("GOOGLETRANSLATE(A31517, ""de"", ""en"")"),"forced")</f>
        <v>forced</v>
      </c>
    </row>
    <row r="31518">
      <c r="A31518" s="1" t="s">
        <v>31517</v>
      </c>
      <c r="B31518" s="2" t="str">
        <f>IFERROR(__xludf.DUMMYFUNCTION("GOOGLETRANSLATE(A31518, ""de"", ""en"")"),"ova")</f>
        <v>ova</v>
      </c>
    </row>
    <row r="31519">
      <c r="A31519" s="1" t="s">
        <v>31518</v>
      </c>
      <c r="B31519" s="2" t="str">
        <f>IFERROR(__xludf.DUMMYFUNCTION("GOOGLETRANSLATE(A31519, ""de"", ""en"")"),"skype")</f>
        <v>skype</v>
      </c>
    </row>
    <row r="31520">
      <c r="A31520" s="1" t="s">
        <v>31519</v>
      </c>
      <c r="B31520" s="2" t="str">
        <f>IFERROR(__xludf.DUMMYFUNCTION("GOOGLETRANSLATE(A31520, ""de"", ""en"")"),"kinsey")</f>
        <v>kinsey</v>
      </c>
    </row>
    <row r="31521">
      <c r="A31521" s="1" t="s">
        <v>31520</v>
      </c>
      <c r="B31521" s="2" t="str">
        <f>IFERROR(__xludf.DUMMYFUNCTION("GOOGLETRANSLATE(A31521, ""de"", ""en"")"),"commissariat")</f>
        <v>commissariat</v>
      </c>
    </row>
    <row r="31522">
      <c r="A31522" s="1" t="s">
        <v>31521</v>
      </c>
      <c r="B31522" s="2" t="str">
        <f>IFERROR(__xludf.DUMMYFUNCTION("GOOGLETRANSLATE(A31522, ""de"", ""en"")"),"found it")</f>
        <v>found it</v>
      </c>
    </row>
    <row r="31523">
      <c r="A31523" s="1" t="s">
        <v>31522</v>
      </c>
      <c r="B31523" s="2" t="str">
        <f>IFERROR(__xludf.DUMMYFUNCTION("GOOGLETRANSLATE(A31523, ""de"", ""en"")"),"rub in")</f>
        <v>rub in</v>
      </c>
    </row>
    <row r="31524">
      <c r="A31524" s="1" t="s">
        <v>31523</v>
      </c>
      <c r="B31524" s="2" t="str">
        <f>IFERROR(__xludf.DUMMYFUNCTION("GOOGLETRANSLATE(A31524, ""de"", ""en"")"),"organic")</f>
        <v>organic</v>
      </c>
    </row>
    <row r="31525">
      <c r="A31525" s="1" t="s">
        <v>31524</v>
      </c>
      <c r="B31525" s="2" t="str">
        <f>IFERROR(__xludf.DUMMYFUNCTION("GOOGLETRANSLATE(A31525, ""de"", ""en"")"),"change of scenery")</f>
        <v>change of scenery</v>
      </c>
    </row>
    <row r="31526">
      <c r="A31526" s="1" t="s">
        <v>31525</v>
      </c>
      <c r="B31526" s="2" t="str">
        <f>IFERROR(__xludf.DUMMYFUNCTION("GOOGLETRANSLATE(A31526, ""de"", ""en"")"),"primary")</f>
        <v>primary</v>
      </c>
    </row>
    <row r="31527">
      <c r="A31527" s="1" t="s">
        <v>31526</v>
      </c>
      <c r="B31527" s="2" t="str">
        <f>IFERROR(__xludf.DUMMYFUNCTION("GOOGLETRANSLATE(A31527, ""de"", ""en"")"),"controversy")</f>
        <v>controversy</v>
      </c>
    </row>
    <row r="31528">
      <c r="A31528" s="1" t="s">
        <v>31527</v>
      </c>
      <c r="B31528" s="2" t="str">
        <f>IFERROR(__xludf.DUMMYFUNCTION("GOOGLETRANSLATE(A31528, ""de"", ""en"")"),"kneecap")</f>
        <v>kneecap</v>
      </c>
    </row>
    <row r="31529">
      <c r="A31529" s="1" t="s">
        <v>31528</v>
      </c>
      <c r="B31529" s="2" t="str">
        <f>IFERROR(__xludf.DUMMYFUNCTION("GOOGLETRANSLATE(A31529, ""de"", ""en"")"),"to set up")</f>
        <v>to set up</v>
      </c>
    </row>
    <row r="31530">
      <c r="A31530" s="1" t="s">
        <v>31529</v>
      </c>
      <c r="B31530" s="2" t="str">
        <f>IFERROR(__xludf.DUMMYFUNCTION("GOOGLETRANSLATE(A31530, ""de"", ""en"")"),"Kilian")</f>
        <v>Kilian</v>
      </c>
    </row>
    <row r="31531">
      <c r="A31531" s="1" t="s">
        <v>31530</v>
      </c>
      <c r="B31531" s="2" t="str">
        <f>IFERROR(__xludf.DUMMYFUNCTION("GOOGLETRANSLATE(A31531, ""de"", ""en"")"),"hell")</f>
        <v>hell</v>
      </c>
    </row>
    <row r="31532">
      <c r="A31532" s="1" t="s">
        <v>31531</v>
      </c>
      <c r="B31532" s="2" t="str">
        <f>IFERROR(__xludf.DUMMYFUNCTION("GOOGLETRANSLATE(A31532, ""de"", ""en"")"),"Oh right")</f>
        <v>Oh right</v>
      </c>
    </row>
    <row r="31533">
      <c r="A31533" s="1" t="s">
        <v>31532</v>
      </c>
      <c r="B31533" s="2" t="str">
        <f>IFERROR(__xludf.DUMMYFUNCTION("GOOGLETRANSLATE(A31533, ""de"", ""en"")"),"desires")</f>
        <v>desires</v>
      </c>
    </row>
    <row r="31534">
      <c r="A31534" s="1" t="s">
        <v>31533</v>
      </c>
      <c r="B31534" s="2" t="str">
        <f>IFERROR(__xludf.DUMMYFUNCTION("GOOGLETRANSLATE(A31534, ""de"", ""en"")"),"Belgian")</f>
        <v>Belgian</v>
      </c>
    </row>
    <row r="31535">
      <c r="A31535" s="1" t="s">
        <v>31534</v>
      </c>
      <c r="B31535" s="2" t="str">
        <f>IFERROR(__xludf.DUMMYFUNCTION("GOOGLETRANSLATE(A31535, ""de"", ""en"")"),"woodstock")</f>
        <v>woodstock</v>
      </c>
    </row>
    <row r="31536">
      <c r="A31536" s="1" t="s">
        <v>31535</v>
      </c>
      <c r="B31536" s="2" t="str">
        <f>IFERROR(__xludf.DUMMYFUNCTION("GOOGLETRANSLATE(A31536, ""de"", ""en"")"),"embodiment")</f>
        <v>embodiment</v>
      </c>
    </row>
    <row r="31537">
      <c r="A31537" s="1" t="s">
        <v>31536</v>
      </c>
      <c r="B31537" s="2" t="str">
        <f>IFERROR(__xludf.DUMMYFUNCTION("GOOGLETRANSLATE(A31537, ""de"", ""en"")"),"expected")</f>
        <v>expected</v>
      </c>
    </row>
    <row r="31538">
      <c r="A31538" s="1" t="s">
        <v>31537</v>
      </c>
      <c r="B31538" s="2" t="str">
        <f>IFERROR(__xludf.DUMMYFUNCTION("GOOGLETRANSLATE(A31538, ""de"", ""en"")"),"women")</f>
        <v>women</v>
      </c>
    </row>
    <row r="31539">
      <c r="A31539" s="1" t="s">
        <v>31538</v>
      </c>
      <c r="B31539" s="2" t="str">
        <f>IFERROR(__xludf.DUMMYFUNCTION("GOOGLETRANSLATE(A31539, ""de"", ""en"")"),"amputation")</f>
        <v>amputation</v>
      </c>
    </row>
    <row r="31540">
      <c r="A31540" s="1" t="s">
        <v>31539</v>
      </c>
      <c r="B31540" s="2" t="str">
        <f>IFERROR(__xludf.DUMMYFUNCTION("GOOGLETRANSLATE(A31540, ""de"", ""en"")"),"Robyn")</f>
        <v>Robyn</v>
      </c>
    </row>
    <row r="31541">
      <c r="A31541" s="1" t="s">
        <v>31540</v>
      </c>
      <c r="B31541" s="2" t="str">
        <f>IFERROR(__xludf.DUMMYFUNCTION("GOOGLETRANSLATE(A31541, ""de"", ""en"")"),"triple")</f>
        <v>triple</v>
      </c>
    </row>
    <row r="31542">
      <c r="A31542" s="1" t="s">
        <v>31541</v>
      </c>
      <c r="B31542" s="2" t="str">
        <f>IFERROR(__xludf.DUMMYFUNCTION("GOOGLETRANSLATE(A31542, ""de"", ""en"")"),"turned")</f>
        <v>turned</v>
      </c>
    </row>
    <row r="31543">
      <c r="A31543" s="1" t="s">
        <v>31542</v>
      </c>
      <c r="B31543" s="2" t="str">
        <f>IFERROR(__xludf.DUMMYFUNCTION("GOOGLETRANSLATE(A31543, ""de"", ""en"")"),"golfer")</f>
        <v>golfer</v>
      </c>
    </row>
    <row r="31544">
      <c r="A31544" s="1" t="s">
        <v>31543</v>
      </c>
      <c r="B31544" s="2" t="str">
        <f>IFERROR(__xludf.DUMMYFUNCTION("GOOGLETRANSLATE(A31544, ""de"", ""en"")"),"knowledge of human nature")</f>
        <v>knowledge of human nature</v>
      </c>
    </row>
    <row r="31545">
      <c r="A31545" s="1" t="s">
        <v>31544</v>
      </c>
      <c r="B31545" s="2" t="str">
        <f>IFERROR(__xludf.DUMMYFUNCTION("GOOGLETRANSLATE(A31545, ""de"", ""en"")"),"coughed")</f>
        <v>coughed</v>
      </c>
    </row>
    <row r="31546">
      <c r="A31546" s="1" t="s">
        <v>31545</v>
      </c>
      <c r="B31546" s="2" t="str">
        <f>IFERROR(__xludf.DUMMYFUNCTION("GOOGLETRANSLATE(A31546, ""de"", ""en"")"),"silo")</f>
        <v>silo</v>
      </c>
    </row>
    <row r="31547">
      <c r="A31547" s="1" t="s">
        <v>31546</v>
      </c>
      <c r="B31547" s="2" t="str">
        <f>IFERROR(__xludf.DUMMYFUNCTION("GOOGLETRANSLATE(A31547, ""de"", ""en"")"),"whorehead")</f>
        <v>whorehead</v>
      </c>
    </row>
    <row r="31548">
      <c r="A31548" s="1" t="s">
        <v>31547</v>
      </c>
      <c r="B31548" s="2" t="str">
        <f>IFERROR(__xludf.DUMMYFUNCTION("GOOGLETRANSLATE(A31548, ""de"", ""en"")"),"circle")</f>
        <v>circle</v>
      </c>
    </row>
    <row r="31549">
      <c r="A31549" s="1" t="s">
        <v>31548</v>
      </c>
      <c r="B31549" s="2" t="str">
        <f>IFERROR(__xludf.DUMMYFUNCTION("GOOGLETRANSLATE(A31549, ""de"", ""en"")"),"ecosystem")</f>
        <v>ecosystem</v>
      </c>
    </row>
    <row r="31550">
      <c r="A31550" s="1" t="s">
        <v>31549</v>
      </c>
      <c r="B31550" s="2" t="str">
        <f>IFERROR(__xludf.DUMMYFUNCTION("GOOGLETRANSLATE(A31550, ""de"", ""en"")"),"khans")</f>
        <v>khans</v>
      </c>
    </row>
    <row r="31551">
      <c r="A31551" s="1" t="s">
        <v>31550</v>
      </c>
      <c r="B31551" s="2" t="str">
        <f>IFERROR(__xludf.DUMMYFUNCTION("GOOGLETRANSLATE(A31551, ""de"", ""en"")"),"sacrifice")</f>
        <v>sacrifice</v>
      </c>
    </row>
    <row r="31552">
      <c r="A31552" s="1" t="s">
        <v>31551</v>
      </c>
      <c r="B31552" s="2" t="str">
        <f>IFERROR(__xludf.DUMMYFUNCTION("GOOGLETRANSLATE(A31552, ""de"", ""en"")"),"boss around")</f>
        <v>boss around</v>
      </c>
    </row>
    <row r="31553">
      <c r="A31553" s="1" t="s">
        <v>31552</v>
      </c>
      <c r="B31553" s="2" t="str">
        <f>IFERROR(__xludf.DUMMYFUNCTION("GOOGLETRANSLATE(A31553, ""de"", ""en"")"),"more upright")</f>
        <v>more upright</v>
      </c>
    </row>
    <row r="31554">
      <c r="A31554" s="1" t="s">
        <v>31553</v>
      </c>
      <c r="B31554" s="2" t="str">
        <f>IFERROR(__xludf.DUMMYFUNCTION("GOOGLETRANSLATE(A31554, ""de"", ""en"")"),"flank")</f>
        <v>flank</v>
      </c>
    </row>
    <row r="31555">
      <c r="A31555" s="1" t="s">
        <v>31554</v>
      </c>
      <c r="B31555" s="2" t="str">
        <f>IFERROR(__xludf.DUMMYFUNCTION("GOOGLETRANSLATE(A31555, ""de"", ""en"")"),"looks")</f>
        <v>looks</v>
      </c>
    </row>
    <row r="31556">
      <c r="A31556" s="1" t="s">
        <v>31555</v>
      </c>
      <c r="B31556" s="2" t="str">
        <f>IFERROR(__xludf.DUMMYFUNCTION("GOOGLETRANSLATE(A31556, ""de"", ""en"")"),"vary")</f>
        <v>vary</v>
      </c>
    </row>
    <row r="31557">
      <c r="A31557" s="1" t="s">
        <v>31556</v>
      </c>
      <c r="B31557" s="2" t="str">
        <f>IFERROR(__xludf.DUMMYFUNCTION("GOOGLETRANSLATE(A31557, ""de"", ""en"")"),"executioner")</f>
        <v>executioner</v>
      </c>
    </row>
    <row r="31558">
      <c r="A31558" s="1" t="s">
        <v>31557</v>
      </c>
      <c r="B31558" s="2" t="str">
        <f>IFERROR(__xludf.DUMMYFUNCTION("GOOGLETRANSLATE(A31558, ""de"", ""en"")"),"crap")</f>
        <v>crap</v>
      </c>
    </row>
    <row r="31559">
      <c r="A31559" s="1" t="s">
        <v>31558</v>
      </c>
      <c r="B31559" s="2" t="str">
        <f>IFERROR(__xludf.DUMMYFUNCTION("GOOGLETRANSLATE(A31559, ""de"", ""en"")"),"missing")</f>
        <v>missing</v>
      </c>
    </row>
    <row r="31560">
      <c r="A31560" s="1" t="s">
        <v>31559</v>
      </c>
      <c r="B31560" s="2" t="str">
        <f>IFERROR(__xludf.DUMMYFUNCTION("GOOGLETRANSLATE(A31560, ""de"", ""en"")"),"deej")</f>
        <v>deej</v>
      </c>
    </row>
    <row r="31561">
      <c r="A31561" s="1" t="s">
        <v>31560</v>
      </c>
      <c r="B31561" s="2" t="str">
        <f>IFERROR(__xludf.DUMMYFUNCTION("GOOGLETRANSLATE(A31561, ""de"", ""en"")"),"mouth")</f>
        <v>mouth</v>
      </c>
    </row>
    <row r="31562">
      <c r="A31562" s="1" t="s">
        <v>31561</v>
      </c>
      <c r="B31562" s="2" t="str">
        <f>IFERROR(__xludf.DUMMYFUNCTION("GOOGLETRANSLATE(A31562, ""de"", ""en"")"),"devotion")</f>
        <v>devotion</v>
      </c>
    </row>
    <row r="31563">
      <c r="A31563" s="1" t="s">
        <v>31562</v>
      </c>
      <c r="B31563" s="2" t="str">
        <f>IFERROR(__xludf.DUMMYFUNCTION("GOOGLETRANSLATE(A31563, ""de"", ""en"")"),"upload")</f>
        <v>upload</v>
      </c>
    </row>
    <row r="31564">
      <c r="A31564" s="1" t="s">
        <v>31563</v>
      </c>
      <c r="B31564" s="2" t="str">
        <f>IFERROR(__xludf.DUMMYFUNCTION("GOOGLETRANSLATE(A31564, ""de"", ""en"")"),"unconventional")</f>
        <v>unconventional</v>
      </c>
    </row>
    <row r="31565">
      <c r="A31565" s="1" t="s">
        <v>31564</v>
      </c>
      <c r="B31565" s="2" t="str">
        <f>IFERROR(__xludf.DUMMYFUNCTION("GOOGLETRANSLATE(A31565, ""de"", ""en"")"),"vocabulary")</f>
        <v>vocabulary</v>
      </c>
    </row>
    <row r="31566">
      <c r="A31566" s="1" t="s">
        <v>31565</v>
      </c>
      <c r="B31566" s="2" t="str">
        <f>IFERROR(__xludf.DUMMYFUNCTION("GOOGLETRANSLATE(A31566, ""de"", ""en"")"),"abby's")</f>
        <v>abby's</v>
      </c>
    </row>
    <row r="31567">
      <c r="A31567" s="1" t="s">
        <v>31566</v>
      </c>
      <c r="B31567" s="2" t="str">
        <f>IFERROR(__xludf.DUMMYFUNCTION("GOOGLETRANSLATE(A31567, ""de"", ""en"")"),"artistic")</f>
        <v>artistic</v>
      </c>
    </row>
    <row r="31568">
      <c r="A31568" s="1" t="s">
        <v>31567</v>
      </c>
      <c r="B31568" s="2" t="str">
        <f>IFERROR(__xludf.DUMMYFUNCTION("GOOGLETRANSLATE(A31568, ""de"", ""en"")"),"traumatic")</f>
        <v>traumatic</v>
      </c>
    </row>
    <row r="31569">
      <c r="A31569" s="1" t="s">
        <v>31568</v>
      </c>
      <c r="B31569" s="2" t="str">
        <f>IFERROR(__xludf.DUMMYFUNCTION("GOOGLETRANSLATE(A31569, ""de"", ""en"")"),"workplace")</f>
        <v>workplace</v>
      </c>
    </row>
    <row r="31570">
      <c r="A31570" s="1" t="s">
        <v>31569</v>
      </c>
      <c r="B31570" s="2" t="str">
        <f>IFERROR(__xludf.DUMMYFUNCTION("GOOGLETRANSLATE(A31570, ""de"", ""en"")"),"vasek")</f>
        <v>vasek</v>
      </c>
    </row>
    <row r="31571">
      <c r="A31571" s="1" t="s">
        <v>31570</v>
      </c>
      <c r="B31571" s="2" t="str">
        <f>IFERROR(__xludf.DUMMYFUNCTION("GOOGLETRANSLATE(A31571, ""de"", ""en"")"),"capra")</f>
        <v>capra</v>
      </c>
    </row>
    <row r="31572">
      <c r="A31572" s="1" t="s">
        <v>31571</v>
      </c>
      <c r="B31572" s="2" t="str">
        <f>IFERROR(__xludf.DUMMYFUNCTION("GOOGLETRANSLATE(A31572, ""de"", ""en"")"),"make a phone call")</f>
        <v>make a phone call</v>
      </c>
    </row>
    <row r="31573">
      <c r="A31573" s="1" t="s">
        <v>31572</v>
      </c>
      <c r="B31573" s="2" t="str">
        <f>IFERROR(__xludf.DUMMYFUNCTION("GOOGLETRANSLATE(A31573, ""de"", ""en"")"),"Aztecs")</f>
        <v>Aztecs</v>
      </c>
    </row>
    <row r="31574">
      <c r="A31574" s="1" t="s">
        <v>31573</v>
      </c>
      <c r="B31574" s="2" t="str">
        <f>IFERROR(__xludf.DUMMYFUNCTION("GOOGLETRANSLATE(A31574, ""de"", ""en"")"),"pizzas")</f>
        <v>pizzas</v>
      </c>
    </row>
    <row r="31575">
      <c r="A31575" s="1" t="s">
        <v>31574</v>
      </c>
      <c r="B31575" s="2" t="str">
        <f>IFERROR(__xludf.DUMMYFUNCTION("GOOGLETRANSLATE(A31575, ""de"", ""en"")"),"paired")</f>
        <v>paired</v>
      </c>
    </row>
    <row r="31576">
      <c r="A31576" s="1" t="s">
        <v>31575</v>
      </c>
      <c r="B31576" s="2" t="str">
        <f>IFERROR(__xludf.DUMMYFUNCTION("GOOGLETRANSLATE(A31576, ""de"", ""en"")"),"bare")</f>
        <v>bare</v>
      </c>
    </row>
    <row r="31577">
      <c r="A31577" s="1" t="s">
        <v>31576</v>
      </c>
      <c r="B31577" s="2" t="str">
        <f>IFERROR(__xludf.DUMMYFUNCTION("GOOGLETRANSLATE(A31577, ""de"", ""en"")"),"malick")</f>
        <v>malick</v>
      </c>
    </row>
    <row r="31578">
      <c r="A31578" s="1" t="s">
        <v>31577</v>
      </c>
      <c r="B31578" s="2" t="str">
        <f>IFERROR(__xludf.DUMMYFUNCTION("GOOGLETRANSLATE(A31578, ""de"", ""en"")"),"warmed up")</f>
        <v>warmed up</v>
      </c>
    </row>
    <row r="31579">
      <c r="A31579" s="1" t="s">
        <v>31578</v>
      </c>
      <c r="B31579" s="2" t="str">
        <f>IFERROR(__xludf.DUMMYFUNCTION("GOOGLETRANSLATE(A31579, ""de"", ""en"")"),"hopeless")</f>
        <v>hopeless</v>
      </c>
    </row>
    <row r="31580">
      <c r="A31580" s="1" t="s">
        <v>31579</v>
      </c>
      <c r="B31580" s="2" t="str">
        <f>IFERROR(__xludf.DUMMYFUNCTION("GOOGLETRANSLATE(A31580, ""de"", ""en"")"),"ludlow")</f>
        <v>ludlow</v>
      </c>
    </row>
    <row r="31581">
      <c r="A31581" s="1" t="s">
        <v>31580</v>
      </c>
      <c r="B31581" s="2" t="str">
        <f>IFERROR(__xludf.DUMMYFUNCTION("GOOGLETRANSLATE(A31581, ""de"", ""en"")"),"ivar")</f>
        <v>ivar</v>
      </c>
    </row>
    <row r="31582">
      <c r="A31582" s="1" t="s">
        <v>31581</v>
      </c>
      <c r="B31582" s="2" t="str">
        <f>IFERROR(__xludf.DUMMYFUNCTION("GOOGLETRANSLATE(A31582, ""de"", ""en"")"),"came back")</f>
        <v>came back</v>
      </c>
    </row>
    <row r="31583">
      <c r="A31583" s="1" t="s">
        <v>31582</v>
      </c>
      <c r="B31583" s="2" t="str">
        <f>IFERROR(__xludf.DUMMYFUNCTION("GOOGLETRANSLATE(A31583, ""de"", ""en"")"),"vaccinations")</f>
        <v>vaccinations</v>
      </c>
    </row>
    <row r="31584">
      <c r="A31584" s="1" t="s">
        <v>31583</v>
      </c>
      <c r="B31584" s="2" t="str">
        <f>IFERROR(__xludf.DUMMYFUNCTION("GOOGLETRANSLATE(A31584, ""de"", ""en"")"),"sleeper")</f>
        <v>sleeper</v>
      </c>
    </row>
    <row r="31585">
      <c r="A31585" s="1" t="s">
        <v>31584</v>
      </c>
      <c r="B31585" s="2" t="str">
        <f>IFERROR(__xludf.DUMMYFUNCTION("GOOGLETRANSLATE(A31585, ""de"", ""en"")"),"mini golf")</f>
        <v>mini golf</v>
      </c>
    </row>
    <row r="31586">
      <c r="A31586" s="1" t="s">
        <v>31585</v>
      </c>
      <c r="B31586" s="2" t="str">
        <f>IFERROR(__xludf.DUMMYFUNCTION("GOOGLETRANSLATE(A31586, ""de"", ""en"")"),"empathy")</f>
        <v>empathy</v>
      </c>
    </row>
    <row r="31587">
      <c r="A31587" s="1" t="s">
        <v>31586</v>
      </c>
      <c r="B31587" s="2" t="str">
        <f>IFERROR(__xludf.DUMMYFUNCTION("GOOGLETRANSLATE(A31587, ""de"", ""en"")"),"deserters")</f>
        <v>deserters</v>
      </c>
    </row>
    <row r="31588">
      <c r="A31588" s="1" t="s">
        <v>31587</v>
      </c>
      <c r="B31588" s="2" t="str">
        <f>IFERROR(__xludf.DUMMYFUNCTION("GOOGLETRANSLATE(A31588, ""de"", ""en"")"),"circled")</f>
        <v>circled</v>
      </c>
    </row>
    <row r="31589">
      <c r="A31589" s="1" t="s">
        <v>31588</v>
      </c>
      <c r="B31589" s="2" t="str">
        <f>IFERROR(__xludf.DUMMYFUNCTION("GOOGLETRANSLATE(A31589, ""de"", ""en"")"),"pernille")</f>
        <v>pernille</v>
      </c>
    </row>
    <row r="31590">
      <c r="A31590" s="1" t="s">
        <v>31589</v>
      </c>
      <c r="B31590" s="2" t="str">
        <f>IFERROR(__xludf.DUMMYFUNCTION("GOOGLETRANSLATE(A31590, ""de"", ""en"")"),"popularity")</f>
        <v>popularity</v>
      </c>
    </row>
    <row r="31591">
      <c r="A31591" s="1" t="s">
        <v>31590</v>
      </c>
      <c r="B31591" s="2" t="str">
        <f>IFERROR(__xludf.DUMMYFUNCTION("GOOGLETRANSLATE(A31591, ""de"", ""en"")"),"white")</f>
        <v>white</v>
      </c>
    </row>
    <row r="31592">
      <c r="A31592" s="1" t="s">
        <v>31591</v>
      </c>
      <c r="B31592" s="2" t="str">
        <f>IFERROR(__xludf.DUMMYFUNCTION("GOOGLETRANSLATE(A31592, ""de"", ""en"")"),"understand")</f>
        <v>understand</v>
      </c>
    </row>
    <row r="31593">
      <c r="A31593" s="1" t="s">
        <v>31592</v>
      </c>
      <c r="B31593" s="2" t="str">
        <f>IFERROR(__xludf.DUMMYFUNCTION("GOOGLETRANSLATE(A31593, ""de"", ""en"")"),"dismember")</f>
        <v>dismember</v>
      </c>
    </row>
    <row r="31594">
      <c r="A31594" s="1" t="s">
        <v>31593</v>
      </c>
      <c r="B31594" s="2" t="str">
        <f>IFERROR(__xludf.DUMMYFUNCTION("GOOGLETRANSLATE(A31594, ""de"", ""en"")"),"expresses")</f>
        <v>expresses</v>
      </c>
    </row>
    <row r="31595">
      <c r="A31595" s="1" t="s">
        <v>31594</v>
      </c>
      <c r="B31595" s="2" t="str">
        <f>IFERROR(__xludf.DUMMYFUNCTION("GOOGLETRANSLATE(A31595, ""de"", ""en"")"),"holtz")</f>
        <v>holtz</v>
      </c>
    </row>
    <row r="31596">
      <c r="A31596" s="1" t="s">
        <v>31595</v>
      </c>
      <c r="B31596" s="2" t="str">
        <f>IFERROR(__xludf.DUMMYFUNCTION("GOOGLETRANSLATE(A31596, ""de"", ""en"")"),"zebras")</f>
        <v>zebras</v>
      </c>
    </row>
    <row r="31597">
      <c r="A31597" s="1" t="s">
        <v>31596</v>
      </c>
      <c r="B31597" s="2" t="str">
        <f>IFERROR(__xludf.DUMMYFUNCTION("GOOGLETRANSLATE(A31597, ""de"", ""en"")"),"reflect")</f>
        <v>reflect</v>
      </c>
    </row>
    <row r="31598">
      <c r="A31598" s="1" t="s">
        <v>31597</v>
      </c>
      <c r="B31598" s="2" t="str">
        <f>IFERROR(__xludf.DUMMYFUNCTION("GOOGLETRANSLATE(A31598, ""de"", ""en"")"),"cognac")</f>
        <v>cognac</v>
      </c>
    </row>
    <row r="31599">
      <c r="A31599" s="1" t="s">
        <v>31598</v>
      </c>
      <c r="B31599" s="2" t="str">
        <f>IFERROR(__xludf.DUMMYFUNCTION("GOOGLETRANSLATE(A31599, ""de"", ""en"")"),"informant")</f>
        <v>informant</v>
      </c>
    </row>
    <row r="31600">
      <c r="A31600" s="1" t="s">
        <v>31599</v>
      </c>
      <c r="B31600" s="2" t="str">
        <f>IFERROR(__xludf.DUMMYFUNCTION("GOOGLETRANSLATE(A31600, ""de"", ""en"")"),"manslaughter")</f>
        <v>manslaughter</v>
      </c>
    </row>
    <row r="31601">
      <c r="A31601" s="1" t="s">
        <v>31600</v>
      </c>
      <c r="B31601" s="2" t="str">
        <f>IFERROR(__xludf.DUMMYFUNCTION("GOOGLETRANSLATE(A31601, ""de"", ""en"")"),"squaw")</f>
        <v>squaw</v>
      </c>
    </row>
    <row r="31602">
      <c r="A31602" s="1" t="s">
        <v>31601</v>
      </c>
      <c r="B31602" s="2" t="str">
        <f>IFERROR(__xludf.DUMMYFUNCTION("GOOGLETRANSLATE(A31602, ""de"", ""en"")"),"satin")</f>
        <v>satin</v>
      </c>
    </row>
    <row r="31603">
      <c r="A31603" s="1" t="s">
        <v>31602</v>
      </c>
      <c r="B31603" s="2" t="str">
        <f>IFERROR(__xludf.DUMMYFUNCTION("GOOGLETRANSLATE(A31603, ""de"", ""en"")"),"skinny")</f>
        <v>skinny</v>
      </c>
    </row>
    <row r="31604">
      <c r="A31604" s="1" t="s">
        <v>31603</v>
      </c>
      <c r="B31604" s="2" t="str">
        <f>IFERROR(__xludf.DUMMYFUNCTION("GOOGLETRANSLATE(A31604, ""de"", ""en"")"),"more enthusiastic")</f>
        <v>more enthusiastic</v>
      </c>
    </row>
    <row r="31605">
      <c r="A31605" s="1" t="s">
        <v>31604</v>
      </c>
      <c r="B31605" s="2" t="str">
        <f>IFERROR(__xludf.DUMMYFUNCTION("GOOGLETRANSLATE(A31605, ""de"", ""en"")"),"screw up")</f>
        <v>screw up</v>
      </c>
    </row>
    <row r="31606">
      <c r="A31606" s="1" t="s">
        <v>31605</v>
      </c>
      <c r="B31606" s="2" t="str">
        <f>IFERROR(__xludf.DUMMYFUNCTION("GOOGLETRANSLATE(A31606, ""de"", ""en"")"),"formulas")</f>
        <v>formulas</v>
      </c>
    </row>
    <row r="31607">
      <c r="A31607" s="1" t="s">
        <v>31606</v>
      </c>
      <c r="B31607" s="2" t="str">
        <f>IFERROR(__xludf.DUMMYFUNCTION("GOOGLETRANSLATE(A31607, ""de"", ""en"")"),"conspiracies")</f>
        <v>conspiracies</v>
      </c>
    </row>
    <row r="31608">
      <c r="A31608" s="1" t="s">
        <v>31607</v>
      </c>
      <c r="B31608" s="2" t="str">
        <f>IFERROR(__xludf.DUMMYFUNCTION("GOOGLETRANSLATE(A31608, ""de"", ""en"")"),"hoskins")</f>
        <v>hoskins</v>
      </c>
    </row>
    <row r="31609">
      <c r="A31609" s="1" t="s">
        <v>31608</v>
      </c>
      <c r="B31609" s="2" t="str">
        <f>IFERROR(__xludf.DUMMYFUNCTION("GOOGLETRANSLATE(A31609, ""de"", ""en"")"),"kana")</f>
        <v>kana</v>
      </c>
    </row>
    <row r="31610">
      <c r="A31610" s="1" t="s">
        <v>31609</v>
      </c>
      <c r="B31610" s="2" t="str">
        <f>IFERROR(__xludf.DUMMYFUNCTION("GOOGLETRANSLATE(A31610, ""de"", ""en"")"),"catch")</f>
        <v>catch</v>
      </c>
    </row>
    <row r="31611">
      <c r="A31611" s="1" t="s">
        <v>31610</v>
      </c>
      <c r="B31611" s="2" t="str">
        <f>IFERROR(__xludf.DUMMYFUNCTION("GOOGLETRANSLATE(A31611, ""de"", ""en"")"),"Tangier")</f>
        <v>Tangier</v>
      </c>
    </row>
    <row r="31612">
      <c r="A31612" s="1" t="s">
        <v>31611</v>
      </c>
      <c r="B31612" s="2" t="str">
        <f>IFERROR(__xludf.DUMMYFUNCTION("GOOGLETRANSLATE(A31612, ""de"", ""en"")"),"press release")</f>
        <v>press release</v>
      </c>
    </row>
    <row r="31613">
      <c r="A31613" s="1" t="s">
        <v>31612</v>
      </c>
      <c r="B31613" s="2" t="str">
        <f>IFERROR(__xludf.DUMMYFUNCTION("GOOGLETRANSLATE(A31613, ""de"", ""en"")"),"heats")</f>
        <v>heats</v>
      </c>
    </row>
    <row r="31614">
      <c r="A31614" s="1" t="s">
        <v>31613</v>
      </c>
      <c r="B31614" s="2" t="str">
        <f>IFERROR(__xludf.DUMMYFUNCTION("GOOGLETRANSLATE(A31614, ""de"", ""en"")"),"to keep up")</f>
        <v>to keep up</v>
      </c>
    </row>
    <row r="31615">
      <c r="A31615" s="1" t="s">
        <v>31614</v>
      </c>
      <c r="B31615" s="2" t="str">
        <f>IFERROR(__xludf.DUMMYFUNCTION("GOOGLETRANSLATE(A31615, ""de"", ""en"")"),"statute")</f>
        <v>statute</v>
      </c>
    </row>
    <row r="31616">
      <c r="A31616" s="1" t="s">
        <v>31615</v>
      </c>
      <c r="B31616" s="2" t="str">
        <f>IFERROR(__xludf.DUMMYFUNCTION("GOOGLETRANSLATE(A31616, ""de"", ""en"")"),"stopped by")</f>
        <v>stopped by</v>
      </c>
    </row>
    <row r="31617">
      <c r="A31617" s="1" t="s">
        <v>31616</v>
      </c>
      <c r="B31617" s="2" t="str">
        <f>IFERROR(__xludf.DUMMYFUNCTION("GOOGLETRANSLATE(A31617, ""de"", ""en"")"),"rehabilitate")</f>
        <v>rehabilitate</v>
      </c>
    </row>
    <row r="31618">
      <c r="A31618" s="1" t="s">
        <v>31617</v>
      </c>
      <c r="B31618" s="2" t="str">
        <f>IFERROR(__xludf.DUMMYFUNCTION("GOOGLETRANSLATE(A31618, ""de"", ""en"")"),"pressure wave")</f>
        <v>pressure wave</v>
      </c>
    </row>
    <row r="31619">
      <c r="A31619" s="1" t="s">
        <v>31618</v>
      </c>
      <c r="B31619" s="2" t="str">
        <f>IFERROR(__xludf.DUMMYFUNCTION("GOOGLETRANSLATE(A31619, ""de"", ""en"")"),"complexity")</f>
        <v>complexity</v>
      </c>
    </row>
    <row r="31620">
      <c r="A31620" s="1" t="s">
        <v>31619</v>
      </c>
      <c r="B31620" s="2" t="str">
        <f>IFERROR(__xludf.DUMMYFUNCTION("GOOGLETRANSLATE(A31620, ""de"", ""en"")"),"pools")</f>
        <v>pools</v>
      </c>
    </row>
    <row r="31621">
      <c r="A31621" s="1" t="s">
        <v>31620</v>
      </c>
      <c r="B31621" s="2" t="str">
        <f>IFERROR(__xludf.DUMMYFUNCTION("GOOGLETRANSLATE(A31621, ""de"", ""en"")"),"to move on")</f>
        <v>to move on</v>
      </c>
    </row>
    <row r="31622">
      <c r="A31622" s="1" t="s">
        <v>31621</v>
      </c>
      <c r="B31622" s="2" t="str">
        <f>IFERROR(__xludf.DUMMYFUNCTION("GOOGLETRANSLATE(A31622, ""de"", ""en"")"),"hatch")</f>
        <v>hatch</v>
      </c>
    </row>
    <row r="31623">
      <c r="A31623" s="1" t="s">
        <v>31622</v>
      </c>
      <c r="B31623" s="2" t="str">
        <f>IFERROR(__xludf.DUMMYFUNCTION("GOOGLETRANSLATE(A31623, ""de"", ""en"")"),"blown away")</f>
        <v>blown away</v>
      </c>
    </row>
    <row r="31624">
      <c r="A31624" s="1" t="s">
        <v>31623</v>
      </c>
      <c r="B31624" s="2" t="str">
        <f>IFERROR(__xludf.DUMMYFUNCTION("GOOGLETRANSLATE(A31624, ""de"", ""en"")"),"gaylord")</f>
        <v>gaylord</v>
      </c>
    </row>
    <row r="31625">
      <c r="A31625" s="1" t="s">
        <v>31624</v>
      </c>
      <c r="B31625" s="2" t="str">
        <f>IFERROR(__xludf.DUMMYFUNCTION("GOOGLETRANSLATE(A31625, ""de"", ""en"")"),"occasions")</f>
        <v>occasions</v>
      </c>
    </row>
    <row r="31626">
      <c r="A31626" s="1" t="s">
        <v>31625</v>
      </c>
      <c r="B31626" s="2" t="str">
        <f>IFERROR(__xludf.DUMMYFUNCTION("GOOGLETRANSLATE(A31626, ""de"", ""en"")"),"abbreviations")</f>
        <v>abbreviations</v>
      </c>
    </row>
    <row r="31627">
      <c r="A31627" s="1" t="s">
        <v>31626</v>
      </c>
      <c r="B31627" s="2" t="str">
        <f>IFERROR(__xludf.DUMMYFUNCTION("GOOGLETRANSLATE(A31627, ""de"", ""en"")"),"world trip")</f>
        <v>world trip</v>
      </c>
    </row>
    <row r="31628">
      <c r="A31628" s="1" t="s">
        <v>31627</v>
      </c>
      <c r="B31628" s="2" t="str">
        <f>IFERROR(__xludf.DUMMYFUNCTION("GOOGLETRANSLATE(A31628, ""de"", ""en"")"),"chastity")</f>
        <v>chastity</v>
      </c>
    </row>
    <row r="31629">
      <c r="A31629" s="1" t="s">
        <v>31628</v>
      </c>
      <c r="B31629" s="2" t="str">
        <f>IFERROR(__xludf.DUMMYFUNCTION("GOOGLETRANSLATE(A31629, ""de"", ""en"")"),"emergency")</f>
        <v>emergency</v>
      </c>
    </row>
    <row r="31630">
      <c r="A31630" s="1" t="s">
        <v>31629</v>
      </c>
      <c r="B31630" s="2" t="str">
        <f>IFERROR(__xludf.DUMMYFUNCTION("GOOGLETRANSLATE(A31630, ""de"", ""en"")"),"scalp")</f>
        <v>scalp</v>
      </c>
    </row>
    <row r="31631">
      <c r="A31631" s="1" t="s">
        <v>31630</v>
      </c>
      <c r="B31631" s="2" t="str">
        <f>IFERROR(__xludf.DUMMYFUNCTION("GOOGLETRANSLATE(A31631, ""de"", ""en"")"),"lauderdale")</f>
        <v>lauderdale</v>
      </c>
    </row>
    <row r="31632">
      <c r="A31632" s="1" t="s">
        <v>31631</v>
      </c>
      <c r="B31632" s="2" t="str">
        <f>IFERROR(__xludf.DUMMYFUNCTION("GOOGLETRANSLATE(A31632, ""de"", ""en"")"),"subtle")</f>
        <v>subtle</v>
      </c>
    </row>
    <row r="31633">
      <c r="A31633" s="1" t="s">
        <v>31632</v>
      </c>
      <c r="B31633" s="2" t="str">
        <f>IFERROR(__xludf.DUMMYFUNCTION("GOOGLETRANSLATE(A31633, ""de"", ""en"")"),"room confinement")</f>
        <v>room confinement</v>
      </c>
    </row>
    <row r="31634">
      <c r="A31634" s="1" t="s">
        <v>31633</v>
      </c>
      <c r="B31634" s="2" t="str">
        <f>IFERROR(__xludf.DUMMYFUNCTION("GOOGLETRANSLATE(A31634, ""de"", ""en"")"),"bow")</f>
        <v>bow</v>
      </c>
    </row>
    <row r="31635">
      <c r="A31635" s="1" t="s">
        <v>31634</v>
      </c>
      <c r="B31635" s="2" t="str">
        <f>IFERROR(__xludf.DUMMYFUNCTION("GOOGLETRANSLATE(A31635, ""de"", ""en"")"),"cost estimate")</f>
        <v>cost estimate</v>
      </c>
    </row>
    <row r="31636">
      <c r="A31636" s="1" t="s">
        <v>31635</v>
      </c>
      <c r="B31636" s="2" t="str">
        <f>IFERROR(__xludf.DUMMYFUNCTION("GOOGLETRANSLATE(A31636, ""de"", ""en"")"),"magnetic field")</f>
        <v>magnetic field</v>
      </c>
    </row>
    <row r="31637">
      <c r="A31637" s="1" t="s">
        <v>31636</v>
      </c>
      <c r="B31637" s="2" t="str">
        <f>IFERROR(__xludf.DUMMYFUNCTION("GOOGLETRANSLATE(A31637, ""de"", ""en"")"),"show")</f>
        <v>show</v>
      </c>
    </row>
    <row r="31638">
      <c r="A31638" s="1" t="s">
        <v>31637</v>
      </c>
      <c r="B31638" s="2" t="str">
        <f>IFERROR(__xludf.DUMMYFUNCTION("GOOGLETRANSLATE(A31638, ""de"", ""en"")"),"garret")</f>
        <v>garret</v>
      </c>
    </row>
    <row r="31639">
      <c r="A31639" s="1" t="s">
        <v>31638</v>
      </c>
      <c r="B31639" s="2" t="str">
        <f>IFERROR(__xludf.DUMMYFUNCTION("GOOGLETRANSLATE(A31639, ""de"", ""en"")"),"crazy")</f>
        <v>crazy</v>
      </c>
    </row>
    <row r="31640">
      <c r="A31640" s="1" t="s">
        <v>31639</v>
      </c>
      <c r="B31640" s="2" t="str">
        <f>IFERROR(__xludf.DUMMYFUNCTION("GOOGLETRANSLATE(A31640, ""de"", ""en"")"),"doubtless")</f>
        <v>doubtless</v>
      </c>
    </row>
    <row r="31641">
      <c r="A31641" s="1" t="s">
        <v>31640</v>
      </c>
      <c r="B31641" s="2" t="str">
        <f>IFERROR(__xludf.DUMMYFUNCTION("GOOGLETRANSLATE(A31641, ""de"", ""en"")"),"producer")</f>
        <v>producer</v>
      </c>
    </row>
    <row r="31642">
      <c r="A31642" s="1" t="s">
        <v>31641</v>
      </c>
      <c r="B31642" s="2" t="str">
        <f>IFERROR(__xludf.DUMMYFUNCTION("GOOGLETRANSLATE(A31642, ""de"", ""en"")"),"pollo")</f>
        <v>pollo</v>
      </c>
    </row>
    <row r="31643">
      <c r="A31643" s="1" t="s">
        <v>31642</v>
      </c>
      <c r="B31643" s="2" t="str">
        <f>IFERROR(__xludf.DUMMYFUNCTION("GOOGLETRANSLATE(A31643, ""de"", ""en"")"),"fogged up")</f>
        <v>fogged up</v>
      </c>
    </row>
    <row r="31644">
      <c r="A31644" s="1" t="s">
        <v>31643</v>
      </c>
      <c r="B31644" s="2" t="str">
        <f>IFERROR(__xludf.DUMMYFUNCTION("GOOGLETRANSLATE(A31644, ""de"", ""en"")"),"defective")</f>
        <v>defective</v>
      </c>
    </row>
    <row r="31645">
      <c r="A31645" s="1" t="s">
        <v>31644</v>
      </c>
      <c r="B31645" s="2" t="str">
        <f>IFERROR(__xludf.DUMMYFUNCTION("GOOGLETRANSLATE(A31645, ""de"", ""en"")"),"kaye")</f>
        <v>kaye</v>
      </c>
    </row>
    <row r="31646">
      <c r="A31646" s="1" t="s">
        <v>31645</v>
      </c>
      <c r="B31646" s="2" t="str">
        <f>IFERROR(__xludf.DUMMYFUNCTION("GOOGLETRANSLATE(A31646, ""de"", ""en"")"),"heel")</f>
        <v>heel</v>
      </c>
    </row>
    <row r="31647">
      <c r="A31647" s="1" t="s">
        <v>31646</v>
      </c>
      <c r="B31647" s="2" t="str">
        <f>IFERROR(__xludf.DUMMYFUNCTION("GOOGLETRANSLATE(A31647, ""de"", ""en"")"),"magnanimous")</f>
        <v>magnanimous</v>
      </c>
    </row>
    <row r="31648">
      <c r="A31648" s="1" t="s">
        <v>31647</v>
      </c>
      <c r="B31648" s="2" t="str">
        <f>IFERROR(__xludf.DUMMYFUNCTION("GOOGLETRANSLATE(A31648, ""de"", ""en"")"),"pledged")</f>
        <v>pledged</v>
      </c>
    </row>
    <row r="31649">
      <c r="A31649" s="1" t="s">
        <v>31648</v>
      </c>
      <c r="B31649" s="2" t="str">
        <f>IFERROR(__xludf.DUMMYFUNCTION("GOOGLETRANSLATE(A31649, ""de"", ""en"")"),"nanites")</f>
        <v>nanites</v>
      </c>
    </row>
    <row r="31650">
      <c r="A31650" s="1" t="s">
        <v>31649</v>
      </c>
      <c r="B31650" s="2" t="str">
        <f>IFERROR(__xludf.DUMMYFUNCTION("GOOGLETRANSLATE(A31650, ""de"", ""en"")"),"sandbox")</f>
        <v>sandbox</v>
      </c>
    </row>
    <row r="31651">
      <c r="A31651" s="1" t="s">
        <v>31650</v>
      </c>
      <c r="B31651" s="2" t="str">
        <f>IFERROR(__xludf.DUMMYFUNCTION("GOOGLETRANSLATE(A31651, ""de"", ""en"")"),"gets there")</f>
        <v>gets there</v>
      </c>
    </row>
    <row r="31652">
      <c r="A31652" s="1" t="s">
        <v>31651</v>
      </c>
      <c r="B31652" s="2" t="str">
        <f>IFERROR(__xludf.DUMMYFUNCTION("GOOGLETRANSLATE(A31652, ""de"", ""en"")"),"contain")</f>
        <v>contain</v>
      </c>
    </row>
    <row r="31653">
      <c r="A31653" s="1" t="s">
        <v>31652</v>
      </c>
      <c r="B31653" s="2" t="str">
        <f>IFERROR(__xludf.DUMMYFUNCTION("GOOGLETRANSLATE(A31653, ""de"", ""en"")"),"liesl")</f>
        <v>liesl</v>
      </c>
    </row>
    <row r="31654">
      <c r="A31654" s="1" t="s">
        <v>31653</v>
      </c>
      <c r="B31654" s="2" t="str">
        <f>IFERROR(__xludf.DUMMYFUNCTION("GOOGLETRANSLATE(A31654, ""de"", ""en"")"),"you")</f>
        <v>you</v>
      </c>
    </row>
    <row r="31655">
      <c r="A31655" s="1" t="s">
        <v>31654</v>
      </c>
      <c r="B31655" s="2" t="str">
        <f>IFERROR(__xludf.DUMMYFUNCTION("GOOGLETRANSLATE(A31655, ""de"", ""en"")"),"sold out")</f>
        <v>sold out</v>
      </c>
    </row>
    <row r="31656">
      <c r="A31656" s="1" t="s">
        <v>31655</v>
      </c>
      <c r="B31656" s="2" t="str">
        <f>IFERROR(__xludf.DUMMYFUNCTION("GOOGLETRANSLATE(A31656, ""de"", ""en"")"),"North Sea")</f>
        <v>North Sea</v>
      </c>
    </row>
    <row r="31657">
      <c r="A31657" s="1" t="s">
        <v>31656</v>
      </c>
      <c r="B31657" s="2" t="str">
        <f>IFERROR(__xludf.DUMMYFUNCTION("GOOGLETRANSLATE(A31657, ""de"", ""en"")"),"Ishmael")</f>
        <v>Ishmael</v>
      </c>
    </row>
    <row r="31658">
      <c r="A31658" s="1" t="s">
        <v>31657</v>
      </c>
      <c r="B31658" s="2" t="str">
        <f>IFERROR(__xludf.DUMMYFUNCTION("GOOGLETRANSLATE(A31658, ""de"", ""en"")"),"mano")</f>
        <v>mano</v>
      </c>
    </row>
    <row r="31659">
      <c r="A31659" s="1" t="s">
        <v>31658</v>
      </c>
      <c r="B31659" s="2" t="str">
        <f>IFERROR(__xludf.DUMMYFUNCTION("GOOGLETRANSLATE(A31659, ""de"", ""en"")"),"pussys")</f>
        <v>pussys</v>
      </c>
    </row>
    <row r="31660">
      <c r="A31660" s="1" t="s">
        <v>31659</v>
      </c>
      <c r="B31660" s="2" t="str">
        <f>IFERROR(__xludf.DUMMYFUNCTION("GOOGLETRANSLATE(A31660, ""de"", ""en"")"),"death list")</f>
        <v>death list</v>
      </c>
    </row>
    <row r="31661">
      <c r="A31661" s="1" t="s">
        <v>31660</v>
      </c>
      <c r="B31661" s="2" t="str">
        <f>IFERROR(__xludf.DUMMYFUNCTION("GOOGLETRANSLATE(A31661, ""de"", ""en"")"),"professional killer")</f>
        <v>professional killer</v>
      </c>
    </row>
    <row r="31662">
      <c r="A31662" s="1" t="s">
        <v>31661</v>
      </c>
      <c r="B31662" s="2" t="str">
        <f>IFERROR(__xludf.DUMMYFUNCTION("GOOGLETRANSLATE(A31662, ""de"", ""en"")"),"farr")</f>
        <v>farr</v>
      </c>
    </row>
    <row r="31663">
      <c r="A31663" s="1" t="s">
        <v>31662</v>
      </c>
      <c r="B31663" s="2" t="str">
        <f>IFERROR(__xludf.DUMMYFUNCTION("GOOGLETRANSLATE(A31663, ""de"", ""en"")"),"jagger")</f>
        <v>jagger</v>
      </c>
    </row>
    <row r="31664">
      <c r="A31664" s="1" t="s">
        <v>31663</v>
      </c>
      <c r="B31664" s="2" t="str">
        <f>IFERROR(__xludf.DUMMYFUNCTION("GOOGLETRANSLATE(A31664, ""de"", ""en"")"),"sensitive")</f>
        <v>sensitive</v>
      </c>
    </row>
    <row r="31665">
      <c r="A31665" s="1" t="s">
        <v>31664</v>
      </c>
      <c r="B31665" s="2" t="str">
        <f>IFERROR(__xludf.DUMMYFUNCTION("GOOGLETRANSLATE(A31665, ""de"", ""en"")"),"scrambled eggs")</f>
        <v>scrambled eggs</v>
      </c>
    </row>
    <row r="31666">
      <c r="A31666" s="1" t="s">
        <v>31665</v>
      </c>
      <c r="B31666" s="2" t="str">
        <f>IFERROR(__xludf.DUMMYFUNCTION("GOOGLETRANSLATE(A31666, ""de"", ""en"")"),"security camera")</f>
        <v>security camera</v>
      </c>
    </row>
    <row r="31667">
      <c r="A31667" s="1" t="s">
        <v>31666</v>
      </c>
      <c r="B31667" s="2" t="str">
        <f>IFERROR(__xludf.DUMMYFUNCTION("GOOGLETRANSLATE(A31667, ""de"", ""en"")"),"presented")</f>
        <v>presented</v>
      </c>
    </row>
    <row r="31668">
      <c r="A31668" s="1" t="s">
        <v>31667</v>
      </c>
      <c r="B31668" s="2" t="str">
        <f>IFERROR(__xludf.DUMMYFUNCTION("GOOGLETRANSLATE(A31668, ""de"", ""en"")"),"solid")</f>
        <v>solid</v>
      </c>
    </row>
    <row r="31669">
      <c r="A31669" s="1" t="s">
        <v>31668</v>
      </c>
      <c r="B31669" s="2" t="str">
        <f>IFERROR(__xludf.DUMMYFUNCTION("GOOGLETRANSLATE(A31669, ""de"", ""en"")"),"constant")</f>
        <v>constant</v>
      </c>
    </row>
    <row r="31670">
      <c r="A31670" s="1" t="s">
        <v>31669</v>
      </c>
      <c r="B31670" s="2" t="str">
        <f>IFERROR(__xludf.DUMMYFUNCTION("GOOGLETRANSLATE(A31670, ""de"", ""en"")"),"pelham")</f>
        <v>pelham</v>
      </c>
    </row>
    <row r="31671">
      <c r="A31671" s="1" t="s">
        <v>31670</v>
      </c>
      <c r="B31671" s="2" t="str">
        <f>IFERROR(__xludf.DUMMYFUNCTION("GOOGLETRANSLATE(A31671, ""de"", ""en"")"),"blood sausage")</f>
        <v>blood sausage</v>
      </c>
    </row>
    <row r="31672">
      <c r="A31672" s="1" t="s">
        <v>31671</v>
      </c>
      <c r="B31672" s="2" t="str">
        <f>IFERROR(__xludf.DUMMYFUNCTION("GOOGLETRANSLATE(A31672, ""de"", ""en"")"),"feature")</f>
        <v>feature</v>
      </c>
    </row>
    <row r="31673">
      <c r="A31673" s="1" t="s">
        <v>31672</v>
      </c>
      <c r="B31673" s="2" t="str">
        <f>IFERROR(__xludf.DUMMYFUNCTION("GOOGLETRANSLATE(A31673, ""de"", ""en"")"),"self-control")</f>
        <v>self-control</v>
      </c>
    </row>
    <row r="31674">
      <c r="A31674" s="1" t="s">
        <v>31673</v>
      </c>
      <c r="B31674" s="2" t="str">
        <f>IFERROR(__xludf.DUMMYFUNCTION("GOOGLETRANSLATE(A31674, ""de"", ""en"")"),"suck")</f>
        <v>suck</v>
      </c>
    </row>
    <row r="31675">
      <c r="A31675" s="1" t="s">
        <v>31674</v>
      </c>
      <c r="B31675" s="2" t="str">
        <f>IFERROR(__xludf.DUMMYFUNCTION("GOOGLETRANSLATE(A31675, ""de"", ""en"")"),"Iranian")</f>
        <v>Iranian</v>
      </c>
    </row>
    <row r="31676">
      <c r="A31676" s="1" t="s">
        <v>31675</v>
      </c>
      <c r="B31676" s="2" t="str">
        <f>IFERROR(__xludf.DUMMYFUNCTION("GOOGLETRANSLATE(A31676, ""de"", ""en"")"),"Olympic")</f>
        <v>Olympic</v>
      </c>
    </row>
    <row r="31677">
      <c r="A31677" s="1" t="s">
        <v>31676</v>
      </c>
      <c r="B31677" s="2" t="str">
        <f>IFERROR(__xludf.DUMMYFUNCTION("GOOGLETRANSLATE(A31677, ""de"", ""en"")"),"padawan")</f>
        <v>padawan</v>
      </c>
    </row>
    <row r="31678">
      <c r="A31678" s="1" t="s">
        <v>31677</v>
      </c>
      <c r="B31678" s="2" t="str">
        <f>IFERROR(__xludf.DUMMYFUNCTION("GOOGLETRANSLATE(A31678, ""de"", ""en"")"),"shrill")</f>
        <v>shrill</v>
      </c>
    </row>
    <row r="31679">
      <c r="A31679" s="1" t="s">
        <v>31678</v>
      </c>
      <c r="B31679" s="2" t="str">
        <f>IFERROR(__xludf.DUMMYFUNCTION("GOOGLETRANSLATE(A31679, ""de"", ""en"")"),"mmmm")</f>
        <v>mmmm</v>
      </c>
    </row>
    <row r="31680">
      <c r="A31680" s="1" t="s">
        <v>31679</v>
      </c>
      <c r="B31680" s="2" t="str">
        <f>IFERROR(__xludf.DUMMYFUNCTION("GOOGLETRANSLATE(A31680, ""de"", ""en"")"),"fixer")</f>
        <v>fixer</v>
      </c>
    </row>
    <row r="31681">
      <c r="A31681" s="1" t="s">
        <v>31680</v>
      </c>
      <c r="B31681" s="2" t="str">
        <f>IFERROR(__xludf.DUMMYFUNCTION("GOOGLETRANSLATE(A31681, ""de"", ""en"")"),"replacement man")</f>
        <v>replacement man</v>
      </c>
    </row>
    <row r="31682">
      <c r="A31682" s="1" t="s">
        <v>31681</v>
      </c>
      <c r="B31682" s="2" t="str">
        <f>IFERROR(__xludf.DUMMYFUNCTION("GOOGLETRANSLATE(A31682, ""de"", ""en"")"),"Christmas Eve")</f>
        <v>Christmas Eve</v>
      </c>
    </row>
    <row r="31683">
      <c r="A31683" s="1" t="s">
        <v>31682</v>
      </c>
      <c r="B31683" s="2" t="str">
        <f>IFERROR(__xludf.DUMMYFUNCTION("GOOGLETRANSLATE(A31683, ""de"", ""en"")"),"Wilfried")</f>
        <v>Wilfried</v>
      </c>
    </row>
    <row r="31684">
      <c r="A31684" s="1" t="s">
        <v>31683</v>
      </c>
      <c r="B31684" s="2" t="str">
        <f>IFERROR(__xludf.DUMMYFUNCTION("GOOGLETRANSLATE(A31684, ""de"", ""en"")"),"sur")</f>
        <v>sur</v>
      </c>
    </row>
    <row r="31685">
      <c r="A31685" s="1" t="s">
        <v>31684</v>
      </c>
      <c r="B31685" s="2" t="str">
        <f>IFERROR(__xludf.DUMMYFUNCTION("GOOGLETRANSLATE(A31685, ""de"", ""en"")"),"transferred")</f>
        <v>transferred</v>
      </c>
    </row>
    <row r="31686">
      <c r="A31686" s="1" t="s">
        <v>31685</v>
      </c>
      <c r="B31686" s="2" t="str">
        <f>IFERROR(__xludf.DUMMYFUNCTION("GOOGLETRANSLATE(A31686, ""de"", ""en"")"),"anxious")</f>
        <v>anxious</v>
      </c>
    </row>
    <row r="31687">
      <c r="A31687" s="1" t="s">
        <v>31686</v>
      </c>
      <c r="B31687" s="2" t="str">
        <f>IFERROR(__xludf.DUMMYFUNCTION("GOOGLETRANSLATE(A31687, ""de"", ""en"")"),"lure away")</f>
        <v>lure away</v>
      </c>
    </row>
    <row r="31688">
      <c r="A31688" s="1" t="s">
        <v>31687</v>
      </c>
      <c r="B31688" s="2" t="str">
        <f>IFERROR(__xludf.DUMMYFUNCTION("GOOGLETRANSLATE(A31688, ""de"", ""en"")"),"stamper")</f>
        <v>stamper</v>
      </c>
    </row>
    <row r="31689">
      <c r="A31689" s="1" t="s">
        <v>31688</v>
      </c>
      <c r="B31689" s="2" t="str">
        <f>IFERROR(__xludf.DUMMYFUNCTION("GOOGLETRANSLATE(A31689, ""de"", ""en"")"),"freeze")</f>
        <v>freeze</v>
      </c>
    </row>
    <row r="31690">
      <c r="A31690" s="1" t="s">
        <v>31689</v>
      </c>
      <c r="B31690" s="2" t="str">
        <f>IFERROR(__xludf.DUMMYFUNCTION("GOOGLETRANSLATE(A31690, ""de"", ""en"")"),"top")</f>
        <v>top</v>
      </c>
    </row>
    <row r="31691">
      <c r="A31691" s="1" t="s">
        <v>31690</v>
      </c>
      <c r="B31691" s="2" t="str">
        <f>IFERROR(__xludf.DUMMYFUNCTION("GOOGLETRANSLATE(A31691, ""de"", ""en"")"),"southern France")</f>
        <v>southern France</v>
      </c>
    </row>
    <row r="31692">
      <c r="A31692" s="1" t="s">
        <v>31691</v>
      </c>
      <c r="B31692" s="2" t="str">
        <f>IFERROR(__xludf.DUMMYFUNCTION("GOOGLETRANSLATE(A31692, ""de"", ""en"")"),"yoon")</f>
        <v>yoon</v>
      </c>
    </row>
    <row r="31693">
      <c r="A31693" s="1" t="s">
        <v>31692</v>
      </c>
      <c r="B31693" s="2" t="str">
        <f>IFERROR(__xludf.DUMMYFUNCTION("GOOGLETRANSLATE(A31693, ""de"", ""en"")"),"to display")</f>
        <v>to display</v>
      </c>
    </row>
    <row r="31694">
      <c r="A31694" s="1" t="s">
        <v>31693</v>
      </c>
      <c r="B31694" s="2" t="str">
        <f>IFERROR(__xludf.DUMMYFUNCTION("GOOGLETRANSLATE(A31694, ""de"", ""en"")"),"damage limitation")</f>
        <v>damage limitation</v>
      </c>
    </row>
    <row r="31695">
      <c r="A31695" s="1" t="s">
        <v>31694</v>
      </c>
      <c r="B31695" s="2" t="str">
        <f>IFERROR(__xludf.DUMMYFUNCTION("GOOGLETRANSLATE(A31695, ""de"", ""en"")"),"damage")</f>
        <v>damage</v>
      </c>
    </row>
    <row r="31696">
      <c r="A31696" s="1" t="s">
        <v>31695</v>
      </c>
      <c r="B31696" s="2" t="str">
        <f>IFERROR(__xludf.DUMMYFUNCTION("GOOGLETRANSLATE(A31696, ""de"", ""en"")"),"roach")</f>
        <v>roach</v>
      </c>
    </row>
    <row r="31697">
      <c r="A31697" s="1" t="s">
        <v>31696</v>
      </c>
      <c r="B31697" s="2" t="str">
        <f>IFERROR(__xludf.DUMMYFUNCTION("GOOGLETRANSLATE(A31697, ""de"", ""en"")"),"metz")</f>
        <v>metz</v>
      </c>
    </row>
    <row r="31698">
      <c r="A31698" s="1" t="s">
        <v>31697</v>
      </c>
      <c r="B31698" s="2" t="str">
        <f>IFERROR(__xludf.DUMMYFUNCTION("GOOGLETRANSLATE(A31698, ""de"", ""en"")"),"household chores")</f>
        <v>household chores</v>
      </c>
    </row>
    <row r="31699">
      <c r="A31699" s="1" t="s">
        <v>31698</v>
      </c>
      <c r="B31699" s="2" t="str">
        <f>IFERROR(__xludf.DUMMYFUNCTION("GOOGLETRANSLATE(A31699, ""de"", ""en"")"),"appointed")</f>
        <v>appointed</v>
      </c>
    </row>
    <row r="31700">
      <c r="A31700" s="1" t="s">
        <v>31699</v>
      </c>
      <c r="B31700" s="2" t="str">
        <f>IFERROR(__xludf.DUMMYFUNCTION("GOOGLETRANSLATE(A31700, ""de"", ""en"")"),"stayed away")</f>
        <v>stayed away</v>
      </c>
    </row>
    <row r="31701">
      <c r="A31701" s="1" t="s">
        <v>31700</v>
      </c>
      <c r="B31701" s="2" t="str">
        <f>IFERROR(__xludf.DUMMYFUNCTION("GOOGLETRANSLATE(A31701, ""de"", ""en"")"),"local")</f>
        <v>local</v>
      </c>
    </row>
    <row r="31702">
      <c r="A31702" s="1" t="s">
        <v>31701</v>
      </c>
      <c r="B31702" s="2" t="str">
        <f>IFERROR(__xludf.DUMMYFUNCTION("GOOGLETRANSLATE(A31702, ""de"", ""en"")"),"tyrion")</f>
        <v>tyrion</v>
      </c>
    </row>
    <row r="31703">
      <c r="A31703" s="1" t="s">
        <v>31702</v>
      </c>
      <c r="B31703" s="2" t="str">
        <f>IFERROR(__xludf.DUMMYFUNCTION("GOOGLETRANSLATE(A31703, ""de"", ""en"")"),"larynx")</f>
        <v>larynx</v>
      </c>
    </row>
    <row r="31704">
      <c r="A31704" s="1" t="s">
        <v>31703</v>
      </c>
      <c r="B31704" s="2" t="str">
        <f>IFERROR(__xludf.DUMMYFUNCTION("GOOGLETRANSLATE(A31704, ""de"", ""en"")"),"come home")</f>
        <v>come home</v>
      </c>
    </row>
    <row r="31705">
      <c r="A31705" s="1" t="s">
        <v>31704</v>
      </c>
      <c r="B31705" s="2" t="str">
        <f>IFERROR(__xludf.DUMMYFUNCTION("GOOGLETRANSLATE(A31705, ""de"", ""en"")"),"shinier")</f>
        <v>shinier</v>
      </c>
    </row>
    <row r="31706">
      <c r="A31706" s="1" t="s">
        <v>31705</v>
      </c>
      <c r="B31706" s="2" t="str">
        <f>IFERROR(__xludf.DUMMYFUNCTION("GOOGLETRANSLATE(A31706, ""de"", ""en"")"),"clocks")</f>
        <v>clocks</v>
      </c>
    </row>
    <row r="31707">
      <c r="A31707" s="1" t="s">
        <v>31706</v>
      </c>
      <c r="B31707" s="2" t="str">
        <f>IFERROR(__xludf.DUMMYFUNCTION("GOOGLETRANSLATE(A31707, ""de"", ""en"")"),"blanca")</f>
        <v>blanca</v>
      </c>
    </row>
    <row r="31708">
      <c r="A31708" s="1" t="s">
        <v>31707</v>
      </c>
      <c r="B31708" s="2" t="str">
        <f>IFERROR(__xludf.DUMMYFUNCTION("GOOGLETRANSLATE(A31708, ""de"", ""en"")"),"poorer")</f>
        <v>poorer</v>
      </c>
    </row>
    <row r="31709">
      <c r="A31709" s="1" t="s">
        <v>31708</v>
      </c>
      <c r="B31709" s="2" t="str">
        <f>IFERROR(__xludf.DUMMYFUNCTION("GOOGLETRANSLATE(A31709, ""de"", ""en"")"),"suspicions")</f>
        <v>suspicions</v>
      </c>
    </row>
    <row r="31710">
      <c r="A31710" s="1" t="s">
        <v>31709</v>
      </c>
      <c r="B31710" s="2" t="str">
        <f>IFERROR(__xludf.DUMMYFUNCTION("GOOGLETRANSLATE(A31710, ""de"", ""en"")"),"indianapolis")</f>
        <v>indianapolis</v>
      </c>
    </row>
    <row r="31711">
      <c r="A31711" s="1" t="s">
        <v>31710</v>
      </c>
      <c r="B31711" s="2" t="str">
        <f>IFERROR(__xludf.DUMMYFUNCTION("GOOGLETRANSLATE(A31711, ""de"", ""en"")"),"wesson")</f>
        <v>wesson</v>
      </c>
    </row>
    <row r="31712">
      <c r="A31712" s="1" t="s">
        <v>31711</v>
      </c>
      <c r="B31712" s="2" t="str">
        <f>IFERROR(__xludf.DUMMYFUNCTION("GOOGLETRANSLATE(A31712, ""de"", ""en"")"),"quality of life")</f>
        <v>quality of life</v>
      </c>
    </row>
    <row r="31713">
      <c r="A31713" s="1" t="s">
        <v>31712</v>
      </c>
      <c r="B31713" s="2" t="str">
        <f>IFERROR(__xludf.DUMMYFUNCTION("GOOGLETRANSLATE(A31713, ""de"", ""en"")"),"conlon")</f>
        <v>conlon</v>
      </c>
    </row>
    <row r="31714">
      <c r="A31714" s="1" t="s">
        <v>31713</v>
      </c>
      <c r="B31714" s="2" t="str">
        <f>IFERROR(__xludf.DUMMYFUNCTION("GOOGLETRANSLATE(A31714, ""de"", ""en"")"),"stafford")</f>
        <v>stafford</v>
      </c>
    </row>
    <row r="31715">
      <c r="A31715" s="1" t="s">
        <v>31714</v>
      </c>
      <c r="B31715" s="2" t="str">
        <f>IFERROR(__xludf.DUMMYFUNCTION("GOOGLETRANSLATE(A31715, ""de"", ""en"")"),"chestnuts")</f>
        <v>chestnuts</v>
      </c>
    </row>
    <row r="31716">
      <c r="A31716" s="1" t="s">
        <v>31715</v>
      </c>
      <c r="B31716" s="2" t="str">
        <f>IFERROR(__xludf.DUMMYFUNCTION("GOOGLETRANSLATE(A31716, ""de"", ""en"")"),"landlord")</f>
        <v>landlord</v>
      </c>
    </row>
    <row r="31717">
      <c r="A31717" s="1" t="s">
        <v>31716</v>
      </c>
      <c r="B31717" s="2" t="str">
        <f>IFERROR(__xludf.DUMMYFUNCTION("GOOGLETRANSLATE(A31717, ""de"", ""en"")"),"en masse")</f>
        <v>en masse</v>
      </c>
    </row>
    <row r="31718">
      <c r="A31718" s="1" t="s">
        <v>31717</v>
      </c>
      <c r="B31718" s="2" t="str">
        <f>IFERROR(__xludf.DUMMYFUNCTION("GOOGLETRANSLATE(A31718, ""de"", ""en"")"),"liberated")</f>
        <v>liberated</v>
      </c>
    </row>
    <row r="31719">
      <c r="A31719" s="1" t="s">
        <v>31718</v>
      </c>
      <c r="B31719" s="2" t="str">
        <f>IFERROR(__xludf.DUMMYFUNCTION("GOOGLETRANSLATE(A31719, ""de"", ""en"")"),"massa")</f>
        <v>massa</v>
      </c>
    </row>
    <row r="31720">
      <c r="A31720" s="1" t="s">
        <v>31719</v>
      </c>
      <c r="B31720" s="2" t="str">
        <f>IFERROR(__xludf.DUMMYFUNCTION("GOOGLETRANSLATE(A31720, ""de"", ""en"")"),"separate")</f>
        <v>separate</v>
      </c>
    </row>
    <row r="31721">
      <c r="A31721" s="1" t="s">
        <v>31720</v>
      </c>
      <c r="B31721" s="2" t="str">
        <f>IFERROR(__xludf.DUMMYFUNCTION("GOOGLETRANSLATE(A31721, ""de"", ""en"")"),"preference")</f>
        <v>preference</v>
      </c>
    </row>
    <row r="31722">
      <c r="A31722" s="1" t="s">
        <v>31721</v>
      </c>
      <c r="B31722" s="2" t="str">
        <f>IFERROR(__xludf.DUMMYFUNCTION("GOOGLETRANSLATE(A31722, ""de"", ""en"")"),"receive")</f>
        <v>receive</v>
      </c>
    </row>
    <row r="31723">
      <c r="A31723" s="1" t="s">
        <v>31722</v>
      </c>
      <c r="B31723" s="2" t="str">
        <f>IFERROR(__xludf.DUMMYFUNCTION("GOOGLETRANSLATE(A31723, ""de"", ""en"")"),"chosen")</f>
        <v>chosen</v>
      </c>
    </row>
    <row r="31724">
      <c r="A31724" s="1" t="s">
        <v>31723</v>
      </c>
      <c r="B31724" s="2" t="str">
        <f>IFERROR(__xludf.DUMMYFUNCTION("GOOGLETRANSLATE(A31724, ""de"", ""en"")"),"jump on")</f>
        <v>jump on</v>
      </c>
    </row>
    <row r="31725">
      <c r="A31725" s="1" t="s">
        <v>31724</v>
      </c>
      <c r="B31725" s="2" t="str">
        <f>IFERROR(__xludf.DUMMYFUNCTION("GOOGLETRANSLATE(A31725, ""de"", ""en"")"),"polka")</f>
        <v>polka</v>
      </c>
    </row>
    <row r="31726">
      <c r="A31726" s="1" t="s">
        <v>31725</v>
      </c>
      <c r="B31726" s="2" t="str">
        <f>IFERROR(__xludf.DUMMYFUNCTION("GOOGLETRANSLATE(A31726, ""de"", ""en"")"),"republican")</f>
        <v>republican</v>
      </c>
    </row>
    <row r="31727">
      <c r="A31727" s="1" t="s">
        <v>31726</v>
      </c>
      <c r="B31727" s="2" t="str">
        <f>IFERROR(__xludf.DUMMYFUNCTION("GOOGLETRANSLATE(A31727, ""de"", ""en"")"),"successor")</f>
        <v>successor</v>
      </c>
    </row>
    <row r="31728">
      <c r="A31728" s="1" t="s">
        <v>31727</v>
      </c>
      <c r="B31728" s="2" t="str">
        <f>IFERROR(__xludf.DUMMYFUNCTION("GOOGLETRANSLATE(A31728, ""de"", ""en"")"),"editor")</f>
        <v>editor</v>
      </c>
    </row>
    <row r="31729">
      <c r="A31729" s="1" t="s">
        <v>31728</v>
      </c>
      <c r="B31729" s="2" t="str">
        <f>IFERROR(__xludf.DUMMYFUNCTION("GOOGLETRANSLATE(A31729, ""de"", ""en"")"),"grant")</f>
        <v>grant</v>
      </c>
    </row>
    <row r="31730">
      <c r="A31730" s="1" t="s">
        <v>31729</v>
      </c>
      <c r="B31730" s="2" t="str">
        <f>IFERROR(__xludf.DUMMYFUNCTION("GOOGLETRANSLATE(A31730, ""de"", ""en"")"),"tout")</f>
        <v>tout</v>
      </c>
    </row>
    <row r="31731">
      <c r="A31731" s="1" t="s">
        <v>31730</v>
      </c>
      <c r="B31731" s="2" t="str">
        <f>IFERROR(__xludf.DUMMYFUNCTION("GOOGLETRANSLATE(A31731, ""de"", ""en"")"),"guitars")</f>
        <v>guitars</v>
      </c>
    </row>
    <row r="31732">
      <c r="A31732" s="1" t="s">
        <v>31731</v>
      </c>
      <c r="B31732" s="2" t="str">
        <f>IFERROR(__xludf.DUMMYFUNCTION("GOOGLETRANSLATE(A31732, ""de"", ""en"")"),"weekly")</f>
        <v>weekly</v>
      </c>
    </row>
    <row r="31733">
      <c r="A31733" s="1" t="s">
        <v>31732</v>
      </c>
      <c r="B31733" s="2" t="str">
        <f>IFERROR(__xludf.DUMMYFUNCTION("GOOGLETRANSLATE(A31733, ""de"", ""en"")"),"beginner's luck")</f>
        <v>beginner's luck</v>
      </c>
    </row>
    <row r="31734">
      <c r="A31734" s="1" t="s">
        <v>31733</v>
      </c>
      <c r="B31734" s="2" t="str">
        <f>IFERROR(__xludf.DUMMYFUNCTION("GOOGLETRANSLATE(A31734, ""de"", ""en"")"),"rescue capsule")</f>
        <v>rescue capsule</v>
      </c>
    </row>
    <row r="31735">
      <c r="A31735" s="1" t="s">
        <v>31734</v>
      </c>
      <c r="B31735" s="2" t="str">
        <f>IFERROR(__xludf.DUMMYFUNCTION("GOOGLETRANSLATE(A31735, ""de"", ""en"")"),"musical")</f>
        <v>musical</v>
      </c>
    </row>
    <row r="31736">
      <c r="A31736" s="1" t="s">
        <v>31735</v>
      </c>
      <c r="B31736" s="2" t="str">
        <f>IFERROR(__xludf.DUMMYFUNCTION("GOOGLETRANSLATE(A31736, ""de"", ""en"")"),"lindbergh")</f>
        <v>lindbergh</v>
      </c>
    </row>
    <row r="31737">
      <c r="A31737" s="1" t="s">
        <v>31736</v>
      </c>
      <c r="B31737" s="2" t="str">
        <f>IFERROR(__xludf.DUMMYFUNCTION("GOOGLETRANSLATE(A31737, ""de"", ""en"")"),"physical examination")</f>
        <v>physical examination</v>
      </c>
    </row>
    <row r="31738">
      <c r="A31738" s="1" t="s">
        <v>31737</v>
      </c>
      <c r="B31738" s="2" t="str">
        <f>IFERROR(__xludf.DUMMYFUNCTION("GOOGLETRANSLATE(A31738, ""de"", ""en"")"),"runway")</f>
        <v>runway</v>
      </c>
    </row>
    <row r="31739">
      <c r="A31739" s="1" t="s">
        <v>31738</v>
      </c>
      <c r="B31739" s="2" t="str">
        <f>IFERROR(__xludf.DUMMYFUNCTION("GOOGLETRANSLATE(A31739, ""de"", ""en"")"),"hamish")</f>
        <v>hamish</v>
      </c>
    </row>
    <row r="31740">
      <c r="A31740" s="1" t="s">
        <v>31739</v>
      </c>
      <c r="B31740" s="2" t="str">
        <f>IFERROR(__xludf.DUMMYFUNCTION("GOOGLETRANSLATE(A31740, ""de"", ""en"")"),"dachshund")</f>
        <v>dachshund</v>
      </c>
    </row>
    <row r="31741">
      <c r="A31741" s="1" t="s">
        <v>31740</v>
      </c>
      <c r="B31741" s="2" t="str">
        <f>IFERROR(__xludf.DUMMYFUNCTION("GOOGLETRANSLATE(A31741, ""de"", ""en"")"),"present")</f>
        <v>present</v>
      </c>
    </row>
    <row r="31742">
      <c r="A31742" s="1" t="s">
        <v>31741</v>
      </c>
      <c r="B31742" s="2" t="str">
        <f>IFERROR(__xludf.DUMMYFUNCTION("GOOGLETRANSLATE(A31742, ""de"", ""en"")"),"found")</f>
        <v>found</v>
      </c>
    </row>
    <row r="31743">
      <c r="A31743" s="1" t="s">
        <v>31742</v>
      </c>
      <c r="B31743" s="2" t="str">
        <f>IFERROR(__xludf.DUMMYFUNCTION("GOOGLETRANSLATE(A31743, ""de"", ""en"")"),"fill")</f>
        <v>fill</v>
      </c>
    </row>
    <row r="31744">
      <c r="A31744" s="1" t="s">
        <v>31743</v>
      </c>
      <c r="B31744" s="2" t="str">
        <f>IFERROR(__xludf.DUMMYFUNCTION("GOOGLETRANSLATE(A31744, ""de"", ""en"")"),"belong together")</f>
        <v>belong together</v>
      </c>
    </row>
    <row r="31745">
      <c r="A31745" s="1" t="s">
        <v>31744</v>
      </c>
      <c r="B31745" s="2" t="str">
        <f>IFERROR(__xludf.DUMMYFUNCTION("GOOGLETRANSLATE(A31745, ""de"", ""en"")"),"bwana")</f>
        <v>bwana</v>
      </c>
    </row>
    <row r="31746">
      <c r="A31746" s="1" t="s">
        <v>31745</v>
      </c>
      <c r="B31746" s="2" t="str">
        <f>IFERROR(__xludf.DUMMYFUNCTION("GOOGLETRANSLATE(A31746, ""de"", ""en"")"),"death trap")</f>
        <v>death trap</v>
      </c>
    </row>
    <row r="31747">
      <c r="A31747" s="1" t="s">
        <v>31746</v>
      </c>
      <c r="B31747" s="2" t="str">
        <f>IFERROR(__xludf.DUMMYFUNCTION("GOOGLETRANSLATE(A31747, ""de"", ""en"")"),"more painful")</f>
        <v>more painful</v>
      </c>
    </row>
    <row r="31748">
      <c r="A31748" s="1" t="s">
        <v>31747</v>
      </c>
      <c r="B31748" s="2" t="str">
        <f>IFERROR(__xludf.DUMMYFUNCTION("GOOGLETRANSLATE(A31748, ""de"", ""en"")"),"laughable")</f>
        <v>laughable</v>
      </c>
    </row>
    <row r="31749">
      <c r="A31749" s="1" t="s">
        <v>31748</v>
      </c>
      <c r="B31749" s="2" t="str">
        <f>IFERROR(__xludf.DUMMYFUNCTION("GOOGLETRANSLATE(A31749, ""de"", ""en"")"),"mortar")</f>
        <v>mortar</v>
      </c>
    </row>
    <row r="31750">
      <c r="A31750" s="1" t="s">
        <v>31749</v>
      </c>
      <c r="B31750" s="2" t="str">
        <f>IFERROR(__xludf.DUMMYFUNCTION("GOOGLETRANSLATE(A31750, ""de"", ""en"")"),"Shauna")</f>
        <v>Shauna</v>
      </c>
    </row>
    <row r="31751">
      <c r="A31751" s="1" t="s">
        <v>31750</v>
      </c>
      <c r="B31751" s="2" t="str">
        <f>IFERROR(__xludf.DUMMYFUNCTION("GOOGLETRANSLATE(A31751, ""de"", ""en"")"),"three cheese high")</f>
        <v>three cheese high</v>
      </c>
    </row>
    <row r="31752">
      <c r="A31752" s="1" t="s">
        <v>31751</v>
      </c>
      <c r="B31752" s="2" t="str">
        <f>IFERROR(__xludf.DUMMYFUNCTION("GOOGLETRANSLATE(A31752, ""de"", ""en"")"),"loose")</f>
        <v>loose</v>
      </c>
    </row>
    <row r="31753">
      <c r="A31753" s="1" t="s">
        <v>31752</v>
      </c>
      <c r="B31753" s="2" t="str">
        <f>IFERROR(__xludf.DUMMYFUNCTION("GOOGLETRANSLATE(A31753, ""de"", ""en"")"),"yet")</f>
        <v>yet</v>
      </c>
    </row>
    <row r="31754">
      <c r="A31754" s="1" t="s">
        <v>31753</v>
      </c>
      <c r="B31754" s="2" t="str">
        <f>IFERROR(__xludf.DUMMYFUNCTION("GOOGLETRANSLATE(A31754, ""de"", ""en"")"),"ram")</f>
        <v>ram</v>
      </c>
    </row>
    <row r="31755">
      <c r="A31755" s="1" t="s">
        <v>31754</v>
      </c>
      <c r="B31755" s="2" t="str">
        <f>IFERROR(__xludf.DUMMYFUNCTION("GOOGLETRANSLATE(A31755, ""de"", ""en"")"),"to take back")</f>
        <v>to take back</v>
      </c>
    </row>
    <row r="31756">
      <c r="A31756" s="1" t="s">
        <v>31755</v>
      </c>
      <c r="B31756" s="2" t="str">
        <f>IFERROR(__xludf.DUMMYFUNCTION("GOOGLETRANSLATE(A31756, ""de"", ""en"")"),"fraudster")</f>
        <v>fraudster</v>
      </c>
    </row>
    <row r="31757">
      <c r="A31757" s="1" t="s">
        <v>31756</v>
      </c>
      <c r="B31757" s="2" t="str">
        <f>IFERROR(__xludf.DUMMYFUNCTION("GOOGLETRANSLATE(A31757, ""de"", ""en"")"),"santini")</f>
        <v>santini</v>
      </c>
    </row>
    <row r="31758">
      <c r="A31758" s="1" t="s">
        <v>31757</v>
      </c>
      <c r="B31758" s="2" t="str">
        <f>IFERROR(__xludf.DUMMYFUNCTION("GOOGLETRANSLATE(A31758, ""de"", ""en"")"),"barnaby")</f>
        <v>barnaby</v>
      </c>
    </row>
    <row r="31759">
      <c r="A31759" s="1" t="s">
        <v>31758</v>
      </c>
      <c r="B31759" s="2" t="str">
        <f>IFERROR(__xludf.DUMMYFUNCTION("GOOGLETRANSLATE(A31759, ""de"", ""en"")"),"catch")</f>
        <v>catch</v>
      </c>
    </row>
    <row r="31760">
      <c r="A31760" s="1" t="s">
        <v>31759</v>
      </c>
      <c r="B31760" s="2" t="str">
        <f>IFERROR(__xludf.DUMMYFUNCTION("GOOGLETRANSLATE(A31760, ""de"", ""en"")"),"anjali")</f>
        <v>anjali</v>
      </c>
    </row>
    <row r="31761">
      <c r="A31761" s="1" t="s">
        <v>31760</v>
      </c>
      <c r="B31761" s="2" t="str">
        <f>IFERROR(__xludf.DUMMYFUNCTION("GOOGLETRANSLATE(A31761, ""de"", ""en"")"),"is inside")</f>
        <v>is inside</v>
      </c>
    </row>
    <row r="31762">
      <c r="A31762" s="1" t="s">
        <v>31761</v>
      </c>
      <c r="B31762" s="2" t="str">
        <f>IFERROR(__xludf.DUMMYFUNCTION("GOOGLETRANSLATE(A31762, ""de"", ""en"")"),"pure")</f>
        <v>pure</v>
      </c>
    </row>
    <row r="31763">
      <c r="A31763" s="1" t="s">
        <v>31762</v>
      </c>
      <c r="B31763" s="2" t="str">
        <f>IFERROR(__xludf.DUMMYFUNCTION("GOOGLETRANSLATE(A31763, ""de"", ""en"")"),"acidic")</f>
        <v>acidic</v>
      </c>
    </row>
    <row r="31764">
      <c r="A31764" s="1" t="s">
        <v>31763</v>
      </c>
      <c r="B31764" s="2" t="str">
        <f>IFERROR(__xludf.DUMMYFUNCTION("GOOGLETRANSLATE(A31764, ""de"", ""en"")"),"repeal")</f>
        <v>repeal</v>
      </c>
    </row>
    <row r="31765">
      <c r="A31765" s="1" t="s">
        <v>31764</v>
      </c>
      <c r="B31765" s="2" t="str">
        <f>IFERROR(__xludf.DUMMYFUNCTION("GOOGLETRANSLATE(A31765, ""de"", ""en"")"),"right to have a say")</f>
        <v>right to have a say</v>
      </c>
    </row>
    <row r="31766">
      <c r="A31766" s="1" t="s">
        <v>31765</v>
      </c>
      <c r="B31766" s="2" t="str">
        <f>IFERROR(__xludf.DUMMYFUNCTION("GOOGLETRANSLATE(A31766, ""de"", ""en"")"),"war criminal")</f>
        <v>war criminal</v>
      </c>
    </row>
    <row r="31767">
      <c r="A31767" s="1" t="s">
        <v>31766</v>
      </c>
      <c r="B31767" s="2" t="str">
        <f>IFERROR(__xludf.DUMMYFUNCTION("GOOGLETRANSLATE(A31767, ""de"", ""en"")"),"uncle")</f>
        <v>uncle</v>
      </c>
    </row>
    <row r="31768">
      <c r="A31768" s="1" t="s">
        <v>31767</v>
      </c>
      <c r="B31768" s="2" t="str">
        <f>IFERROR(__xludf.DUMMYFUNCTION("GOOGLETRANSLATE(A31768, ""de"", ""en"")"),"endangered")</f>
        <v>endangered</v>
      </c>
    </row>
    <row r="31769">
      <c r="A31769" s="1" t="s">
        <v>31768</v>
      </c>
      <c r="B31769" s="2" t="str">
        <f>IFERROR(__xludf.DUMMYFUNCTION("GOOGLETRANSLATE(A31769, ""de"", ""en"")"),"murder")</f>
        <v>murder</v>
      </c>
    </row>
    <row r="31770">
      <c r="A31770" s="1" t="s">
        <v>31769</v>
      </c>
      <c r="B31770" s="2" t="str">
        <f>IFERROR(__xludf.DUMMYFUNCTION("GOOGLETRANSLATE(A31770, ""de"", ""en"")"),"emp")</f>
        <v>emp</v>
      </c>
    </row>
    <row r="31771">
      <c r="A31771" s="1" t="s">
        <v>31770</v>
      </c>
      <c r="B31771" s="2" t="str">
        <f>IFERROR(__xludf.DUMMYFUNCTION("GOOGLETRANSLATE(A31771, ""de"", ""en"")"),"handled")</f>
        <v>handled</v>
      </c>
    </row>
    <row r="31772">
      <c r="A31772" s="1" t="s">
        <v>31771</v>
      </c>
      <c r="B31772" s="2" t="str">
        <f>IFERROR(__xludf.DUMMYFUNCTION("GOOGLETRANSLATE(A31772, ""de"", ""en"")"),"trav")</f>
        <v>trav</v>
      </c>
    </row>
    <row r="31773">
      <c r="A31773" s="1" t="s">
        <v>31772</v>
      </c>
      <c r="B31773" s="2" t="str">
        <f>IFERROR(__xludf.DUMMYFUNCTION("GOOGLETRANSLATE(A31773, ""de"", ""en"")"),"finished")</f>
        <v>finished</v>
      </c>
    </row>
    <row r="31774">
      <c r="A31774" s="1" t="s">
        <v>31773</v>
      </c>
      <c r="B31774" s="2" t="str">
        <f>IFERROR(__xludf.DUMMYFUNCTION("GOOGLETRANSLATE(A31774, ""de"", ""en"")"),"for my sake")</f>
        <v>for my sake</v>
      </c>
    </row>
    <row r="31775">
      <c r="A31775" s="1" t="s">
        <v>31774</v>
      </c>
      <c r="B31775" s="2" t="str">
        <f>IFERROR(__xludf.DUMMYFUNCTION("GOOGLETRANSLATE(A31775, ""de"", ""en"")"),"lazlo")</f>
        <v>lazlo</v>
      </c>
    </row>
    <row r="31776">
      <c r="A31776" s="1" t="s">
        <v>31775</v>
      </c>
      <c r="B31776" s="2" t="str">
        <f>IFERROR(__xludf.DUMMYFUNCTION("GOOGLETRANSLATE(A31776, ""de"", ""en"")"),"ce")</f>
        <v>ce</v>
      </c>
    </row>
    <row r="31777">
      <c r="A31777" s="1" t="s">
        <v>31776</v>
      </c>
      <c r="B31777" s="2" t="str">
        <f>IFERROR(__xludf.DUMMYFUNCTION("GOOGLETRANSLATE(A31777, ""de"", ""en"")"),"croissant")</f>
        <v>croissant</v>
      </c>
    </row>
    <row r="31778">
      <c r="A31778" s="1" t="s">
        <v>31777</v>
      </c>
      <c r="B31778" s="2" t="str">
        <f>IFERROR(__xludf.DUMMYFUNCTION("GOOGLETRANSLATE(A31778, ""de"", ""en"")"),"apparatus")</f>
        <v>apparatus</v>
      </c>
    </row>
    <row r="31779">
      <c r="A31779" s="1" t="s">
        <v>31778</v>
      </c>
      <c r="B31779" s="2" t="str">
        <f>IFERROR(__xludf.DUMMYFUNCTION("GOOGLETRANSLATE(A31779, ""de"", ""en"")"),"have on")</f>
        <v>have on</v>
      </c>
    </row>
    <row r="31780">
      <c r="A31780" s="1" t="s">
        <v>31779</v>
      </c>
      <c r="B31780" s="2" t="str">
        <f>IFERROR(__xludf.DUMMYFUNCTION("GOOGLETRANSLATE(A31780, ""de"", ""en"")"),"incomparable")</f>
        <v>incomparable</v>
      </c>
    </row>
    <row r="31781">
      <c r="A31781" s="1" t="s">
        <v>31780</v>
      </c>
      <c r="B31781" s="2" t="str">
        <f>IFERROR(__xludf.DUMMYFUNCTION("GOOGLETRANSLATE(A31781, ""de"", ""en"")"),"evaluation")</f>
        <v>evaluation</v>
      </c>
    </row>
    <row r="31782">
      <c r="A31782" s="1" t="s">
        <v>31781</v>
      </c>
      <c r="B31782" s="2" t="str">
        <f>IFERROR(__xludf.DUMMYFUNCTION("GOOGLETRANSLATE(A31782, ""de"", ""en"")"),"drug abuse")</f>
        <v>drug abuse</v>
      </c>
    </row>
    <row r="31783">
      <c r="A31783" s="1" t="s">
        <v>31782</v>
      </c>
      <c r="B31783" s="2" t="str">
        <f>IFERROR(__xludf.DUMMYFUNCTION("GOOGLETRANSLATE(A31783, ""de"", ""en"")"),"hakim")</f>
        <v>hakim</v>
      </c>
    </row>
    <row r="31784">
      <c r="A31784" s="1" t="s">
        <v>31783</v>
      </c>
      <c r="B31784" s="2" t="str">
        <f>IFERROR(__xludf.DUMMYFUNCTION("GOOGLETRANSLATE(A31784, ""de"", ""en"")"),"amar")</f>
        <v>amar</v>
      </c>
    </row>
    <row r="31785">
      <c r="A31785" s="1" t="s">
        <v>31784</v>
      </c>
      <c r="B31785" s="2" t="str">
        <f>IFERROR(__xludf.DUMMYFUNCTION("GOOGLETRANSLATE(A31785, ""de"", ""en"")"),"funeral home")</f>
        <v>funeral home</v>
      </c>
    </row>
    <row r="31786">
      <c r="A31786" s="1" t="s">
        <v>31785</v>
      </c>
      <c r="B31786" s="2" t="str">
        <f>IFERROR(__xludf.DUMMYFUNCTION("GOOGLETRANSLATE(A31786, ""de"", ""en"")"),"earth surface")</f>
        <v>earth surface</v>
      </c>
    </row>
    <row r="31787">
      <c r="A31787" s="1" t="s">
        <v>31786</v>
      </c>
      <c r="B31787" s="2" t="str">
        <f>IFERROR(__xludf.DUMMYFUNCTION("GOOGLETRANSLATE(A31787, ""de"", ""en"")"),"considered")</f>
        <v>considered</v>
      </c>
    </row>
    <row r="31788">
      <c r="A31788" s="1" t="s">
        <v>31787</v>
      </c>
      <c r="B31788" s="2" t="str">
        <f>IFERROR(__xludf.DUMMYFUNCTION("GOOGLETRANSLATE(A31788, ""de"", ""en"")"),"creator")</f>
        <v>creator</v>
      </c>
    </row>
    <row r="31789">
      <c r="A31789" s="1" t="s">
        <v>31788</v>
      </c>
      <c r="B31789" s="2" t="str">
        <f>IFERROR(__xludf.DUMMYFUNCTION("GOOGLETRANSLATE(A31789, ""de"", ""en"")"),"simplicity")</f>
        <v>simplicity</v>
      </c>
    </row>
    <row r="31790">
      <c r="A31790" s="1" t="s">
        <v>31789</v>
      </c>
      <c r="B31790" s="2" t="str">
        <f>IFERROR(__xludf.DUMMYFUNCTION("GOOGLETRANSLATE(A31790, ""de"", ""en"")"),"deux")</f>
        <v>deux</v>
      </c>
    </row>
    <row r="31791">
      <c r="A31791" s="1" t="s">
        <v>31790</v>
      </c>
      <c r="B31791" s="2" t="str">
        <f>IFERROR(__xludf.DUMMYFUNCTION("GOOGLETRANSLATE(A31791, ""de"", ""en"")"),"alphabetical")</f>
        <v>alphabetical</v>
      </c>
    </row>
    <row r="31792">
      <c r="A31792" s="1" t="s">
        <v>31791</v>
      </c>
      <c r="B31792" s="2" t="str">
        <f>IFERROR(__xludf.DUMMYFUNCTION("GOOGLETRANSLATE(A31792, ""de"", ""en"")"),"mental hospital")</f>
        <v>mental hospital</v>
      </c>
    </row>
    <row r="31793">
      <c r="A31793" s="1" t="s">
        <v>31792</v>
      </c>
      <c r="B31793" s="2" t="str">
        <f>IFERROR(__xludf.DUMMYFUNCTION("GOOGLETRANSLATE(A31793, ""de"", ""en"")"),"central station")</f>
        <v>central station</v>
      </c>
    </row>
    <row r="31794">
      <c r="A31794" s="1" t="s">
        <v>31793</v>
      </c>
      <c r="B31794" s="2" t="str">
        <f>IFERROR(__xludf.DUMMYFUNCTION("GOOGLETRANSLATE(A31794, ""de"", ""en"")"),"shush")</f>
        <v>shush</v>
      </c>
    </row>
    <row r="31795">
      <c r="A31795" s="1" t="s">
        <v>31794</v>
      </c>
      <c r="B31795" s="2" t="str">
        <f>IFERROR(__xludf.DUMMYFUNCTION("GOOGLETRANSLATE(A31795, ""de"", ""en"")"),"cherie")</f>
        <v>cherie</v>
      </c>
    </row>
    <row r="31796">
      <c r="A31796" s="1" t="s">
        <v>31795</v>
      </c>
      <c r="B31796" s="2" t="str">
        <f>IFERROR(__xludf.DUMMYFUNCTION("GOOGLETRANSLATE(A31796, ""de"", ""en"")"),"scenarios")</f>
        <v>scenarios</v>
      </c>
    </row>
    <row r="31797">
      <c r="A31797" s="1" t="s">
        <v>31796</v>
      </c>
      <c r="B31797" s="2" t="str">
        <f>IFERROR(__xludf.DUMMYFUNCTION("GOOGLETRANSLATE(A31797, ""de"", ""en"")"),"rejection")</f>
        <v>rejection</v>
      </c>
    </row>
    <row r="31798">
      <c r="A31798" s="1" t="s">
        <v>31797</v>
      </c>
      <c r="B31798" s="2" t="str">
        <f>IFERROR(__xludf.DUMMYFUNCTION("GOOGLETRANSLATE(A31798, ""de"", ""en"")"),"katrine")</f>
        <v>katrine</v>
      </c>
    </row>
    <row r="31799">
      <c r="A31799" s="1" t="s">
        <v>31798</v>
      </c>
      <c r="B31799" s="2" t="str">
        <f>IFERROR(__xludf.DUMMYFUNCTION("GOOGLETRANSLATE(A31799, ""de"", ""en"")"),"fruit")</f>
        <v>fruit</v>
      </c>
    </row>
    <row r="31800">
      <c r="A31800" s="1" t="s">
        <v>31799</v>
      </c>
      <c r="B31800" s="2" t="str">
        <f>IFERROR(__xludf.DUMMYFUNCTION("GOOGLETRANSLATE(A31800, ""de"", ""en"")"),"y.")</f>
        <v>y.</v>
      </c>
    </row>
    <row r="31801">
      <c r="A31801" s="1" t="s">
        <v>31800</v>
      </c>
      <c r="B31801" s="2" t="str">
        <f>IFERROR(__xludf.DUMMYFUNCTION("GOOGLETRANSLATE(A31801, ""de"", ""en"")"),"stormy")</f>
        <v>stormy</v>
      </c>
    </row>
    <row r="31802">
      <c r="A31802" s="1" t="s">
        <v>31801</v>
      </c>
      <c r="B31802" s="2" t="str">
        <f>IFERROR(__xludf.DUMMYFUNCTION("GOOGLETRANSLATE(A31802, ""de"", ""en"")"),"teapot")</f>
        <v>teapot</v>
      </c>
    </row>
    <row r="31803">
      <c r="A31803" s="1" t="s">
        <v>31802</v>
      </c>
      <c r="B31803" s="2" t="str">
        <f>IFERROR(__xludf.DUMMYFUNCTION("GOOGLETRANSLATE(A31803, ""de"", ""en"")"),"author")</f>
        <v>author</v>
      </c>
    </row>
    <row r="31804">
      <c r="A31804" s="1" t="s">
        <v>31803</v>
      </c>
      <c r="B31804" s="2" t="str">
        <f>IFERROR(__xludf.DUMMYFUNCTION("GOOGLETRANSLATE(A31804, ""de"", ""en"")"),"mastered")</f>
        <v>mastered</v>
      </c>
    </row>
    <row r="31805">
      <c r="A31805" s="1" t="s">
        <v>31804</v>
      </c>
      <c r="B31805" s="2" t="str">
        <f>IFERROR(__xludf.DUMMYFUNCTION("GOOGLETRANSLATE(A31805, ""de"", ""en"")"),"gusto")</f>
        <v>gusto</v>
      </c>
    </row>
    <row r="31806">
      <c r="A31806" s="1" t="s">
        <v>31805</v>
      </c>
      <c r="B31806" s="2" t="str">
        <f>IFERROR(__xludf.DUMMYFUNCTION("GOOGLETRANSLATE(A31806, ""de"", ""en"")"),"tangible")</f>
        <v>tangible</v>
      </c>
    </row>
    <row r="31807">
      <c r="A31807" s="1" t="s">
        <v>31806</v>
      </c>
      <c r="B31807" s="2" t="str">
        <f>IFERROR(__xludf.DUMMYFUNCTION("GOOGLETRANSLATE(A31807, ""de"", ""en"")"),"drama")</f>
        <v>drama</v>
      </c>
    </row>
    <row r="31808">
      <c r="A31808" s="1" t="s">
        <v>31807</v>
      </c>
      <c r="B31808" s="2" t="str">
        <f>IFERROR(__xludf.DUMMYFUNCTION("GOOGLETRANSLATE(A31808, ""de"", ""en"")"),"halsey")</f>
        <v>halsey</v>
      </c>
    </row>
    <row r="31809">
      <c r="A31809" s="1" t="s">
        <v>31808</v>
      </c>
      <c r="B31809" s="2" t="str">
        <f>IFERROR(__xludf.DUMMYFUNCTION("GOOGLETRANSLATE(A31809, ""de"", ""en"")"),"silver")</f>
        <v>silver</v>
      </c>
    </row>
    <row r="31810">
      <c r="A31810" s="1" t="s">
        <v>31809</v>
      </c>
      <c r="B31810" s="2" t="str">
        <f>IFERROR(__xludf.DUMMYFUNCTION("GOOGLETRANSLATE(A31810, ""de"", ""en"")"),"registered")</f>
        <v>registered</v>
      </c>
    </row>
    <row r="31811">
      <c r="A31811" s="1" t="s">
        <v>31810</v>
      </c>
      <c r="B31811" s="2" t="str">
        <f>IFERROR(__xludf.DUMMYFUNCTION("GOOGLETRANSLATE(A31811, ""de"", ""en"")"),"tombstones")</f>
        <v>tombstones</v>
      </c>
    </row>
    <row r="31812">
      <c r="A31812" s="1" t="s">
        <v>31811</v>
      </c>
      <c r="B31812" s="2" t="str">
        <f>IFERROR(__xludf.DUMMYFUNCTION("GOOGLETRANSLATE(A31812, ""de"", ""en"")"),"fundraiser")</f>
        <v>fundraiser</v>
      </c>
    </row>
    <row r="31813">
      <c r="A31813" s="1" t="s">
        <v>31812</v>
      </c>
      <c r="B31813" s="2" t="str">
        <f>IFERROR(__xludf.DUMMYFUNCTION("GOOGLETRANSLATE(A31813, ""de"", ""en"")"),"mouse")</f>
        <v>mouse</v>
      </c>
    </row>
    <row r="31814">
      <c r="A31814" s="1" t="s">
        <v>31813</v>
      </c>
      <c r="B31814" s="2" t="str">
        <f>IFERROR(__xludf.DUMMYFUNCTION("GOOGLETRANSLATE(A31814, ""de"", ""en"")"),"idefix")</f>
        <v>idefix</v>
      </c>
    </row>
    <row r="31815">
      <c r="A31815" s="1" t="s">
        <v>31814</v>
      </c>
      <c r="B31815" s="2" t="str">
        <f>IFERROR(__xludf.DUMMYFUNCTION("GOOGLETRANSLATE(A31815, ""de"", ""en"")"),"fascinate")</f>
        <v>fascinate</v>
      </c>
    </row>
    <row r="31816">
      <c r="A31816" s="1" t="s">
        <v>31815</v>
      </c>
      <c r="B31816" s="2" t="str">
        <f>IFERROR(__xludf.DUMMYFUNCTION("GOOGLETRANSLATE(A31816, ""de"", ""en"")"),"darts")</f>
        <v>darts</v>
      </c>
    </row>
    <row r="31817">
      <c r="A31817" s="1" t="s">
        <v>31816</v>
      </c>
      <c r="B31817" s="2" t="str">
        <f>IFERROR(__xludf.DUMMYFUNCTION("GOOGLETRANSLATE(A31817, ""de"", ""en"")"),"empties")</f>
        <v>empties</v>
      </c>
    </row>
    <row r="31818">
      <c r="A31818" s="1" t="s">
        <v>31817</v>
      </c>
      <c r="B31818" s="2" t="str">
        <f>IFERROR(__xludf.DUMMYFUNCTION("GOOGLETRANSLATE(A31818, ""de"", ""en"")"),"mozzie")</f>
        <v>mozzie</v>
      </c>
    </row>
    <row r="31819">
      <c r="A31819" s="1" t="s">
        <v>31818</v>
      </c>
      <c r="B31819" s="2" t="str">
        <f>IFERROR(__xludf.DUMMYFUNCTION("GOOGLETRANSLATE(A31819, ""de"", ""en"")"),"village idiot")</f>
        <v>village idiot</v>
      </c>
    </row>
    <row r="31820">
      <c r="A31820" s="1" t="s">
        <v>31819</v>
      </c>
      <c r="B31820" s="2" t="str">
        <f>IFERROR(__xludf.DUMMYFUNCTION("GOOGLETRANSLATE(A31820, ""de"", ""en"")"),"used car")</f>
        <v>used car</v>
      </c>
    </row>
    <row r="31821">
      <c r="A31821" s="1" t="s">
        <v>31820</v>
      </c>
      <c r="B31821" s="2" t="str">
        <f>IFERROR(__xludf.DUMMYFUNCTION("GOOGLETRANSLATE(A31821, ""de"", ""en"")"),"logistics")</f>
        <v>logistics</v>
      </c>
    </row>
    <row r="31822">
      <c r="A31822" s="1" t="s">
        <v>31821</v>
      </c>
      <c r="B31822" s="2" t="str">
        <f>IFERROR(__xludf.DUMMYFUNCTION("GOOGLETRANSLATE(A31822, ""de"", ""en"")"),"vu")</f>
        <v>vu</v>
      </c>
    </row>
    <row r="31823">
      <c r="A31823" s="1" t="s">
        <v>31822</v>
      </c>
      <c r="B31823" s="2" t="str">
        <f>IFERROR(__xludf.DUMMYFUNCTION("GOOGLETRANSLATE(A31823, ""de"", ""en"")"),"gu")</f>
        <v>gu</v>
      </c>
    </row>
    <row r="31824">
      <c r="A31824" s="1" t="s">
        <v>31823</v>
      </c>
      <c r="B31824" s="2" t="str">
        <f>IFERROR(__xludf.DUMMYFUNCTION("GOOGLETRANSLATE(A31824, ""de"", ""en"")"),"specific")</f>
        <v>specific</v>
      </c>
    </row>
    <row r="31825">
      <c r="A31825" s="1" t="s">
        <v>31824</v>
      </c>
      <c r="B31825" s="2" t="str">
        <f>IFERROR(__xludf.DUMMYFUNCTION("GOOGLETRANSLATE(A31825, ""de"", ""en"")"),"hatter")</f>
        <v>hatter</v>
      </c>
    </row>
    <row r="31826">
      <c r="A31826" s="1" t="s">
        <v>31825</v>
      </c>
      <c r="B31826" s="2" t="str">
        <f>IFERROR(__xludf.DUMMYFUNCTION("GOOGLETRANSLATE(A31826, ""de"", ""en"")"),"x-files")</f>
        <v>x-files</v>
      </c>
    </row>
    <row r="31827">
      <c r="A31827" s="1" t="s">
        <v>31826</v>
      </c>
      <c r="B31827" s="2" t="str">
        <f>IFERROR(__xludf.DUMMYFUNCTION("GOOGLETRANSLATE(A31827, ""de"", ""en"")"),"pal")</f>
        <v>pal</v>
      </c>
    </row>
    <row r="31828">
      <c r="A31828" s="1" t="s">
        <v>31827</v>
      </c>
      <c r="B31828" s="2" t="str">
        <f>IFERROR(__xludf.DUMMYFUNCTION("GOOGLETRANSLATE(A31828, ""de"", ""en"")"),"sign language")</f>
        <v>sign language</v>
      </c>
    </row>
    <row r="31829">
      <c r="A31829" s="1" t="s">
        <v>31828</v>
      </c>
      <c r="B31829" s="2" t="str">
        <f>IFERROR(__xludf.DUMMYFUNCTION("GOOGLETRANSLATE(A31829, ""de"", ""en"")"),"clipping")</f>
        <v>clipping</v>
      </c>
    </row>
    <row r="31830">
      <c r="A31830" s="1" t="s">
        <v>31829</v>
      </c>
      <c r="B31830" s="2" t="str">
        <f>IFERROR(__xludf.DUMMYFUNCTION("GOOGLETRANSLATE(A31830, ""de"", ""en"")"),"pendleton")</f>
        <v>pendleton</v>
      </c>
    </row>
    <row r="31831">
      <c r="A31831" s="1" t="s">
        <v>31830</v>
      </c>
      <c r="B31831" s="2" t="str">
        <f>IFERROR(__xludf.DUMMYFUNCTION("GOOGLETRANSLATE(A31831, ""de"", ""en"")"),"alcoholics")</f>
        <v>alcoholics</v>
      </c>
    </row>
    <row r="31832">
      <c r="A31832" s="1" t="s">
        <v>31831</v>
      </c>
      <c r="B31832" s="2" t="str">
        <f>IFERROR(__xludf.DUMMYFUNCTION("GOOGLETRANSLATE(A31832, ""de"", ""en"")"),"guinevere")</f>
        <v>guinevere</v>
      </c>
    </row>
    <row r="31833">
      <c r="A31833" s="1" t="s">
        <v>31832</v>
      </c>
      <c r="B31833" s="2" t="str">
        <f>IFERROR(__xludf.DUMMYFUNCTION("GOOGLETRANSLATE(A31833, ""de"", ""en"")"),"special command")</f>
        <v>special command</v>
      </c>
    </row>
    <row r="31834">
      <c r="A31834" s="1" t="s">
        <v>31833</v>
      </c>
      <c r="B31834" s="2" t="str">
        <f>IFERROR(__xludf.DUMMYFUNCTION("GOOGLETRANSLATE(A31834, ""de"", ""en"")"),"mitigating")</f>
        <v>mitigating</v>
      </c>
    </row>
    <row r="31835">
      <c r="A31835" s="1" t="s">
        <v>31834</v>
      </c>
      <c r="B31835" s="2" t="str">
        <f>IFERROR(__xludf.DUMMYFUNCTION("GOOGLETRANSLATE(A31835, ""de"", ""en"")"),"blows")</f>
        <v>blows</v>
      </c>
    </row>
    <row r="31836">
      <c r="A31836" s="1" t="s">
        <v>31835</v>
      </c>
      <c r="B31836" s="2" t="str">
        <f>IFERROR(__xludf.DUMMYFUNCTION("GOOGLETRANSLATE(A31836, ""de"", ""en"")"),"clarified")</f>
        <v>clarified</v>
      </c>
    </row>
    <row r="31837">
      <c r="A31837" s="1" t="s">
        <v>31836</v>
      </c>
      <c r="B31837" s="2" t="str">
        <f>IFERROR(__xludf.DUMMYFUNCTION("GOOGLETRANSLATE(A31837, ""de"", ""en"")"),"hustler")</f>
        <v>hustler</v>
      </c>
    </row>
    <row r="31838">
      <c r="A31838" s="1" t="s">
        <v>31837</v>
      </c>
      <c r="B31838" s="2" t="str">
        <f>IFERROR(__xludf.DUMMYFUNCTION("GOOGLETRANSLATE(A31838, ""de"", ""en"")"),"captains")</f>
        <v>captains</v>
      </c>
    </row>
    <row r="31839">
      <c r="A31839" s="1" t="s">
        <v>31838</v>
      </c>
      <c r="B31839" s="2" t="str">
        <f>IFERROR(__xludf.DUMMYFUNCTION("GOOGLETRANSLATE(A31839, ""de"", ""en"")"),"painted")</f>
        <v>painted</v>
      </c>
    </row>
    <row r="31840">
      <c r="A31840" s="1" t="s">
        <v>31839</v>
      </c>
      <c r="B31840" s="2" t="str">
        <f>IFERROR(__xludf.DUMMYFUNCTION("GOOGLETRANSLATE(A31840, ""de"", ""en"")"),"spied on")</f>
        <v>spied on</v>
      </c>
    </row>
    <row r="31841">
      <c r="A31841" s="1" t="s">
        <v>31840</v>
      </c>
      <c r="B31841" s="2" t="str">
        <f>IFERROR(__xludf.DUMMYFUNCTION("GOOGLETRANSLATE(A31841, ""de"", ""en"")"),"squadron")</f>
        <v>squadron</v>
      </c>
    </row>
    <row r="31842">
      <c r="A31842" s="1" t="s">
        <v>31841</v>
      </c>
      <c r="B31842" s="2" t="str">
        <f>IFERROR(__xludf.DUMMYFUNCTION("GOOGLETRANSLATE(A31842, ""de"", ""en"")"),"carls")</f>
        <v>carls</v>
      </c>
    </row>
    <row r="31843">
      <c r="A31843" s="1" t="s">
        <v>31842</v>
      </c>
      <c r="B31843" s="2" t="str">
        <f>IFERROR(__xludf.DUMMYFUNCTION("GOOGLETRANSLATE(A31843, ""de"", ""en"")"),"penetrated")</f>
        <v>penetrated</v>
      </c>
    </row>
    <row r="31844">
      <c r="A31844" s="1" t="s">
        <v>31843</v>
      </c>
      <c r="B31844" s="2" t="str">
        <f>IFERROR(__xludf.DUMMYFUNCTION("GOOGLETRANSLATE(A31844, ""de"", ""en"")"),"mm-mm")</f>
        <v>mm-mm</v>
      </c>
    </row>
    <row r="31845">
      <c r="A31845" s="1" t="s">
        <v>31844</v>
      </c>
      <c r="B31845" s="2" t="str">
        <f>IFERROR(__xludf.DUMMYFUNCTION("GOOGLETRANSLATE(A31845, ""de"", ""en"")"),"tightened")</f>
        <v>tightened</v>
      </c>
    </row>
    <row r="31846">
      <c r="A31846" s="1" t="s">
        <v>31845</v>
      </c>
      <c r="B31846" s="2" t="str">
        <f>IFERROR(__xludf.DUMMYFUNCTION("GOOGLETRANSLATE(A31846, ""de"", ""en"")"),"janeiro")</f>
        <v>janeiro</v>
      </c>
    </row>
    <row r="31847">
      <c r="A31847" s="1" t="s">
        <v>31846</v>
      </c>
      <c r="B31847" s="2" t="str">
        <f>IFERROR(__xludf.DUMMYFUNCTION("GOOGLETRANSLATE(A31847, ""de"", ""en"")"),"mirror")</f>
        <v>mirror</v>
      </c>
    </row>
    <row r="31848">
      <c r="A31848" s="1" t="s">
        <v>31847</v>
      </c>
      <c r="B31848" s="2" t="str">
        <f>IFERROR(__xludf.DUMMYFUNCTION("GOOGLETRANSLATE(A31848, ""de"", ""en"")"),"presses")</f>
        <v>presses</v>
      </c>
    </row>
    <row r="31849">
      <c r="A31849" s="1" t="s">
        <v>31848</v>
      </c>
      <c r="B31849" s="2" t="str">
        <f>IFERROR(__xludf.DUMMYFUNCTION("GOOGLETRANSLATE(A31849, ""de"", ""en"")"),"absurd")</f>
        <v>absurd</v>
      </c>
    </row>
    <row r="31850">
      <c r="A31850" s="1" t="s">
        <v>31849</v>
      </c>
      <c r="B31850" s="2" t="str">
        <f>IFERROR(__xludf.DUMMYFUNCTION("GOOGLETRANSLATE(A31850, ""de"", ""en"")"),"arch")</f>
        <v>arch</v>
      </c>
    </row>
    <row r="31851">
      <c r="A31851" s="1" t="s">
        <v>31850</v>
      </c>
      <c r="B31851" s="2" t="str">
        <f>IFERROR(__xludf.DUMMYFUNCTION("GOOGLETRANSLATE(A31851, ""de"", ""en"")"),"eye candy")</f>
        <v>eye candy</v>
      </c>
    </row>
    <row r="31852">
      <c r="A31852" s="1" t="s">
        <v>31851</v>
      </c>
      <c r="B31852" s="2" t="str">
        <f>IFERROR(__xludf.DUMMYFUNCTION("GOOGLETRANSLATE(A31852, ""de"", ""en"")"),"shit day")</f>
        <v>shit day</v>
      </c>
    </row>
    <row r="31853">
      <c r="A31853" s="1" t="s">
        <v>31852</v>
      </c>
      <c r="B31853" s="2" t="str">
        <f>IFERROR(__xludf.DUMMYFUNCTION("GOOGLETRANSLATE(A31853, ""de"", ""en"")"),"most romantic")</f>
        <v>most romantic</v>
      </c>
    </row>
    <row r="31854">
      <c r="A31854" s="1" t="s">
        <v>31853</v>
      </c>
      <c r="B31854" s="2" t="str">
        <f>IFERROR(__xludf.DUMMYFUNCTION("GOOGLETRANSLATE(A31854, ""de"", ""en"")"),"bran")</f>
        <v>bran</v>
      </c>
    </row>
    <row r="31855">
      <c r="A31855" s="1" t="s">
        <v>31854</v>
      </c>
      <c r="B31855" s="2" t="str">
        <f>IFERROR(__xludf.DUMMYFUNCTION("GOOGLETRANSLATE(A31855, ""de"", ""en"")"),"scams")</f>
        <v>scams</v>
      </c>
    </row>
    <row r="31856">
      <c r="A31856" s="1" t="s">
        <v>31855</v>
      </c>
      <c r="B31856" s="2" t="str">
        <f>IFERROR(__xludf.DUMMYFUNCTION("GOOGLETRANSLATE(A31856, ""de"", ""en"")"),"canal")</f>
        <v>canal</v>
      </c>
    </row>
    <row r="31857">
      <c r="A31857" s="1" t="s">
        <v>31856</v>
      </c>
      <c r="B31857" s="2" t="str">
        <f>IFERROR(__xludf.DUMMYFUNCTION("GOOGLETRANSLATE(A31857, ""de"", ""en"")"),"consumed")</f>
        <v>consumed</v>
      </c>
    </row>
    <row r="31858">
      <c r="A31858" s="1" t="s">
        <v>31857</v>
      </c>
      <c r="B31858" s="2" t="str">
        <f>IFERROR(__xludf.DUMMYFUNCTION("GOOGLETRANSLATE(A31858, ""de"", ""en"")"),"unsightly")</f>
        <v>unsightly</v>
      </c>
    </row>
    <row r="31859">
      <c r="A31859" s="1" t="s">
        <v>31858</v>
      </c>
      <c r="B31859" s="2" t="str">
        <f>IFERROR(__xludf.DUMMYFUNCTION("GOOGLETRANSLATE(A31859, ""de"", ""en"")"),"Eskimos")</f>
        <v>Eskimos</v>
      </c>
    </row>
    <row r="31860">
      <c r="A31860" s="1" t="s">
        <v>31859</v>
      </c>
      <c r="B31860" s="2" t="str">
        <f>IFERROR(__xludf.DUMMYFUNCTION("GOOGLETRANSLATE(A31860, ""de"", ""en"")"),"hypothermia")</f>
        <v>hypothermia</v>
      </c>
    </row>
    <row r="31861">
      <c r="A31861" s="1" t="s">
        <v>31860</v>
      </c>
      <c r="B31861" s="2" t="str">
        <f>IFERROR(__xludf.DUMMYFUNCTION("GOOGLETRANSLATE(A31861, ""de"", ""en"")"),"overall picture")</f>
        <v>overall picture</v>
      </c>
    </row>
    <row r="31862">
      <c r="A31862" s="1" t="s">
        <v>31861</v>
      </c>
      <c r="B31862" s="2" t="str">
        <f>IFERROR(__xludf.DUMMYFUNCTION("GOOGLETRANSLATE(A31862, ""de"", ""en"")"),"koen")</f>
        <v>koen</v>
      </c>
    </row>
    <row r="31863">
      <c r="A31863" s="1" t="s">
        <v>31862</v>
      </c>
      <c r="B31863" s="2" t="str">
        <f>IFERROR(__xludf.DUMMYFUNCTION("GOOGLETRANSLATE(A31863, ""de"", ""en"")"),"marriage counseling")</f>
        <v>marriage counseling</v>
      </c>
    </row>
    <row r="31864">
      <c r="A31864" s="1" t="s">
        <v>31863</v>
      </c>
      <c r="B31864" s="2" t="str">
        <f>IFERROR(__xludf.DUMMYFUNCTION("GOOGLETRANSLATE(A31864, ""de"", ""en"")"),"family man")</f>
        <v>family man</v>
      </c>
    </row>
    <row r="31865">
      <c r="A31865" s="1" t="s">
        <v>31864</v>
      </c>
      <c r="B31865" s="2" t="str">
        <f>IFERROR(__xludf.DUMMYFUNCTION("GOOGLETRANSLATE(A31865, ""de"", ""en"")"),"abdominal muscles")</f>
        <v>abdominal muscles</v>
      </c>
    </row>
    <row r="31866">
      <c r="A31866" s="1" t="s">
        <v>31865</v>
      </c>
      <c r="B31866" s="2" t="str">
        <f>IFERROR(__xludf.DUMMYFUNCTION("GOOGLETRANSLATE(A31866, ""de"", ""en"")"),"period of time")</f>
        <v>period of time</v>
      </c>
    </row>
    <row r="31867">
      <c r="A31867" s="1" t="s">
        <v>31866</v>
      </c>
      <c r="B31867" s="2" t="str">
        <f>IFERROR(__xludf.DUMMYFUNCTION("GOOGLETRANSLATE(A31867, ""de"", ""en"")"),"eroticism")</f>
        <v>eroticism</v>
      </c>
    </row>
    <row r="31868">
      <c r="A31868" s="1" t="s">
        <v>31867</v>
      </c>
      <c r="B31868" s="2" t="str">
        <f>IFERROR(__xludf.DUMMYFUNCTION("GOOGLETRANSLATE(A31868, ""de"", ""en"")"),"organize")</f>
        <v>organize</v>
      </c>
    </row>
    <row r="31869">
      <c r="A31869" s="1" t="s">
        <v>31868</v>
      </c>
      <c r="B31869" s="2" t="str">
        <f>IFERROR(__xludf.DUMMYFUNCTION("GOOGLETRANSLATE(A31869, ""de"", ""en"")"),"to get started")</f>
        <v>to get started</v>
      </c>
    </row>
    <row r="31870">
      <c r="A31870" s="1" t="s">
        <v>31869</v>
      </c>
      <c r="B31870" s="2" t="str">
        <f>IFERROR(__xludf.DUMMYFUNCTION("GOOGLETRANSLATE(A31870, ""de"", ""en"")"),"accommodating")</f>
        <v>accommodating</v>
      </c>
    </row>
    <row r="31871">
      <c r="A31871" s="1" t="s">
        <v>31870</v>
      </c>
      <c r="B31871" s="2" t="str">
        <f>IFERROR(__xludf.DUMMYFUNCTION("GOOGLETRANSLATE(A31871, ""de"", ""en"")"),"catwalk")</f>
        <v>catwalk</v>
      </c>
    </row>
    <row r="31872">
      <c r="A31872" s="1" t="s">
        <v>31871</v>
      </c>
      <c r="B31872" s="2" t="str">
        <f>IFERROR(__xludf.DUMMYFUNCTION("GOOGLETRANSLATE(A31872, ""de"", ""en"")"),"corrupted")</f>
        <v>corrupted</v>
      </c>
    </row>
    <row r="31873">
      <c r="A31873" s="1" t="s">
        <v>31872</v>
      </c>
      <c r="B31873" s="2" t="str">
        <f>IFERROR(__xludf.DUMMYFUNCTION("GOOGLETRANSLATE(A31873, ""de"", ""en"")"),"live together")</f>
        <v>live together</v>
      </c>
    </row>
    <row r="31874">
      <c r="A31874" s="1" t="s">
        <v>31873</v>
      </c>
      <c r="B31874" s="2" t="str">
        <f>IFERROR(__xludf.DUMMYFUNCTION("GOOGLETRANSLATE(A31874, ""de"", ""en"")"),"to initiate")</f>
        <v>to initiate</v>
      </c>
    </row>
    <row r="31875">
      <c r="A31875" s="1" t="s">
        <v>31874</v>
      </c>
      <c r="B31875" s="2" t="str">
        <f>IFERROR(__xludf.DUMMYFUNCTION("GOOGLETRANSLATE(A31875, ""de"", ""en"")"),"sandro")</f>
        <v>sandro</v>
      </c>
    </row>
    <row r="31876">
      <c r="A31876" s="1" t="s">
        <v>31875</v>
      </c>
      <c r="B31876" s="2" t="str">
        <f>IFERROR(__xludf.DUMMYFUNCTION("GOOGLETRANSLATE(A31876, ""de"", ""en"")"),"boggs")</f>
        <v>boggs</v>
      </c>
    </row>
    <row r="31877">
      <c r="A31877" s="1" t="s">
        <v>31876</v>
      </c>
      <c r="B31877" s="2" t="str">
        <f>IFERROR(__xludf.DUMMYFUNCTION("GOOGLETRANSLATE(A31877, ""de"", ""en"")"),"rage")</f>
        <v>rage</v>
      </c>
    </row>
    <row r="31878">
      <c r="A31878" s="1" t="s">
        <v>31877</v>
      </c>
      <c r="B31878" s="2" t="str">
        <f>IFERROR(__xludf.DUMMYFUNCTION("GOOGLETRANSLATE(A31878, ""de"", ""en"")"),"Katerina")</f>
        <v>Katerina</v>
      </c>
    </row>
    <row r="31879">
      <c r="A31879" s="1" t="s">
        <v>31878</v>
      </c>
      <c r="B31879" s="2" t="str">
        <f>IFERROR(__xludf.DUMMYFUNCTION("GOOGLETRANSLATE(A31879, ""de"", ""en"")"),"cope")</f>
        <v>cope</v>
      </c>
    </row>
    <row r="31880">
      <c r="A31880" s="1" t="s">
        <v>31879</v>
      </c>
      <c r="B31880" s="2" t="str">
        <f>IFERROR(__xludf.DUMMYFUNCTION("GOOGLETRANSLATE(A31880, ""de"", ""en"")"),"microchip")</f>
        <v>microchip</v>
      </c>
    </row>
    <row r="31881">
      <c r="A31881" s="1" t="s">
        <v>31880</v>
      </c>
      <c r="B31881" s="2" t="str">
        <f>IFERROR(__xludf.DUMMYFUNCTION("GOOGLETRANSLATE(A31881, ""de"", ""en"")"),"activities")</f>
        <v>activities</v>
      </c>
    </row>
    <row r="31882">
      <c r="A31882" s="1" t="s">
        <v>31881</v>
      </c>
      <c r="B31882" s="2" t="str">
        <f>IFERROR(__xludf.DUMMYFUNCTION("GOOGLETRANSLATE(A31882, ""de"", ""en"")"),"tarek")</f>
        <v>tarek</v>
      </c>
    </row>
    <row r="31883">
      <c r="A31883" s="1" t="s">
        <v>31882</v>
      </c>
      <c r="B31883" s="2" t="str">
        <f>IFERROR(__xludf.DUMMYFUNCTION("GOOGLETRANSLATE(A31883, ""de"", ""en"")"),"huge deal")</f>
        <v>huge deal</v>
      </c>
    </row>
    <row r="31884">
      <c r="A31884" s="1" t="s">
        <v>31883</v>
      </c>
      <c r="B31884" s="2" t="str">
        <f>IFERROR(__xludf.DUMMYFUNCTION("GOOGLETRANSLATE(A31884, ""de"", ""en"")"),"marlin")</f>
        <v>marlin</v>
      </c>
    </row>
    <row r="31885">
      <c r="A31885" s="1" t="s">
        <v>31884</v>
      </c>
      <c r="B31885" s="2" t="str">
        <f>IFERROR(__xludf.DUMMYFUNCTION("GOOGLETRANSLATE(A31885, ""de"", ""en"")"),"rises")</f>
        <v>rises</v>
      </c>
    </row>
    <row r="31886">
      <c r="A31886" s="1" t="s">
        <v>31885</v>
      </c>
      <c r="B31886" s="2" t="str">
        <f>IFERROR(__xludf.DUMMYFUNCTION("GOOGLETRANSLATE(A31886, ""de"", ""en"")"),"liaison man")</f>
        <v>liaison man</v>
      </c>
    </row>
    <row r="31887">
      <c r="A31887" s="1" t="s">
        <v>31886</v>
      </c>
      <c r="B31887" s="2" t="str">
        <f>IFERROR(__xludf.DUMMYFUNCTION("GOOGLETRANSLATE(A31887, ""de"", ""en"")"),"carbon")</f>
        <v>carbon</v>
      </c>
    </row>
    <row r="31888">
      <c r="A31888" s="1" t="s">
        <v>31887</v>
      </c>
      <c r="B31888" s="2" t="str">
        <f>IFERROR(__xludf.DUMMYFUNCTION("GOOGLETRANSLATE(A31888, ""de"", ""en"")"),"coca cola")</f>
        <v>coca cola</v>
      </c>
    </row>
    <row r="31889">
      <c r="A31889" s="1" t="s">
        <v>31888</v>
      </c>
      <c r="B31889" s="2" t="str">
        <f>IFERROR(__xludf.DUMMYFUNCTION("GOOGLETRANSLATE(A31889, ""de"", ""en"")"),"apostate")</f>
        <v>apostate</v>
      </c>
    </row>
    <row r="31890">
      <c r="A31890" s="1" t="s">
        <v>31889</v>
      </c>
      <c r="B31890" s="2" t="str">
        <f>IFERROR(__xludf.DUMMYFUNCTION("GOOGLETRANSLATE(A31890, ""de"", ""en"")"),"grouchy")</f>
        <v>grouchy</v>
      </c>
    </row>
    <row r="31891">
      <c r="A31891" s="1" t="s">
        <v>31890</v>
      </c>
      <c r="B31891" s="2" t="str">
        <f>IFERROR(__xludf.DUMMYFUNCTION("GOOGLETRANSLATE(A31891, ""de"", ""en"")"),"vibration")</f>
        <v>vibration</v>
      </c>
    </row>
    <row r="31892">
      <c r="A31892" s="1" t="s">
        <v>31891</v>
      </c>
      <c r="B31892" s="2" t="str">
        <f>IFERROR(__xludf.DUMMYFUNCTION("GOOGLETRANSLATE(A31892, ""de"", ""en"")"),"scary")</f>
        <v>scary</v>
      </c>
    </row>
    <row r="31893">
      <c r="A31893" s="1" t="s">
        <v>31892</v>
      </c>
      <c r="B31893" s="2" t="str">
        <f>IFERROR(__xludf.DUMMYFUNCTION("GOOGLETRANSLATE(A31893, ""de"", ""en"")"),"crash site")</f>
        <v>crash site</v>
      </c>
    </row>
    <row r="31894">
      <c r="A31894" s="1" t="s">
        <v>31893</v>
      </c>
      <c r="B31894" s="2" t="str">
        <f>IFERROR(__xludf.DUMMYFUNCTION("GOOGLETRANSLATE(A31894, ""de"", ""en"")"),"mounted")</f>
        <v>mounted</v>
      </c>
    </row>
    <row r="31895">
      <c r="A31895" s="1" t="s">
        <v>31894</v>
      </c>
      <c r="B31895" s="2" t="str">
        <f>IFERROR(__xludf.DUMMYFUNCTION("GOOGLETRANSLATE(A31895, ""de"", ""en"")"),"gold mine")</f>
        <v>gold mine</v>
      </c>
    </row>
    <row r="31896">
      <c r="A31896" s="1" t="s">
        <v>31895</v>
      </c>
      <c r="B31896" s="2" t="str">
        <f>IFERROR(__xludf.DUMMYFUNCTION("GOOGLETRANSLATE(A31896, ""de"", ""en"")"),"top shape")</f>
        <v>top shape</v>
      </c>
    </row>
    <row r="31897">
      <c r="A31897" s="1" t="s">
        <v>31896</v>
      </c>
      <c r="B31897" s="2" t="str">
        <f>IFERROR(__xludf.DUMMYFUNCTION("GOOGLETRANSLATE(A31897, ""de"", ""en"")"),"rear light")</f>
        <v>rear light</v>
      </c>
    </row>
    <row r="31898">
      <c r="A31898" s="1" t="s">
        <v>31897</v>
      </c>
      <c r="B31898" s="2" t="str">
        <f>IFERROR(__xludf.DUMMYFUNCTION("GOOGLETRANSLATE(A31898, ""de"", ""en"")"),"elkins")</f>
        <v>elkins</v>
      </c>
    </row>
    <row r="31899">
      <c r="A31899" s="1" t="s">
        <v>31898</v>
      </c>
      <c r="B31899" s="2" t="str">
        <f>IFERROR(__xludf.DUMMYFUNCTION("GOOGLETRANSLATE(A31899, ""de"", ""en"")"),"harv")</f>
        <v>harv</v>
      </c>
    </row>
    <row r="31900">
      <c r="A31900" s="1" t="s">
        <v>31899</v>
      </c>
      <c r="B31900" s="2" t="str">
        <f>IFERROR(__xludf.DUMMYFUNCTION("GOOGLETRANSLATE(A31900, ""de"", ""en"")"),"more necessary")</f>
        <v>more necessary</v>
      </c>
    </row>
    <row r="31901">
      <c r="A31901" s="1" t="s">
        <v>31900</v>
      </c>
      <c r="B31901" s="2" t="str">
        <f>IFERROR(__xludf.DUMMYFUNCTION("GOOGLETRANSLATE(A31901, ""de"", ""en"")"),"Grodd")</f>
        <v>Grodd</v>
      </c>
    </row>
    <row r="31902">
      <c r="A31902" s="1" t="s">
        <v>31901</v>
      </c>
      <c r="B31902" s="2" t="str">
        <f>IFERROR(__xludf.DUMMYFUNCTION("GOOGLETRANSLATE(A31902, ""de"", ""en"")"),"Proust")</f>
        <v>Proust</v>
      </c>
    </row>
    <row r="31903">
      <c r="A31903" s="1" t="s">
        <v>31902</v>
      </c>
      <c r="B31903" s="2" t="str">
        <f>IFERROR(__xludf.DUMMYFUNCTION("GOOGLETRANSLATE(A31903, ""de"", ""en"")"),"Gloucester")</f>
        <v>Gloucester</v>
      </c>
    </row>
    <row r="31904">
      <c r="A31904" s="1" t="s">
        <v>31903</v>
      </c>
      <c r="B31904" s="2" t="str">
        <f>IFERROR(__xludf.DUMMYFUNCTION("GOOGLETRANSLATE(A31904, ""de"", ""en"")"),"liber8")</f>
        <v>liber8</v>
      </c>
    </row>
    <row r="31905">
      <c r="A31905" s="1" t="s">
        <v>31904</v>
      </c>
      <c r="B31905" s="2" t="str">
        <f>IFERROR(__xludf.DUMMYFUNCTION("GOOGLETRANSLATE(A31905, ""de"", ""en"")"),"rehearsed")</f>
        <v>rehearsed</v>
      </c>
    </row>
    <row r="31906">
      <c r="A31906" s="1" t="s">
        <v>31905</v>
      </c>
      <c r="B31906" s="2" t="str">
        <f>IFERROR(__xludf.DUMMYFUNCTION("GOOGLETRANSLATE(A31906, ""de"", ""en"")"),"mysterious")</f>
        <v>mysterious</v>
      </c>
    </row>
    <row r="31907">
      <c r="A31907" s="1" t="s">
        <v>31906</v>
      </c>
      <c r="B31907" s="2" t="str">
        <f>IFERROR(__xludf.DUMMYFUNCTION("GOOGLETRANSLATE(A31907, ""de"", ""en"")"),"camaro")</f>
        <v>camaro</v>
      </c>
    </row>
    <row r="31908">
      <c r="A31908" s="1" t="s">
        <v>31907</v>
      </c>
      <c r="B31908" s="2" t="str">
        <f>IFERROR(__xludf.DUMMYFUNCTION("GOOGLETRANSLATE(A31908, ""de"", ""en"")"),"portia")</f>
        <v>portia</v>
      </c>
    </row>
    <row r="31909">
      <c r="A31909" s="1" t="s">
        <v>31908</v>
      </c>
      <c r="B31909" s="2" t="str">
        <f>IFERROR(__xludf.DUMMYFUNCTION("GOOGLETRANSLATE(A31909, ""de"", ""en"")"),"imbalance")</f>
        <v>imbalance</v>
      </c>
    </row>
    <row r="31910">
      <c r="A31910" s="1" t="s">
        <v>31909</v>
      </c>
      <c r="B31910" s="2" t="str">
        <f>IFERROR(__xludf.DUMMYFUNCTION("GOOGLETRANSLATE(A31910, ""de"", ""en"")"),"ceremonies")</f>
        <v>ceremonies</v>
      </c>
    </row>
    <row r="31911">
      <c r="A31911" s="1" t="s">
        <v>31910</v>
      </c>
      <c r="B31911" s="2" t="str">
        <f>IFERROR(__xludf.DUMMYFUNCTION("GOOGLETRANSLATE(A31911, ""de"", ""en"")"),"foolish ones")</f>
        <v>foolish ones</v>
      </c>
    </row>
    <row r="31912">
      <c r="A31912" s="1" t="s">
        <v>31911</v>
      </c>
      <c r="B31912" s="2" t="str">
        <f>IFERROR(__xludf.DUMMYFUNCTION("GOOGLETRANSLATE(A31912, ""de"", ""en"")"),"newest")</f>
        <v>newest</v>
      </c>
    </row>
    <row r="31913">
      <c r="A31913" s="1" t="s">
        <v>31912</v>
      </c>
      <c r="B31913" s="2" t="str">
        <f>IFERROR(__xludf.DUMMYFUNCTION("GOOGLETRANSLATE(A31913, ""de"", ""en"")"),"endure")</f>
        <v>endure</v>
      </c>
    </row>
    <row r="31914">
      <c r="A31914" s="1" t="s">
        <v>31913</v>
      </c>
      <c r="B31914" s="2" t="str">
        <f>IFERROR(__xludf.DUMMYFUNCTION("GOOGLETRANSLATE(A31914, ""de"", ""en"")"),"seizure")</f>
        <v>seizure</v>
      </c>
    </row>
    <row r="31915">
      <c r="A31915" s="1" t="s">
        <v>31914</v>
      </c>
      <c r="B31915" s="2" t="str">
        <f>IFERROR(__xludf.DUMMYFUNCTION("GOOGLETRANSLATE(A31915, ""de"", ""en"")"),"native language")</f>
        <v>native language</v>
      </c>
    </row>
    <row r="31916">
      <c r="A31916" s="1" t="s">
        <v>31915</v>
      </c>
      <c r="B31916" s="2" t="str">
        <f>IFERROR(__xludf.DUMMYFUNCTION("GOOGLETRANSLATE(A31916, ""de"", ""en"")"),"awkward")</f>
        <v>awkward</v>
      </c>
    </row>
    <row r="31917">
      <c r="A31917" s="1" t="s">
        <v>31916</v>
      </c>
      <c r="B31917" s="2" t="str">
        <f>IFERROR(__xludf.DUMMYFUNCTION("GOOGLETRANSLATE(A31917, ""de"", ""en"")"),"wanker")</f>
        <v>wanker</v>
      </c>
    </row>
    <row r="31918">
      <c r="A31918" s="1" t="s">
        <v>31917</v>
      </c>
      <c r="B31918" s="2" t="str">
        <f>IFERROR(__xludf.DUMMYFUNCTION("GOOGLETRANSLATE(A31918, ""de"", ""en"")"),"palms")</f>
        <v>palms</v>
      </c>
    </row>
    <row r="31919">
      <c r="A31919" s="1" t="s">
        <v>31918</v>
      </c>
      <c r="B31919" s="2" t="str">
        <f>IFERROR(__xludf.DUMMYFUNCTION("GOOGLETRANSLATE(A31919, ""de"", ""en"")"),"bunk")</f>
        <v>bunk</v>
      </c>
    </row>
    <row r="31920">
      <c r="A31920" s="1" t="s">
        <v>31919</v>
      </c>
      <c r="B31920" s="2" t="str">
        <f>IFERROR(__xludf.DUMMYFUNCTION("GOOGLETRANSLATE(A31920, ""de"", ""en"")"),"added")</f>
        <v>added</v>
      </c>
    </row>
    <row r="31921">
      <c r="A31921" s="1" t="s">
        <v>31920</v>
      </c>
      <c r="B31921" s="2" t="str">
        <f>IFERROR(__xludf.DUMMYFUNCTION("GOOGLETRANSLATE(A31921, ""de"", ""en"")"),"tabel")</f>
        <v>tabel</v>
      </c>
    </row>
    <row r="31922">
      <c r="A31922" s="1" t="s">
        <v>31921</v>
      </c>
      <c r="B31922" s="2" t="str">
        <f>IFERROR(__xludf.DUMMYFUNCTION("GOOGLETRANSLATE(A31922, ""de"", ""en"")"),"bullets")</f>
        <v>bullets</v>
      </c>
    </row>
    <row r="31923">
      <c r="A31923" s="1" t="s">
        <v>31922</v>
      </c>
      <c r="B31923" s="2" t="str">
        <f>IFERROR(__xludf.DUMMYFUNCTION("GOOGLETRANSLATE(A31923, ""de"", ""en"")"),"stavros")</f>
        <v>stavros</v>
      </c>
    </row>
    <row r="31924">
      <c r="A31924" s="1" t="s">
        <v>31923</v>
      </c>
      <c r="B31924" s="2" t="str">
        <f>IFERROR(__xludf.DUMMYFUNCTION("GOOGLETRANSLATE(A31924, ""de"", ""en"")"),"three hundred")</f>
        <v>three hundred</v>
      </c>
    </row>
    <row r="31925">
      <c r="A31925" s="1" t="s">
        <v>31924</v>
      </c>
      <c r="B31925" s="2" t="str">
        <f>IFERROR(__xludf.DUMMYFUNCTION("GOOGLETRANSLATE(A31925, ""de"", ""en"")"),"dozens")</f>
        <v>dozens</v>
      </c>
    </row>
    <row r="31926">
      <c r="A31926" s="1" t="s">
        <v>31925</v>
      </c>
      <c r="B31926" s="2" t="str">
        <f>IFERROR(__xludf.DUMMYFUNCTION("GOOGLETRANSLATE(A31926, ""de"", ""en"")"),"hustle")</f>
        <v>hustle</v>
      </c>
    </row>
    <row r="31927">
      <c r="A31927" s="1" t="s">
        <v>31926</v>
      </c>
      <c r="B31927" s="2" t="str">
        <f>IFERROR(__xludf.DUMMYFUNCTION("GOOGLETRANSLATE(A31927, ""de"", ""en"")"),"hurricane")</f>
        <v>hurricane</v>
      </c>
    </row>
    <row r="31928">
      <c r="A31928" s="1" t="s">
        <v>31927</v>
      </c>
      <c r="B31928" s="2" t="str">
        <f>IFERROR(__xludf.DUMMYFUNCTION("GOOGLETRANSLATE(A31928, ""de"", ""en"")"),"more colorful")</f>
        <v>more colorful</v>
      </c>
    </row>
    <row r="31929">
      <c r="A31929" s="1" t="s">
        <v>31928</v>
      </c>
      <c r="B31929" s="2" t="str">
        <f>IFERROR(__xludf.DUMMYFUNCTION("GOOGLETRANSLATE(A31929, ""de"", ""en"")"),"forgotten ones")</f>
        <v>forgotten ones</v>
      </c>
    </row>
    <row r="31930">
      <c r="A31930" s="1" t="s">
        <v>31929</v>
      </c>
      <c r="B31930" s="2" t="str">
        <f>IFERROR(__xludf.DUMMYFUNCTION("GOOGLETRANSLATE(A31930, ""de"", ""en"")"),"darling")</f>
        <v>darling</v>
      </c>
    </row>
    <row r="31931">
      <c r="A31931" s="1" t="s">
        <v>31930</v>
      </c>
      <c r="B31931" s="2" t="str">
        <f>IFERROR(__xludf.DUMMYFUNCTION("GOOGLETRANSLATE(A31931, ""de"", ""en"")"),"musicians")</f>
        <v>musicians</v>
      </c>
    </row>
    <row r="31932">
      <c r="A31932" s="1" t="s">
        <v>31931</v>
      </c>
      <c r="B31932" s="2" t="str">
        <f>IFERROR(__xludf.DUMMYFUNCTION("GOOGLETRANSLATE(A31932, ""de"", ""en"")"),"dining car")</f>
        <v>dining car</v>
      </c>
    </row>
    <row r="31933">
      <c r="A31933" s="1" t="s">
        <v>31932</v>
      </c>
      <c r="B31933" s="2" t="str">
        <f>IFERROR(__xludf.DUMMYFUNCTION("GOOGLETRANSLATE(A31933, ""de"", ""en"")"),"Piero")</f>
        <v>Piero</v>
      </c>
    </row>
    <row r="31934">
      <c r="A31934" s="1" t="s">
        <v>31933</v>
      </c>
      <c r="B31934" s="2" t="str">
        <f>IFERROR(__xludf.DUMMYFUNCTION("GOOGLETRANSLATE(A31934, ""de"", ""en"")"),"insurance policy")</f>
        <v>insurance policy</v>
      </c>
    </row>
    <row r="31935">
      <c r="A31935" s="1" t="s">
        <v>31934</v>
      </c>
      <c r="B31935" s="2" t="str">
        <f>IFERROR(__xludf.DUMMYFUNCTION("GOOGLETRANSLATE(A31935, ""de"", ""en"")"),"psychos")</f>
        <v>psychos</v>
      </c>
    </row>
    <row r="31936">
      <c r="A31936" s="1" t="s">
        <v>31935</v>
      </c>
      <c r="B31936" s="2" t="str">
        <f>IFERROR(__xludf.DUMMYFUNCTION("GOOGLETRANSLATE(A31936, ""de"", ""en"")"),"first of all")</f>
        <v>first of all</v>
      </c>
    </row>
    <row r="31937">
      <c r="A31937" s="1" t="s">
        <v>31936</v>
      </c>
      <c r="B31937" s="2" t="str">
        <f>IFERROR(__xludf.DUMMYFUNCTION("GOOGLETRANSLATE(A31937, ""de"", ""en"")"),"warmed")</f>
        <v>warmed</v>
      </c>
    </row>
    <row r="31938">
      <c r="A31938" s="1" t="s">
        <v>31937</v>
      </c>
      <c r="B31938" s="2" t="str">
        <f>IFERROR(__xludf.DUMMYFUNCTION("GOOGLETRANSLATE(A31938, ""de"", ""en"")"),"microbes")</f>
        <v>microbes</v>
      </c>
    </row>
    <row r="31939">
      <c r="A31939" s="1" t="s">
        <v>31938</v>
      </c>
      <c r="B31939" s="2" t="str">
        <f>IFERROR(__xludf.DUMMYFUNCTION("GOOGLETRANSLATE(A31939, ""de"", ""en"")"),"revealed")</f>
        <v>revealed</v>
      </c>
    </row>
    <row r="31940">
      <c r="A31940" s="1" t="s">
        <v>31939</v>
      </c>
      <c r="B31940" s="2" t="str">
        <f>IFERROR(__xludf.DUMMYFUNCTION("GOOGLETRANSLATE(A31940, ""de"", ""en"")"),"timeless")</f>
        <v>timeless</v>
      </c>
    </row>
    <row r="31941">
      <c r="A31941" s="1" t="s">
        <v>31940</v>
      </c>
      <c r="B31941" s="2" t="str">
        <f>IFERROR(__xludf.DUMMYFUNCTION("GOOGLETRANSLATE(A31941, ""de"", ""en"")"),"quan")</f>
        <v>quan</v>
      </c>
    </row>
    <row r="31942">
      <c r="A31942" s="1" t="s">
        <v>31941</v>
      </c>
      <c r="B31942" s="2" t="str">
        <f>IFERROR(__xludf.DUMMYFUNCTION("GOOGLETRANSLATE(A31942, ""de"", ""en"")"),"dried")</f>
        <v>dried</v>
      </c>
    </row>
    <row r="31943">
      <c r="A31943" s="1" t="s">
        <v>31942</v>
      </c>
      <c r="B31943" s="2" t="str">
        <f>IFERROR(__xludf.DUMMYFUNCTION("GOOGLETRANSLATE(A31943, ""de"", ""en"")"),"write down")</f>
        <v>write down</v>
      </c>
    </row>
    <row r="31944">
      <c r="A31944" s="1" t="s">
        <v>31943</v>
      </c>
      <c r="B31944" s="2" t="str">
        <f>IFERROR(__xludf.DUMMYFUNCTION("GOOGLETRANSLATE(A31944, ""de"", ""en"")"),"delta quadrant")</f>
        <v>delta quadrant</v>
      </c>
    </row>
    <row r="31945">
      <c r="A31945" s="1" t="s">
        <v>31944</v>
      </c>
      <c r="B31945" s="2" t="str">
        <f>IFERROR(__xludf.DUMMYFUNCTION("GOOGLETRANSLATE(A31945, ""de"", ""en"")"),"missed")</f>
        <v>missed</v>
      </c>
    </row>
    <row r="31946">
      <c r="A31946" s="1" t="s">
        <v>31945</v>
      </c>
      <c r="B31946" s="2" t="str">
        <f>IFERROR(__xludf.DUMMYFUNCTION("GOOGLETRANSLATE(A31946, ""de"", ""en"")"),"time loop")</f>
        <v>time loop</v>
      </c>
    </row>
    <row r="31947">
      <c r="A31947" s="1" t="s">
        <v>31946</v>
      </c>
      <c r="B31947" s="2" t="str">
        <f>IFERROR(__xludf.DUMMYFUNCTION("GOOGLETRANSLATE(A31947, ""de"", ""en"")"),"scarraner")</f>
        <v>scarraner</v>
      </c>
    </row>
    <row r="31948">
      <c r="A31948" s="1" t="s">
        <v>31947</v>
      </c>
      <c r="B31948" s="2" t="str">
        <f>IFERROR(__xludf.DUMMYFUNCTION("GOOGLETRANSLATE(A31948, ""de"", ""en"")"),"fights")</f>
        <v>fights</v>
      </c>
    </row>
    <row r="31949">
      <c r="A31949" s="1" t="s">
        <v>31948</v>
      </c>
      <c r="B31949" s="2" t="str">
        <f>IFERROR(__xludf.DUMMYFUNCTION("GOOGLETRANSLATE(A31949, ""de"", ""en"")"),"denied")</f>
        <v>denied</v>
      </c>
    </row>
    <row r="31950">
      <c r="A31950" s="1" t="s">
        <v>31949</v>
      </c>
      <c r="B31950" s="2" t="str">
        <f>IFERROR(__xludf.DUMMYFUNCTION("GOOGLETRANSLATE(A31950, ""de"", ""en"")"),"nationwide")</f>
        <v>nationwide</v>
      </c>
    </row>
    <row r="31951">
      <c r="A31951" s="1" t="s">
        <v>31950</v>
      </c>
      <c r="B31951" s="2" t="str">
        <f>IFERROR(__xludf.DUMMYFUNCTION("GOOGLETRANSLATE(A31951, ""de"", ""en"")"),"dislocated")</f>
        <v>dislocated</v>
      </c>
    </row>
    <row r="31952">
      <c r="A31952" s="1" t="s">
        <v>31951</v>
      </c>
      <c r="B31952" s="2" t="str">
        <f>IFERROR(__xludf.DUMMYFUNCTION("GOOGLETRANSLATE(A31952, ""de"", ""en"")"),"swings")</f>
        <v>swings</v>
      </c>
    </row>
    <row r="31953">
      <c r="A31953" s="1" t="s">
        <v>31952</v>
      </c>
      <c r="B31953" s="2" t="str">
        <f>IFERROR(__xludf.DUMMYFUNCTION("GOOGLETRANSLATE(A31953, ""de"", ""en"")"),"infiltrate")</f>
        <v>infiltrate</v>
      </c>
    </row>
    <row r="31954">
      <c r="A31954" s="1" t="s">
        <v>31953</v>
      </c>
      <c r="B31954" s="2" t="str">
        <f>IFERROR(__xludf.DUMMYFUNCTION("GOOGLETRANSLATE(A31954, ""de"", ""en"")"),"odette")</f>
        <v>odette</v>
      </c>
    </row>
    <row r="31955">
      <c r="A31955" s="1" t="s">
        <v>31954</v>
      </c>
      <c r="B31955" s="2" t="str">
        <f>IFERROR(__xludf.DUMMYFUNCTION("GOOGLETRANSLATE(A31955, ""de"", ""en"")"),"lick")</f>
        <v>lick</v>
      </c>
    </row>
    <row r="31956">
      <c r="A31956" s="1" t="s">
        <v>31955</v>
      </c>
      <c r="B31956" s="2" t="str">
        <f>IFERROR(__xludf.DUMMYFUNCTION("GOOGLETRANSLATE(A31956, ""de"", ""en"")"),"mess up")</f>
        <v>mess up</v>
      </c>
    </row>
    <row r="31957">
      <c r="A31957" s="1" t="s">
        <v>31956</v>
      </c>
      <c r="B31957" s="2" t="str">
        <f>IFERROR(__xludf.DUMMYFUNCTION("GOOGLETRANSLATE(A31957, ""de"", ""en"")"),"better")</f>
        <v>better</v>
      </c>
    </row>
    <row r="31958">
      <c r="A31958" s="1" t="s">
        <v>31957</v>
      </c>
      <c r="B31958" s="2" t="str">
        <f>IFERROR(__xludf.DUMMYFUNCTION("GOOGLETRANSLATE(A31958, ""de"", ""en"")"),"progressed")</f>
        <v>progressed</v>
      </c>
    </row>
    <row r="31959">
      <c r="A31959" s="1" t="s">
        <v>31958</v>
      </c>
      <c r="B31959" s="2" t="str">
        <f>IFERROR(__xludf.DUMMYFUNCTION("GOOGLETRANSLATE(A31959, ""de"", ""en"")"),"health authority")</f>
        <v>health authority</v>
      </c>
    </row>
    <row r="31960">
      <c r="A31960" s="1" t="s">
        <v>31959</v>
      </c>
      <c r="B31960" s="2" t="str">
        <f>IFERROR(__xludf.DUMMYFUNCTION("GOOGLETRANSLATE(A31960, ""de"", ""en"")"),"remy")</f>
        <v>remy</v>
      </c>
    </row>
    <row r="31961">
      <c r="A31961" s="1" t="s">
        <v>31960</v>
      </c>
      <c r="B31961" s="2" t="str">
        <f>IFERROR(__xludf.DUMMYFUNCTION("GOOGLETRANSLATE(A31961, ""de"", ""en"")"),"fry")</f>
        <v>fry</v>
      </c>
    </row>
    <row r="31962">
      <c r="A31962" s="1" t="s">
        <v>31961</v>
      </c>
      <c r="B31962" s="2" t="str">
        <f>IFERROR(__xludf.DUMMYFUNCTION("GOOGLETRANSLATE(A31962, ""de"", ""en"")"),"arranges")</f>
        <v>arranges</v>
      </c>
    </row>
    <row r="31963">
      <c r="A31963" s="1" t="s">
        <v>31962</v>
      </c>
      <c r="B31963" s="2" t="str">
        <f>IFERROR(__xludf.DUMMYFUNCTION("GOOGLETRANSLATE(A31963, ""de"", ""en"")"),"delivered")</f>
        <v>delivered</v>
      </c>
    </row>
    <row r="31964">
      <c r="A31964" s="1" t="s">
        <v>31963</v>
      </c>
      <c r="B31964" s="2" t="str">
        <f>IFERROR(__xludf.DUMMYFUNCTION("GOOGLETRANSLATE(A31964, ""de"", ""en"")"),"modifications")</f>
        <v>modifications</v>
      </c>
    </row>
    <row r="31965">
      <c r="A31965" s="1" t="s">
        <v>31964</v>
      </c>
      <c r="B31965" s="2" t="str">
        <f>IFERROR(__xludf.DUMMYFUNCTION("GOOGLETRANSLATE(A31965, ""de"", ""en"")"),"radiology")</f>
        <v>radiology</v>
      </c>
    </row>
    <row r="31966">
      <c r="A31966" s="1" t="s">
        <v>31965</v>
      </c>
      <c r="B31966" s="2" t="str">
        <f>IFERROR(__xludf.DUMMYFUNCTION("GOOGLETRANSLATE(A31966, ""de"", ""en"")"),"fear of flying")</f>
        <v>fear of flying</v>
      </c>
    </row>
    <row r="31967">
      <c r="A31967" s="1" t="s">
        <v>31966</v>
      </c>
      <c r="B31967" s="2" t="str">
        <f>IFERROR(__xludf.DUMMYFUNCTION("GOOGLETRANSLATE(A31967, ""de"", ""en"")"),"on the occasion")</f>
        <v>on the occasion</v>
      </c>
    </row>
    <row r="31968">
      <c r="A31968" s="1" t="s">
        <v>31967</v>
      </c>
      <c r="B31968" s="2" t="str">
        <f>IFERROR(__xludf.DUMMYFUNCTION("GOOGLETRANSLATE(A31968, ""de"", ""en"")"),"abner")</f>
        <v>abner</v>
      </c>
    </row>
    <row r="31969">
      <c r="A31969" s="1" t="s">
        <v>31968</v>
      </c>
      <c r="B31969" s="2" t="str">
        <f>IFERROR(__xludf.DUMMYFUNCTION("GOOGLETRANSLATE(A31969, ""de"", ""en"")"),"elimination")</f>
        <v>elimination</v>
      </c>
    </row>
    <row r="31970">
      <c r="A31970" s="1" t="s">
        <v>31969</v>
      </c>
      <c r="B31970" s="2" t="str">
        <f>IFERROR(__xludf.DUMMYFUNCTION("GOOGLETRANSLATE(A31970, ""de"", ""en"")"),"house key")</f>
        <v>house key</v>
      </c>
    </row>
    <row r="31971">
      <c r="A31971" s="1" t="s">
        <v>31970</v>
      </c>
      <c r="B31971" s="2" t="str">
        <f>IFERROR(__xludf.DUMMYFUNCTION("GOOGLETRANSLATE(A31971, ""de"", ""en"")"),"hulot")</f>
        <v>hulot</v>
      </c>
    </row>
    <row r="31972">
      <c r="A31972" s="1" t="s">
        <v>31971</v>
      </c>
      <c r="B31972" s="2" t="str">
        <f>IFERROR(__xludf.DUMMYFUNCTION("GOOGLETRANSLATE(A31972, ""de"", ""en"")"),"halved")</f>
        <v>halved</v>
      </c>
    </row>
    <row r="31973">
      <c r="A31973" s="1" t="s">
        <v>31972</v>
      </c>
      <c r="B31973" s="2" t="str">
        <f>IFERROR(__xludf.DUMMYFUNCTION("GOOGLETRANSLATE(A31973, ""de"", ""en"")"),"bravest")</f>
        <v>bravest</v>
      </c>
    </row>
    <row r="31974">
      <c r="A31974" s="1" t="s">
        <v>31973</v>
      </c>
      <c r="B31974" s="2" t="str">
        <f>IFERROR(__xludf.DUMMYFUNCTION("GOOGLETRANSLATE(A31974, ""de"", ""en"")"),"pull")</f>
        <v>pull</v>
      </c>
    </row>
    <row r="31975">
      <c r="A31975" s="1" t="s">
        <v>31974</v>
      </c>
      <c r="B31975" s="2" t="str">
        <f>IFERROR(__xludf.DUMMYFUNCTION("GOOGLETRANSLATE(A31975, ""de"", ""en"")"),"Marrakech")</f>
        <v>Marrakech</v>
      </c>
    </row>
    <row r="31976">
      <c r="A31976" s="1" t="s">
        <v>31975</v>
      </c>
      <c r="B31976" s="2" t="str">
        <f>IFERROR(__xludf.DUMMYFUNCTION("GOOGLETRANSLATE(A31976, ""de"", ""en"")"),"sow")</f>
        <v>sow</v>
      </c>
    </row>
    <row r="31977">
      <c r="A31977" s="1" t="s">
        <v>31976</v>
      </c>
      <c r="B31977" s="2" t="str">
        <f>IFERROR(__xludf.DUMMYFUNCTION("GOOGLETRANSLATE(A31977, ""de"", ""en"")"),"summer day")</f>
        <v>summer day</v>
      </c>
    </row>
    <row r="31978">
      <c r="A31978" s="1" t="s">
        <v>31977</v>
      </c>
      <c r="B31978" s="2" t="str">
        <f>IFERROR(__xludf.DUMMYFUNCTION("GOOGLETRANSLATE(A31978, ""de"", ""en"")"),"sweeps")</f>
        <v>sweeps</v>
      </c>
    </row>
    <row r="31979">
      <c r="A31979" s="1" t="s">
        <v>31978</v>
      </c>
      <c r="B31979" s="2" t="str">
        <f>IFERROR(__xludf.DUMMYFUNCTION("GOOGLETRANSLATE(A31979, ""de"", ""en"")"),"smuggled")</f>
        <v>smuggled</v>
      </c>
    </row>
    <row r="31980">
      <c r="A31980" s="1" t="s">
        <v>31979</v>
      </c>
      <c r="B31980" s="2" t="str">
        <f>IFERROR(__xludf.DUMMYFUNCTION("GOOGLETRANSLATE(A31980, ""de"", ""en"")"),"dim")</f>
        <v>dim</v>
      </c>
    </row>
    <row r="31981">
      <c r="A31981" s="1" t="s">
        <v>31980</v>
      </c>
      <c r="B31981" s="2" t="str">
        <f>IFERROR(__xludf.DUMMYFUNCTION("GOOGLETRANSLATE(A31981, ""de"", ""en"")"),"norah")</f>
        <v>norah</v>
      </c>
    </row>
    <row r="31982">
      <c r="A31982" s="1" t="s">
        <v>31981</v>
      </c>
      <c r="B31982" s="2" t="str">
        <f>IFERROR(__xludf.DUMMYFUNCTION("GOOGLETRANSLATE(A31982, ""de"", ""en"")"),"defecation")</f>
        <v>defecation</v>
      </c>
    </row>
    <row r="31983">
      <c r="A31983" s="1" t="s">
        <v>31982</v>
      </c>
      <c r="B31983" s="2" t="str">
        <f>IFERROR(__xludf.DUMMYFUNCTION("GOOGLETRANSLATE(A31983, ""de"", ""en"")"),"Thomas")</f>
        <v>Thomas</v>
      </c>
    </row>
    <row r="31984">
      <c r="A31984" s="1" t="s">
        <v>31983</v>
      </c>
      <c r="B31984" s="2" t="str">
        <f>IFERROR(__xludf.DUMMYFUNCTION("GOOGLETRANSLATE(A31984, ""de"", ""en"")"),"touch")</f>
        <v>touch</v>
      </c>
    </row>
    <row r="31985">
      <c r="A31985" s="1" t="s">
        <v>31984</v>
      </c>
      <c r="B31985" s="2" t="str">
        <f>IFERROR(__xludf.DUMMYFUNCTION("GOOGLETRANSLATE(A31985, ""de"", ""en"")"),"sousa")</f>
        <v>sousa</v>
      </c>
    </row>
    <row r="31986">
      <c r="A31986" s="1" t="s">
        <v>31985</v>
      </c>
      <c r="B31986" s="2" t="str">
        <f>IFERROR(__xludf.DUMMYFUNCTION("GOOGLETRANSLATE(A31986, ""de"", ""en"")"),"drifter")</f>
        <v>drifter</v>
      </c>
    </row>
    <row r="31987">
      <c r="A31987" s="1" t="s">
        <v>31986</v>
      </c>
      <c r="B31987" s="2" t="str">
        <f>IFERROR(__xludf.DUMMYFUNCTION("GOOGLETRANSLATE(A31987, ""de"", ""en"")"),"laptops")</f>
        <v>laptops</v>
      </c>
    </row>
    <row r="31988">
      <c r="A31988" s="1" t="s">
        <v>31987</v>
      </c>
      <c r="B31988" s="2" t="str">
        <f>IFERROR(__xludf.DUMMYFUNCTION("GOOGLETRANSLATE(A31988, ""de"", ""en"")"),"unconditional")</f>
        <v>unconditional</v>
      </c>
    </row>
    <row r="31989">
      <c r="A31989" s="1" t="s">
        <v>31988</v>
      </c>
      <c r="B31989" s="2" t="str">
        <f>IFERROR(__xludf.DUMMYFUNCTION("GOOGLETRANSLATE(A31989, ""de"", ""en"")"),"cane")</f>
        <v>cane</v>
      </c>
    </row>
    <row r="31990">
      <c r="A31990" s="1" t="s">
        <v>31989</v>
      </c>
      <c r="B31990" s="2" t="str">
        <f>IFERROR(__xludf.DUMMYFUNCTION("GOOGLETRANSLATE(A31990, ""de"", ""en"")"),"untrue")</f>
        <v>untrue</v>
      </c>
    </row>
    <row r="31991">
      <c r="A31991" s="1" t="s">
        <v>31990</v>
      </c>
      <c r="B31991" s="2" t="str">
        <f>IFERROR(__xludf.DUMMYFUNCTION("GOOGLETRANSLATE(A31991, ""de"", ""en"")"),"knock down")</f>
        <v>knock down</v>
      </c>
    </row>
    <row r="31992">
      <c r="A31992" s="1" t="s">
        <v>31991</v>
      </c>
      <c r="B31992" s="2" t="str">
        <f>IFERROR(__xludf.DUMMYFUNCTION("GOOGLETRANSLATE(A31992, ""de"", ""en"")"),"kidnap")</f>
        <v>kidnap</v>
      </c>
    </row>
    <row r="31993">
      <c r="A31993" s="1" t="s">
        <v>31992</v>
      </c>
      <c r="B31993" s="2" t="str">
        <f>IFERROR(__xludf.DUMMYFUNCTION("GOOGLETRANSLATE(A31993, ""de"", ""en"")"),"quartet")</f>
        <v>quartet</v>
      </c>
    </row>
    <row r="31994">
      <c r="A31994" s="1" t="s">
        <v>31993</v>
      </c>
      <c r="B31994" s="2" t="str">
        <f>IFERROR(__xludf.DUMMYFUNCTION("GOOGLETRANSLATE(A31994, ""de"", ""en"")"),"comfort")</f>
        <v>comfort</v>
      </c>
    </row>
    <row r="31995">
      <c r="A31995" s="1" t="s">
        <v>31994</v>
      </c>
      <c r="B31995" s="2" t="str">
        <f>IFERROR(__xludf.DUMMYFUNCTION("GOOGLETRANSLATE(A31995, ""de"", ""en"")"),"richfield")</f>
        <v>richfield</v>
      </c>
    </row>
    <row r="31996">
      <c r="A31996" s="1" t="s">
        <v>31995</v>
      </c>
      <c r="B31996" s="2" t="str">
        <f>IFERROR(__xludf.DUMMYFUNCTION("GOOGLETRANSLATE(A31996, ""de"", ""en"")"),"loudly")</f>
        <v>loudly</v>
      </c>
    </row>
    <row r="31997">
      <c r="A31997" s="1" t="s">
        <v>31996</v>
      </c>
      <c r="B31997" s="2" t="str">
        <f>IFERROR(__xludf.DUMMYFUNCTION("GOOGLETRANSLATE(A31997, ""de"", ""en"")"),"essay")</f>
        <v>essay</v>
      </c>
    </row>
    <row r="31998">
      <c r="A31998" s="1" t="s">
        <v>31997</v>
      </c>
      <c r="B31998" s="2" t="str">
        <f>IFERROR(__xludf.DUMMYFUNCTION("GOOGLETRANSLATE(A31998, ""de"", ""en"")"),"arrogant")</f>
        <v>arrogant</v>
      </c>
    </row>
    <row r="31999">
      <c r="A31999" s="1" t="s">
        <v>31998</v>
      </c>
      <c r="B31999" s="2" t="str">
        <f>IFERROR(__xludf.DUMMYFUNCTION("GOOGLETRANSLATE(A31999, ""de"", ""en"")"),"develop")</f>
        <v>develop</v>
      </c>
    </row>
    <row r="32000">
      <c r="A32000" s="1" t="s">
        <v>31999</v>
      </c>
      <c r="B32000" s="2" t="str">
        <f>IFERROR(__xludf.DUMMYFUNCTION("GOOGLETRANSLATE(A32000, ""de"", ""en"")"),"cheat")</f>
        <v>cheat</v>
      </c>
    </row>
    <row r="32001">
      <c r="A32001" s="1" t="s">
        <v>32000</v>
      </c>
      <c r="B32001" s="2" t="str">
        <f>IFERROR(__xludf.DUMMYFUNCTION("GOOGLETRANSLATE(A32001, ""de"", ""en"")"),"violate")</f>
        <v>violate</v>
      </c>
    </row>
    <row r="32002">
      <c r="A32002" s="1" t="s">
        <v>32001</v>
      </c>
      <c r="B32002" s="2" t="str">
        <f>IFERROR(__xludf.DUMMYFUNCTION("GOOGLETRANSLATE(A32002, ""de"", ""en"")"),"daley")</f>
        <v>daley</v>
      </c>
    </row>
    <row r="32003">
      <c r="A32003" s="1" t="s">
        <v>32002</v>
      </c>
      <c r="B32003" s="2" t="str">
        <f>IFERROR(__xludf.DUMMYFUNCTION("GOOGLETRANSLATE(A32003, ""de"", ""en"")"),"boats")</f>
        <v>boats</v>
      </c>
    </row>
    <row r="32004">
      <c r="A32004" s="1" t="s">
        <v>32003</v>
      </c>
      <c r="B32004" s="2" t="str">
        <f>IFERROR(__xludf.DUMMYFUNCTION("GOOGLETRANSLATE(A32004, ""de"", ""en"")"),"magnificent")</f>
        <v>magnificent</v>
      </c>
    </row>
    <row r="32005">
      <c r="A32005" s="1" t="s">
        <v>32004</v>
      </c>
      <c r="B32005" s="2" t="str">
        <f>IFERROR(__xludf.DUMMYFUNCTION("GOOGLETRANSLATE(A32005, ""de"", ""en"")"),"deirdre")</f>
        <v>deirdre</v>
      </c>
    </row>
    <row r="32006">
      <c r="A32006" s="1" t="s">
        <v>32005</v>
      </c>
      <c r="B32006" s="2" t="str">
        <f>IFERROR(__xludf.DUMMYFUNCTION("GOOGLETRANSLATE(A32006, ""de"", ""en"")"),"accomplished")</f>
        <v>accomplished</v>
      </c>
    </row>
    <row r="32007">
      <c r="A32007" s="1" t="s">
        <v>32006</v>
      </c>
      <c r="B32007" s="2" t="str">
        <f>IFERROR(__xludf.DUMMYFUNCTION("GOOGLETRANSLATE(A32007, ""de"", ""en"")"),"prescribe")</f>
        <v>prescribe</v>
      </c>
    </row>
    <row r="32008">
      <c r="A32008" s="1" t="s">
        <v>32007</v>
      </c>
      <c r="B32008" s="2" t="str">
        <f>IFERROR(__xludf.DUMMYFUNCTION("GOOGLETRANSLATE(A32008, ""de"", ""en"")"),"brass")</f>
        <v>brass</v>
      </c>
    </row>
    <row r="32009">
      <c r="A32009" s="1" t="s">
        <v>32008</v>
      </c>
      <c r="B32009" s="2" t="str">
        <f>IFERROR(__xludf.DUMMYFUNCTION("GOOGLETRANSLATE(A32009, ""de"", ""en"")"),"u-haft")</f>
        <v>u-haft</v>
      </c>
    </row>
    <row r="32010">
      <c r="A32010" s="1" t="s">
        <v>32009</v>
      </c>
      <c r="B32010" s="2" t="str">
        <f>IFERROR(__xludf.DUMMYFUNCTION("GOOGLETRANSLATE(A32010, ""de"", ""en"")"),"isolated")</f>
        <v>isolated</v>
      </c>
    </row>
    <row r="32011">
      <c r="A32011" s="1" t="s">
        <v>32010</v>
      </c>
      <c r="B32011" s="2" t="str">
        <f>IFERROR(__xludf.DUMMYFUNCTION("GOOGLETRANSLATE(A32011, ""de"", ""en"")"),"more solid")</f>
        <v>more solid</v>
      </c>
    </row>
    <row r="32012">
      <c r="A32012" s="1" t="s">
        <v>32011</v>
      </c>
      <c r="B32012" s="2" t="str">
        <f>IFERROR(__xludf.DUMMYFUNCTION("GOOGLETRANSLATE(A32012, ""de"", ""en"")"),"sigma")</f>
        <v>sigma</v>
      </c>
    </row>
    <row r="32013">
      <c r="A32013" s="1" t="s">
        <v>32012</v>
      </c>
      <c r="B32013" s="2" t="str">
        <f>IFERROR(__xludf.DUMMYFUNCTION("GOOGLETRANSLATE(A32013, ""de"", ""en"")"),"eye")</f>
        <v>eye</v>
      </c>
    </row>
    <row r="32014">
      <c r="A32014" s="1" t="s">
        <v>32013</v>
      </c>
      <c r="B32014" s="2" t="str">
        <f>IFERROR(__xludf.DUMMYFUNCTION("GOOGLETRANSLATE(A32014, ""de"", ""en"")"),"ark")</f>
        <v>ark</v>
      </c>
    </row>
    <row r="32015">
      <c r="A32015" s="1" t="s">
        <v>32014</v>
      </c>
      <c r="B32015" s="2" t="str">
        <f>IFERROR(__xludf.DUMMYFUNCTION("GOOGLETRANSLATE(A32015, ""de"", ""en"")"),"shipwreck")</f>
        <v>shipwreck</v>
      </c>
    </row>
    <row r="32016">
      <c r="A32016" s="1" t="s">
        <v>32015</v>
      </c>
      <c r="B32016" s="2" t="str">
        <f>IFERROR(__xludf.DUMMYFUNCTION("GOOGLETRANSLATE(A32016, ""de"", ""en"")"),"wilda")</f>
        <v>wilda</v>
      </c>
    </row>
    <row r="32017">
      <c r="A32017" s="1" t="s">
        <v>32016</v>
      </c>
      <c r="B32017" s="2" t="str">
        <f>IFERROR(__xludf.DUMMYFUNCTION("GOOGLETRANSLATE(A32017, ""de"", ""en"")"),"phalanx")</f>
        <v>phalanx</v>
      </c>
    </row>
    <row r="32018">
      <c r="A32018" s="1" t="s">
        <v>32017</v>
      </c>
      <c r="B32018" s="2" t="str">
        <f>IFERROR(__xludf.DUMMYFUNCTION("GOOGLETRANSLATE(A32018, ""de"", ""en"")"),"service")</f>
        <v>service</v>
      </c>
    </row>
    <row r="32019">
      <c r="A32019" s="1" t="s">
        <v>32018</v>
      </c>
      <c r="B32019" s="2" t="str">
        <f>IFERROR(__xludf.DUMMYFUNCTION("GOOGLETRANSLATE(A32019, ""de"", ""en"")"),"beeper")</f>
        <v>beeper</v>
      </c>
    </row>
    <row r="32020">
      <c r="A32020" s="1" t="s">
        <v>32019</v>
      </c>
      <c r="B32020" s="2" t="str">
        <f>IFERROR(__xludf.DUMMYFUNCTION("GOOGLETRANSLATE(A32020, ""de"", ""en"")"),"flush")</f>
        <v>flush</v>
      </c>
    </row>
    <row r="32021">
      <c r="A32021" s="1" t="s">
        <v>32020</v>
      </c>
      <c r="B32021" s="2" t="str">
        <f>IFERROR(__xludf.DUMMYFUNCTION("GOOGLETRANSLATE(A32021, ""de"", ""en"")"),"undertook")</f>
        <v>undertook</v>
      </c>
    </row>
    <row r="32022">
      <c r="A32022" s="1" t="s">
        <v>32021</v>
      </c>
      <c r="B32022" s="2" t="str">
        <f>IFERROR(__xludf.DUMMYFUNCTION("GOOGLETRANSLATE(A32022, ""de"", ""en"")"),"duff")</f>
        <v>duff</v>
      </c>
    </row>
    <row r="32023">
      <c r="A32023" s="1" t="s">
        <v>32022</v>
      </c>
      <c r="B32023" s="2" t="str">
        <f>IFERROR(__xludf.DUMMYFUNCTION("GOOGLETRANSLATE(A32023, ""de"", ""en"")"),"school friend")</f>
        <v>school friend</v>
      </c>
    </row>
    <row r="32024">
      <c r="A32024" s="1" t="s">
        <v>32023</v>
      </c>
      <c r="B32024" s="2" t="str">
        <f>IFERROR(__xludf.DUMMYFUNCTION("GOOGLETRANSLATE(A32024, ""de"", ""en"")"),"at risk")</f>
        <v>at risk</v>
      </c>
    </row>
    <row r="32025">
      <c r="A32025" s="1" t="s">
        <v>32024</v>
      </c>
      <c r="B32025" s="2" t="str">
        <f>IFERROR(__xludf.DUMMYFUNCTION("GOOGLETRANSLATE(A32025, ""de"", ""en"")"),"octopus")</f>
        <v>octopus</v>
      </c>
    </row>
    <row r="32026">
      <c r="A32026" s="1" t="s">
        <v>32025</v>
      </c>
      <c r="B32026" s="2" t="str">
        <f>IFERROR(__xludf.DUMMYFUNCTION("GOOGLETRANSLATE(A32026, ""de"", ""en"")"),"fighter")</f>
        <v>fighter</v>
      </c>
    </row>
    <row r="32027">
      <c r="A32027" s="1" t="s">
        <v>32026</v>
      </c>
      <c r="B32027" s="2" t="str">
        <f>IFERROR(__xludf.DUMMYFUNCTION("GOOGLETRANSLATE(A32027, ""de"", ""en"")"),"hiram")</f>
        <v>hiram</v>
      </c>
    </row>
    <row r="32028">
      <c r="A32028" s="1" t="s">
        <v>32027</v>
      </c>
      <c r="B32028" s="2" t="str">
        <f>IFERROR(__xludf.DUMMYFUNCTION("GOOGLETRANSLATE(A32028, ""de"", ""en"")"),"comes down")</f>
        <v>comes down</v>
      </c>
    </row>
    <row r="32029">
      <c r="A32029" s="1" t="s">
        <v>32028</v>
      </c>
      <c r="B32029" s="2" t="str">
        <f>IFERROR(__xludf.DUMMYFUNCTION("GOOGLETRANSLATE(A32029, ""de"", ""en"")"),"realities")</f>
        <v>realities</v>
      </c>
    </row>
    <row r="32030">
      <c r="A32030" s="1" t="s">
        <v>32029</v>
      </c>
      <c r="B32030" s="2" t="str">
        <f>IFERROR(__xludf.DUMMYFUNCTION("GOOGLETRANSLATE(A32030, ""de"", ""en"")"),"Medellin")</f>
        <v>Medellin</v>
      </c>
    </row>
    <row r="32031">
      <c r="A32031" s="1" t="s">
        <v>32030</v>
      </c>
      <c r="B32031" s="2" t="str">
        <f>IFERROR(__xludf.DUMMYFUNCTION("GOOGLETRANSLATE(A32031, ""de"", ""en"")"),"ame")</f>
        <v>ame</v>
      </c>
    </row>
    <row r="32032">
      <c r="A32032" s="1" t="s">
        <v>32031</v>
      </c>
      <c r="B32032" s="2" t="str">
        <f>IFERROR(__xludf.DUMMYFUNCTION("GOOGLETRANSLATE(A32032, ""de"", ""en"")"),"failed")</f>
        <v>failed</v>
      </c>
    </row>
    <row r="32033">
      <c r="A32033" s="1" t="s">
        <v>32032</v>
      </c>
      <c r="B32033" s="2" t="str">
        <f>IFERROR(__xludf.DUMMYFUNCTION("GOOGLETRANSLATE(A32033, ""de"", ""en"")"),"phelan")</f>
        <v>phelan</v>
      </c>
    </row>
    <row r="32034">
      <c r="A32034" s="1" t="s">
        <v>32033</v>
      </c>
      <c r="B32034" s="2" t="str">
        <f>IFERROR(__xludf.DUMMYFUNCTION("GOOGLETRANSLATE(A32034, ""de"", ""en"")"),"cyborgs")</f>
        <v>cyborgs</v>
      </c>
    </row>
    <row r="32035">
      <c r="A32035" s="1" t="s">
        <v>32034</v>
      </c>
      <c r="B32035" s="2" t="str">
        <f>IFERROR(__xludf.DUMMYFUNCTION("GOOGLETRANSLATE(A32035, ""de"", ""en"")"),"Jordan")</f>
        <v>Jordan</v>
      </c>
    </row>
    <row r="32036">
      <c r="A32036" s="1" t="s">
        <v>32035</v>
      </c>
      <c r="B32036" s="2" t="str">
        <f>IFERROR(__xludf.DUMMYFUNCTION("GOOGLETRANSLATE(A32036, ""de"", ""en"")"),"football team")</f>
        <v>football team</v>
      </c>
    </row>
    <row r="32037">
      <c r="A32037" s="1" t="s">
        <v>32036</v>
      </c>
      <c r="B32037" s="2" t="str">
        <f>IFERROR(__xludf.DUMMYFUNCTION("GOOGLETRANSLATE(A32037, ""de"", ""en"")"),"conferences")</f>
        <v>conferences</v>
      </c>
    </row>
    <row r="32038">
      <c r="A32038" s="1" t="s">
        <v>32037</v>
      </c>
      <c r="B32038" s="2" t="str">
        <f>IFERROR(__xludf.DUMMYFUNCTION("GOOGLETRANSLATE(A32038, ""de"", ""en"")"),"plaît")</f>
        <v>plaît</v>
      </c>
    </row>
    <row r="32039">
      <c r="A32039" s="1" t="s">
        <v>32038</v>
      </c>
      <c r="B32039" s="2" t="str">
        <f>IFERROR(__xludf.DUMMYFUNCTION("GOOGLETRANSLATE(A32039, ""de"", ""en"")"),"Dane")</f>
        <v>Dane</v>
      </c>
    </row>
    <row r="32040">
      <c r="A32040" s="1" t="s">
        <v>32039</v>
      </c>
      <c r="B32040" s="2" t="str">
        <f>IFERROR(__xludf.DUMMYFUNCTION("GOOGLETRANSLATE(A32040, ""de"", ""en"")"),"pocahontas")</f>
        <v>pocahontas</v>
      </c>
    </row>
    <row r="32041">
      <c r="A32041" s="1" t="s">
        <v>32040</v>
      </c>
      <c r="B32041" s="2" t="str">
        <f>IFERROR(__xludf.DUMMYFUNCTION("GOOGLETRANSLATE(A32041, ""de"", ""en"")"),"collapsed")</f>
        <v>collapsed</v>
      </c>
    </row>
    <row r="32042">
      <c r="A32042" s="1" t="s">
        <v>32041</v>
      </c>
      <c r="B32042" s="2" t="str">
        <f>IFERROR(__xludf.DUMMYFUNCTION("GOOGLETRANSLATE(A32042, ""de"", ""en"")"),"Gertie")</f>
        <v>Gertie</v>
      </c>
    </row>
    <row r="32043">
      <c r="A32043" s="1" t="s">
        <v>32042</v>
      </c>
      <c r="B32043" s="2" t="str">
        <f>IFERROR(__xludf.DUMMYFUNCTION("GOOGLETRANSLATE(A32043, ""de"", ""en"")"),"convert")</f>
        <v>convert</v>
      </c>
    </row>
    <row r="32044">
      <c r="A32044" s="1" t="s">
        <v>32043</v>
      </c>
      <c r="B32044" s="2" t="str">
        <f>IFERROR(__xludf.DUMMYFUNCTION("GOOGLETRANSLATE(A32044, ""de"", ""en"")"),"gump")</f>
        <v>gump</v>
      </c>
    </row>
    <row r="32045">
      <c r="A32045" s="1" t="s">
        <v>32044</v>
      </c>
      <c r="B32045" s="2" t="str">
        <f>IFERROR(__xludf.DUMMYFUNCTION("GOOGLETRANSLATE(A32045, ""de"", ""en"")"),"wake")</f>
        <v>wake</v>
      </c>
    </row>
    <row r="32046">
      <c r="A32046" s="1" t="s">
        <v>32045</v>
      </c>
      <c r="B32046" s="2" t="str">
        <f>IFERROR(__xludf.DUMMYFUNCTION("GOOGLETRANSLATE(A32046, ""de"", ""en"")"),"stubborn")</f>
        <v>stubborn</v>
      </c>
    </row>
    <row r="32047">
      <c r="A32047" s="1" t="s">
        <v>32046</v>
      </c>
      <c r="B32047" s="2" t="str">
        <f>IFERROR(__xludf.DUMMYFUNCTION("GOOGLETRANSLATE(A32047, ""de"", ""en"")"),"printed out")</f>
        <v>printed out</v>
      </c>
    </row>
    <row r="32048">
      <c r="A32048" s="1" t="s">
        <v>32047</v>
      </c>
      <c r="B32048" s="2" t="str">
        <f>IFERROR(__xludf.DUMMYFUNCTION("GOOGLETRANSLATE(A32048, ""de"", ""en"")"),"catweazle")</f>
        <v>catweazle</v>
      </c>
    </row>
    <row r="32049">
      <c r="A32049" s="1" t="s">
        <v>32048</v>
      </c>
      <c r="B32049" s="2" t="str">
        <f>IFERROR(__xludf.DUMMYFUNCTION("GOOGLETRANSLATE(A32049, ""de"", ""en"")"),"mechanical")</f>
        <v>mechanical</v>
      </c>
    </row>
    <row r="32050">
      <c r="A32050" s="1" t="s">
        <v>32049</v>
      </c>
      <c r="B32050" s="2" t="str">
        <f>IFERROR(__xludf.DUMMYFUNCTION("GOOGLETRANSLATE(A32050, ""de"", ""en"")"),"percentage")</f>
        <v>percentage</v>
      </c>
    </row>
    <row r="32051">
      <c r="A32051" s="1" t="s">
        <v>32050</v>
      </c>
      <c r="B32051" s="2" t="str">
        <f>IFERROR(__xludf.DUMMYFUNCTION("GOOGLETRANSLATE(A32051, ""de"", ""en"")"),"favorite place")</f>
        <v>favorite place</v>
      </c>
    </row>
    <row r="32052">
      <c r="A32052" s="1" t="s">
        <v>32051</v>
      </c>
      <c r="B32052" s="2" t="str">
        <f>IFERROR(__xludf.DUMMYFUNCTION("GOOGLETRANSLATE(A32052, ""de"", ""en"")"),"most successful")</f>
        <v>most successful</v>
      </c>
    </row>
    <row r="32053">
      <c r="A32053" s="1" t="s">
        <v>32052</v>
      </c>
      <c r="B32053" s="2" t="str">
        <f>IFERROR(__xludf.DUMMYFUNCTION("GOOGLETRANSLATE(A32053, ""de"", ""en"")"),"skippy")</f>
        <v>skippy</v>
      </c>
    </row>
    <row r="32054">
      <c r="A32054" s="1" t="s">
        <v>32053</v>
      </c>
      <c r="B32054" s="2" t="str">
        <f>IFERROR(__xludf.DUMMYFUNCTION("GOOGLETRANSLATE(A32054, ""de"", ""en"")"),"marika")</f>
        <v>marika</v>
      </c>
    </row>
    <row r="32055">
      <c r="A32055" s="1" t="s">
        <v>32054</v>
      </c>
      <c r="B32055" s="2" t="str">
        <f>IFERROR(__xludf.DUMMYFUNCTION("GOOGLETRANSLATE(A32055, ""de"", ""en"")"),"to contribute")</f>
        <v>to contribute</v>
      </c>
    </row>
    <row r="32056">
      <c r="A32056" s="1" t="s">
        <v>32055</v>
      </c>
      <c r="B32056" s="2" t="str">
        <f>IFERROR(__xludf.DUMMYFUNCTION("GOOGLETRANSLATE(A32056, ""de"", ""en"")"),"all clear")</f>
        <v>all clear</v>
      </c>
    </row>
    <row r="32057">
      <c r="A32057" s="1" t="s">
        <v>32056</v>
      </c>
      <c r="B32057" s="2" t="str">
        <f>IFERROR(__xludf.DUMMYFUNCTION("GOOGLETRANSLATE(A32057, ""de"", ""en"")"),"dishwasher")</f>
        <v>dishwasher</v>
      </c>
    </row>
    <row r="32058">
      <c r="A32058" s="1" t="s">
        <v>32057</v>
      </c>
      <c r="B32058" s="2" t="str">
        <f>IFERROR(__xludf.DUMMYFUNCTION("GOOGLETRANSLATE(A32058, ""de"", ""en"")"),"for that")</f>
        <v>for that</v>
      </c>
    </row>
    <row r="32059">
      <c r="A32059" s="1" t="s">
        <v>32058</v>
      </c>
      <c r="B32059" s="2" t="str">
        <f>IFERROR(__xludf.DUMMYFUNCTION("GOOGLETRANSLATE(A32059, ""de"", ""en"")"),"enchant")</f>
        <v>enchant</v>
      </c>
    </row>
    <row r="32060">
      <c r="A32060" s="1" t="s">
        <v>32059</v>
      </c>
      <c r="B32060" s="2" t="str">
        <f>IFERROR(__xludf.DUMMYFUNCTION("GOOGLETRANSLATE(A32060, ""de"", ""en"")"),"distances")</f>
        <v>distances</v>
      </c>
    </row>
    <row r="32061">
      <c r="A32061" s="1" t="s">
        <v>32060</v>
      </c>
      <c r="B32061" s="2" t="str">
        <f>IFERROR(__xludf.DUMMYFUNCTION("GOOGLETRANSLATE(A32061, ""de"", ""en"")"),"mohamed")</f>
        <v>mohamed</v>
      </c>
    </row>
    <row r="32062">
      <c r="A32062" s="1" t="s">
        <v>32061</v>
      </c>
      <c r="B32062" s="2" t="str">
        <f>IFERROR(__xludf.DUMMYFUNCTION("GOOGLETRANSLATE(A32062, ""de"", ""en"")"),"mouth")</f>
        <v>mouth</v>
      </c>
    </row>
    <row r="32063">
      <c r="A32063" s="1" t="s">
        <v>32062</v>
      </c>
      <c r="B32063" s="2" t="str">
        <f>IFERROR(__xludf.DUMMYFUNCTION("GOOGLETRANSLATE(A32063, ""de"", ""en"")"),"scudder")</f>
        <v>scudder</v>
      </c>
    </row>
    <row r="32064">
      <c r="A32064" s="1" t="s">
        <v>32063</v>
      </c>
      <c r="B32064" s="2" t="str">
        <f>IFERROR(__xludf.DUMMYFUNCTION("GOOGLETRANSLATE(A32064, ""de"", ""en"")"),"harakiri")</f>
        <v>harakiri</v>
      </c>
    </row>
    <row r="32065">
      <c r="A32065" s="1" t="s">
        <v>32064</v>
      </c>
      <c r="B32065" s="2" t="str">
        <f>IFERROR(__xludf.DUMMYFUNCTION("GOOGLETRANSLATE(A32065, ""de"", ""en"")"),"expectant")</f>
        <v>expectant</v>
      </c>
    </row>
    <row r="32066">
      <c r="A32066" s="1" t="s">
        <v>32065</v>
      </c>
      <c r="B32066" s="2" t="str">
        <f>IFERROR(__xludf.DUMMYFUNCTION("GOOGLETRANSLATE(A32066, ""de"", ""en"")"),"cemeteries")</f>
        <v>cemeteries</v>
      </c>
    </row>
    <row r="32067">
      <c r="A32067" s="1" t="s">
        <v>32066</v>
      </c>
      <c r="B32067" s="2" t="str">
        <f>IFERROR(__xludf.DUMMYFUNCTION("GOOGLETRANSLATE(A32067, ""de"", ""en"")"),"thermostat")</f>
        <v>thermostat</v>
      </c>
    </row>
    <row r="32068">
      <c r="A32068" s="1" t="s">
        <v>32067</v>
      </c>
      <c r="B32068" s="2" t="str">
        <f>IFERROR(__xludf.DUMMYFUNCTION("GOOGLETRANSLATE(A32068, ""de"", ""en"")"),"ready to fight")</f>
        <v>ready to fight</v>
      </c>
    </row>
    <row r="32069">
      <c r="A32069" s="1" t="s">
        <v>32068</v>
      </c>
      <c r="B32069" s="2" t="str">
        <f>IFERROR(__xludf.DUMMYFUNCTION("GOOGLETRANSLATE(A32069, ""de"", ""en"")"),"use of force")</f>
        <v>use of force</v>
      </c>
    </row>
    <row r="32070">
      <c r="A32070" s="1" t="s">
        <v>32069</v>
      </c>
      <c r="B32070" s="2" t="str">
        <f>IFERROR(__xludf.DUMMYFUNCTION("GOOGLETRANSLATE(A32070, ""de"", ""en"")"),"duplicate")</f>
        <v>duplicate</v>
      </c>
    </row>
    <row r="32071">
      <c r="A32071" s="1" t="s">
        <v>32070</v>
      </c>
      <c r="B32071" s="2" t="str">
        <f>IFERROR(__xludf.DUMMYFUNCTION("GOOGLETRANSLATE(A32071, ""de"", ""en"")"),"sighing")</f>
        <v>sighing</v>
      </c>
    </row>
    <row r="32072">
      <c r="A32072" s="1" t="s">
        <v>32071</v>
      </c>
      <c r="B32072" s="2" t="str">
        <f>IFERROR(__xludf.DUMMYFUNCTION("GOOGLETRANSLATE(A32072, ""de"", ""en"")"),"speak")</f>
        <v>speak</v>
      </c>
    </row>
    <row r="32073">
      <c r="A32073" s="1" t="s">
        <v>32072</v>
      </c>
      <c r="B32073" s="2" t="str">
        <f>IFERROR(__xludf.DUMMYFUNCTION("GOOGLETRANSLATE(A32073, ""de"", ""en"")"),"Malta")</f>
        <v>Malta</v>
      </c>
    </row>
    <row r="32074">
      <c r="A32074" s="1" t="s">
        <v>32073</v>
      </c>
      <c r="B32074" s="2" t="str">
        <f>IFERROR(__xludf.DUMMYFUNCTION("GOOGLETRANSLATE(A32074, ""de"", ""en"")"),"renoir")</f>
        <v>renoir</v>
      </c>
    </row>
    <row r="32075">
      <c r="A32075" s="1" t="s">
        <v>32074</v>
      </c>
      <c r="B32075" s="2" t="str">
        <f>IFERROR(__xludf.DUMMYFUNCTION("GOOGLETRANSLATE(A32075, ""de"", ""en"")"),"mosca")</f>
        <v>mosca</v>
      </c>
    </row>
    <row r="32076">
      <c r="A32076" s="1" t="s">
        <v>32075</v>
      </c>
      <c r="B32076" s="2" t="str">
        <f>IFERROR(__xludf.DUMMYFUNCTION("GOOGLETRANSLATE(A32076, ""de"", ""en"")"),"unclear")</f>
        <v>unclear</v>
      </c>
    </row>
    <row r="32077">
      <c r="A32077" s="1" t="s">
        <v>32076</v>
      </c>
      <c r="B32077" s="2" t="str">
        <f>IFERROR(__xludf.DUMMYFUNCTION("GOOGLETRANSLATE(A32077, ""de"", ""en"")"),"Rodin")</f>
        <v>Rodin</v>
      </c>
    </row>
    <row r="32078">
      <c r="A32078" s="1" t="s">
        <v>32077</v>
      </c>
      <c r="B32078" s="2" t="str">
        <f>IFERROR(__xludf.DUMMYFUNCTION("GOOGLETRANSLATE(A32078, ""de"", ""en"")"),"cheetah")</f>
        <v>cheetah</v>
      </c>
    </row>
    <row r="32079">
      <c r="A32079" s="1" t="s">
        <v>32078</v>
      </c>
      <c r="B32079" s="2" t="str">
        <f>IFERROR(__xludf.DUMMYFUNCTION("GOOGLETRANSLATE(A32079, ""de"", ""en"")"),"success")</f>
        <v>success</v>
      </c>
    </row>
    <row r="32080">
      <c r="A32080" s="1" t="s">
        <v>32079</v>
      </c>
      <c r="B32080" s="2" t="str">
        <f>IFERROR(__xludf.DUMMYFUNCTION("GOOGLETRANSLATE(A32080, ""de"", ""en"")"),"dates")</f>
        <v>dates</v>
      </c>
    </row>
    <row r="32081">
      <c r="A32081" s="1" t="s">
        <v>32080</v>
      </c>
      <c r="B32081" s="2" t="str">
        <f>IFERROR(__xludf.DUMMYFUNCTION("GOOGLETRANSLATE(A32081, ""de"", ""en"")"),"filthy rich")</f>
        <v>filthy rich</v>
      </c>
    </row>
    <row r="32082">
      <c r="A32082" s="1" t="s">
        <v>32081</v>
      </c>
      <c r="B32082" s="2" t="str">
        <f>IFERROR(__xludf.DUMMYFUNCTION("GOOGLETRANSLATE(A32082, ""de"", ""en"")"),"sanjay")</f>
        <v>sanjay</v>
      </c>
    </row>
    <row r="32083">
      <c r="A32083" s="1" t="s">
        <v>32082</v>
      </c>
      <c r="B32083" s="2" t="str">
        <f>IFERROR(__xludf.DUMMYFUNCTION("GOOGLETRANSLATE(A32083, ""de"", ""en"")"),"shortness of breath")</f>
        <v>shortness of breath</v>
      </c>
    </row>
    <row r="32084">
      <c r="A32084" s="1" t="s">
        <v>32083</v>
      </c>
      <c r="B32084" s="2" t="str">
        <f>IFERROR(__xludf.DUMMYFUNCTION("GOOGLETRANSLATE(A32084, ""de"", ""en"")"),"dying")</f>
        <v>dying</v>
      </c>
    </row>
    <row r="32085">
      <c r="A32085" s="1" t="s">
        <v>32084</v>
      </c>
      <c r="B32085" s="2" t="str">
        <f>IFERROR(__xludf.DUMMYFUNCTION("GOOGLETRANSLATE(A32085, ""de"", ""en"")"),"Morse")</f>
        <v>Morse</v>
      </c>
    </row>
    <row r="32086">
      <c r="A32086" s="1" t="s">
        <v>32085</v>
      </c>
      <c r="B32086" s="2" t="str">
        <f>IFERROR(__xludf.DUMMYFUNCTION("GOOGLETRANSLATE(A32086, ""de"", ""en"")"),"staple")</f>
        <v>staple</v>
      </c>
    </row>
    <row r="32087">
      <c r="A32087" s="1" t="s">
        <v>32086</v>
      </c>
      <c r="B32087" s="2" t="str">
        <f>IFERROR(__xludf.DUMMYFUNCTION("GOOGLETRANSLATE(A32087, ""de"", ""en"")"),"magnificent")</f>
        <v>magnificent</v>
      </c>
    </row>
    <row r="32088">
      <c r="A32088" s="1" t="s">
        <v>32087</v>
      </c>
      <c r="B32088" s="2" t="str">
        <f>IFERROR(__xludf.DUMMYFUNCTION("GOOGLETRANSLATE(A32088, ""de"", ""en"")"),"guzman")</f>
        <v>guzman</v>
      </c>
    </row>
    <row r="32089">
      <c r="A32089" s="1" t="s">
        <v>32088</v>
      </c>
      <c r="B32089" s="2" t="str">
        <f>IFERROR(__xludf.DUMMYFUNCTION("GOOGLETRANSLATE(A32089, ""de"", ""en"")"),"archduke")</f>
        <v>archduke</v>
      </c>
    </row>
    <row r="32090">
      <c r="A32090" s="1" t="s">
        <v>32089</v>
      </c>
      <c r="B32090" s="2" t="str">
        <f>IFERROR(__xludf.DUMMYFUNCTION("GOOGLETRANSLATE(A32090, ""de"", ""en"")"),"wired")</f>
        <v>wired</v>
      </c>
    </row>
    <row r="32091">
      <c r="A32091" s="1" t="s">
        <v>32090</v>
      </c>
      <c r="B32091" s="2" t="str">
        <f>IFERROR(__xludf.DUMMYFUNCTION("GOOGLETRANSLATE(A32091, ""de"", ""en"")"),"Quinlan")</f>
        <v>Quinlan</v>
      </c>
    </row>
    <row r="32092">
      <c r="A32092" s="1" t="s">
        <v>32091</v>
      </c>
      <c r="B32092" s="2" t="str">
        <f>IFERROR(__xludf.DUMMYFUNCTION("GOOGLETRANSLATE(A32092, ""de"", ""en"")"),"firefly")</f>
        <v>firefly</v>
      </c>
    </row>
    <row r="32093">
      <c r="A32093" s="1" t="s">
        <v>32092</v>
      </c>
      <c r="B32093" s="2" t="str">
        <f>IFERROR(__xludf.DUMMYFUNCTION("GOOGLETRANSLATE(A32093, ""de"", ""en"")"),"intimidating")</f>
        <v>intimidating</v>
      </c>
    </row>
    <row r="32094">
      <c r="A32094" s="1" t="s">
        <v>32093</v>
      </c>
      <c r="B32094" s="2" t="str">
        <f>IFERROR(__xludf.DUMMYFUNCTION("GOOGLETRANSLATE(A32094, ""de"", ""en"")"),"instability")</f>
        <v>instability</v>
      </c>
    </row>
    <row r="32095">
      <c r="A32095" s="1" t="s">
        <v>32094</v>
      </c>
      <c r="B32095" s="2" t="str">
        <f>IFERROR(__xludf.DUMMYFUNCTION("GOOGLETRANSLATE(A32095, ""de"", ""en"")"),"zarkon")</f>
        <v>zarkon</v>
      </c>
    </row>
    <row r="32096">
      <c r="A32096" s="1" t="s">
        <v>32095</v>
      </c>
      <c r="B32096" s="2" t="str">
        <f>IFERROR(__xludf.DUMMYFUNCTION("GOOGLETRANSLATE(A32096, ""de"", ""en"")"),"parrots")</f>
        <v>parrots</v>
      </c>
    </row>
    <row r="32097">
      <c r="A32097" s="1" t="s">
        <v>32096</v>
      </c>
      <c r="B32097" s="2" t="str">
        <f>IFERROR(__xludf.DUMMYFUNCTION("GOOGLETRANSLATE(A32097, ""de"", ""en"")"),"sung")</f>
        <v>sung</v>
      </c>
    </row>
    <row r="32098">
      <c r="A32098" s="1" t="s">
        <v>32097</v>
      </c>
      <c r="B32098" s="2" t="str">
        <f>IFERROR(__xludf.DUMMYFUNCTION("GOOGLETRANSLATE(A32098, ""de"", ""en"")"),"I bet")</f>
        <v>I bet</v>
      </c>
    </row>
    <row r="32099">
      <c r="A32099" s="1" t="s">
        <v>32098</v>
      </c>
      <c r="B32099" s="2" t="str">
        <f>IFERROR(__xludf.DUMMYFUNCTION("GOOGLETRANSLATE(A32099, ""de"", ""en"")"),"laze around")</f>
        <v>laze around</v>
      </c>
    </row>
    <row r="32100">
      <c r="A32100" s="1" t="s">
        <v>32099</v>
      </c>
      <c r="B32100" s="2" t="str">
        <f>IFERROR(__xludf.DUMMYFUNCTION("GOOGLETRANSLATE(A32100, ""de"", ""en"")"),"get along")</f>
        <v>get along</v>
      </c>
    </row>
    <row r="32101">
      <c r="A32101" s="1" t="s">
        <v>32100</v>
      </c>
      <c r="B32101" s="2" t="str">
        <f>IFERROR(__xludf.DUMMYFUNCTION("GOOGLETRANSLATE(A32101, ""de"", ""en"")"),"streaks")</f>
        <v>streaks</v>
      </c>
    </row>
    <row r="32102">
      <c r="A32102" s="1" t="s">
        <v>32101</v>
      </c>
      <c r="B32102" s="2" t="str">
        <f>IFERROR(__xludf.DUMMYFUNCTION("GOOGLETRANSLATE(A32102, ""de"", ""en"")"),"Beauregard")</f>
        <v>Beauregard</v>
      </c>
    </row>
    <row r="32103">
      <c r="A32103" s="1" t="s">
        <v>32102</v>
      </c>
      <c r="B32103" s="2" t="str">
        <f>IFERROR(__xludf.DUMMYFUNCTION("GOOGLETRANSLATE(A32103, ""de"", ""en"")"),"commendable")</f>
        <v>commendable</v>
      </c>
    </row>
    <row r="32104">
      <c r="A32104" s="1" t="s">
        <v>32103</v>
      </c>
      <c r="B32104" s="2" t="str">
        <f>IFERROR(__xludf.DUMMYFUNCTION("GOOGLETRANSLATE(A32104, ""de"", ""en"")"),"such")</f>
        <v>such</v>
      </c>
    </row>
    <row r="32105">
      <c r="A32105" s="1" t="s">
        <v>32104</v>
      </c>
      <c r="B32105" s="2" t="str">
        <f>IFERROR(__xludf.DUMMYFUNCTION("GOOGLETRANSLATE(A32105, ""de"", ""en"")"),"resists")</f>
        <v>resists</v>
      </c>
    </row>
    <row r="32106">
      <c r="A32106" s="1" t="s">
        <v>32105</v>
      </c>
      <c r="B32106" s="2" t="str">
        <f>IFERROR(__xludf.DUMMYFUNCTION("GOOGLETRANSLATE(A32106, ""de"", ""en"")"),"humiliations")</f>
        <v>humiliations</v>
      </c>
    </row>
    <row r="32107">
      <c r="A32107" s="1" t="s">
        <v>32106</v>
      </c>
      <c r="B32107" s="2" t="str">
        <f>IFERROR(__xludf.DUMMYFUNCTION("GOOGLETRANSLATE(A32107, ""de"", ""en"")"),"crowbar")</f>
        <v>crowbar</v>
      </c>
    </row>
    <row r="32108">
      <c r="A32108" s="1" t="s">
        <v>32107</v>
      </c>
      <c r="B32108" s="2" t="str">
        <f>IFERROR(__xludf.DUMMYFUNCTION("GOOGLETRANSLATE(A32108, ""de"", ""en"")"),"ingenuity")</f>
        <v>ingenuity</v>
      </c>
    </row>
    <row r="32109">
      <c r="A32109" s="1" t="s">
        <v>32108</v>
      </c>
      <c r="B32109" s="2" t="str">
        <f>IFERROR(__xludf.DUMMYFUNCTION("GOOGLETRANSLATE(A32109, ""de"", ""en"")"),"tense")</f>
        <v>tense</v>
      </c>
    </row>
    <row r="32110">
      <c r="A32110" s="1" t="s">
        <v>32109</v>
      </c>
      <c r="B32110" s="2" t="str">
        <f>IFERROR(__xludf.DUMMYFUNCTION("GOOGLETRANSLATE(A32110, ""de"", ""en"")"),"closed")</f>
        <v>closed</v>
      </c>
    </row>
    <row r="32111">
      <c r="A32111" s="1" t="s">
        <v>32110</v>
      </c>
      <c r="B32111" s="2" t="str">
        <f>IFERROR(__xludf.DUMMYFUNCTION("GOOGLETRANSLATE(A32111, ""de"", ""en"")"),"advise")</f>
        <v>advise</v>
      </c>
    </row>
    <row r="32112">
      <c r="A32112" s="1" t="s">
        <v>32111</v>
      </c>
      <c r="B32112" s="2" t="str">
        <f>IFERROR(__xludf.DUMMYFUNCTION("GOOGLETRANSLATE(A32112, ""de"", ""en"")"),"greatest")</f>
        <v>greatest</v>
      </c>
    </row>
    <row r="32113">
      <c r="A32113" s="1" t="s">
        <v>32112</v>
      </c>
      <c r="B32113" s="2" t="str">
        <f>IFERROR(__xludf.DUMMYFUNCTION("GOOGLETRANSLATE(A32113, ""de"", ""en"")"),"combat")</f>
        <v>combat</v>
      </c>
    </row>
    <row r="32114">
      <c r="A32114" s="1" t="s">
        <v>32113</v>
      </c>
      <c r="B32114" s="2" t="str">
        <f>IFERROR(__xludf.DUMMYFUNCTION("GOOGLETRANSLATE(A32114, ""de"", ""en"")"),"traces of smoke")</f>
        <v>traces of smoke</v>
      </c>
    </row>
    <row r="32115">
      <c r="A32115" s="1" t="s">
        <v>32114</v>
      </c>
      <c r="B32115" s="2" t="str">
        <f>IFERROR(__xludf.DUMMYFUNCTION("GOOGLETRANSLATE(A32115, ""de"", ""en"")"),"gunslinger")</f>
        <v>gunslinger</v>
      </c>
    </row>
    <row r="32116">
      <c r="A32116" s="1" t="s">
        <v>32115</v>
      </c>
      <c r="B32116" s="2" t="str">
        <f>IFERROR(__xludf.DUMMYFUNCTION("GOOGLETRANSLATE(A32116, ""de"", ""en"")"),"kindling")</f>
        <v>kindling</v>
      </c>
    </row>
    <row r="32117">
      <c r="A32117" s="1" t="s">
        <v>32116</v>
      </c>
      <c r="B32117" s="2" t="str">
        <f>IFERROR(__xludf.DUMMYFUNCTION("GOOGLETRANSLATE(A32117, ""de"", ""en"")"),"security guards")</f>
        <v>security guards</v>
      </c>
    </row>
    <row r="32118">
      <c r="A32118" s="1" t="s">
        <v>32117</v>
      </c>
      <c r="B32118" s="2" t="str">
        <f>IFERROR(__xludf.DUMMYFUNCTION("GOOGLETRANSLATE(A32118, ""de"", ""en"")"),"paella")</f>
        <v>paella</v>
      </c>
    </row>
    <row r="32119">
      <c r="A32119" s="1" t="s">
        <v>32118</v>
      </c>
      <c r="B32119" s="2" t="str">
        <f>IFERROR(__xludf.DUMMYFUNCTION("GOOGLETRANSLATE(A32119, ""de"", ""en"")"),"gilroy")</f>
        <v>gilroy</v>
      </c>
    </row>
    <row r="32120">
      <c r="A32120" s="1" t="s">
        <v>32119</v>
      </c>
      <c r="B32120" s="2" t="str">
        <f>IFERROR(__xludf.DUMMYFUNCTION("GOOGLETRANSLATE(A32120, ""de"", ""en"")"),"smee")</f>
        <v>smee</v>
      </c>
    </row>
    <row r="32121">
      <c r="A32121" s="1" t="s">
        <v>32120</v>
      </c>
      <c r="B32121" s="2" t="str">
        <f>IFERROR(__xludf.DUMMYFUNCTION("GOOGLETRANSLATE(A32121, ""de"", ""en"")"),"decayed")</f>
        <v>decayed</v>
      </c>
    </row>
    <row r="32122">
      <c r="A32122" s="1" t="s">
        <v>32121</v>
      </c>
      <c r="B32122" s="2" t="str">
        <f>IFERROR(__xludf.DUMMYFUNCTION("GOOGLETRANSLATE(A32122, ""de"", ""en"")"),"for your sake")</f>
        <v>for your sake</v>
      </c>
    </row>
    <row r="32123">
      <c r="A32123" s="1" t="s">
        <v>32122</v>
      </c>
      <c r="B32123" s="2" t="str">
        <f>IFERROR(__xludf.DUMMYFUNCTION("GOOGLETRANSLATE(A32123, ""de"", ""en"")"),"screams of pain")</f>
        <v>screams of pain</v>
      </c>
    </row>
    <row r="32124">
      <c r="A32124" s="1" t="s">
        <v>32123</v>
      </c>
      <c r="B32124" s="2" t="str">
        <f>IFERROR(__xludf.DUMMYFUNCTION("GOOGLETRANSLATE(A32124, ""de"", ""en"")"),"making")</f>
        <v>making</v>
      </c>
    </row>
    <row r="32125">
      <c r="A32125" s="1" t="s">
        <v>32124</v>
      </c>
      <c r="B32125" s="2" t="str">
        <f>IFERROR(__xludf.DUMMYFUNCTION("GOOGLETRANSLATE(A32125, ""de"", ""en"")"),"birdy")</f>
        <v>birdy</v>
      </c>
    </row>
    <row r="32126">
      <c r="A32126" s="1" t="s">
        <v>32125</v>
      </c>
      <c r="B32126" s="2" t="str">
        <f>IFERROR(__xludf.DUMMYFUNCTION("GOOGLETRANSLATE(A32126, ""de"", ""en"")"),"article")</f>
        <v>article</v>
      </c>
    </row>
    <row r="32127">
      <c r="A32127" s="1" t="s">
        <v>32126</v>
      </c>
      <c r="B32127" s="2" t="str">
        <f>IFERROR(__xludf.DUMMYFUNCTION("GOOGLETRANSLATE(A32127, ""de"", ""en"")"),"continents")</f>
        <v>continents</v>
      </c>
    </row>
    <row r="32128">
      <c r="A32128" s="1" t="s">
        <v>32127</v>
      </c>
      <c r="B32128" s="2" t="str">
        <f>IFERROR(__xludf.DUMMYFUNCTION("GOOGLETRANSLATE(A32128, ""de"", ""en"")"),"backup")</f>
        <v>backup</v>
      </c>
    </row>
    <row r="32129">
      <c r="A32129" s="1" t="s">
        <v>32128</v>
      </c>
      <c r="B32129" s="2" t="str">
        <f>IFERROR(__xludf.DUMMYFUNCTION("GOOGLETRANSLATE(A32129, ""de"", ""en"")"),"copy")</f>
        <v>copy</v>
      </c>
    </row>
    <row r="32130">
      <c r="A32130" s="1" t="s">
        <v>32129</v>
      </c>
      <c r="B32130" s="2" t="str">
        <f>IFERROR(__xludf.DUMMYFUNCTION("GOOGLETRANSLATE(A32130, ""de"", ""en"")"),"vessels")</f>
        <v>vessels</v>
      </c>
    </row>
    <row r="32131">
      <c r="A32131" s="1" t="s">
        <v>32130</v>
      </c>
      <c r="B32131" s="2" t="str">
        <f>IFERROR(__xludf.DUMMYFUNCTION("GOOGLETRANSLATE(A32131, ""de"", ""en"")"),"luggage rack")</f>
        <v>luggage rack</v>
      </c>
    </row>
    <row r="32132">
      <c r="A32132" s="1" t="s">
        <v>32131</v>
      </c>
      <c r="B32132" s="2" t="str">
        <f>IFERROR(__xludf.DUMMYFUNCTION("GOOGLETRANSLATE(A32132, ""de"", ""en"")"),"burning")</f>
        <v>burning</v>
      </c>
    </row>
    <row r="32133">
      <c r="A32133" s="1" t="s">
        <v>32132</v>
      </c>
      <c r="B32133" s="2" t="str">
        <f>IFERROR(__xludf.DUMMYFUNCTION("GOOGLETRANSLATE(A32133, ""de"", ""en"")"),"Danni")</f>
        <v>Danni</v>
      </c>
    </row>
    <row r="32134">
      <c r="A32134" s="1" t="s">
        <v>32133</v>
      </c>
      <c r="B32134" s="2" t="str">
        <f>IFERROR(__xludf.DUMMYFUNCTION("GOOGLETRANSLATE(A32134, ""de"", ""en"")"),"garments")</f>
        <v>garments</v>
      </c>
    </row>
    <row r="32135">
      <c r="A32135" s="1" t="s">
        <v>32134</v>
      </c>
      <c r="B32135" s="2" t="str">
        <f>IFERROR(__xludf.DUMMYFUNCTION("GOOGLETRANSLATE(A32135, ""de"", ""en"")"),"backstage")</f>
        <v>backstage</v>
      </c>
    </row>
    <row r="32136">
      <c r="A32136" s="1" t="s">
        <v>32135</v>
      </c>
      <c r="B32136" s="2" t="str">
        <f>IFERROR(__xludf.DUMMYFUNCTION("GOOGLETRANSLATE(A32136, ""de"", ""en"")"),"negotiator")</f>
        <v>negotiator</v>
      </c>
    </row>
    <row r="32137">
      <c r="A32137" s="1" t="s">
        <v>32136</v>
      </c>
      <c r="B32137" s="2" t="str">
        <f>IFERROR(__xludf.DUMMYFUNCTION("GOOGLETRANSLATE(A32137, ""de"", ""en"")"),"mcginty")</f>
        <v>mcginty</v>
      </c>
    </row>
    <row r="32138">
      <c r="A32138" s="1" t="s">
        <v>32137</v>
      </c>
      <c r="B32138" s="2" t="str">
        <f>IFERROR(__xludf.DUMMYFUNCTION("GOOGLETRANSLATE(A32138, ""de"", ""en"")"),"cover page")</f>
        <v>cover page</v>
      </c>
    </row>
    <row r="32139">
      <c r="A32139" s="1" t="s">
        <v>32138</v>
      </c>
      <c r="B32139" s="2" t="str">
        <f>IFERROR(__xludf.DUMMYFUNCTION("GOOGLETRANSLATE(A32139, ""de"", ""en"")"),"blow up")</f>
        <v>blow up</v>
      </c>
    </row>
    <row r="32140">
      <c r="A32140" s="1" t="s">
        <v>32139</v>
      </c>
      <c r="B32140" s="2" t="str">
        <f>IFERROR(__xludf.DUMMYFUNCTION("GOOGLETRANSLATE(A32140, ""de"", ""en"")"),"ethically")</f>
        <v>ethically</v>
      </c>
    </row>
    <row r="32141">
      <c r="A32141" s="1" t="s">
        <v>32140</v>
      </c>
      <c r="B32141" s="2" t="str">
        <f>IFERROR(__xludf.DUMMYFUNCTION("GOOGLETRANSLATE(A32141, ""de"", ""en"")"),"marilla")</f>
        <v>marilla</v>
      </c>
    </row>
    <row r="32142">
      <c r="A32142" s="1" t="s">
        <v>32141</v>
      </c>
      <c r="B32142" s="2" t="str">
        <f>IFERROR(__xludf.DUMMYFUNCTION("GOOGLETRANSLATE(A32142, ""de"", ""en"")"),"Manila")</f>
        <v>Manila</v>
      </c>
    </row>
    <row r="32143">
      <c r="A32143" s="1" t="s">
        <v>32142</v>
      </c>
      <c r="B32143" s="2" t="str">
        <f>IFERROR(__xludf.DUMMYFUNCTION("GOOGLETRANSLATE(A32143, ""de"", ""en"")"),"veterinarian")</f>
        <v>veterinarian</v>
      </c>
    </row>
    <row r="32144">
      <c r="A32144" s="1" t="s">
        <v>32143</v>
      </c>
      <c r="B32144" s="2" t="str">
        <f>IFERROR(__xludf.DUMMYFUNCTION("GOOGLETRANSLATE(A32144, ""de"", ""en"")"),"destroyed")</f>
        <v>destroyed</v>
      </c>
    </row>
    <row r="32145">
      <c r="A32145" s="1" t="s">
        <v>32144</v>
      </c>
      <c r="B32145" s="2" t="str">
        <f>IFERROR(__xludf.DUMMYFUNCTION("GOOGLETRANSLATE(A32145, ""de"", ""en"")"),"knew")</f>
        <v>knew</v>
      </c>
    </row>
    <row r="32146">
      <c r="A32146" s="1" t="s">
        <v>32145</v>
      </c>
      <c r="B32146" s="2" t="str">
        <f>IFERROR(__xludf.DUMMYFUNCTION("GOOGLETRANSLATE(A32146, ""de"", ""en"")"),"gupta")</f>
        <v>gupta</v>
      </c>
    </row>
    <row r="32147">
      <c r="A32147" s="1" t="s">
        <v>32146</v>
      </c>
      <c r="B32147" s="2" t="str">
        <f>IFERROR(__xludf.DUMMYFUNCTION("GOOGLETRANSLATE(A32147, ""de"", ""en"")"),"grog")</f>
        <v>grog</v>
      </c>
    </row>
    <row r="32148">
      <c r="A32148" s="1" t="s">
        <v>32147</v>
      </c>
      <c r="B32148" s="2" t="str">
        <f>IFERROR(__xludf.DUMMYFUNCTION("GOOGLETRANSLATE(A32148, ""de"", ""en"")"),"deposit")</f>
        <v>deposit</v>
      </c>
    </row>
    <row r="32149">
      <c r="A32149" s="1" t="s">
        <v>32148</v>
      </c>
      <c r="B32149" s="2" t="str">
        <f>IFERROR(__xludf.DUMMYFUNCTION("GOOGLETRANSLATE(A32149, ""de"", ""en"")"),"most common")</f>
        <v>most common</v>
      </c>
    </row>
    <row r="32150">
      <c r="A32150" s="1" t="s">
        <v>32149</v>
      </c>
      <c r="B32150" s="2" t="str">
        <f>IFERROR(__xludf.DUMMYFUNCTION("GOOGLETRANSLATE(A32150, ""de"", ""en"")"),"slandered")</f>
        <v>slandered</v>
      </c>
    </row>
    <row r="32151">
      <c r="A32151" s="1" t="s">
        <v>32150</v>
      </c>
      <c r="B32151" s="2" t="str">
        <f>IFERROR(__xludf.DUMMYFUNCTION("GOOGLETRANSLATE(A32151, ""de"", ""en"")"),"uneducated")</f>
        <v>uneducated</v>
      </c>
    </row>
    <row r="32152">
      <c r="A32152" s="1" t="s">
        <v>32151</v>
      </c>
      <c r="B32152" s="2" t="str">
        <f>IFERROR(__xludf.DUMMYFUNCTION("GOOGLETRANSLATE(A32152, ""de"", ""en"")"),"unnecessary")</f>
        <v>unnecessary</v>
      </c>
    </row>
    <row r="32153">
      <c r="A32153" s="1" t="s">
        <v>32152</v>
      </c>
      <c r="B32153" s="2" t="str">
        <f>IFERROR(__xludf.DUMMYFUNCTION("GOOGLETRANSLATE(A32153, ""de"", ""en"")"),"rye")</f>
        <v>rye</v>
      </c>
    </row>
    <row r="32154">
      <c r="A32154" s="1" t="s">
        <v>32153</v>
      </c>
      <c r="B32154" s="2" t="str">
        <f>IFERROR(__xludf.DUMMYFUNCTION("GOOGLETRANSLATE(A32154, ""de"", ""en"")"),"parking meter")</f>
        <v>parking meter</v>
      </c>
    </row>
    <row r="32155">
      <c r="A32155" s="1" t="s">
        <v>32154</v>
      </c>
      <c r="B32155" s="2" t="str">
        <f>IFERROR(__xludf.DUMMYFUNCTION("GOOGLETRANSLATE(A32155, ""de"", ""en"")"),"penicillin")</f>
        <v>penicillin</v>
      </c>
    </row>
    <row r="32156">
      <c r="A32156" s="1" t="s">
        <v>32155</v>
      </c>
      <c r="B32156" s="2" t="str">
        <f>IFERROR(__xludf.DUMMYFUNCTION("GOOGLETRANSLATE(A32156, ""de"", ""en"")"),"serizawa")</f>
        <v>serizawa</v>
      </c>
    </row>
    <row r="32157">
      <c r="A32157" s="1" t="s">
        <v>32156</v>
      </c>
      <c r="B32157" s="2" t="str">
        <f>IFERROR(__xludf.DUMMYFUNCTION("GOOGLETRANSLATE(A32157, ""de"", ""en"")"),"base")</f>
        <v>base</v>
      </c>
    </row>
    <row r="32158">
      <c r="A32158" s="1" t="s">
        <v>32157</v>
      </c>
      <c r="B32158" s="2" t="str">
        <f>IFERROR(__xludf.DUMMYFUNCTION("GOOGLETRANSLATE(A32158, ""de"", ""en"")"),"cobblepot")</f>
        <v>cobblepot</v>
      </c>
    </row>
    <row r="32159">
      <c r="A32159" s="1" t="s">
        <v>32158</v>
      </c>
      <c r="B32159" s="2" t="str">
        <f>IFERROR(__xludf.DUMMYFUNCTION("GOOGLETRANSLATE(A32159, ""de"", ""en"")"),"Cathys")</f>
        <v>Cathys</v>
      </c>
    </row>
    <row r="32160">
      <c r="A32160" s="1" t="s">
        <v>32159</v>
      </c>
      <c r="B32160" s="2" t="str">
        <f>IFERROR(__xludf.DUMMYFUNCTION("GOOGLETRANSLATE(A32160, ""de"", ""en"")"),"vegan")</f>
        <v>vegan</v>
      </c>
    </row>
    <row r="32161">
      <c r="A32161" s="1" t="s">
        <v>32160</v>
      </c>
      <c r="B32161" s="2" t="str">
        <f>IFERROR(__xludf.DUMMYFUNCTION("GOOGLETRANSLATE(A32161, ""de"", ""en"")"),"barrel")</f>
        <v>barrel</v>
      </c>
    </row>
    <row r="32162">
      <c r="A32162" s="1" t="s">
        <v>32161</v>
      </c>
      <c r="B32162" s="2" t="str">
        <f>IFERROR(__xludf.DUMMYFUNCTION("GOOGLETRANSLATE(A32162, ""de"", ""en"")"),"converted")</f>
        <v>converted</v>
      </c>
    </row>
    <row r="32163">
      <c r="A32163" s="1" t="s">
        <v>32162</v>
      </c>
      <c r="B32163" s="2" t="str">
        <f>IFERROR(__xludf.DUMMYFUNCTION("GOOGLETRANSLATE(A32163, ""de"", ""en"")"),"reality")</f>
        <v>reality</v>
      </c>
    </row>
    <row r="32164">
      <c r="A32164" s="1" t="s">
        <v>32163</v>
      </c>
      <c r="B32164" s="2" t="str">
        <f>IFERROR(__xludf.DUMMYFUNCTION("GOOGLETRANSLATE(A32164, ""de"", ""en"")"),"restrict")</f>
        <v>restrict</v>
      </c>
    </row>
    <row r="32165">
      <c r="A32165" s="1" t="s">
        <v>32164</v>
      </c>
      <c r="B32165" s="2" t="str">
        <f>IFERROR(__xludf.DUMMYFUNCTION("GOOGLETRANSLATE(A32165, ""de"", ""en"")"),"Spanish")</f>
        <v>Spanish</v>
      </c>
    </row>
    <row r="32166">
      <c r="A32166" s="1" t="s">
        <v>32165</v>
      </c>
      <c r="B32166" s="2" t="str">
        <f>IFERROR(__xludf.DUMMYFUNCTION("GOOGLETRANSLATE(A32166, ""de"", ""en"")"),"intravenously")</f>
        <v>intravenously</v>
      </c>
    </row>
    <row r="32167">
      <c r="A32167" s="1" t="s">
        <v>32166</v>
      </c>
      <c r="B32167" s="2" t="str">
        <f>IFERROR(__xludf.DUMMYFUNCTION("GOOGLETRANSLATE(A32167, ""de"", ""en"")"),"redskin")</f>
        <v>redskin</v>
      </c>
    </row>
    <row r="32168">
      <c r="A32168" s="1" t="s">
        <v>32167</v>
      </c>
      <c r="B32168" s="2" t="str">
        <f>IFERROR(__xludf.DUMMYFUNCTION("GOOGLETRANSLATE(A32168, ""de"", ""en"")"),"ball")</f>
        <v>ball</v>
      </c>
    </row>
    <row r="32169">
      <c r="A32169" s="1" t="s">
        <v>32168</v>
      </c>
      <c r="B32169" s="2" t="str">
        <f>IFERROR(__xludf.DUMMYFUNCTION("GOOGLETRANSLATE(A32169, ""de"", ""en"")"),"cone")</f>
        <v>cone</v>
      </c>
    </row>
    <row r="32170">
      <c r="A32170" s="1" t="s">
        <v>32169</v>
      </c>
      <c r="B32170" s="2" t="str">
        <f>IFERROR(__xludf.DUMMYFUNCTION("GOOGLETRANSLATE(A32170, ""de"", ""en"")"),"tools")</f>
        <v>tools</v>
      </c>
    </row>
    <row r="32171">
      <c r="A32171" s="1" t="s">
        <v>32170</v>
      </c>
      <c r="B32171" s="2" t="str">
        <f>IFERROR(__xludf.DUMMYFUNCTION("GOOGLETRANSLATE(A32171, ""de"", ""en"")"),"sander")</f>
        <v>sander</v>
      </c>
    </row>
    <row r="32172">
      <c r="A32172" s="1" t="s">
        <v>32171</v>
      </c>
      <c r="B32172" s="2" t="str">
        <f>IFERROR(__xludf.DUMMYFUNCTION("GOOGLETRANSLATE(A32172, ""de"", ""en"")"),"barrier")</f>
        <v>barrier</v>
      </c>
    </row>
    <row r="32173">
      <c r="A32173" s="1" t="s">
        <v>32172</v>
      </c>
      <c r="B32173" s="2" t="str">
        <f>IFERROR(__xludf.DUMMYFUNCTION("GOOGLETRANSLATE(A32173, ""de"", ""en"")"),"pardaillan")</f>
        <v>pardaillan</v>
      </c>
    </row>
    <row r="32174">
      <c r="A32174" s="1" t="s">
        <v>32173</v>
      </c>
      <c r="B32174" s="2" t="str">
        <f>IFERROR(__xludf.DUMMYFUNCTION("GOOGLETRANSLATE(A32174, ""de"", ""en"")"),"travel")</f>
        <v>travel</v>
      </c>
    </row>
    <row r="32175">
      <c r="A32175" s="1" t="s">
        <v>32174</v>
      </c>
      <c r="B32175" s="2" t="str">
        <f>IFERROR(__xludf.DUMMYFUNCTION("GOOGLETRANSLATE(A32175, ""de"", ""en"")"),"Balthazar")</f>
        <v>Balthazar</v>
      </c>
    </row>
    <row r="32176">
      <c r="A32176" s="1" t="s">
        <v>32175</v>
      </c>
      <c r="B32176" s="2" t="str">
        <f>IFERROR(__xludf.DUMMYFUNCTION("GOOGLETRANSLATE(A32176, ""de"", ""en"")"),"nope")</f>
        <v>nope</v>
      </c>
    </row>
    <row r="32177">
      <c r="A32177" s="1" t="s">
        <v>32176</v>
      </c>
      <c r="B32177" s="2" t="str">
        <f>IFERROR(__xludf.DUMMYFUNCTION("GOOGLETRANSLATE(A32177, ""de"", ""en"")"),"decomposed")</f>
        <v>decomposed</v>
      </c>
    </row>
    <row r="32178">
      <c r="A32178" s="1" t="s">
        <v>32177</v>
      </c>
      <c r="B32178" s="2" t="str">
        <f>IFERROR(__xludf.DUMMYFUNCTION("GOOGLETRANSLATE(A32178, ""de"", ""en"")"),"bags")</f>
        <v>bags</v>
      </c>
    </row>
    <row r="32179">
      <c r="A32179" s="1" t="s">
        <v>32178</v>
      </c>
      <c r="B32179" s="2" t="str">
        <f>IFERROR(__xludf.DUMMYFUNCTION("GOOGLETRANSLATE(A32179, ""de"", ""en"")"),"melancholic")</f>
        <v>melancholic</v>
      </c>
    </row>
    <row r="32180">
      <c r="A32180" s="1" t="s">
        <v>32179</v>
      </c>
      <c r="B32180" s="2" t="str">
        <f>IFERROR(__xludf.DUMMYFUNCTION("GOOGLETRANSLATE(A32180, ""de"", ""en"")"),"barricade")</f>
        <v>barricade</v>
      </c>
    </row>
    <row r="32181">
      <c r="A32181" s="1" t="s">
        <v>32180</v>
      </c>
      <c r="B32181" s="2" t="str">
        <f>IFERROR(__xludf.DUMMYFUNCTION("GOOGLETRANSLATE(A32181, ""de"", ""en"")"),"jurist")</f>
        <v>jurist</v>
      </c>
    </row>
    <row r="32182">
      <c r="A32182" s="1" t="s">
        <v>32181</v>
      </c>
      <c r="B32182" s="2" t="str">
        <f>IFERROR(__xludf.DUMMYFUNCTION("GOOGLETRANSLATE(A32182, ""de"", ""en"")"),"felix")</f>
        <v>felix</v>
      </c>
    </row>
    <row r="32183">
      <c r="A32183" s="1" t="s">
        <v>32182</v>
      </c>
      <c r="B32183" s="2" t="str">
        <f>IFERROR(__xludf.DUMMYFUNCTION("GOOGLETRANSLATE(A32183, ""de"", ""en"")"),"fish sticks")</f>
        <v>fish sticks</v>
      </c>
    </row>
    <row r="32184">
      <c r="A32184" s="1" t="s">
        <v>32183</v>
      </c>
      <c r="B32184" s="2" t="str">
        <f>IFERROR(__xludf.DUMMYFUNCTION("GOOGLETRANSLATE(A32184, ""de"", ""en"")"),"lizards")</f>
        <v>lizards</v>
      </c>
    </row>
    <row r="32185">
      <c r="A32185" s="1" t="s">
        <v>32184</v>
      </c>
      <c r="B32185" s="2" t="str">
        <f>IFERROR(__xludf.DUMMYFUNCTION("GOOGLETRANSLATE(A32185, ""de"", ""en"")"),"fats")</f>
        <v>fats</v>
      </c>
    </row>
    <row r="32186">
      <c r="A32186" s="1" t="s">
        <v>32185</v>
      </c>
      <c r="B32186" s="2" t="str">
        <f>IFERROR(__xludf.DUMMYFUNCTION("GOOGLETRANSLATE(A32186, ""de"", ""en"")"),"mustache")</f>
        <v>mustache</v>
      </c>
    </row>
    <row r="32187">
      <c r="A32187" s="1" t="s">
        <v>32186</v>
      </c>
      <c r="B32187" s="2" t="str">
        <f>IFERROR(__xludf.DUMMYFUNCTION("GOOGLETRANSLATE(A32187, ""de"", ""en"")"),"valdez")</f>
        <v>valdez</v>
      </c>
    </row>
    <row r="32188">
      <c r="A32188" s="1" t="s">
        <v>32187</v>
      </c>
      <c r="B32188" s="2" t="str">
        <f>IFERROR(__xludf.DUMMYFUNCTION("GOOGLETRANSLATE(A32188, ""de"", ""en"")"),"lucrative")</f>
        <v>lucrative</v>
      </c>
    </row>
    <row r="32189">
      <c r="A32189" s="1" t="s">
        <v>32188</v>
      </c>
      <c r="B32189" s="2" t="str">
        <f>IFERROR(__xludf.DUMMYFUNCTION("GOOGLETRANSLATE(A32189, ""de"", ""en"")"),"neck")</f>
        <v>neck</v>
      </c>
    </row>
    <row r="32190">
      <c r="A32190" s="1" t="s">
        <v>32189</v>
      </c>
      <c r="B32190" s="2" t="str">
        <f>IFERROR(__xludf.DUMMYFUNCTION("GOOGLETRANSLATE(A32190, ""de"", ""en"")"),"xo")</f>
        <v>xo</v>
      </c>
    </row>
    <row r="32191">
      <c r="A32191" s="1" t="s">
        <v>32190</v>
      </c>
      <c r="B32191" s="2" t="str">
        <f>IFERROR(__xludf.DUMMYFUNCTION("GOOGLETRANSLATE(A32191, ""de"", ""en"")"),"sleep disorders")</f>
        <v>sleep disorders</v>
      </c>
    </row>
    <row r="32192">
      <c r="A32192" s="1" t="s">
        <v>32191</v>
      </c>
      <c r="B32192" s="2" t="str">
        <f>IFERROR(__xludf.DUMMYFUNCTION("GOOGLETRANSLATE(A32192, ""de"", ""en"")"),"attacks")</f>
        <v>attacks</v>
      </c>
    </row>
    <row r="32193">
      <c r="A32193" s="1" t="s">
        <v>32192</v>
      </c>
      <c r="B32193" s="2" t="str">
        <f>IFERROR(__xludf.DUMMYFUNCTION("GOOGLETRANSLATE(A32193, ""de"", ""en"")"),"security personnel")</f>
        <v>security personnel</v>
      </c>
    </row>
    <row r="32194">
      <c r="A32194" s="1" t="s">
        <v>32193</v>
      </c>
      <c r="B32194" s="2" t="str">
        <f>IFERROR(__xludf.DUMMYFUNCTION("GOOGLETRANSLATE(A32194, ""de"", ""en"")"),"nuys")</f>
        <v>nuys</v>
      </c>
    </row>
    <row r="32195">
      <c r="A32195" s="1" t="s">
        <v>32194</v>
      </c>
      <c r="B32195" s="2" t="str">
        <f>IFERROR(__xludf.DUMMYFUNCTION("GOOGLETRANSLATE(A32195, ""de"", ""en"")"),"miners")</f>
        <v>miners</v>
      </c>
    </row>
    <row r="32196">
      <c r="A32196" s="1" t="s">
        <v>32195</v>
      </c>
      <c r="B32196" s="2" t="str">
        <f>IFERROR(__xludf.DUMMYFUNCTION("GOOGLETRANSLATE(A32196, ""de"", ""en"")"),"funnel")</f>
        <v>funnel</v>
      </c>
    </row>
    <row r="32197">
      <c r="A32197" s="1" t="s">
        <v>32196</v>
      </c>
      <c r="B32197" s="2" t="str">
        <f>IFERROR(__xludf.DUMMYFUNCTION("GOOGLETRANSLATE(A32197, ""de"", ""en"")"),"curtain")</f>
        <v>curtain</v>
      </c>
    </row>
    <row r="32198">
      <c r="A32198" s="1" t="s">
        <v>32197</v>
      </c>
      <c r="B32198" s="2" t="str">
        <f>IFERROR(__xludf.DUMMYFUNCTION("GOOGLETRANSLATE(A32198, ""de"", ""en"")"),"righteous")</f>
        <v>righteous</v>
      </c>
    </row>
    <row r="32199">
      <c r="A32199" s="1" t="s">
        <v>32198</v>
      </c>
      <c r="B32199" s="2" t="str">
        <f>IFERROR(__xludf.DUMMYFUNCTION("GOOGLETRANSLATE(A32199, ""de"", ""en"")"),"indication")</f>
        <v>indication</v>
      </c>
    </row>
    <row r="32200">
      <c r="A32200" s="1" t="s">
        <v>32199</v>
      </c>
      <c r="B32200" s="2" t="str">
        <f>IFERROR(__xludf.DUMMYFUNCTION("GOOGLETRANSLATE(A32200, ""de"", ""en"")"),"wheelbarrow")</f>
        <v>wheelbarrow</v>
      </c>
    </row>
    <row r="32201">
      <c r="A32201" s="1" t="s">
        <v>32200</v>
      </c>
      <c r="B32201" s="2" t="str">
        <f>IFERROR(__xludf.DUMMYFUNCTION("GOOGLETRANSLATE(A32201, ""de"", ""en"")"),"to hire")</f>
        <v>to hire</v>
      </c>
    </row>
    <row r="32202">
      <c r="A32202" s="1" t="s">
        <v>32201</v>
      </c>
      <c r="B32202" s="2" t="str">
        <f>IFERROR(__xludf.DUMMYFUNCTION("GOOGLETRANSLATE(A32202, ""de"", ""en"")"),"kazon")</f>
        <v>kazon</v>
      </c>
    </row>
    <row r="32203">
      <c r="A32203" s="1" t="s">
        <v>32202</v>
      </c>
      <c r="B32203" s="2" t="str">
        <f>IFERROR(__xludf.DUMMYFUNCTION("GOOGLETRANSLATE(A32203, ""de"", ""en"")"),"more honorable")</f>
        <v>more honorable</v>
      </c>
    </row>
    <row r="32204">
      <c r="A32204" s="1" t="s">
        <v>32203</v>
      </c>
      <c r="B32204" s="2" t="str">
        <f>IFERROR(__xludf.DUMMYFUNCTION("GOOGLETRANSLATE(A32204, ""de"", ""en"")"),"designate")</f>
        <v>designate</v>
      </c>
    </row>
    <row r="32205">
      <c r="A32205" s="1" t="s">
        <v>32204</v>
      </c>
      <c r="B32205" s="2" t="str">
        <f>IFERROR(__xludf.DUMMYFUNCTION("GOOGLETRANSLATE(A32205, ""de"", ""en"")"),"tricycle")</f>
        <v>tricycle</v>
      </c>
    </row>
    <row r="32206">
      <c r="A32206" s="1" t="s">
        <v>32205</v>
      </c>
      <c r="B32206" s="2" t="str">
        <f>IFERROR(__xludf.DUMMYFUNCTION("GOOGLETRANSLATE(A32206, ""de"", ""en"")"),"garibaldi")</f>
        <v>garibaldi</v>
      </c>
    </row>
    <row r="32207">
      <c r="A32207" s="1" t="s">
        <v>32206</v>
      </c>
      <c r="B32207" s="2" t="str">
        <f>IFERROR(__xludf.DUMMYFUNCTION("GOOGLETRANSLATE(A32207, ""de"", ""en"")"),"hand signal")</f>
        <v>hand signal</v>
      </c>
    </row>
    <row r="32208">
      <c r="A32208" s="1" t="s">
        <v>32207</v>
      </c>
      <c r="B32208" s="2" t="str">
        <f>IFERROR(__xludf.DUMMYFUNCTION("GOOGLETRANSLATE(A32208, ""de"", ""en"")"),"sim")</f>
        <v>sim</v>
      </c>
    </row>
    <row r="32209">
      <c r="A32209" s="1" t="s">
        <v>32208</v>
      </c>
      <c r="B32209" s="2" t="str">
        <f>IFERROR(__xludf.DUMMYFUNCTION("GOOGLETRANSLATE(A32209, ""de"", ""en"")"),"sows")</f>
        <v>sows</v>
      </c>
    </row>
    <row r="32210">
      <c r="A32210" s="1" t="s">
        <v>32209</v>
      </c>
      <c r="B32210" s="2" t="str">
        <f>IFERROR(__xludf.DUMMYFUNCTION("GOOGLETRANSLATE(A32210, ""de"", ""en"")"),"seasons")</f>
        <v>seasons</v>
      </c>
    </row>
    <row r="32211">
      <c r="A32211" s="1" t="s">
        <v>32210</v>
      </c>
      <c r="B32211" s="2" t="str">
        <f>IFERROR(__xludf.DUMMYFUNCTION("GOOGLETRANSLATE(A32211, ""de"", ""en"")"),"descended")</f>
        <v>descended</v>
      </c>
    </row>
    <row r="32212">
      <c r="A32212" s="1" t="s">
        <v>32211</v>
      </c>
      <c r="B32212" s="2" t="str">
        <f>IFERROR(__xludf.DUMMYFUNCTION("GOOGLETRANSLATE(A32212, ""de"", ""en"")"),"supremacy")</f>
        <v>supremacy</v>
      </c>
    </row>
    <row r="32213">
      <c r="A32213" s="1" t="s">
        <v>32212</v>
      </c>
      <c r="B32213" s="2" t="str">
        <f>IFERROR(__xludf.DUMMYFUNCTION("GOOGLETRANSLATE(A32213, ""de"", ""en"")"),"tennyson")</f>
        <v>tennyson</v>
      </c>
    </row>
    <row r="32214">
      <c r="A32214" s="1" t="s">
        <v>32213</v>
      </c>
      <c r="B32214" s="2" t="str">
        <f>IFERROR(__xludf.DUMMYFUNCTION("GOOGLETRANSLATE(A32214, ""de"", ""en"")"),"Gonzalez")</f>
        <v>Gonzalez</v>
      </c>
    </row>
    <row r="32215">
      <c r="A32215" s="1" t="s">
        <v>32214</v>
      </c>
      <c r="B32215" s="2" t="str">
        <f>IFERROR(__xludf.DUMMYFUNCTION("GOOGLETRANSLATE(A32215, ""de"", ""en"")"),"previous")</f>
        <v>previous</v>
      </c>
    </row>
    <row r="32216">
      <c r="A32216" s="1" t="s">
        <v>32215</v>
      </c>
      <c r="B32216" s="2" t="str">
        <f>IFERROR(__xludf.DUMMYFUNCTION("GOOGLETRANSLATE(A32216, ""de"", ""en"")"),"raids")</f>
        <v>raids</v>
      </c>
    </row>
    <row r="32217">
      <c r="A32217" s="1" t="s">
        <v>32216</v>
      </c>
      <c r="B32217" s="2" t="str">
        <f>IFERROR(__xludf.DUMMYFUNCTION("GOOGLETRANSLATE(A32217, ""de"", ""en"")"),"profile")</f>
        <v>profile</v>
      </c>
    </row>
    <row r="32218">
      <c r="A32218" s="1" t="s">
        <v>32217</v>
      </c>
      <c r="B32218" s="2" t="str">
        <f>IFERROR(__xludf.DUMMYFUNCTION("GOOGLETRANSLATE(A32218, ""de"", ""en"")"),"soup kitchen")</f>
        <v>soup kitchen</v>
      </c>
    </row>
    <row r="32219">
      <c r="A32219" s="1" t="s">
        <v>32218</v>
      </c>
      <c r="B32219" s="2" t="str">
        <f>IFERROR(__xludf.DUMMYFUNCTION("GOOGLETRANSLATE(A32219, ""de"", ""en"")"),"averys")</f>
        <v>averys</v>
      </c>
    </row>
    <row r="32220">
      <c r="A32220" s="1" t="s">
        <v>32219</v>
      </c>
      <c r="B32220" s="2" t="str">
        <f>IFERROR(__xludf.DUMMYFUNCTION("GOOGLETRANSLATE(A32220, ""de"", ""en"")"),"Schaeffer")</f>
        <v>Schaeffer</v>
      </c>
    </row>
    <row r="32221">
      <c r="A32221" s="1" t="s">
        <v>32220</v>
      </c>
      <c r="B32221" s="2" t="str">
        <f>IFERROR(__xludf.DUMMYFUNCTION("GOOGLETRANSLATE(A32221, ""de"", ""en"")"),"market value")</f>
        <v>market value</v>
      </c>
    </row>
    <row r="32222">
      <c r="A32222" s="1" t="s">
        <v>32221</v>
      </c>
      <c r="B32222" s="2" t="str">
        <f>IFERROR(__xludf.DUMMYFUNCTION("GOOGLETRANSLATE(A32222, ""de"", ""en"")"),"rhetoric")</f>
        <v>rhetoric</v>
      </c>
    </row>
    <row r="32223">
      <c r="A32223" s="1" t="s">
        <v>32222</v>
      </c>
      <c r="B32223" s="2" t="str">
        <f>IFERROR(__xludf.DUMMYFUNCTION("GOOGLETRANSLATE(A32223, ""de"", ""en"")"),"attach")</f>
        <v>attach</v>
      </c>
    </row>
    <row r="32224">
      <c r="A32224" s="1" t="s">
        <v>32223</v>
      </c>
      <c r="B32224" s="2" t="str">
        <f>IFERROR(__xludf.DUMMYFUNCTION("GOOGLETRANSLATE(A32224, ""de"", ""en"")"),"frame")</f>
        <v>frame</v>
      </c>
    </row>
    <row r="32225">
      <c r="A32225" s="1" t="s">
        <v>32224</v>
      </c>
      <c r="B32225" s="2" t="str">
        <f>IFERROR(__xludf.DUMMYFUNCTION("GOOGLETRANSLATE(A32225, ""de"", ""en"")"),"moved on")</f>
        <v>moved on</v>
      </c>
    </row>
    <row r="32226">
      <c r="A32226" s="1" t="s">
        <v>32225</v>
      </c>
      <c r="B32226" s="2" t="str">
        <f>IFERROR(__xludf.DUMMYFUNCTION("GOOGLETRANSLATE(A32226, ""de"", ""en"")"),"irv")</f>
        <v>irv</v>
      </c>
    </row>
    <row r="32227">
      <c r="A32227" s="1" t="s">
        <v>32226</v>
      </c>
      <c r="B32227" s="2" t="str">
        <f>IFERROR(__xludf.DUMMYFUNCTION("GOOGLETRANSLATE(A32227, ""de"", ""en"")"),"rei")</f>
        <v>rei</v>
      </c>
    </row>
    <row r="32228">
      <c r="A32228" s="1" t="s">
        <v>32227</v>
      </c>
      <c r="B32228" s="2" t="str">
        <f>IFERROR(__xludf.DUMMYFUNCTION("GOOGLETRANSLATE(A32228, ""de"", ""en"")"),"entertainer")</f>
        <v>entertainer</v>
      </c>
    </row>
    <row r="32229">
      <c r="A32229" s="1" t="s">
        <v>32228</v>
      </c>
      <c r="B32229" s="2" t="str">
        <f>IFERROR(__xludf.DUMMYFUNCTION("GOOGLETRANSLATE(A32229, ""de"", ""en"")"),"overestimate")</f>
        <v>overestimate</v>
      </c>
    </row>
    <row r="32230">
      <c r="A32230" s="1" t="s">
        <v>32229</v>
      </c>
      <c r="B32230" s="2" t="str">
        <f>IFERROR(__xludf.DUMMYFUNCTION("GOOGLETRANSLATE(A32230, ""de"", ""en"")"),"hostess")</f>
        <v>hostess</v>
      </c>
    </row>
    <row r="32231">
      <c r="A32231" s="1" t="s">
        <v>32230</v>
      </c>
      <c r="B32231" s="2" t="str">
        <f>IFERROR(__xludf.DUMMYFUNCTION("GOOGLETRANSLATE(A32231, ""de"", ""en"")"),"Melville")</f>
        <v>Melville</v>
      </c>
    </row>
    <row r="32232">
      <c r="A32232" s="1" t="s">
        <v>32231</v>
      </c>
      <c r="B32232" s="2" t="str">
        <f>IFERROR(__xludf.DUMMYFUNCTION("GOOGLETRANSLATE(A32232, ""de"", ""en"")"),"dancing")</f>
        <v>dancing</v>
      </c>
    </row>
    <row r="32233">
      <c r="A32233" s="1" t="s">
        <v>32232</v>
      </c>
      <c r="B32233" s="2" t="str">
        <f>IFERROR(__xludf.DUMMYFUNCTION("GOOGLETRANSLATE(A32233, ""de"", ""en"")"),"federal agent")</f>
        <v>federal agent</v>
      </c>
    </row>
    <row r="32234">
      <c r="A32234" s="1" t="s">
        <v>32233</v>
      </c>
      <c r="B32234" s="2" t="str">
        <f>IFERROR(__xludf.DUMMYFUNCTION("GOOGLETRANSLATE(A32234, ""de"", ""en"")"),"pollock")</f>
        <v>pollock</v>
      </c>
    </row>
    <row r="32235">
      <c r="A32235" s="1" t="s">
        <v>32234</v>
      </c>
      <c r="B32235" s="2" t="str">
        <f>IFERROR(__xludf.DUMMYFUNCTION("GOOGLETRANSLATE(A32235, ""de"", ""en"")"),"previous")</f>
        <v>previous</v>
      </c>
    </row>
    <row r="32236">
      <c r="A32236" s="1" t="s">
        <v>32235</v>
      </c>
      <c r="B32236" s="2" t="str">
        <f>IFERROR(__xludf.DUMMYFUNCTION("GOOGLETRANSLATE(A32236, ""de"", ""en"")"),"natives")</f>
        <v>natives</v>
      </c>
    </row>
    <row r="32237">
      <c r="A32237" s="1" t="s">
        <v>32236</v>
      </c>
      <c r="B32237" s="2" t="str">
        <f>IFERROR(__xludf.DUMMYFUNCTION("GOOGLETRANSLATE(A32237, ""de"", ""en"")"),"esme")</f>
        <v>esme</v>
      </c>
    </row>
    <row r="32238">
      <c r="A32238" s="1" t="s">
        <v>32237</v>
      </c>
      <c r="B32238" s="2" t="str">
        <f>IFERROR(__xludf.DUMMYFUNCTION("GOOGLETRANSLATE(A32238, ""de"", ""en"")"),"stolen")</f>
        <v>stolen</v>
      </c>
    </row>
    <row r="32239">
      <c r="A32239" s="1" t="s">
        <v>32238</v>
      </c>
      <c r="B32239" s="2" t="str">
        <f>IFERROR(__xludf.DUMMYFUNCTION("GOOGLETRANSLATE(A32239, ""de"", ""en"")"),"cumberland")</f>
        <v>cumberland</v>
      </c>
    </row>
    <row r="32240">
      <c r="A32240" s="1" t="s">
        <v>32239</v>
      </c>
      <c r="B32240" s="2" t="str">
        <f>IFERROR(__xludf.DUMMYFUNCTION("GOOGLETRANSLATE(A32240, ""de"", ""en"")"),"gecko")</f>
        <v>gecko</v>
      </c>
    </row>
    <row r="32241">
      <c r="A32241" s="1" t="s">
        <v>32240</v>
      </c>
      <c r="B32241" s="2" t="str">
        <f>IFERROR(__xludf.DUMMYFUNCTION("GOOGLETRANSLATE(A32241, ""de"", ""en"")"),"lead back")</f>
        <v>lead back</v>
      </c>
    </row>
    <row r="32242">
      <c r="A32242" s="1" t="s">
        <v>32241</v>
      </c>
      <c r="B32242" s="2" t="str">
        <f>IFERROR(__xludf.DUMMYFUNCTION("GOOGLETRANSLATE(A32242, ""de"", ""en"")"),"vagabond")</f>
        <v>vagabond</v>
      </c>
    </row>
    <row r="32243">
      <c r="A32243" s="1" t="s">
        <v>32242</v>
      </c>
      <c r="B32243" s="2" t="str">
        <f>IFERROR(__xludf.DUMMYFUNCTION("GOOGLETRANSLATE(A32243, ""de"", ""en"")"),"everyday")</f>
        <v>everyday</v>
      </c>
    </row>
    <row r="32244">
      <c r="A32244" s="1" t="s">
        <v>32243</v>
      </c>
      <c r="B32244" s="2" t="str">
        <f>IFERROR(__xludf.DUMMYFUNCTION("GOOGLETRANSLATE(A32244, ""de"", ""en"")"),"cannibalism")</f>
        <v>cannibalism</v>
      </c>
    </row>
    <row r="32245">
      <c r="A32245" s="1" t="s">
        <v>32244</v>
      </c>
      <c r="B32245" s="2" t="str">
        <f>IFERROR(__xludf.DUMMYFUNCTION("GOOGLETRANSLATE(A32245, ""de"", ""en"")"),"groom")</f>
        <v>groom</v>
      </c>
    </row>
    <row r="32246">
      <c r="A32246" s="1" t="s">
        <v>32245</v>
      </c>
      <c r="B32246" s="2" t="str">
        <f>IFERROR(__xludf.DUMMYFUNCTION("GOOGLETRANSLATE(A32246, ""de"", ""en"")"),"good night kiss")</f>
        <v>good night kiss</v>
      </c>
    </row>
    <row r="32247">
      <c r="A32247" s="1" t="s">
        <v>32246</v>
      </c>
      <c r="B32247" s="2" t="str">
        <f>IFERROR(__xludf.DUMMYFUNCTION("GOOGLETRANSLATE(A32247, ""de"", ""en"")"),"skepticism")</f>
        <v>skepticism</v>
      </c>
    </row>
    <row r="32248">
      <c r="A32248" s="1" t="s">
        <v>32247</v>
      </c>
      <c r="B32248" s="2" t="str">
        <f>IFERROR(__xludf.DUMMYFUNCTION("GOOGLETRANSLATE(A32248, ""de"", ""en"")"),"demonic")</f>
        <v>demonic</v>
      </c>
    </row>
    <row r="32249">
      <c r="A32249" s="1" t="s">
        <v>32248</v>
      </c>
      <c r="B32249" s="2" t="str">
        <f>IFERROR(__xludf.DUMMYFUNCTION("GOOGLETRANSLATE(A32249, ""de"", ""en"")"),"burning")</f>
        <v>burning</v>
      </c>
    </row>
    <row r="32250">
      <c r="A32250" s="1" t="s">
        <v>32249</v>
      </c>
      <c r="B32250" s="2" t="str">
        <f>IFERROR(__xludf.DUMMYFUNCTION("GOOGLETRANSLATE(A32250, ""de"", ""en"")"),"blueprints")</f>
        <v>blueprints</v>
      </c>
    </row>
    <row r="32251">
      <c r="A32251" s="1" t="s">
        <v>32250</v>
      </c>
      <c r="B32251" s="2" t="str">
        <f>IFERROR(__xludf.DUMMYFUNCTION("GOOGLETRANSLATE(A32251, ""de"", ""en"")"),"unimaginable")</f>
        <v>unimaginable</v>
      </c>
    </row>
    <row r="32252">
      <c r="A32252" s="1" t="s">
        <v>32251</v>
      </c>
      <c r="B32252" s="2" t="str">
        <f>IFERROR(__xludf.DUMMYFUNCTION("GOOGLETRANSLATE(A32252, ""de"", ""en"")"),"script")</f>
        <v>script</v>
      </c>
    </row>
    <row r="32253">
      <c r="A32253" s="1" t="s">
        <v>32252</v>
      </c>
      <c r="B32253" s="2" t="str">
        <f>IFERROR(__xludf.DUMMYFUNCTION("GOOGLETRANSLATE(A32253, ""de"", ""en"")"),"desecrated")</f>
        <v>desecrated</v>
      </c>
    </row>
    <row r="32254">
      <c r="A32254" s="1" t="s">
        <v>32253</v>
      </c>
      <c r="B32254" s="2" t="str">
        <f>IFERROR(__xludf.DUMMYFUNCTION("GOOGLETRANSLATE(A32254, ""de"", ""en"")"),"highland")</f>
        <v>highland</v>
      </c>
    </row>
    <row r="32255">
      <c r="A32255" s="1" t="s">
        <v>32254</v>
      </c>
      <c r="B32255" s="2" t="str">
        <f>IFERROR(__xludf.DUMMYFUNCTION("GOOGLETRANSLATE(A32255, ""de"", ""en"")"),"revealed")</f>
        <v>revealed</v>
      </c>
    </row>
    <row r="32256">
      <c r="A32256" s="1" t="s">
        <v>32255</v>
      </c>
      <c r="B32256" s="2" t="str">
        <f>IFERROR(__xludf.DUMMYFUNCTION("GOOGLETRANSLATE(A32256, ""de"", ""en"")"),"stir up")</f>
        <v>stir up</v>
      </c>
    </row>
    <row r="32257">
      <c r="A32257" s="1" t="s">
        <v>32256</v>
      </c>
      <c r="B32257" s="2" t="str">
        <f>IFERROR(__xludf.DUMMYFUNCTION("GOOGLETRANSLATE(A32257, ""de"", ""en"")"),"middle school")</f>
        <v>middle school</v>
      </c>
    </row>
    <row r="32258">
      <c r="A32258" s="1" t="s">
        <v>32257</v>
      </c>
      <c r="B32258" s="2" t="str">
        <f>IFERROR(__xludf.DUMMYFUNCTION("GOOGLETRANSLATE(A32258, ""de"", ""en"")"),"Galahad")</f>
        <v>Galahad</v>
      </c>
    </row>
    <row r="32259">
      <c r="A32259" s="1" t="s">
        <v>32258</v>
      </c>
      <c r="B32259" s="2" t="str">
        <f>IFERROR(__xludf.DUMMYFUNCTION("GOOGLETRANSLATE(A32259, ""de"", ""en"")"),"lubricant")</f>
        <v>lubricant</v>
      </c>
    </row>
    <row r="32260">
      <c r="A32260" s="1" t="s">
        <v>32259</v>
      </c>
      <c r="B32260" s="2" t="str">
        <f>IFERROR(__xludf.DUMMYFUNCTION("GOOGLETRANSLATE(A32260, ""de"", ""en"")"),"latte")</f>
        <v>latte</v>
      </c>
    </row>
    <row r="32261">
      <c r="A32261" s="1" t="s">
        <v>32260</v>
      </c>
      <c r="B32261" s="2" t="str">
        <f>IFERROR(__xludf.DUMMYFUNCTION("GOOGLETRANSLATE(A32261, ""de"", ""en"")"),"most beautiful")</f>
        <v>most beautiful</v>
      </c>
    </row>
    <row r="32262">
      <c r="A32262" s="1" t="s">
        <v>32261</v>
      </c>
      <c r="B32262" s="2" t="str">
        <f>IFERROR(__xludf.DUMMYFUNCTION("GOOGLETRANSLATE(A32262, ""de"", ""en"")"),"security code")</f>
        <v>security code</v>
      </c>
    </row>
    <row r="32263">
      <c r="A32263" s="1" t="s">
        <v>32262</v>
      </c>
      <c r="B32263" s="2" t="str">
        <f>IFERROR(__xludf.DUMMYFUNCTION("GOOGLETRANSLATE(A32263, ""de"", ""en"")"),"motorboat")</f>
        <v>motorboat</v>
      </c>
    </row>
    <row r="32264">
      <c r="A32264" s="1" t="s">
        <v>32263</v>
      </c>
      <c r="B32264" s="2" t="str">
        <f>IFERROR(__xludf.DUMMYFUNCTION("GOOGLETRANSLATE(A32264, ""de"", ""en"")"),"Sophie")</f>
        <v>Sophie</v>
      </c>
    </row>
    <row r="32265">
      <c r="A32265" s="1" t="s">
        <v>32264</v>
      </c>
      <c r="B32265" s="2" t="str">
        <f>IFERROR(__xludf.DUMMYFUNCTION("GOOGLETRANSLATE(A32265, ""de"", ""en"")"),"pooch")</f>
        <v>pooch</v>
      </c>
    </row>
    <row r="32266">
      <c r="A32266" s="1" t="s">
        <v>32265</v>
      </c>
      <c r="B32266" s="2" t="str">
        <f>IFERROR(__xludf.DUMMYFUNCTION("GOOGLETRANSLATE(A32266, ""de"", ""en"")"),"more miserable")</f>
        <v>more miserable</v>
      </c>
    </row>
    <row r="32267">
      <c r="A32267" s="1" t="s">
        <v>32266</v>
      </c>
      <c r="B32267" s="2" t="str">
        <f>IFERROR(__xludf.DUMMYFUNCTION("GOOGLETRANSLATE(A32267, ""de"", ""en"")"),"short form")</f>
        <v>short form</v>
      </c>
    </row>
    <row r="32268">
      <c r="A32268" s="1" t="s">
        <v>32267</v>
      </c>
      <c r="B32268" s="2" t="str">
        <f>IFERROR(__xludf.DUMMYFUNCTION("GOOGLETRANSLATE(A32268, ""de"", ""en"")"),"manage")</f>
        <v>manage</v>
      </c>
    </row>
    <row r="32269">
      <c r="A32269" s="1" t="s">
        <v>32268</v>
      </c>
      <c r="B32269" s="2" t="str">
        <f>IFERROR(__xludf.DUMMYFUNCTION("GOOGLETRANSLATE(A32269, ""de"", ""en"")"),"banzai")</f>
        <v>banzai</v>
      </c>
    </row>
    <row r="32270">
      <c r="A32270" s="1" t="s">
        <v>32269</v>
      </c>
      <c r="B32270" s="2" t="str">
        <f>IFERROR(__xludf.DUMMYFUNCTION("GOOGLETRANSLATE(A32270, ""de"", ""en"")"),"negro")</f>
        <v>negro</v>
      </c>
    </row>
    <row r="32271">
      <c r="A32271" s="1" t="s">
        <v>32270</v>
      </c>
      <c r="B32271" s="2" t="str">
        <f>IFERROR(__xludf.DUMMYFUNCTION("GOOGLETRANSLATE(A32271, ""de"", ""en"")"),"country music")</f>
        <v>country music</v>
      </c>
    </row>
    <row r="32272">
      <c r="A32272" s="1" t="s">
        <v>32271</v>
      </c>
      <c r="B32272" s="2" t="str">
        <f>IFERROR(__xludf.DUMMYFUNCTION("GOOGLETRANSLATE(A32272, ""de"", ""en"")"),"operational")</f>
        <v>operational</v>
      </c>
    </row>
    <row r="32273">
      <c r="A32273" s="1" t="s">
        <v>32272</v>
      </c>
      <c r="B32273" s="2" t="str">
        <f>IFERROR(__xludf.DUMMYFUNCTION("GOOGLETRANSLATE(A32273, ""de"", ""en"")"),"vodka")</f>
        <v>vodka</v>
      </c>
    </row>
    <row r="32274">
      <c r="A32274" s="1" t="s">
        <v>32273</v>
      </c>
      <c r="B32274" s="2" t="str">
        <f>IFERROR(__xludf.DUMMYFUNCTION("GOOGLETRANSLATE(A32274, ""de"", ""en"")"),"mentally disturbed")</f>
        <v>mentally disturbed</v>
      </c>
    </row>
    <row r="32275">
      <c r="A32275" s="1" t="s">
        <v>32274</v>
      </c>
      <c r="B32275" s="2" t="str">
        <f>IFERROR(__xludf.DUMMYFUNCTION("GOOGLETRANSLATE(A32275, ""de"", ""en"")"),"medal of honor")</f>
        <v>medal of honor</v>
      </c>
    </row>
    <row r="32276">
      <c r="A32276" s="1" t="s">
        <v>32275</v>
      </c>
      <c r="B32276" s="2" t="str">
        <f>IFERROR(__xludf.DUMMYFUNCTION("GOOGLETRANSLATE(A32276, ""de"", ""en"")"),"shinjuku")</f>
        <v>shinjuku</v>
      </c>
    </row>
    <row r="32277">
      <c r="A32277" s="1" t="s">
        <v>32276</v>
      </c>
      <c r="B32277" s="2" t="str">
        <f>IFERROR(__xludf.DUMMYFUNCTION("GOOGLETRANSLATE(A32277, ""de"", ""en"")"),"significant")</f>
        <v>significant</v>
      </c>
    </row>
    <row r="32278">
      <c r="A32278" s="1" t="s">
        <v>32277</v>
      </c>
      <c r="B32278" s="2" t="str">
        <f>IFERROR(__xludf.DUMMYFUNCTION("GOOGLETRANSLATE(A32278, ""de"", ""en"")"),"tre")</f>
        <v>tre</v>
      </c>
    </row>
    <row r="32279">
      <c r="A32279" s="1" t="s">
        <v>32278</v>
      </c>
      <c r="B32279" s="2" t="str">
        <f>IFERROR(__xludf.DUMMYFUNCTION("GOOGLETRANSLATE(A32279, ""de"", ""en"")"),"consciousness")</f>
        <v>consciousness</v>
      </c>
    </row>
    <row r="32280">
      <c r="A32280" s="1" t="s">
        <v>32279</v>
      </c>
      <c r="B32280" s="2" t="str">
        <f>IFERROR(__xludf.DUMMYFUNCTION("GOOGLETRANSLATE(A32280, ""de"", ""en"")"),"mesdames")</f>
        <v>mesdames</v>
      </c>
    </row>
    <row r="32281">
      <c r="A32281" s="1" t="s">
        <v>32280</v>
      </c>
      <c r="B32281" s="2" t="str">
        <f>IFERROR(__xludf.DUMMYFUNCTION("GOOGLETRANSLATE(A32281, ""de"", ""en"")"),"sports teacher")</f>
        <v>sports teacher</v>
      </c>
    </row>
    <row r="32282">
      <c r="A32282" s="1" t="s">
        <v>32281</v>
      </c>
      <c r="B32282" s="2" t="str">
        <f>IFERROR(__xludf.DUMMYFUNCTION("GOOGLETRANSLATE(A32282, ""de"", ""en"")"),"Horowitz")</f>
        <v>Horowitz</v>
      </c>
    </row>
    <row r="32283">
      <c r="A32283" s="1" t="s">
        <v>32282</v>
      </c>
      <c r="B32283" s="2" t="str">
        <f>IFERROR(__xludf.DUMMYFUNCTION("GOOGLETRANSLATE(A32283, ""de"", ""en"")"),"déjà vu")</f>
        <v>déjà vu</v>
      </c>
    </row>
    <row r="32284">
      <c r="A32284" s="1" t="s">
        <v>32283</v>
      </c>
      <c r="B32284" s="2" t="str">
        <f>IFERROR(__xludf.DUMMYFUNCTION("GOOGLETRANSLATE(A32284, ""de"", ""en"")"),"courtyard")</f>
        <v>courtyard</v>
      </c>
    </row>
    <row r="32285">
      <c r="A32285" s="1" t="s">
        <v>32284</v>
      </c>
      <c r="B32285" s="2" t="str">
        <f>IFERROR(__xludf.DUMMYFUNCTION("GOOGLETRANSLATE(A32285, ""de"", ""en"")"),"hollow head")</f>
        <v>hollow head</v>
      </c>
    </row>
    <row r="32286">
      <c r="A32286" s="1" t="s">
        <v>32285</v>
      </c>
      <c r="B32286" s="2" t="str">
        <f>IFERROR(__xludf.DUMMYFUNCTION("GOOGLETRANSLATE(A32286, ""de"", ""en"")"),"scare")</f>
        <v>scare</v>
      </c>
    </row>
    <row r="32287">
      <c r="A32287" s="1" t="s">
        <v>32286</v>
      </c>
      <c r="B32287" s="2" t="str">
        <f>IFERROR(__xludf.DUMMYFUNCTION("GOOGLETRANSLATE(A32287, ""de"", ""en"")"),"solid")</f>
        <v>solid</v>
      </c>
    </row>
    <row r="32288">
      <c r="A32288" s="1" t="s">
        <v>32287</v>
      </c>
      <c r="B32288" s="2" t="str">
        <f>IFERROR(__xludf.DUMMYFUNCTION("GOOGLETRANSLATE(A32288, ""de"", ""en"")"),"password")</f>
        <v>password</v>
      </c>
    </row>
    <row r="32289">
      <c r="A32289" s="1" t="s">
        <v>32288</v>
      </c>
      <c r="B32289" s="2" t="str">
        <f>IFERROR(__xludf.DUMMYFUNCTION("GOOGLETRANSLATE(A32289, ""de"", ""en"")"),"more colorful")</f>
        <v>more colorful</v>
      </c>
    </row>
    <row r="32290">
      <c r="A32290" s="1" t="s">
        <v>32289</v>
      </c>
      <c r="B32290" s="2" t="str">
        <f>IFERROR(__xludf.DUMMYFUNCTION("GOOGLETRANSLATE(A32290, ""de"", ""en"")"),"Asians")</f>
        <v>Asians</v>
      </c>
    </row>
    <row r="32291">
      <c r="A32291" s="1" t="s">
        <v>32290</v>
      </c>
      <c r="B32291" s="2" t="str">
        <f>IFERROR(__xludf.DUMMYFUNCTION("GOOGLETRANSLATE(A32291, ""de"", ""en"")"),"flamingo")</f>
        <v>flamingo</v>
      </c>
    </row>
    <row r="32292">
      <c r="A32292" s="1" t="s">
        <v>32291</v>
      </c>
      <c r="B32292" s="2" t="str">
        <f>IFERROR(__xludf.DUMMYFUNCTION("GOOGLETRANSLATE(A32292, ""de"", ""en"")"),"crescent")</f>
        <v>crescent</v>
      </c>
    </row>
    <row r="32293">
      <c r="A32293" s="1" t="s">
        <v>32292</v>
      </c>
      <c r="B32293" s="2" t="str">
        <f>IFERROR(__xludf.DUMMYFUNCTION("GOOGLETRANSLATE(A32293, ""de"", ""en"")"),"announce")</f>
        <v>announce</v>
      </c>
    </row>
    <row r="32294">
      <c r="A32294" s="1" t="s">
        <v>32293</v>
      </c>
      <c r="B32294" s="2" t="str">
        <f>IFERROR(__xludf.DUMMYFUNCTION("GOOGLETRANSLATE(A32294, ""de"", ""en"")"),"merciless")</f>
        <v>merciless</v>
      </c>
    </row>
    <row r="32295">
      <c r="A32295" s="1" t="s">
        <v>32294</v>
      </c>
      <c r="B32295" s="2" t="str">
        <f>IFERROR(__xludf.DUMMYFUNCTION("GOOGLETRANSLATE(A32295, ""de"", ""en"")"),"prevent")</f>
        <v>prevent</v>
      </c>
    </row>
    <row r="32296">
      <c r="A32296" s="1" t="s">
        <v>32295</v>
      </c>
      <c r="B32296" s="2" t="str">
        <f>IFERROR(__xludf.DUMMYFUNCTION("GOOGLETRANSLATE(A32296, ""de"", ""en"")"),"were enough")</f>
        <v>were enough</v>
      </c>
    </row>
    <row r="32297">
      <c r="A32297" s="1" t="s">
        <v>32296</v>
      </c>
      <c r="B32297" s="2" t="str">
        <f>IFERROR(__xludf.DUMMYFUNCTION("GOOGLETRANSLATE(A32297, ""de"", ""en"")"),"bayonet")</f>
        <v>bayonet</v>
      </c>
    </row>
    <row r="32298">
      <c r="A32298" s="1" t="s">
        <v>32297</v>
      </c>
      <c r="B32298" s="2" t="str">
        <f>IFERROR(__xludf.DUMMYFUNCTION("GOOGLETRANSLATE(A32298, ""de"", ""en"")"),"gogol")</f>
        <v>gogol</v>
      </c>
    </row>
    <row r="32299">
      <c r="A32299" s="1" t="s">
        <v>32298</v>
      </c>
      <c r="B32299" s="2" t="str">
        <f>IFERROR(__xludf.DUMMYFUNCTION("GOOGLETRANSLATE(A32299, ""de"", ""en"")"),"tien")</f>
        <v>tien</v>
      </c>
    </row>
    <row r="32300">
      <c r="A32300" s="1" t="s">
        <v>32299</v>
      </c>
      <c r="B32300" s="2" t="str">
        <f>IFERROR(__xludf.DUMMYFUNCTION("GOOGLETRANSLATE(A32300, ""de"", ""en"")"),"ando")</f>
        <v>ando</v>
      </c>
    </row>
    <row r="32301">
      <c r="A32301" s="1" t="s">
        <v>32300</v>
      </c>
      <c r="B32301" s="2" t="str">
        <f>IFERROR(__xludf.DUMMYFUNCTION("GOOGLETRANSLATE(A32301, ""de"", ""en"")"),"Croatia")</f>
        <v>Croatia</v>
      </c>
    </row>
    <row r="32302">
      <c r="A32302" s="1" t="s">
        <v>32301</v>
      </c>
      <c r="B32302" s="2" t="str">
        <f>IFERROR(__xludf.DUMMYFUNCTION("GOOGLETRANSLATE(A32302, ""de"", ""en"")"),"Gulliver")</f>
        <v>Gulliver</v>
      </c>
    </row>
    <row r="32303">
      <c r="A32303" s="1" t="s">
        <v>32302</v>
      </c>
      <c r="B32303" s="2" t="str">
        <f>IFERROR(__xludf.DUMMYFUNCTION("GOOGLETRANSLATE(A32303, ""de"", ""en"")"),"whipple")</f>
        <v>whipple</v>
      </c>
    </row>
    <row r="32304">
      <c r="A32304" s="1" t="s">
        <v>32303</v>
      </c>
      <c r="B32304" s="2" t="str">
        <f>IFERROR(__xludf.DUMMYFUNCTION("GOOGLETRANSLATE(A32304, ""de"", ""en"")"),"communication system")</f>
        <v>communication system</v>
      </c>
    </row>
    <row r="32305">
      <c r="A32305" s="1" t="s">
        <v>32304</v>
      </c>
      <c r="B32305" s="2" t="str">
        <f>IFERROR(__xludf.DUMMYFUNCTION("GOOGLETRANSLATE(A32305, ""de"", ""en"")"),"breeds")</f>
        <v>breeds</v>
      </c>
    </row>
    <row r="32306">
      <c r="A32306" s="1" t="s">
        <v>32305</v>
      </c>
      <c r="B32306" s="2" t="str">
        <f>IFERROR(__xludf.DUMMYFUNCTION("GOOGLETRANSLATE(A32306, ""de"", ""en"")"),"explosive charge")</f>
        <v>explosive charge</v>
      </c>
    </row>
    <row r="32307">
      <c r="A32307" s="1" t="s">
        <v>32306</v>
      </c>
      <c r="B32307" s="2" t="str">
        <f>IFERROR(__xludf.DUMMYFUNCTION("GOOGLETRANSLATE(A32307, ""de"", ""en"")"),"embarrassing")</f>
        <v>embarrassing</v>
      </c>
    </row>
    <row r="32308">
      <c r="A32308" s="1" t="s">
        <v>32307</v>
      </c>
      <c r="B32308" s="2" t="str">
        <f>IFERROR(__xludf.DUMMYFUNCTION("GOOGLETRANSLATE(A32308, ""de"", ""en"")"),"sailed")</f>
        <v>sailed</v>
      </c>
    </row>
    <row r="32309">
      <c r="A32309" s="1" t="s">
        <v>32308</v>
      </c>
      <c r="B32309" s="2" t="str">
        <f>IFERROR(__xludf.DUMMYFUNCTION("GOOGLETRANSLATE(A32309, ""de"", ""en"")"),"frying pan")</f>
        <v>frying pan</v>
      </c>
    </row>
    <row r="32310">
      <c r="A32310" s="1" t="s">
        <v>32309</v>
      </c>
      <c r="B32310" s="2" t="str">
        <f>IFERROR(__xludf.DUMMYFUNCTION("GOOGLETRANSLATE(A32310, ""de"", ""en"")"),"fluffy")</f>
        <v>fluffy</v>
      </c>
    </row>
    <row r="32311">
      <c r="A32311" s="1" t="s">
        <v>32310</v>
      </c>
      <c r="B32311" s="2" t="str">
        <f>IFERROR(__xludf.DUMMYFUNCTION("GOOGLETRANSLATE(A32311, ""de"", ""en"")"),"ankara")</f>
        <v>ankara</v>
      </c>
    </row>
    <row r="32312">
      <c r="A32312" s="1" t="s">
        <v>32311</v>
      </c>
      <c r="B32312" s="2" t="str">
        <f>IFERROR(__xludf.DUMMYFUNCTION("GOOGLETRANSLATE(A32312, ""de"", ""en"")"),"hondo")</f>
        <v>hondo</v>
      </c>
    </row>
    <row r="32313">
      <c r="A32313" s="1" t="s">
        <v>32312</v>
      </c>
      <c r="B32313" s="2" t="str">
        <f>IFERROR(__xludf.DUMMYFUNCTION("GOOGLETRANSLATE(A32313, ""de"", ""en"")"),"levin")</f>
        <v>levin</v>
      </c>
    </row>
    <row r="32314">
      <c r="A32314" s="1" t="s">
        <v>32313</v>
      </c>
      <c r="B32314" s="2" t="str">
        <f>IFERROR(__xludf.DUMMYFUNCTION("GOOGLETRANSLATE(A32314, ""de"", ""en"")"),"deduct")</f>
        <v>deduct</v>
      </c>
    </row>
    <row r="32315">
      <c r="A32315" s="1" t="s">
        <v>32314</v>
      </c>
      <c r="B32315" s="2" t="str">
        <f>IFERROR(__xludf.DUMMYFUNCTION("GOOGLETRANSLATE(A32315, ""de"", ""en"")"),"separate")</f>
        <v>separate</v>
      </c>
    </row>
    <row r="32316">
      <c r="A32316" s="1" t="s">
        <v>32315</v>
      </c>
      <c r="B32316" s="2" t="str">
        <f>IFERROR(__xludf.DUMMYFUNCTION("GOOGLETRANSLATE(A32316, ""de"", ""en"")"),"chien")</f>
        <v>chien</v>
      </c>
    </row>
    <row r="32317">
      <c r="A32317" s="1" t="s">
        <v>32316</v>
      </c>
      <c r="B32317" s="2" t="str">
        <f>IFERROR(__xludf.DUMMYFUNCTION("GOOGLETRANSLATE(A32317, ""de"", ""en"")"),"advertising agency")</f>
        <v>advertising agency</v>
      </c>
    </row>
    <row r="32318">
      <c r="A32318" s="1" t="s">
        <v>32317</v>
      </c>
      <c r="B32318" s="2" t="str">
        <f>IFERROR(__xludf.DUMMYFUNCTION("GOOGLETRANSLATE(A32318, ""de"", ""en"")"),"baton")</f>
        <v>baton</v>
      </c>
    </row>
    <row r="32319">
      <c r="A32319" s="1" t="s">
        <v>32318</v>
      </c>
      <c r="B32319" s="2" t="str">
        <f>IFERROR(__xludf.DUMMYFUNCTION("GOOGLETRANSLATE(A32319, ""de"", ""en"")"),"messala")</f>
        <v>messala</v>
      </c>
    </row>
    <row r="32320">
      <c r="A32320" s="1" t="s">
        <v>32319</v>
      </c>
      <c r="B32320" s="2" t="str">
        <f>IFERROR(__xludf.DUMMYFUNCTION("GOOGLETRANSLATE(A32320, ""de"", ""en"")"),"bring in")</f>
        <v>bring in</v>
      </c>
    </row>
    <row r="32321">
      <c r="A32321" s="1" t="s">
        <v>32320</v>
      </c>
      <c r="B32321" s="2" t="str">
        <f>IFERROR(__xludf.DUMMYFUNCTION("GOOGLETRANSLATE(A32321, ""de"", ""en"")"),"waltz music")</f>
        <v>waltz music</v>
      </c>
    </row>
    <row r="32322">
      <c r="A32322" s="1" t="s">
        <v>32321</v>
      </c>
      <c r="B32322" s="2" t="str">
        <f>IFERROR(__xludf.DUMMYFUNCTION("GOOGLETRANSLATE(A32322, ""de"", ""en"")"),"developed")</f>
        <v>developed</v>
      </c>
    </row>
    <row r="32323">
      <c r="A32323" s="1" t="s">
        <v>32322</v>
      </c>
      <c r="B32323" s="2" t="str">
        <f>IFERROR(__xludf.DUMMYFUNCTION("GOOGLETRANSLATE(A32323, ""de"", ""en"")"),"blood stains")</f>
        <v>blood stains</v>
      </c>
    </row>
    <row r="32324">
      <c r="A32324" s="1" t="s">
        <v>32323</v>
      </c>
      <c r="B32324" s="2" t="str">
        <f>IFERROR(__xludf.DUMMYFUNCTION("GOOGLETRANSLATE(A32324, ""de"", ""en"")"),"drag")</f>
        <v>drag</v>
      </c>
    </row>
    <row r="32325">
      <c r="A32325" s="1" t="s">
        <v>32324</v>
      </c>
      <c r="B32325" s="2" t="str">
        <f>IFERROR(__xludf.DUMMYFUNCTION("GOOGLETRANSLATE(A32325, ""de"", ""en"")"),"bare")</f>
        <v>bare</v>
      </c>
    </row>
    <row r="32326">
      <c r="A32326" s="1" t="s">
        <v>32325</v>
      </c>
      <c r="B32326" s="2" t="str">
        <f>IFERROR(__xludf.DUMMYFUNCTION("GOOGLETRANSLATE(A32326, ""de"", ""en"")"),"take out")</f>
        <v>take out</v>
      </c>
    </row>
    <row r="32327">
      <c r="A32327" s="1" t="s">
        <v>32326</v>
      </c>
      <c r="B32327" s="2" t="str">
        <f>IFERROR(__xludf.DUMMYFUNCTION("GOOGLETRANSLATE(A32327, ""de"", ""en"")"),"endures")</f>
        <v>endures</v>
      </c>
    </row>
    <row r="32328">
      <c r="A32328" s="1" t="s">
        <v>32327</v>
      </c>
      <c r="B32328" s="2" t="str">
        <f>IFERROR(__xludf.DUMMYFUNCTION("GOOGLETRANSLATE(A32328, ""de"", ""en"")"),"breaks through")</f>
        <v>breaks through</v>
      </c>
    </row>
    <row r="32329">
      <c r="A32329" s="1" t="s">
        <v>32328</v>
      </c>
      <c r="B32329" s="2" t="str">
        <f>IFERROR(__xludf.DUMMYFUNCTION("GOOGLETRANSLATE(A32329, ""de"", ""en"")"),"break")</f>
        <v>break</v>
      </c>
    </row>
    <row r="32330">
      <c r="A32330" s="1" t="s">
        <v>32329</v>
      </c>
      <c r="B32330" s="2" t="str">
        <f>IFERROR(__xludf.DUMMYFUNCTION("GOOGLETRANSLATE(A32330, ""de"", ""en"")"),"contest")</f>
        <v>contest</v>
      </c>
    </row>
    <row r="32331">
      <c r="A32331" s="1" t="s">
        <v>32330</v>
      </c>
      <c r="B32331" s="2" t="str">
        <f>IFERROR(__xludf.DUMMYFUNCTION("GOOGLETRANSLATE(A32331, ""de"", ""en"")"),"sanctions")</f>
        <v>sanctions</v>
      </c>
    </row>
    <row r="32332">
      <c r="A32332" s="1" t="s">
        <v>32331</v>
      </c>
      <c r="B32332" s="2" t="str">
        <f>IFERROR(__xludf.DUMMYFUNCTION("GOOGLETRANSLATE(A32332, ""de"", ""en"")"),"trembles")</f>
        <v>trembles</v>
      </c>
    </row>
    <row r="32333">
      <c r="A32333" s="1" t="s">
        <v>32332</v>
      </c>
      <c r="B32333" s="2" t="str">
        <f>IFERROR(__xludf.DUMMYFUNCTION("GOOGLETRANSLATE(A32333, ""de"", ""en"")"),"counterpart")</f>
        <v>counterpart</v>
      </c>
    </row>
    <row r="32334">
      <c r="A32334" s="1" t="s">
        <v>32333</v>
      </c>
      <c r="B32334" s="2" t="str">
        <f>IFERROR(__xludf.DUMMYFUNCTION("GOOGLETRANSLATE(A32334, ""de"", ""en"")"),"Parma")</f>
        <v>Parma</v>
      </c>
    </row>
    <row r="32335">
      <c r="A32335" s="1" t="s">
        <v>32334</v>
      </c>
      <c r="B32335" s="2" t="str">
        <f>IFERROR(__xludf.DUMMYFUNCTION("GOOGLETRANSLATE(A32335, ""de"", ""en"")"),"hack")</f>
        <v>hack</v>
      </c>
    </row>
    <row r="32336">
      <c r="A32336" s="1" t="s">
        <v>32335</v>
      </c>
      <c r="B32336" s="2" t="str">
        <f>IFERROR(__xludf.DUMMYFUNCTION("GOOGLETRANSLATE(A32336, ""de"", ""en"")"),"separately")</f>
        <v>separately</v>
      </c>
    </row>
    <row r="32337">
      <c r="A32337" s="1" t="s">
        <v>32336</v>
      </c>
      <c r="B32337" s="2" t="str">
        <f>IFERROR(__xludf.DUMMYFUNCTION("GOOGLETRANSLATE(A32337, ""de"", ""en"")"),"benz")</f>
        <v>benz</v>
      </c>
    </row>
    <row r="32338">
      <c r="A32338" s="1" t="s">
        <v>32337</v>
      </c>
      <c r="B32338" s="2" t="str">
        <f>IFERROR(__xludf.DUMMYFUNCTION("GOOGLETRANSLATE(A32338, ""de"", ""en"")"),"registration")</f>
        <v>registration</v>
      </c>
    </row>
    <row r="32339">
      <c r="A32339" s="1" t="s">
        <v>32338</v>
      </c>
      <c r="B32339" s="2" t="str">
        <f>IFERROR(__xludf.DUMMYFUNCTION("GOOGLETRANSLATE(A32339, ""de"", ""en"")"),"paletti")</f>
        <v>paletti</v>
      </c>
    </row>
    <row r="32340">
      <c r="A32340" s="1" t="s">
        <v>32339</v>
      </c>
      <c r="B32340" s="2" t="str">
        <f>IFERROR(__xludf.DUMMYFUNCTION("GOOGLETRANSLATE(A32340, ""de"", ""en"")"),"torturous")</f>
        <v>torturous</v>
      </c>
    </row>
    <row r="32341">
      <c r="A32341" s="1" t="s">
        <v>32340</v>
      </c>
      <c r="B32341" s="2" t="str">
        <f>IFERROR(__xludf.DUMMYFUNCTION("GOOGLETRANSLATE(A32341, ""de"", ""en"")"),"Chappelle")</f>
        <v>Chappelle</v>
      </c>
    </row>
    <row r="32342">
      <c r="A32342" s="1" t="s">
        <v>32341</v>
      </c>
      <c r="B32342" s="2" t="str">
        <f>IFERROR(__xludf.DUMMYFUNCTION("GOOGLETRANSLATE(A32342, ""de"", ""en"")"),"Adeline")</f>
        <v>Adeline</v>
      </c>
    </row>
    <row r="32343">
      <c r="A32343" s="1" t="s">
        <v>32342</v>
      </c>
      <c r="B32343" s="2" t="str">
        <f>IFERROR(__xludf.DUMMYFUNCTION("GOOGLETRANSLATE(A32343, ""de"", ""en"")"),"hatches")</f>
        <v>hatches</v>
      </c>
    </row>
    <row r="32344">
      <c r="A32344" s="1" t="s">
        <v>32343</v>
      </c>
      <c r="B32344" s="2" t="str">
        <f>IFERROR(__xludf.DUMMYFUNCTION("GOOGLETRANSLATE(A32344, ""de"", ""en"")"),"vest pocket")</f>
        <v>vest pocket</v>
      </c>
    </row>
    <row r="32345">
      <c r="A32345" s="1" t="s">
        <v>32344</v>
      </c>
      <c r="B32345" s="2" t="str">
        <f>IFERROR(__xludf.DUMMYFUNCTION("GOOGLETRANSLATE(A32345, ""de"", ""en"")"),"flip")</f>
        <v>flip</v>
      </c>
    </row>
    <row r="32346">
      <c r="A32346" s="1" t="s">
        <v>32345</v>
      </c>
      <c r="B32346" s="2" t="str">
        <f>IFERROR(__xludf.DUMMYFUNCTION("GOOGLETRANSLATE(A32346, ""de"", ""en"")"),"nyssa")</f>
        <v>nyssa</v>
      </c>
    </row>
    <row r="32347">
      <c r="A32347" s="1" t="s">
        <v>32346</v>
      </c>
      <c r="B32347" s="2" t="str">
        <f>IFERROR(__xludf.DUMMYFUNCTION("GOOGLETRANSLATE(A32347, ""de"", ""en"")"),"nexus")</f>
        <v>nexus</v>
      </c>
    </row>
    <row r="32348">
      <c r="A32348" s="1" t="s">
        <v>32347</v>
      </c>
      <c r="B32348" s="2" t="str">
        <f>IFERROR(__xludf.DUMMYFUNCTION("GOOGLETRANSLATE(A32348, ""de"", ""en"")"),"overturned")</f>
        <v>overturned</v>
      </c>
    </row>
    <row r="32349">
      <c r="A32349" s="1" t="s">
        <v>32348</v>
      </c>
      <c r="B32349" s="2" t="str">
        <f>IFERROR(__xludf.DUMMYFUNCTION("GOOGLETRANSLATE(A32349, ""de"", ""en"")"),"confess")</f>
        <v>confess</v>
      </c>
    </row>
    <row r="32350">
      <c r="A32350" s="1" t="s">
        <v>32349</v>
      </c>
      <c r="B32350" s="2" t="str">
        <f>IFERROR(__xludf.DUMMYFUNCTION("GOOGLETRANSLATE(A32350, ""de"", ""en"")"),"milkman")</f>
        <v>milkman</v>
      </c>
    </row>
    <row r="32351">
      <c r="A32351" s="1" t="s">
        <v>32350</v>
      </c>
      <c r="B32351" s="2" t="str">
        <f>IFERROR(__xludf.DUMMYFUNCTION("GOOGLETRANSLATE(A32351, ""de"", ""en"")"),"voicemail")</f>
        <v>voicemail</v>
      </c>
    </row>
    <row r="32352">
      <c r="A32352" s="1" t="s">
        <v>32351</v>
      </c>
      <c r="B32352" s="2" t="str">
        <f>IFERROR(__xludf.DUMMYFUNCTION("GOOGLETRANSLATE(A32352, ""de"", ""en"")"),"dance school")</f>
        <v>dance school</v>
      </c>
    </row>
    <row r="32353">
      <c r="A32353" s="1" t="s">
        <v>32352</v>
      </c>
      <c r="B32353" s="2" t="str">
        <f>IFERROR(__xludf.DUMMYFUNCTION("GOOGLETRANSLATE(A32353, ""de"", ""en"")"),"convey")</f>
        <v>convey</v>
      </c>
    </row>
    <row r="32354">
      <c r="A32354" s="1" t="s">
        <v>32353</v>
      </c>
      <c r="B32354" s="2" t="str">
        <f>IFERROR(__xludf.DUMMYFUNCTION("GOOGLETRANSLATE(A32354, ""de"", ""en"")"),"snooped around")</f>
        <v>snooped around</v>
      </c>
    </row>
    <row r="32355">
      <c r="A32355" s="1" t="s">
        <v>32354</v>
      </c>
      <c r="B32355" s="2" t="str">
        <f>IFERROR(__xludf.DUMMYFUNCTION("GOOGLETRANSLATE(A32355, ""de"", ""en"")"),"latest")</f>
        <v>latest</v>
      </c>
    </row>
    <row r="32356">
      <c r="A32356" s="1" t="s">
        <v>32355</v>
      </c>
      <c r="B32356" s="2" t="str">
        <f>IFERROR(__xludf.DUMMYFUNCTION("GOOGLETRANSLATE(A32356, ""de"", ""en"")"),"groove")</f>
        <v>groove</v>
      </c>
    </row>
    <row r="32357">
      <c r="A32357" s="1" t="s">
        <v>32356</v>
      </c>
      <c r="B32357" s="2" t="str">
        <f>IFERROR(__xludf.DUMMYFUNCTION("GOOGLETRANSLATE(A32357, ""de"", ""en"")"),"Yugoslavia")</f>
        <v>Yugoslavia</v>
      </c>
    </row>
    <row r="32358">
      <c r="A32358" s="1" t="s">
        <v>32357</v>
      </c>
      <c r="B32358" s="2" t="str">
        <f>IFERROR(__xludf.DUMMYFUNCTION("GOOGLETRANSLATE(A32358, ""de"", ""en"")"),"tastier")</f>
        <v>tastier</v>
      </c>
    </row>
    <row r="32359">
      <c r="A32359" s="1" t="s">
        <v>32358</v>
      </c>
      <c r="B32359" s="2" t="str">
        <f>IFERROR(__xludf.DUMMYFUNCTION("GOOGLETRANSLATE(A32359, ""de"", ""en"")"),"changed")</f>
        <v>changed</v>
      </c>
    </row>
    <row r="32360">
      <c r="A32360" s="1" t="s">
        <v>32359</v>
      </c>
      <c r="B32360" s="2" t="str">
        <f>IFERROR(__xludf.DUMMYFUNCTION("GOOGLETRANSLATE(A32360, ""de"", ""en"")"),"reign")</f>
        <v>reign</v>
      </c>
    </row>
    <row r="32361">
      <c r="A32361" s="1" t="s">
        <v>32360</v>
      </c>
      <c r="B32361" s="2" t="str">
        <f>IFERROR(__xludf.DUMMYFUNCTION("GOOGLETRANSLATE(A32361, ""de"", ""en"")"),"ignored")</f>
        <v>ignored</v>
      </c>
    </row>
    <row r="32362">
      <c r="A32362" s="1" t="s">
        <v>32361</v>
      </c>
      <c r="B32362" s="2" t="str">
        <f>IFERROR(__xludf.DUMMYFUNCTION("GOOGLETRANSLATE(A32362, ""de"", ""en"")"),"understand")</f>
        <v>understand</v>
      </c>
    </row>
    <row r="32363">
      <c r="A32363" s="1" t="s">
        <v>32362</v>
      </c>
      <c r="B32363" s="2" t="str">
        <f>IFERROR(__xludf.DUMMYFUNCTION("GOOGLETRANSLATE(A32363, ""de"", ""en"")"),"mistakes")</f>
        <v>mistakes</v>
      </c>
    </row>
    <row r="32364">
      <c r="A32364" s="1" t="s">
        <v>32363</v>
      </c>
      <c r="B32364" s="2" t="str">
        <f>IFERROR(__xludf.DUMMYFUNCTION("GOOGLETRANSLATE(A32364, ""de"", ""en"")"),"zhou")</f>
        <v>zhou</v>
      </c>
    </row>
    <row r="32365">
      <c r="A32365" s="1" t="s">
        <v>32364</v>
      </c>
      <c r="B32365" s="2" t="str">
        <f>IFERROR(__xludf.DUMMYFUNCTION("GOOGLETRANSLATE(A32365, ""de"", ""en"")"),"message")</f>
        <v>message</v>
      </c>
    </row>
    <row r="32366">
      <c r="A32366" s="1" t="s">
        <v>32365</v>
      </c>
      <c r="B32366" s="2" t="str">
        <f>IFERROR(__xludf.DUMMYFUNCTION("GOOGLETRANSLATE(A32366, ""de"", ""en"")"),"squat")</f>
        <v>squat</v>
      </c>
    </row>
    <row r="32367">
      <c r="A32367" s="1" t="s">
        <v>32366</v>
      </c>
      <c r="B32367" s="2" t="str">
        <f>IFERROR(__xludf.DUMMYFUNCTION("GOOGLETRANSLATE(A32367, ""de"", ""en"")"),"report")</f>
        <v>report</v>
      </c>
    </row>
    <row r="32368">
      <c r="A32368" s="1" t="s">
        <v>32367</v>
      </c>
      <c r="B32368" s="2" t="str">
        <f>IFERROR(__xludf.DUMMYFUNCTION("GOOGLETRANSLATE(A32368, ""de"", ""en"")"),"Paul")</f>
        <v>Paul</v>
      </c>
    </row>
    <row r="32369">
      <c r="A32369" s="1" t="s">
        <v>32368</v>
      </c>
      <c r="B32369" s="2" t="str">
        <f>IFERROR(__xludf.DUMMYFUNCTION("GOOGLETRANSLATE(A32369, ""de"", ""en"")"),"tropics")</f>
        <v>tropics</v>
      </c>
    </row>
    <row r="32370">
      <c r="A32370" s="1" t="s">
        <v>32369</v>
      </c>
      <c r="B32370" s="2" t="str">
        <f>IFERROR(__xludf.DUMMYFUNCTION("GOOGLETRANSLATE(A32370, ""de"", ""en"")"),"bend")</f>
        <v>bend</v>
      </c>
    </row>
    <row r="32371">
      <c r="A32371" s="1" t="s">
        <v>32370</v>
      </c>
      <c r="B32371" s="2" t="str">
        <f>IFERROR(__xludf.DUMMYFUNCTION("GOOGLETRANSLATE(A32371, ""de"", ""en"")"),"be careful")</f>
        <v>be careful</v>
      </c>
    </row>
    <row r="32372">
      <c r="A32372" s="1" t="s">
        <v>32371</v>
      </c>
      <c r="B32372" s="2" t="str">
        <f>IFERROR(__xludf.DUMMYFUNCTION("GOOGLETRANSLATE(A32372, ""de"", ""en"")"),"Britannia")</f>
        <v>Britannia</v>
      </c>
    </row>
    <row r="32373">
      <c r="A32373" s="1" t="s">
        <v>32372</v>
      </c>
      <c r="B32373" s="2" t="str">
        <f>IFERROR(__xludf.DUMMYFUNCTION("GOOGLETRANSLATE(A32373, ""de"", ""en"")"),"more ancient")</f>
        <v>more ancient</v>
      </c>
    </row>
    <row r="32374">
      <c r="A32374" s="1" t="s">
        <v>32373</v>
      </c>
      <c r="B32374" s="2" t="str">
        <f>IFERROR(__xludf.DUMMYFUNCTION("GOOGLETRANSLATE(A32374, ""de"", ""en"")"),"olly")</f>
        <v>olly</v>
      </c>
    </row>
    <row r="32375">
      <c r="A32375" s="1" t="s">
        <v>32374</v>
      </c>
      <c r="B32375" s="2" t="str">
        <f>IFERROR(__xludf.DUMMYFUNCTION("GOOGLETRANSLATE(A32375, ""de"", ""en"")"),"boleyn")</f>
        <v>boleyn</v>
      </c>
    </row>
    <row r="32376">
      <c r="A32376" s="1" t="s">
        <v>32375</v>
      </c>
      <c r="B32376" s="2" t="str">
        <f>IFERROR(__xludf.DUMMYFUNCTION("GOOGLETRANSLATE(A32376, ""de"", ""en"")"),"reputation")</f>
        <v>reputation</v>
      </c>
    </row>
    <row r="32377">
      <c r="A32377" s="1" t="s">
        <v>32376</v>
      </c>
      <c r="B32377" s="2" t="str">
        <f>IFERROR(__xludf.DUMMYFUNCTION("GOOGLETRANSLATE(A32377, ""de"", ""en"")"),"oas")</f>
        <v>oas</v>
      </c>
    </row>
    <row r="32378">
      <c r="A32378" s="1" t="s">
        <v>32377</v>
      </c>
      <c r="B32378" s="2" t="str">
        <f>IFERROR(__xludf.DUMMYFUNCTION("GOOGLETRANSLATE(A32378, ""de"", ""en"")"),"sümbül")</f>
        <v>sümbül</v>
      </c>
    </row>
    <row r="32379">
      <c r="A32379" s="1" t="s">
        <v>32378</v>
      </c>
      <c r="B32379" s="2" t="str">
        <f>IFERROR(__xludf.DUMMYFUNCTION("GOOGLETRANSLATE(A32379, ""de"", ""en"")"),"byers")</f>
        <v>byers</v>
      </c>
    </row>
    <row r="32380">
      <c r="A32380" s="1" t="s">
        <v>32379</v>
      </c>
      <c r="B32380" s="2" t="str">
        <f>IFERROR(__xludf.DUMMYFUNCTION("GOOGLETRANSLATE(A32380, ""de"", ""en"")"),"bidder")</f>
        <v>bidder</v>
      </c>
    </row>
    <row r="32381">
      <c r="A32381" s="1" t="s">
        <v>32380</v>
      </c>
      <c r="B32381" s="2" t="str">
        <f>IFERROR(__xludf.DUMMYFUNCTION("GOOGLETRANSLATE(A32381, ""de"", ""en"")"),"versatile")</f>
        <v>versatile</v>
      </c>
    </row>
    <row r="32382">
      <c r="A32382" s="1" t="s">
        <v>32381</v>
      </c>
      <c r="B32382" s="2" t="str">
        <f>IFERROR(__xludf.DUMMYFUNCTION("GOOGLETRANSLATE(A32382, ""de"", ""en"")"),"Meghan")</f>
        <v>Meghan</v>
      </c>
    </row>
    <row r="32383">
      <c r="A32383" s="1" t="s">
        <v>32382</v>
      </c>
      <c r="B32383" s="2" t="str">
        <f>IFERROR(__xludf.DUMMYFUNCTION("GOOGLETRANSLATE(A32383, ""de"", ""en"")"),"federal")</f>
        <v>federal</v>
      </c>
    </row>
    <row r="32384">
      <c r="A32384" s="1" t="s">
        <v>32383</v>
      </c>
      <c r="B32384" s="2" t="str">
        <f>IFERROR(__xludf.DUMMYFUNCTION("GOOGLETRANSLATE(A32384, ""de"", ""en"")"),"straight up")</f>
        <v>straight up</v>
      </c>
    </row>
    <row r="32385">
      <c r="A32385" s="1" t="s">
        <v>32384</v>
      </c>
      <c r="B32385" s="2" t="str">
        <f>IFERROR(__xludf.DUMMYFUNCTION("GOOGLETRANSLATE(A32385, ""de"", ""en"")"),"climbed")</f>
        <v>climbed</v>
      </c>
    </row>
    <row r="32386">
      <c r="A32386" s="1" t="s">
        <v>32385</v>
      </c>
      <c r="B32386" s="2" t="str">
        <f>IFERROR(__xludf.DUMMYFUNCTION("GOOGLETRANSLATE(A32386, ""de"", ""en"")"),"foster mother")</f>
        <v>foster mother</v>
      </c>
    </row>
    <row r="32387">
      <c r="A32387" s="1" t="s">
        <v>32386</v>
      </c>
      <c r="B32387" s="2" t="str">
        <f>IFERROR(__xludf.DUMMYFUNCTION("GOOGLETRANSLATE(A32387, ""de"", ""en"")"),"hugged")</f>
        <v>hugged</v>
      </c>
    </row>
    <row r="32388">
      <c r="A32388" s="1" t="s">
        <v>32387</v>
      </c>
      <c r="B32388" s="2" t="str">
        <f>IFERROR(__xludf.DUMMYFUNCTION("GOOGLETRANSLATE(A32388, ""de"", ""en"")"),"unpack")</f>
        <v>unpack</v>
      </c>
    </row>
    <row r="32389">
      <c r="A32389" s="1" t="s">
        <v>32388</v>
      </c>
      <c r="B32389" s="2" t="str">
        <f>IFERROR(__xludf.DUMMYFUNCTION("GOOGLETRANSLATE(A32389, ""de"", ""en"")"),"out of stock")</f>
        <v>out of stock</v>
      </c>
    </row>
    <row r="32390">
      <c r="A32390" s="1" t="s">
        <v>32389</v>
      </c>
      <c r="B32390" s="2" t="str">
        <f>IFERROR(__xludf.DUMMYFUNCTION("GOOGLETRANSLATE(A32390, ""de"", ""en"")"),"graphic")</f>
        <v>graphic</v>
      </c>
    </row>
    <row r="32391">
      <c r="A32391" s="1" t="s">
        <v>32390</v>
      </c>
      <c r="B32391" s="2" t="str">
        <f>IFERROR(__xludf.DUMMYFUNCTION("GOOGLETRANSLATE(A32391, ""de"", ""en"")"),"bluff")</f>
        <v>bluff</v>
      </c>
    </row>
    <row r="32392">
      <c r="A32392" s="1" t="s">
        <v>32391</v>
      </c>
      <c r="B32392" s="2" t="str">
        <f>IFERROR(__xludf.DUMMYFUNCTION("GOOGLETRANSLATE(A32392, ""de"", ""en"")"),"resonance")</f>
        <v>resonance</v>
      </c>
    </row>
    <row r="32393">
      <c r="A32393" s="1" t="s">
        <v>32392</v>
      </c>
      <c r="B32393" s="2" t="str">
        <f>IFERROR(__xludf.DUMMYFUNCTION("GOOGLETRANSLATE(A32393, ""de"", ""en"")"),"camus")</f>
        <v>camus</v>
      </c>
    </row>
    <row r="32394">
      <c r="A32394" s="1" t="s">
        <v>32393</v>
      </c>
      <c r="B32394" s="2" t="str">
        <f>IFERROR(__xludf.DUMMYFUNCTION("GOOGLETRANSLATE(A32394, ""de"", ""en"")"),"repertoire")</f>
        <v>repertoire</v>
      </c>
    </row>
    <row r="32395">
      <c r="A32395" s="1" t="s">
        <v>32394</v>
      </c>
      <c r="B32395" s="2" t="str">
        <f>IFERROR(__xludf.DUMMYFUNCTION("GOOGLETRANSLATE(A32395, ""de"", ""en"")"),"customer")</f>
        <v>customer</v>
      </c>
    </row>
    <row r="32396">
      <c r="A32396" s="1" t="s">
        <v>32395</v>
      </c>
      <c r="B32396" s="2" t="str">
        <f>IFERROR(__xludf.DUMMYFUNCTION("GOOGLETRANSLATE(A32396, ""de"", ""en"")"),"lies")</f>
        <v>lies</v>
      </c>
    </row>
    <row r="32397">
      <c r="A32397" s="1" t="s">
        <v>32396</v>
      </c>
      <c r="B32397" s="2" t="str">
        <f>IFERROR(__xludf.DUMMYFUNCTION("GOOGLETRANSLATE(A32397, ""de"", ""en"")"),"damaja")</f>
        <v>damaja</v>
      </c>
    </row>
    <row r="32398">
      <c r="A32398" s="1" t="s">
        <v>32397</v>
      </c>
      <c r="B32398" s="2" t="str">
        <f>IFERROR(__xludf.DUMMYFUNCTION("GOOGLETRANSLATE(A32398, ""de"", ""en"")"),"Baudelaires")</f>
        <v>Baudelaires</v>
      </c>
    </row>
    <row r="32399">
      <c r="A32399" s="1" t="s">
        <v>32398</v>
      </c>
      <c r="B32399" s="2" t="str">
        <f>IFERROR(__xludf.DUMMYFUNCTION("GOOGLETRANSLATE(A32399, ""de"", ""en"")"),"public relations")</f>
        <v>public relations</v>
      </c>
    </row>
    <row r="32400">
      <c r="A32400" s="1" t="s">
        <v>32399</v>
      </c>
      <c r="B32400" s="2" t="str">
        <f>IFERROR(__xludf.DUMMYFUNCTION("GOOGLETRANSLATE(A32400, ""de"", ""en"")"),"tropical")</f>
        <v>tropical</v>
      </c>
    </row>
    <row r="32401">
      <c r="A32401" s="1" t="s">
        <v>32400</v>
      </c>
      <c r="B32401" s="2" t="str">
        <f>IFERROR(__xludf.DUMMYFUNCTION("GOOGLETRANSLATE(A32401, ""de"", ""en"")"),"groundwater")</f>
        <v>groundwater</v>
      </c>
    </row>
    <row r="32402">
      <c r="A32402" s="1" t="s">
        <v>32401</v>
      </c>
      <c r="B32402" s="2" t="str">
        <f>IFERROR(__xludf.DUMMYFUNCTION("GOOGLETRANSLATE(A32402, ""de"", ""en"")"),"cologne")</f>
        <v>cologne</v>
      </c>
    </row>
    <row r="32403">
      <c r="A32403" s="1" t="s">
        <v>32402</v>
      </c>
      <c r="B32403" s="2" t="str">
        <f>IFERROR(__xludf.DUMMYFUNCTION("GOOGLETRANSLATE(A32403, ""de"", ""en"")"),"signed")</f>
        <v>signed</v>
      </c>
    </row>
    <row r="32404">
      <c r="A32404" s="1" t="s">
        <v>32403</v>
      </c>
      <c r="B32404" s="2" t="str">
        <f>IFERROR(__xludf.DUMMYFUNCTION("GOOGLETRANSLATE(A32404, ""de"", ""en"")"),"niagara")</f>
        <v>niagara</v>
      </c>
    </row>
    <row r="32405">
      <c r="A32405" s="1" t="s">
        <v>32404</v>
      </c>
      <c r="B32405" s="2" t="str">
        <f>IFERROR(__xludf.DUMMYFUNCTION("GOOGLETRANSLATE(A32405, ""de"", ""en"")"),"shrink")</f>
        <v>shrink</v>
      </c>
    </row>
    <row r="32406">
      <c r="A32406" s="1" t="s">
        <v>32405</v>
      </c>
      <c r="B32406" s="2" t="str">
        <f>IFERROR(__xludf.DUMMYFUNCTION("GOOGLETRANSLATE(A32406, ""de"", ""en"")"),"operations team")</f>
        <v>operations team</v>
      </c>
    </row>
    <row r="32407">
      <c r="A32407" s="1" t="s">
        <v>32406</v>
      </c>
      <c r="B32407" s="2" t="str">
        <f>IFERROR(__xludf.DUMMYFUNCTION("GOOGLETRANSLATE(A32407, ""de"", ""en"")"),"engage")</f>
        <v>engage</v>
      </c>
    </row>
    <row r="32408">
      <c r="A32408" s="1" t="s">
        <v>32407</v>
      </c>
      <c r="B32408" s="2" t="str">
        <f>IFERROR(__xludf.DUMMYFUNCTION("GOOGLETRANSLATE(A32408, ""de"", ""en"")"),"liberator")</f>
        <v>liberator</v>
      </c>
    </row>
    <row r="32409">
      <c r="A32409" s="1" t="s">
        <v>32408</v>
      </c>
      <c r="B32409" s="2" t="str">
        <f>IFERROR(__xludf.DUMMYFUNCTION("GOOGLETRANSLATE(A32409, ""de"", ""en"")"),"means")</f>
        <v>means</v>
      </c>
    </row>
    <row r="32410">
      <c r="A32410" s="1" t="s">
        <v>32409</v>
      </c>
      <c r="B32410" s="2" t="str">
        <f>IFERROR(__xludf.DUMMYFUNCTION("GOOGLETRANSLATE(A32410, ""de"", ""en"")"),"dictation")</f>
        <v>dictation</v>
      </c>
    </row>
    <row r="32411">
      <c r="A32411" s="1" t="s">
        <v>32410</v>
      </c>
      <c r="B32411" s="2" t="str">
        <f>IFERROR(__xludf.DUMMYFUNCTION("GOOGLETRANSLATE(A32411, ""de"", ""en"")"),"40s")</f>
        <v>40s</v>
      </c>
    </row>
    <row r="32412">
      <c r="A32412" s="1" t="s">
        <v>32411</v>
      </c>
      <c r="B32412" s="2" t="str">
        <f>IFERROR(__xludf.DUMMYFUNCTION("GOOGLETRANSLATE(A32412, ""de"", ""en"")"),"potato chips")</f>
        <v>potato chips</v>
      </c>
    </row>
    <row r="32413">
      <c r="A32413" s="1" t="s">
        <v>32412</v>
      </c>
      <c r="B32413" s="2" t="str">
        <f>IFERROR(__xludf.DUMMYFUNCTION("GOOGLETRANSLATE(A32413, ""de"", ""en"")"),"hooked")</f>
        <v>hooked</v>
      </c>
    </row>
    <row r="32414">
      <c r="A32414" s="1" t="s">
        <v>32413</v>
      </c>
      <c r="B32414" s="2" t="str">
        <f>IFERROR(__xludf.DUMMYFUNCTION("GOOGLETRANSLATE(A32414, ""de"", ""en"")"),"reflect")</f>
        <v>reflect</v>
      </c>
    </row>
    <row r="32415">
      <c r="A32415" s="1" t="s">
        <v>32414</v>
      </c>
      <c r="B32415" s="2" t="str">
        <f>IFERROR(__xludf.DUMMYFUNCTION("GOOGLETRANSLATE(A32415, ""de"", ""en"")"),"gym")</f>
        <v>gym</v>
      </c>
    </row>
    <row r="32416">
      <c r="A32416" s="1" t="s">
        <v>32415</v>
      </c>
      <c r="B32416" s="2" t="str">
        <f>IFERROR(__xludf.DUMMYFUNCTION("GOOGLETRANSLATE(A32416, ""de"", ""en"")"),"sil")</f>
        <v>sil</v>
      </c>
    </row>
    <row r="32417">
      <c r="A32417" s="1" t="s">
        <v>32416</v>
      </c>
      <c r="B32417" s="2" t="str">
        <f>IFERROR(__xludf.DUMMYFUNCTION("GOOGLETRANSLATE(A32417, ""de"", ""en"")"),"decay")</f>
        <v>decay</v>
      </c>
    </row>
    <row r="32418">
      <c r="A32418" s="1" t="s">
        <v>32417</v>
      </c>
      <c r="B32418" s="2" t="str">
        <f>IFERROR(__xludf.DUMMYFUNCTION("GOOGLETRANSLATE(A32418, ""de"", ""en"")"),"shut")</f>
        <v>shut</v>
      </c>
    </row>
    <row r="32419">
      <c r="A32419" s="1" t="s">
        <v>32418</v>
      </c>
      <c r="B32419" s="2" t="str">
        <f>IFERROR(__xludf.DUMMYFUNCTION("GOOGLETRANSLATE(A32419, ""de"", ""en"")"),"carelessness")</f>
        <v>carelessness</v>
      </c>
    </row>
    <row r="32420">
      <c r="A32420" s="1" t="s">
        <v>32419</v>
      </c>
      <c r="B32420" s="2" t="str">
        <f>IFERROR(__xludf.DUMMYFUNCTION("GOOGLETRANSLATE(A32420, ""de"", ""en"")"),"debriefing")</f>
        <v>debriefing</v>
      </c>
    </row>
    <row r="32421">
      <c r="A32421" s="1" t="s">
        <v>32420</v>
      </c>
      <c r="B32421" s="2" t="str">
        <f>IFERROR(__xludf.DUMMYFUNCTION("GOOGLETRANSLATE(A32421, ""de"", ""en"")"),"pedophile")</f>
        <v>pedophile</v>
      </c>
    </row>
    <row r="32422">
      <c r="A32422" s="1" t="s">
        <v>32421</v>
      </c>
      <c r="B32422" s="2" t="str">
        <f>IFERROR(__xludf.DUMMYFUNCTION("GOOGLETRANSLATE(A32422, ""de"", ""en"")"),"striker")</f>
        <v>striker</v>
      </c>
    </row>
    <row r="32423">
      <c r="A32423" s="1" t="s">
        <v>32422</v>
      </c>
      <c r="B32423" s="2" t="str">
        <f>IFERROR(__xludf.DUMMYFUNCTION("GOOGLETRANSLATE(A32423, ""de"", ""en"")"),"desecrate")</f>
        <v>desecrate</v>
      </c>
    </row>
    <row r="32424">
      <c r="A32424" s="1" t="s">
        <v>32423</v>
      </c>
      <c r="B32424" s="2" t="str">
        <f>IFERROR(__xludf.DUMMYFUNCTION("GOOGLETRANSLATE(A32424, ""de"", ""en"")"),"suff")</f>
        <v>suff</v>
      </c>
    </row>
    <row r="32425">
      <c r="A32425" s="1" t="s">
        <v>32424</v>
      </c>
      <c r="B32425" s="2" t="str">
        <f>IFERROR(__xludf.DUMMYFUNCTION("GOOGLETRANSLATE(A32425, ""de"", ""en"")"),"searching")</f>
        <v>searching</v>
      </c>
    </row>
    <row r="32426">
      <c r="A32426" s="1" t="s">
        <v>32425</v>
      </c>
      <c r="B32426" s="2" t="str">
        <f>IFERROR(__xludf.DUMMYFUNCTION("GOOGLETRANSLATE(A32426, ""de"", ""en"")"),"cunt")</f>
        <v>cunt</v>
      </c>
    </row>
    <row r="32427">
      <c r="A32427" s="1" t="s">
        <v>32426</v>
      </c>
      <c r="B32427" s="2" t="str">
        <f>IFERROR(__xludf.DUMMYFUNCTION("GOOGLETRANSLATE(A32427, ""de"", ""en"")"),"blush")</f>
        <v>blush</v>
      </c>
    </row>
    <row r="32428">
      <c r="A32428" s="1" t="s">
        <v>32427</v>
      </c>
      <c r="B32428" s="2" t="str">
        <f>IFERROR(__xludf.DUMMYFUNCTION("GOOGLETRANSLATE(A32428, ""de"", ""en"")"),"insults")</f>
        <v>insults</v>
      </c>
    </row>
    <row r="32429">
      <c r="A32429" s="1" t="s">
        <v>32428</v>
      </c>
      <c r="B32429" s="2" t="str">
        <f>IFERROR(__xludf.DUMMYFUNCTION("GOOGLETRANSLATE(A32429, ""de"", ""en"")"),"nitroglycerin")</f>
        <v>nitroglycerin</v>
      </c>
    </row>
    <row r="32430">
      <c r="A32430" s="1" t="s">
        <v>32429</v>
      </c>
      <c r="B32430" s="2" t="str">
        <f>IFERROR(__xludf.DUMMYFUNCTION("GOOGLETRANSLATE(A32430, ""de"", ""en"")"),"penetrated")</f>
        <v>penetrated</v>
      </c>
    </row>
    <row r="32431">
      <c r="A32431" s="1" t="s">
        <v>32430</v>
      </c>
      <c r="B32431" s="2" t="str">
        <f>IFERROR(__xludf.DUMMYFUNCTION("GOOGLETRANSLATE(A32431, ""de"", ""en"")"),"imaginary ones")</f>
        <v>imaginary ones</v>
      </c>
    </row>
    <row r="32432">
      <c r="A32432" s="1" t="s">
        <v>32431</v>
      </c>
      <c r="B32432" s="2" t="str">
        <f>IFERROR(__xludf.DUMMYFUNCTION("GOOGLETRANSLATE(A32432, ""de"", ""en"")"),"Kensington")</f>
        <v>Kensington</v>
      </c>
    </row>
    <row r="32433">
      <c r="A32433" s="1" t="s">
        <v>32432</v>
      </c>
      <c r="B32433" s="2" t="str">
        <f>IFERROR(__xludf.DUMMYFUNCTION("GOOGLETRANSLATE(A32433, ""de"", ""en"")"),"Amazons")</f>
        <v>Amazons</v>
      </c>
    </row>
    <row r="32434">
      <c r="A32434" s="1" t="s">
        <v>32433</v>
      </c>
      <c r="B32434" s="2" t="str">
        <f>IFERROR(__xludf.DUMMYFUNCTION("GOOGLETRANSLATE(A32434, ""de"", ""en"")"),"Chicagoan")</f>
        <v>Chicagoan</v>
      </c>
    </row>
    <row r="32435">
      <c r="A32435" s="1" t="s">
        <v>32434</v>
      </c>
      <c r="B32435" s="2" t="str">
        <f>IFERROR(__xludf.DUMMYFUNCTION("GOOGLETRANSLATE(A32435, ""de"", ""en"")"),"lymph nodes")</f>
        <v>lymph nodes</v>
      </c>
    </row>
    <row r="32436">
      <c r="A32436" s="1" t="s">
        <v>32435</v>
      </c>
      <c r="B32436" s="2" t="str">
        <f>IFERROR(__xludf.DUMMYFUNCTION("GOOGLETRANSLATE(A32436, ""de"", ""en"")"),"fitting")</f>
        <v>fitting</v>
      </c>
    </row>
    <row r="32437">
      <c r="A32437" s="1" t="s">
        <v>32436</v>
      </c>
      <c r="B32437" s="2" t="str">
        <f>IFERROR(__xludf.DUMMYFUNCTION("GOOGLETRANSLATE(A32437, ""de"", ""en"")"),"rasgotra")</f>
        <v>rasgotra</v>
      </c>
    </row>
    <row r="32438">
      <c r="A32438" s="1" t="s">
        <v>32437</v>
      </c>
      <c r="B32438" s="2" t="str">
        <f>IFERROR(__xludf.DUMMYFUNCTION("GOOGLETRANSLATE(A32438, ""de"", ""en"")"),"kraken")</f>
        <v>kraken</v>
      </c>
    </row>
    <row r="32439">
      <c r="A32439" s="1" t="s">
        <v>32438</v>
      </c>
      <c r="B32439" s="2" t="str">
        <f>IFERROR(__xludf.DUMMYFUNCTION("GOOGLETRANSLATE(A32439, ""de"", ""en"")"),"healing")</f>
        <v>healing</v>
      </c>
    </row>
    <row r="32440">
      <c r="A32440" s="1" t="s">
        <v>32439</v>
      </c>
      <c r="B32440" s="2" t="str">
        <f>IFERROR(__xludf.DUMMYFUNCTION("GOOGLETRANSLATE(A32440, ""de"", ""en"")"),"Serena")</f>
        <v>Serena</v>
      </c>
    </row>
    <row r="32441">
      <c r="A32441" s="1" t="s">
        <v>32440</v>
      </c>
      <c r="B32441" s="2" t="str">
        <f>IFERROR(__xludf.DUMMYFUNCTION("GOOGLETRANSLATE(A32441, ""de"", ""en"")"),"camps")</f>
        <v>camps</v>
      </c>
    </row>
    <row r="32442">
      <c r="A32442" s="1" t="s">
        <v>32441</v>
      </c>
      <c r="B32442" s="2" t="str">
        <f>IFERROR(__xludf.DUMMYFUNCTION("GOOGLETRANSLATE(A32442, ""de"", ""en"")"),"remus")</f>
        <v>remus</v>
      </c>
    </row>
    <row r="32443">
      <c r="A32443" s="1" t="s">
        <v>32442</v>
      </c>
      <c r="B32443" s="2" t="str">
        <f>IFERROR(__xludf.DUMMYFUNCTION("GOOGLETRANSLATE(A32443, ""de"", ""en"")"),"pedrosa")</f>
        <v>pedrosa</v>
      </c>
    </row>
    <row r="32444">
      <c r="A32444" s="1" t="s">
        <v>32443</v>
      </c>
      <c r="B32444" s="2" t="str">
        <f>IFERROR(__xludf.DUMMYFUNCTION("GOOGLETRANSLATE(A32444, ""de"", ""en"")"),"reliable")</f>
        <v>reliable</v>
      </c>
    </row>
    <row r="32445">
      <c r="A32445" s="1" t="s">
        <v>32444</v>
      </c>
      <c r="B32445" s="2" t="str">
        <f>IFERROR(__xludf.DUMMYFUNCTION("GOOGLETRANSLATE(A32445, ""de"", ""en"")"),"prison guard")</f>
        <v>prison guard</v>
      </c>
    </row>
    <row r="32446">
      <c r="A32446" s="1" t="s">
        <v>32445</v>
      </c>
      <c r="B32446" s="2" t="str">
        <f>IFERROR(__xludf.DUMMYFUNCTION("GOOGLETRANSLATE(A32446, ""de"", ""en"")"),"libertine")</f>
        <v>libertine</v>
      </c>
    </row>
    <row r="32447">
      <c r="A32447" s="1" t="s">
        <v>32446</v>
      </c>
      <c r="B32447" s="2" t="str">
        <f>IFERROR(__xludf.DUMMYFUNCTION("GOOGLETRANSLATE(A32447, ""de"", ""en"")"),"thorax")</f>
        <v>thorax</v>
      </c>
    </row>
    <row r="32448">
      <c r="A32448" s="1" t="s">
        <v>32447</v>
      </c>
      <c r="B32448" s="2" t="str">
        <f>IFERROR(__xludf.DUMMYFUNCTION("GOOGLETRANSLATE(A32448, ""de"", ""en"")"),"ivanova")</f>
        <v>ivanova</v>
      </c>
    </row>
    <row r="32449">
      <c r="A32449" s="1" t="s">
        <v>32448</v>
      </c>
      <c r="B32449" s="2" t="str">
        <f>IFERROR(__xludf.DUMMYFUNCTION("GOOGLETRANSLATE(A32449, ""de"", ""en"")"),"wingman")</f>
        <v>wingman</v>
      </c>
    </row>
    <row r="32450">
      <c r="A32450" s="1" t="s">
        <v>32449</v>
      </c>
      <c r="B32450" s="2" t="str">
        <f>IFERROR(__xludf.DUMMYFUNCTION("GOOGLETRANSLATE(A32450, ""de"", ""en"")"),"supplement")</f>
        <v>supplement</v>
      </c>
    </row>
    <row r="32451">
      <c r="A32451" s="1" t="s">
        <v>32450</v>
      </c>
      <c r="B32451" s="2" t="str">
        <f>IFERROR(__xludf.DUMMYFUNCTION("GOOGLETRANSLATE(A32451, ""de"", ""en"")"),"whistled")</f>
        <v>whistled</v>
      </c>
    </row>
    <row r="32452">
      <c r="A32452" s="1" t="s">
        <v>32451</v>
      </c>
      <c r="B32452" s="2" t="str">
        <f>IFERROR(__xludf.DUMMYFUNCTION("GOOGLETRANSLATE(A32452, ""de"", ""en"")"),"Romulan")</f>
        <v>Romulan</v>
      </c>
    </row>
    <row r="32453">
      <c r="A32453" s="1" t="s">
        <v>32452</v>
      </c>
      <c r="B32453" s="2" t="str">
        <f>IFERROR(__xludf.DUMMYFUNCTION("GOOGLETRANSLATE(A32453, ""de"", ""en"")"),"sari")</f>
        <v>sari</v>
      </c>
    </row>
    <row r="32454">
      <c r="A32454" s="1" t="s">
        <v>32453</v>
      </c>
      <c r="B32454" s="2" t="str">
        <f>IFERROR(__xludf.DUMMYFUNCTION("GOOGLETRANSLATE(A32454, ""de"", ""en"")"),"corn on the cob")</f>
        <v>corn on the cob</v>
      </c>
    </row>
    <row r="32455">
      <c r="A32455" s="1" t="s">
        <v>32454</v>
      </c>
      <c r="B32455" s="2" t="str">
        <f>IFERROR(__xludf.DUMMYFUNCTION("GOOGLETRANSLATE(A32455, ""de"", ""en"")"),"freedom fighters")</f>
        <v>freedom fighters</v>
      </c>
    </row>
    <row r="32456">
      <c r="A32456" s="1" t="s">
        <v>32455</v>
      </c>
      <c r="B32456" s="2" t="str">
        <f>IFERROR(__xludf.DUMMYFUNCTION("GOOGLETRANSLATE(A32456, ""de"", ""en"")"),"middle finger")</f>
        <v>middle finger</v>
      </c>
    </row>
    <row r="32457">
      <c r="A32457" s="1" t="s">
        <v>32456</v>
      </c>
      <c r="B32457" s="2" t="str">
        <f>IFERROR(__xludf.DUMMYFUNCTION("GOOGLETRANSLATE(A32457, ""de"", ""en"")"),"muli")</f>
        <v>muli</v>
      </c>
    </row>
    <row r="32458">
      <c r="A32458" s="1" t="s">
        <v>32457</v>
      </c>
      <c r="B32458" s="2" t="str">
        <f>IFERROR(__xludf.DUMMYFUNCTION("GOOGLETRANSLATE(A32458, ""de"", ""en"")"),"marital problems")</f>
        <v>marital problems</v>
      </c>
    </row>
    <row r="32459">
      <c r="A32459" s="1" t="s">
        <v>32458</v>
      </c>
      <c r="B32459" s="2" t="str">
        <f>IFERROR(__xludf.DUMMYFUNCTION("GOOGLETRANSLATE(A32459, ""de"", ""en"")"),"water supply")</f>
        <v>water supply</v>
      </c>
    </row>
    <row r="32460">
      <c r="A32460" s="1" t="s">
        <v>32459</v>
      </c>
      <c r="B32460" s="2" t="str">
        <f>IFERROR(__xludf.DUMMYFUNCTION("GOOGLETRANSLATE(A32460, ""de"", ""en"")"),"to lead")</f>
        <v>to lead</v>
      </c>
    </row>
    <row r="32461">
      <c r="A32461" s="1" t="s">
        <v>32460</v>
      </c>
      <c r="B32461" s="2" t="str">
        <f>IFERROR(__xludf.DUMMYFUNCTION("GOOGLETRANSLATE(A32461, ""de"", ""en"")"),"poultry")</f>
        <v>poultry</v>
      </c>
    </row>
    <row r="32462">
      <c r="A32462" s="1" t="s">
        <v>32461</v>
      </c>
      <c r="B32462" s="2" t="str">
        <f>IFERROR(__xludf.DUMMYFUNCTION("GOOGLETRANSLATE(A32462, ""de"", ""en"")"),"fourth")</f>
        <v>fourth</v>
      </c>
    </row>
    <row r="32463">
      <c r="A32463" s="1" t="s">
        <v>32462</v>
      </c>
      <c r="B32463" s="2" t="str">
        <f>IFERROR(__xludf.DUMMYFUNCTION("GOOGLETRANSLATE(A32463, ""de"", ""en"")"),"aftermath")</f>
        <v>aftermath</v>
      </c>
    </row>
    <row r="32464">
      <c r="A32464" s="1" t="s">
        <v>32463</v>
      </c>
      <c r="B32464" s="2" t="str">
        <f>IFERROR(__xludf.DUMMYFUNCTION("GOOGLETRANSLATE(A32464, ""de"", ""en"")"),"blessed")</f>
        <v>blessed</v>
      </c>
    </row>
    <row r="32465">
      <c r="A32465" s="1" t="s">
        <v>32464</v>
      </c>
      <c r="B32465" s="2" t="str">
        <f>IFERROR(__xludf.DUMMYFUNCTION("GOOGLETRANSLATE(A32465, ""de"", ""en"")"),"commercial")</f>
        <v>commercial</v>
      </c>
    </row>
    <row r="32466">
      <c r="A32466" s="1" t="s">
        <v>32465</v>
      </c>
      <c r="B32466" s="2" t="str">
        <f>IFERROR(__xludf.DUMMYFUNCTION("GOOGLETRANSLATE(A32466, ""de"", ""en"")"),"hon")</f>
        <v>hon</v>
      </c>
    </row>
    <row r="32467">
      <c r="A32467" s="1" t="s">
        <v>32466</v>
      </c>
      <c r="B32467" s="2" t="str">
        <f>IFERROR(__xludf.DUMMYFUNCTION("GOOGLETRANSLATE(A32467, ""de"", ""en"")"),"observed")</f>
        <v>observed</v>
      </c>
    </row>
    <row r="32468">
      <c r="A32468" s="1" t="s">
        <v>32467</v>
      </c>
      <c r="B32468" s="2" t="str">
        <f>IFERROR(__xludf.DUMMYFUNCTION("GOOGLETRANSLATE(A32468, ""de"", ""en"")"),"fishes")</f>
        <v>fishes</v>
      </c>
    </row>
    <row r="32469">
      <c r="A32469" s="1" t="s">
        <v>32468</v>
      </c>
      <c r="B32469" s="2" t="str">
        <f>IFERROR(__xludf.DUMMYFUNCTION("GOOGLETRANSLATE(A32469, ""de"", ""en"")"),"Franziska")</f>
        <v>Franziska</v>
      </c>
    </row>
    <row r="32470">
      <c r="A32470" s="1" t="s">
        <v>32469</v>
      </c>
      <c r="B32470" s="2" t="str">
        <f>IFERROR(__xludf.DUMMYFUNCTION("GOOGLETRANSLATE(A32470, ""de"", ""en"")"),"debates")</f>
        <v>debates</v>
      </c>
    </row>
    <row r="32471">
      <c r="A32471" s="1" t="s">
        <v>32470</v>
      </c>
      <c r="B32471" s="2" t="str">
        <f>IFERROR(__xludf.DUMMYFUNCTION("GOOGLETRANSLATE(A32471, ""de"", ""en"")"),"jab")</f>
        <v>jab</v>
      </c>
    </row>
    <row r="32472">
      <c r="A32472" s="1" t="s">
        <v>32471</v>
      </c>
      <c r="B32472" s="2" t="str">
        <f>IFERROR(__xludf.DUMMYFUNCTION("GOOGLETRANSLATE(A32472, ""de"", ""en"")"),"desperate")</f>
        <v>desperate</v>
      </c>
    </row>
    <row r="32473">
      <c r="A32473" s="1" t="s">
        <v>32472</v>
      </c>
      <c r="B32473" s="2" t="str">
        <f>IFERROR(__xludf.DUMMYFUNCTION("GOOGLETRANSLATE(A32473, ""de"", ""en"")"),"hordes")</f>
        <v>hordes</v>
      </c>
    </row>
    <row r="32474">
      <c r="A32474" s="1" t="s">
        <v>32473</v>
      </c>
      <c r="B32474" s="2" t="str">
        <f>IFERROR(__xludf.DUMMYFUNCTION("GOOGLETRANSLATE(A32474, ""de"", ""en"")"),"correct")</f>
        <v>correct</v>
      </c>
    </row>
    <row r="32475">
      <c r="A32475" s="1" t="s">
        <v>32474</v>
      </c>
      <c r="B32475" s="2" t="str">
        <f>IFERROR(__xludf.DUMMYFUNCTION("GOOGLETRANSLATE(A32475, ""de"", ""en"")"),"search report")</f>
        <v>search report</v>
      </c>
    </row>
    <row r="32476">
      <c r="A32476" s="1" t="s">
        <v>32475</v>
      </c>
      <c r="B32476" s="2" t="str">
        <f>IFERROR(__xludf.DUMMYFUNCTION("GOOGLETRANSLATE(A32476, ""de"", ""en"")"),"firs")</f>
        <v>firs</v>
      </c>
    </row>
    <row r="32477">
      <c r="A32477" s="1" t="s">
        <v>32476</v>
      </c>
      <c r="B32477" s="2" t="str">
        <f>IFERROR(__xludf.DUMMYFUNCTION("GOOGLETRANSLATE(A32477, ""de"", ""en"")"),"Pauli")</f>
        <v>Pauli</v>
      </c>
    </row>
    <row r="32478">
      <c r="A32478" s="1" t="s">
        <v>32477</v>
      </c>
      <c r="B32478" s="2" t="str">
        <f>IFERROR(__xludf.DUMMYFUNCTION("GOOGLETRANSLATE(A32478, ""de"", ""en"")"),"yuma")</f>
        <v>yuma</v>
      </c>
    </row>
    <row r="32479">
      <c r="A32479" s="1" t="s">
        <v>32478</v>
      </c>
      <c r="B32479" s="2" t="str">
        <f>IFERROR(__xludf.DUMMYFUNCTION("GOOGLETRANSLATE(A32479, ""de"", ""en"")"),"unbeliever")</f>
        <v>unbeliever</v>
      </c>
    </row>
    <row r="32480">
      <c r="A32480" s="1" t="s">
        <v>32479</v>
      </c>
      <c r="B32480" s="2" t="str">
        <f>IFERROR(__xludf.DUMMYFUNCTION("GOOGLETRANSLATE(A32480, ""de"", ""en"")"),"oppose")</f>
        <v>oppose</v>
      </c>
    </row>
    <row r="32481">
      <c r="A32481" s="1" t="s">
        <v>32480</v>
      </c>
      <c r="B32481" s="2" t="str">
        <f>IFERROR(__xludf.DUMMYFUNCTION("GOOGLETRANSLATE(A32481, ""de"", ""en"")"),"terrorist")</f>
        <v>terrorist</v>
      </c>
    </row>
    <row r="32482">
      <c r="A32482" s="1" t="s">
        <v>32481</v>
      </c>
      <c r="B32482" s="2" t="str">
        <f>IFERROR(__xludf.DUMMYFUNCTION("GOOGLETRANSLATE(A32482, ""de"", ""en"")"),"get going")</f>
        <v>get going</v>
      </c>
    </row>
    <row r="32483">
      <c r="A32483" s="1" t="s">
        <v>32482</v>
      </c>
      <c r="B32483" s="2" t="str">
        <f>IFERROR(__xludf.DUMMYFUNCTION("GOOGLETRANSLATE(A32483, ""de"", ""en"")"),"unethical")</f>
        <v>unethical</v>
      </c>
    </row>
    <row r="32484">
      <c r="A32484" s="1" t="s">
        <v>32483</v>
      </c>
      <c r="B32484" s="2" t="str">
        <f>IFERROR(__xludf.DUMMYFUNCTION("GOOGLETRANSLATE(A32484, ""de"", ""en"")"),"slipped")</f>
        <v>slipped</v>
      </c>
    </row>
    <row r="32485">
      <c r="A32485" s="1" t="s">
        <v>32484</v>
      </c>
      <c r="B32485" s="2" t="str">
        <f>IFERROR(__xludf.DUMMYFUNCTION("GOOGLETRANSLATE(A32485, ""de"", ""en"")"),"inez")</f>
        <v>inez</v>
      </c>
    </row>
    <row r="32486">
      <c r="A32486" s="1" t="s">
        <v>32485</v>
      </c>
      <c r="B32486" s="2" t="str">
        <f>IFERROR(__xludf.DUMMYFUNCTION("GOOGLETRANSLATE(A32486, ""de"", ""en"")"),"despise")</f>
        <v>despise</v>
      </c>
    </row>
    <row r="32487">
      <c r="A32487" s="1" t="s">
        <v>32486</v>
      </c>
      <c r="B32487" s="2" t="str">
        <f>IFERROR(__xludf.DUMMYFUNCTION("GOOGLETRANSLATE(A32487, ""de"", ""en"")"),"stolen")</f>
        <v>stolen</v>
      </c>
    </row>
    <row r="32488">
      <c r="A32488" s="1" t="s">
        <v>32487</v>
      </c>
      <c r="B32488" s="2" t="str">
        <f>IFERROR(__xludf.DUMMYFUNCTION("GOOGLETRANSLATE(A32488, ""de"", ""en"")"),"bizarre")</f>
        <v>bizarre</v>
      </c>
    </row>
    <row r="32489">
      <c r="A32489" s="1" t="s">
        <v>32488</v>
      </c>
      <c r="B32489" s="2" t="str">
        <f>IFERROR(__xludf.DUMMYFUNCTION("GOOGLETRANSLATE(A32489, ""de"", ""en"")"),"morgue")</f>
        <v>morgue</v>
      </c>
    </row>
    <row r="32490">
      <c r="A32490" s="1" t="s">
        <v>32489</v>
      </c>
      <c r="B32490" s="2" t="str">
        <f>IFERROR(__xludf.DUMMYFUNCTION("GOOGLETRANSLATE(A32490, ""de"", ""en"")"),"target")</f>
        <v>target</v>
      </c>
    </row>
    <row r="32491">
      <c r="A32491" s="1" t="s">
        <v>32490</v>
      </c>
      <c r="B32491" s="2" t="str">
        <f>IFERROR(__xludf.DUMMYFUNCTION("GOOGLETRANSLATE(A32491, ""de"", ""en"")"),"aram")</f>
        <v>aram</v>
      </c>
    </row>
    <row r="32492">
      <c r="A32492" s="1" t="s">
        <v>32491</v>
      </c>
      <c r="B32492" s="2" t="str">
        <f>IFERROR(__xludf.DUMMYFUNCTION("GOOGLETRANSLATE(A32492, ""de"", ""en"")"),"displays")</f>
        <v>displays</v>
      </c>
    </row>
    <row r="32493">
      <c r="A32493" s="1" t="s">
        <v>32492</v>
      </c>
      <c r="B32493" s="2" t="str">
        <f>IFERROR(__xludf.DUMMYFUNCTION("GOOGLETRANSLATE(A32493, ""de"", ""en"")"),"pancreas")</f>
        <v>pancreas</v>
      </c>
    </row>
    <row r="32494">
      <c r="A32494" s="1" t="s">
        <v>32493</v>
      </c>
      <c r="B32494" s="2" t="str">
        <f>IFERROR(__xludf.DUMMYFUNCTION("GOOGLETRANSLATE(A32494, ""de"", ""en"")"),"tae-soo")</f>
        <v>tae-soo</v>
      </c>
    </row>
    <row r="32495">
      <c r="A32495" s="1" t="s">
        <v>32494</v>
      </c>
      <c r="B32495" s="2" t="str">
        <f>IFERROR(__xludf.DUMMYFUNCTION("GOOGLETRANSLATE(A32495, ""de"", ""en"")"),"computer system")</f>
        <v>computer system</v>
      </c>
    </row>
    <row r="32496">
      <c r="A32496" s="1" t="s">
        <v>32495</v>
      </c>
      <c r="B32496" s="2" t="str">
        <f>IFERROR(__xludf.DUMMYFUNCTION("GOOGLETRANSLATE(A32496, ""de"", ""en"")"),"Eichmann")</f>
        <v>Eichmann</v>
      </c>
    </row>
    <row r="32497">
      <c r="A32497" s="1" t="s">
        <v>32496</v>
      </c>
      <c r="B32497" s="2" t="str">
        <f>IFERROR(__xludf.DUMMYFUNCTION("GOOGLETRANSLATE(A32497, ""de"", ""en"")"),"toilet flush")</f>
        <v>toilet flush</v>
      </c>
    </row>
    <row r="32498">
      <c r="A32498" s="1" t="s">
        <v>32497</v>
      </c>
      <c r="B32498" s="2" t="str">
        <f>IFERROR(__xludf.DUMMYFUNCTION("GOOGLETRANSLATE(A32498, ""de"", ""en"")"),"prop")</f>
        <v>prop</v>
      </c>
    </row>
    <row r="32499">
      <c r="A32499" s="1" t="s">
        <v>32498</v>
      </c>
      <c r="B32499" s="2" t="str">
        <f>IFERROR(__xludf.DUMMYFUNCTION("GOOGLETRANSLATE(A32499, ""de"", ""en"")"),"errol")</f>
        <v>errol</v>
      </c>
    </row>
    <row r="32500">
      <c r="A32500" s="1" t="s">
        <v>32499</v>
      </c>
      <c r="B32500" s="2" t="str">
        <f>IFERROR(__xludf.DUMMYFUNCTION("GOOGLETRANSLATE(A32500, ""de"", ""en"")"),"noriko")</f>
        <v>noriko</v>
      </c>
    </row>
    <row r="32501">
      <c r="A32501" s="1" t="s">
        <v>32500</v>
      </c>
      <c r="B32501" s="2" t="str">
        <f>IFERROR(__xludf.DUMMYFUNCTION("GOOGLETRANSLATE(A32501, ""de"", ""en"")"),"weed")</f>
        <v>weed</v>
      </c>
    </row>
    <row r="32502">
      <c r="A32502" s="1" t="s">
        <v>32501</v>
      </c>
      <c r="B32502" s="2" t="str">
        <f>IFERROR(__xludf.DUMMYFUNCTION("GOOGLETRANSLATE(A32502, ""de"", ""en"")"),"hairy")</f>
        <v>hairy</v>
      </c>
    </row>
    <row r="32503">
      <c r="A32503" s="1" t="s">
        <v>32502</v>
      </c>
      <c r="B32503" s="2" t="str">
        <f>IFERROR(__xludf.DUMMYFUNCTION("GOOGLETRANSLATE(A32503, ""de"", ""en"")"),"family owned")</f>
        <v>family owned</v>
      </c>
    </row>
    <row r="32504">
      <c r="A32504" s="1" t="s">
        <v>32503</v>
      </c>
      <c r="B32504" s="2" t="str">
        <f>IFERROR(__xludf.DUMMYFUNCTION("GOOGLETRANSLATE(A32504, ""de"", ""en"")"),"let in")</f>
        <v>let in</v>
      </c>
    </row>
    <row r="32505">
      <c r="A32505" s="1" t="s">
        <v>32504</v>
      </c>
      <c r="B32505" s="2" t="str">
        <f>IFERROR(__xludf.DUMMYFUNCTION("GOOGLETRANSLATE(A32505, ""de"", ""en"")"),"smells")</f>
        <v>smells</v>
      </c>
    </row>
    <row r="32506">
      <c r="A32506" s="1" t="s">
        <v>32505</v>
      </c>
      <c r="B32506" s="2" t="str">
        <f>IFERROR(__xludf.DUMMYFUNCTION("GOOGLETRANSLATE(A32506, ""de"", ""en"")"),"collaborate")</f>
        <v>collaborate</v>
      </c>
    </row>
    <row r="32507">
      <c r="A32507" s="1" t="s">
        <v>32506</v>
      </c>
      <c r="B32507" s="2" t="str">
        <f>IFERROR(__xludf.DUMMYFUNCTION("GOOGLETRANSLATE(A32507, ""de"", ""en"")"),"Latin America")</f>
        <v>Latin America</v>
      </c>
    </row>
    <row r="32508">
      <c r="A32508" s="1" t="s">
        <v>32507</v>
      </c>
      <c r="B32508" s="2" t="str">
        <f>IFERROR(__xludf.DUMMYFUNCTION("GOOGLETRANSLATE(A32508, ""de"", ""en"")"),"Labrador")</f>
        <v>Labrador</v>
      </c>
    </row>
    <row r="32509">
      <c r="A32509" s="1" t="s">
        <v>32508</v>
      </c>
      <c r="B32509" s="2" t="str">
        <f>IFERROR(__xludf.DUMMYFUNCTION("GOOGLETRANSLATE(A32509, ""de"", ""en"")"),"hatch")</f>
        <v>hatch</v>
      </c>
    </row>
    <row r="32510">
      <c r="A32510" s="1" t="s">
        <v>32509</v>
      </c>
      <c r="B32510" s="2" t="str">
        <f>IFERROR(__xludf.DUMMYFUNCTION("GOOGLETRANSLATE(A32510, ""de"", ""en"")"),"paint")</f>
        <v>paint</v>
      </c>
    </row>
    <row r="32511">
      <c r="A32511" s="1" t="s">
        <v>32510</v>
      </c>
      <c r="B32511" s="2" t="str">
        <f>IFERROR(__xludf.DUMMYFUNCTION("GOOGLETRANSLATE(A32511, ""de"", ""en"")"),"novels")</f>
        <v>novels</v>
      </c>
    </row>
    <row r="32512">
      <c r="A32512" s="1" t="s">
        <v>32511</v>
      </c>
      <c r="B32512" s="2" t="str">
        <f>IFERROR(__xludf.DUMMYFUNCTION("GOOGLETRANSLATE(A32512, ""de"", ""en"")"),"tenant")</f>
        <v>tenant</v>
      </c>
    </row>
    <row r="32513">
      <c r="A32513" s="1" t="s">
        <v>32512</v>
      </c>
      <c r="B32513" s="2" t="str">
        <f>IFERROR(__xludf.DUMMYFUNCTION("GOOGLETRANSLATE(A32513, ""de"", ""en"")"),"lifelong")</f>
        <v>lifelong</v>
      </c>
    </row>
    <row r="32514">
      <c r="A32514" s="1" t="s">
        <v>32513</v>
      </c>
      <c r="B32514" s="2" t="str">
        <f>IFERROR(__xludf.DUMMYFUNCTION("GOOGLETRANSLATE(A32514, ""de"", ""en"")"),"Glynn")</f>
        <v>Glynn</v>
      </c>
    </row>
    <row r="32515">
      <c r="A32515" s="1" t="s">
        <v>32514</v>
      </c>
      <c r="B32515" s="2" t="str">
        <f>IFERROR(__xludf.DUMMYFUNCTION("GOOGLETRANSLATE(A32515, ""de"", ""en"")"),"pokerface")</f>
        <v>pokerface</v>
      </c>
    </row>
    <row r="32516">
      <c r="A32516" s="1" t="s">
        <v>32515</v>
      </c>
      <c r="B32516" s="2" t="str">
        <f>IFERROR(__xludf.DUMMYFUNCTION("GOOGLETRANSLATE(A32516, ""de"", ""en"")"),"associates")</f>
        <v>associates</v>
      </c>
    </row>
    <row r="32517">
      <c r="A32517" s="1" t="s">
        <v>32516</v>
      </c>
      <c r="B32517" s="2" t="str">
        <f>IFERROR(__xludf.DUMMYFUNCTION("GOOGLETRANSLATE(A32517, ""de"", ""en"")"),"fogged up")</f>
        <v>fogged up</v>
      </c>
    </row>
    <row r="32518">
      <c r="A32518" s="1" t="s">
        <v>32517</v>
      </c>
      <c r="B32518" s="2" t="str">
        <f>IFERROR(__xludf.DUMMYFUNCTION("GOOGLETRANSLATE(A32518, ""de"", ""en"")"),"firearms")</f>
        <v>firearms</v>
      </c>
    </row>
    <row r="32519">
      <c r="A32519" s="1" t="s">
        <v>32518</v>
      </c>
      <c r="B32519" s="2" t="str">
        <f>IFERROR(__xludf.DUMMYFUNCTION("GOOGLETRANSLATE(A32519, ""de"", ""en"")"),"forced labor")</f>
        <v>forced labor</v>
      </c>
    </row>
    <row r="32520">
      <c r="A32520" s="1" t="s">
        <v>32519</v>
      </c>
      <c r="B32520" s="2" t="str">
        <f>IFERROR(__xludf.DUMMYFUNCTION("GOOGLETRANSLATE(A32520, ""de"", ""en"")"),"cash registers")</f>
        <v>cash registers</v>
      </c>
    </row>
    <row r="32521">
      <c r="A32521" s="1" t="s">
        <v>32520</v>
      </c>
      <c r="B32521" s="2" t="str">
        <f>IFERROR(__xludf.DUMMYFUNCTION("GOOGLETRANSLATE(A32521, ""de"", ""en"")"),"download")</f>
        <v>download</v>
      </c>
    </row>
    <row r="32522">
      <c r="A32522" s="1" t="s">
        <v>32521</v>
      </c>
      <c r="B32522" s="2" t="str">
        <f>IFERROR(__xludf.DUMMYFUNCTION("GOOGLETRANSLATE(A32522, ""de"", ""en"")"),"pagan")</f>
        <v>pagan</v>
      </c>
    </row>
    <row r="32523">
      <c r="A32523" s="1" t="s">
        <v>32522</v>
      </c>
      <c r="B32523" s="2" t="str">
        <f>IFERROR(__xludf.DUMMYFUNCTION("GOOGLETRANSLATE(A32523, ""de"", ""en"")"),"telephone")</f>
        <v>telephone</v>
      </c>
    </row>
    <row r="32524">
      <c r="A32524" s="1" t="s">
        <v>32523</v>
      </c>
      <c r="B32524" s="2" t="str">
        <f>IFERROR(__xludf.DUMMYFUNCTION("GOOGLETRANSLATE(A32524, ""de"", ""en"")"),"price")</f>
        <v>price</v>
      </c>
    </row>
    <row r="32525">
      <c r="A32525" s="1" t="s">
        <v>32524</v>
      </c>
      <c r="B32525" s="2" t="str">
        <f>IFERROR(__xludf.DUMMYFUNCTION("GOOGLETRANSLATE(A32525, ""de"", ""en"")"),"one-off")</f>
        <v>one-off</v>
      </c>
    </row>
    <row r="32526">
      <c r="A32526" s="1" t="s">
        <v>32525</v>
      </c>
      <c r="B32526" s="2" t="str">
        <f>IFERROR(__xludf.DUMMYFUNCTION("GOOGLETRANSLATE(A32526, ""de"", ""en"")"),"maze")</f>
        <v>maze</v>
      </c>
    </row>
    <row r="32527">
      <c r="A32527" s="1" t="s">
        <v>32526</v>
      </c>
      <c r="B32527" s="2" t="str">
        <f>IFERROR(__xludf.DUMMYFUNCTION("GOOGLETRANSLATE(A32527, ""de"", ""en"")"),"Burgundy")</f>
        <v>Burgundy</v>
      </c>
    </row>
    <row r="32528">
      <c r="A32528" s="1" t="s">
        <v>32527</v>
      </c>
      <c r="B32528" s="2" t="str">
        <f>IFERROR(__xludf.DUMMYFUNCTION("GOOGLETRANSLATE(A32528, ""de"", ""en"")"),"disgusting")</f>
        <v>disgusting</v>
      </c>
    </row>
    <row r="32529">
      <c r="A32529" s="1" t="s">
        <v>32528</v>
      </c>
      <c r="B32529" s="2" t="str">
        <f>IFERROR(__xludf.DUMMYFUNCTION("GOOGLETRANSLATE(A32529, ""de"", ""en"")"),"went wrong")</f>
        <v>went wrong</v>
      </c>
    </row>
    <row r="32530">
      <c r="A32530" s="1" t="s">
        <v>32529</v>
      </c>
      <c r="B32530" s="2" t="str">
        <f>IFERROR(__xludf.DUMMYFUNCTION("GOOGLETRANSLATE(A32530, ""de"", ""en"")"),"midtown")</f>
        <v>midtown</v>
      </c>
    </row>
    <row r="32531">
      <c r="A32531" s="1" t="s">
        <v>32530</v>
      </c>
      <c r="B32531" s="2" t="str">
        <f>IFERROR(__xludf.DUMMYFUNCTION("GOOGLETRANSLATE(A32531, ""de"", ""en"")"),"Stunk")</f>
        <v>Stunk</v>
      </c>
    </row>
    <row r="32532">
      <c r="A32532" s="1" t="s">
        <v>32531</v>
      </c>
      <c r="B32532" s="2" t="str">
        <f>IFERROR(__xludf.DUMMYFUNCTION("GOOGLETRANSLATE(A32532, ""de"", ""en"")"),"separations")</f>
        <v>separations</v>
      </c>
    </row>
    <row r="32533">
      <c r="A32533" s="1" t="s">
        <v>32532</v>
      </c>
      <c r="B32533" s="2" t="str">
        <f>IFERROR(__xludf.DUMMYFUNCTION("GOOGLETRANSLATE(A32533, ""de"", ""en"")"),"alignment")</f>
        <v>alignment</v>
      </c>
    </row>
    <row r="32534">
      <c r="A32534" s="1" t="s">
        <v>32533</v>
      </c>
      <c r="B32534" s="2" t="str">
        <f>IFERROR(__xludf.DUMMYFUNCTION("GOOGLETRANSLATE(A32534, ""de"", ""en"")"),"bijou")</f>
        <v>bijou</v>
      </c>
    </row>
    <row r="32535">
      <c r="A32535" s="1" t="s">
        <v>32534</v>
      </c>
      <c r="B32535" s="2" t="str">
        <f>IFERROR(__xludf.DUMMYFUNCTION("GOOGLETRANSLATE(A32535, ""de"", ""en"")"),"nn1")</f>
        <v>nn1</v>
      </c>
    </row>
    <row r="32536">
      <c r="A32536" s="1" t="s">
        <v>32535</v>
      </c>
      <c r="B32536" s="2" t="str">
        <f>IFERROR(__xludf.DUMMYFUNCTION("GOOGLETRANSLATE(A32536, ""de"", ""en"")"),"antennas")</f>
        <v>antennas</v>
      </c>
    </row>
    <row r="32537">
      <c r="A32537" s="1" t="s">
        <v>32536</v>
      </c>
      <c r="B32537" s="2" t="str">
        <f>IFERROR(__xludf.DUMMYFUNCTION("GOOGLETRANSLATE(A32537, ""de"", ""en"")"),"clarify")</f>
        <v>clarify</v>
      </c>
    </row>
    <row r="32538">
      <c r="A32538" s="1" t="s">
        <v>32537</v>
      </c>
      <c r="B32538" s="2" t="str">
        <f>IFERROR(__xludf.DUMMYFUNCTION("GOOGLETRANSLATE(A32538, ""de"", ""en"")"),"unis")</f>
        <v>unis</v>
      </c>
    </row>
    <row r="32539">
      <c r="A32539" s="1" t="s">
        <v>32538</v>
      </c>
      <c r="B32539" s="2" t="str">
        <f>IFERROR(__xludf.DUMMYFUNCTION("GOOGLETRANSLATE(A32539, ""de"", ""en"")"),"cuddle")</f>
        <v>cuddle</v>
      </c>
    </row>
    <row r="32540">
      <c r="A32540" s="1" t="s">
        <v>32539</v>
      </c>
      <c r="B32540" s="2" t="str">
        <f>IFERROR(__xludf.DUMMYFUNCTION("GOOGLETRANSLATE(A32540, ""de"", ""en"")"),"stefans")</f>
        <v>stefans</v>
      </c>
    </row>
    <row r="32541">
      <c r="A32541" s="1" t="s">
        <v>32540</v>
      </c>
      <c r="B32541" s="2" t="str">
        <f>IFERROR(__xludf.DUMMYFUNCTION("GOOGLETRANSLATE(A32541, ""de"", ""en"")"),"censored")</f>
        <v>censored</v>
      </c>
    </row>
    <row r="32542">
      <c r="A32542" s="1" t="s">
        <v>32541</v>
      </c>
      <c r="B32542" s="2" t="str">
        <f>IFERROR(__xludf.DUMMYFUNCTION("GOOGLETRANSLATE(A32542, ""de"", ""en"")"),"editing")</f>
        <v>editing</v>
      </c>
    </row>
    <row r="32543">
      <c r="A32543" s="1" t="s">
        <v>32542</v>
      </c>
      <c r="B32543" s="2" t="str">
        <f>IFERROR(__xludf.DUMMYFUNCTION("GOOGLETRANSLATE(A32543, ""de"", ""en"")"),"kaya")</f>
        <v>kaya</v>
      </c>
    </row>
    <row r="32544">
      <c r="A32544" s="1" t="s">
        <v>32543</v>
      </c>
      <c r="B32544" s="2" t="str">
        <f>IFERROR(__xludf.DUMMYFUNCTION("GOOGLETRANSLATE(A32544, ""de"", ""en"")"),"pores")</f>
        <v>pores</v>
      </c>
    </row>
    <row r="32545">
      <c r="A32545" s="1" t="s">
        <v>32544</v>
      </c>
      <c r="B32545" s="2" t="str">
        <f>IFERROR(__xludf.DUMMYFUNCTION("GOOGLETRANSLATE(A32545, ""de"", ""en"")"),"bruise")</f>
        <v>bruise</v>
      </c>
    </row>
    <row r="32546">
      <c r="A32546" s="1" t="s">
        <v>32545</v>
      </c>
      <c r="B32546" s="2" t="str">
        <f>IFERROR(__xludf.DUMMYFUNCTION("GOOGLETRANSLATE(A32546, ""de"", ""en"")"),"memos")</f>
        <v>memos</v>
      </c>
    </row>
    <row r="32547">
      <c r="A32547" s="1" t="s">
        <v>32546</v>
      </c>
      <c r="B32547" s="2" t="str">
        <f>IFERROR(__xludf.DUMMYFUNCTION("GOOGLETRANSLATE(A32547, ""de"", ""en"")"),"get around")</f>
        <v>get around</v>
      </c>
    </row>
    <row r="32548">
      <c r="A32548" s="1" t="s">
        <v>32547</v>
      </c>
      <c r="B32548" s="2" t="str">
        <f>IFERROR(__xludf.DUMMYFUNCTION("GOOGLETRANSLATE(A32548, ""de"", ""en"")"),"stroud")</f>
        <v>stroud</v>
      </c>
    </row>
    <row r="32549">
      <c r="A32549" s="1" t="s">
        <v>32548</v>
      </c>
      <c r="B32549" s="2" t="str">
        <f>IFERROR(__xludf.DUMMYFUNCTION("GOOGLETRANSLATE(A32549, ""de"", ""en"")"),"placenta")</f>
        <v>placenta</v>
      </c>
    </row>
    <row r="32550">
      <c r="A32550" s="1" t="s">
        <v>32549</v>
      </c>
      <c r="B32550" s="2" t="str">
        <f>IFERROR(__xludf.DUMMYFUNCTION("GOOGLETRANSLATE(A32550, ""de"", ""en"")"),"learned")</f>
        <v>learned</v>
      </c>
    </row>
    <row r="32551">
      <c r="A32551" s="1" t="s">
        <v>32550</v>
      </c>
      <c r="B32551" s="2" t="str">
        <f>IFERROR(__xludf.DUMMYFUNCTION("GOOGLETRANSLATE(A32551, ""de"", ""en"")"),"whereupon")</f>
        <v>whereupon</v>
      </c>
    </row>
    <row r="32552">
      <c r="A32552" s="1" t="s">
        <v>32551</v>
      </c>
      <c r="B32552" s="2" t="str">
        <f>IFERROR(__xludf.DUMMYFUNCTION("GOOGLETRANSLATE(A32552, ""de"", ""en"")"),"used")</f>
        <v>used</v>
      </c>
    </row>
    <row r="32553">
      <c r="A32553" s="1" t="s">
        <v>32552</v>
      </c>
      <c r="B32553" s="2" t="str">
        <f>IFERROR(__xludf.DUMMYFUNCTION("GOOGLETRANSLATE(A32553, ""de"", ""en"")"),"calves")</f>
        <v>calves</v>
      </c>
    </row>
    <row r="32554">
      <c r="A32554" s="1" t="s">
        <v>32553</v>
      </c>
      <c r="B32554" s="2" t="str">
        <f>IFERROR(__xludf.DUMMYFUNCTION("GOOGLETRANSLATE(A32554, ""de"", ""en"")"),"create")</f>
        <v>create</v>
      </c>
    </row>
    <row r="32555">
      <c r="A32555" s="1" t="s">
        <v>32554</v>
      </c>
      <c r="B32555" s="2" t="str">
        <f>IFERROR(__xludf.DUMMYFUNCTION("GOOGLETRANSLATE(A32555, ""de"", ""en"")"),"truth")</f>
        <v>truth</v>
      </c>
    </row>
    <row r="32556">
      <c r="A32556" s="1" t="s">
        <v>32555</v>
      </c>
      <c r="B32556" s="2" t="str">
        <f>IFERROR(__xludf.DUMMYFUNCTION("GOOGLETRANSLATE(A32556, ""de"", ""en"")"),"yamamoto")</f>
        <v>yamamoto</v>
      </c>
    </row>
    <row r="32557">
      <c r="A32557" s="1" t="s">
        <v>32556</v>
      </c>
      <c r="B32557" s="2" t="str">
        <f>IFERROR(__xludf.DUMMYFUNCTION("GOOGLETRANSLATE(A32557, ""de"", ""en"")"),"liquid")</f>
        <v>liquid</v>
      </c>
    </row>
    <row r="32558">
      <c r="A32558" s="1" t="s">
        <v>32557</v>
      </c>
      <c r="B32558" s="2" t="str">
        <f>IFERROR(__xludf.DUMMYFUNCTION("GOOGLETRANSLATE(A32558, ""de"", ""en"")"),"paternity test")</f>
        <v>paternity test</v>
      </c>
    </row>
    <row r="32559">
      <c r="A32559" s="1" t="s">
        <v>32558</v>
      </c>
      <c r="B32559" s="2" t="str">
        <f>IFERROR(__xludf.DUMMYFUNCTION("GOOGLETRANSLATE(A32559, ""de"", ""en"")"),"tourist")</f>
        <v>tourist</v>
      </c>
    </row>
    <row r="32560">
      <c r="A32560" s="1" t="s">
        <v>32559</v>
      </c>
      <c r="B32560" s="2" t="str">
        <f>IFERROR(__xludf.DUMMYFUNCTION("GOOGLETRANSLATE(A32560, ""de"", ""en"")"),"lynch")</f>
        <v>lynch</v>
      </c>
    </row>
    <row r="32561">
      <c r="A32561" s="1" t="s">
        <v>32560</v>
      </c>
      <c r="B32561" s="2" t="str">
        <f>IFERROR(__xludf.DUMMYFUNCTION("GOOGLETRANSLATE(A32561, ""de"", ""en"")"),"went through")</f>
        <v>went through</v>
      </c>
    </row>
    <row r="32562">
      <c r="A32562" s="1" t="s">
        <v>32561</v>
      </c>
      <c r="B32562" s="2" t="str">
        <f>IFERROR(__xludf.DUMMYFUNCTION("GOOGLETRANSLATE(A32562, ""de"", ""en"")"),"remaining")</f>
        <v>remaining</v>
      </c>
    </row>
    <row r="32563">
      <c r="A32563" s="1" t="s">
        <v>32562</v>
      </c>
      <c r="B32563" s="2" t="str">
        <f>IFERROR(__xludf.DUMMYFUNCTION("GOOGLETRANSLATE(A32563, ""de"", ""en"")"),"birthday cake")</f>
        <v>birthday cake</v>
      </c>
    </row>
    <row r="32564">
      <c r="A32564" s="1" t="s">
        <v>32563</v>
      </c>
      <c r="B32564" s="2" t="str">
        <f>IFERROR(__xludf.DUMMYFUNCTION("GOOGLETRANSLATE(A32564, ""de"", ""en"")"),"cobwebs")</f>
        <v>cobwebs</v>
      </c>
    </row>
    <row r="32565">
      <c r="A32565" s="1" t="s">
        <v>32564</v>
      </c>
      <c r="B32565" s="2" t="str">
        <f>IFERROR(__xludf.DUMMYFUNCTION("GOOGLETRANSLATE(A32565, ""de"", ""en"")"),"vampire blood")</f>
        <v>vampire blood</v>
      </c>
    </row>
    <row r="32566">
      <c r="A32566" s="1" t="s">
        <v>32565</v>
      </c>
      <c r="B32566" s="2" t="str">
        <f>IFERROR(__xludf.DUMMYFUNCTION("GOOGLETRANSLATE(A32566, ""de"", ""en"")"),"lennie")</f>
        <v>lennie</v>
      </c>
    </row>
    <row r="32567">
      <c r="A32567" s="1" t="s">
        <v>32566</v>
      </c>
      <c r="B32567" s="2" t="str">
        <f>IFERROR(__xludf.DUMMYFUNCTION("GOOGLETRANSLATE(A32567, ""de"", ""en"")"),"nicotine")</f>
        <v>nicotine</v>
      </c>
    </row>
    <row r="32568">
      <c r="A32568" s="1" t="s">
        <v>32567</v>
      </c>
      <c r="B32568" s="2" t="str">
        <f>IFERROR(__xludf.DUMMYFUNCTION("GOOGLETRANSLATE(A32568, ""de"", ""en"")"),"fantasies")</f>
        <v>fantasies</v>
      </c>
    </row>
    <row r="32569">
      <c r="A32569" s="1" t="s">
        <v>32568</v>
      </c>
      <c r="B32569" s="2" t="str">
        <f>IFERROR(__xludf.DUMMYFUNCTION("GOOGLETRANSLATE(A32569, ""de"", ""en"")"),"Helsinki")</f>
        <v>Helsinki</v>
      </c>
    </row>
    <row r="32570">
      <c r="A32570" s="1" t="s">
        <v>32569</v>
      </c>
      <c r="B32570" s="2" t="str">
        <f>IFERROR(__xludf.DUMMYFUNCTION("GOOGLETRANSLATE(A32570, ""de"", ""en"")"),"get to it")</f>
        <v>get to it</v>
      </c>
    </row>
    <row r="32571">
      <c r="A32571" s="1" t="s">
        <v>32570</v>
      </c>
      <c r="B32571" s="2" t="str">
        <f>IFERROR(__xludf.DUMMYFUNCTION("GOOGLETRANSLATE(A32571, ""de"", ""en"")"),"Syracuse")</f>
        <v>Syracuse</v>
      </c>
    </row>
    <row r="32572">
      <c r="A32572" s="1" t="s">
        <v>32571</v>
      </c>
      <c r="B32572" s="2" t="str">
        <f>IFERROR(__xludf.DUMMYFUNCTION("GOOGLETRANSLATE(A32572, ""de"", ""en"")"),"resting place")</f>
        <v>resting place</v>
      </c>
    </row>
    <row r="32573">
      <c r="A32573" s="1" t="s">
        <v>32572</v>
      </c>
      <c r="B32573" s="2" t="str">
        <f>IFERROR(__xludf.DUMMYFUNCTION("GOOGLETRANSLATE(A32573, ""de"", ""en"")"),"Chadwick")</f>
        <v>Chadwick</v>
      </c>
    </row>
    <row r="32574">
      <c r="A32574" s="1" t="s">
        <v>32573</v>
      </c>
      <c r="B32574" s="2" t="str">
        <f>IFERROR(__xludf.DUMMYFUNCTION("GOOGLETRANSLATE(A32574, ""de"", ""en"")"),"mixed up")</f>
        <v>mixed up</v>
      </c>
    </row>
    <row r="32575">
      <c r="A32575" s="1" t="s">
        <v>32574</v>
      </c>
      <c r="B32575" s="2" t="str">
        <f>IFERROR(__xludf.DUMMYFUNCTION("GOOGLETRANSLATE(A32575, ""de"", ""en"")"),"snatched away")</f>
        <v>snatched away</v>
      </c>
    </row>
    <row r="32576">
      <c r="A32576" s="1" t="s">
        <v>32575</v>
      </c>
      <c r="B32576" s="2" t="str">
        <f>IFERROR(__xludf.DUMMYFUNCTION("GOOGLETRANSLATE(A32576, ""de"", ""en"")"),"withdrawn")</f>
        <v>withdrawn</v>
      </c>
    </row>
    <row r="32577">
      <c r="A32577" s="1" t="s">
        <v>32576</v>
      </c>
      <c r="B32577" s="2" t="str">
        <f>IFERROR(__xludf.DUMMYFUNCTION("GOOGLETRANSLATE(A32577, ""de"", ""en"")"),"flee")</f>
        <v>flee</v>
      </c>
    </row>
    <row r="32578">
      <c r="A32578" s="1" t="s">
        <v>32577</v>
      </c>
      <c r="B32578" s="2" t="str">
        <f>IFERROR(__xludf.DUMMYFUNCTION("GOOGLETRANSLATE(A32578, ""de"", ""en"")"),"elli")</f>
        <v>elli</v>
      </c>
    </row>
    <row r="32579">
      <c r="A32579" s="1" t="s">
        <v>32578</v>
      </c>
      <c r="B32579" s="2" t="str">
        <f>IFERROR(__xludf.DUMMYFUNCTION("GOOGLETRANSLATE(A32579, ""de"", ""en"")"),"driven out")</f>
        <v>driven out</v>
      </c>
    </row>
    <row r="32580">
      <c r="A32580" s="1" t="s">
        <v>32579</v>
      </c>
      <c r="B32580" s="2" t="str">
        <f>IFERROR(__xludf.DUMMYFUNCTION("GOOGLETRANSLATE(A32580, ""de"", ""en"")"),"individuality")</f>
        <v>individuality</v>
      </c>
    </row>
    <row r="32581">
      <c r="A32581" s="1" t="s">
        <v>32580</v>
      </c>
      <c r="B32581" s="2" t="str">
        <f>IFERROR(__xludf.DUMMYFUNCTION("GOOGLETRANSLATE(A32581, ""de"", ""en"")"),"see you again")</f>
        <v>see you again</v>
      </c>
    </row>
    <row r="32582">
      <c r="A32582" s="1" t="s">
        <v>32581</v>
      </c>
      <c r="B32582" s="2" t="str">
        <f>IFERROR(__xludf.DUMMYFUNCTION("GOOGLETRANSLATE(A32582, ""de"", ""en"")"),"heal")</f>
        <v>heal</v>
      </c>
    </row>
    <row r="32583">
      <c r="A32583" s="1" t="s">
        <v>32582</v>
      </c>
      <c r="B32583" s="2" t="str">
        <f>IFERROR(__xludf.DUMMYFUNCTION("GOOGLETRANSLATE(A32583, ""de"", ""en"")"),"navigation system")</f>
        <v>navigation system</v>
      </c>
    </row>
    <row r="32584">
      <c r="A32584" s="1" t="s">
        <v>32583</v>
      </c>
      <c r="B32584" s="2" t="str">
        <f>IFERROR(__xludf.DUMMYFUNCTION("GOOGLETRANSLATE(A32584, ""de"", ""en"")"),"bones")</f>
        <v>bones</v>
      </c>
    </row>
    <row r="32585">
      <c r="A32585" s="1" t="s">
        <v>32584</v>
      </c>
      <c r="B32585" s="2" t="str">
        <f>IFERROR(__xludf.DUMMYFUNCTION("GOOGLETRANSLATE(A32585, ""de"", ""en"")"),"eyewitness")</f>
        <v>eyewitness</v>
      </c>
    </row>
    <row r="32586">
      <c r="A32586" s="1" t="s">
        <v>32585</v>
      </c>
      <c r="B32586" s="2" t="str">
        <f>IFERROR(__xludf.DUMMYFUNCTION("GOOGLETRANSLATE(A32586, ""de"", ""en"")"),"diosa")</f>
        <v>diosa</v>
      </c>
    </row>
    <row r="32587">
      <c r="A32587" s="1" t="s">
        <v>32586</v>
      </c>
      <c r="B32587" s="2" t="str">
        <f>IFERROR(__xludf.DUMMYFUNCTION("GOOGLETRANSLATE(A32587, ""de"", ""en"")"),"erase")</f>
        <v>erase</v>
      </c>
    </row>
    <row r="32588">
      <c r="A32588" s="1" t="s">
        <v>32587</v>
      </c>
      <c r="B32588" s="2" t="str">
        <f>IFERROR(__xludf.DUMMYFUNCTION("GOOGLETRANSLATE(A32588, ""de"", ""en"")"),"more malicious")</f>
        <v>more malicious</v>
      </c>
    </row>
    <row r="32589">
      <c r="A32589" s="1" t="s">
        <v>32588</v>
      </c>
      <c r="B32589" s="2" t="str">
        <f>IFERROR(__xludf.DUMMYFUNCTION("GOOGLETRANSLATE(A32589, ""de"", ""en"")"),"hairy")</f>
        <v>hairy</v>
      </c>
    </row>
    <row r="32590">
      <c r="A32590" s="1" t="s">
        <v>32589</v>
      </c>
      <c r="B32590" s="2" t="str">
        <f>IFERROR(__xludf.DUMMYFUNCTION("GOOGLETRANSLATE(A32590, ""de"", ""en"")"),"student dormitory")</f>
        <v>student dormitory</v>
      </c>
    </row>
    <row r="32591">
      <c r="A32591" s="1" t="s">
        <v>32590</v>
      </c>
      <c r="B32591" s="2" t="str">
        <f>IFERROR(__xludf.DUMMYFUNCTION("GOOGLETRANSLATE(A32591, ""de"", ""en"")"),"fredericks")</f>
        <v>fredericks</v>
      </c>
    </row>
    <row r="32592">
      <c r="A32592" s="1" t="s">
        <v>32591</v>
      </c>
      <c r="B32592" s="2" t="str">
        <f>IFERROR(__xludf.DUMMYFUNCTION("GOOGLETRANSLATE(A32592, ""de"", ""en"")"),"cycles")</f>
        <v>cycles</v>
      </c>
    </row>
    <row r="32593">
      <c r="A32593" s="1" t="s">
        <v>32592</v>
      </c>
      <c r="B32593" s="2" t="str">
        <f>IFERROR(__xludf.DUMMYFUNCTION("GOOGLETRANSLATE(A32593, ""de"", ""en"")"),"hodja")</f>
        <v>hodja</v>
      </c>
    </row>
    <row r="32594">
      <c r="A32594" s="1" t="s">
        <v>32593</v>
      </c>
      <c r="B32594" s="2" t="str">
        <f>IFERROR(__xludf.DUMMYFUNCTION("GOOGLETRANSLATE(A32594, ""de"", ""en"")"),"to put together")</f>
        <v>to put together</v>
      </c>
    </row>
    <row r="32595">
      <c r="A32595" s="1" t="s">
        <v>32594</v>
      </c>
      <c r="B32595" s="2" t="str">
        <f>IFERROR(__xludf.DUMMYFUNCTION("GOOGLETRANSLATE(A32595, ""de"", ""en"")"),"fatal")</f>
        <v>fatal</v>
      </c>
    </row>
    <row r="32596">
      <c r="A32596" s="1" t="s">
        <v>32595</v>
      </c>
      <c r="B32596" s="2" t="str">
        <f>IFERROR(__xludf.DUMMYFUNCTION("GOOGLETRANSLATE(A32596, ""de"", ""en"")"),"art dealer")</f>
        <v>art dealer</v>
      </c>
    </row>
    <row r="32597">
      <c r="A32597" s="1" t="s">
        <v>32596</v>
      </c>
      <c r="B32597" s="2" t="str">
        <f>IFERROR(__xludf.DUMMYFUNCTION("GOOGLETRANSLATE(A32597, ""de"", ""en"")"),"weak-minded ones")</f>
        <v>weak-minded ones</v>
      </c>
    </row>
    <row r="32598">
      <c r="A32598" s="1" t="s">
        <v>32597</v>
      </c>
      <c r="B32598" s="2" t="str">
        <f>IFERROR(__xludf.DUMMYFUNCTION("GOOGLETRANSLATE(A32598, ""de"", ""en"")"),"sedans")</f>
        <v>sedans</v>
      </c>
    </row>
    <row r="32599">
      <c r="A32599" s="1" t="s">
        <v>32598</v>
      </c>
      <c r="B32599" s="2" t="str">
        <f>IFERROR(__xludf.DUMMYFUNCTION("GOOGLETRANSLATE(A32599, ""de"", ""en"")"),"Vasa")</f>
        <v>Vasa</v>
      </c>
    </row>
    <row r="32600">
      <c r="A32600" s="1" t="s">
        <v>32599</v>
      </c>
      <c r="B32600" s="2" t="str">
        <f>IFERROR(__xludf.DUMMYFUNCTION("GOOGLETRANSLATE(A32600, ""de"", ""en"")"),"all")</f>
        <v>all</v>
      </c>
    </row>
    <row r="32601">
      <c r="A32601" s="1" t="s">
        <v>32600</v>
      </c>
      <c r="B32601" s="2" t="str">
        <f>IFERROR(__xludf.DUMMYFUNCTION("GOOGLETRANSLATE(A32601, ""de"", ""en"")"),"hairspray")</f>
        <v>hairspray</v>
      </c>
    </row>
    <row r="32602">
      <c r="A32602" s="1" t="s">
        <v>32601</v>
      </c>
      <c r="B32602" s="2" t="str">
        <f>IFERROR(__xludf.DUMMYFUNCTION("GOOGLETRANSLATE(A32602, ""de"", ""en"")"),"yup")</f>
        <v>yup</v>
      </c>
    </row>
    <row r="32603">
      <c r="A32603" s="1" t="s">
        <v>32602</v>
      </c>
      <c r="B32603" s="2" t="str">
        <f>IFERROR(__xludf.DUMMYFUNCTION("GOOGLETRANSLATE(A32603, ""de"", ""en"")"),"Druid")</f>
        <v>Druid</v>
      </c>
    </row>
    <row r="32604">
      <c r="A32604" s="1" t="s">
        <v>32603</v>
      </c>
      <c r="B32604" s="2" t="str">
        <f>IFERROR(__xludf.DUMMYFUNCTION("GOOGLETRANSLATE(A32604, ""de"", ""en"")"),"illuminate")</f>
        <v>illuminate</v>
      </c>
    </row>
    <row r="32605">
      <c r="A32605" s="1" t="s">
        <v>32604</v>
      </c>
      <c r="B32605" s="2" t="str">
        <f>IFERROR(__xludf.DUMMYFUNCTION("GOOGLETRANSLATE(A32605, ""de"", ""en"")"),"Jamison")</f>
        <v>Jamison</v>
      </c>
    </row>
    <row r="32606">
      <c r="A32606" s="1" t="s">
        <v>32605</v>
      </c>
      <c r="B32606" s="2" t="str">
        <f>IFERROR(__xludf.DUMMYFUNCTION("GOOGLETRANSLATE(A32606, ""de"", ""en"")"),"stand still")</f>
        <v>stand still</v>
      </c>
    </row>
    <row r="32607">
      <c r="A32607" s="1" t="s">
        <v>32606</v>
      </c>
      <c r="B32607" s="2" t="str">
        <f>IFERROR(__xludf.DUMMYFUNCTION("GOOGLETRANSLATE(A32607, ""de"", ""en"")"),"Madagascar")</f>
        <v>Madagascar</v>
      </c>
    </row>
    <row r="32608">
      <c r="A32608" s="1" t="s">
        <v>32607</v>
      </c>
      <c r="B32608" s="2" t="str">
        <f>IFERROR(__xludf.DUMMYFUNCTION("GOOGLETRANSLATE(A32608, ""de"", ""en"")"),"feats")</f>
        <v>feats</v>
      </c>
    </row>
    <row r="32609">
      <c r="A32609" s="1" t="s">
        <v>32608</v>
      </c>
      <c r="B32609" s="2" t="str">
        <f>IFERROR(__xludf.DUMMYFUNCTION("GOOGLETRANSLATE(A32609, ""de"", ""en"")"),"discarded")</f>
        <v>discarded</v>
      </c>
    </row>
    <row r="32610">
      <c r="A32610" s="1" t="s">
        <v>32609</v>
      </c>
      <c r="B32610" s="2" t="str">
        <f>IFERROR(__xludf.DUMMYFUNCTION("GOOGLETRANSLATE(A32610, ""de"", ""en"")"),"flaherty")</f>
        <v>flaherty</v>
      </c>
    </row>
    <row r="32611">
      <c r="A32611" s="1" t="s">
        <v>32610</v>
      </c>
      <c r="B32611" s="2" t="str">
        <f>IFERROR(__xludf.DUMMYFUNCTION("GOOGLETRANSLATE(A32611, ""de"", ""en"")"),"announced")</f>
        <v>announced</v>
      </c>
    </row>
    <row r="32612">
      <c r="A32612" s="1" t="s">
        <v>32611</v>
      </c>
      <c r="B32612" s="2" t="str">
        <f>IFERROR(__xludf.DUMMYFUNCTION("GOOGLETRANSLATE(A32612, ""de"", ""en"")"),"preions")</f>
        <v>preions</v>
      </c>
    </row>
    <row r="32613">
      <c r="A32613" s="1" t="s">
        <v>32612</v>
      </c>
      <c r="B32613" s="2" t="str">
        <f>IFERROR(__xludf.DUMMYFUNCTION("GOOGLETRANSLATE(A32613, ""de"", ""en"")"),"straw man")</f>
        <v>straw man</v>
      </c>
    </row>
    <row r="32614">
      <c r="A32614" s="1" t="s">
        <v>32613</v>
      </c>
      <c r="B32614" s="2" t="str">
        <f>IFERROR(__xludf.DUMMYFUNCTION("GOOGLETRANSLATE(A32614, ""de"", ""en"")"),"construct")</f>
        <v>construct</v>
      </c>
    </row>
    <row r="32615">
      <c r="A32615" s="1" t="s">
        <v>32614</v>
      </c>
      <c r="B32615" s="2" t="str">
        <f>IFERROR(__xludf.DUMMYFUNCTION("GOOGLETRANSLATE(A32615, ""de"", ""en"")"),"middle ground")</f>
        <v>middle ground</v>
      </c>
    </row>
    <row r="32616">
      <c r="A32616" s="1" t="s">
        <v>32615</v>
      </c>
      <c r="B32616" s="2" t="str">
        <f>IFERROR(__xludf.DUMMYFUNCTION("GOOGLETRANSLATE(A32616, ""de"", ""en"")"),"Seinfeld")</f>
        <v>Seinfeld</v>
      </c>
    </row>
    <row r="32617">
      <c r="A32617" s="1" t="s">
        <v>32616</v>
      </c>
      <c r="B32617" s="2" t="str">
        <f>IFERROR(__xludf.DUMMYFUNCTION("GOOGLETRANSLATE(A32617, ""de"", ""en"")"),"daring")</f>
        <v>daring</v>
      </c>
    </row>
    <row r="32618">
      <c r="A32618" s="1" t="s">
        <v>32617</v>
      </c>
      <c r="B32618" s="2" t="str">
        <f>IFERROR(__xludf.DUMMYFUNCTION("GOOGLETRANSLATE(A32618, ""de"", ""en"")"),"operations management")</f>
        <v>operations management</v>
      </c>
    </row>
    <row r="32619">
      <c r="A32619" s="1" t="s">
        <v>32618</v>
      </c>
      <c r="B32619" s="2" t="str">
        <f>IFERROR(__xludf.DUMMYFUNCTION("GOOGLETRANSLATE(A32619, ""de"", ""en"")"),"inexcusable")</f>
        <v>inexcusable</v>
      </c>
    </row>
    <row r="32620">
      <c r="A32620" s="1" t="s">
        <v>32619</v>
      </c>
      <c r="B32620" s="2" t="str">
        <f>IFERROR(__xludf.DUMMYFUNCTION("GOOGLETRANSLATE(A32620, ""de"", ""en"")"),"sigurd")</f>
        <v>sigurd</v>
      </c>
    </row>
    <row r="32621">
      <c r="A32621" s="1" t="s">
        <v>32620</v>
      </c>
      <c r="B32621" s="2" t="str">
        <f>IFERROR(__xludf.DUMMYFUNCTION("GOOGLETRANSLATE(A32621, ""de"", ""en"")"),"stretched out")</f>
        <v>stretched out</v>
      </c>
    </row>
    <row r="32622">
      <c r="A32622" s="1" t="s">
        <v>32621</v>
      </c>
      <c r="B32622" s="2" t="str">
        <f>IFERROR(__xludf.DUMMYFUNCTION("GOOGLETRANSLATE(A32622, ""de"", ""en"")"),"sociable")</f>
        <v>sociable</v>
      </c>
    </row>
    <row r="32623">
      <c r="A32623" s="1" t="s">
        <v>32622</v>
      </c>
      <c r="B32623" s="2" t="str">
        <f>IFERROR(__xludf.DUMMYFUNCTION("GOOGLETRANSLATE(A32623, ""de"", ""en"")"),"femme")</f>
        <v>femme</v>
      </c>
    </row>
    <row r="32624">
      <c r="A32624" s="1" t="s">
        <v>32623</v>
      </c>
      <c r="B32624" s="2" t="str">
        <f>IFERROR(__xludf.DUMMYFUNCTION("GOOGLETRANSLATE(A32624, ""de"", ""en"")"),"legal")</f>
        <v>legal</v>
      </c>
    </row>
    <row r="32625">
      <c r="A32625" s="1" t="s">
        <v>32624</v>
      </c>
      <c r="B32625" s="2" t="str">
        <f>IFERROR(__xludf.DUMMYFUNCTION("GOOGLETRANSLATE(A32625, ""de"", ""en"")"),"Flanagan")</f>
        <v>Flanagan</v>
      </c>
    </row>
    <row r="32626">
      <c r="A32626" s="1" t="s">
        <v>32625</v>
      </c>
      <c r="B32626" s="2" t="str">
        <f>IFERROR(__xludf.DUMMYFUNCTION("GOOGLETRANSLATE(A32626, ""de"", ""en"")"),"Leonie")</f>
        <v>Leonie</v>
      </c>
    </row>
    <row r="32627">
      <c r="A32627" s="1" t="s">
        <v>32626</v>
      </c>
      <c r="B32627" s="2" t="str">
        <f>IFERROR(__xludf.DUMMYFUNCTION("GOOGLETRANSLATE(A32627, ""de"", ""en"")"),"stimulated")</f>
        <v>stimulated</v>
      </c>
    </row>
    <row r="32628">
      <c r="A32628" s="1" t="s">
        <v>32627</v>
      </c>
      <c r="B32628" s="2" t="str">
        <f>IFERROR(__xludf.DUMMYFUNCTION("GOOGLETRANSLATE(A32628, ""de"", ""en"")"),"woodpecker")</f>
        <v>woodpecker</v>
      </c>
    </row>
    <row r="32629">
      <c r="A32629" s="1" t="s">
        <v>32628</v>
      </c>
      <c r="B32629" s="2" t="str">
        <f>IFERROR(__xludf.DUMMYFUNCTION("GOOGLETRANSLATE(A32629, ""de"", ""en"")"),"minimum wage")</f>
        <v>minimum wage</v>
      </c>
    </row>
    <row r="32630">
      <c r="A32630" s="1" t="s">
        <v>32629</v>
      </c>
      <c r="B32630" s="2" t="str">
        <f>IFERROR(__xludf.DUMMYFUNCTION("GOOGLETRANSLATE(A32630, ""de"", ""en"")"),"cloudy")</f>
        <v>cloudy</v>
      </c>
    </row>
    <row r="32631">
      <c r="A32631" s="1" t="s">
        <v>32630</v>
      </c>
      <c r="B32631" s="2" t="str">
        <f>IFERROR(__xludf.DUMMYFUNCTION("GOOGLETRANSLATE(A32631, ""de"", ""en"")"),"sniffle")</f>
        <v>sniffle</v>
      </c>
    </row>
    <row r="32632">
      <c r="A32632" s="1" t="s">
        <v>32631</v>
      </c>
      <c r="B32632" s="2" t="str">
        <f>IFERROR(__xludf.DUMMYFUNCTION("GOOGLETRANSLATE(A32632, ""de"", ""en"")"),"stepan")</f>
        <v>stepan</v>
      </c>
    </row>
    <row r="32633">
      <c r="A32633" s="1" t="s">
        <v>32632</v>
      </c>
      <c r="B32633" s="2" t="str">
        <f>IFERROR(__xludf.DUMMYFUNCTION("GOOGLETRANSLATE(A32633, ""de"", ""en"")"),"supervisor")</f>
        <v>supervisor</v>
      </c>
    </row>
    <row r="32634">
      <c r="A32634" s="1" t="s">
        <v>32633</v>
      </c>
      <c r="B32634" s="2" t="str">
        <f>IFERROR(__xludf.DUMMYFUNCTION("GOOGLETRANSLATE(A32634, ""de"", ""en"")"),"evidence")</f>
        <v>evidence</v>
      </c>
    </row>
    <row r="32635">
      <c r="A32635" s="1" t="s">
        <v>32634</v>
      </c>
      <c r="B32635" s="2" t="str">
        <f>IFERROR(__xludf.DUMMYFUNCTION("GOOGLETRANSLATE(A32635, ""de"", ""en"")"),"Kathrin")</f>
        <v>Kathrin</v>
      </c>
    </row>
    <row r="32636">
      <c r="A32636" s="1" t="s">
        <v>32635</v>
      </c>
      <c r="B32636" s="2" t="str">
        <f>IFERROR(__xludf.DUMMYFUNCTION("GOOGLETRANSLATE(A32636, ""de"", ""en"")"),"laboratory report")</f>
        <v>laboratory report</v>
      </c>
    </row>
    <row r="32637">
      <c r="A32637" s="1" t="s">
        <v>32636</v>
      </c>
      <c r="B32637" s="2" t="str">
        <f>IFERROR(__xludf.DUMMYFUNCTION("GOOGLETRANSLATE(A32637, ""de"", ""en"")"),"aiko")</f>
        <v>aiko</v>
      </c>
    </row>
    <row r="32638">
      <c r="A32638" s="1" t="s">
        <v>32637</v>
      </c>
      <c r="B32638" s="2" t="str">
        <f>IFERROR(__xludf.DUMMYFUNCTION("GOOGLETRANSLATE(A32638, ""de"", ""en"")"),"ood")</f>
        <v>ood</v>
      </c>
    </row>
    <row r="32639">
      <c r="A32639" s="1" t="s">
        <v>32638</v>
      </c>
      <c r="B32639" s="2" t="str">
        <f>IFERROR(__xludf.DUMMYFUNCTION("GOOGLETRANSLATE(A32639, ""de"", ""en"")"),"cenk")</f>
        <v>cenk</v>
      </c>
    </row>
    <row r="32640">
      <c r="A32640" s="1" t="s">
        <v>32639</v>
      </c>
      <c r="B32640" s="2" t="str">
        <f>IFERROR(__xludf.DUMMYFUNCTION("GOOGLETRANSLATE(A32640, ""de"", ""en"")"),"rush")</f>
        <v>rush</v>
      </c>
    </row>
    <row r="32641">
      <c r="A32641" s="1" t="s">
        <v>32640</v>
      </c>
      <c r="B32641" s="2" t="str">
        <f>IFERROR(__xludf.DUMMYFUNCTION("GOOGLETRANSLATE(A32641, ""de"", ""en"")"),"domestic")</f>
        <v>domestic</v>
      </c>
    </row>
    <row r="32642">
      <c r="A32642" s="1" t="s">
        <v>32641</v>
      </c>
      <c r="B32642" s="2" t="str">
        <f>IFERROR(__xludf.DUMMYFUNCTION("GOOGLETRANSLATE(A32642, ""de"", ""en"")"),"manno")</f>
        <v>manno</v>
      </c>
    </row>
    <row r="32643">
      <c r="A32643" s="1" t="s">
        <v>32642</v>
      </c>
      <c r="B32643" s="2" t="str">
        <f>IFERROR(__xludf.DUMMYFUNCTION("GOOGLETRANSLATE(A32643, ""de"", ""en"")"),"fantasy")</f>
        <v>fantasy</v>
      </c>
    </row>
    <row r="32644">
      <c r="A32644" s="1" t="s">
        <v>32643</v>
      </c>
      <c r="B32644" s="2" t="str">
        <f>IFERROR(__xludf.DUMMYFUNCTION("GOOGLETRANSLATE(A32644, ""de"", ""en"")"),"Tolstoy")</f>
        <v>Tolstoy</v>
      </c>
    </row>
    <row r="32645">
      <c r="A32645" s="1" t="s">
        <v>32644</v>
      </c>
      <c r="B32645" s="2" t="str">
        <f>IFERROR(__xludf.DUMMYFUNCTION("GOOGLETRANSLATE(A32645, ""de"", ""en"")"),"slurps")</f>
        <v>slurps</v>
      </c>
    </row>
    <row r="32646">
      <c r="A32646" s="1" t="s">
        <v>32645</v>
      </c>
      <c r="B32646" s="2" t="str">
        <f>IFERROR(__xludf.DUMMYFUNCTION("GOOGLETRANSLATE(A32646, ""de"", ""en"")"),"waste")</f>
        <v>waste</v>
      </c>
    </row>
    <row r="32647">
      <c r="A32647" s="1" t="s">
        <v>32646</v>
      </c>
      <c r="B32647" s="2" t="str">
        <f>IFERROR(__xludf.DUMMYFUNCTION("GOOGLETRANSLATE(A32647, ""de"", ""en"")"),"world class")</f>
        <v>world class</v>
      </c>
    </row>
    <row r="32648">
      <c r="A32648" s="1" t="s">
        <v>32647</v>
      </c>
      <c r="B32648" s="2" t="str">
        <f>IFERROR(__xludf.DUMMYFUNCTION("GOOGLETRANSLATE(A32648, ""de"", ""en"")"),"vindictive")</f>
        <v>vindictive</v>
      </c>
    </row>
    <row r="32649">
      <c r="A32649" s="1" t="s">
        <v>32648</v>
      </c>
      <c r="B32649" s="2" t="str">
        <f>IFERROR(__xludf.DUMMYFUNCTION("GOOGLETRANSLATE(A32649, ""de"", ""en"")"),"faulkner")</f>
        <v>faulkner</v>
      </c>
    </row>
    <row r="32650">
      <c r="A32650" s="1" t="s">
        <v>32649</v>
      </c>
      <c r="B32650" s="2" t="str">
        <f>IFERROR(__xludf.DUMMYFUNCTION("GOOGLETRANSLATE(A32650, ""de"", ""en"")"),"masturbation")</f>
        <v>masturbation</v>
      </c>
    </row>
    <row r="32651">
      <c r="A32651" s="1" t="s">
        <v>32650</v>
      </c>
      <c r="B32651" s="2" t="str">
        <f>IFERROR(__xludf.DUMMYFUNCTION("GOOGLETRANSLATE(A32651, ""de"", ""en"")"),"blocked")</f>
        <v>blocked</v>
      </c>
    </row>
    <row r="32652">
      <c r="A32652" s="1" t="s">
        <v>32651</v>
      </c>
      <c r="B32652" s="2" t="str">
        <f>IFERROR(__xludf.DUMMYFUNCTION("GOOGLETRANSLATE(A32652, ""de"", ""en"")"),"following")</f>
        <v>following</v>
      </c>
    </row>
    <row r="32653">
      <c r="A32653" s="1" t="s">
        <v>32652</v>
      </c>
      <c r="B32653" s="2" t="str">
        <f>IFERROR(__xludf.DUMMYFUNCTION("GOOGLETRANSLATE(A32653, ""de"", ""en"")"),"years")</f>
        <v>years</v>
      </c>
    </row>
    <row r="32654">
      <c r="A32654" s="1" t="s">
        <v>32653</v>
      </c>
      <c r="B32654" s="2" t="str">
        <f>IFERROR(__xludf.DUMMYFUNCTION("GOOGLETRANSLATE(A32654, ""de"", ""en"")"),"Odyssey")</f>
        <v>Odyssey</v>
      </c>
    </row>
    <row r="32655">
      <c r="A32655" s="1" t="s">
        <v>32654</v>
      </c>
      <c r="B32655" s="2" t="str">
        <f>IFERROR(__xludf.DUMMYFUNCTION("GOOGLETRANSLATE(A32655, ""de"", ""en"")"),"colonel")</f>
        <v>colonel</v>
      </c>
    </row>
    <row r="32656">
      <c r="A32656" s="1" t="s">
        <v>32655</v>
      </c>
      <c r="B32656" s="2" t="str">
        <f>IFERROR(__xludf.DUMMYFUNCTION("GOOGLETRANSLATE(A32656, ""de"", ""en"")"),"unlawful")</f>
        <v>unlawful</v>
      </c>
    </row>
    <row r="32657">
      <c r="A32657" s="1" t="s">
        <v>32656</v>
      </c>
      <c r="B32657" s="2" t="str">
        <f>IFERROR(__xludf.DUMMYFUNCTION("GOOGLETRANSLATE(A32657, ""de"", ""en"")"),"venerable")</f>
        <v>venerable</v>
      </c>
    </row>
    <row r="32658">
      <c r="A32658" s="1" t="s">
        <v>32657</v>
      </c>
      <c r="B32658" s="2" t="str">
        <f>IFERROR(__xludf.DUMMYFUNCTION("GOOGLETRANSLATE(A32658, ""de"", ""en"")"),"to be added")</f>
        <v>to be added</v>
      </c>
    </row>
    <row r="32659">
      <c r="A32659" s="1" t="s">
        <v>32658</v>
      </c>
      <c r="B32659" s="2" t="str">
        <f>IFERROR(__xludf.DUMMYFUNCTION("GOOGLETRANSLATE(A32659, ""de"", ""en"")"),"Palestinian")</f>
        <v>Palestinian</v>
      </c>
    </row>
    <row r="32660">
      <c r="A32660" s="1" t="s">
        <v>32659</v>
      </c>
      <c r="B32660" s="2" t="str">
        <f>IFERROR(__xludf.DUMMYFUNCTION("GOOGLETRANSLATE(A32660, ""de"", ""en"")"),"cut")</f>
        <v>cut</v>
      </c>
    </row>
    <row r="32661">
      <c r="A32661" s="1" t="s">
        <v>32660</v>
      </c>
      <c r="B32661" s="2" t="str">
        <f>IFERROR(__xludf.DUMMYFUNCTION("GOOGLETRANSLATE(A32661, ""de"", ""en"")"),"this side")</f>
        <v>this side</v>
      </c>
    </row>
    <row r="32662">
      <c r="A32662" s="1" t="s">
        <v>32661</v>
      </c>
      <c r="B32662" s="2" t="str">
        <f>IFERROR(__xludf.DUMMYFUNCTION("GOOGLETRANSLATE(A32662, ""de"", ""en"")"),"accusations")</f>
        <v>accusations</v>
      </c>
    </row>
    <row r="32663">
      <c r="A32663" s="1" t="s">
        <v>32662</v>
      </c>
      <c r="B32663" s="2" t="str">
        <f>IFERROR(__xludf.DUMMYFUNCTION("GOOGLETRANSLATE(A32663, ""de"", ""en"")"),"hanzo")</f>
        <v>hanzo</v>
      </c>
    </row>
    <row r="32664">
      <c r="A32664" s="1" t="s">
        <v>32663</v>
      </c>
      <c r="B32664" s="2" t="str">
        <f>IFERROR(__xludf.DUMMYFUNCTION("GOOGLETRANSLATE(A32664, ""de"", ""en"")"),"Japanese")</f>
        <v>Japanese</v>
      </c>
    </row>
    <row r="32665">
      <c r="A32665" s="1" t="s">
        <v>32664</v>
      </c>
      <c r="B32665" s="2" t="str">
        <f>IFERROR(__xludf.DUMMYFUNCTION("GOOGLETRANSLATE(A32665, ""de"", ""en"")"),"overlook")</f>
        <v>overlook</v>
      </c>
    </row>
    <row r="32666">
      <c r="A32666" s="1" t="s">
        <v>32665</v>
      </c>
      <c r="B32666" s="2" t="str">
        <f>IFERROR(__xludf.DUMMYFUNCTION("GOOGLETRANSLATE(A32666, ""de"", ""en"")"),"booger")</f>
        <v>booger</v>
      </c>
    </row>
    <row r="32667">
      <c r="A32667" s="1" t="s">
        <v>32666</v>
      </c>
      <c r="B32667" s="2" t="str">
        <f>IFERROR(__xludf.DUMMYFUNCTION("GOOGLETRANSLATE(A32667, ""de"", ""en"")"),"millicent")</f>
        <v>millicent</v>
      </c>
    </row>
    <row r="32668">
      <c r="A32668" s="1" t="s">
        <v>32667</v>
      </c>
      <c r="B32668" s="2" t="str">
        <f>IFERROR(__xludf.DUMMYFUNCTION("GOOGLETRANSLATE(A32668, ""de"", ""en"")"),"behind")</f>
        <v>behind</v>
      </c>
    </row>
    <row r="32669">
      <c r="A32669" s="1" t="s">
        <v>32668</v>
      </c>
      <c r="B32669" s="2" t="str">
        <f>IFERROR(__xludf.DUMMYFUNCTION("GOOGLETRANSLATE(A32669, ""de"", ""en"")"),"cause")</f>
        <v>cause</v>
      </c>
    </row>
    <row r="32670">
      <c r="A32670" s="1" t="s">
        <v>32669</v>
      </c>
      <c r="B32670" s="2" t="str">
        <f>IFERROR(__xludf.DUMMYFUNCTION("GOOGLETRANSLATE(A32670, ""de"", ""en"")"),"real time")</f>
        <v>real time</v>
      </c>
    </row>
    <row r="32671">
      <c r="A32671" s="1" t="s">
        <v>32670</v>
      </c>
      <c r="B32671" s="2" t="str">
        <f>IFERROR(__xludf.DUMMYFUNCTION("GOOGLETRANSLATE(A32671, ""de"", ""en"")"),"cabin")</f>
        <v>cabin</v>
      </c>
    </row>
    <row r="32672">
      <c r="A32672" s="1" t="s">
        <v>32671</v>
      </c>
      <c r="B32672" s="2" t="str">
        <f>IFERROR(__xludf.DUMMYFUNCTION("GOOGLETRANSLATE(A32672, ""de"", ""en"")"),"captivating")</f>
        <v>captivating</v>
      </c>
    </row>
    <row r="32673">
      <c r="A32673" s="1" t="s">
        <v>32672</v>
      </c>
      <c r="B32673" s="2" t="str">
        <f>IFERROR(__xludf.DUMMYFUNCTION("GOOGLETRANSLATE(A32673, ""de"", ""en"")"),"Jewish")</f>
        <v>Jewish</v>
      </c>
    </row>
    <row r="32674">
      <c r="A32674" s="1" t="s">
        <v>32673</v>
      </c>
      <c r="B32674" s="2" t="str">
        <f>IFERROR(__xludf.DUMMYFUNCTION("GOOGLETRANSLATE(A32674, ""de"", ""en"")"),"bleaching")</f>
        <v>bleaching</v>
      </c>
    </row>
    <row r="32675">
      <c r="A32675" s="1" t="s">
        <v>32674</v>
      </c>
      <c r="B32675" s="2" t="str">
        <f>IFERROR(__xludf.DUMMYFUNCTION("GOOGLETRANSLATE(A32675, ""de"", ""en"")"),"sapiens")</f>
        <v>sapiens</v>
      </c>
    </row>
    <row r="32676">
      <c r="A32676" s="1" t="s">
        <v>32675</v>
      </c>
      <c r="B32676" s="2" t="str">
        <f>IFERROR(__xludf.DUMMYFUNCTION("GOOGLETRANSLATE(A32676, ""de"", ""en"")"),"words")</f>
        <v>words</v>
      </c>
    </row>
    <row r="32677">
      <c r="A32677" s="1" t="s">
        <v>32676</v>
      </c>
      <c r="B32677" s="2" t="str">
        <f>IFERROR(__xludf.DUMMYFUNCTION("GOOGLETRANSLATE(A32677, ""de"", ""en"")"),"trois")</f>
        <v>trois</v>
      </c>
    </row>
    <row r="32678">
      <c r="A32678" s="1" t="s">
        <v>32677</v>
      </c>
      <c r="B32678" s="2" t="str">
        <f>IFERROR(__xludf.DUMMYFUNCTION("GOOGLETRANSLATE(A32678, ""de"", ""en"")"),"flew here")</f>
        <v>flew here</v>
      </c>
    </row>
    <row r="32679">
      <c r="A32679" s="1" t="s">
        <v>32678</v>
      </c>
      <c r="B32679" s="2" t="str">
        <f>IFERROR(__xludf.DUMMYFUNCTION("GOOGLETRANSLATE(A32679, ""de"", ""en"")"),"1 time")</f>
        <v>1 time</v>
      </c>
    </row>
    <row r="32680">
      <c r="A32680" s="1" t="s">
        <v>32679</v>
      </c>
      <c r="B32680" s="2" t="str">
        <f>IFERROR(__xludf.DUMMYFUNCTION("GOOGLETRANSLATE(A32680, ""de"", ""en"")"),"eurotape")</f>
        <v>eurotape</v>
      </c>
    </row>
    <row r="32681">
      <c r="A32681" s="1" t="s">
        <v>32680</v>
      </c>
      <c r="B32681" s="2" t="str">
        <f>IFERROR(__xludf.DUMMYFUNCTION("GOOGLETRANSLATE(A32681, ""de"", ""en"")"),"anxiety states")</f>
        <v>anxiety states</v>
      </c>
    </row>
    <row r="32682">
      <c r="A32682" s="1" t="s">
        <v>32681</v>
      </c>
      <c r="B32682" s="2" t="str">
        <f>IFERROR(__xludf.DUMMYFUNCTION("GOOGLETRANSLATE(A32682, ""de"", ""en"")"),"icicle")</f>
        <v>icicle</v>
      </c>
    </row>
    <row r="32683">
      <c r="A32683" s="1" t="s">
        <v>32682</v>
      </c>
      <c r="B32683" s="2" t="str">
        <f>IFERROR(__xludf.DUMMYFUNCTION("GOOGLETRANSLATE(A32683, ""de"", ""en"")"),"gibbler")</f>
        <v>gibbler</v>
      </c>
    </row>
    <row r="32684">
      <c r="A32684" s="1" t="s">
        <v>32683</v>
      </c>
      <c r="B32684" s="2" t="str">
        <f>IFERROR(__xludf.DUMMYFUNCTION("GOOGLETRANSLATE(A32684, ""de"", ""en"")"),"sensitive")</f>
        <v>sensitive</v>
      </c>
    </row>
    <row r="32685">
      <c r="A32685" s="1" t="s">
        <v>32684</v>
      </c>
      <c r="B32685" s="2" t="str">
        <f>IFERROR(__xludf.DUMMYFUNCTION("GOOGLETRANSLATE(A32685, ""de"", ""en"")"),"Sybille")</f>
        <v>Sybille</v>
      </c>
    </row>
    <row r="32686">
      <c r="A32686" s="1" t="s">
        <v>32685</v>
      </c>
      <c r="B32686" s="2" t="str">
        <f>IFERROR(__xludf.DUMMYFUNCTION("GOOGLETRANSLATE(A32686, ""de"", ""en"")"),"cum")</f>
        <v>cum</v>
      </c>
    </row>
    <row r="32687">
      <c r="A32687" s="1" t="s">
        <v>32686</v>
      </c>
      <c r="B32687" s="2" t="str">
        <f>IFERROR(__xludf.DUMMYFUNCTION("GOOGLETRANSLATE(A32687, ""de"", ""en"")"),"videotape")</f>
        <v>videotape</v>
      </c>
    </row>
    <row r="32688">
      <c r="A32688" s="1" t="s">
        <v>32687</v>
      </c>
      <c r="B32688" s="2" t="str">
        <f>IFERROR(__xludf.DUMMYFUNCTION("GOOGLETRANSLATE(A32688, ""de"", ""en"")"),"bieber")</f>
        <v>bieber</v>
      </c>
    </row>
    <row r="32689">
      <c r="A32689" s="1" t="s">
        <v>32688</v>
      </c>
      <c r="B32689" s="2" t="str">
        <f>IFERROR(__xludf.DUMMYFUNCTION("GOOGLETRANSLATE(A32689, ""de"", ""en"")"),"investments")</f>
        <v>investments</v>
      </c>
    </row>
    <row r="32690">
      <c r="A32690" s="1" t="s">
        <v>32689</v>
      </c>
      <c r="B32690" s="2" t="str">
        <f>IFERROR(__xludf.DUMMYFUNCTION("GOOGLETRANSLATE(A32690, ""de"", ""en"")"),"largest")</f>
        <v>largest</v>
      </c>
    </row>
    <row r="32691">
      <c r="A32691" s="1" t="s">
        <v>32690</v>
      </c>
      <c r="B32691" s="2" t="str">
        <f>IFERROR(__xludf.DUMMYFUNCTION("GOOGLETRANSLATE(A32691, ""de"", ""en"")"),"would")</f>
        <v>would</v>
      </c>
    </row>
    <row r="32692">
      <c r="A32692" s="1" t="s">
        <v>32691</v>
      </c>
      <c r="B32692" s="2" t="str">
        <f>IFERROR(__xludf.DUMMYFUNCTION("GOOGLETRANSLATE(A32692, ""de"", ""en"")"),"lying")</f>
        <v>lying</v>
      </c>
    </row>
    <row r="32693">
      <c r="A32693" s="1" t="s">
        <v>32692</v>
      </c>
      <c r="B32693" s="2" t="str">
        <f>IFERROR(__xludf.DUMMYFUNCTION("GOOGLETRANSLATE(A32693, ""de"", ""en"")"),"desired")</f>
        <v>desired</v>
      </c>
    </row>
    <row r="32694">
      <c r="A32694" s="1" t="s">
        <v>32693</v>
      </c>
      <c r="B32694" s="2" t="str">
        <f>IFERROR(__xludf.DUMMYFUNCTION("GOOGLETRANSLATE(A32694, ""de"", ""en"")"),"excellent")</f>
        <v>excellent</v>
      </c>
    </row>
    <row r="32695">
      <c r="A32695" s="1" t="s">
        <v>32694</v>
      </c>
      <c r="B32695" s="2" t="str">
        <f>IFERROR(__xludf.DUMMYFUNCTION("GOOGLETRANSLATE(A32695, ""de"", ""en"")"),"pilot")</f>
        <v>pilot</v>
      </c>
    </row>
    <row r="32696">
      <c r="A32696" s="1" t="s">
        <v>32695</v>
      </c>
      <c r="B32696" s="2" t="str">
        <f>IFERROR(__xludf.DUMMYFUNCTION("GOOGLETRANSLATE(A32696, ""de"", ""en"")"),"called here")</f>
        <v>called here</v>
      </c>
    </row>
    <row r="32697">
      <c r="A32697" s="1" t="s">
        <v>32696</v>
      </c>
      <c r="B32697" s="2" t="str">
        <f>IFERROR(__xludf.DUMMYFUNCTION("GOOGLETRANSLATE(A32697, ""de"", ""en"")"),"full steam ahead")</f>
        <v>full steam ahead</v>
      </c>
    </row>
    <row r="32698">
      <c r="A32698" s="1" t="s">
        <v>32697</v>
      </c>
      <c r="B32698" s="2" t="str">
        <f>IFERROR(__xludf.DUMMYFUNCTION("GOOGLETRANSLATE(A32698, ""de"", ""en"")"),"emerald")</f>
        <v>emerald</v>
      </c>
    </row>
    <row r="32699">
      <c r="A32699" s="1" t="s">
        <v>32698</v>
      </c>
      <c r="B32699" s="2" t="str">
        <f>IFERROR(__xludf.DUMMYFUNCTION("GOOGLETRANSLATE(A32699, ""de"", ""en"")"),"tentacle")</f>
        <v>tentacle</v>
      </c>
    </row>
    <row r="32700">
      <c r="A32700" s="1" t="s">
        <v>32699</v>
      </c>
      <c r="B32700" s="2" t="str">
        <f>IFERROR(__xludf.DUMMYFUNCTION("GOOGLETRANSLATE(A32700, ""de"", ""en"")"),"headquarters")</f>
        <v>headquarters</v>
      </c>
    </row>
    <row r="32701">
      <c r="A32701" s="1" t="s">
        <v>32700</v>
      </c>
      <c r="B32701" s="2" t="str">
        <f>IFERROR(__xludf.DUMMYFUNCTION("GOOGLETRANSLATE(A32701, ""de"", ""en"")"),"fascinating")</f>
        <v>fascinating</v>
      </c>
    </row>
    <row r="32702">
      <c r="A32702" s="1" t="s">
        <v>32701</v>
      </c>
      <c r="B32702" s="2" t="str">
        <f>IFERROR(__xludf.DUMMYFUNCTION("GOOGLETRANSLATE(A32702, ""de"", ""en"")"),"moderate")</f>
        <v>moderate</v>
      </c>
    </row>
    <row r="32703">
      <c r="A32703" s="1" t="s">
        <v>32702</v>
      </c>
      <c r="B32703" s="2" t="str">
        <f>IFERROR(__xludf.DUMMYFUNCTION("GOOGLETRANSLATE(A32703, ""de"", ""en"")"),"mafia")</f>
        <v>mafia</v>
      </c>
    </row>
    <row r="32704">
      <c r="A32704" s="1" t="s">
        <v>32703</v>
      </c>
      <c r="B32704" s="2" t="str">
        <f>IFERROR(__xludf.DUMMYFUNCTION("GOOGLETRANSLATE(A32704, ""de"", ""en"")"),"sales figures")</f>
        <v>sales figures</v>
      </c>
    </row>
    <row r="32705">
      <c r="A32705" s="1" t="s">
        <v>32704</v>
      </c>
      <c r="B32705" s="2" t="str">
        <f>IFERROR(__xludf.DUMMYFUNCTION("GOOGLETRANSLATE(A32705, ""de"", ""en"")"),"fall down")</f>
        <v>fall down</v>
      </c>
    </row>
    <row r="32706">
      <c r="A32706" s="1" t="s">
        <v>32705</v>
      </c>
      <c r="B32706" s="2" t="str">
        <f>IFERROR(__xludf.DUMMYFUNCTION("GOOGLETRANSLATE(A32706, ""de"", ""en"")"),"razor blades")</f>
        <v>razor blades</v>
      </c>
    </row>
    <row r="32707">
      <c r="A32707" s="1" t="s">
        <v>32706</v>
      </c>
      <c r="B32707" s="2" t="str">
        <f>IFERROR(__xludf.DUMMYFUNCTION("GOOGLETRANSLATE(A32707, ""de"", ""en"")"),"stolen")</f>
        <v>stolen</v>
      </c>
    </row>
    <row r="32708">
      <c r="A32708" s="1" t="s">
        <v>32707</v>
      </c>
      <c r="B32708" s="2" t="str">
        <f>IFERROR(__xludf.DUMMYFUNCTION("GOOGLETRANSLATE(A32708, ""de"", ""en"")"),"relate")</f>
        <v>relate</v>
      </c>
    </row>
    <row r="32709">
      <c r="A32709" s="1" t="s">
        <v>32708</v>
      </c>
      <c r="B32709" s="2" t="str">
        <f>IFERROR(__xludf.DUMMYFUNCTION("GOOGLETRANSLATE(A32709, ""de"", ""en"")"),"to settle down")</f>
        <v>to settle down</v>
      </c>
    </row>
    <row r="32710">
      <c r="A32710" s="1" t="s">
        <v>32709</v>
      </c>
      <c r="B32710" s="2" t="str">
        <f>IFERROR(__xludf.DUMMYFUNCTION("GOOGLETRANSLATE(A32710, ""de"", ""en"")"),"suicidal")</f>
        <v>suicidal</v>
      </c>
    </row>
    <row r="32711">
      <c r="A32711" s="1" t="s">
        <v>32710</v>
      </c>
      <c r="B32711" s="2" t="str">
        <f>IFERROR(__xludf.DUMMYFUNCTION("GOOGLETRANSLATE(A32711, ""de"", ""en"")"),"Italians")</f>
        <v>Italians</v>
      </c>
    </row>
    <row r="32712">
      <c r="A32712" s="1" t="s">
        <v>32711</v>
      </c>
      <c r="B32712" s="2" t="str">
        <f>IFERROR(__xludf.DUMMYFUNCTION("GOOGLETRANSLATE(A32712, ""de"", ""en"")"),"trained")</f>
        <v>trained</v>
      </c>
    </row>
    <row r="32713">
      <c r="A32713" s="1" t="s">
        <v>32712</v>
      </c>
      <c r="B32713" s="2" t="str">
        <f>IFERROR(__xludf.DUMMYFUNCTION("GOOGLETRANSLATE(A32713, ""de"", ""en"")"),"para")</f>
        <v>para</v>
      </c>
    </row>
    <row r="32714">
      <c r="A32714" s="1" t="s">
        <v>32713</v>
      </c>
      <c r="B32714" s="2" t="str">
        <f>IFERROR(__xludf.DUMMYFUNCTION("GOOGLETRANSLATE(A32714, ""de"", ""en"")"),"soy")</f>
        <v>soy</v>
      </c>
    </row>
    <row r="32715">
      <c r="A32715" s="1" t="s">
        <v>32714</v>
      </c>
      <c r="B32715" s="2" t="str">
        <f>IFERROR(__xludf.DUMMYFUNCTION("GOOGLETRANSLATE(A32715, ""de"", ""en"")"),"gas station attendant")</f>
        <v>gas station attendant</v>
      </c>
    </row>
    <row r="32716">
      <c r="A32716" s="1" t="s">
        <v>32715</v>
      </c>
      <c r="B32716" s="2" t="str">
        <f>IFERROR(__xludf.DUMMYFUNCTION("GOOGLETRANSLATE(A32716, ""de"", ""en"")"),"hen")</f>
        <v>hen</v>
      </c>
    </row>
    <row r="32717">
      <c r="A32717" s="1" t="s">
        <v>32716</v>
      </c>
      <c r="B32717" s="2" t="str">
        <f>IFERROR(__xludf.DUMMYFUNCTION("GOOGLETRANSLATE(A32717, ""de"", ""en"")"),"chibs")</f>
        <v>chibs</v>
      </c>
    </row>
    <row r="32718">
      <c r="A32718" s="1" t="s">
        <v>32717</v>
      </c>
      <c r="B32718" s="2" t="str">
        <f>IFERROR(__xludf.DUMMYFUNCTION("GOOGLETRANSLATE(A32718, ""de"", ""en"")"),"stupid")</f>
        <v>stupid</v>
      </c>
    </row>
    <row r="32719">
      <c r="A32719" s="1" t="s">
        <v>32718</v>
      </c>
      <c r="B32719" s="2" t="str">
        <f>IFERROR(__xludf.DUMMYFUNCTION("GOOGLETRANSLATE(A32719, ""de"", ""en"")"),"sounded")</f>
        <v>sounded</v>
      </c>
    </row>
    <row r="32720">
      <c r="A32720" s="1" t="s">
        <v>32719</v>
      </c>
      <c r="B32720" s="2" t="str">
        <f>IFERROR(__xludf.DUMMYFUNCTION("GOOGLETRANSLATE(A32720, ""de"", ""en"")"),"tears")</f>
        <v>tears</v>
      </c>
    </row>
    <row r="32721">
      <c r="A32721" s="1" t="s">
        <v>32720</v>
      </c>
      <c r="B32721" s="2" t="str">
        <f>IFERROR(__xludf.DUMMYFUNCTION("GOOGLETRANSLATE(A32721, ""de"", ""en"")"),"ravens")</f>
        <v>ravens</v>
      </c>
    </row>
    <row r="32722">
      <c r="A32722" s="1" t="s">
        <v>32721</v>
      </c>
      <c r="B32722" s="2" t="str">
        <f>IFERROR(__xludf.DUMMYFUNCTION("GOOGLETRANSLATE(A32722, ""de"", ""en"")"),"archery")</f>
        <v>archery</v>
      </c>
    </row>
    <row r="32723">
      <c r="A32723" s="1" t="s">
        <v>32722</v>
      </c>
      <c r="B32723" s="2" t="str">
        <f>IFERROR(__xludf.DUMMYFUNCTION("GOOGLETRANSLATE(A32723, ""de"", ""en"")"),"hem")</f>
        <v>hem</v>
      </c>
    </row>
    <row r="32724">
      <c r="A32724" s="1" t="s">
        <v>32723</v>
      </c>
      <c r="B32724" s="2" t="str">
        <f>IFERROR(__xludf.DUMMYFUNCTION("GOOGLETRANSLATE(A32724, ""de"", ""en"")"),"squeeze out")</f>
        <v>squeeze out</v>
      </c>
    </row>
    <row r="32725">
      <c r="A32725" s="1" t="s">
        <v>32724</v>
      </c>
      <c r="B32725" s="2" t="str">
        <f>IFERROR(__xludf.DUMMYFUNCTION("GOOGLETRANSLATE(A32725, ""de"", ""en"")"),"prius")</f>
        <v>prius</v>
      </c>
    </row>
    <row r="32726">
      <c r="A32726" s="1" t="s">
        <v>32725</v>
      </c>
      <c r="B32726" s="2" t="str">
        <f>IFERROR(__xludf.DUMMYFUNCTION("GOOGLETRANSLATE(A32726, ""de"", ""en"")"),"psychotic")</f>
        <v>psychotic</v>
      </c>
    </row>
    <row r="32727">
      <c r="A32727" s="1" t="s">
        <v>32726</v>
      </c>
      <c r="B32727" s="2" t="str">
        <f>IFERROR(__xludf.DUMMYFUNCTION("GOOGLETRANSLATE(A32727, ""de"", ""en"")"),"enriched")</f>
        <v>enriched</v>
      </c>
    </row>
    <row r="32728">
      <c r="A32728" s="1" t="s">
        <v>32727</v>
      </c>
      <c r="B32728" s="2" t="str">
        <f>IFERROR(__xludf.DUMMYFUNCTION("GOOGLETRANSLATE(A32728, ""de"", ""en"")"),"complex")</f>
        <v>complex</v>
      </c>
    </row>
    <row r="32729">
      <c r="A32729" s="1" t="s">
        <v>32728</v>
      </c>
      <c r="B32729" s="2" t="str">
        <f>IFERROR(__xludf.DUMMYFUNCTION("GOOGLETRANSLATE(A32729, ""de"", ""en"")"),"delusion")</f>
        <v>delusion</v>
      </c>
    </row>
    <row r="32730">
      <c r="A32730" s="1" t="s">
        <v>32729</v>
      </c>
      <c r="B32730" s="2" t="str">
        <f>IFERROR(__xludf.DUMMYFUNCTION("GOOGLETRANSLATE(A32730, ""de"", ""en"")"),"nacho")</f>
        <v>nacho</v>
      </c>
    </row>
    <row r="32731">
      <c r="A32731" s="1" t="s">
        <v>32730</v>
      </c>
      <c r="B32731" s="2" t="str">
        <f>IFERROR(__xludf.DUMMYFUNCTION("GOOGLETRANSLATE(A32731, ""de"", ""en"")"),"scpd")</f>
        <v>scpd</v>
      </c>
    </row>
    <row r="32732">
      <c r="A32732" s="1" t="s">
        <v>32731</v>
      </c>
      <c r="B32732" s="2" t="str">
        <f>IFERROR(__xludf.DUMMYFUNCTION("GOOGLETRANSLATE(A32732, ""de"", ""en"")"),"bitterman")</f>
        <v>bitterman</v>
      </c>
    </row>
    <row r="32733">
      <c r="A32733" s="1" t="s">
        <v>32732</v>
      </c>
      <c r="B32733" s="2" t="str">
        <f>IFERROR(__xludf.DUMMYFUNCTION("GOOGLETRANSLATE(A32733, ""de"", ""en"")"),"notice")</f>
        <v>notice</v>
      </c>
    </row>
    <row r="32734">
      <c r="A32734" s="1" t="s">
        <v>32733</v>
      </c>
      <c r="B32734" s="2" t="str">
        <f>IFERROR(__xludf.DUMMYFUNCTION("GOOGLETRANSLATE(A32734, ""de"", ""en"")"),"stomach")</f>
        <v>stomach</v>
      </c>
    </row>
    <row r="32735">
      <c r="A32735" s="1" t="s">
        <v>32734</v>
      </c>
      <c r="B32735" s="2" t="str">
        <f>IFERROR(__xludf.DUMMYFUNCTION("GOOGLETRANSLATE(A32735, ""de"", ""en"")"),"input.input")</f>
        <v>input.input</v>
      </c>
    </row>
    <row r="32736">
      <c r="A32736" s="1" t="s">
        <v>32735</v>
      </c>
      <c r="B32736" s="2" t="str">
        <f>IFERROR(__xludf.DUMMYFUNCTION("GOOGLETRANSLATE(A32736, ""de"", ""en"")"),"promising")</f>
        <v>promising</v>
      </c>
    </row>
    <row r="32737">
      <c r="A32737" s="1" t="s">
        <v>32736</v>
      </c>
      <c r="B32737" s="2" t="str">
        <f>IFERROR(__xludf.DUMMYFUNCTION("GOOGLETRANSLATE(A32737, ""de"", ""en"")"),"gate")</f>
        <v>gate</v>
      </c>
    </row>
    <row r="32738">
      <c r="A32738" s="1" t="s">
        <v>32737</v>
      </c>
      <c r="B32738" s="2" t="str">
        <f>IFERROR(__xludf.DUMMYFUNCTION("GOOGLETRANSLATE(A32738, ""de"", ""en"")"),"poison gas")</f>
        <v>poison gas</v>
      </c>
    </row>
    <row r="32739">
      <c r="A32739" s="1" t="s">
        <v>32738</v>
      </c>
      <c r="B32739" s="2" t="str">
        <f>IFERROR(__xludf.DUMMYFUNCTION("GOOGLETRANSLATE(A32739, ""de"", ""en"")"),"tranny")</f>
        <v>tranny</v>
      </c>
    </row>
    <row r="32740">
      <c r="A32740" s="1" t="s">
        <v>32739</v>
      </c>
      <c r="B32740" s="2" t="str">
        <f>IFERROR(__xludf.DUMMYFUNCTION("GOOGLETRANSLATE(A32740, ""de"", ""en"")"),"more pious")</f>
        <v>more pious</v>
      </c>
    </row>
    <row r="32741">
      <c r="A32741" s="1" t="s">
        <v>32740</v>
      </c>
      <c r="B32741" s="2" t="str">
        <f>IFERROR(__xludf.DUMMYFUNCTION("GOOGLETRANSLATE(A32741, ""de"", ""en"")"),"stubbornness")</f>
        <v>stubbornness</v>
      </c>
    </row>
    <row r="32742">
      <c r="A32742" s="1" t="s">
        <v>32741</v>
      </c>
      <c r="B32742" s="2" t="str">
        <f>IFERROR(__xludf.DUMMYFUNCTION("GOOGLETRANSLATE(A32742, ""de"", ""en"")"),"right to vote")</f>
        <v>right to vote</v>
      </c>
    </row>
    <row r="32743">
      <c r="A32743" s="1" t="s">
        <v>32742</v>
      </c>
      <c r="B32743" s="2" t="str">
        <f>IFERROR(__xludf.DUMMYFUNCTION("GOOGLETRANSLATE(A32743, ""de"", ""en"")"),"occur")</f>
        <v>occur</v>
      </c>
    </row>
    <row r="32744">
      <c r="A32744" s="1" t="s">
        <v>32743</v>
      </c>
      <c r="B32744" s="2" t="str">
        <f>IFERROR(__xludf.DUMMYFUNCTION("GOOGLETRANSLATE(A32744, ""de"", ""en"")"),"projected")</f>
        <v>projected</v>
      </c>
    </row>
    <row r="32745">
      <c r="A32745" s="1" t="s">
        <v>32744</v>
      </c>
      <c r="B32745" s="2" t="str">
        <f>IFERROR(__xludf.DUMMYFUNCTION("GOOGLETRANSLATE(A32745, ""de"", ""en"")"),"beg")</f>
        <v>beg</v>
      </c>
    </row>
    <row r="32746">
      <c r="A32746" s="1" t="s">
        <v>32745</v>
      </c>
      <c r="B32746" s="2" t="str">
        <f>IFERROR(__xludf.DUMMYFUNCTION("GOOGLETRANSLATE(A32746, ""de"", ""en"")"),"heirloom")</f>
        <v>heirloom</v>
      </c>
    </row>
    <row r="32747">
      <c r="A32747" s="1" t="s">
        <v>32746</v>
      </c>
      <c r="B32747" s="2" t="str">
        <f>IFERROR(__xludf.DUMMYFUNCTION("GOOGLETRANSLATE(A32747, ""de"", ""en"")"),"delicious")</f>
        <v>delicious</v>
      </c>
    </row>
    <row r="32748">
      <c r="A32748" s="1" t="s">
        <v>32747</v>
      </c>
      <c r="B32748" s="2" t="str">
        <f>IFERROR(__xludf.DUMMYFUNCTION("GOOGLETRANSLATE(A32748, ""de"", ""en"")"),"Griswold")</f>
        <v>Griswold</v>
      </c>
    </row>
    <row r="32749">
      <c r="A32749" s="1" t="s">
        <v>32748</v>
      </c>
      <c r="B32749" s="2" t="str">
        <f>IFERROR(__xludf.DUMMYFUNCTION("GOOGLETRANSLATE(A32749, ""de"", ""en"")"),"useless")</f>
        <v>useless</v>
      </c>
    </row>
    <row r="32750">
      <c r="A32750" s="1" t="s">
        <v>32749</v>
      </c>
      <c r="B32750" s="2" t="str">
        <f>IFERROR(__xludf.DUMMYFUNCTION("GOOGLETRANSLATE(A32750, ""de"", ""en"")"),"ongoing")</f>
        <v>ongoing</v>
      </c>
    </row>
    <row r="32751">
      <c r="A32751" s="1" t="s">
        <v>32750</v>
      </c>
      <c r="B32751" s="2" t="str">
        <f>IFERROR(__xludf.DUMMYFUNCTION("GOOGLETRANSLATE(A32751, ""de"", ""en"")"),"to go along")</f>
        <v>to go along</v>
      </c>
    </row>
    <row r="32752">
      <c r="A32752" s="1" t="s">
        <v>32751</v>
      </c>
      <c r="B32752" s="2" t="str">
        <f>IFERROR(__xludf.DUMMYFUNCTION("GOOGLETRANSLATE(A32752, ""de"", ""en"")"),"guacamole")</f>
        <v>guacamole</v>
      </c>
    </row>
    <row r="32753">
      <c r="A32753" s="1" t="s">
        <v>32752</v>
      </c>
      <c r="B32753" s="2" t="str">
        <f>IFERROR(__xludf.DUMMYFUNCTION("GOOGLETRANSLATE(A32753, ""de"", ""en"")"),"offensive")</f>
        <v>offensive</v>
      </c>
    </row>
    <row r="32754">
      <c r="A32754" s="1" t="s">
        <v>32753</v>
      </c>
      <c r="B32754" s="2" t="str">
        <f>IFERROR(__xludf.DUMMYFUNCTION("GOOGLETRANSLATE(A32754, ""de"", ""en"")"),"verbal")</f>
        <v>verbal</v>
      </c>
    </row>
    <row r="32755">
      <c r="A32755" s="1" t="s">
        <v>32754</v>
      </c>
      <c r="B32755" s="2" t="str">
        <f>IFERROR(__xludf.DUMMYFUNCTION("GOOGLETRANSLATE(A32755, ""de"", ""en"")"),"colonial")</f>
        <v>colonial</v>
      </c>
    </row>
    <row r="32756">
      <c r="A32756" s="1" t="s">
        <v>32755</v>
      </c>
      <c r="B32756" s="2" t="str">
        <f>IFERROR(__xludf.DUMMYFUNCTION("GOOGLETRANSLATE(A32756, ""de"", ""en"")"),"hester sue")</f>
        <v>hester sue</v>
      </c>
    </row>
    <row r="32757">
      <c r="A32757" s="1" t="s">
        <v>32756</v>
      </c>
      <c r="B32757" s="2" t="str">
        <f>IFERROR(__xludf.DUMMYFUNCTION("GOOGLETRANSLATE(A32757, ""de"", ""en"")"),"holograms")</f>
        <v>holograms</v>
      </c>
    </row>
    <row r="32758">
      <c r="A32758" s="1" t="s">
        <v>32757</v>
      </c>
      <c r="B32758" s="2" t="str">
        <f>IFERROR(__xludf.DUMMYFUNCTION("GOOGLETRANSLATE(A32758, ""de"", ""en"")"),"extract")</f>
        <v>extract</v>
      </c>
    </row>
    <row r="32759">
      <c r="A32759" s="1" t="s">
        <v>32758</v>
      </c>
      <c r="B32759" s="2" t="str">
        <f>IFERROR(__xludf.DUMMYFUNCTION("GOOGLETRANSLATE(A32759, ""de"", ""en"")"),"gun violence")</f>
        <v>gun violence</v>
      </c>
    </row>
    <row r="32760">
      <c r="A32760" s="1" t="s">
        <v>32759</v>
      </c>
      <c r="B32760" s="2" t="str">
        <f>IFERROR(__xludf.DUMMYFUNCTION("GOOGLETRANSLATE(A32760, ""de"", ""en"")"),"chandler")</f>
        <v>chandler</v>
      </c>
    </row>
    <row r="32761">
      <c r="A32761" s="1" t="s">
        <v>32760</v>
      </c>
      <c r="B32761" s="2" t="str">
        <f>IFERROR(__xludf.DUMMYFUNCTION("GOOGLETRANSLATE(A32761, ""de"", ""en"")"),"Mining")</f>
        <v>Mining</v>
      </c>
    </row>
    <row r="32762">
      <c r="A32762" s="1" t="s">
        <v>32761</v>
      </c>
      <c r="B32762" s="2" t="str">
        <f>IFERROR(__xludf.DUMMYFUNCTION("GOOGLETRANSLATE(A32762, ""de"", ""en"")"),"ballantine")</f>
        <v>ballantine</v>
      </c>
    </row>
    <row r="32763">
      <c r="A32763" s="1" t="s">
        <v>32762</v>
      </c>
      <c r="B32763" s="2" t="str">
        <f>IFERROR(__xludf.DUMMYFUNCTION("GOOGLETRANSLATE(A32763, ""de"", ""en"")"),"military base")</f>
        <v>military base</v>
      </c>
    </row>
    <row r="32764">
      <c r="A32764" s="1" t="s">
        <v>32763</v>
      </c>
      <c r="B32764" s="2" t="str">
        <f>IFERROR(__xludf.DUMMYFUNCTION("GOOGLETRANSLATE(A32764, ""de"", ""en"")"),"door opener")</f>
        <v>door opener</v>
      </c>
    </row>
    <row r="32765">
      <c r="A32765" s="1" t="s">
        <v>32764</v>
      </c>
      <c r="B32765" s="2" t="str">
        <f>IFERROR(__xludf.DUMMYFUNCTION("GOOGLETRANSLATE(A32765, ""de"", ""en"")"),"mutations")</f>
        <v>mutations</v>
      </c>
    </row>
    <row r="32766">
      <c r="A32766" s="1" t="s">
        <v>32765</v>
      </c>
      <c r="B32766" s="2" t="str">
        <f>IFERROR(__xludf.DUMMYFUNCTION("GOOGLETRANSLATE(A32766, ""de"", ""en"")"),"to recognize")</f>
        <v>to recognize</v>
      </c>
    </row>
    <row r="32767">
      <c r="A32767" s="1" t="s">
        <v>32766</v>
      </c>
      <c r="B32767" s="2" t="str">
        <f>IFERROR(__xludf.DUMMYFUNCTION("GOOGLETRANSLATE(A32767, ""de"", ""en"")"),"reliable")</f>
        <v>reliable</v>
      </c>
    </row>
    <row r="32768">
      <c r="A32768" s="1" t="s">
        <v>32767</v>
      </c>
      <c r="B32768" s="2" t="str">
        <f>IFERROR(__xludf.DUMMYFUNCTION("GOOGLETRANSLATE(A32768, ""de"", ""en"")"),"seppel")</f>
        <v>seppel</v>
      </c>
    </row>
    <row r="32769">
      <c r="A32769" s="1" t="s">
        <v>32768</v>
      </c>
      <c r="B32769" s="2" t="str">
        <f>IFERROR(__xludf.DUMMYFUNCTION("GOOGLETRANSLATE(A32769, ""de"", ""en"")"),"exploration")</f>
        <v>exploration</v>
      </c>
    </row>
    <row r="32770">
      <c r="A32770" s="1" t="s">
        <v>32769</v>
      </c>
      <c r="B32770" s="2" t="str">
        <f>IFERROR(__xludf.DUMMYFUNCTION("GOOGLETRANSLATE(A32770, ""de"", ""en"")"),"handsome")</f>
        <v>handsome</v>
      </c>
    </row>
    <row r="32771">
      <c r="A32771" s="1" t="s">
        <v>32770</v>
      </c>
      <c r="B32771" s="2" t="str">
        <f>IFERROR(__xludf.DUMMYFUNCTION("GOOGLETRANSLATE(A32771, ""de"", ""en"")"),"communicator")</f>
        <v>communicator</v>
      </c>
    </row>
    <row r="32772">
      <c r="A32772" s="1" t="s">
        <v>32771</v>
      </c>
      <c r="B32772" s="2" t="str">
        <f>IFERROR(__xludf.DUMMYFUNCTION("GOOGLETRANSLATE(A32772, ""de"", ""en"")"),"branch manager")</f>
        <v>branch manager</v>
      </c>
    </row>
    <row r="32773">
      <c r="A32773" s="1" t="s">
        <v>32772</v>
      </c>
      <c r="B32773" s="2" t="str">
        <f>IFERROR(__xludf.DUMMYFUNCTION("GOOGLETRANSLATE(A32773, ""de"", ""en"")"),"kiko")</f>
        <v>kiko</v>
      </c>
    </row>
    <row r="32774">
      <c r="A32774" s="1" t="s">
        <v>32773</v>
      </c>
      <c r="B32774" s="2" t="str">
        <f>IFERROR(__xludf.DUMMYFUNCTION("GOOGLETRANSLATE(A32774, ""de"", ""en"")"),"lobotomy")</f>
        <v>lobotomy</v>
      </c>
    </row>
    <row r="32775">
      <c r="A32775" s="1" t="s">
        <v>32774</v>
      </c>
      <c r="B32775" s="2" t="str">
        <f>IFERROR(__xludf.DUMMYFUNCTION("GOOGLETRANSLATE(A32775, ""de"", ""en"")"),"hao")</f>
        <v>hao</v>
      </c>
    </row>
    <row r="32776">
      <c r="A32776" s="1" t="s">
        <v>32775</v>
      </c>
      <c r="B32776" s="2" t="str">
        <f>IFERROR(__xludf.DUMMYFUNCTION("GOOGLETRANSLATE(A32776, ""de"", ""en"")"),"mapped out")</f>
        <v>mapped out</v>
      </c>
    </row>
    <row r="32777">
      <c r="A32777" s="1" t="s">
        <v>32776</v>
      </c>
      <c r="B32777" s="2" t="str">
        <f>IFERROR(__xludf.DUMMYFUNCTION("GOOGLETRANSLATE(A32777, ""de"", ""en"")"),"yip")</f>
        <v>yip</v>
      </c>
    </row>
    <row r="32778">
      <c r="A32778" s="1" t="s">
        <v>32777</v>
      </c>
      <c r="B32778" s="2" t="str">
        <f>IFERROR(__xludf.DUMMYFUNCTION("GOOGLETRANSLATE(A32778, ""de"", ""en"")"),"blood bank")</f>
        <v>blood bank</v>
      </c>
    </row>
    <row r="32779">
      <c r="A32779" s="1" t="s">
        <v>32778</v>
      </c>
      <c r="B32779" s="2" t="str">
        <f>IFERROR(__xludf.DUMMYFUNCTION("GOOGLETRANSLATE(A32779, ""de"", ""en"")"),"antue")</f>
        <v>antue</v>
      </c>
    </row>
    <row r="32780">
      <c r="A32780" s="1" t="s">
        <v>32779</v>
      </c>
      <c r="B32780" s="2" t="str">
        <f>IFERROR(__xludf.DUMMYFUNCTION("GOOGLETRANSLATE(A32780, ""de"", ""en"")"),"firing squad")</f>
        <v>firing squad</v>
      </c>
    </row>
    <row r="32781">
      <c r="A32781" s="1" t="s">
        <v>32780</v>
      </c>
      <c r="B32781" s="2" t="str">
        <f>IFERROR(__xludf.DUMMYFUNCTION("GOOGLETRANSLATE(A32781, ""de"", ""en"")"),"extensively")</f>
        <v>extensively</v>
      </c>
    </row>
    <row r="32782">
      <c r="A32782" s="1" t="s">
        <v>32781</v>
      </c>
      <c r="B32782" s="2" t="str">
        <f>IFERROR(__xludf.DUMMYFUNCTION("GOOGLETRANSLATE(A32782, ""de"", ""en"")"),"send out")</f>
        <v>send out</v>
      </c>
    </row>
    <row r="32783">
      <c r="A32783" s="1" t="s">
        <v>32782</v>
      </c>
      <c r="B32783" s="2" t="str">
        <f>IFERROR(__xludf.DUMMYFUNCTION("GOOGLETRANSLATE(A32783, ""de"", ""en"")"),"calcium")</f>
        <v>calcium</v>
      </c>
    </row>
    <row r="32784">
      <c r="A32784" s="1" t="s">
        <v>32783</v>
      </c>
      <c r="B32784" s="2" t="str">
        <f>IFERROR(__xludf.DUMMYFUNCTION("GOOGLETRANSLATE(A32784, ""de"", ""en"")"),"car racing")</f>
        <v>car racing</v>
      </c>
    </row>
    <row r="32785">
      <c r="A32785" s="1" t="s">
        <v>32784</v>
      </c>
      <c r="B32785" s="2" t="str">
        <f>IFERROR(__xludf.DUMMYFUNCTION("GOOGLETRANSLATE(A32785, ""de"", ""en"")"),"assassination attempt")</f>
        <v>assassination attempt</v>
      </c>
    </row>
    <row r="32786">
      <c r="A32786" s="1" t="s">
        <v>32785</v>
      </c>
      <c r="B32786" s="2" t="str">
        <f>IFERROR(__xludf.DUMMYFUNCTION("GOOGLETRANSLATE(A32786, ""de"", ""en"")"),"happened")</f>
        <v>happened</v>
      </c>
    </row>
    <row r="32787">
      <c r="A32787" s="1" t="s">
        <v>32786</v>
      </c>
      <c r="B32787" s="2" t="str">
        <f>IFERROR(__xludf.DUMMYFUNCTION("GOOGLETRANSLATE(A32787, ""de"", ""en"")"),"enzymes")</f>
        <v>enzymes</v>
      </c>
    </row>
    <row r="32788">
      <c r="A32788" s="1" t="s">
        <v>32787</v>
      </c>
      <c r="B32788" s="2" t="str">
        <f>IFERROR(__xludf.DUMMYFUNCTION("GOOGLETRANSLATE(A32788, ""de"", ""en"")"),"back then")</f>
        <v>back then</v>
      </c>
    </row>
    <row r="32789">
      <c r="A32789" s="1" t="s">
        <v>32788</v>
      </c>
      <c r="B32789" s="2" t="str">
        <f>IFERROR(__xludf.DUMMYFUNCTION("GOOGLETRANSLATE(A32789, ""de"", ""en"")"),"soles")</f>
        <v>soles</v>
      </c>
    </row>
    <row r="32790">
      <c r="A32790" s="1" t="s">
        <v>32789</v>
      </c>
      <c r="B32790" s="2" t="str">
        <f>IFERROR(__xludf.DUMMYFUNCTION("GOOGLETRANSLATE(A32790, ""de"", ""en"")"),"year of construction")</f>
        <v>year of construction</v>
      </c>
    </row>
    <row r="32791">
      <c r="A32791" s="1" t="s">
        <v>32790</v>
      </c>
      <c r="B32791" s="2" t="str">
        <f>IFERROR(__xludf.DUMMYFUNCTION("GOOGLETRANSLATE(A32791, ""de"", ""en"")"),"moz")</f>
        <v>moz</v>
      </c>
    </row>
    <row r="32792">
      <c r="A32792" s="1" t="s">
        <v>32791</v>
      </c>
      <c r="B32792" s="2" t="str">
        <f>IFERROR(__xludf.DUMMYFUNCTION("GOOGLETRANSLATE(A32792, ""de"", ""en"")"),"articles")</f>
        <v>articles</v>
      </c>
    </row>
    <row r="32793">
      <c r="A32793" s="1" t="s">
        <v>32792</v>
      </c>
      <c r="B32793" s="2" t="str">
        <f>IFERROR(__xludf.DUMMYFUNCTION("GOOGLETRANSLATE(A32793, ""de"", ""en"")"),"clockwise")</f>
        <v>clockwise</v>
      </c>
    </row>
    <row r="32794">
      <c r="A32794" s="1" t="s">
        <v>32793</v>
      </c>
      <c r="B32794" s="2" t="str">
        <f>IFERROR(__xludf.DUMMYFUNCTION("GOOGLETRANSLATE(A32794, ""de"", ""en"")"),"inferior")</f>
        <v>inferior</v>
      </c>
    </row>
    <row r="32795">
      <c r="A32795" s="1" t="s">
        <v>32794</v>
      </c>
      <c r="B32795" s="2" t="str">
        <f>IFERROR(__xludf.DUMMYFUNCTION("GOOGLETRANSLATE(A32795, ""de"", ""en"")"),"byrne")</f>
        <v>byrne</v>
      </c>
    </row>
    <row r="32796">
      <c r="A32796" s="1" t="s">
        <v>32795</v>
      </c>
      <c r="B32796" s="2" t="str">
        <f>IFERROR(__xludf.DUMMYFUNCTION("GOOGLETRANSLATE(A32796, ""de"", ""en"")"),"regular")</f>
        <v>regular</v>
      </c>
    </row>
    <row r="32797">
      <c r="A32797" s="1" t="s">
        <v>32796</v>
      </c>
      <c r="B32797" s="2" t="str">
        <f>IFERROR(__xludf.DUMMYFUNCTION("GOOGLETRANSLATE(A32797, ""de"", ""en"")"),"scatter")</f>
        <v>scatter</v>
      </c>
    </row>
    <row r="32798">
      <c r="A32798" s="1" t="s">
        <v>32797</v>
      </c>
      <c r="B32798" s="2" t="str">
        <f>IFERROR(__xludf.DUMMYFUNCTION("GOOGLETRANSLATE(A32798, ""de"", ""en"")"),"stapler")</f>
        <v>stapler</v>
      </c>
    </row>
    <row r="32799">
      <c r="A32799" s="1" t="s">
        <v>32798</v>
      </c>
      <c r="B32799" s="2" t="str">
        <f>IFERROR(__xludf.DUMMYFUNCTION("GOOGLETRANSLATE(A32799, ""de"", ""en"")"),"hematoma")</f>
        <v>hematoma</v>
      </c>
    </row>
    <row r="32800">
      <c r="A32800" s="1" t="s">
        <v>32799</v>
      </c>
      <c r="B32800" s="2" t="str">
        <f>IFERROR(__xludf.DUMMYFUNCTION("GOOGLETRANSLATE(A32800, ""de"", ""en"")"),"virgin")</f>
        <v>virgin</v>
      </c>
    </row>
    <row r="32801">
      <c r="A32801" s="1" t="s">
        <v>32800</v>
      </c>
      <c r="B32801" s="2" t="str">
        <f>IFERROR(__xludf.DUMMYFUNCTION("GOOGLETRANSLATE(A32801, ""de"", ""en"")"),"excellent")</f>
        <v>excellent</v>
      </c>
    </row>
    <row r="32802">
      <c r="A32802" s="1" t="s">
        <v>32801</v>
      </c>
      <c r="B32802" s="2" t="str">
        <f>IFERROR(__xludf.DUMMYFUNCTION("GOOGLETRANSLATE(A32802, ""de"", ""en"")"),"tired")</f>
        <v>tired</v>
      </c>
    </row>
    <row r="32803">
      <c r="A32803" s="1" t="s">
        <v>32802</v>
      </c>
      <c r="B32803" s="2" t="str">
        <f>IFERROR(__xludf.DUMMYFUNCTION("GOOGLETRANSLATE(A32803, ""de"", ""en"")"),"go there")</f>
        <v>go there</v>
      </c>
    </row>
    <row r="32804">
      <c r="A32804" s="1" t="s">
        <v>32803</v>
      </c>
      <c r="B32804" s="2" t="str">
        <f>IFERROR(__xludf.DUMMYFUNCTION("GOOGLETRANSLATE(A32804, ""de"", ""en"")"),"Nassar")</f>
        <v>Nassar</v>
      </c>
    </row>
    <row r="32805">
      <c r="A32805" s="1" t="s">
        <v>32804</v>
      </c>
      <c r="B32805" s="2" t="str">
        <f>IFERROR(__xludf.DUMMYFUNCTION("GOOGLETRANSLATE(A32805, ""de"", ""en"")"),"smoke detector")</f>
        <v>smoke detector</v>
      </c>
    </row>
    <row r="32806">
      <c r="A32806" s="1" t="s">
        <v>32805</v>
      </c>
      <c r="B32806" s="2" t="str">
        <f>IFERROR(__xludf.DUMMYFUNCTION("GOOGLETRANSLATE(A32806, ""de"", ""en"")"),"dunes")</f>
        <v>dunes</v>
      </c>
    </row>
    <row r="32807">
      <c r="A32807" s="1" t="s">
        <v>32806</v>
      </c>
      <c r="B32807" s="2" t="str">
        <f>IFERROR(__xludf.DUMMYFUNCTION("GOOGLETRANSLATE(A32807, ""de"", ""en"")"),"missing")</f>
        <v>missing</v>
      </c>
    </row>
    <row r="32808">
      <c r="A32808" s="1" t="s">
        <v>32807</v>
      </c>
      <c r="B32808" s="2" t="str">
        <f>IFERROR(__xludf.DUMMYFUNCTION("GOOGLETRANSLATE(A32808, ""de"", ""en"")"),"returned home")</f>
        <v>returned home</v>
      </c>
    </row>
    <row r="32809">
      <c r="A32809" s="1" t="s">
        <v>32808</v>
      </c>
      <c r="B32809" s="2" t="str">
        <f>IFERROR(__xludf.DUMMYFUNCTION("GOOGLETRANSLATE(A32809, ""de"", ""en"")"),"cuter")</f>
        <v>cuter</v>
      </c>
    </row>
    <row r="32810">
      <c r="A32810" s="1" t="s">
        <v>32809</v>
      </c>
      <c r="B32810" s="2" t="str">
        <f>IFERROR(__xludf.DUMMYFUNCTION("GOOGLETRANSLATE(A32810, ""de"", ""en"")"),"year old")</f>
        <v>year old</v>
      </c>
    </row>
    <row r="32811">
      <c r="A32811" s="1" t="s">
        <v>32810</v>
      </c>
      <c r="B32811" s="2" t="str">
        <f>IFERROR(__xludf.DUMMYFUNCTION("GOOGLETRANSLATE(A32811, ""de"", ""en"")"),"baked")</f>
        <v>baked</v>
      </c>
    </row>
    <row r="32812">
      <c r="A32812" s="1" t="s">
        <v>32811</v>
      </c>
      <c r="B32812" s="2" t="str">
        <f>IFERROR(__xludf.DUMMYFUNCTION("GOOGLETRANSLATE(A32812, ""de"", ""en"")"),"purposeful")</f>
        <v>purposeful</v>
      </c>
    </row>
    <row r="32813">
      <c r="A32813" s="1" t="s">
        <v>32812</v>
      </c>
      <c r="B32813" s="2" t="str">
        <f>IFERROR(__xludf.DUMMYFUNCTION("GOOGLETRANSLATE(A32813, ""de"", ""en"")"),"daves")</f>
        <v>daves</v>
      </c>
    </row>
    <row r="32814">
      <c r="A32814" s="1" t="s">
        <v>32813</v>
      </c>
      <c r="B32814" s="2" t="str">
        <f>IFERROR(__xludf.DUMMYFUNCTION("GOOGLETRANSLATE(A32814, ""de"", ""en"")"),"arises")</f>
        <v>arises</v>
      </c>
    </row>
    <row r="32815">
      <c r="A32815" s="1" t="s">
        <v>32814</v>
      </c>
      <c r="B32815" s="2" t="str">
        <f>IFERROR(__xludf.DUMMYFUNCTION("GOOGLETRANSLATE(A32815, ""de"", ""en"")"),"finish")</f>
        <v>finish</v>
      </c>
    </row>
    <row r="32816">
      <c r="A32816" s="1" t="s">
        <v>32815</v>
      </c>
      <c r="B32816" s="2" t="str">
        <f>IFERROR(__xludf.DUMMYFUNCTION("GOOGLETRANSLATE(A32816, ""de"", ""en"")"),"thighs")</f>
        <v>thighs</v>
      </c>
    </row>
    <row r="32817">
      <c r="A32817" s="1" t="s">
        <v>32816</v>
      </c>
      <c r="B32817" s="2" t="str">
        <f>IFERROR(__xludf.DUMMYFUNCTION("GOOGLETRANSLATE(A32817, ""de"", ""en"")"),"taken away")</f>
        <v>taken away</v>
      </c>
    </row>
    <row r="32818">
      <c r="A32818" s="1" t="s">
        <v>32817</v>
      </c>
      <c r="B32818" s="2" t="str">
        <f>IFERROR(__xludf.DUMMYFUNCTION("GOOGLETRANSLATE(A32818, ""de"", ""en"")"),"driver")</f>
        <v>driver</v>
      </c>
    </row>
    <row r="32819">
      <c r="A32819" s="1" t="s">
        <v>32818</v>
      </c>
      <c r="B32819" s="2" t="str">
        <f>IFERROR(__xludf.DUMMYFUNCTION("GOOGLETRANSLATE(A32819, ""de"", ""en"")"),"sport")</f>
        <v>sport</v>
      </c>
    </row>
    <row r="32820">
      <c r="A32820" s="1" t="s">
        <v>32819</v>
      </c>
      <c r="B32820" s="2" t="str">
        <f>IFERROR(__xludf.DUMMYFUNCTION("GOOGLETRANSLATE(A32820, ""de"", ""en"")"),"irrelevant")</f>
        <v>irrelevant</v>
      </c>
    </row>
    <row r="32821">
      <c r="A32821" s="1" t="s">
        <v>32820</v>
      </c>
      <c r="B32821" s="2" t="str">
        <f>IFERROR(__xludf.DUMMYFUNCTION("GOOGLETRANSLATE(A32821, ""de"", ""en"")"),"world history")</f>
        <v>world history</v>
      </c>
    </row>
    <row r="32822">
      <c r="A32822" s="1" t="s">
        <v>32821</v>
      </c>
      <c r="B32822" s="2" t="str">
        <f>IFERROR(__xludf.DUMMYFUNCTION("GOOGLETRANSLATE(A32822, ""de"", ""en"")"),"seamus")</f>
        <v>seamus</v>
      </c>
    </row>
    <row r="32823">
      <c r="A32823" s="1" t="s">
        <v>32822</v>
      </c>
      <c r="B32823" s="2" t="str">
        <f>IFERROR(__xludf.DUMMYFUNCTION("GOOGLETRANSLATE(A32823, ""de"", ""en"")"),"follow")</f>
        <v>follow</v>
      </c>
    </row>
    <row r="32824">
      <c r="A32824" s="1" t="s">
        <v>32823</v>
      </c>
      <c r="B32824" s="2" t="str">
        <f>IFERROR(__xludf.DUMMYFUNCTION("GOOGLETRANSLATE(A32824, ""de"", ""en"")"),"paulson")</f>
        <v>paulson</v>
      </c>
    </row>
    <row r="32825">
      <c r="A32825" s="1" t="s">
        <v>32824</v>
      </c>
      <c r="B32825" s="2" t="str">
        <f>IFERROR(__xludf.DUMMYFUNCTION("GOOGLETRANSLATE(A32825, ""de"", ""en"")"),"target group")</f>
        <v>target group</v>
      </c>
    </row>
    <row r="32826">
      <c r="A32826" s="1" t="s">
        <v>32825</v>
      </c>
      <c r="B32826" s="2" t="str">
        <f>IFERROR(__xludf.DUMMYFUNCTION("GOOGLETRANSLATE(A32826, ""de"", ""en"")"),"pay off")</f>
        <v>pay off</v>
      </c>
    </row>
    <row r="32827">
      <c r="A32827" s="1" t="s">
        <v>32826</v>
      </c>
      <c r="B32827" s="2" t="str">
        <f>IFERROR(__xludf.DUMMYFUNCTION("GOOGLETRANSLATE(A32827, ""de"", ""en"")"),"sore throat")</f>
        <v>sore throat</v>
      </c>
    </row>
    <row r="32828">
      <c r="A32828" s="1" t="s">
        <v>32827</v>
      </c>
      <c r="B32828" s="2" t="str">
        <f>IFERROR(__xludf.DUMMYFUNCTION("GOOGLETRANSLATE(A32828, ""de"", ""en"")"),"crown prince")</f>
        <v>crown prince</v>
      </c>
    </row>
    <row r="32829">
      <c r="A32829" s="1" t="s">
        <v>32828</v>
      </c>
      <c r="B32829" s="2" t="str">
        <f>IFERROR(__xludf.DUMMYFUNCTION("GOOGLETRANSLATE(A32829, ""de"", ""en"")"),"boynton")</f>
        <v>boynton</v>
      </c>
    </row>
    <row r="32830">
      <c r="A32830" s="1" t="s">
        <v>32829</v>
      </c>
      <c r="B32830" s="2" t="str">
        <f>IFERROR(__xludf.DUMMYFUNCTION("GOOGLETRANSLATE(A32830, ""de"", ""en"")"),"whiny")</f>
        <v>whiny</v>
      </c>
    </row>
    <row r="32831">
      <c r="A32831" s="1" t="s">
        <v>32830</v>
      </c>
      <c r="B32831" s="2" t="str">
        <f>IFERROR(__xludf.DUMMYFUNCTION("GOOGLETRANSLATE(A32831, ""de"", ""en"")"),"barons")</f>
        <v>barons</v>
      </c>
    </row>
    <row r="32832">
      <c r="A32832" s="1" t="s">
        <v>32831</v>
      </c>
      <c r="B32832" s="2" t="str">
        <f>IFERROR(__xludf.DUMMYFUNCTION("GOOGLETRANSLATE(A32832, ""de"", ""en"")"),"darker")</f>
        <v>darker</v>
      </c>
    </row>
    <row r="32833">
      <c r="A32833" s="1" t="s">
        <v>32832</v>
      </c>
      <c r="B32833" s="2" t="str">
        <f>IFERROR(__xludf.DUMMYFUNCTION("GOOGLETRANSLATE(A32833, ""de"", ""en"")"),"chiana")</f>
        <v>chiana</v>
      </c>
    </row>
    <row r="32834">
      <c r="A32834" s="1" t="s">
        <v>32833</v>
      </c>
      <c r="B32834" s="2" t="str">
        <f>IFERROR(__xludf.DUMMYFUNCTION("GOOGLETRANSLATE(A32834, ""de"", ""en"")"),"s01e02")</f>
        <v>s01e02</v>
      </c>
    </row>
    <row r="32835">
      <c r="A32835" s="1" t="s">
        <v>32834</v>
      </c>
      <c r="B32835" s="2" t="str">
        <f>IFERROR(__xludf.DUMMYFUNCTION("GOOGLETRANSLATE(A32835, ""de"", ""en"")"),"mi5")</f>
        <v>mi5</v>
      </c>
    </row>
    <row r="32836">
      <c r="A32836" s="1" t="s">
        <v>32835</v>
      </c>
      <c r="B32836" s="2" t="str">
        <f>IFERROR(__xludf.DUMMYFUNCTION("GOOGLETRANSLATE(A32836, ""de"", ""en"")"),"skates")</f>
        <v>skates</v>
      </c>
    </row>
    <row r="32837">
      <c r="A32837" s="1" t="s">
        <v>32836</v>
      </c>
      <c r="B32837" s="2" t="str">
        <f>IFERROR(__xludf.DUMMYFUNCTION("GOOGLETRANSLATE(A32837, ""de"", ""en"")"),"grogan")</f>
        <v>grogan</v>
      </c>
    </row>
    <row r="32838">
      <c r="A32838" s="1" t="s">
        <v>32837</v>
      </c>
      <c r="B32838" s="2" t="str">
        <f>IFERROR(__xludf.DUMMYFUNCTION("GOOGLETRANSLATE(A32838, ""de"", ""en"")"),"sections")</f>
        <v>sections</v>
      </c>
    </row>
    <row r="32839">
      <c r="A32839" s="1" t="s">
        <v>32838</v>
      </c>
      <c r="B32839" s="2" t="str">
        <f>IFERROR(__xludf.DUMMYFUNCTION("GOOGLETRANSLATE(A32839, ""de"", ""en"")"),"avocado")</f>
        <v>avocado</v>
      </c>
    </row>
    <row r="32840">
      <c r="A32840" s="1" t="s">
        <v>32839</v>
      </c>
      <c r="B32840" s="2" t="str">
        <f>IFERROR(__xludf.DUMMYFUNCTION("GOOGLETRANSLATE(A32840, ""de"", ""en"")"),"lawyers")</f>
        <v>lawyers</v>
      </c>
    </row>
    <row r="32841">
      <c r="A32841" s="1" t="s">
        <v>32840</v>
      </c>
      <c r="B32841" s="2" t="str">
        <f>IFERROR(__xludf.DUMMYFUNCTION("GOOGLETRANSLATE(A32841, ""de"", ""en"")"),"weathers")</f>
        <v>weathers</v>
      </c>
    </row>
    <row r="32842">
      <c r="A32842" s="1" t="s">
        <v>32841</v>
      </c>
      <c r="B32842" s="2" t="str">
        <f>IFERROR(__xludf.DUMMYFUNCTION("GOOGLETRANSLATE(A32842, ""de"", ""en"")"),"Voldemort")</f>
        <v>Voldemort</v>
      </c>
    </row>
    <row r="32843">
      <c r="A32843" s="1" t="s">
        <v>32842</v>
      </c>
      <c r="B32843" s="2" t="str">
        <f>IFERROR(__xludf.DUMMYFUNCTION("GOOGLETRANSLATE(A32843, ""de"", ""en"")"),"dolphin")</f>
        <v>dolphin</v>
      </c>
    </row>
    <row r="32844">
      <c r="A32844" s="1" t="s">
        <v>32843</v>
      </c>
      <c r="B32844" s="2" t="str">
        <f>IFERROR(__xludf.DUMMYFUNCTION("GOOGLETRANSLATE(A32844, ""de"", ""en"")"),"expand")</f>
        <v>expand</v>
      </c>
    </row>
    <row r="32845">
      <c r="A32845" s="1" t="s">
        <v>32844</v>
      </c>
      <c r="B32845" s="2" t="str">
        <f>IFERROR(__xludf.DUMMYFUNCTION("GOOGLETRANSLATE(A32845, ""de"", ""en"")"),"sneaked")</f>
        <v>sneaked</v>
      </c>
    </row>
    <row r="32846">
      <c r="A32846" s="1" t="s">
        <v>32845</v>
      </c>
      <c r="B32846" s="2" t="str">
        <f>IFERROR(__xludf.DUMMYFUNCTION("GOOGLETRANSLATE(A32846, ""de"", ""en"")"),"abortions")</f>
        <v>abortions</v>
      </c>
    </row>
    <row r="32847">
      <c r="A32847" s="1" t="s">
        <v>32846</v>
      </c>
      <c r="B32847" s="2" t="str">
        <f>IFERROR(__xludf.DUMMYFUNCTION("GOOGLETRANSLATE(A32847, ""de"", ""en"")"),"doyles")</f>
        <v>doyles</v>
      </c>
    </row>
    <row r="32848">
      <c r="A32848" s="1" t="s">
        <v>32847</v>
      </c>
      <c r="B32848" s="2" t="str">
        <f>IFERROR(__xludf.DUMMYFUNCTION("GOOGLETRANSLATE(A32848, ""de"", ""en"")"),"snapped")</f>
        <v>snapped</v>
      </c>
    </row>
    <row r="32849">
      <c r="A32849" s="1" t="s">
        <v>32848</v>
      </c>
      <c r="B32849" s="2" t="str">
        <f>IFERROR(__xludf.DUMMYFUNCTION("GOOGLETRANSLATE(A32849, ""de"", ""en"")"),"liquid")</f>
        <v>liquid</v>
      </c>
    </row>
    <row r="32850">
      <c r="A32850" s="1" t="s">
        <v>32849</v>
      </c>
      <c r="B32850" s="2" t="str">
        <f>IFERROR(__xludf.DUMMYFUNCTION("GOOGLETRANSLATE(A32850, ""de"", ""en"")"),"jenn")</f>
        <v>jenn</v>
      </c>
    </row>
    <row r="32851">
      <c r="A32851" s="1" t="s">
        <v>32850</v>
      </c>
      <c r="B32851" s="2" t="str">
        <f>IFERROR(__xludf.DUMMYFUNCTION("GOOGLETRANSLATE(A32851, ""de"", ""en"")"),"striking")</f>
        <v>striking</v>
      </c>
    </row>
    <row r="32852">
      <c r="A32852" s="1" t="s">
        <v>32851</v>
      </c>
      <c r="B32852" s="2" t="str">
        <f>IFERROR(__xludf.DUMMYFUNCTION("GOOGLETRANSLATE(A32852, ""de"", ""en"")"),"toils")</f>
        <v>toils</v>
      </c>
    </row>
    <row r="32853">
      <c r="A32853" s="1" t="s">
        <v>32852</v>
      </c>
      <c r="B32853" s="2" t="str">
        <f>IFERROR(__xludf.DUMMYFUNCTION("GOOGLETRANSLATE(A32853, ""de"", ""en"")"),"kindly")</f>
        <v>kindly</v>
      </c>
    </row>
    <row r="32854">
      <c r="A32854" s="1" t="s">
        <v>32853</v>
      </c>
      <c r="B32854" s="2" t="str">
        <f>IFERROR(__xludf.DUMMYFUNCTION("GOOGLETRANSLATE(A32854, ""de"", ""en"")"),"premonitions")</f>
        <v>premonitions</v>
      </c>
    </row>
    <row r="32855">
      <c r="A32855" s="1" t="s">
        <v>32854</v>
      </c>
      <c r="B32855" s="2" t="str">
        <f>IFERROR(__xludf.DUMMYFUNCTION("GOOGLETRANSLATE(A32855, ""de"", ""en"")"),"breaker")</f>
        <v>breaker</v>
      </c>
    </row>
    <row r="32856">
      <c r="A32856" s="1" t="s">
        <v>32855</v>
      </c>
      <c r="B32856" s="2" t="str">
        <f>IFERROR(__xludf.DUMMYFUNCTION("GOOGLETRANSLATE(A32856, ""de"", ""en"")"),"isaacs")</f>
        <v>isaacs</v>
      </c>
    </row>
    <row r="32857">
      <c r="A32857" s="1" t="s">
        <v>32856</v>
      </c>
      <c r="B32857" s="2" t="str">
        <f>IFERROR(__xludf.DUMMYFUNCTION("GOOGLETRANSLATE(A32857, ""de"", ""en"")"),"districts")</f>
        <v>districts</v>
      </c>
    </row>
    <row r="32858">
      <c r="A32858" s="1" t="s">
        <v>32857</v>
      </c>
      <c r="B32858" s="2" t="str">
        <f>IFERROR(__xludf.DUMMYFUNCTION("GOOGLETRANSLATE(A32858, ""de"", ""en"")"),"drag")</f>
        <v>drag</v>
      </c>
    </row>
    <row r="32859">
      <c r="A32859" s="1" t="s">
        <v>32858</v>
      </c>
      <c r="B32859" s="2" t="str">
        <f>IFERROR(__xludf.DUMMYFUNCTION("GOOGLETRANSLATE(A32859, ""de"", ""en"")"),"processor")</f>
        <v>processor</v>
      </c>
    </row>
    <row r="32860">
      <c r="A32860" s="1" t="s">
        <v>32859</v>
      </c>
      <c r="B32860" s="2" t="str">
        <f>IFERROR(__xludf.DUMMYFUNCTION("GOOGLETRANSLATE(A32860, ""de"", ""en"")"),"patris")</f>
        <v>patris</v>
      </c>
    </row>
    <row r="32861">
      <c r="A32861" s="1" t="s">
        <v>32860</v>
      </c>
      <c r="B32861" s="2" t="str">
        <f>IFERROR(__xludf.DUMMYFUNCTION("GOOGLETRANSLATE(A32861, ""de"", ""en"")"),"learned")</f>
        <v>learned</v>
      </c>
    </row>
    <row r="32862">
      <c r="A32862" s="1" t="s">
        <v>32861</v>
      </c>
      <c r="B32862" s="2" t="str">
        <f>IFERROR(__xludf.DUMMYFUNCTION("GOOGLETRANSLATE(A32862, ""de"", ""en"")"),"download")</f>
        <v>download</v>
      </c>
    </row>
    <row r="32863">
      <c r="A32863" s="1" t="s">
        <v>32862</v>
      </c>
      <c r="B32863" s="2" t="str">
        <f>IFERROR(__xludf.DUMMYFUNCTION("GOOGLETRANSLATE(A32863, ""de"", ""en"")"),"guitarist")</f>
        <v>guitarist</v>
      </c>
    </row>
    <row r="32864">
      <c r="A32864" s="1" t="s">
        <v>32863</v>
      </c>
      <c r="B32864" s="2" t="str">
        <f>IFERROR(__xludf.DUMMYFUNCTION("GOOGLETRANSLATE(A32864, ""de"", ""en"")"),"stared")</f>
        <v>stared</v>
      </c>
    </row>
    <row r="32865">
      <c r="A32865" s="1" t="s">
        <v>32864</v>
      </c>
      <c r="B32865" s="2" t="str">
        <f>IFERROR(__xludf.DUMMYFUNCTION("GOOGLETRANSLATE(A32865, ""de"", ""en"")"),"musician")</f>
        <v>musician</v>
      </c>
    </row>
    <row r="32866">
      <c r="A32866" s="1" t="s">
        <v>32865</v>
      </c>
      <c r="B32866" s="2" t="str">
        <f>IFERROR(__xludf.DUMMYFUNCTION("GOOGLETRANSLATE(A32866, ""de"", ""en"")"),"Stephanie")</f>
        <v>Stephanie</v>
      </c>
    </row>
    <row r="32867">
      <c r="A32867" s="1" t="s">
        <v>32866</v>
      </c>
      <c r="B32867" s="2" t="str">
        <f>IFERROR(__xludf.DUMMYFUNCTION("GOOGLETRANSLATE(A32867, ""de"", ""en"")"),"skull")</f>
        <v>skull</v>
      </c>
    </row>
    <row r="32868">
      <c r="A32868" s="1" t="s">
        <v>32867</v>
      </c>
      <c r="B32868" s="2" t="str">
        <f>IFERROR(__xludf.DUMMYFUNCTION("GOOGLETRANSLATE(A32868, ""de"", ""en"")"),"death certificate")</f>
        <v>death certificate</v>
      </c>
    </row>
    <row r="32869">
      <c r="A32869" s="1" t="s">
        <v>32868</v>
      </c>
      <c r="B32869" s="2" t="str">
        <f>IFERROR(__xludf.DUMMYFUNCTION("GOOGLETRANSLATE(A32869, ""de"", ""en"")"),"tragic")</f>
        <v>tragic</v>
      </c>
    </row>
    <row r="32870">
      <c r="A32870" s="1" t="s">
        <v>32869</v>
      </c>
      <c r="B32870" s="2" t="str">
        <f>IFERROR(__xludf.DUMMYFUNCTION("GOOGLETRANSLATE(A32870, ""de"", ""en"")"),"patents")</f>
        <v>patents</v>
      </c>
    </row>
    <row r="32871">
      <c r="A32871" s="1" t="s">
        <v>32870</v>
      </c>
      <c r="B32871" s="2" t="str">
        <f>IFERROR(__xludf.DUMMYFUNCTION("GOOGLETRANSLATE(A32871, ""de"", ""en"")"),"existence")</f>
        <v>existence</v>
      </c>
    </row>
    <row r="32872">
      <c r="A32872" s="1" t="s">
        <v>32871</v>
      </c>
      <c r="B32872" s="2" t="str">
        <f>IFERROR(__xludf.DUMMYFUNCTION("GOOGLETRANSLATE(A32872, ""de"", ""en"")"),"mayor")</f>
        <v>mayor</v>
      </c>
    </row>
    <row r="32873">
      <c r="A32873" s="1" t="s">
        <v>32872</v>
      </c>
      <c r="B32873" s="2" t="str">
        <f>IFERROR(__xludf.DUMMYFUNCTION("GOOGLETRANSLATE(A32873, ""de"", ""en"")"),"groovy")</f>
        <v>groovy</v>
      </c>
    </row>
    <row r="32874">
      <c r="A32874" s="1" t="s">
        <v>32873</v>
      </c>
      <c r="B32874" s="2" t="str">
        <f>IFERROR(__xludf.DUMMYFUNCTION("GOOGLETRANSLATE(A32874, ""de"", ""en"")"),"cannibal")</f>
        <v>cannibal</v>
      </c>
    </row>
    <row r="32875">
      <c r="A32875" s="1" t="s">
        <v>32874</v>
      </c>
      <c r="B32875" s="2" t="str">
        <f>IFERROR(__xludf.DUMMYFUNCTION("GOOGLETRANSLATE(A32875, ""de"", ""en"")"),"thin")</f>
        <v>thin</v>
      </c>
    </row>
    <row r="32876">
      <c r="A32876" s="1" t="s">
        <v>32875</v>
      </c>
      <c r="B32876" s="2" t="str">
        <f>IFERROR(__xludf.DUMMYFUNCTION("GOOGLETRANSLATE(A32876, ""de"", ""en"")"),"hairdryer")</f>
        <v>hairdryer</v>
      </c>
    </row>
    <row r="32877">
      <c r="A32877" s="1" t="s">
        <v>32876</v>
      </c>
      <c r="B32877" s="2" t="str">
        <f>IFERROR(__xludf.DUMMYFUNCTION("GOOGLETRANSLATE(A32877, ""de"", ""en"")"),"cleared")</f>
        <v>cleared</v>
      </c>
    </row>
    <row r="32878">
      <c r="A32878" s="1" t="s">
        <v>32877</v>
      </c>
      <c r="B32878" s="2" t="str">
        <f>IFERROR(__xludf.DUMMYFUNCTION("GOOGLETRANSLATE(A32878, ""de"", ""en"")"),"activists")</f>
        <v>activists</v>
      </c>
    </row>
    <row r="32879">
      <c r="A32879" s="1" t="s">
        <v>32878</v>
      </c>
      <c r="B32879" s="2" t="str">
        <f>IFERROR(__xludf.DUMMYFUNCTION("GOOGLETRANSLATE(A32879, ""de"", ""en"")"),"emergency landing")</f>
        <v>emergency landing</v>
      </c>
    </row>
    <row r="32880">
      <c r="A32880" s="1" t="s">
        <v>32879</v>
      </c>
      <c r="B32880" s="2" t="str">
        <f>IFERROR(__xludf.DUMMYFUNCTION("GOOGLETRANSLATE(A32880, ""de"", ""en"")"),"most modern")</f>
        <v>most modern</v>
      </c>
    </row>
    <row r="32881">
      <c r="A32881" s="1" t="s">
        <v>32880</v>
      </c>
      <c r="B32881" s="2" t="str">
        <f>IFERROR(__xludf.DUMMYFUNCTION("GOOGLETRANSLATE(A32881, ""de"", ""en"")"),"brain cells")</f>
        <v>brain cells</v>
      </c>
    </row>
    <row r="32882">
      <c r="A32882" s="1" t="s">
        <v>32881</v>
      </c>
      <c r="B32882" s="2" t="str">
        <f>IFERROR(__xludf.DUMMYFUNCTION("GOOGLETRANSLATE(A32882, ""de"", ""en"")"),"dating")</f>
        <v>dating</v>
      </c>
    </row>
    <row r="32883">
      <c r="A32883" s="1" t="s">
        <v>32882</v>
      </c>
      <c r="B32883" s="2" t="str">
        <f>IFERROR(__xludf.DUMMYFUNCTION("GOOGLETRANSLATE(A32883, ""de"", ""en"")"),"skillful")</f>
        <v>skillful</v>
      </c>
    </row>
    <row r="32884">
      <c r="A32884" s="1" t="s">
        <v>32883</v>
      </c>
      <c r="B32884" s="2" t="str">
        <f>IFERROR(__xludf.DUMMYFUNCTION("GOOGLETRANSLATE(A32884, ""de"", ""en"")"),"sheds")</f>
        <v>sheds</v>
      </c>
    </row>
    <row r="32885">
      <c r="A32885" s="1" t="s">
        <v>32884</v>
      </c>
      <c r="B32885" s="2" t="str">
        <f>IFERROR(__xludf.DUMMYFUNCTION("GOOGLETRANSLATE(A32885, ""de"", ""en"")"),"alors")</f>
        <v>alors</v>
      </c>
    </row>
    <row r="32886">
      <c r="A32886" s="1" t="s">
        <v>32885</v>
      </c>
      <c r="B32886" s="2" t="str">
        <f>IFERROR(__xludf.DUMMYFUNCTION("GOOGLETRANSLATE(A32886, ""de"", ""en"")"),"psalm")</f>
        <v>psalm</v>
      </c>
    </row>
    <row r="32887">
      <c r="A32887" s="1" t="s">
        <v>32886</v>
      </c>
      <c r="B32887" s="2" t="str">
        <f>IFERROR(__xludf.DUMMYFUNCTION("GOOGLETRANSLATE(A32887, ""de"", ""en"")"),"chamomile tea")</f>
        <v>chamomile tea</v>
      </c>
    </row>
    <row r="32888">
      <c r="A32888" s="1" t="s">
        <v>32887</v>
      </c>
      <c r="B32888" s="2" t="str">
        <f>IFERROR(__xludf.DUMMYFUNCTION("GOOGLETRANSLATE(A32888, ""de"", ""en"")"),"aka")</f>
        <v>aka</v>
      </c>
    </row>
    <row r="32889">
      <c r="A32889" s="1" t="s">
        <v>32888</v>
      </c>
      <c r="B32889" s="2" t="str">
        <f>IFERROR(__xludf.DUMMYFUNCTION("GOOGLETRANSLATE(A32889, ""de"", ""en"")"),"promised")</f>
        <v>promised</v>
      </c>
    </row>
    <row r="32890">
      <c r="A32890" s="1" t="s">
        <v>32889</v>
      </c>
      <c r="B32890" s="2" t="str">
        <f>IFERROR(__xludf.DUMMYFUNCTION("GOOGLETRANSLATE(A32890, ""de"", ""en"")"),"breeze")</f>
        <v>breeze</v>
      </c>
    </row>
    <row r="32891">
      <c r="A32891" s="1" t="s">
        <v>32890</v>
      </c>
      <c r="B32891" s="2" t="str">
        <f>IFERROR(__xludf.DUMMYFUNCTION("GOOGLETRANSLATE(A32891, ""de"", ""en"")"),"retire")</f>
        <v>retire</v>
      </c>
    </row>
    <row r="32892">
      <c r="A32892" s="1" t="s">
        <v>32891</v>
      </c>
      <c r="B32892" s="2" t="str">
        <f>IFERROR(__xludf.DUMMYFUNCTION("GOOGLETRANSLATE(A32892, ""de"", ""en"")"),"inexplicable")</f>
        <v>inexplicable</v>
      </c>
    </row>
    <row r="32893">
      <c r="A32893" s="1" t="s">
        <v>32892</v>
      </c>
      <c r="B32893" s="2" t="str">
        <f>IFERROR(__xludf.DUMMYFUNCTION("GOOGLETRANSLATE(A32893, ""de"", ""en"")"),"sniff")</f>
        <v>sniff</v>
      </c>
    </row>
    <row r="32894">
      <c r="A32894" s="1" t="s">
        <v>32893</v>
      </c>
      <c r="B32894" s="2" t="str">
        <f>IFERROR(__xludf.DUMMYFUNCTION("GOOGLETRANSLATE(A32894, ""de"", ""en"")"),"made up")</f>
        <v>made up</v>
      </c>
    </row>
    <row r="32895">
      <c r="A32895" s="1" t="s">
        <v>32894</v>
      </c>
      <c r="B32895" s="2" t="str">
        <f>IFERROR(__xludf.DUMMYFUNCTION("GOOGLETRANSLATE(A32895, ""de"", ""en"")"),"yokohama")</f>
        <v>yokohama</v>
      </c>
    </row>
    <row r="32896">
      <c r="A32896" s="1" t="s">
        <v>32895</v>
      </c>
      <c r="B32896" s="2" t="str">
        <f>IFERROR(__xludf.DUMMYFUNCTION("GOOGLETRANSLATE(A32896, ""de"", ""en"")"),"first aid kit")</f>
        <v>first aid kit</v>
      </c>
    </row>
    <row r="32897">
      <c r="A32897" s="1" t="s">
        <v>32896</v>
      </c>
      <c r="B32897" s="2" t="str">
        <f>IFERROR(__xludf.DUMMYFUNCTION("GOOGLETRANSLATE(A32897, ""de"", ""en"")"),"foreigners")</f>
        <v>foreigners</v>
      </c>
    </row>
    <row r="32898">
      <c r="A32898" s="1" t="s">
        <v>32897</v>
      </c>
      <c r="B32898" s="2" t="str">
        <f>IFERROR(__xludf.DUMMYFUNCTION("GOOGLETRANSLATE(A32898, ""de"", ""en"")"),"Glover")</f>
        <v>Glover</v>
      </c>
    </row>
    <row r="32899">
      <c r="A32899" s="1" t="s">
        <v>32898</v>
      </c>
      <c r="B32899" s="2" t="str">
        <f>IFERROR(__xludf.DUMMYFUNCTION("GOOGLETRANSLATE(A32899, ""de"", ""en"")"),"spheres")</f>
        <v>spheres</v>
      </c>
    </row>
    <row r="32900">
      <c r="A32900" s="1" t="s">
        <v>32899</v>
      </c>
      <c r="B32900" s="2" t="str">
        <f>IFERROR(__xludf.DUMMYFUNCTION("GOOGLETRANSLATE(A32900, ""de"", ""en"")"),"macpherson")</f>
        <v>macpherson</v>
      </c>
    </row>
    <row r="32901">
      <c r="A32901" s="1" t="s">
        <v>32900</v>
      </c>
      <c r="B32901" s="2" t="str">
        <f>IFERROR(__xludf.DUMMYFUNCTION("GOOGLETRANSLATE(A32901, ""de"", ""en"")"),"comes in")</f>
        <v>comes in</v>
      </c>
    </row>
    <row r="32902">
      <c r="A32902" s="1" t="s">
        <v>32901</v>
      </c>
      <c r="B32902" s="2" t="str">
        <f>IFERROR(__xludf.DUMMYFUNCTION("GOOGLETRANSLATE(A32902, ""de"", ""en"")"),"convincing")</f>
        <v>convincing</v>
      </c>
    </row>
    <row r="32903">
      <c r="A32903" s="1" t="s">
        <v>32902</v>
      </c>
      <c r="B32903" s="2" t="str">
        <f>IFERROR(__xludf.DUMMYFUNCTION("GOOGLETRANSLATE(A32903, ""de"", ""en"")"),"directed")</f>
        <v>directed</v>
      </c>
    </row>
    <row r="32904">
      <c r="A32904" s="1" t="s">
        <v>32903</v>
      </c>
      <c r="B32904" s="2" t="str">
        <f>IFERROR(__xludf.DUMMYFUNCTION("GOOGLETRANSLATE(A32904, ""de"", ""en"")"),"rising")</f>
        <v>rising</v>
      </c>
    </row>
    <row r="32905">
      <c r="A32905" s="1" t="s">
        <v>32904</v>
      </c>
      <c r="B32905" s="2" t="str">
        <f>IFERROR(__xludf.DUMMYFUNCTION("GOOGLETRANSLATE(A32905, ""de"", ""en"")"),"mistrusted")</f>
        <v>mistrusted</v>
      </c>
    </row>
    <row r="32906">
      <c r="A32906" s="1" t="s">
        <v>32905</v>
      </c>
      <c r="B32906" s="2" t="str">
        <f>IFERROR(__xludf.DUMMYFUNCTION("GOOGLETRANSLATE(A32906, ""de"", ""en"")"),"channels")</f>
        <v>channels</v>
      </c>
    </row>
    <row r="32907">
      <c r="A32907" s="1" t="s">
        <v>32906</v>
      </c>
      <c r="B32907" s="2" t="str">
        <f>IFERROR(__xludf.DUMMYFUNCTION("GOOGLETRANSLATE(A32907, ""de"", ""en"")"),"abysmal")</f>
        <v>abysmal</v>
      </c>
    </row>
    <row r="32908">
      <c r="A32908" s="1" t="s">
        <v>32907</v>
      </c>
      <c r="B32908" s="2" t="str">
        <f>IFERROR(__xludf.DUMMYFUNCTION("GOOGLETRANSLATE(A32908, ""de"", ""en"")"),"hereditary")</f>
        <v>hereditary</v>
      </c>
    </row>
    <row r="32909">
      <c r="A32909" s="1" t="s">
        <v>32908</v>
      </c>
      <c r="B32909" s="2" t="str">
        <f>IFERROR(__xludf.DUMMYFUNCTION("GOOGLETRANSLATE(A32909, ""de"", ""en"")"),"controversial")</f>
        <v>controversial</v>
      </c>
    </row>
    <row r="32910">
      <c r="A32910" s="1" t="s">
        <v>32909</v>
      </c>
      <c r="B32910" s="2" t="str">
        <f>IFERROR(__xludf.DUMMYFUNCTION("GOOGLETRANSLATE(A32910, ""de"", ""en"")"),"powder keg")</f>
        <v>powder keg</v>
      </c>
    </row>
    <row r="32911">
      <c r="A32911" s="1" t="s">
        <v>32910</v>
      </c>
      <c r="B32911" s="2" t="str">
        <f>IFERROR(__xludf.DUMMYFUNCTION("GOOGLETRANSLATE(A32911, ""de"", ""en"")"),"cravings")</f>
        <v>cravings</v>
      </c>
    </row>
    <row r="32912">
      <c r="A32912" s="1" t="s">
        <v>32911</v>
      </c>
      <c r="B32912" s="2" t="str">
        <f>IFERROR(__xludf.DUMMYFUNCTION("GOOGLETRANSLATE(A32912, ""de"", ""en"")"),"helping")</f>
        <v>helping</v>
      </c>
    </row>
    <row r="32913">
      <c r="A32913" s="1" t="s">
        <v>32912</v>
      </c>
      <c r="B32913" s="2" t="str">
        <f>IFERROR(__xludf.DUMMYFUNCTION("GOOGLETRANSLATE(A32913, ""de"", ""en"")"),"noticed")</f>
        <v>noticed</v>
      </c>
    </row>
    <row r="32914">
      <c r="A32914" s="1" t="s">
        <v>32913</v>
      </c>
      <c r="B32914" s="2" t="str">
        <f>IFERROR(__xludf.DUMMYFUNCTION("GOOGLETRANSLATE(A32914, ""de"", ""en"")"),"delicate")</f>
        <v>delicate</v>
      </c>
    </row>
    <row r="32915">
      <c r="A32915" s="1" t="s">
        <v>32914</v>
      </c>
      <c r="B32915" s="2" t="str">
        <f>IFERROR(__xludf.DUMMYFUNCTION("GOOGLETRANSLATE(A32915, ""de"", ""en"")"),"woodbury")</f>
        <v>woodbury</v>
      </c>
    </row>
    <row r="32916">
      <c r="A32916" s="1" t="s">
        <v>32915</v>
      </c>
      <c r="B32916" s="2" t="str">
        <f>IFERROR(__xludf.DUMMYFUNCTION("GOOGLETRANSLATE(A32916, ""de"", ""en"")"),"used")</f>
        <v>used</v>
      </c>
    </row>
    <row r="32917">
      <c r="A32917" s="1" t="s">
        <v>32916</v>
      </c>
      <c r="B32917" s="2" t="str">
        <f>IFERROR(__xludf.DUMMYFUNCTION("GOOGLETRANSLATE(A32917, ""de"", ""en"")"),"sway")</f>
        <v>sway</v>
      </c>
    </row>
    <row r="32918">
      <c r="A32918" s="1" t="s">
        <v>32917</v>
      </c>
      <c r="B32918" s="2" t="str">
        <f>IFERROR(__xludf.DUMMYFUNCTION("GOOGLETRANSLATE(A32918, ""de"", ""en"")"),"stormed")</f>
        <v>stormed</v>
      </c>
    </row>
    <row r="32919">
      <c r="A32919" s="1" t="s">
        <v>32918</v>
      </c>
      <c r="B32919" s="2" t="str">
        <f>IFERROR(__xludf.DUMMYFUNCTION("GOOGLETRANSLATE(A32919, ""de"", ""en"")"),"audience")</f>
        <v>audience</v>
      </c>
    </row>
    <row r="32920">
      <c r="A32920" s="1" t="s">
        <v>32919</v>
      </c>
      <c r="B32920" s="2" t="str">
        <f>IFERROR(__xludf.DUMMYFUNCTION("GOOGLETRANSLATE(A32920, ""de"", ""en"")"),"signing")</f>
        <v>signing</v>
      </c>
    </row>
    <row r="32921">
      <c r="A32921" s="1" t="s">
        <v>32920</v>
      </c>
      <c r="B32921" s="2" t="str">
        <f>IFERROR(__xludf.DUMMYFUNCTION("GOOGLETRANSLATE(A32921, ""de"", ""en"")"),"adoption")</f>
        <v>adoption</v>
      </c>
    </row>
    <row r="32922">
      <c r="A32922" s="1" t="s">
        <v>32921</v>
      </c>
      <c r="B32922" s="2" t="str">
        <f>IFERROR(__xludf.DUMMYFUNCTION("GOOGLETRANSLATE(A32922, ""de"", ""en"")"),"cyanide")</f>
        <v>cyanide</v>
      </c>
    </row>
    <row r="32923">
      <c r="A32923" s="1" t="s">
        <v>32922</v>
      </c>
      <c r="B32923" s="2" t="str">
        <f>IFERROR(__xludf.DUMMYFUNCTION("GOOGLETRANSLATE(A32923, ""de"", ""en"")"),"obvious")</f>
        <v>obvious</v>
      </c>
    </row>
    <row r="32924">
      <c r="A32924" s="1" t="s">
        <v>32923</v>
      </c>
      <c r="B32924" s="2" t="str">
        <f>IFERROR(__xludf.DUMMYFUNCTION("GOOGLETRANSLATE(A32924, ""de"", ""en"")"),"later")</f>
        <v>later</v>
      </c>
    </row>
    <row r="32925">
      <c r="A32925" s="1" t="s">
        <v>32924</v>
      </c>
      <c r="B32925" s="2" t="str">
        <f>IFERROR(__xludf.DUMMYFUNCTION("GOOGLETRANSLATE(A32925, ""de"", ""en"")"),"meat")</f>
        <v>meat</v>
      </c>
    </row>
    <row r="32926">
      <c r="A32926" s="1" t="s">
        <v>32925</v>
      </c>
      <c r="B32926" s="2" t="str">
        <f>IFERROR(__xludf.DUMMYFUNCTION("GOOGLETRANSLATE(A32926, ""de"", ""en"")"),"bosses")</f>
        <v>bosses</v>
      </c>
    </row>
    <row r="32927">
      <c r="A32927" s="1" t="s">
        <v>32926</v>
      </c>
      <c r="B32927" s="2" t="str">
        <f>IFERROR(__xludf.DUMMYFUNCTION("GOOGLETRANSLATE(A32927, ""de"", ""en"")"),"mule")</f>
        <v>mule</v>
      </c>
    </row>
    <row r="32928">
      <c r="A32928" s="1" t="s">
        <v>32927</v>
      </c>
      <c r="B32928" s="2" t="str">
        <f>IFERROR(__xludf.DUMMYFUNCTION("GOOGLETRANSLATE(A32928, ""de"", ""en"")"),"football")</f>
        <v>football</v>
      </c>
    </row>
    <row r="32929">
      <c r="A32929" s="1" t="s">
        <v>32928</v>
      </c>
      <c r="B32929" s="2" t="str">
        <f>IFERROR(__xludf.DUMMYFUNCTION("GOOGLETRANSLATE(A32929, ""de"", ""en"")"),"debate")</f>
        <v>debate</v>
      </c>
    </row>
    <row r="32930">
      <c r="A32930" s="1" t="s">
        <v>32929</v>
      </c>
      <c r="B32930" s="2" t="str">
        <f>IFERROR(__xludf.DUMMYFUNCTION("GOOGLETRANSLATE(A32930, ""de"", ""en"")"),"superior")</f>
        <v>superior</v>
      </c>
    </row>
    <row r="32931">
      <c r="A32931" s="1" t="s">
        <v>32930</v>
      </c>
      <c r="B32931" s="2" t="str">
        <f>IFERROR(__xludf.DUMMYFUNCTION("GOOGLETRANSLATE(A32931, ""de"", ""en"")"),"eat")</f>
        <v>eat</v>
      </c>
    </row>
    <row r="32932">
      <c r="A32932" s="1" t="s">
        <v>32931</v>
      </c>
      <c r="B32932" s="2" t="str">
        <f>IFERROR(__xludf.DUMMYFUNCTION("GOOGLETRANSLATE(A32932, ""de"", ""en"")"),"gas pipe")</f>
        <v>gas pipe</v>
      </c>
    </row>
    <row r="32933">
      <c r="A32933" s="1" t="s">
        <v>32932</v>
      </c>
      <c r="B32933" s="2" t="str">
        <f>IFERROR(__xludf.DUMMYFUNCTION("GOOGLETRANSLATE(A32933, ""de"", ""en"")"),"hilly")</f>
        <v>hilly</v>
      </c>
    </row>
    <row r="32934">
      <c r="A32934" s="1" t="s">
        <v>32933</v>
      </c>
      <c r="B32934" s="2" t="str">
        <f>IFERROR(__xludf.DUMMYFUNCTION("GOOGLETRANSLATE(A32934, ""de"", ""en"")"),"sisters")</f>
        <v>sisters</v>
      </c>
    </row>
    <row r="32935">
      <c r="A32935" s="1" t="s">
        <v>32934</v>
      </c>
      <c r="B32935" s="2" t="str">
        <f>IFERROR(__xludf.DUMMYFUNCTION("GOOGLETRANSLATE(A32935, ""de"", ""en"")"),"flag")</f>
        <v>flag</v>
      </c>
    </row>
    <row r="32936">
      <c r="A32936" s="1" t="s">
        <v>32935</v>
      </c>
      <c r="B32936" s="2" t="str">
        <f>IFERROR(__xludf.DUMMYFUNCTION("GOOGLETRANSLATE(A32936, ""de"", ""en"")"),"inedible")</f>
        <v>inedible</v>
      </c>
    </row>
    <row r="32937">
      <c r="A32937" s="1" t="s">
        <v>32936</v>
      </c>
      <c r="B32937" s="2" t="str">
        <f>IFERROR(__xludf.DUMMYFUNCTION("GOOGLETRANSLATE(A32937, ""de"", ""en"")"),"amphetamines")</f>
        <v>amphetamines</v>
      </c>
    </row>
    <row r="32938">
      <c r="A32938" s="1" t="s">
        <v>32937</v>
      </c>
      <c r="B32938" s="2" t="str">
        <f>IFERROR(__xludf.DUMMYFUNCTION("GOOGLETRANSLATE(A32938, ""de"", ""en"")"),"fantasizes")</f>
        <v>fantasizes</v>
      </c>
    </row>
    <row r="32939">
      <c r="A32939" s="1" t="s">
        <v>32938</v>
      </c>
      <c r="B32939" s="2" t="str">
        <f>IFERROR(__xludf.DUMMYFUNCTION("GOOGLETRANSLATE(A32939, ""de"", ""en"")"),"feet")</f>
        <v>feet</v>
      </c>
    </row>
    <row r="32940">
      <c r="A32940" s="1" t="s">
        <v>32939</v>
      </c>
      <c r="B32940" s="2" t="str">
        <f>IFERROR(__xludf.DUMMYFUNCTION("GOOGLETRANSLATE(A32940, ""de"", ""en"")"),"haunt")</f>
        <v>haunt</v>
      </c>
    </row>
    <row r="32941">
      <c r="A32941" s="1" t="s">
        <v>32940</v>
      </c>
      <c r="B32941" s="2" t="str">
        <f>IFERROR(__xludf.DUMMYFUNCTION("GOOGLETRANSLATE(A32941, ""de"", ""en"")"),"Sheryl")</f>
        <v>Sheryl</v>
      </c>
    </row>
    <row r="32942">
      <c r="A32942" s="1" t="s">
        <v>32941</v>
      </c>
      <c r="B32942" s="2" t="str">
        <f>IFERROR(__xludf.DUMMYFUNCTION("GOOGLETRANSLATE(A32942, ""de"", ""en"")"),"shitty job")</f>
        <v>shitty job</v>
      </c>
    </row>
    <row r="32943">
      <c r="A32943" s="1" t="s">
        <v>32942</v>
      </c>
      <c r="B32943" s="2" t="str">
        <f>IFERROR(__xludf.DUMMYFUNCTION("GOOGLETRANSLATE(A32943, ""de"", ""en"")"),"to point out")</f>
        <v>to point out</v>
      </c>
    </row>
    <row r="32944">
      <c r="A32944" s="1" t="s">
        <v>32943</v>
      </c>
      <c r="B32944" s="2" t="str">
        <f>IFERROR(__xludf.DUMMYFUNCTION("GOOGLETRANSLATE(A32944, ""de"", ""en"")"),"Barbados")</f>
        <v>Barbados</v>
      </c>
    </row>
    <row r="32945">
      <c r="A32945" s="1" t="s">
        <v>32944</v>
      </c>
      <c r="B32945" s="2" t="str">
        <f>IFERROR(__xludf.DUMMYFUNCTION("GOOGLETRANSLATE(A32945, ""de"", ""en"")"),"reproduce")</f>
        <v>reproduce</v>
      </c>
    </row>
    <row r="32946">
      <c r="A32946" s="1" t="s">
        <v>32945</v>
      </c>
      <c r="B32946" s="2" t="str">
        <f>IFERROR(__xludf.DUMMYFUNCTION("GOOGLETRANSLATE(A32946, ""de"", ""en"")"),"bent")</f>
        <v>bent</v>
      </c>
    </row>
    <row r="32947">
      <c r="A32947" s="1" t="s">
        <v>32946</v>
      </c>
      <c r="B32947" s="2" t="str">
        <f>IFERROR(__xludf.DUMMYFUNCTION("GOOGLETRANSLATE(A32947, ""de"", ""en"")"),"drums")</f>
        <v>drums</v>
      </c>
    </row>
    <row r="32948">
      <c r="A32948" s="1" t="s">
        <v>32947</v>
      </c>
      <c r="B32948" s="2" t="str">
        <f>IFERROR(__xludf.DUMMYFUNCTION("GOOGLETRANSLATE(A32948, ""de"", ""en"")"),"watched")</f>
        <v>watched</v>
      </c>
    </row>
    <row r="32949">
      <c r="A32949" s="1" t="s">
        <v>32948</v>
      </c>
      <c r="B32949" s="2" t="str">
        <f>IFERROR(__xludf.DUMMYFUNCTION("GOOGLETRANSLATE(A32949, ""de"", ""en"")"),"city ​​limits")</f>
        <v>city ​​limits</v>
      </c>
    </row>
    <row r="32950">
      <c r="A32950" s="1" t="s">
        <v>32949</v>
      </c>
      <c r="B32950" s="2" t="str">
        <f>IFERROR(__xludf.DUMMYFUNCTION("GOOGLETRANSLATE(A32950, ""de"", ""en"")"),"kitty")</f>
        <v>kitty</v>
      </c>
    </row>
    <row r="32951">
      <c r="A32951" s="1" t="s">
        <v>32950</v>
      </c>
      <c r="B32951" s="2" t="str">
        <f>IFERROR(__xludf.DUMMYFUNCTION("GOOGLETRANSLATE(A32951, ""de"", ""en"")"),"sleepwalking")</f>
        <v>sleepwalking</v>
      </c>
    </row>
    <row r="32952">
      <c r="A32952" s="1" t="s">
        <v>32951</v>
      </c>
      <c r="B32952" s="2" t="str">
        <f>IFERROR(__xludf.DUMMYFUNCTION("GOOGLETRANSLATE(A32952, ""de"", ""en"")"),"shift")</f>
        <v>shift</v>
      </c>
    </row>
    <row r="32953">
      <c r="A32953" s="1" t="s">
        <v>32952</v>
      </c>
      <c r="B32953" s="2" t="str">
        <f>IFERROR(__xludf.DUMMYFUNCTION("GOOGLETRANSLATE(A32953, ""de"", ""en"")"),"murder cases")</f>
        <v>murder cases</v>
      </c>
    </row>
    <row r="32954">
      <c r="A32954" s="1" t="s">
        <v>32953</v>
      </c>
      <c r="B32954" s="2" t="str">
        <f>IFERROR(__xludf.DUMMYFUNCTION("GOOGLETRANSLATE(A32954, ""de"", ""en"")"),"extent")</f>
        <v>extent</v>
      </c>
    </row>
    <row r="32955">
      <c r="A32955" s="1" t="s">
        <v>32954</v>
      </c>
      <c r="B32955" s="2" t="str">
        <f>IFERROR(__xludf.DUMMYFUNCTION("GOOGLETRANSLATE(A32955, ""de"", ""en"")"),"lifeguard")</f>
        <v>lifeguard</v>
      </c>
    </row>
    <row r="32956">
      <c r="A32956" s="1" t="s">
        <v>32955</v>
      </c>
      <c r="B32956" s="2" t="str">
        <f>IFERROR(__xludf.DUMMYFUNCTION("GOOGLETRANSLATE(A32956, ""de"", ""en"")"),"smoked")</f>
        <v>smoked</v>
      </c>
    </row>
    <row r="32957">
      <c r="A32957" s="1" t="s">
        <v>32956</v>
      </c>
      <c r="B32957" s="2" t="str">
        <f>IFERROR(__xludf.DUMMYFUNCTION("GOOGLETRANSLATE(A32957, ""de"", ""en"")"),"excellent")</f>
        <v>excellent</v>
      </c>
    </row>
    <row r="32958">
      <c r="A32958" s="1" t="s">
        <v>32957</v>
      </c>
      <c r="B32958" s="2" t="str">
        <f>IFERROR(__xludf.DUMMYFUNCTION("GOOGLETRANSLATE(A32958, ""de"", ""en"")"),"bratwurst")</f>
        <v>bratwurst</v>
      </c>
    </row>
    <row r="32959">
      <c r="A32959" s="1" t="s">
        <v>32958</v>
      </c>
      <c r="B32959" s="2" t="str">
        <f>IFERROR(__xludf.DUMMYFUNCTION("GOOGLETRANSLATE(A32959, ""de"", ""en"")"),"percent")</f>
        <v>percent</v>
      </c>
    </row>
    <row r="32960">
      <c r="A32960" s="1" t="s">
        <v>32959</v>
      </c>
      <c r="B32960" s="2" t="str">
        <f>IFERROR(__xludf.DUMMYFUNCTION("GOOGLETRANSLATE(A32960, ""de"", ""en"")"),"roar")</f>
        <v>roar</v>
      </c>
    </row>
    <row r="32961">
      <c r="A32961" s="1" t="s">
        <v>32960</v>
      </c>
      <c r="B32961" s="2" t="str">
        <f>IFERROR(__xludf.DUMMYFUNCTION("GOOGLETRANSLATE(A32961, ""de"", ""en"")"),"to demonstrate")</f>
        <v>to demonstrate</v>
      </c>
    </row>
    <row r="32962">
      <c r="A32962" s="1" t="s">
        <v>32961</v>
      </c>
      <c r="B32962" s="2" t="str">
        <f>IFERROR(__xludf.DUMMYFUNCTION("GOOGLETRANSLATE(A32962, ""de"", ""en"")"),"mind you")</f>
        <v>mind you</v>
      </c>
    </row>
    <row r="32963">
      <c r="A32963" s="1" t="s">
        <v>32962</v>
      </c>
      <c r="B32963" s="2" t="str">
        <f>IFERROR(__xludf.DUMMYFUNCTION("GOOGLETRANSLATE(A32963, ""de"", ""en"")"),"warm-hearted")</f>
        <v>warm-hearted</v>
      </c>
    </row>
    <row r="32964">
      <c r="A32964" s="1" t="s">
        <v>32963</v>
      </c>
      <c r="B32964" s="2" t="str">
        <f>IFERROR(__xludf.DUMMYFUNCTION("GOOGLETRANSLATE(A32964, ""de"", ""en"")"),"wisdom")</f>
        <v>wisdom</v>
      </c>
    </row>
    <row r="32965">
      <c r="A32965" s="1" t="s">
        <v>32964</v>
      </c>
      <c r="B32965" s="2" t="str">
        <f>IFERROR(__xludf.DUMMYFUNCTION("GOOGLETRANSLATE(A32965, ""de"", ""en"")"),"clumsy")</f>
        <v>clumsy</v>
      </c>
    </row>
    <row r="32966">
      <c r="A32966" s="1" t="s">
        <v>32965</v>
      </c>
      <c r="B32966" s="2" t="str">
        <f>IFERROR(__xludf.DUMMYFUNCTION("GOOGLETRANSLATE(A32966, ""de"", ""en"")"),"blanc")</f>
        <v>blanc</v>
      </c>
    </row>
    <row r="32967">
      <c r="A32967" s="1" t="s">
        <v>32966</v>
      </c>
      <c r="B32967" s="2" t="str">
        <f>IFERROR(__xludf.DUMMYFUNCTION("GOOGLETRANSLATE(A32967, ""de"", ""en"")"),"emery")</f>
        <v>emery</v>
      </c>
    </row>
    <row r="32968">
      <c r="A32968" s="1" t="s">
        <v>32967</v>
      </c>
      <c r="B32968" s="2" t="str">
        <f>IFERROR(__xludf.DUMMYFUNCTION("GOOGLETRANSLATE(A32968, ""de"", ""en"")"),"urgh")</f>
        <v>urgh</v>
      </c>
    </row>
    <row r="32969">
      <c r="A32969" s="1" t="s">
        <v>32968</v>
      </c>
      <c r="B32969" s="2" t="str">
        <f>IFERROR(__xludf.DUMMYFUNCTION("GOOGLETRANSLATE(A32969, ""de"", ""en"")"),"academic year")</f>
        <v>academic year</v>
      </c>
    </row>
    <row r="32970">
      <c r="A32970" s="1" t="s">
        <v>32969</v>
      </c>
      <c r="B32970" s="2" t="str">
        <f>IFERROR(__xludf.DUMMYFUNCTION("GOOGLETRANSLATE(A32970, ""de"", ""en"")"),"hair salon")</f>
        <v>hair salon</v>
      </c>
    </row>
    <row r="32971">
      <c r="A32971" s="1" t="s">
        <v>32970</v>
      </c>
      <c r="B32971" s="2" t="str">
        <f>IFERROR(__xludf.DUMMYFUNCTION("GOOGLETRANSLATE(A32971, ""de"", ""en"")"),"swallow")</f>
        <v>swallow</v>
      </c>
    </row>
    <row r="32972">
      <c r="A32972" s="1" t="s">
        <v>32971</v>
      </c>
      <c r="B32972" s="2" t="str">
        <f>IFERROR(__xludf.DUMMYFUNCTION("GOOGLETRANSLATE(A32972, ""de"", ""en"")"),"gator")</f>
        <v>gator</v>
      </c>
    </row>
    <row r="32973">
      <c r="A32973" s="1" t="s">
        <v>32972</v>
      </c>
      <c r="B32973" s="2" t="str">
        <f>IFERROR(__xludf.DUMMYFUNCTION("GOOGLETRANSLATE(A32973, ""de"", ""en"")"),"frontmost")</f>
        <v>frontmost</v>
      </c>
    </row>
    <row r="32974">
      <c r="A32974" s="1" t="s">
        <v>32973</v>
      </c>
      <c r="B32974" s="2" t="str">
        <f>IFERROR(__xludf.DUMMYFUNCTION("GOOGLETRANSLATE(A32974, ""de"", ""en"")"),"fixed")</f>
        <v>fixed</v>
      </c>
    </row>
    <row r="32975">
      <c r="A32975" s="1" t="s">
        <v>32974</v>
      </c>
      <c r="B32975" s="2" t="str">
        <f>IFERROR(__xludf.DUMMYFUNCTION("GOOGLETRANSLATE(A32975, ""de"", ""en"")"),"Cheddar")</f>
        <v>Cheddar</v>
      </c>
    </row>
    <row r="32976">
      <c r="A32976" s="1" t="s">
        <v>32975</v>
      </c>
      <c r="B32976" s="2" t="str">
        <f>IFERROR(__xludf.DUMMYFUNCTION("GOOGLETRANSLATE(A32976, ""de"", ""en"")"),"lotta")</f>
        <v>lotta</v>
      </c>
    </row>
    <row r="32977">
      <c r="A32977" s="1" t="s">
        <v>32976</v>
      </c>
      <c r="B32977" s="2" t="str">
        <f>IFERROR(__xludf.DUMMYFUNCTION("GOOGLETRANSLATE(A32977, ""de"", ""en"")"),"swear word")</f>
        <v>swear word</v>
      </c>
    </row>
    <row r="32978">
      <c r="A32978" s="1" t="s">
        <v>32977</v>
      </c>
      <c r="B32978" s="2" t="str">
        <f>IFERROR(__xludf.DUMMYFUNCTION("GOOGLETRANSLATE(A32978, ""de"", ""en"")"),"tromaville")</f>
        <v>tromaville</v>
      </c>
    </row>
    <row r="32979">
      <c r="A32979" s="1" t="s">
        <v>32978</v>
      </c>
      <c r="B32979" s="2" t="str">
        <f>IFERROR(__xludf.DUMMYFUNCTION("GOOGLETRANSLATE(A32979, ""de"", ""en"")"),"designed")</f>
        <v>designed</v>
      </c>
    </row>
    <row r="32980">
      <c r="A32980" s="1" t="s">
        <v>32979</v>
      </c>
      <c r="B32980" s="2" t="str">
        <f>IFERROR(__xludf.DUMMYFUNCTION("GOOGLETRANSLATE(A32980, ""de"", ""en"")"),"shriller")</f>
        <v>shriller</v>
      </c>
    </row>
    <row r="32981">
      <c r="A32981" s="1" t="s">
        <v>32980</v>
      </c>
      <c r="B32981" s="2" t="str">
        <f>IFERROR(__xludf.DUMMYFUNCTION("GOOGLETRANSLATE(A32981, ""de"", ""en"")"),"cover")</f>
        <v>cover</v>
      </c>
    </row>
    <row r="32982">
      <c r="A32982" s="1" t="s">
        <v>32981</v>
      </c>
      <c r="B32982" s="2" t="str">
        <f>IFERROR(__xludf.DUMMYFUNCTION("GOOGLETRANSLATE(A32982, ""de"", ""en"")"),"pornstar")</f>
        <v>pornstar</v>
      </c>
    </row>
    <row r="32983">
      <c r="A32983" s="1" t="s">
        <v>32982</v>
      </c>
      <c r="B32983" s="2" t="str">
        <f>IFERROR(__xludf.DUMMYFUNCTION("GOOGLETRANSLATE(A32983, ""de"", ""en"")"),"single")</f>
        <v>single</v>
      </c>
    </row>
    <row r="32984">
      <c r="A32984" s="1" t="s">
        <v>32983</v>
      </c>
      <c r="B32984" s="2" t="str">
        <f>IFERROR(__xludf.DUMMYFUNCTION("GOOGLETRANSLATE(A32984, ""de"", ""en"")"),"national park")</f>
        <v>national park</v>
      </c>
    </row>
    <row r="32985">
      <c r="A32985" s="1" t="s">
        <v>32984</v>
      </c>
      <c r="B32985" s="2" t="str">
        <f>IFERROR(__xludf.DUMMYFUNCTION("GOOGLETRANSLATE(A32985, ""de"", ""en"")"),"acid")</f>
        <v>acid</v>
      </c>
    </row>
    <row r="32986">
      <c r="A32986" s="1" t="s">
        <v>32985</v>
      </c>
      <c r="B32986" s="2" t="str">
        <f>IFERROR(__xludf.DUMMYFUNCTION("GOOGLETRANSLATE(A32986, ""de"", ""en"")"),"demos")</f>
        <v>demos</v>
      </c>
    </row>
    <row r="32987">
      <c r="A32987" s="1" t="s">
        <v>32986</v>
      </c>
      <c r="B32987" s="2" t="str">
        <f>IFERROR(__xludf.DUMMYFUNCTION("GOOGLETRANSLATE(A32987, ""de"", ""en"")"),"leekie")</f>
        <v>leekie</v>
      </c>
    </row>
    <row r="32988">
      <c r="A32988" s="1" t="s">
        <v>32987</v>
      </c>
      <c r="B32988" s="2" t="str">
        <f>IFERROR(__xludf.DUMMYFUNCTION("GOOGLETRANSLATE(A32988, ""de"", ""en"")"),"lowest")</f>
        <v>lowest</v>
      </c>
    </row>
    <row r="32989">
      <c r="A32989" s="1" t="s">
        <v>32988</v>
      </c>
      <c r="B32989" s="2" t="str">
        <f>IFERROR(__xludf.DUMMYFUNCTION("GOOGLETRANSLATE(A32989, ""de"", ""en"")"),"to leave")</f>
        <v>to leave</v>
      </c>
    </row>
    <row r="32990">
      <c r="A32990" s="1" t="s">
        <v>32989</v>
      </c>
      <c r="B32990" s="2" t="str">
        <f>IFERROR(__xludf.DUMMYFUNCTION("GOOGLETRANSLATE(A32990, ""de"", ""en"")"),"impale")</f>
        <v>impale</v>
      </c>
    </row>
    <row r="32991">
      <c r="A32991" s="1" t="s">
        <v>32990</v>
      </c>
      <c r="B32991" s="2" t="str">
        <f>IFERROR(__xludf.DUMMYFUNCTION("GOOGLETRANSLATE(A32991, ""de"", ""en"")"),"collect")</f>
        <v>collect</v>
      </c>
    </row>
    <row r="32992">
      <c r="A32992" s="1" t="s">
        <v>32991</v>
      </c>
      <c r="B32992" s="2" t="str">
        <f>IFERROR(__xludf.DUMMYFUNCTION("GOOGLETRANSLATE(A32992, ""de"", ""en"")"),"Mayan")</f>
        <v>Mayan</v>
      </c>
    </row>
    <row r="32993">
      <c r="A32993" s="1" t="s">
        <v>32992</v>
      </c>
      <c r="B32993" s="2" t="str">
        <f>IFERROR(__xludf.DUMMYFUNCTION("GOOGLETRANSLATE(A32993, ""de"", ""en"")"),"more immediate")</f>
        <v>more immediate</v>
      </c>
    </row>
    <row r="32994">
      <c r="A32994" s="1" t="s">
        <v>32993</v>
      </c>
      <c r="B32994" s="2" t="str">
        <f>IFERROR(__xludf.DUMMYFUNCTION("GOOGLETRANSLATE(A32994, ""de"", ""en"")"),"resistance fighters")</f>
        <v>resistance fighters</v>
      </c>
    </row>
    <row r="32995">
      <c r="A32995" s="1" t="s">
        <v>32994</v>
      </c>
      <c r="B32995" s="2" t="str">
        <f>IFERROR(__xludf.DUMMYFUNCTION("GOOGLETRANSLATE(A32995, ""de"", ""en"")"),"more deliberate")</f>
        <v>more deliberate</v>
      </c>
    </row>
    <row r="32996">
      <c r="A32996" s="1" t="s">
        <v>32995</v>
      </c>
      <c r="B32996" s="2" t="str">
        <f>IFERROR(__xludf.DUMMYFUNCTION("GOOGLETRANSLATE(A32996, ""de"", ""en"")"),"corwin")</f>
        <v>corwin</v>
      </c>
    </row>
    <row r="32997">
      <c r="A32997" s="1" t="s">
        <v>32996</v>
      </c>
      <c r="B32997" s="2" t="str">
        <f>IFERROR(__xludf.DUMMYFUNCTION("GOOGLETRANSLATE(A32997, ""de"", ""en"")"),"painter")</f>
        <v>painter</v>
      </c>
    </row>
    <row r="32998">
      <c r="A32998" s="1" t="s">
        <v>32997</v>
      </c>
      <c r="B32998" s="2" t="str">
        <f>IFERROR(__xludf.DUMMYFUNCTION("GOOGLETRANSLATE(A32998, ""de"", ""en"")"),"volcanoes")</f>
        <v>volcanoes</v>
      </c>
    </row>
    <row r="32999">
      <c r="A32999" s="1" t="s">
        <v>32998</v>
      </c>
      <c r="B32999" s="2" t="str">
        <f>IFERROR(__xludf.DUMMYFUNCTION("GOOGLETRANSLATE(A32999, ""de"", ""en"")"),"hand over")</f>
        <v>hand over</v>
      </c>
    </row>
    <row r="33000">
      <c r="A33000" s="1" t="s">
        <v>32999</v>
      </c>
      <c r="B33000" s="2" t="str">
        <f>IFERROR(__xludf.DUMMYFUNCTION("GOOGLETRANSLATE(A33000, ""de"", ""en"")"),"yogi")</f>
        <v>yogi</v>
      </c>
    </row>
    <row r="33001">
      <c r="A33001" s="1" t="s">
        <v>33000</v>
      </c>
      <c r="B33001" s="2" t="str">
        <f>IFERROR(__xludf.DUMMYFUNCTION("GOOGLETRANSLATE(A33001, ""de"", ""en"")"),"marble")</f>
        <v>marble</v>
      </c>
    </row>
    <row r="33002">
      <c r="A33002" s="1" t="s">
        <v>33001</v>
      </c>
      <c r="B33002" s="2" t="str">
        <f>IFERROR(__xludf.DUMMYFUNCTION("GOOGLETRANSLATE(A33002, ""de"", ""en"")"),"rhea")</f>
        <v>rhea</v>
      </c>
    </row>
    <row r="33003">
      <c r="A33003" s="1" t="s">
        <v>33002</v>
      </c>
      <c r="B33003" s="2" t="str">
        <f>IFERROR(__xludf.DUMMYFUNCTION("GOOGLETRANSLATE(A33003, ""de"", ""en"")"),"meh")</f>
        <v>meh</v>
      </c>
    </row>
    <row r="33004">
      <c r="A33004" s="1" t="s">
        <v>33003</v>
      </c>
      <c r="B33004" s="2" t="str">
        <f>IFERROR(__xludf.DUMMYFUNCTION("GOOGLETRANSLATE(A33004, ""de"", ""en"")"),"bodyguard")</f>
        <v>bodyguard</v>
      </c>
    </row>
    <row r="33005">
      <c r="A33005" s="1" t="s">
        <v>33004</v>
      </c>
      <c r="B33005" s="2" t="str">
        <f>IFERROR(__xludf.DUMMYFUNCTION("GOOGLETRANSLATE(A33005, ""de"", ""en"")"),"remove make-up")</f>
        <v>remove make-up</v>
      </c>
    </row>
    <row r="33006">
      <c r="A33006" s="1" t="s">
        <v>33005</v>
      </c>
      <c r="B33006" s="2" t="str">
        <f>IFERROR(__xludf.DUMMYFUNCTION("GOOGLETRANSLATE(A33006, ""de"", ""en"")"),"angry")</f>
        <v>angry</v>
      </c>
    </row>
    <row r="33007">
      <c r="A33007" s="1" t="s">
        <v>33006</v>
      </c>
      <c r="B33007" s="2" t="str">
        <f>IFERROR(__xludf.DUMMYFUNCTION("GOOGLETRANSLATE(A33007, ""de"", ""en"")"),"knowles")</f>
        <v>knowles</v>
      </c>
    </row>
    <row r="33008">
      <c r="A33008" s="1" t="s">
        <v>33007</v>
      </c>
      <c r="B33008" s="2" t="str">
        <f>IFERROR(__xludf.DUMMYFUNCTION("GOOGLETRANSLATE(A33008, ""de"", ""en"")"),"go for it")</f>
        <v>go for it</v>
      </c>
    </row>
    <row r="33009">
      <c r="A33009" s="1" t="s">
        <v>33008</v>
      </c>
      <c r="B33009" s="2" t="str">
        <f>IFERROR(__xludf.DUMMYFUNCTION("GOOGLETRANSLATE(A33009, ""de"", ""en"")"),"cream")</f>
        <v>cream</v>
      </c>
    </row>
    <row r="33010">
      <c r="A33010" s="1" t="s">
        <v>33009</v>
      </c>
      <c r="B33010" s="2" t="str">
        <f>IFERROR(__xludf.DUMMYFUNCTION("GOOGLETRANSLATE(A33010, ""de"", ""en"")"),"maternal side")</f>
        <v>maternal side</v>
      </c>
    </row>
    <row r="33011">
      <c r="A33011" s="1" t="s">
        <v>33010</v>
      </c>
      <c r="B33011" s="2" t="str">
        <f>IFERROR(__xludf.DUMMYFUNCTION("GOOGLETRANSLATE(A33011, ""de"", ""en"")"),"get here")</f>
        <v>get here</v>
      </c>
    </row>
    <row r="33012">
      <c r="A33012" s="1" t="s">
        <v>33011</v>
      </c>
      <c r="B33012" s="2" t="str">
        <f>IFERROR(__xludf.DUMMYFUNCTION("GOOGLETRANSLATE(A33012, ""de"", ""en"")"),"orcs")</f>
        <v>orcs</v>
      </c>
    </row>
    <row r="33013">
      <c r="A33013" s="1" t="s">
        <v>33012</v>
      </c>
      <c r="B33013" s="2" t="str">
        <f>IFERROR(__xludf.DUMMYFUNCTION("GOOGLETRANSLATE(A33013, ""de"", ""en"")"),"averse")</f>
        <v>averse</v>
      </c>
    </row>
    <row r="33014">
      <c r="A33014" s="1" t="s">
        <v>33013</v>
      </c>
      <c r="B33014" s="2" t="str">
        <f>IFERROR(__xludf.DUMMYFUNCTION("GOOGLETRANSLATE(A33014, ""de"", ""en"")"),"danger")</f>
        <v>danger</v>
      </c>
    </row>
    <row r="33015">
      <c r="A33015" s="1" t="s">
        <v>33014</v>
      </c>
      <c r="B33015" s="2" t="str">
        <f>IFERROR(__xludf.DUMMYFUNCTION("GOOGLETRANSLATE(A33015, ""de"", ""en"")"),"frog")</f>
        <v>frog</v>
      </c>
    </row>
    <row r="33016">
      <c r="A33016" s="1" t="s">
        <v>33015</v>
      </c>
      <c r="B33016" s="2" t="str">
        <f>IFERROR(__xludf.DUMMYFUNCTION("GOOGLETRANSLATE(A33016, ""de"", ""en"")"),"opened")</f>
        <v>opened</v>
      </c>
    </row>
    <row r="33017">
      <c r="A33017" s="1" t="s">
        <v>33016</v>
      </c>
      <c r="B33017" s="2" t="str">
        <f>IFERROR(__xludf.DUMMYFUNCTION("GOOGLETRANSLATE(A33017, ""de"", ""en"")"),"ismail")</f>
        <v>ismail</v>
      </c>
    </row>
    <row r="33018">
      <c r="A33018" s="1" t="s">
        <v>33017</v>
      </c>
      <c r="B33018" s="2" t="str">
        <f>IFERROR(__xludf.DUMMYFUNCTION("GOOGLETRANSLATE(A33018, ""de"", ""en"")"),"limps")</f>
        <v>limps</v>
      </c>
    </row>
    <row r="33019">
      <c r="A33019" s="1" t="s">
        <v>33018</v>
      </c>
      <c r="B33019" s="2" t="str">
        <f>IFERROR(__xludf.DUMMYFUNCTION("GOOGLETRANSLATE(A33019, ""de"", ""en"")"),"hanschen")</f>
        <v>hanschen</v>
      </c>
    </row>
    <row r="33020">
      <c r="A33020" s="1" t="s">
        <v>33019</v>
      </c>
      <c r="B33020" s="2" t="str">
        <f>IFERROR(__xludf.DUMMYFUNCTION("GOOGLETRANSLATE(A33020, ""de"", ""en"")"),"copycat")</f>
        <v>copycat</v>
      </c>
    </row>
    <row r="33021">
      <c r="A33021" s="1" t="s">
        <v>33020</v>
      </c>
      <c r="B33021" s="2" t="str">
        <f>IFERROR(__xludf.DUMMYFUNCTION("GOOGLETRANSLATE(A33021, ""de"", ""en"")"),"visit")</f>
        <v>visit</v>
      </c>
    </row>
    <row r="33022">
      <c r="A33022" s="1" t="s">
        <v>33021</v>
      </c>
      <c r="B33022" s="2" t="str">
        <f>IFERROR(__xludf.DUMMYFUNCTION("GOOGLETRANSLATE(A33022, ""de"", ""en"")"),"passes through")</f>
        <v>passes through</v>
      </c>
    </row>
    <row r="33023">
      <c r="A33023" s="1" t="s">
        <v>33022</v>
      </c>
      <c r="B33023" s="2" t="str">
        <f>IFERROR(__xludf.DUMMYFUNCTION("GOOGLETRANSLATE(A33023, ""de"", ""en"")"),"stressful")</f>
        <v>stressful</v>
      </c>
    </row>
    <row r="33024">
      <c r="A33024" s="1" t="s">
        <v>33023</v>
      </c>
      <c r="B33024" s="2" t="str">
        <f>IFERROR(__xludf.DUMMYFUNCTION("GOOGLETRANSLATE(A33024, ""de"", ""en"")"),"woodhull")</f>
        <v>woodhull</v>
      </c>
    </row>
    <row r="33025">
      <c r="A33025" s="1" t="s">
        <v>33024</v>
      </c>
      <c r="B33025" s="2" t="str">
        <f>IFERROR(__xludf.DUMMYFUNCTION("GOOGLETRANSLATE(A33025, ""de"", ""en"")"),"saroyan")</f>
        <v>saroyan</v>
      </c>
    </row>
    <row r="33026">
      <c r="A33026" s="1" t="s">
        <v>33025</v>
      </c>
      <c r="B33026" s="2" t="str">
        <f>IFERROR(__xludf.DUMMYFUNCTION("GOOGLETRANSLATE(A33026, ""de"", ""en"")"),"hey")</f>
        <v>hey</v>
      </c>
    </row>
    <row r="33027">
      <c r="A33027" s="1" t="s">
        <v>33026</v>
      </c>
      <c r="B33027" s="2" t="str">
        <f>IFERROR(__xludf.DUMMYFUNCTION("GOOGLETRANSLATE(A33027, ""de"", ""en"")"),"tender")</f>
        <v>tender</v>
      </c>
    </row>
    <row r="33028">
      <c r="A33028" s="1" t="s">
        <v>33027</v>
      </c>
      <c r="B33028" s="2" t="str">
        <f>IFERROR(__xludf.DUMMYFUNCTION("GOOGLETRANSLATE(A33028, ""de"", ""en"")"),"usable")</f>
        <v>usable</v>
      </c>
    </row>
    <row r="33029">
      <c r="A33029" s="1" t="s">
        <v>33028</v>
      </c>
      <c r="B33029" s="2" t="str">
        <f>IFERROR(__xludf.DUMMYFUNCTION("GOOGLETRANSLATE(A33029, ""de"", ""en"")"),"conclusive")</f>
        <v>conclusive</v>
      </c>
    </row>
    <row r="33030">
      <c r="A33030" s="1" t="s">
        <v>33029</v>
      </c>
      <c r="B33030" s="2" t="str">
        <f>IFERROR(__xludf.DUMMYFUNCTION("GOOGLETRANSLATE(A33030, ""de"", ""en"")"),"bowed")</f>
        <v>bowed</v>
      </c>
    </row>
    <row r="33031">
      <c r="A33031" s="1" t="s">
        <v>33030</v>
      </c>
      <c r="B33031" s="2" t="str">
        <f>IFERROR(__xludf.DUMMYFUNCTION("GOOGLETRANSLATE(A33031, ""de"", ""en"")"),"kicker")</f>
        <v>kicker</v>
      </c>
    </row>
    <row r="33032">
      <c r="A33032" s="1" t="s">
        <v>33031</v>
      </c>
      <c r="B33032" s="2" t="str">
        <f>IFERROR(__xludf.DUMMYFUNCTION("GOOGLETRANSLATE(A33032, ""de"", ""en"")"),"crappy")</f>
        <v>crappy</v>
      </c>
    </row>
    <row r="33033">
      <c r="A33033" s="1" t="s">
        <v>33032</v>
      </c>
      <c r="B33033" s="2" t="str">
        <f>IFERROR(__xludf.DUMMYFUNCTION("GOOGLETRANSLATE(A33033, ""de"", ""en"")"),"products")</f>
        <v>products</v>
      </c>
    </row>
    <row r="33034">
      <c r="A33034" s="1" t="s">
        <v>33033</v>
      </c>
      <c r="B33034" s="2" t="str">
        <f>IFERROR(__xludf.DUMMYFUNCTION("GOOGLETRANSLATE(A33034, ""de"", ""en"")"),"your kind")</f>
        <v>your kind</v>
      </c>
    </row>
    <row r="33035">
      <c r="A33035" s="1" t="s">
        <v>33034</v>
      </c>
      <c r="B33035" s="2" t="str">
        <f>IFERROR(__xludf.DUMMYFUNCTION("GOOGLETRANSLATE(A33035, ""de"", ""en"")"),"scrounger")</f>
        <v>scrounger</v>
      </c>
    </row>
    <row r="33036">
      <c r="A33036" s="1" t="s">
        <v>33035</v>
      </c>
      <c r="B33036" s="2" t="str">
        <f>IFERROR(__xludf.DUMMYFUNCTION("GOOGLETRANSLATE(A33036, ""de"", ""en"")"),"shown around")</f>
        <v>shown around</v>
      </c>
    </row>
    <row r="33037">
      <c r="A33037" s="1" t="s">
        <v>33036</v>
      </c>
      <c r="B33037" s="2" t="str">
        <f>IFERROR(__xludf.DUMMYFUNCTION("GOOGLETRANSLATE(A33037, ""de"", ""en"")"),"giuliano")</f>
        <v>giuliano</v>
      </c>
    </row>
    <row r="33038">
      <c r="A33038" s="1" t="s">
        <v>33037</v>
      </c>
      <c r="B33038" s="2" t="str">
        <f>IFERROR(__xludf.DUMMYFUNCTION("GOOGLETRANSLATE(A33038, ""de"", ""en"")"),"drunk")</f>
        <v>drunk</v>
      </c>
    </row>
    <row r="33039">
      <c r="A33039" s="1" t="s">
        <v>33038</v>
      </c>
      <c r="B33039" s="2" t="str">
        <f>IFERROR(__xludf.DUMMYFUNCTION("GOOGLETRANSLATE(A33039, ""de"", ""en"")"),"jealous")</f>
        <v>jealous</v>
      </c>
    </row>
    <row r="33040">
      <c r="A33040" s="1" t="s">
        <v>33039</v>
      </c>
      <c r="B33040" s="2" t="str">
        <f>IFERROR(__xludf.DUMMYFUNCTION("GOOGLETRANSLATE(A33040, ""de"", ""en"")"),"hairdryer")</f>
        <v>hairdryer</v>
      </c>
    </row>
    <row r="33041">
      <c r="A33041" s="1" t="s">
        <v>33040</v>
      </c>
      <c r="B33041" s="2" t="str">
        <f>IFERROR(__xludf.DUMMYFUNCTION("GOOGLETRANSLATE(A33041, ""de"", ""en"")"),"northwest")</f>
        <v>northwest</v>
      </c>
    </row>
    <row r="33042">
      <c r="A33042" s="1" t="s">
        <v>33041</v>
      </c>
      <c r="B33042" s="2" t="str">
        <f>IFERROR(__xludf.DUMMYFUNCTION("GOOGLETRANSLATE(A33042, ""de"", ""en"")"),"mammoth")</f>
        <v>mammoth</v>
      </c>
    </row>
    <row r="33043">
      <c r="A33043" s="1" t="s">
        <v>33042</v>
      </c>
      <c r="B33043" s="2" t="str">
        <f>IFERROR(__xludf.DUMMYFUNCTION("GOOGLETRANSLATE(A33043, ""de"", ""en"")"),"sword fighting")</f>
        <v>sword fighting</v>
      </c>
    </row>
    <row r="33044">
      <c r="A33044" s="1" t="s">
        <v>33043</v>
      </c>
      <c r="B33044" s="2" t="str">
        <f>IFERROR(__xludf.DUMMYFUNCTION("GOOGLETRANSLATE(A33044, ""de"", ""en"")"),"more general")</f>
        <v>more general</v>
      </c>
    </row>
    <row r="33045">
      <c r="A33045" s="1" t="s">
        <v>33044</v>
      </c>
      <c r="B33045" s="2" t="str">
        <f>IFERROR(__xludf.DUMMYFUNCTION("GOOGLETRANSLATE(A33045, ""de"", ""en"")"),"Gregorio")</f>
        <v>Gregorio</v>
      </c>
    </row>
    <row r="33046">
      <c r="A33046" s="1" t="s">
        <v>33045</v>
      </c>
      <c r="B33046" s="2" t="str">
        <f>IFERROR(__xludf.DUMMYFUNCTION("GOOGLETRANSLATE(A33046, ""de"", ""en"")"),"realized")</f>
        <v>realized</v>
      </c>
    </row>
    <row r="33047">
      <c r="A33047" s="1" t="s">
        <v>33046</v>
      </c>
      <c r="B33047" s="2" t="str">
        <f>IFERROR(__xludf.DUMMYFUNCTION("GOOGLETRANSLATE(A33047, ""de"", ""en"")"),"weapon system")</f>
        <v>weapon system</v>
      </c>
    </row>
    <row r="33048">
      <c r="A33048" s="1" t="s">
        <v>33047</v>
      </c>
      <c r="B33048" s="2" t="str">
        <f>IFERROR(__xludf.DUMMYFUNCTION("GOOGLETRANSLATE(A33048, ""de"", ""en"")"),"bookworm")</f>
        <v>bookworm</v>
      </c>
    </row>
    <row r="33049">
      <c r="A33049" s="1" t="s">
        <v>33048</v>
      </c>
      <c r="B33049" s="2" t="str">
        <f>IFERROR(__xludf.DUMMYFUNCTION("GOOGLETRANSLATE(A33049, ""de"", ""en"")"),"mirror")</f>
        <v>mirror</v>
      </c>
    </row>
    <row r="33050">
      <c r="A33050" s="1" t="s">
        <v>33049</v>
      </c>
      <c r="B33050" s="2" t="str">
        <f>IFERROR(__xludf.DUMMYFUNCTION("GOOGLETRANSLATE(A33050, ""de"", ""en"")"),"changed")</f>
        <v>changed</v>
      </c>
    </row>
    <row r="33051">
      <c r="A33051" s="1" t="s">
        <v>33050</v>
      </c>
      <c r="B33051" s="2" t="str">
        <f>IFERROR(__xludf.DUMMYFUNCTION("GOOGLETRANSLATE(A33051, ""de"", ""en"")"),"talk it out")</f>
        <v>talk it out</v>
      </c>
    </row>
    <row r="33052">
      <c r="A33052" s="1" t="s">
        <v>33051</v>
      </c>
      <c r="B33052" s="2" t="str">
        <f>IFERROR(__xludf.DUMMYFUNCTION("GOOGLETRANSLATE(A33052, ""de"", ""en"")"),"served up")</f>
        <v>served up</v>
      </c>
    </row>
    <row r="33053">
      <c r="A33053" s="1" t="s">
        <v>33052</v>
      </c>
      <c r="B33053" s="2" t="str">
        <f>IFERROR(__xludf.DUMMYFUNCTION("GOOGLETRANSLATE(A33053, ""de"", ""en"")"),"go out")</f>
        <v>go out</v>
      </c>
    </row>
    <row r="33054">
      <c r="A33054" s="1" t="s">
        <v>33053</v>
      </c>
      <c r="B33054" s="2" t="str">
        <f>IFERROR(__xludf.DUMMYFUNCTION("GOOGLETRANSLATE(A33054, ""de"", ""en"")"),"Charmaine")</f>
        <v>Charmaine</v>
      </c>
    </row>
    <row r="33055">
      <c r="A33055" s="1" t="s">
        <v>33054</v>
      </c>
      <c r="B33055" s="2" t="str">
        <f>IFERROR(__xludf.DUMMYFUNCTION("GOOGLETRANSLATE(A33055, ""de"", ""en"")"),"get released")</f>
        <v>get released</v>
      </c>
    </row>
    <row r="33056">
      <c r="A33056" s="1" t="s">
        <v>33055</v>
      </c>
      <c r="B33056" s="2" t="str">
        <f>IFERROR(__xludf.DUMMYFUNCTION("GOOGLETRANSLATE(A33056, ""de"", ""en"")"),"trampled")</f>
        <v>trampled</v>
      </c>
    </row>
    <row r="33057">
      <c r="A33057" s="1" t="s">
        <v>33056</v>
      </c>
      <c r="B33057" s="2" t="str">
        <f>IFERROR(__xludf.DUMMYFUNCTION("GOOGLETRANSLATE(A33057, ""de"", ""en"")"),"decorate")</f>
        <v>decorate</v>
      </c>
    </row>
    <row r="33058">
      <c r="A33058" s="1" t="s">
        <v>33057</v>
      </c>
      <c r="B33058" s="2" t="str">
        <f>IFERROR(__xludf.DUMMYFUNCTION("GOOGLETRANSLATE(A33058, ""de"", ""en"")"),"beaten to death")</f>
        <v>beaten to death</v>
      </c>
    </row>
    <row r="33059">
      <c r="A33059" s="1" t="s">
        <v>33058</v>
      </c>
      <c r="B33059" s="2" t="str">
        <f>IFERROR(__xludf.DUMMYFUNCTION("GOOGLETRANSLATE(A33059, ""de"", ""en"")"),"looked at")</f>
        <v>looked at</v>
      </c>
    </row>
    <row r="33060">
      <c r="A33060" s="1" t="s">
        <v>33059</v>
      </c>
      <c r="B33060" s="2" t="str">
        <f>IFERROR(__xludf.DUMMYFUNCTION("GOOGLETRANSLATE(A33060, ""de"", ""en"")"),"entered")</f>
        <v>entered</v>
      </c>
    </row>
    <row r="33061">
      <c r="A33061" s="1" t="s">
        <v>33060</v>
      </c>
      <c r="B33061" s="2" t="str">
        <f>IFERROR(__xludf.DUMMYFUNCTION("GOOGLETRANSLATE(A33061, ""de"", ""en"")"),"leads")</f>
        <v>leads</v>
      </c>
    </row>
    <row r="33062">
      <c r="A33062" s="1" t="s">
        <v>33061</v>
      </c>
      <c r="B33062" s="2" t="str">
        <f>IFERROR(__xludf.DUMMYFUNCTION("GOOGLETRANSLATE(A33062, ""de"", ""en"")"),"roommate")</f>
        <v>roommate</v>
      </c>
    </row>
    <row r="33063">
      <c r="A33063" s="1" t="s">
        <v>33062</v>
      </c>
      <c r="B33063" s="2" t="str">
        <f>IFERROR(__xludf.DUMMYFUNCTION("GOOGLETRANSLATE(A33063, ""de"", ""en"")"),"want to get out")</f>
        <v>want to get out</v>
      </c>
    </row>
    <row r="33064">
      <c r="A33064" s="1" t="s">
        <v>33063</v>
      </c>
      <c r="B33064" s="2" t="str">
        <f>IFERROR(__xludf.DUMMYFUNCTION("GOOGLETRANSLATE(A33064, ""de"", ""en"")"),"burst in")</f>
        <v>burst in</v>
      </c>
    </row>
    <row r="33065">
      <c r="A33065" s="1" t="s">
        <v>33064</v>
      </c>
      <c r="B33065" s="2" t="str">
        <f>IFERROR(__xludf.DUMMYFUNCTION("GOOGLETRANSLATE(A33065, ""de"", ""en"")"),"pain")</f>
        <v>pain</v>
      </c>
    </row>
    <row r="33066">
      <c r="A33066" s="1" t="s">
        <v>33065</v>
      </c>
      <c r="B33066" s="2" t="str">
        <f>IFERROR(__xludf.DUMMYFUNCTION("GOOGLETRANSLATE(A33066, ""de"", ""en"")"),"British")</f>
        <v>British</v>
      </c>
    </row>
    <row r="33067">
      <c r="A33067" s="1" t="s">
        <v>33066</v>
      </c>
      <c r="B33067" s="2" t="str">
        <f>IFERROR(__xludf.DUMMYFUNCTION("GOOGLETRANSLATE(A33067, ""de"", ""en"")"),"worsen")</f>
        <v>worsen</v>
      </c>
    </row>
    <row r="33068">
      <c r="A33068" s="1" t="s">
        <v>33067</v>
      </c>
      <c r="B33068" s="2" t="str">
        <f>IFERROR(__xludf.DUMMYFUNCTION("GOOGLETRANSLATE(A33068, ""de"", ""en"")"),"Satterfield")</f>
        <v>Satterfield</v>
      </c>
    </row>
    <row r="33069">
      <c r="A33069" s="1" t="s">
        <v>33068</v>
      </c>
      <c r="B33069" s="2" t="str">
        <f>IFERROR(__xludf.DUMMYFUNCTION("GOOGLETRANSLATE(A33069, ""de"", ""en"")"),"abaddon")</f>
        <v>abaddon</v>
      </c>
    </row>
    <row r="33070">
      <c r="A33070" s="1" t="s">
        <v>33069</v>
      </c>
      <c r="B33070" s="2" t="str">
        <f>IFERROR(__xludf.DUMMYFUNCTION("GOOGLETRANSLATE(A33070, ""de"", ""en"")"),"requested")</f>
        <v>requested</v>
      </c>
    </row>
    <row r="33071">
      <c r="A33071" s="1" t="s">
        <v>33070</v>
      </c>
      <c r="B33071" s="2" t="str">
        <f>IFERROR(__xludf.DUMMYFUNCTION("GOOGLETRANSLATE(A33071, ""de"", ""en"")"),"tauri")</f>
        <v>tauri</v>
      </c>
    </row>
    <row r="33072">
      <c r="A33072" s="1" t="s">
        <v>33071</v>
      </c>
      <c r="B33072" s="2" t="str">
        <f>IFERROR(__xludf.DUMMYFUNCTION("GOOGLETRANSLATE(A33072, ""de"", ""en"")"),"hellish")</f>
        <v>hellish</v>
      </c>
    </row>
    <row r="33073">
      <c r="A33073" s="1" t="s">
        <v>33072</v>
      </c>
      <c r="B33073" s="2" t="str">
        <f>IFERROR(__xludf.DUMMYFUNCTION("GOOGLETRANSLATE(A33073, ""de"", ""en"")"),"more massive")</f>
        <v>more massive</v>
      </c>
    </row>
    <row r="33074">
      <c r="A33074" s="1" t="s">
        <v>33073</v>
      </c>
      <c r="B33074" s="2" t="str">
        <f>IFERROR(__xludf.DUMMYFUNCTION("GOOGLETRANSLATE(A33074, ""de"", ""en"")"),"forgotten")</f>
        <v>forgotten</v>
      </c>
    </row>
    <row r="33075">
      <c r="A33075" s="1" t="s">
        <v>33074</v>
      </c>
      <c r="B33075" s="2" t="str">
        <f>IFERROR(__xludf.DUMMYFUNCTION("GOOGLETRANSLATE(A33075, ""de"", ""en"")"),"seward")</f>
        <v>seward</v>
      </c>
    </row>
    <row r="33076">
      <c r="A33076" s="1" t="s">
        <v>33075</v>
      </c>
      <c r="B33076" s="2" t="str">
        <f>IFERROR(__xludf.DUMMYFUNCTION("GOOGLETRANSLATE(A33076, ""de"", ""en"")"),"gently")</f>
        <v>gently</v>
      </c>
    </row>
    <row r="33077">
      <c r="A33077" s="1" t="s">
        <v>33076</v>
      </c>
      <c r="B33077" s="2" t="str">
        <f>IFERROR(__xludf.DUMMYFUNCTION("GOOGLETRANSLATE(A33077, ""de"", ""en"")"),"generated")</f>
        <v>generated</v>
      </c>
    </row>
    <row r="33078">
      <c r="A33078" s="1" t="s">
        <v>33077</v>
      </c>
      <c r="B33078" s="2" t="str">
        <f>IFERROR(__xludf.DUMMYFUNCTION("GOOGLETRANSLATE(A33078, ""de"", ""en"")"),"rie")</f>
        <v>rie</v>
      </c>
    </row>
    <row r="33079">
      <c r="A33079" s="1" t="s">
        <v>33078</v>
      </c>
      <c r="B33079" s="2" t="str">
        <f>IFERROR(__xludf.DUMMYFUNCTION("GOOGLETRANSLATE(A33079, ""de"", ""en"")"),"to get back")</f>
        <v>to get back</v>
      </c>
    </row>
    <row r="33080">
      <c r="A33080" s="1" t="s">
        <v>33079</v>
      </c>
      <c r="B33080" s="2" t="str">
        <f>IFERROR(__xludf.DUMMYFUNCTION("GOOGLETRANSLATE(A33080, ""de"", ""en"")"),"ass fucker")</f>
        <v>ass fucker</v>
      </c>
    </row>
    <row r="33081">
      <c r="A33081" s="1" t="s">
        <v>33080</v>
      </c>
      <c r="B33081" s="2" t="str">
        <f>IFERROR(__xludf.DUMMYFUNCTION("GOOGLETRANSLATE(A33081, ""de"", ""en"")"),"bullet")</f>
        <v>bullet</v>
      </c>
    </row>
    <row r="33082">
      <c r="A33082" s="1" t="s">
        <v>33081</v>
      </c>
      <c r="B33082" s="2" t="str">
        <f>IFERROR(__xludf.DUMMYFUNCTION("GOOGLETRANSLATE(A33082, ""de"", ""en"")"),"disinfectant")</f>
        <v>disinfectant</v>
      </c>
    </row>
    <row r="33083">
      <c r="A33083" s="1" t="s">
        <v>33082</v>
      </c>
      <c r="B33083" s="2" t="str">
        <f>IFERROR(__xludf.DUMMYFUNCTION("GOOGLETRANSLATE(A33083, ""de"", ""en"")"),"sumner")</f>
        <v>sumner</v>
      </c>
    </row>
    <row r="33084">
      <c r="A33084" s="1" t="s">
        <v>33083</v>
      </c>
      <c r="B33084" s="2" t="str">
        <f>IFERROR(__xludf.DUMMYFUNCTION("GOOGLETRANSLATE(A33084, ""de"", ""en"")"),"eels")</f>
        <v>eels</v>
      </c>
    </row>
    <row r="33085">
      <c r="A33085" s="1" t="s">
        <v>33084</v>
      </c>
      <c r="B33085" s="2" t="str">
        <f>IFERROR(__xludf.DUMMYFUNCTION("GOOGLETRANSLATE(A33085, ""de"", ""en"")"),"prime minister")</f>
        <v>prime minister</v>
      </c>
    </row>
    <row r="33086">
      <c r="A33086" s="1" t="s">
        <v>33085</v>
      </c>
      <c r="B33086" s="2" t="str">
        <f>IFERROR(__xludf.DUMMYFUNCTION("GOOGLETRANSLATE(A33086, ""de"", ""en"")"),"balls")</f>
        <v>balls</v>
      </c>
    </row>
    <row r="33087">
      <c r="A33087" s="1" t="s">
        <v>33086</v>
      </c>
      <c r="B33087" s="2" t="str">
        <f>IFERROR(__xludf.DUMMYFUNCTION("GOOGLETRANSLATE(A33087, ""de"", ""en"")"),"dit")</f>
        <v>dit</v>
      </c>
    </row>
    <row r="33088">
      <c r="A33088" s="1" t="s">
        <v>33087</v>
      </c>
      <c r="B33088" s="2" t="str">
        <f>IFERROR(__xludf.DUMMYFUNCTION("GOOGLETRANSLATE(A33088, ""de"", ""en"")"),"clever")</f>
        <v>clever</v>
      </c>
    </row>
    <row r="33089">
      <c r="A33089" s="1" t="s">
        <v>33088</v>
      </c>
      <c r="B33089" s="2" t="str">
        <f>IFERROR(__xludf.DUMMYFUNCTION("GOOGLETRANSLATE(A33089, ""de"", ""en"")"),"agreed")</f>
        <v>agreed</v>
      </c>
    </row>
    <row r="33090">
      <c r="A33090" s="1" t="s">
        <v>33089</v>
      </c>
      <c r="B33090" s="2" t="str">
        <f>IFERROR(__xludf.DUMMYFUNCTION("GOOGLETRANSLATE(A33090, ""de"", ""en"")"),"diagnose")</f>
        <v>diagnose</v>
      </c>
    </row>
    <row r="33091">
      <c r="A33091" s="1" t="s">
        <v>33090</v>
      </c>
      <c r="B33091" s="2" t="str">
        <f>IFERROR(__xludf.DUMMYFUNCTION("GOOGLETRANSLATE(A33091, ""de"", ""en"")"),"rock band")</f>
        <v>rock band</v>
      </c>
    </row>
    <row r="33092">
      <c r="A33092" s="1" t="s">
        <v>33091</v>
      </c>
      <c r="B33092" s="2" t="str">
        <f>IFERROR(__xludf.DUMMYFUNCTION("GOOGLETRANSLATE(A33092, ""de"", ""en"")"),"telepathic")</f>
        <v>telepathic</v>
      </c>
    </row>
    <row r="33093">
      <c r="A33093" s="1" t="s">
        <v>33092</v>
      </c>
      <c r="B33093" s="2" t="str">
        <f>IFERROR(__xludf.DUMMYFUNCTION("GOOGLETRANSLATE(A33093, ""de"", ""en"")"),"dare")</f>
        <v>dare</v>
      </c>
    </row>
    <row r="33094">
      <c r="A33094" s="1" t="s">
        <v>33093</v>
      </c>
      <c r="B33094" s="2" t="str">
        <f>IFERROR(__xludf.DUMMYFUNCTION("GOOGLETRANSLATE(A33094, ""de"", ""en"")"),"whisper")</f>
        <v>whisper</v>
      </c>
    </row>
    <row r="33095">
      <c r="A33095" s="1" t="s">
        <v>33094</v>
      </c>
      <c r="B33095" s="2" t="str">
        <f>IFERROR(__xludf.DUMMYFUNCTION("GOOGLETRANSLATE(A33095, ""de"", ""en"")"),"to shoot down")</f>
        <v>to shoot down</v>
      </c>
    </row>
    <row r="33096">
      <c r="A33096" s="1" t="s">
        <v>33095</v>
      </c>
      <c r="B33096" s="2" t="str">
        <f>IFERROR(__xludf.DUMMYFUNCTION("GOOGLETRANSLATE(A33096, ""de"", ""en"")"),"Hartmann")</f>
        <v>Hartmann</v>
      </c>
    </row>
    <row r="33097">
      <c r="A33097" s="1" t="s">
        <v>33096</v>
      </c>
      <c r="B33097" s="2" t="str">
        <f>IFERROR(__xludf.DUMMYFUNCTION("GOOGLETRANSLATE(A33097, ""de"", ""en"")"),"lap dog")</f>
        <v>lap dog</v>
      </c>
    </row>
    <row r="33098">
      <c r="A33098" s="1" t="s">
        <v>33097</v>
      </c>
      <c r="B33098" s="2" t="str">
        <f>IFERROR(__xludf.DUMMYFUNCTION("GOOGLETRANSLATE(A33098, ""de"", ""en"")"),"bury")</f>
        <v>bury</v>
      </c>
    </row>
    <row r="33099">
      <c r="A33099" s="1" t="s">
        <v>33098</v>
      </c>
      <c r="B33099" s="2" t="str">
        <f>IFERROR(__xludf.DUMMYFUNCTION("GOOGLETRANSLATE(A33099, ""de"", ""en"")"),"topeka")</f>
        <v>topeka</v>
      </c>
    </row>
    <row r="33100">
      <c r="A33100" s="1" t="s">
        <v>33099</v>
      </c>
      <c r="B33100" s="2" t="str">
        <f>IFERROR(__xludf.DUMMYFUNCTION("GOOGLETRANSLATE(A33100, ""de"", ""en"")"),"k-a-k")</f>
        <v>k-a-k</v>
      </c>
    </row>
    <row r="33101">
      <c r="A33101" s="1" t="s">
        <v>33100</v>
      </c>
      <c r="B33101" s="2" t="str">
        <f>IFERROR(__xludf.DUMMYFUNCTION("GOOGLETRANSLATE(A33101, ""de"", ""en"")"),"Duluth")</f>
        <v>Duluth</v>
      </c>
    </row>
    <row r="33102">
      <c r="A33102" s="1" t="s">
        <v>33101</v>
      </c>
      <c r="B33102" s="2" t="str">
        <f>IFERROR(__xludf.DUMMYFUNCTION("GOOGLETRANSLATE(A33102, ""de"", ""en"")"),"enemy of the state")</f>
        <v>enemy of the state</v>
      </c>
    </row>
    <row r="33103">
      <c r="A33103" s="1" t="s">
        <v>33102</v>
      </c>
      <c r="B33103" s="2" t="str">
        <f>IFERROR(__xludf.DUMMYFUNCTION("GOOGLETRANSLATE(A33103, ""de"", ""en"")"),"overpowered")</f>
        <v>overpowered</v>
      </c>
    </row>
    <row r="33104">
      <c r="A33104" s="1" t="s">
        <v>33103</v>
      </c>
      <c r="B33104" s="2" t="str">
        <f>IFERROR(__xludf.DUMMYFUNCTION("GOOGLETRANSLATE(A33104, ""de"", ""en"")"),"firstborn")</f>
        <v>firstborn</v>
      </c>
    </row>
    <row r="33105">
      <c r="A33105" s="1" t="s">
        <v>33104</v>
      </c>
      <c r="B33105" s="2" t="str">
        <f>IFERROR(__xludf.DUMMYFUNCTION("GOOGLETRANSLATE(A33105, ""de"", ""en"")"),"more physical")</f>
        <v>more physical</v>
      </c>
    </row>
    <row r="33106">
      <c r="A33106" s="1" t="s">
        <v>33105</v>
      </c>
      <c r="B33106" s="2" t="str">
        <f>IFERROR(__xludf.DUMMYFUNCTION("GOOGLETRANSLATE(A33106, ""de"", ""en"")"),"Daly")</f>
        <v>Daly</v>
      </c>
    </row>
    <row r="33107">
      <c r="A33107" s="1" t="s">
        <v>33106</v>
      </c>
      <c r="B33107" s="2" t="str">
        <f>IFERROR(__xludf.DUMMYFUNCTION("GOOGLETRANSLATE(A33107, ""de"", ""en"")"),"evil")</f>
        <v>evil</v>
      </c>
    </row>
    <row r="33108">
      <c r="A33108" s="1" t="s">
        <v>33107</v>
      </c>
      <c r="B33108" s="2" t="str">
        <f>IFERROR(__xludf.DUMMYFUNCTION("GOOGLETRANSLATE(A33108, ""de"", ""en"")"),"fatigue")</f>
        <v>fatigue</v>
      </c>
    </row>
    <row r="33109">
      <c r="A33109" s="1" t="s">
        <v>33108</v>
      </c>
      <c r="B33109" s="2" t="str">
        <f>IFERROR(__xludf.DUMMYFUNCTION("GOOGLETRANSLATE(A33109, ""de"", ""en"")"),"womb")</f>
        <v>womb</v>
      </c>
    </row>
    <row r="33110">
      <c r="A33110" s="1" t="s">
        <v>33109</v>
      </c>
      <c r="B33110" s="2" t="str">
        <f>IFERROR(__xludf.DUMMYFUNCTION("GOOGLETRANSLATE(A33110, ""de"", ""en"")"),"boss")</f>
        <v>boss</v>
      </c>
    </row>
    <row r="33111">
      <c r="A33111" s="1" t="s">
        <v>33110</v>
      </c>
      <c r="B33111" s="2" t="str">
        <f>IFERROR(__xludf.DUMMYFUNCTION("GOOGLETRANSLATE(A33111, ""de"", ""en"")"),"casinos")</f>
        <v>casinos</v>
      </c>
    </row>
    <row r="33112">
      <c r="A33112" s="1" t="s">
        <v>33111</v>
      </c>
      <c r="B33112" s="2" t="str">
        <f>IFERROR(__xludf.DUMMYFUNCTION("GOOGLETRANSLATE(A33112, ""de"", ""en"")"),"cayman")</f>
        <v>cayman</v>
      </c>
    </row>
    <row r="33113">
      <c r="A33113" s="1" t="s">
        <v>33112</v>
      </c>
      <c r="B33113" s="2" t="str">
        <f>IFERROR(__xludf.DUMMYFUNCTION("GOOGLETRANSLATE(A33113, ""de"", ""en"")"),"summarized")</f>
        <v>summarized</v>
      </c>
    </row>
    <row r="33114">
      <c r="A33114" s="1" t="s">
        <v>33113</v>
      </c>
      <c r="B33114" s="2" t="str">
        <f>IFERROR(__xludf.DUMMYFUNCTION("GOOGLETRANSLATE(A33114, ""de"", ""en"")"),"certainly")</f>
        <v>certainly</v>
      </c>
    </row>
    <row r="33115">
      <c r="A33115" s="1" t="s">
        <v>33114</v>
      </c>
      <c r="B33115" s="2" t="str">
        <f>IFERROR(__xludf.DUMMYFUNCTION("GOOGLETRANSLATE(A33115, ""de"", ""en"")"),"reiko")</f>
        <v>reiko</v>
      </c>
    </row>
    <row r="33116">
      <c r="A33116" s="1" t="s">
        <v>33115</v>
      </c>
      <c r="B33116" s="2" t="str">
        <f>IFERROR(__xludf.DUMMYFUNCTION("GOOGLETRANSLATE(A33116, ""de"", ""en"")"),"washroom")</f>
        <v>washroom</v>
      </c>
    </row>
    <row r="33117">
      <c r="A33117" s="1" t="s">
        <v>33116</v>
      </c>
      <c r="B33117" s="2" t="str">
        <f>IFERROR(__xludf.DUMMYFUNCTION("GOOGLETRANSLATE(A33117, ""de"", ""en"")"),"beamer")</f>
        <v>beamer</v>
      </c>
    </row>
    <row r="33118">
      <c r="A33118" s="1" t="s">
        <v>33117</v>
      </c>
      <c r="B33118" s="2" t="str">
        <f>IFERROR(__xludf.DUMMYFUNCTION("GOOGLETRANSLATE(A33118, ""de"", ""en"")"),"crosshairs")</f>
        <v>crosshairs</v>
      </c>
    </row>
    <row r="33119">
      <c r="A33119" s="1" t="s">
        <v>33118</v>
      </c>
      <c r="B33119" s="2" t="str">
        <f>IFERROR(__xludf.DUMMYFUNCTION("GOOGLETRANSLATE(A33119, ""de"", ""en"")"),"rents")</f>
        <v>rents</v>
      </c>
    </row>
    <row r="33120">
      <c r="A33120" s="1" t="s">
        <v>33119</v>
      </c>
      <c r="B33120" s="2" t="str">
        <f>IFERROR(__xludf.DUMMYFUNCTION("GOOGLETRANSLATE(A33120, ""de"", ""en"")"),"balm")</f>
        <v>balm</v>
      </c>
    </row>
    <row r="33121">
      <c r="A33121" s="1" t="s">
        <v>33120</v>
      </c>
      <c r="B33121" s="2" t="str">
        <f>IFERROR(__xludf.DUMMYFUNCTION("GOOGLETRANSLATE(A33121, ""de"", ""en"")"),"urine sample")</f>
        <v>urine sample</v>
      </c>
    </row>
    <row r="33122">
      <c r="A33122" s="1" t="s">
        <v>33121</v>
      </c>
      <c r="B33122" s="2" t="str">
        <f>IFERROR(__xludf.DUMMYFUNCTION("GOOGLETRANSLATE(A33122, ""de"", ""en"")"),"mala")</f>
        <v>mala</v>
      </c>
    </row>
    <row r="33123">
      <c r="A33123" s="1" t="s">
        <v>33122</v>
      </c>
      <c r="B33123" s="2" t="str">
        <f>IFERROR(__xludf.DUMMYFUNCTION("GOOGLETRANSLATE(A33123, ""de"", ""en"")"),"in silence")</f>
        <v>in silence</v>
      </c>
    </row>
    <row r="33124">
      <c r="A33124" s="1" t="s">
        <v>33123</v>
      </c>
      <c r="B33124" s="2" t="str">
        <f>IFERROR(__xludf.DUMMYFUNCTION("GOOGLETRANSLATE(A33124, ""de"", ""en"")"),"meltdown")</f>
        <v>meltdown</v>
      </c>
    </row>
    <row r="33125">
      <c r="A33125" s="1" t="s">
        <v>33124</v>
      </c>
      <c r="B33125" s="2" t="str">
        <f>IFERROR(__xludf.DUMMYFUNCTION("GOOGLETRANSLATE(A33125, ""de"", ""en"")"),"quick-tempered")</f>
        <v>quick-tempered</v>
      </c>
    </row>
    <row r="33126">
      <c r="A33126" s="1" t="s">
        <v>33125</v>
      </c>
      <c r="B33126" s="2" t="str">
        <f>IFERROR(__xludf.DUMMYFUNCTION("GOOGLETRANSLATE(A33126, ""de"", ""en"")"),"thanks")</f>
        <v>thanks</v>
      </c>
    </row>
    <row r="33127">
      <c r="A33127" s="1" t="s">
        <v>33126</v>
      </c>
      <c r="B33127" s="2" t="str">
        <f>IFERROR(__xludf.DUMMYFUNCTION("GOOGLETRANSLATE(A33127, ""de"", ""en"")"),"outside")</f>
        <v>outside</v>
      </c>
    </row>
    <row r="33128">
      <c r="A33128" s="1" t="s">
        <v>33127</v>
      </c>
      <c r="B33128" s="2" t="str">
        <f>IFERROR(__xludf.DUMMYFUNCTION("GOOGLETRANSLATE(A33128, ""de"", ""en"")"),"came")</f>
        <v>came</v>
      </c>
    </row>
    <row r="33129">
      <c r="A33129" s="1" t="s">
        <v>33128</v>
      </c>
      <c r="B33129" s="2" t="str">
        <f>IFERROR(__xludf.DUMMYFUNCTION("GOOGLETRANSLATE(A33129, ""de"", ""en"")"),"overreact")</f>
        <v>overreact</v>
      </c>
    </row>
    <row r="33130">
      <c r="A33130" s="1" t="s">
        <v>33129</v>
      </c>
      <c r="B33130" s="2" t="str">
        <f>IFERROR(__xludf.DUMMYFUNCTION("GOOGLETRANSLATE(A33130, ""de"", ""en"")"),"creator")</f>
        <v>creator</v>
      </c>
    </row>
    <row r="33131">
      <c r="A33131" s="1" t="s">
        <v>33130</v>
      </c>
      <c r="B33131" s="2" t="str">
        <f>IFERROR(__xludf.DUMMYFUNCTION("GOOGLETRANSLATE(A33131, ""de"", ""en"")"),"retracted")</f>
        <v>retracted</v>
      </c>
    </row>
    <row r="33132">
      <c r="A33132" s="1" t="s">
        <v>33131</v>
      </c>
      <c r="B33132" s="2" t="str">
        <f>IFERROR(__xludf.DUMMYFUNCTION("GOOGLETRANSLATE(A33132, ""de"", ""en"")"),"merlot")</f>
        <v>merlot</v>
      </c>
    </row>
    <row r="33133">
      <c r="A33133" s="1" t="s">
        <v>33132</v>
      </c>
      <c r="B33133" s="2" t="str">
        <f>IFERROR(__xludf.DUMMYFUNCTION("GOOGLETRANSLATE(A33133, ""de"", ""en"")"),"scorpions")</f>
        <v>scorpions</v>
      </c>
    </row>
    <row r="33134">
      <c r="A33134" s="1" t="s">
        <v>33133</v>
      </c>
      <c r="B33134" s="2" t="str">
        <f>IFERROR(__xludf.DUMMYFUNCTION("GOOGLETRANSLATE(A33134, ""de"", ""en"")"),"middle school")</f>
        <v>middle school</v>
      </c>
    </row>
    <row r="33135">
      <c r="A33135" s="1" t="s">
        <v>33134</v>
      </c>
      <c r="B33135" s="2" t="str">
        <f>IFERROR(__xludf.DUMMYFUNCTION("GOOGLETRANSLATE(A33135, ""de"", ""en"")"),"lumpy")</f>
        <v>lumpy</v>
      </c>
    </row>
    <row r="33136">
      <c r="A33136" s="1" t="s">
        <v>33135</v>
      </c>
      <c r="B33136" s="2" t="str">
        <f>IFERROR(__xludf.DUMMYFUNCTION("GOOGLETRANSLATE(A33136, ""de"", ""en"")"),"shocking")</f>
        <v>shocking</v>
      </c>
    </row>
    <row r="33137">
      <c r="A33137" s="1" t="s">
        <v>33136</v>
      </c>
      <c r="B33137" s="2" t="str">
        <f>IFERROR(__xludf.DUMMYFUNCTION("GOOGLETRANSLATE(A33137, ""de"", ""en"")"),"decapitation")</f>
        <v>decapitation</v>
      </c>
    </row>
    <row r="33138">
      <c r="A33138" s="1" t="s">
        <v>33137</v>
      </c>
      <c r="B33138" s="2" t="str">
        <f>IFERROR(__xludf.DUMMYFUNCTION("GOOGLETRANSLATE(A33138, ""de"", ""en"")"),"oiling")</f>
        <v>oiling</v>
      </c>
    </row>
    <row r="33139">
      <c r="A33139" s="1" t="s">
        <v>33138</v>
      </c>
      <c r="B33139" s="2" t="str">
        <f>IFERROR(__xludf.DUMMYFUNCTION("GOOGLETRANSLATE(A33139, ""de"", ""en"")"),"vertigo")</f>
        <v>vertigo</v>
      </c>
    </row>
    <row r="33140">
      <c r="A33140" s="1" t="s">
        <v>33139</v>
      </c>
      <c r="B33140" s="2" t="str">
        <f>IFERROR(__xludf.DUMMYFUNCTION("GOOGLETRANSLATE(A33140, ""de"", ""en"")"),"lexa")</f>
        <v>lexa</v>
      </c>
    </row>
    <row r="33141">
      <c r="A33141" s="1" t="s">
        <v>33140</v>
      </c>
      <c r="B33141" s="2" t="str">
        <f>IFERROR(__xludf.DUMMYFUNCTION("GOOGLETRANSLATE(A33141, ""de"", ""en"")"),"drive")</f>
        <v>drive</v>
      </c>
    </row>
    <row r="33142">
      <c r="A33142" s="1" t="s">
        <v>33141</v>
      </c>
      <c r="B33142" s="2" t="str">
        <f>IFERROR(__xludf.DUMMYFUNCTION("GOOGLETRANSLATE(A33142, ""de"", ""en"")"),"bleed to death")</f>
        <v>bleed to death</v>
      </c>
    </row>
    <row r="33143">
      <c r="A33143" s="1" t="s">
        <v>33142</v>
      </c>
      <c r="B33143" s="2" t="str">
        <f>IFERROR(__xludf.DUMMYFUNCTION("GOOGLETRANSLATE(A33143, ""de"", ""en"")"),"flies up")</f>
        <v>flies up</v>
      </c>
    </row>
    <row r="33144">
      <c r="A33144" s="1" t="s">
        <v>33143</v>
      </c>
      <c r="B33144" s="2" t="str">
        <f>IFERROR(__xludf.DUMMYFUNCTION("GOOGLETRANSLATE(A33144, ""de"", ""en"")"),"crashes")</f>
        <v>crashes</v>
      </c>
    </row>
    <row r="33145">
      <c r="A33145" s="1" t="s">
        <v>33144</v>
      </c>
      <c r="B33145" s="2" t="str">
        <f>IFERROR(__xludf.DUMMYFUNCTION("GOOGLETRANSLATE(A33145, ""de"", ""en"")"),"invested")</f>
        <v>invested</v>
      </c>
    </row>
    <row r="33146">
      <c r="A33146" s="1" t="s">
        <v>33145</v>
      </c>
      <c r="B33146" s="2" t="str">
        <f>IFERROR(__xludf.DUMMYFUNCTION("GOOGLETRANSLATE(A33146, ""de"", ""en"")"),"9mm")</f>
        <v>9mm</v>
      </c>
    </row>
    <row r="33147">
      <c r="A33147" s="1" t="s">
        <v>33146</v>
      </c>
      <c r="B33147" s="2" t="str">
        <f>IFERROR(__xludf.DUMMYFUNCTION("GOOGLETRANSLATE(A33147, ""de"", ""en"")"),"suis")</f>
        <v>suis</v>
      </c>
    </row>
    <row r="33148">
      <c r="A33148" s="1" t="s">
        <v>33147</v>
      </c>
      <c r="B33148" s="2" t="str">
        <f>IFERROR(__xludf.DUMMYFUNCTION("GOOGLETRANSLATE(A33148, ""de"", ""en"")"),"une")</f>
        <v>une</v>
      </c>
    </row>
    <row r="33149">
      <c r="A33149" s="1" t="s">
        <v>33148</v>
      </c>
      <c r="B33149" s="2" t="str">
        <f>IFERROR(__xludf.DUMMYFUNCTION("GOOGLETRANSLATE(A33149, ""de"", ""en"")"),"seafarer")</f>
        <v>seafarer</v>
      </c>
    </row>
    <row r="33150">
      <c r="A33150" s="1" t="s">
        <v>33149</v>
      </c>
      <c r="B33150" s="2" t="str">
        <f>IFERROR(__xludf.DUMMYFUNCTION("GOOGLETRANSLATE(A33150, ""de"", ""en"")"),"arm wrestling")</f>
        <v>arm wrestling</v>
      </c>
    </row>
    <row r="33151">
      <c r="A33151" s="1" t="s">
        <v>33150</v>
      </c>
      <c r="B33151" s="2" t="str">
        <f>IFERROR(__xludf.DUMMYFUNCTION("GOOGLETRANSLATE(A33151, ""de"", ""en"")"),"procure")</f>
        <v>procure</v>
      </c>
    </row>
    <row r="33152">
      <c r="A33152" s="1" t="s">
        <v>33151</v>
      </c>
      <c r="B33152" s="2" t="str">
        <f>IFERROR(__xludf.DUMMYFUNCTION("GOOGLETRANSLATE(A33152, ""de"", ""en"")"),"gills")</f>
        <v>gills</v>
      </c>
    </row>
    <row r="33153">
      <c r="A33153" s="1" t="s">
        <v>33152</v>
      </c>
      <c r="B33153" s="2" t="str">
        <f>IFERROR(__xludf.DUMMYFUNCTION("GOOGLETRANSLATE(A33153, ""de"", ""en"")"),"firefight")</f>
        <v>firefight</v>
      </c>
    </row>
    <row r="33154">
      <c r="A33154" s="1" t="s">
        <v>33153</v>
      </c>
      <c r="B33154" s="2" t="str">
        <f>IFERROR(__xludf.DUMMYFUNCTION("GOOGLETRANSLATE(A33154, ""de"", ""en"")"),"order of magnitude")</f>
        <v>order of magnitude</v>
      </c>
    </row>
    <row r="33155">
      <c r="A33155" s="1" t="s">
        <v>33154</v>
      </c>
      <c r="B33155" s="2" t="str">
        <f>IFERROR(__xludf.DUMMYFUNCTION("GOOGLETRANSLATE(A33155, ""de"", ""en"")"),"psi")</f>
        <v>psi</v>
      </c>
    </row>
    <row r="33156">
      <c r="A33156" s="1" t="s">
        <v>33155</v>
      </c>
      <c r="B33156" s="2" t="str">
        <f>IFERROR(__xludf.DUMMYFUNCTION("GOOGLETRANSLATE(A33156, ""de"", ""en"")"),"motion detector")</f>
        <v>motion detector</v>
      </c>
    </row>
    <row r="33157">
      <c r="A33157" s="1" t="s">
        <v>33156</v>
      </c>
      <c r="B33157" s="2" t="str">
        <f>IFERROR(__xludf.DUMMYFUNCTION("GOOGLETRANSLATE(A33157, ""de"", ""en"")"),"canceled")</f>
        <v>canceled</v>
      </c>
    </row>
    <row r="33158">
      <c r="A33158" s="1" t="s">
        <v>33157</v>
      </c>
      <c r="B33158" s="2" t="str">
        <f>IFERROR(__xludf.DUMMYFUNCTION("GOOGLETRANSLATE(A33158, ""de"", ""en"")"),"of Italy")</f>
        <v>of Italy</v>
      </c>
    </row>
    <row r="33159">
      <c r="A33159" s="1" t="s">
        <v>33158</v>
      </c>
      <c r="B33159" s="2" t="str">
        <f>IFERROR(__xludf.DUMMYFUNCTION("GOOGLETRANSLATE(A33159, ""de"", ""en"")"),"idealist")</f>
        <v>idealist</v>
      </c>
    </row>
    <row r="33160">
      <c r="A33160" s="1" t="s">
        <v>33159</v>
      </c>
      <c r="B33160" s="2" t="str">
        <f>IFERROR(__xludf.DUMMYFUNCTION("GOOGLETRANSLATE(A33160, ""de"", ""en"")"),"prints")</f>
        <v>prints</v>
      </c>
    </row>
    <row r="33161">
      <c r="A33161" s="1" t="s">
        <v>33160</v>
      </c>
      <c r="B33161" s="2" t="str">
        <f>IFERROR(__xludf.DUMMYFUNCTION("GOOGLETRANSLATE(A33161, ""de"", ""en"")"),"erotic")</f>
        <v>erotic</v>
      </c>
    </row>
    <row r="33162">
      <c r="A33162" s="1" t="s">
        <v>33161</v>
      </c>
      <c r="B33162" s="2" t="str">
        <f>IFERROR(__xludf.DUMMYFUNCTION("GOOGLETRANSLATE(A33162, ""de"", ""en"")"),"let off steam")</f>
        <v>let off steam</v>
      </c>
    </row>
    <row r="33163">
      <c r="A33163" s="1" t="s">
        <v>33162</v>
      </c>
      <c r="B33163" s="2" t="str">
        <f>IFERROR(__xludf.DUMMYFUNCTION("GOOGLETRANSLATE(A33163, ""de"", ""en"")"),"devil")</f>
        <v>devil</v>
      </c>
    </row>
    <row r="33164">
      <c r="A33164" s="1" t="s">
        <v>33163</v>
      </c>
      <c r="B33164" s="2" t="str">
        <f>IFERROR(__xludf.DUMMYFUNCTION("GOOGLETRANSLATE(A33164, ""de"", ""en"")"),"IPO")</f>
        <v>IPO</v>
      </c>
    </row>
    <row r="33165">
      <c r="A33165" s="1" t="s">
        <v>33164</v>
      </c>
      <c r="B33165" s="2" t="str">
        <f>IFERROR(__xludf.DUMMYFUNCTION("GOOGLETRANSLATE(A33165, ""de"", ""en"")"),"approved")</f>
        <v>approved</v>
      </c>
    </row>
    <row r="33166">
      <c r="A33166" s="1" t="s">
        <v>33165</v>
      </c>
      <c r="B33166" s="2" t="str">
        <f>IFERROR(__xludf.DUMMYFUNCTION("GOOGLETRANSLATE(A33166, ""de"", ""en"")"),"chaka")</f>
        <v>chaka</v>
      </c>
    </row>
    <row r="33167">
      <c r="A33167" s="1" t="s">
        <v>33166</v>
      </c>
      <c r="B33167" s="2" t="str">
        <f>IFERROR(__xludf.DUMMYFUNCTION("GOOGLETRANSLATE(A33167, ""de"", ""en"")"),"divine")</f>
        <v>divine</v>
      </c>
    </row>
    <row r="33168">
      <c r="A33168" s="1" t="s">
        <v>33167</v>
      </c>
      <c r="B33168" s="2" t="str">
        <f>IFERROR(__xludf.DUMMYFUNCTION("GOOGLETRANSLATE(A33168, ""de"", ""en"")"),"whispered")</f>
        <v>whispered</v>
      </c>
    </row>
    <row r="33169">
      <c r="A33169" s="1" t="s">
        <v>33168</v>
      </c>
      <c r="B33169" s="2" t="str">
        <f>IFERROR(__xludf.DUMMYFUNCTION("GOOGLETRANSLATE(A33169, ""de"", ""en"")"),"unlucky")</f>
        <v>unlucky</v>
      </c>
    </row>
    <row r="33170">
      <c r="A33170" s="1" t="s">
        <v>33169</v>
      </c>
      <c r="B33170" s="2" t="str">
        <f>IFERROR(__xludf.DUMMYFUNCTION("GOOGLETRANSLATE(A33170, ""de"", ""en"")"),"makoto")</f>
        <v>makoto</v>
      </c>
    </row>
    <row r="33171">
      <c r="A33171" s="1" t="s">
        <v>33170</v>
      </c>
      <c r="B33171" s="2" t="str">
        <f>IFERROR(__xludf.DUMMYFUNCTION("GOOGLETRANSLATE(A33171, ""de"", ""en"")"),"respected")</f>
        <v>respected</v>
      </c>
    </row>
    <row r="33172">
      <c r="A33172" s="1" t="s">
        <v>33171</v>
      </c>
      <c r="B33172" s="2" t="str">
        <f>IFERROR(__xludf.DUMMYFUNCTION("GOOGLETRANSLATE(A33172, ""de"", ""en"")"),"muller")</f>
        <v>muller</v>
      </c>
    </row>
    <row r="33173">
      <c r="A33173" s="1" t="s">
        <v>33172</v>
      </c>
      <c r="B33173" s="2" t="str">
        <f>IFERROR(__xludf.DUMMYFUNCTION("GOOGLETRANSLATE(A33173, ""de"", ""en"")"),"tropical")</f>
        <v>tropical</v>
      </c>
    </row>
    <row r="33174">
      <c r="A33174" s="1" t="s">
        <v>33173</v>
      </c>
      <c r="B33174" s="2" t="str">
        <f>IFERROR(__xludf.DUMMYFUNCTION("GOOGLETRANSLATE(A33174, ""de"", ""en"")"),"snowball")</f>
        <v>snowball</v>
      </c>
    </row>
    <row r="33175">
      <c r="A33175" s="1" t="s">
        <v>33174</v>
      </c>
      <c r="B33175" s="2" t="str">
        <f>IFERROR(__xludf.DUMMYFUNCTION("GOOGLETRANSLATE(A33175, ""de"", ""en"")"),"wanted")</f>
        <v>wanted</v>
      </c>
    </row>
    <row r="33176">
      <c r="A33176" s="1" t="s">
        <v>33175</v>
      </c>
      <c r="B33176" s="2" t="str">
        <f>IFERROR(__xludf.DUMMYFUNCTION("GOOGLETRANSLATE(A33176, ""de"", ""en"")"),"mausi")</f>
        <v>mausi</v>
      </c>
    </row>
    <row r="33177">
      <c r="A33177" s="1" t="s">
        <v>33176</v>
      </c>
      <c r="B33177" s="2" t="str">
        <f>IFERROR(__xludf.DUMMYFUNCTION("GOOGLETRANSLATE(A33177, ""de"", ""en"")"),"meatball")</f>
        <v>meatball</v>
      </c>
    </row>
    <row r="33178">
      <c r="A33178" s="1" t="s">
        <v>33177</v>
      </c>
      <c r="B33178" s="2" t="str">
        <f>IFERROR(__xludf.DUMMYFUNCTION("GOOGLETRANSLATE(A33178, ""de"", ""en"")"),"full to the brim")</f>
        <v>full to the brim</v>
      </c>
    </row>
    <row r="33179">
      <c r="A33179" s="1" t="s">
        <v>33178</v>
      </c>
      <c r="B33179" s="2" t="str">
        <f>IFERROR(__xludf.DUMMYFUNCTION("GOOGLETRANSLATE(A33179, ""de"", ""en"")"),"quail")</f>
        <v>quail</v>
      </c>
    </row>
    <row r="33180">
      <c r="A33180" s="1" t="s">
        <v>33179</v>
      </c>
      <c r="B33180" s="2" t="str">
        <f>IFERROR(__xludf.DUMMYFUNCTION("GOOGLETRANSLATE(A33180, ""de"", ""en"")"),"overhear")</f>
        <v>overhear</v>
      </c>
    </row>
    <row r="33181">
      <c r="A33181" s="1" t="s">
        <v>33180</v>
      </c>
      <c r="B33181" s="2" t="str">
        <f>IFERROR(__xludf.DUMMYFUNCTION("GOOGLETRANSLATE(A33181, ""de"", ""en"")"),"cemal")</f>
        <v>cemal</v>
      </c>
    </row>
    <row r="33182">
      <c r="A33182" s="1" t="s">
        <v>33181</v>
      </c>
      <c r="B33182" s="2" t="str">
        <f>IFERROR(__xludf.DUMMYFUNCTION("GOOGLETRANSLATE(A33182, ""de"", ""en"")"),"amicably")</f>
        <v>amicably</v>
      </c>
    </row>
    <row r="33183">
      <c r="A33183" s="1" t="s">
        <v>33182</v>
      </c>
      <c r="B33183" s="2" t="str">
        <f>IFERROR(__xludf.DUMMYFUNCTION("GOOGLETRANSLATE(A33183, ""de"", ""en"")"),"morel")</f>
        <v>morel</v>
      </c>
    </row>
    <row r="33184">
      <c r="A33184" s="1" t="s">
        <v>33183</v>
      </c>
      <c r="B33184" s="2" t="str">
        <f>IFERROR(__xludf.DUMMYFUNCTION("GOOGLETRANSLATE(A33184, ""de"", ""en"")"),"agreements")</f>
        <v>agreements</v>
      </c>
    </row>
    <row r="33185">
      <c r="A33185" s="1" t="s">
        <v>33184</v>
      </c>
      <c r="B33185" s="2" t="str">
        <f>IFERROR(__xludf.DUMMYFUNCTION("GOOGLETRANSLATE(A33185, ""de"", ""en"")"),"professionalism")</f>
        <v>professionalism</v>
      </c>
    </row>
    <row r="33186">
      <c r="A33186" s="1" t="s">
        <v>33185</v>
      </c>
      <c r="B33186" s="2" t="str">
        <f>IFERROR(__xludf.DUMMYFUNCTION("GOOGLETRANSLATE(A33186, ""de"", ""en"")"),"mammal")</f>
        <v>mammal</v>
      </c>
    </row>
    <row r="33187">
      <c r="A33187" s="1" t="s">
        <v>33186</v>
      </c>
      <c r="B33187" s="2" t="str">
        <f>IFERROR(__xludf.DUMMYFUNCTION("GOOGLETRANSLATE(A33187, ""de"", ""en"")"),"illuminate")</f>
        <v>illuminate</v>
      </c>
    </row>
    <row r="33188">
      <c r="A33188" s="1" t="s">
        <v>33187</v>
      </c>
      <c r="B33188" s="2" t="str">
        <f>IFERROR(__xludf.DUMMYFUNCTION("GOOGLETRANSLATE(A33188, ""de"", ""en"")"),"sultans")</f>
        <v>sultans</v>
      </c>
    </row>
    <row r="33189">
      <c r="A33189" s="1" t="s">
        <v>33188</v>
      </c>
      <c r="B33189" s="2" t="str">
        <f>IFERROR(__xludf.DUMMYFUNCTION("GOOGLETRANSLATE(A33189, ""de"", ""en"")"),"looking back")</f>
        <v>looking back</v>
      </c>
    </row>
    <row r="33190">
      <c r="A33190" s="1" t="s">
        <v>33189</v>
      </c>
      <c r="B33190" s="2" t="str">
        <f>IFERROR(__xludf.DUMMYFUNCTION("GOOGLETRANSLATE(A33190, ""de"", ""en"")"),"pass by")</f>
        <v>pass by</v>
      </c>
    </row>
    <row r="33191">
      <c r="A33191" s="1" t="s">
        <v>33190</v>
      </c>
      <c r="B33191" s="2" t="str">
        <f>IFERROR(__xludf.DUMMYFUNCTION("GOOGLETRANSLATE(A33191, ""de"", ""en"")"),"vos")</f>
        <v>vos</v>
      </c>
    </row>
    <row r="33192">
      <c r="A33192" s="1" t="s">
        <v>33191</v>
      </c>
      <c r="B33192" s="2" t="str">
        <f>IFERROR(__xludf.DUMMYFUNCTION("GOOGLETRANSLATE(A33192, ""de"", ""en"")"),"shang")</f>
        <v>shang</v>
      </c>
    </row>
    <row r="33193">
      <c r="A33193" s="1" t="s">
        <v>33192</v>
      </c>
      <c r="B33193" s="2" t="str">
        <f>IFERROR(__xludf.DUMMYFUNCTION("GOOGLETRANSLATE(A33193, ""de"", ""en"")"),"complete")</f>
        <v>complete</v>
      </c>
    </row>
    <row r="33194">
      <c r="A33194" s="1" t="s">
        <v>33193</v>
      </c>
      <c r="B33194" s="2" t="str">
        <f>IFERROR(__xludf.DUMMYFUNCTION("GOOGLETRANSLATE(A33194, ""de"", ""en"")"),"want")</f>
        <v>want</v>
      </c>
    </row>
    <row r="33195">
      <c r="A33195" s="1" t="s">
        <v>33194</v>
      </c>
      <c r="B33195" s="2" t="str">
        <f>IFERROR(__xludf.DUMMYFUNCTION("GOOGLETRANSLATE(A33195, ""de"", ""en"")"),"role-playing games")</f>
        <v>role-playing games</v>
      </c>
    </row>
    <row r="33196">
      <c r="A33196" s="1" t="s">
        <v>33195</v>
      </c>
      <c r="B33196" s="2" t="str">
        <f>IFERROR(__xludf.DUMMYFUNCTION("GOOGLETRANSLATE(A33196, ""de"", ""en"")"),"compare")</f>
        <v>compare</v>
      </c>
    </row>
    <row r="33197">
      <c r="A33197" s="1" t="s">
        <v>33196</v>
      </c>
      <c r="B33197" s="2" t="str">
        <f>IFERROR(__xludf.DUMMYFUNCTION("GOOGLETRANSLATE(A33197, ""de"", ""en"")"),"assembly line")</f>
        <v>assembly line</v>
      </c>
    </row>
    <row r="33198">
      <c r="A33198" s="1" t="s">
        <v>33197</v>
      </c>
      <c r="B33198" s="2" t="str">
        <f>IFERROR(__xludf.DUMMYFUNCTION("GOOGLETRANSLATE(A33198, ""de"", ""en"")"),"beam of light")</f>
        <v>beam of light</v>
      </c>
    </row>
    <row r="33199">
      <c r="A33199" s="1" t="s">
        <v>33198</v>
      </c>
      <c r="B33199" s="2" t="str">
        <f>IFERROR(__xludf.DUMMYFUNCTION("GOOGLETRANSLATE(A33199, ""de"", ""en"")"),"Gaul")</f>
        <v>Gaul</v>
      </c>
    </row>
    <row r="33200">
      <c r="A33200" s="1" t="s">
        <v>33199</v>
      </c>
      <c r="B33200" s="2" t="str">
        <f>IFERROR(__xludf.DUMMYFUNCTION("GOOGLETRANSLATE(A33200, ""de"", ""en"")"),"comprehensive")</f>
        <v>comprehensive</v>
      </c>
    </row>
    <row r="33201">
      <c r="A33201" s="1" t="s">
        <v>33200</v>
      </c>
      <c r="B33201" s="2" t="str">
        <f>IFERROR(__xludf.DUMMYFUNCTION("GOOGLETRANSLATE(A33201, ""de"", ""en"")"),"noahs")</f>
        <v>noahs</v>
      </c>
    </row>
    <row r="33202">
      <c r="A33202" s="1" t="s">
        <v>33201</v>
      </c>
      <c r="B33202" s="2" t="str">
        <f>IFERROR(__xludf.DUMMYFUNCTION("GOOGLETRANSLATE(A33202, ""de"", ""en"")"),"unfolded")</f>
        <v>unfolded</v>
      </c>
    </row>
    <row r="33203">
      <c r="A33203" s="1" t="s">
        <v>33202</v>
      </c>
      <c r="B33203" s="2" t="str">
        <f>IFERROR(__xludf.DUMMYFUNCTION("GOOGLETRANSLATE(A33203, ""de"", ""en"")"),"cum")</f>
        <v>cum</v>
      </c>
    </row>
    <row r="33204">
      <c r="A33204" s="1" t="s">
        <v>33203</v>
      </c>
      <c r="B33204" s="2" t="str">
        <f>IFERROR(__xludf.DUMMYFUNCTION("GOOGLETRANSLATE(A33204, ""de"", ""en"")"),"hee")</f>
        <v>hee</v>
      </c>
    </row>
    <row r="33205">
      <c r="A33205" s="1" t="s">
        <v>33204</v>
      </c>
      <c r="B33205" s="2" t="str">
        <f>IFERROR(__xludf.DUMMYFUNCTION("GOOGLETRANSLATE(A33205, ""de"", ""en"")"),"ichi")</f>
        <v>ichi</v>
      </c>
    </row>
    <row r="33206">
      <c r="A33206" s="1" t="s">
        <v>33205</v>
      </c>
      <c r="B33206" s="2" t="str">
        <f>IFERROR(__xludf.DUMMYFUNCTION("GOOGLETRANSLATE(A33206, ""de"", ""en"")"),"flit")</f>
        <v>flit</v>
      </c>
    </row>
    <row r="33207">
      <c r="A33207" s="1" t="s">
        <v>33206</v>
      </c>
      <c r="B33207" s="2" t="str">
        <f>IFERROR(__xludf.DUMMYFUNCTION("GOOGLETRANSLATE(A33207, ""de"", ""en"")"),"smoothie")</f>
        <v>smoothie</v>
      </c>
    </row>
    <row r="33208">
      <c r="A33208" s="1" t="s">
        <v>33207</v>
      </c>
      <c r="B33208" s="2" t="str">
        <f>IFERROR(__xludf.DUMMYFUNCTION("GOOGLETRANSLATE(A33208, ""de"", ""en"")"),"tow")</f>
        <v>tow</v>
      </c>
    </row>
    <row r="33209">
      <c r="A33209" s="1" t="s">
        <v>33208</v>
      </c>
      <c r="B33209" s="2" t="str">
        <f>IFERROR(__xludf.DUMMYFUNCTION("GOOGLETRANSLATE(A33209, ""de"", ""en"")"),"oil change")</f>
        <v>oil change</v>
      </c>
    </row>
    <row r="33210">
      <c r="A33210" s="1" t="s">
        <v>33209</v>
      </c>
      <c r="B33210" s="2" t="str">
        <f>IFERROR(__xludf.DUMMYFUNCTION("GOOGLETRANSLATE(A33210, ""de"", ""en"")"),"monarchs")</f>
        <v>monarchs</v>
      </c>
    </row>
    <row r="33211">
      <c r="A33211" s="1" t="s">
        <v>33210</v>
      </c>
      <c r="B33211" s="2" t="str">
        <f>IFERROR(__xludf.DUMMYFUNCTION("GOOGLETRANSLATE(A33211, ""de"", ""en"")"),"to pack up")</f>
        <v>to pack up</v>
      </c>
    </row>
    <row r="33212">
      <c r="A33212" s="1" t="s">
        <v>33211</v>
      </c>
      <c r="B33212" s="2" t="str">
        <f>IFERROR(__xludf.DUMMYFUNCTION("GOOGLETRANSLATE(A33212, ""de"", ""en"")"),"to stop")</f>
        <v>to stop</v>
      </c>
    </row>
    <row r="33213">
      <c r="A33213" s="1" t="s">
        <v>33212</v>
      </c>
      <c r="B33213" s="2" t="str">
        <f>IFERROR(__xludf.DUMMYFUNCTION("GOOGLETRANSLATE(A33213, ""de"", ""en"")"),"Christmas card")</f>
        <v>Christmas card</v>
      </c>
    </row>
    <row r="33214">
      <c r="A33214" s="1" t="s">
        <v>33213</v>
      </c>
      <c r="B33214" s="2" t="str">
        <f>IFERROR(__xludf.DUMMYFUNCTION("GOOGLETRANSLATE(A33214, ""de"", ""en"")"),"billy goat")</f>
        <v>billy goat</v>
      </c>
    </row>
    <row r="33215">
      <c r="A33215" s="1" t="s">
        <v>33214</v>
      </c>
      <c r="B33215" s="2" t="str">
        <f>IFERROR(__xludf.DUMMYFUNCTION("GOOGLETRANSLATE(A33215, ""de"", ""en"")"),"disarm")</f>
        <v>disarm</v>
      </c>
    </row>
    <row r="33216">
      <c r="A33216" s="1" t="s">
        <v>33215</v>
      </c>
      <c r="B33216" s="2" t="str">
        <f>IFERROR(__xludf.DUMMYFUNCTION("GOOGLETRANSLATE(A33216, ""de"", ""en"")"),"Pied Piper")</f>
        <v>Pied Piper</v>
      </c>
    </row>
    <row r="33217">
      <c r="A33217" s="1" t="s">
        <v>33216</v>
      </c>
      <c r="B33217" s="2" t="str">
        <f>IFERROR(__xludf.DUMMYFUNCTION("GOOGLETRANSLATE(A33217, ""de"", ""en"")"),"short term")</f>
        <v>short term</v>
      </c>
    </row>
    <row r="33218">
      <c r="A33218" s="1" t="s">
        <v>33217</v>
      </c>
      <c r="B33218" s="2" t="str">
        <f>IFERROR(__xludf.DUMMYFUNCTION("GOOGLETRANSLATE(A33218, ""de"", ""en"")"),"income")</f>
        <v>income</v>
      </c>
    </row>
    <row r="33219">
      <c r="A33219" s="1" t="s">
        <v>33218</v>
      </c>
      <c r="B33219" s="2" t="str">
        <f>IFERROR(__xludf.DUMMYFUNCTION("GOOGLETRANSLATE(A33219, ""de"", ""en"")"),"iosava")</f>
        <v>iosava</v>
      </c>
    </row>
    <row r="33220">
      <c r="A33220" s="1" t="s">
        <v>33219</v>
      </c>
      <c r="B33220" s="2" t="str">
        <f>IFERROR(__xludf.DUMMYFUNCTION("GOOGLETRANSLATE(A33220, ""de"", ""en"")"),"landing")</f>
        <v>landing</v>
      </c>
    </row>
    <row r="33221">
      <c r="A33221" s="1" t="s">
        <v>33220</v>
      </c>
      <c r="B33221" s="2" t="str">
        <f>IFERROR(__xludf.DUMMYFUNCTION("GOOGLETRANSLATE(A33221, ""de"", ""en"")"),"wildcat")</f>
        <v>wildcat</v>
      </c>
    </row>
    <row r="33222">
      <c r="A33222" s="1" t="s">
        <v>33221</v>
      </c>
      <c r="B33222" s="2" t="str">
        <f>IFERROR(__xludf.DUMMYFUNCTION("GOOGLETRANSLATE(A33222, ""de"", ""en"")"),"farewells")</f>
        <v>farewells</v>
      </c>
    </row>
    <row r="33223">
      <c r="A33223" s="1" t="s">
        <v>33222</v>
      </c>
      <c r="B33223" s="2" t="str">
        <f>IFERROR(__xludf.DUMMYFUNCTION("GOOGLETRANSLATE(A33223, ""de"", ""en"")"),"ulcers")</f>
        <v>ulcers</v>
      </c>
    </row>
    <row r="33224">
      <c r="A33224" s="1" t="s">
        <v>33223</v>
      </c>
      <c r="B33224" s="2" t="str">
        <f>IFERROR(__xludf.DUMMYFUNCTION("GOOGLETRANSLATE(A33224, ""de"", ""en"")"),"operate")</f>
        <v>operate</v>
      </c>
    </row>
    <row r="33225">
      <c r="A33225" s="1" t="s">
        <v>33224</v>
      </c>
      <c r="B33225" s="2" t="str">
        <f>IFERROR(__xludf.DUMMYFUNCTION("GOOGLETRANSLATE(A33225, ""de"", ""en"")"),"smiths")</f>
        <v>smiths</v>
      </c>
    </row>
    <row r="33226">
      <c r="A33226" s="1" t="s">
        <v>33225</v>
      </c>
      <c r="B33226" s="2" t="str">
        <f>IFERROR(__xludf.DUMMYFUNCTION("GOOGLETRANSLATE(A33226, ""de"", ""en"")"),"inconvenience")</f>
        <v>inconvenience</v>
      </c>
    </row>
    <row r="33227">
      <c r="A33227" s="1" t="s">
        <v>33226</v>
      </c>
      <c r="B33227" s="2" t="str">
        <f>IFERROR(__xludf.DUMMYFUNCTION("GOOGLETRANSLATE(A33227, ""de"", ""en"")"),"community center")</f>
        <v>community center</v>
      </c>
    </row>
    <row r="33228">
      <c r="A33228" s="1" t="s">
        <v>33227</v>
      </c>
      <c r="B33228" s="2" t="str">
        <f>IFERROR(__xludf.DUMMYFUNCTION("GOOGLETRANSLATE(A33228, ""de"", ""en"")"),"humanoids")</f>
        <v>humanoids</v>
      </c>
    </row>
    <row r="33229">
      <c r="A33229" s="1" t="s">
        <v>33228</v>
      </c>
      <c r="B33229" s="2" t="str">
        <f>IFERROR(__xludf.DUMMYFUNCTION("GOOGLETRANSLATE(A33229, ""de"", ""en"")"),"tricky")</f>
        <v>tricky</v>
      </c>
    </row>
    <row r="33230">
      <c r="A33230" s="1" t="s">
        <v>33229</v>
      </c>
      <c r="B33230" s="2" t="str">
        <f>IFERROR(__xludf.DUMMYFUNCTION("GOOGLETRANSLATE(A33230, ""de"", ""en"")"),"sahib")</f>
        <v>sahib</v>
      </c>
    </row>
    <row r="33231">
      <c r="A33231" s="1" t="s">
        <v>33230</v>
      </c>
      <c r="B33231" s="2" t="str">
        <f>IFERROR(__xludf.DUMMYFUNCTION("GOOGLETRANSLATE(A33231, ""de"", ""en"")"),"touched")</f>
        <v>touched</v>
      </c>
    </row>
    <row r="33232">
      <c r="A33232" s="1" t="s">
        <v>33231</v>
      </c>
      <c r="B33232" s="2" t="str">
        <f>IFERROR(__xludf.DUMMYFUNCTION("GOOGLETRANSLATE(A33232, ""de"", ""en"")"),"fed")</f>
        <v>fed</v>
      </c>
    </row>
    <row r="33233">
      <c r="A33233" s="1" t="s">
        <v>33232</v>
      </c>
      <c r="B33233" s="2" t="str">
        <f>IFERROR(__xludf.DUMMYFUNCTION("GOOGLETRANSLATE(A33233, ""de"", ""en"")"),"consciously")</f>
        <v>consciously</v>
      </c>
    </row>
    <row r="33234">
      <c r="A33234" s="1" t="s">
        <v>33233</v>
      </c>
      <c r="B33234" s="2" t="str">
        <f>IFERROR(__xludf.DUMMYFUNCTION("GOOGLETRANSLATE(A33234, ""de"", ""en"")"),"puked all over")</f>
        <v>puked all over</v>
      </c>
    </row>
    <row r="33235">
      <c r="A33235" s="1" t="s">
        <v>33234</v>
      </c>
      <c r="B33235" s="2" t="str">
        <f>IFERROR(__xludf.DUMMYFUNCTION("GOOGLETRANSLATE(A33235, ""de"", ""en"")"),"hilarious")</f>
        <v>hilarious</v>
      </c>
    </row>
    <row r="33236">
      <c r="A33236" s="1" t="s">
        <v>33235</v>
      </c>
      <c r="B33236" s="2" t="str">
        <f>IFERROR(__xludf.DUMMYFUNCTION("GOOGLETRANSLATE(A33236, ""de"", ""en"")"),"wet")</f>
        <v>wet</v>
      </c>
    </row>
    <row r="33237">
      <c r="A33237" s="1" t="s">
        <v>33236</v>
      </c>
      <c r="B33237" s="2" t="str">
        <f>IFERROR(__xludf.DUMMYFUNCTION("GOOGLETRANSLATE(A33237, ""de"", ""en"")"),"safes")</f>
        <v>safes</v>
      </c>
    </row>
    <row r="33238">
      <c r="A33238" s="1" t="s">
        <v>33237</v>
      </c>
      <c r="B33238" s="2" t="str">
        <f>IFERROR(__xludf.DUMMYFUNCTION("GOOGLETRANSLATE(A33238, ""de"", ""en"")"),"finney")</f>
        <v>finney</v>
      </c>
    </row>
    <row r="33239">
      <c r="A33239" s="1" t="s">
        <v>33238</v>
      </c>
      <c r="B33239" s="2" t="str">
        <f>IFERROR(__xludf.DUMMYFUNCTION("GOOGLETRANSLATE(A33239, ""de"", ""en"")"),"short stories")</f>
        <v>short stories</v>
      </c>
    </row>
    <row r="33240">
      <c r="A33240" s="1" t="s">
        <v>33239</v>
      </c>
      <c r="B33240" s="2" t="str">
        <f>IFERROR(__xludf.DUMMYFUNCTION("GOOGLETRANSLATE(A33240, ""de"", ""en"")"),"gucci")</f>
        <v>gucci</v>
      </c>
    </row>
    <row r="33241">
      <c r="A33241" s="1" t="s">
        <v>33240</v>
      </c>
      <c r="B33241" s="2" t="str">
        <f>IFERROR(__xludf.DUMMYFUNCTION("GOOGLETRANSLATE(A33241, ""de"", ""en"")"),"diadem")</f>
        <v>diadem</v>
      </c>
    </row>
    <row r="33242">
      <c r="A33242" s="1" t="s">
        <v>33241</v>
      </c>
      <c r="B33242" s="2" t="str">
        <f>IFERROR(__xludf.DUMMYFUNCTION("GOOGLETRANSLATE(A33242, ""de"", ""en"")"),"reject")</f>
        <v>reject</v>
      </c>
    </row>
    <row r="33243">
      <c r="A33243" s="1" t="s">
        <v>33242</v>
      </c>
      <c r="B33243" s="2" t="str">
        <f>IFERROR(__xludf.DUMMYFUNCTION("GOOGLETRANSLATE(A33243, ""de"", ""en"")"),"to cover")</f>
        <v>to cover</v>
      </c>
    </row>
    <row r="33244">
      <c r="A33244" s="1" t="s">
        <v>33243</v>
      </c>
      <c r="B33244" s="2" t="str">
        <f>IFERROR(__xludf.DUMMYFUNCTION("GOOGLETRANSLATE(A33244, ""de"", ""en"")"),"mane")</f>
        <v>mane</v>
      </c>
    </row>
    <row r="33245">
      <c r="A33245" s="1" t="s">
        <v>33244</v>
      </c>
      <c r="B33245" s="2" t="str">
        <f>IFERROR(__xludf.DUMMYFUNCTION("GOOGLETRANSLATE(A33245, ""de"", ""en"")"),"marshak")</f>
        <v>marshak</v>
      </c>
    </row>
    <row r="33246">
      <c r="A33246" s="1" t="s">
        <v>33245</v>
      </c>
      <c r="B33246" s="2" t="str">
        <f>IFERROR(__xludf.DUMMYFUNCTION("GOOGLETRANSLATE(A33246, ""de"", ""en"")"),"sterilized")</f>
        <v>sterilized</v>
      </c>
    </row>
    <row r="33247">
      <c r="A33247" s="1" t="s">
        <v>33246</v>
      </c>
      <c r="B33247" s="2" t="str">
        <f>IFERROR(__xludf.DUMMYFUNCTION("GOOGLETRANSLATE(A33247, ""de"", ""en"")"),"cover")</f>
        <v>cover</v>
      </c>
    </row>
    <row r="33248">
      <c r="A33248" s="1" t="s">
        <v>33247</v>
      </c>
      <c r="B33248" s="2" t="str">
        <f>IFERROR(__xludf.DUMMYFUNCTION("GOOGLETRANSLATE(A33248, ""de"", ""en"")"),"to assist")</f>
        <v>to assist</v>
      </c>
    </row>
    <row r="33249">
      <c r="A33249" s="1" t="s">
        <v>33248</v>
      </c>
      <c r="B33249" s="2" t="str">
        <f>IFERROR(__xludf.DUMMYFUNCTION("GOOGLETRANSLATE(A33249, ""de"", ""en"")"),"hurdles")</f>
        <v>hurdles</v>
      </c>
    </row>
    <row r="33250">
      <c r="A33250" s="1" t="s">
        <v>33249</v>
      </c>
      <c r="B33250" s="2" t="str">
        <f>IFERROR(__xludf.DUMMYFUNCTION("GOOGLETRANSLATE(A33250, ""de"", ""en"")"),"give")</f>
        <v>give</v>
      </c>
    </row>
    <row r="33251">
      <c r="A33251" s="1" t="s">
        <v>33250</v>
      </c>
      <c r="B33251" s="2" t="str">
        <f>IFERROR(__xludf.DUMMYFUNCTION("GOOGLETRANSLATE(A33251, ""de"", ""en"")"),"profound")</f>
        <v>profound</v>
      </c>
    </row>
    <row r="33252">
      <c r="A33252" s="1" t="s">
        <v>33251</v>
      </c>
      <c r="B33252" s="2" t="str">
        <f>IFERROR(__xludf.DUMMYFUNCTION("GOOGLETRANSLATE(A33252, ""de"", ""en"")"),"synchronized")</f>
        <v>synchronized</v>
      </c>
    </row>
    <row r="33253">
      <c r="A33253" s="1" t="s">
        <v>33252</v>
      </c>
      <c r="B33253" s="2" t="str">
        <f>IFERROR(__xludf.DUMMYFUNCTION("GOOGLETRANSLATE(A33253, ""de"", ""en"")"),"sneaked out")</f>
        <v>sneaked out</v>
      </c>
    </row>
    <row r="33254">
      <c r="A33254" s="1" t="s">
        <v>33253</v>
      </c>
      <c r="B33254" s="2" t="str">
        <f>IFERROR(__xludf.DUMMYFUNCTION("GOOGLETRANSLATE(A33254, ""de"", ""en"")"),"council")</f>
        <v>council</v>
      </c>
    </row>
    <row r="33255">
      <c r="A33255" s="1" t="s">
        <v>33254</v>
      </c>
      <c r="B33255" s="2" t="str">
        <f>IFERROR(__xludf.DUMMYFUNCTION("GOOGLETRANSLATE(A33255, ""de"", ""en"")"),"ice cream man")</f>
        <v>ice cream man</v>
      </c>
    </row>
    <row r="33256">
      <c r="A33256" s="1" t="s">
        <v>33255</v>
      </c>
      <c r="B33256" s="2" t="str">
        <f>IFERROR(__xludf.DUMMYFUNCTION("GOOGLETRANSLATE(A33256, ""de"", ""en"")"),"African American")</f>
        <v>African American</v>
      </c>
    </row>
    <row r="33257">
      <c r="A33257" s="1" t="s">
        <v>33256</v>
      </c>
      <c r="B33257" s="2" t="str">
        <f>IFERROR(__xludf.DUMMYFUNCTION("GOOGLETRANSLATE(A33257, ""de"", ""en"")"),"secretary")</f>
        <v>secretary</v>
      </c>
    </row>
    <row r="33258">
      <c r="A33258" s="1" t="s">
        <v>33257</v>
      </c>
      <c r="B33258" s="2" t="str">
        <f>IFERROR(__xludf.DUMMYFUNCTION("GOOGLETRANSLATE(A33258, ""de"", ""en"")"),"wilgul")</f>
        <v>wilgul</v>
      </c>
    </row>
    <row r="33259">
      <c r="A33259" s="1" t="s">
        <v>33258</v>
      </c>
      <c r="B33259" s="2" t="str">
        <f>IFERROR(__xludf.DUMMYFUNCTION("GOOGLETRANSLATE(A33259, ""de"", ""en"")"),"monastery")</f>
        <v>monastery</v>
      </c>
    </row>
    <row r="33260">
      <c r="A33260" s="1" t="s">
        <v>33259</v>
      </c>
      <c r="B33260" s="2" t="str">
        <f>IFERROR(__xludf.DUMMYFUNCTION("GOOGLETRANSLATE(A33260, ""de"", ""en"")"),"naoki")</f>
        <v>naoki</v>
      </c>
    </row>
    <row r="33261">
      <c r="A33261" s="1" t="s">
        <v>33260</v>
      </c>
      <c r="B33261" s="2" t="str">
        <f>IFERROR(__xludf.DUMMYFUNCTION("GOOGLETRANSLATE(A33261, ""de"", ""en"")"),"more lovable")</f>
        <v>more lovable</v>
      </c>
    </row>
    <row r="33262">
      <c r="A33262" s="1" t="s">
        <v>33261</v>
      </c>
      <c r="B33262" s="2" t="str">
        <f>IFERROR(__xludf.DUMMYFUNCTION("GOOGLETRANSLATE(A33262, ""de"", ""en"")"),"succumbed")</f>
        <v>succumbed</v>
      </c>
    </row>
    <row r="33263">
      <c r="A33263" s="1" t="s">
        <v>33262</v>
      </c>
      <c r="B33263" s="2" t="str">
        <f>IFERROR(__xludf.DUMMYFUNCTION("GOOGLETRANSLATE(A33263, ""de"", ""en"")"),"warm")</f>
        <v>warm</v>
      </c>
    </row>
    <row r="33264">
      <c r="A33264" s="1" t="s">
        <v>33263</v>
      </c>
      <c r="B33264" s="2" t="str">
        <f>IFERROR(__xludf.DUMMYFUNCTION("GOOGLETRANSLATE(A33264, ""de"", ""en"")"),"Barr")</f>
        <v>Barr</v>
      </c>
    </row>
    <row r="33265">
      <c r="A33265" s="1" t="s">
        <v>33264</v>
      </c>
      <c r="B33265" s="2" t="str">
        <f>IFERROR(__xludf.DUMMYFUNCTION("GOOGLETRANSLATE(A33265, ""de"", ""en"")"),"stands")</f>
        <v>stands</v>
      </c>
    </row>
    <row r="33266">
      <c r="A33266" s="1" t="s">
        <v>33265</v>
      </c>
      <c r="B33266" s="2" t="str">
        <f>IFERROR(__xludf.DUMMYFUNCTION("GOOGLETRANSLATE(A33266, ""de"", ""en"")"),"concessions")</f>
        <v>concessions</v>
      </c>
    </row>
    <row r="33267">
      <c r="A33267" s="1" t="s">
        <v>33266</v>
      </c>
      <c r="B33267" s="2" t="str">
        <f>IFERROR(__xludf.DUMMYFUNCTION("GOOGLETRANSLATE(A33267, ""de"", ""en"")"),"understandable")</f>
        <v>understandable</v>
      </c>
    </row>
    <row r="33268">
      <c r="A33268" s="1" t="s">
        <v>33267</v>
      </c>
      <c r="B33268" s="2" t="str">
        <f>IFERROR(__xludf.DUMMYFUNCTION("GOOGLETRANSLATE(A33268, ""de"", ""en"")"),"beautify")</f>
        <v>beautify</v>
      </c>
    </row>
    <row r="33269">
      <c r="A33269" s="1" t="s">
        <v>33268</v>
      </c>
      <c r="B33269" s="2" t="str">
        <f>IFERROR(__xludf.DUMMYFUNCTION("GOOGLETRANSLATE(A33269, ""de"", ""en"")"),"speakers")</f>
        <v>speakers</v>
      </c>
    </row>
    <row r="33270">
      <c r="A33270" s="1" t="s">
        <v>33269</v>
      </c>
      <c r="B33270" s="2" t="str">
        <f>IFERROR(__xludf.DUMMYFUNCTION("GOOGLETRANSLATE(A33270, ""de"", ""en"")"),"full post")</f>
        <v>full post</v>
      </c>
    </row>
    <row r="33271">
      <c r="A33271" s="1" t="s">
        <v>33270</v>
      </c>
      <c r="B33271" s="2" t="str">
        <f>IFERROR(__xludf.DUMMYFUNCTION("GOOGLETRANSLATE(A33271, ""de"", ""en"")"),"nami")</f>
        <v>nami</v>
      </c>
    </row>
    <row r="33272">
      <c r="A33272" s="1" t="s">
        <v>33271</v>
      </c>
      <c r="B33272" s="2" t="str">
        <f>IFERROR(__xludf.DUMMYFUNCTION("GOOGLETRANSLATE(A33272, ""de"", ""en"")"),"hearts")</f>
        <v>hearts</v>
      </c>
    </row>
    <row r="33273">
      <c r="A33273" s="1" t="s">
        <v>33272</v>
      </c>
      <c r="B33273" s="2" t="str">
        <f>IFERROR(__xludf.DUMMYFUNCTION("GOOGLETRANSLATE(A33273, ""de"", ""en"")"),"Evas")</f>
        <v>Evas</v>
      </c>
    </row>
    <row r="33274">
      <c r="A33274" s="1" t="s">
        <v>33273</v>
      </c>
      <c r="B33274" s="2" t="str">
        <f>IFERROR(__xludf.DUMMYFUNCTION("GOOGLETRANSLATE(A33274, ""de"", ""en"")"),"most diverse")</f>
        <v>most diverse</v>
      </c>
    </row>
    <row r="33275">
      <c r="A33275" s="1" t="s">
        <v>33274</v>
      </c>
      <c r="B33275" s="2" t="str">
        <f>IFERROR(__xludf.DUMMYFUNCTION("GOOGLETRANSLATE(A33275, ""de"", ""en"")"),"dice")</f>
        <v>dice</v>
      </c>
    </row>
    <row r="33276">
      <c r="A33276" s="1" t="s">
        <v>33275</v>
      </c>
      <c r="B33276" s="2" t="str">
        <f>IFERROR(__xludf.DUMMYFUNCTION("GOOGLETRANSLATE(A33276, ""de"", ""en"")"),"ignite")</f>
        <v>ignite</v>
      </c>
    </row>
    <row r="33277">
      <c r="A33277" s="1" t="s">
        <v>33276</v>
      </c>
      <c r="B33277" s="2" t="str">
        <f>IFERROR(__xludf.DUMMYFUNCTION("GOOGLETRANSLATE(A33277, ""de"", ""en"")"),"saucers")</f>
        <v>saucers</v>
      </c>
    </row>
    <row r="33278">
      <c r="A33278" s="1" t="s">
        <v>33277</v>
      </c>
      <c r="B33278" s="2" t="str">
        <f>IFERROR(__xludf.DUMMYFUNCTION("GOOGLETRANSLATE(A33278, ""de"", ""en"")"),"ate")</f>
        <v>ate</v>
      </c>
    </row>
    <row r="33279">
      <c r="A33279" s="1" t="s">
        <v>33278</v>
      </c>
      <c r="B33279" s="2" t="str">
        <f>IFERROR(__xludf.DUMMYFUNCTION("GOOGLETRANSLATE(A33279, ""de"", ""en"")"),"sex offenders")</f>
        <v>sex offenders</v>
      </c>
    </row>
    <row r="33280">
      <c r="A33280" s="1" t="s">
        <v>33279</v>
      </c>
      <c r="B33280" s="2" t="str">
        <f>IFERROR(__xludf.DUMMYFUNCTION("GOOGLETRANSLATE(A33280, ""de"", ""en"")"),"abomination")</f>
        <v>abomination</v>
      </c>
    </row>
    <row r="33281">
      <c r="A33281" s="1" t="s">
        <v>33280</v>
      </c>
      <c r="B33281" s="2" t="str">
        <f>IFERROR(__xludf.DUMMYFUNCTION("GOOGLETRANSLATE(A33281, ""de"", ""en"")"),"McCartney")</f>
        <v>McCartney</v>
      </c>
    </row>
    <row r="33282">
      <c r="A33282" s="1" t="s">
        <v>33281</v>
      </c>
      <c r="B33282" s="2" t="str">
        <f>IFERROR(__xludf.DUMMYFUNCTION("GOOGLETRANSLATE(A33282, ""de"", ""en"")"),"gravel")</f>
        <v>gravel</v>
      </c>
    </row>
    <row r="33283">
      <c r="A33283" s="1" t="s">
        <v>33282</v>
      </c>
      <c r="B33283" s="2" t="str">
        <f>IFERROR(__xludf.DUMMYFUNCTION("GOOGLETRANSLATE(A33283, ""de"", ""en"")"),"scolded")</f>
        <v>scolded</v>
      </c>
    </row>
    <row r="33284">
      <c r="A33284" s="1" t="s">
        <v>33283</v>
      </c>
      <c r="B33284" s="2" t="str">
        <f>IFERROR(__xludf.DUMMYFUNCTION("GOOGLETRANSLATE(A33284, ""de"", ""en"")"),"Laura")</f>
        <v>Laura</v>
      </c>
    </row>
    <row r="33285">
      <c r="A33285" s="1" t="s">
        <v>33284</v>
      </c>
      <c r="B33285" s="2" t="str">
        <f>IFERROR(__xludf.DUMMYFUNCTION("GOOGLETRANSLATE(A33285, ""de"", ""en"")"),"spiteful")</f>
        <v>spiteful</v>
      </c>
    </row>
    <row r="33286">
      <c r="A33286" s="1" t="s">
        <v>33285</v>
      </c>
      <c r="B33286" s="2" t="str">
        <f>IFERROR(__xludf.DUMMYFUNCTION("GOOGLETRANSLATE(A33286, ""de"", ""en"")"),"swallow")</f>
        <v>swallow</v>
      </c>
    </row>
    <row r="33287">
      <c r="A33287" s="1" t="s">
        <v>33286</v>
      </c>
      <c r="B33287" s="2" t="str">
        <f>IFERROR(__xludf.DUMMYFUNCTION("GOOGLETRANSLATE(A33287, ""de"", ""en"")"),"possessive")</f>
        <v>possessive</v>
      </c>
    </row>
    <row r="33288">
      <c r="A33288" s="1" t="s">
        <v>33287</v>
      </c>
      <c r="B33288" s="2" t="str">
        <f>IFERROR(__xludf.DUMMYFUNCTION("GOOGLETRANSLATE(A33288, ""de"", ""en"")"),"obsolete")</f>
        <v>obsolete</v>
      </c>
    </row>
    <row r="33289">
      <c r="A33289" s="1" t="s">
        <v>33288</v>
      </c>
      <c r="B33289" s="2" t="str">
        <f>IFERROR(__xludf.DUMMYFUNCTION("GOOGLETRANSLATE(A33289, ""de"", ""en"")"),"to strike back")</f>
        <v>to strike back</v>
      </c>
    </row>
    <row r="33290">
      <c r="A33290" s="1" t="s">
        <v>33289</v>
      </c>
      <c r="B33290" s="2" t="str">
        <f>IFERROR(__xludf.DUMMYFUNCTION("GOOGLETRANSLATE(A33290, ""de"", ""en"")"),"Sunday school")</f>
        <v>Sunday school</v>
      </c>
    </row>
    <row r="33291">
      <c r="A33291" s="1" t="s">
        <v>33290</v>
      </c>
      <c r="B33291" s="2" t="str">
        <f>IFERROR(__xludf.DUMMYFUNCTION("GOOGLETRANSLATE(A33291, ""de"", ""en"")"),"pull out")</f>
        <v>pull out</v>
      </c>
    </row>
    <row r="33292">
      <c r="A33292" s="1" t="s">
        <v>33291</v>
      </c>
      <c r="B33292" s="2" t="str">
        <f>IFERROR(__xludf.DUMMYFUNCTION("GOOGLETRANSLATE(A33292, ""de"", ""en"")"),"film music")</f>
        <v>film music</v>
      </c>
    </row>
    <row r="33293">
      <c r="A33293" s="1" t="s">
        <v>33292</v>
      </c>
      <c r="B33293" s="2" t="str">
        <f>IFERROR(__xludf.DUMMYFUNCTION("GOOGLETRANSLATE(A33293, ""de"", ""en"")"),"fresh")</f>
        <v>fresh</v>
      </c>
    </row>
    <row r="33294">
      <c r="A33294" s="1" t="s">
        <v>33293</v>
      </c>
      <c r="B33294" s="2" t="str">
        <f>IFERROR(__xludf.DUMMYFUNCTION("GOOGLETRANSLATE(A33294, ""de"", ""en"")"),"agreed")</f>
        <v>agreed</v>
      </c>
    </row>
    <row r="33295">
      <c r="A33295" s="1" t="s">
        <v>33294</v>
      </c>
      <c r="B33295" s="2" t="str">
        <f>IFERROR(__xludf.DUMMYFUNCTION("GOOGLETRANSLATE(A33295, ""de"", ""en"")"),"Peeta")</f>
        <v>Peeta</v>
      </c>
    </row>
    <row r="33296">
      <c r="A33296" s="1" t="s">
        <v>33295</v>
      </c>
      <c r="B33296" s="2" t="str">
        <f>IFERROR(__xludf.DUMMYFUNCTION("GOOGLETRANSLATE(A33296, ""de"", ""en"")"),"Astoria")</f>
        <v>Astoria</v>
      </c>
    </row>
    <row r="33297">
      <c r="A33297" s="1" t="s">
        <v>33296</v>
      </c>
      <c r="B33297" s="2" t="str">
        <f>IFERROR(__xludf.DUMMYFUNCTION("GOOGLETRANSLATE(A33297, ""de"", ""en"")"),"Saudi Arabia")</f>
        <v>Saudi Arabia</v>
      </c>
    </row>
    <row r="33298">
      <c r="A33298" s="1" t="s">
        <v>33297</v>
      </c>
      <c r="B33298" s="2" t="str">
        <f>IFERROR(__xludf.DUMMYFUNCTION("GOOGLETRANSLATE(A33298, ""de"", ""en"")"),"cherished")</f>
        <v>cherished</v>
      </c>
    </row>
    <row r="33299">
      <c r="A33299" s="1" t="s">
        <v>33298</v>
      </c>
      <c r="B33299" s="2" t="str">
        <f>IFERROR(__xludf.DUMMYFUNCTION("GOOGLETRANSLATE(A33299, ""de"", ""en"")"),"whine")</f>
        <v>whine</v>
      </c>
    </row>
    <row r="33300">
      <c r="A33300" s="1" t="s">
        <v>33299</v>
      </c>
      <c r="B33300" s="2" t="str">
        <f>IFERROR(__xludf.DUMMYFUNCTION("GOOGLETRANSLATE(A33300, ""de"", ""en"")"),"raid")</f>
        <v>raid</v>
      </c>
    </row>
    <row r="33301">
      <c r="A33301" s="1" t="s">
        <v>33300</v>
      </c>
      <c r="B33301" s="2" t="str">
        <f>IFERROR(__xludf.DUMMYFUNCTION("GOOGLETRANSLATE(A33301, ""de"", ""en"")"),"replica")</f>
        <v>replica</v>
      </c>
    </row>
    <row r="33302">
      <c r="A33302" s="1" t="s">
        <v>33301</v>
      </c>
      <c r="B33302" s="2" t="str">
        <f>IFERROR(__xludf.DUMMYFUNCTION("GOOGLETRANSLATE(A33302, ""de"", ""en"")"),"perfected")</f>
        <v>perfected</v>
      </c>
    </row>
    <row r="33303">
      <c r="A33303" s="1" t="s">
        <v>33302</v>
      </c>
      <c r="B33303" s="2" t="str">
        <f>IFERROR(__xludf.DUMMYFUNCTION("GOOGLETRANSLATE(A33303, ""de"", ""en"")"),"terrace")</f>
        <v>terrace</v>
      </c>
    </row>
    <row r="33304">
      <c r="A33304" s="1" t="s">
        <v>33303</v>
      </c>
      <c r="B33304" s="2" t="str">
        <f>IFERROR(__xludf.DUMMYFUNCTION("GOOGLETRANSLATE(A33304, ""de"", ""en"")"),"gunshot wound")</f>
        <v>gunshot wound</v>
      </c>
    </row>
    <row r="33305">
      <c r="A33305" s="1" t="s">
        <v>33304</v>
      </c>
      <c r="B33305" s="2" t="str">
        <f>IFERROR(__xludf.DUMMYFUNCTION("GOOGLETRANSLATE(A33305, ""de"", ""en"")"),"suspected")</f>
        <v>suspected</v>
      </c>
    </row>
    <row r="33306">
      <c r="A33306" s="1" t="s">
        <v>33305</v>
      </c>
      <c r="B33306" s="2" t="str">
        <f>IFERROR(__xludf.DUMMYFUNCTION("GOOGLETRANSLATE(A33306, ""de"", ""en"")"),"current")</f>
        <v>current</v>
      </c>
    </row>
    <row r="33307">
      <c r="A33307" s="1" t="s">
        <v>33306</v>
      </c>
      <c r="B33307" s="2" t="str">
        <f>IFERROR(__xludf.DUMMYFUNCTION("GOOGLETRANSLATE(A33307, ""de"", ""en"")"),"celebratory")</f>
        <v>celebratory</v>
      </c>
    </row>
    <row r="33308">
      <c r="A33308" s="1" t="s">
        <v>33307</v>
      </c>
      <c r="B33308" s="2" t="str">
        <f>IFERROR(__xludf.DUMMYFUNCTION("GOOGLETRANSLATE(A33308, ""de"", ""en"")"),"granted")</f>
        <v>granted</v>
      </c>
    </row>
    <row r="33309">
      <c r="A33309" s="1" t="s">
        <v>33308</v>
      </c>
      <c r="B33309" s="2" t="str">
        <f>IFERROR(__xludf.DUMMYFUNCTION("GOOGLETRANSLATE(A33309, ""de"", ""en"")"),"physical")</f>
        <v>physical</v>
      </c>
    </row>
    <row r="33310">
      <c r="A33310" s="1" t="s">
        <v>33309</v>
      </c>
      <c r="B33310" s="2" t="str">
        <f>IFERROR(__xludf.DUMMYFUNCTION("GOOGLETRANSLATE(A33310, ""de"", ""en"")"),"preserved")</f>
        <v>preserved</v>
      </c>
    </row>
    <row r="33311">
      <c r="A33311" s="1" t="s">
        <v>33310</v>
      </c>
      <c r="B33311" s="2" t="str">
        <f>IFERROR(__xludf.DUMMYFUNCTION("GOOGLETRANSLATE(A33311, ""de"", ""en"")"),"failed")</f>
        <v>failed</v>
      </c>
    </row>
    <row r="33312">
      <c r="A33312" s="1" t="s">
        <v>33311</v>
      </c>
      <c r="B33312" s="2" t="str">
        <f>IFERROR(__xludf.DUMMYFUNCTION("GOOGLETRANSLATE(A33312, ""de"", ""en"")"),"failed")</f>
        <v>failed</v>
      </c>
    </row>
    <row r="33313">
      <c r="A33313" s="1" t="s">
        <v>33312</v>
      </c>
      <c r="B33313" s="2" t="str">
        <f>IFERROR(__xludf.DUMMYFUNCTION("GOOGLETRANSLATE(A33313, ""de"", ""en"")"),"brings there")</f>
        <v>brings there</v>
      </c>
    </row>
    <row r="33314">
      <c r="A33314" s="1" t="s">
        <v>33313</v>
      </c>
      <c r="B33314" s="2" t="str">
        <f>IFERROR(__xludf.DUMMYFUNCTION("GOOGLETRANSLATE(A33314, ""de"", ""en"")"),"assembled")</f>
        <v>assembled</v>
      </c>
    </row>
    <row r="33315">
      <c r="A33315" s="1" t="s">
        <v>33314</v>
      </c>
      <c r="B33315" s="2" t="str">
        <f>IFERROR(__xludf.DUMMYFUNCTION("GOOGLETRANSLATE(A33315, ""de"", ""en"")"),"standalone")</f>
        <v>standalone</v>
      </c>
    </row>
    <row r="33316">
      <c r="A33316" s="1" t="s">
        <v>33315</v>
      </c>
      <c r="B33316" s="2" t="str">
        <f>IFERROR(__xludf.DUMMYFUNCTION("GOOGLETRANSLATE(A33316, ""de"", ""en"")"),"coffeehouse")</f>
        <v>coffeehouse</v>
      </c>
    </row>
    <row r="33317">
      <c r="A33317" s="1" t="s">
        <v>33316</v>
      </c>
      <c r="B33317" s="2" t="str">
        <f>IFERROR(__xludf.DUMMYFUNCTION("GOOGLETRANSLATE(A33317, ""de"", ""en"")"),"transformation")</f>
        <v>transformation</v>
      </c>
    </row>
    <row r="33318">
      <c r="A33318" s="1" t="s">
        <v>33317</v>
      </c>
      <c r="B33318" s="2" t="str">
        <f>IFERROR(__xludf.DUMMYFUNCTION("GOOGLETRANSLATE(A33318, ""de"", ""en"")"),"episodes")</f>
        <v>episodes</v>
      </c>
    </row>
    <row r="33319">
      <c r="A33319" s="1" t="s">
        <v>33318</v>
      </c>
      <c r="B33319" s="2" t="str">
        <f>IFERROR(__xludf.DUMMYFUNCTION("GOOGLETRANSLATE(A33319, ""de"", ""en"")"),"outsiders")</f>
        <v>outsiders</v>
      </c>
    </row>
    <row r="33320">
      <c r="A33320" s="1" t="s">
        <v>33319</v>
      </c>
      <c r="B33320" s="2" t="str">
        <f>IFERROR(__xludf.DUMMYFUNCTION("GOOGLETRANSLATE(A33320, ""de"", ""en"")"),"guardianship")</f>
        <v>guardianship</v>
      </c>
    </row>
    <row r="33321">
      <c r="A33321" s="1" t="s">
        <v>33320</v>
      </c>
      <c r="B33321" s="2" t="str">
        <f>IFERROR(__xludf.DUMMYFUNCTION("GOOGLETRANSLATE(A33321, ""de"", ""en"")"),"bullet holes")</f>
        <v>bullet holes</v>
      </c>
    </row>
    <row r="33322">
      <c r="A33322" s="1" t="s">
        <v>33321</v>
      </c>
      <c r="B33322" s="2" t="str">
        <f>IFERROR(__xludf.DUMMYFUNCTION("GOOGLETRANSLATE(A33322, ""de"", ""en"")"),"met")</f>
        <v>met</v>
      </c>
    </row>
    <row r="33323">
      <c r="A33323" s="1" t="s">
        <v>33322</v>
      </c>
      <c r="B33323" s="2" t="str">
        <f>IFERROR(__xludf.DUMMYFUNCTION("GOOGLETRANSLATE(A33323, ""de"", ""en"")"),"useful")</f>
        <v>useful</v>
      </c>
    </row>
    <row r="33324">
      <c r="A33324" s="1" t="s">
        <v>33323</v>
      </c>
      <c r="B33324" s="2" t="str">
        <f>IFERROR(__xludf.DUMMYFUNCTION("GOOGLETRANSLATE(A33324, ""de"", ""en"")"),"help out")</f>
        <v>help out</v>
      </c>
    </row>
    <row r="33325">
      <c r="A33325" s="1" t="s">
        <v>33324</v>
      </c>
      <c r="B33325" s="2" t="str">
        <f>IFERROR(__xludf.DUMMYFUNCTION("GOOGLETRANSLATE(A33325, ""de"", ""en"")"),"sublime")</f>
        <v>sublime</v>
      </c>
    </row>
    <row r="33326">
      <c r="A33326" s="1" t="s">
        <v>33325</v>
      </c>
      <c r="B33326" s="2" t="str">
        <f>IFERROR(__xludf.DUMMYFUNCTION("GOOGLETRANSLATE(A33326, ""de"", ""en"")"),"outsiders")</f>
        <v>outsiders</v>
      </c>
    </row>
    <row r="33327">
      <c r="A33327" s="1" t="s">
        <v>33326</v>
      </c>
      <c r="B33327" s="2" t="str">
        <f>IFERROR(__xludf.DUMMYFUNCTION("GOOGLETRANSLATE(A33327, ""de"", ""en"")"),"helps")</f>
        <v>helps</v>
      </c>
    </row>
    <row r="33328">
      <c r="A33328" s="1" t="s">
        <v>33327</v>
      </c>
      <c r="B33328" s="2" t="str">
        <f>IFERROR(__xludf.DUMMYFUNCTION("GOOGLETRANSLATE(A33328, ""de"", ""en"")"),"eriksen")</f>
        <v>eriksen</v>
      </c>
    </row>
    <row r="33329">
      <c r="A33329" s="1" t="s">
        <v>33328</v>
      </c>
      <c r="B33329" s="2" t="str">
        <f>IFERROR(__xludf.DUMMYFUNCTION("GOOGLETRANSLATE(A33329, ""de"", ""en"")"),"ri")</f>
        <v>ri</v>
      </c>
    </row>
    <row r="33330">
      <c r="A33330" s="1" t="s">
        <v>33329</v>
      </c>
      <c r="B33330" s="2" t="str">
        <f>IFERROR(__xludf.DUMMYFUNCTION("GOOGLETRANSLATE(A33330, ""de"", ""en"")"),"shaws")</f>
        <v>shaws</v>
      </c>
    </row>
    <row r="33331">
      <c r="A33331" s="1" t="s">
        <v>33330</v>
      </c>
      <c r="B33331" s="2" t="str">
        <f>IFERROR(__xludf.DUMMYFUNCTION("GOOGLETRANSLATE(A33331, ""de"", ""en"")"),"followers")</f>
        <v>followers</v>
      </c>
    </row>
    <row r="33332">
      <c r="A33332" s="1" t="s">
        <v>33331</v>
      </c>
      <c r="B33332" s="2" t="str">
        <f>IFERROR(__xludf.DUMMYFUNCTION("GOOGLETRANSLATE(A33332, ""de"", ""en"")"),"medium")</f>
        <v>medium</v>
      </c>
    </row>
    <row r="33333">
      <c r="A33333" s="1" t="s">
        <v>33332</v>
      </c>
      <c r="B33333" s="2" t="str">
        <f>IFERROR(__xludf.DUMMYFUNCTION("GOOGLETRANSLATE(A33333, ""de"", ""en"")"),"a man’s thing")</f>
        <v>a man’s thing</v>
      </c>
    </row>
    <row r="33334">
      <c r="A33334" s="1" t="s">
        <v>33333</v>
      </c>
      <c r="B33334" s="2" t="str">
        <f>IFERROR(__xludf.DUMMYFUNCTION("GOOGLETRANSLATE(A33334, ""de"", ""en"")"),"flush")</f>
        <v>flush</v>
      </c>
    </row>
    <row r="33335">
      <c r="A33335" s="1" t="s">
        <v>33334</v>
      </c>
      <c r="B33335" s="2" t="str">
        <f>IFERROR(__xludf.DUMMYFUNCTION("GOOGLETRANSLATE(A33335, ""de"", ""en"")"),"representative")</f>
        <v>representative</v>
      </c>
    </row>
    <row r="33336">
      <c r="A33336" s="1" t="s">
        <v>33335</v>
      </c>
      <c r="B33336" s="2" t="str">
        <f>IFERROR(__xludf.DUMMYFUNCTION("GOOGLETRANSLATE(A33336, ""de"", ""en"")"),"Gerty")</f>
        <v>Gerty</v>
      </c>
    </row>
    <row r="33337">
      <c r="A33337" s="1" t="s">
        <v>33336</v>
      </c>
      <c r="B33337" s="2" t="str">
        <f>IFERROR(__xludf.DUMMYFUNCTION("GOOGLETRANSLATE(A33337, ""de"", ""en"")"),"Cleary")</f>
        <v>Cleary</v>
      </c>
    </row>
    <row r="33338">
      <c r="A33338" s="1" t="s">
        <v>33337</v>
      </c>
      <c r="B33338" s="2" t="str">
        <f>IFERROR(__xludf.DUMMYFUNCTION("GOOGLETRANSLATE(A33338, ""de"", ""en"")"),"encrypted")</f>
        <v>encrypted</v>
      </c>
    </row>
    <row r="33339">
      <c r="A33339" s="1" t="s">
        <v>33338</v>
      </c>
      <c r="B33339" s="2" t="str">
        <f>IFERROR(__xludf.DUMMYFUNCTION("GOOGLETRANSLATE(A33339, ""de"", ""en"")"),"play up")</f>
        <v>play up</v>
      </c>
    </row>
    <row r="33340">
      <c r="A33340" s="1" t="s">
        <v>33339</v>
      </c>
      <c r="B33340" s="2" t="str">
        <f>IFERROR(__xludf.DUMMYFUNCTION("GOOGLETRANSLATE(A33340, ""de"", ""en"")"),"traitor")</f>
        <v>traitor</v>
      </c>
    </row>
    <row r="33341">
      <c r="A33341" s="1" t="s">
        <v>33340</v>
      </c>
      <c r="B33341" s="2" t="str">
        <f>IFERROR(__xludf.DUMMYFUNCTION("GOOGLETRANSLATE(A33341, ""de"", ""en"")"),"nests")</f>
        <v>nests</v>
      </c>
    </row>
    <row r="33342">
      <c r="A33342" s="1" t="s">
        <v>33341</v>
      </c>
      <c r="B33342" s="2" t="str">
        <f>IFERROR(__xludf.DUMMYFUNCTION("GOOGLETRANSLATE(A33342, ""de"", ""en"")"),"is now")</f>
        <v>is now</v>
      </c>
    </row>
    <row r="33343">
      <c r="A33343" s="1" t="s">
        <v>33342</v>
      </c>
      <c r="B33343" s="2" t="str">
        <f>IFERROR(__xludf.DUMMYFUNCTION("GOOGLETRANSLATE(A33343, ""de"", ""en"")"),"continuum")</f>
        <v>continuum</v>
      </c>
    </row>
    <row r="33344">
      <c r="A33344" s="1" t="s">
        <v>33343</v>
      </c>
      <c r="B33344" s="2" t="str">
        <f>IFERROR(__xludf.DUMMYFUNCTION("GOOGLETRANSLATE(A33344, ""de"", ""en"")"),"georgette")</f>
        <v>georgette</v>
      </c>
    </row>
    <row r="33345">
      <c r="A33345" s="1" t="s">
        <v>33344</v>
      </c>
      <c r="B33345" s="2" t="str">
        <f>IFERROR(__xludf.DUMMYFUNCTION("GOOGLETRANSLATE(A33345, ""de"", ""en"")"),"durand")</f>
        <v>durand</v>
      </c>
    </row>
    <row r="33346">
      <c r="A33346" s="1" t="s">
        <v>33345</v>
      </c>
      <c r="B33346" s="2" t="str">
        <f>IFERROR(__xludf.DUMMYFUNCTION("GOOGLETRANSLATE(A33346, ""de"", ""en"")"),"unapproachable")</f>
        <v>unapproachable</v>
      </c>
    </row>
    <row r="33347">
      <c r="A33347" s="1" t="s">
        <v>33346</v>
      </c>
      <c r="B33347" s="2" t="str">
        <f>IFERROR(__xludf.DUMMYFUNCTION("GOOGLETRANSLATE(A33347, ""de"", ""en"")"),"sicker")</f>
        <v>sicker</v>
      </c>
    </row>
    <row r="33348">
      <c r="A33348" s="1" t="s">
        <v>33347</v>
      </c>
      <c r="B33348" s="2" t="str">
        <f>IFERROR(__xludf.DUMMYFUNCTION("GOOGLETRANSLATE(A33348, ""de"", ""en"")"),"agamemnon")</f>
        <v>agamemnon</v>
      </c>
    </row>
    <row r="33349">
      <c r="A33349" s="1" t="s">
        <v>33348</v>
      </c>
      <c r="B33349" s="2" t="str">
        <f>IFERROR(__xludf.DUMMYFUNCTION("GOOGLETRANSLATE(A33349, ""de"", ""en"")"),"atmospheric")</f>
        <v>atmospheric</v>
      </c>
    </row>
    <row r="33350">
      <c r="A33350" s="1" t="s">
        <v>33349</v>
      </c>
      <c r="B33350" s="2" t="str">
        <f>IFERROR(__xludf.DUMMYFUNCTION("GOOGLETRANSLATE(A33350, ""de"", ""en"")"),"adorned")</f>
        <v>adorned</v>
      </c>
    </row>
    <row r="33351">
      <c r="A33351" s="1" t="s">
        <v>33350</v>
      </c>
      <c r="B33351" s="2" t="str">
        <f>IFERROR(__xludf.DUMMYFUNCTION("GOOGLETRANSLATE(A33351, ""de"", ""en"")"),"loafers")</f>
        <v>loafers</v>
      </c>
    </row>
    <row r="33352">
      <c r="A33352" s="1" t="s">
        <v>33351</v>
      </c>
      <c r="B33352" s="2" t="str">
        <f>IFERROR(__xludf.DUMMYFUNCTION("GOOGLETRANSLATE(A33352, ""de"", ""en"")"),"snowed")</f>
        <v>snowed</v>
      </c>
    </row>
    <row r="33353">
      <c r="A33353" s="1" t="s">
        <v>33352</v>
      </c>
      <c r="B33353" s="2" t="str">
        <f>IFERROR(__xludf.DUMMYFUNCTION("GOOGLETRANSLATE(A33353, ""de"", ""en"")"),"business world")</f>
        <v>business world</v>
      </c>
    </row>
    <row r="33354">
      <c r="A33354" s="1" t="s">
        <v>33353</v>
      </c>
      <c r="B33354" s="2" t="str">
        <f>IFERROR(__xludf.DUMMYFUNCTION("GOOGLETRANSLATE(A33354, ""de"", ""en"")"),"keel")</f>
        <v>keel</v>
      </c>
    </row>
    <row r="33355">
      <c r="A33355" s="1" t="s">
        <v>33354</v>
      </c>
      <c r="B33355" s="2" t="str">
        <f>IFERROR(__xludf.DUMMYFUNCTION("GOOGLETRANSLATE(A33355, ""de"", ""en"")"),"leavenworth")</f>
        <v>leavenworth</v>
      </c>
    </row>
    <row r="33356">
      <c r="A33356" s="1" t="s">
        <v>33355</v>
      </c>
      <c r="B33356" s="2" t="str">
        <f>IFERROR(__xludf.DUMMYFUNCTION("GOOGLETRANSLATE(A33356, ""de"", ""en"")"),"sandbag")</f>
        <v>sandbag</v>
      </c>
    </row>
    <row r="33357">
      <c r="A33357" s="1" t="s">
        <v>33356</v>
      </c>
      <c r="B33357" s="2" t="str">
        <f>IFERROR(__xludf.DUMMYFUNCTION("GOOGLETRANSLATE(A33357, ""de"", ""en"")"),"miracle")</f>
        <v>miracle</v>
      </c>
    </row>
    <row r="33358">
      <c r="A33358" s="1" t="s">
        <v>33357</v>
      </c>
      <c r="B33358" s="2" t="str">
        <f>IFERROR(__xludf.DUMMYFUNCTION("GOOGLETRANSLATE(A33358, ""de"", ""en"")"),"more tactical")</f>
        <v>more tactical</v>
      </c>
    </row>
    <row r="33359">
      <c r="A33359" s="1" t="s">
        <v>33358</v>
      </c>
      <c r="B33359" s="2" t="str">
        <f>IFERROR(__xludf.DUMMYFUNCTION("GOOGLETRANSLATE(A33359, ""de"", ""en"")"),"eat")</f>
        <v>eat</v>
      </c>
    </row>
    <row r="33360">
      <c r="A33360" s="1" t="s">
        <v>33359</v>
      </c>
      <c r="B33360" s="2" t="str">
        <f>IFERROR(__xludf.DUMMYFUNCTION("GOOGLETRANSLATE(A33360, ""de"", ""en"")"),"mousetrap")</f>
        <v>mousetrap</v>
      </c>
    </row>
    <row r="33361">
      <c r="A33361" s="1" t="s">
        <v>33360</v>
      </c>
      <c r="B33361" s="2" t="str">
        <f>IFERROR(__xludf.DUMMYFUNCTION("GOOGLETRANSLATE(A33361, ""de"", ""en"")"),"maester")</f>
        <v>maester</v>
      </c>
    </row>
    <row r="33362">
      <c r="A33362" s="1" t="s">
        <v>33361</v>
      </c>
      <c r="B33362" s="2" t="str">
        <f>IFERROR(__xludf.DUMMYFUNCTION("GOOGLETRANSLATE(A33362, ""de"", ""en"")"),"baja")</f>
        <v>baja</v>
      </c>
    </row>
    <row r="33363">
      <c r="A33363" s="1" t="s">
        <v>33362</v>
      </c>
      <c r="B33363" s="2" t="str">
        <f>IFERROR(__xludf.DUMMYFUNCTION("GOOGLETRANSLATE(A33363, ""de"", ""en"")"),"sadako")</f>
        <v>sadako</v>
      </c>
    </row>
    <row r="33364">
      <c r="A33364" s="1" t="s">
        <v>33363</v>
      </c>
      <c r="B33364" s="2" t="str">
        <f>IFERROR(__xludf.DUMMYFUNCTION("GOOGLETRANSLATE(A33364, ""de"", ""en"")"),"treats")</f>
        <v>treats</v>
      </c>
    </row>
    <row r="33365">
      <c r="A33365" s="1" t="s">
        <v>33364</v>
      </c>
      <c r="B33365" s="2" t="str">
        <f>IFERROR(__xludf.DUMMYFUNCTION("GOOGLETRANSLATE(A33365, ""de"", ""en"")"),"formal")</f>
        <v>formal</v>
      </c>
    </row>
    <row r="33366">
      <c r="A33366" s="1" t="s">
        <v>33365</v>
      </c>
      <c r="B33366" s="2" t="str">
        <f>IFERROR(__xludf.DUMMYFUNCTION("GOOGLETRANSLATE(A33366, ""de"", ""en"")"),"music box")</f>
        <v>music box</v>
      </c>
    </row>
    <row r="33367">
      <c r="A33367" s="1" t="s">
        <v>33366</v>
      </c>
      <c r="B33367" s="2" t="str">
        <f>IFERROR(__xludf.DUMMYFUNCTION("GOOGLETRANSLATE(A33367, ""de"", ""en"")"),"electromagnetic")</f>
        <v>electromagnetic</v>
      </c>
    </row>
    <row r="33368">
      <c r="A33368" s="1" t="s">
        <v>33367</v>
      </c>
      <c r="B33368" s="2" t="str">
        <f>IFERROR(__xludf.DUMMYFUNCTION("GOOGLETRANSLATE(A33368, ""de"", ""en"")"),"short circuit")</f>
        <v>short circuit</v>
      </c>
    </row>
    <row r="33369">
      <c r="A33369" s="1" t="s">
        <v>33368</v>
      </c>
      <c r="B33369" s="2" t="str">
        <f>IFERROR(__xludf.DUMMYFUNCTION("GOOGLETRANSLATE(A33369, ""de"", ""en"")"),"co2")</f>
        <v>co2</v>
      </c>
    </row>
    <row r="33370">
      <c r="A33370" s="1" t="s">
        <v>33369</v>
      </c>
      <c r="B33370" s="2" t="str">
        <f>IFERROR(__xludf.DUMMYFUNCTION("GOOGLETRANSLATE(A33370, ""de"", ""en"")"),"manion")</f>
        <v>manion</v>
      </c>
    </row>
    <row r="33371">
      <c r="A33371" s="1" t="s">
        <v>33370</v>
      </c>
      <c r="B33371" s="2" t="str">
        <f>IFERROR(__xludf.DUMMYFUNCTION("GOOGLETRANSLATE(A33371, ""de"", ""en"")"),"funniest")</f>
        <v>funniest</v>
      </c>
    </row>
    <row r="33372">
      <c r="A33372" s="1" t="s">
        <v>33371</v>
      </c>
      <c r="B33372" s="2" t="str">
        <f>IFERROR(__xludf.DUMMYFUNCTION("GOOGLETRANSLATE(A33372, ""de"", ""en"")"),"completion")</f>
        <v>completion</v>
      </c>
    </row>
    <row r="33373">
      <c r="A33373" s="1" t="s">
        <v>33372</v>
      </c>
      <c r="B33373" s="2" t="str">
        <f>IFERROR(__xludf.DUMMYFUNCTION("GOOGLETRANSLATE(A33373, ""de"", ""en"")"),"sweeten")</f>
        <v>sweeten</v>
      </c>
    </row>
    <row r="33374">
      <c r="A33374" s="1" t="s">
        <v>33373</v>
      </c>
      <c r="B33374" s="2" t="str">
        <f>IFERROR(__xludf.DUMMYFUNCTION("GOOGLETRANSLATE(A33374, ""de"", ""en"")"),"acquisition")</f>
        <v>acquisition</v>
      </c>
    </row>
    <row r="33375">
      <c r="A33375" s="1" t="s">
        <v>33374</v>
      </c>
      <c r="B33375" s="2" t="str">
        <f>IFERROR(__xludf.DUMMYFUNCTION("GOOGLETRANSLATE(A33375, ""de"", ""en"")"),"antics")</f>
        <v>antics</v>
      </c>
    </row>
    <row r="33376">
      <c r="A33376" s="1" t="s">
        <v>33375</v>
      </c>
      <c r="B33376" s="2" t="str">
        <f>IFERROR(__xludf.DUMMYFUNCTION("GOOGLETRANSLATE(A33376, ""de"", ""en"")"),"wide")</f>
        <v>wide</v>
      </c>
    </row>
    <row r="33377">
      <c r="A33377" s="1" t="s">
        <v>33376</v>
      </c>
      <c r="B33377" s="2" t="str">
        <f>IFERROR(__xludf.DUMMYFUNCTION("GOOGLETRANSLATE(A33377, ""de"", ""en"")"),"rowboat")</f>
        <v>rowboat</v>
      </c>
    </row>
    <row r="33378">
      <c r="A33378" s="1" t="s">
        <v>33377</v>
      </c>
      <c r="B33378" s="2" t="str">
        <f>IFERROR(__xludf.DUMMYFUNCTION("GOOGLETRANSLATE(A33378, ""de"", ""en"")"),"brake")</f>
        <v>brake</v>
      </c>
    </row>
    <row r="33379">
      <c r="A33379" s="1" t="s">
        <v>33378</v>
      </c>
      <c r="B33379" s="2" t="str">
        <f>IFERROR(__xludf.DUMMYFUNCTION("GOOGLETRANSLATE(A33379, ""de"", ""en"")"),"cheated")</f>
        <v>cheated</v>
      </c>
    </row>
    <row r="33380">
      <c r="A33380" s="1" t="s">
        <v>33379</v>
      </c>
      <c r="B33380" s="2" t="str">
        <f>IFERROR(__xludf.DUMMYFUNCTION("GOOGLETRANSLATE(A33380, ""de"", ""en"")"),"went out")</f>
        <v>went out</v>
      </c>
    </row>
    <row r="33381">
      <c r="A33381" s="1" t="s">
        <v>33380</v>
      </c>
      <c r="B33381" s="2" t="str">
        <f>IFERROR(__xludf.DUMMYFUNCTION("GOOGLETRANSLATE(A33381, ""de"", ""en"")"),"health")</f>
        <v>health</v>
      </c>
    </row>
    <row r="33382">
      <c r="A33382" s="1" t="s">
        <v>33381</v>
      </c>
      <c r="B33382" s="2" t="str">
        <f>IFERROR(__xludf.DUMMYFUNCTION("GOOGLETRANSLATE(A33382, ""de"", ""en"")"),"wage increase")</f>
        <v>wage increase</v>
      </c>
    </row>
    <row r="33383">
      <c r="A33383" s="1" t="s">
        <v>33382</v>
      </c>
      <c r="B33383" s="2" t="str">
        <f>IFERROR(__xludf.DUMMYFUNCTION("GOOGLETRANSLATE(A33383, ""de"", ""en"")"),"hesitated")</f>
        <v>hesitated</v>
      </c>
    </row>
    <row r="33384">
      <c r="A33384" s="1" t="s">
        <v>33383</v>
      </c>
      <c r="B33384" s="2" t="str">
        <f>IFERROR(__xludf.DUMMYFUNCTION("GOOGLETRANSLATE(A33384, ""de"", ""en"")"),"swept")</f>
        <v>swept</v>
      </c>
    </row>
    <row r="33385">
      <c r="A33385" s="1" t="s">
        <v>33384</v>
      </c>
      <c r="B33385" s="2" t="str">
        <f>IFERROR(__xludf.DUMMYFUNCTION("GOOGLETRANSLATE(A33385, ""de"", ""en"")"),"tipped")</f>
        <v>tipped</v>
      </c>
    </row>
    <row r="33386">
      <c r="A33386" s="1" t="s">
        <v>33385</v>
      </c>
      <c r="B33386" s="2" t="str">
        <f>IFERROR(__xludf.DUMMYFUNCTION("GOOGLETRANSLATE(A33386, ""de"", ""en"")"),"tomb")</f>
        <v>tomb</v>
      </c>
    </row>
    <row r="33387">
      <c r="A33387" s="1" t="s">
        <v>33386</v>
      </c>
      <c r="B33387" s="2" t="str">
        <f>IFERROR(__xludf.DUMMYFUNCTION("GOOGLETRANSLATE(A33387, ""de"", ""en"")"),"financial")</f>
        <v>financial</v>
      </c>
    </row>
    <row r="33388">
      <c r="A33388" s="1" t="s">
        <v>33387</v>
      </c>
      <c r="B33388" s="2" t="str">
        <f>IFERROR(__xludf.DUMMYFUNCTION("GOOGLETRANSLATE(A33388, ""de"", ""en"")"),"sacrifice")</f>
        <v>sacrifice</v>
      </c>
    </row>
    <row r="33389">
      <c r="A33389" s="1" t="s">
        <v>33388</v>
      </c>
      <c r="B33389" s="2" t="str">
        <f>IFERROR(__xludf.DUMMYFUNCTION("GOOGLETRANSLATE(A33389, ""de"", ""en"")"),"chesapeake ripper")</f>
        <v>chesapeake ripper</v>
      </c>
    </row>
    <row r="33390">
      <c r="A33390" s="1" t="s">
        <v>33389</v>
      </c>
      <c r="B33390" s="2" t="str">
        <f>IFERROR(__xludf.DUMMYFUNCTION("GOOGLETRANSLATE(A33390, ""de"", ""en"")"),"arrived")</f>
        <v>arrived</v>
      </c>
    </row>
    <row r="33391">
      <c r="A33391" s="1" t="s">
        <v>33390</v>
      </c>
      <c r="B33391" s="2" t="str">
        <f>IFERROR(__xludf.DUMMYFUNCTION("GOOGLETRANSLATE(A33391, ""de"", ""en"")"),"original")</f>
        <v>original</v>
      </c>
    </row>
    <row r="33392">
      <c r="A33392" s="1" t="s">
        <v>33391</v>
      </c>
      <c r="B33392" s="2" t="str">
        <f>IFERROR(__xludf.DUMMYFUNCTION("GOOGLETRANSLATE(A33392, ""de"", ""en"")"),"impetuous")</f>
        <v>impetuous</v>
      </c>
    </row>
    <row r="33393">
      <c r="A33393" s="1" t="s">
        <v>33392</v>
      </c>
      <c r="B33393" s="2" t="str">
        <f>IFERROR(__xludf.DUMMYFUNCTION("GOOGLETRANSLATE(A33393, ""de"", ""en"")"),"Deanie")</f>
        <v>Deanie</v>
      </c>
    </row>
    <row r="33394">
      <c r="A33394" s="1" t="s">
        <v>33393</v>
      </c>
      <c r="B33394" s="2" t="str">
        <f>IFERROR(__xludf.DUMMYFUNCTION("GOOGLETRANSLATE(A33394, ""de"", ""en"")"),"erratic")</f>
        <v>erratic</v>
      </c>
    </row>
    <row r="33395">
      <c r="A33395" s="1" t="s">
        <v>33394</v>
      </c>
      <c r="B33395" s="2" t="str">
        <f>IFERROR(__xludf.DUMMYFUNCTION("GOOGLETRANSLATE(A33395, ""de"", ""en"")"),"sancti")</f>
        <v>sancti</v>
      </c>
    </row>
    <row r="33396">
      <c r="A33396" s="1" t="s">
        <v>33395</v>
      </c>
      <c r="B33396" s="2" t="str">
        <f>IFERROR(__xludf.DUMMYFUNCTION("GOOGLETRANSLATE(A33396, ""de"", ""en"")"),"festive")</f>
        <v>festive</v>
      </c>
    </row>
    <row r="33397">
      <c r="A33397" s="1" t="s">
        <v>33396</v>
      </c>
      <c r="B33397" s="2" t="str">
        <f>IFERROR(__xludf.DUMMYFUNCTION("GOOGLETRANSLATE(A33397, ""de"", ""en"")"),"six pack")</f>
        <v>six pack</v>
      </c>
    </row>
    <row r="33398">
      <c r="A33398" s="1" t="s">
        <v>33397</v>
      </c>
      <c r="B33398" s="2" t="str">
        <f>IFERROR(__xludf.DUMMYFUNCTION("GOOGLETRANSLATE(A33398, ""de"", ""en"")"),"mancini")</f>
        <v>mancini</v>
      </c>
    </row>
    <row r="33399">
      <c r="A33399" s="1" t="s">
        <v>33398</v>
      </c>
      <c r="B33399" s="2" t="str">
        <f>IFERROR(__xludf.DUMMYFUNCTION("GOOGLETRANSLATE(A33399, ""de"", ""en"")"),"Kenya")</f>
        <v>Kenya</v>
      </c>
    </row>
    <row r="33400">
      <c r="A33400" s="1" t="s">
        <v>33399</v>
      </c>
      <c r="B33400" s="2" t="str">
        <f>IFERROR(__xludf.DUMMYFUNCTION("GOOGLETRANSLATE(A33400, ""de"", ""en"")"),"she-wolf")</f>
        <v>she-wolf</v>
      </c>
    </row>
    <row r="33401">
      <c r="A33401" s="1" t="s">
        <v>33400</v>
      </c>
      <c r="B33401" s="2" t="str">
        <f>IFERROR(__xludf.DUMMYFUNCTION("GOOGLETRANSLATE(A33401, ""de"", ""en"")"),"stationery")</f>
        <v>stationery</v>
      </c>
    </row>
    <row r="33402">
      <c r="A33402" s="1" t="s">
        <v>33401</v>
      </c>
      <c r="B33402" s="2" t="str">
        <f>IFERROR(__xludf.DUMMYFUNCTION("GOOGLETRANSLATE(A33402, ""de"", ""en"")"),"atropine")</f>
        <v>atropine</v>
      </c>
    </row>
    <row r="33403">
      <c r="A33403" s="1" t="s">
        <v>33402</v>
      </c>
      <c r="B33403" s="2" t="str">
        <f>IFERROR(__xludf.DUMMYFUNCTION("GOOGLETRANSLATE(A33403, ""de"", ""en"")"),"artist name")</f>
        <v>artist name</v>
      </c>
    </row>
    <row r="33404">
      <c r="A33404" s="1" t="s">
        <v>33403</v>
      </c>
      <c r="B33404" s="2" t="str">
        <f>IFERROR(__xludf.DUMMYFUNCTION("GOOGLETRANSLATE(A33404, ""de"", ""en"")"),"native")</f>
        <v>native</v>
      </c>
    </row>
    <row r="33405">
      <c r="A33405" s="1" t="s">
        <v>33404</v>
      </c>
      <c r="B33405" s="2" t="str">
        <f>IFERROR(__xludf.DUMMYFUNCTION("GOOGLETRANSLATE(A33405, ""de"", ""en"")"),"Agatha")</f>
        <v>Agatha</v>
      </c>
    </row>
    <row r="33406">
      <c r="A33406" s="1" t="s">
        <v>33405</v>
      </c>
      <c r="B33406" s="2" t="str">
        <f>IFERROR(__xludf.DUMMYFUNCTION("GOOGLETRANSLATE(A33406, ""de"", ""en"")"),"roar")</f>
        <v>roar</v>
      </c>
    </row>
    <row r="33407">
      <c r="A33407" s="1" t="s">
        <v>33406</v>
      </c>
      <c r="B33407" s="2" t="str">
        <f>IFERROR(__xludf.DUMMYFUNCTION("GOOGLETRANSLATE(A33407, ""de"", ""en"")"),"called")</f>
        <v>called</v>
      </c>
    </row>
    <row r="33408">
      <c r="A33408" s="1" t="s">
        <v>33407</v>
      </c>
      <c r="B33408" s="2" t="str">
        <f>IFERROR(__xludf.DUMMYFUNCTION("GOOGLETRANSLATE(A33408, ""de"", ""en"")"),"worth")</f>
        <v>worth</v>
      </c>
    </row>
    <row r="33409">
      <c r="A33409" s="1" t="s">
        <v>33408</v>
      </c>
      <c r="B33409" s="2" t="str">
        <f>IFERROR(__xludf.DUMMYFUNCTION("GOOGLETRANSLATE(A33409, ""de"", ""en"")"),"main goal")</f>
        <v>main goal</v>
      </c>
    </row>
    <row r="33410">
      <c r="A33410" s="1" t="s">
        <v>33409</v>
      </c>
      <c r="B33410" s="2" t="str">
        <f>IFERROR(__xludf.DUMMYFUNCTION("GOOGLETRANSLATE(A33410, ""de"", ""en"")"),"vatican")</f>
        <v>vatican</v>
      </c>
    </row>
    <row r="33411">
      <c r="A33411" s="1" t="s">
        <v>33410</v>
      </c>
      <c r="B33411" s="2" t="str">
        <f>IFERROR(__xludf.DUMMYFUNCTION("GOOGLETRANSLATE(A33411, ""de"", ""en"")"),"assigned")</f>
        <v>assigned</v>
      </c>
    </row>
    <row r="33412">
      <c r="A33412" s="1" t="s">
        <v>33411</v>
      </c>
      <c r="B33412" s="2" t="str">
        <f>IFERROR(__xludf.DUMMYFUNCTION("GOOGLETRANSLATE(A33412, ""de"", ""en"")"),"gutierrez")</f>
        <v>gutierrez</v>
      </c>
    </row>
    <row r="33413">
      <c r="A33413" s="1" t="s">
        <v>33412</v>
      </c>
      <c r="B33413" s="2" t="str">
        <f>IFERROR(__xludf.DUMMYFUNCTION("GOOGLETRANSLATE(A33413, ""de"", ""en"")"),"bold")</f>
        <v>bold</v>
      </c>
    </row>
    <row r="33414">
      <c r="A33414" s="1" t="s">
        <v>33413</v>
      </c>
      <c r="B33414" s="2" t="str">
        <f>IFERROR(__xludf.DUMMYFUNCTION("GOOGLETRANSLATE(A33414, ""de"", ""en"")"),"wrapped")</f>
        <v>wrapped</v>
      </c>
    </row>
    <row r="33415">
      <c r="A33415" s="1" t="s">
        <v>33414</v>
      </c>
      <c r="B33415" s="2" t="str">
        <f>IFERROR(__xludf.DUMMYFUNCTION("GOOGLETRANSLATE(A33415, ""de"", ""en"")"),"Heathrow")</f>
        <v>Heathrow</v>
      </c>
    </row>
    <row r="33416">
      <c r="A33416" s="1" t="s">
        <v>33415</v>
      </c>
      <c r="B33416" s="2" t="str">
        <f>IFERROR(__xludf.DUMMYFUNCTION("GOOGLETRANSLATE(A33416, ""de"", ""en"")"),"more idiotic")</f>
        <v>more idiotic</v>
      </c>
    </row>
    <row r="33417">
      <c r="A33417" s="1" t="s">
        <v>33416</v>
      </c>
      <c r="B33417" s="2" t="str">
        <f>IFERROR(__xludf.DUMMYFUNCTION("GOOGLETRANSLATE(A33417, ""de"", ""en"")"),"battle plan")</f>
        <v>battle plan</v>
      </c>
    </row>
    <row r="33418">
      <c r="A33418" s="1" t="s">
        <v>33417</v>
      </c>
      <c r="B33418" s="2" t="str">
        <f>IFERROR(__xludf.DUMMYFUNCTION("GOOGLETRANSLATE(A33418, ""de"", ""en"")"),"Hebrew")</f>
        <v>Hebrew</v>
      </c>
    </row>
    <row r="33419">
      <c r="A33419" s="1" t="s">
        <v>33418</v>
      </c>
      <c r="B33419" s="2" t="str">
        <f>IFERROR(__xludf.DUMMYFUNCTION("GOOGLETRANSLATE(A33419, ""de"", ""en"")"),"territories")</f>
        <v>territories</v>
      </c>
    </row>
    <row r="33420">
      <c r="A33420" s="1" t="s">
        <v>33419</v>
      </c>
      <c r="B33420" s="2" t="str">
        <f>IFERROR(__xludf.DUMMYFUNCTION("GOOGLETRANSLATE(A33420, ""de"", ""en"")"),"individual case")</f>
        <v>individual case</v>
      </c>
    </row>
    <row r="33421">
      <c r="A33421" s="1" t="s">
        <v>33420</v>
      </c>
      <c r="B33421" s="2" t="str">
        <f>IFERROR(__xludf.DUMMYFUNCTION("GOOGLETRANSLATE(A33421, ""de"", ""en"")"),"Genoa")</f>
        <v>Genoa</v>
      </c>
    </row>
    <row r="33422">
      <c r="A33422" s="1" t="s">
        <v>33421</v>
      </c>
      <c r="B33422" s="2" t="str">
        <f>IFERROR(__xludf.DUMMYFUNCTION("GOOGLETRANSLATE(A33422, ""de"", ""en"")"),"would like to")</f>
        <v>would like to</v>
      </c>
    </row>
    <row r="33423">
      <c r="A33423" s="1" t="s">
        <v>33422</v>
      </c>
      <c r="B33423" s="2" t="str">
        <f>IFERROR(__xludf.DUMMYFUNCTION("GOOGLETRANSLATE(A33423, ""de"", ""en"")"),"bottom")</f>
        <v>bottom</v>
      </c>
    </row>
    <row r="33424">
      <c r="A33424" s="1" t="s">
        <v>33423</v>
      </c>
      <c r="B33424" s="2" t="str">
        <f>IFERROR(__xludf.DUMMYFUNCTION("GOOGLETRANSLATE(A33424, ""de"", ""en"")"),"negromanus")</f>
        <v>negromanus</v>
      </c>
    </row>
    <row r="33425">
      <c r="A33425" s="1" t="s">
        <v>33424</v>
      </c>
      <c r="B33425" s="2" t="str">
        <f>IFERROR(__xludf.DUMMYFUNCTION("GOOGLETRANSLATE(A33425, ""de"", ""en"")"),"greedy")</f>
        <v>greedy</v>
      </c>
    </row>
    <row r="33426">
      <c r="A33426" s="1" t="s">
        <v>33425</v>
      </c>
      <c r="B33426" s="2" t="str">
        <f>IFERROR(__xludf.DUMMYFUNCTION("GOOGLETRANSLATE(A33426, ""de"", ""en"")"),"marriage vows")</f>
        <v>marriage vows</v>
      </c>
    </row>
    <row r="33427">
      <c r="A33427" s="1" t="s">
        <v>33426</v>
      </c>
      <c r="B33427" s="2" t="str">
        <f>IFERROR(__xludf.DUMMYFUNCTION("GOOGLETRANSLATE(A33427, ""de"", ""en"")"),"doge")</f>
        <v>doge</v>
      </c>
    </row>
    <row r="33428">
      <c r="A33428" s="1" t="s">
        <v>33427</v>
      </c>
      <c r="B33428" s="2" t="str">
        <f>IFERROR(__xludf.DUMMYFUNCTION("GOOGLETRANSLATE(A33428, ""de"", ""en"")"),"audacity")</f>
        <v>audacity</v>
      </c>
    </row>
    <row r="33429">
      <c r="A33429" s="1" t="s">
        <v>33428</v>
      </c>
      <c r="B33429" s="2" t="str">
        <f>IFERROR(__xludf.DUMMYFUNCTION("GOOGLETRANSLATE(A33429, ""de"", ""en"")"),"portraits")</f>
        <v>portraits</v>
      </c>
    </row>
    <row r="33430">
      <c r="A33430" s="1" t="s">
        <v>33429</v>
      </c>
      <c r="B33430" s="2" t="str">
        <f>IFERROR(__xludf.DUMMYFUNCTION("GOOGLETRANSLATE(A33430, ""de"", ""en"")"),"rusty")</f>
        <v>rusty</v>
      </c>
    </row>
    <row r="33431">
      <c r="A33431" s="1" t="s">
        <v>33430</v>
      </c>
      <c r="B33431" s="2" t="str">
        <f>IFERROR(__xludf.DUMMYFUNCTION("GOOGLETRANSLATE(A33431, ""de"", ""en"")"),"painted")</f>
        <v>painted</v>
      </c>
    </row>
    <row r="33432">
      <c r="A33432" s="1" t="s">
        <v>33431</v>
      </c>
      <c r="B33432" s="2" t="str">
        <f>IFERROR(__xludf.DUMMYFUNCTION("GOOGLETRANSLATE(A33432, ""de"", ""en"")"),"burnt")</f>
        <v>burnt</v>
      </c>
    </row>
    <row r="33433">
      <c r="A33433" s="1" t="s">
        <v>33432</v>
      </c>
      <c r="B33433" s="2" t="str">
        <f>IFERROR(__xludf.DUMMYFUNCTION("GOOGLETRANSLATE(A33433, ""de"", ""en"")"),"crucial")</f>
        <v>crucial</v>
      </c>
    </row>
    <row r="33434">
      <c r="A33434" s="1" t="s">
        <v>33433</v>
      </c>
      <c r="B33434" s="2" t="str">
        <f>IFERROR(__xludf.DUMMYFUNCTION("GOOGLETRANSLATE(A33434, ""de"", ""en"")"),"buscapé")</f>
        <v>buscapé</v>
      </c>
    </row>
    <row r="33435">
      <c r="A33435" s="1" t="s">
        <v>33434</v>
      </c>
      <c r="B33435" s="2" t="str">
        <f>IFERROR(__xludf.DUMMYFUNCTION("GOOGLETRANSLATE(A33435, ""de"", ""en"")"),"issue")</f>
        <v>issue</v>
      </c>
    </row>
    <row r="33436">
      <c r="A33436" s="1" t="s">
        <v>33435</v>
      </c>
      <c r="B33436" s="2" t="str">
        <f>IFERROR(__xludf.DUMMYFUNCTION("GOOGLETRANSLATE(A33436, ""de"", ""en"")"),"osgood")</f>
        <v>osgood</v>
      </c>
    </row>
    <row r="33437">
      <c r="A33437" s="1" t="s">
        <v>33436</v>
      </c>
      <c r="B33437" s="2" t="str">
        <f>IFERROR(__xludf.DUMMYFUNCTION("GOOGLETRANSLATE(A33437, ""de"", ""en"")"),"stopped")</f>
        <v>stopped</v>
      </c>
    </row>
    <row r="33438">
      <c r="A33438" s="1" t="s">
        <v>33437</v>
      </c>
      <c r="B33438" s="2" t="str">
        <f>IFERROR(__xludf.DUMMYFUNCTION("GOOGLETRANSLATE(A33438, ""de"", ""en"")"),"isle")</f>
        <v>isle</v>
      </c>
    </row>
    <row r="33439">
      <c r="A33439" s="1" t="s">
        <v>33438</v>
      </c>
      <c r="B33439" s="2" t="str">
        <f>IFERROR(__xludf.DUMMYFUNCTION("GOOGLETRANSLATE(A33439, ""de"", ""en"")"),"get involved")</f>
        <v>get involved</v>
      </c>
    </row>
    <row r="33440">
      <c r="A33440" s="1" t="s">
        <v>33439</v>
      </c>
      <c r="B33440" s="2" t="str">
        <f>IFERROR(__xludf.DUMMYFUNCTION("GOOGLETRANSLATE(A33440, ""de"", ""en"")"),"motives")</f>
        <v>motives</v>
      </c>
    </row>
    <row r="33441">
      <c r="A33441" s="1" t="s">
        <v>33440</v>
      </c>
      <c r="B33441" s="2" t="str">
        <f>IFERROR(__xludf.DUMMYFUNCTION("GOOGLETRANSLATE(A33441, ""de"", ""en"")"),"updated")</f>
        <v>updated</v>
      </c>
    </row>
    <row r="33442">
      <c r="A33442" s="1" t="s">
        <v>33441</v>
      </c>
      <c r="B33442" s="2" t="str">
        <f>IFERROR(__xludf.DUMMYFUNCTION("GOOGLETRANSLATE(A33442, ""de"", ""en"")"),"ramsay")</f>
        <v>ramsay</v>
      </c>
    </row>
    <row r="33443">
      <c r="A33443" s="1" t="s">
        <v>33442</v>
      </c>
      <c r="B33443" s="2" t="str">
        <f>IFERROR(__xludf.DUMMYFUNCTION("GOOGLETRANSLATE(A33443, ""de"", ""en"")"),"questioning")</f>
        <v>questioning</v>
      </c>
    </row>
    <row r="33444">
      <c r="A33444" s="1" t="s">
        <v>33443</v>
      </c>
      <c r="B33444" s="2" t="str">
        <f>IFERROR(__xludf.DUMMYFUNCTION("GOOGLETRANSLATE(A33444, ""de"", ""en"")"),"cooking skills")</f>
        <v>cooking skills</v>
      </c>
    </row>
    <row r="33445">
      <c r="A33445" s="1" t="s">
        <v>33444</v>
      </c>
      <c r="B33445" s="2" t="str">
        <f>IFERROR(__xludf.DUMMYFUNCTION("GOOGLETRANSLATE(A33445, ""de"", ""en"")"),"Christian")</f>
        <v>Christian</v>
      </c>
    </row>
    <row r="33446">
      <c r="A33446" s="1" t="s">
        <v>33445</v>
      </c>
      <c r="B33446" s="2" t="str">
        <f>IFERROR(__xludf.DUMMYFUNCTION("GOOGLETRANSLATE(A33446, ""de"", ""en"")"),"give")</f>
        <v>give</v>
      </c>
    </row>
    <row r="33447">
      <c r="A33447" s="1" t="s">
        <v>33446</v>
      </c>
      <c r="B33447" s="2" t="str">
        <f>IFERROR(__xludf.DUMMYFUNCTION("GOOGLETRANSLATE(A33447, ""de"", ""en"")"),"sneak up")</f>
        <v>sneak up</v>
      </c>
    </row>
    <row r="33448">
      <c r="A33448" s="1" t="s">
        <v>33447</v>
      </c>
      <c r="B33448" s="2" t="str">
        <f>IFERROR(__xludf.DUMMYFUNCTION("GOOGLETRANSLATE(A33448, ""de"", ""en"")"),"ice cream truck")</f>
        <v>ice cream truck</v>
      </c>
    </row>
    <row r="33449">
      <c r="A33449" s="1" t="s">
        <v>33448</v>
      </c>
      <c r="B33449" s="2" t="str">
        <f>IFERROR(__xludf.DUMMYFUNCTION("GOOGLETRANSLATE(A33449, ""de"", ""en"")"),"twenty-five")</f>
        <v>twenty-five</v>
      </c>
    </row>
    <row r="33450">
      <c r="A33450" s="1" t="s">
        <v>33449</v>
      </c>
      <c r="B33450" s="2" t="str">
        <f>IFERROR(__xludf.DUMMYFUNCTION("GOOGLETRANSLATE(A33450, ""de"", ""en"")"),"Tallahassee")</f>
        <v>Tallahassee</v>
      </c>
    </row>
    <row r="33451">
      <c r="A33451" s="1" t="s">
        <v>33450</v>
      </c>
      <c r="B33451" s="2" t="str">
        <f>IFERROR(__xludf.DUMMYFUNCTION("GOOGLETRANSLATE(A33451, ""de"", ""en"")"),"railly")</f>
        <v>railly</v>
      </c>
    </row>
    <row r="33452">
      <c r="A33452" s="1" t="s">
        <v>33451</v>
      </c>
      <c r="B33452" s="2" t="str">
        <f>IFERROR(__xludf.DUMMYFUNCTION("GOOGLETRANSLATE(A33452, ""de"", ""en"")"),"pacquiao")</f>
        <v>pacquiao</v>
      </c>
    </row>
    <row r="33453">
      <c r="A33453" s="1" t="s">
        <v>33452</v>
      </c>
      <c r="B33453" s="2" t="str">
        <f>IFERROR(__xludf.DUMMYFUNCTION("GOOGLETRANSLATE(A33453, ""de"", ""en"")"),"tangible")</f>
        <v>tangible</v>
      </c>
    </row>
    <row r="33454">
      <c r="A33454" s="1" t="s">
        <v>33453</v>
      </c>
      <c r="B33454" s="2" t="str">
        <f>IFERROR(__xludf.DUMMYFUNCTION("GOOGLETRANSLATE(A33454, ""de"", ""en"")"),"go back")</f>
        <v>go back</v>
      </c>
    </row>
    <row r="33455">
      <c r="A33455" s="1" t="s">
        <v>33454</v>
      </c>
      <c r="B33455" s="2" t="str">
        <f>IFERROR(__xludf.DUMMYFUNCTION("GOOGLETRANSLATE(A33455, ""de"", ""en"")"),"Southampton")</f>
        <v>Southampton</v>
      </c>
    </row>
    <row r="33456">
      <c r="A33456" s="1" t="s">
        <v>33455</v>
      </c>
      <c r="B33456" s="2" t="str">
        <f>IFERROR(__xludf.DUMMYFUNCTION("GOOGLETRANSLATE(A33456, ""de"", ""en"")"),"drastic")</f>
        <v>drastic</v>
      </c>
    </row>
    <row r="33457">
      <c r="A33457" s="1" t="s">
        <v>33456</v>
      </c>
      <c r="B33457" s="2" t="str">
        <f>IFERROR(__xludf.DUMMYFUNCTION("GOOGLETRANSLATE(A33457, ""de"", ""en"")"),"accomplished")</f>
        <v>accomplished</v>
      </c>
    </row>
    <row r="33458">
      <c r="A33458" s="1" t="s">
        <v>33457</v>
      </c>
      <c r="B33458" s="2" t="str">
        <f>IFERROR(__xludf.DUMMYFUNCTION("GOOGLETRANSLATE(A33458, ""de"", ""en"")"),"return")</f>
        <v>return</v>
      </c>
    </row>
    <row r="33459">
      <c r="A33459" s="1" t="s">
        <v>33458</v>
      </c>
      <c r="B33459" s="2" t="str">
        <f>IFERROR(__xludf.DUMMYFUNCTION("GOOGLETRANSLATE(A33459, ""de"", ""en"")"),"excavations")</f>
        <v>excavations</v>
      </c>
    </row>
    <row r="33460">
      <c r="A33460" s="1" t="s">
        <v>33459</v>
      </c>
      <c r="B33460" s="2" t="str">
        <f>IFERROR(__xludf.DUMMYFUNCTION("GOOGLETRANSLATE(A33460, ""de"", ""en"")"),"alpha")</f>
        <v>alpha</v>
      </c>
    </row>
    <row r="33461">
      <c r="A33461" s="1" t="s">
        <v>33460</v>
      </c>
      <c r="B33461" s="2" t="str">
        <f>IFERROR(__xludf.DUMMYFUNCTION("GOOGLETRANSLATE(A33461, ""de"", ""en"")"),"cristo")</f>
        <v>cristo</v>
      </c>
    </row>
    <row r="33462">
      <c r="A33462" s="1" t="s">
        <v>33461</v>
      </c>
      <c r="B33462" s="2" t="str">
        <f>IFERROR(__xludf.DUMMYFUNCTION("GOOGLETRANSLATE(A33462, ""de"", ""en"")"),"pawnbroker")</f>
        <v>pawnbroker</v>
      </c>
    </row>
    <row r="33463">
      <c r="A33463" s="1" t="s">
        <v>33462</v>
      </c>
      <c r="B33463" s="2" t="str">
        <f>IFERROR(__xludf.DUMMYFUNCTION("GOOGLETRANSLATE(A33463, ""de"", ""en"")"),"aleikum")</f>
        <v>aleikum</v>
      </c>
    </row>
    <row r="33464">
      <c r="A33464" s="1" t="s">
        <v>33463</v>
      </c>
      <c r="B33464" s="2" t="str">
        <f>IFERROR(__xludf.DUMMYFUNCTION("GOOGLETRANSLATE(A33464, ""de"", ""en"")"),"cloned")</f>
        <v>cloned</v>
      </c>
    </row>
    <row r="33465">
      <c r="A33465" s="1" t="s">
        <v>33464</v>
      </c>
      <c r="B33465" s="2" t="str">
        <f>IFERROR(__xludf.DUMMYFUNCTION("GOOGLETRANSLATE(A33465, ""de"", ""en"")"),"lips")</f>
        <v>lips</v>
      </c>
    </row>
    <row r="33466">
      <c r="A33466" s="1" t="s">
        <v>33465</v>
      </c>
      <c r="B33466" s="2" t="str">
        <f>IFERROR(__xludf.DUMMYFUNCTION("GOOGLETRANSLATE(A33466, ""de"", ""en"")"),"Durham")</f>
        <v>Durham</v>
      </c>
    </row>
    <row r="33467">
      <c r="A33467" s="1" t="s">
        <v>33466</v>
      </c>
      <c r="B33467" s="2" t="str">
        <f>IFERROR(__xludf.DUMMYFUNCTION("GOOGLETRANSLATE(A33467, ""de"", ""en"")"),"elm")</f>
        <v>elm</v>
      </c>
    </row>
    <row r="33468">
      <c r="A33468" s="1" t="s">
        <v>33467</v>
      </c>
      <c r="B33468" s="2" t="str">
        <f>IFERROR(__xludf.DUMMYFUNCTION("GOOGLETRANSLATE(A33468, ""de"", ""en"")"),"dishwasher")</f>
        <v>dishwasher</v>
      </c>
    </row>
    <row r="33469">
      <c r="A33469" s="1" t="s">
        <v>33468</v>
      </c>
      <c r="B33469" s="2" t="str">
        <f>IFERROR(__xludf.DUMMYFUNCTION("GOOGLETRANSLATE(A33469, ""de"", ""en"")"),"check through")</f>
        <v>check through</v>
      </c>
    </row>
    <row r="33470">
      <c r="A33470" s="1" t="s">
        <v>33469</v>
      </c>
      <c r="B33470" s="2" t="str">
        <f>IFERROR(__xludf.DUMMYFUNCTION("GOOGLETRANSLATE(A33470, ""de"", ""en"")"),"ventilation")</f>
        <v>ventilation</v>
      </c>
    </row>
    <row r="33471">
      <c r="A33471" s="1" t="s">
        <v>33470</v>
      </c>
      <c r="B33471" s="2" t="str">
        <f>IFERROR(__xludf.DUMMYFUNCTION("GOOGLETRANSLATE(A33471, ""de"", ""en"")"),"sacrilegious")</f>
        <v>sacrilegious</v>
      </c>
    </row>
    <row r="33472">
      <c r="A33472" s="1" t="s">
        <v>33471</v>
      </c>
      <c r="B33472" s="2" t="str">
        <f>IFERROR(__xludf.DUMMYFUNCTION("GOOGLETRANSLATE(A33472, ""de"", ""en"")"),"corleone")</f>
        <v>corleone</v>
      </c>
    </row>
    <row r="33473">
      <c r="A33473" s="1" t="s">
        <v>33472</v>
      </c>
      <c r="B33473" s="2" t="str">
        <f>IFERROR(__xludf.DUMMYFUNCTION("GOOGLETRANSLATE(A33473, ""de"", ""en"")"),"channel")</f>
        <v>channel</v>
      </c>
    </row>
    <row r="33474">
      <c r="A33474" s="1" t="s">
        <v>33473</v>
      </c>
      <c r="B33474" s="2" t="str">
        <f>IFERROR(__xludf.DUMMYFUNCTION("GOOGLETRANSLATE(A33474, ""de"", ""en"")"),"farley")</f>
        <v>farley</v>
      </c>
    </row>
    <row r="33475">
      <c r="A33475" s="1" t="s">
        <v>33474</v>
      </c>
      <c r="B33475" s="2" t="str">
        <f>IFERROR(__xludf.DUMMYFUNCTION("GOOGLETRANSLATE(A33475, ""de"", ""en"")"),"pothole")</f>
        <v>pothole</v>
      </c>
    </row>
    <row r="33476">
      <c r="A33476" s="1" t="s">
        <v>33475</v>
      </c>
      <c r="B33476" s="2" t="str">
        <f>IFERROR(__xludf.DUMMYFUNCTION("GOOGLETRANSLATE(A33476, ""de"", ""en"")"),"thefaceofboe")</f>
        <v>thefaceofboe</v>
      </c>
    </row>
    <row r="33477">
      <c r="A33477" s="1" t="s">
        <v>33476</v>
      </c>
      <c r="B33477" s="2" t="str">
        <f>IFERROR(__xludf.DUMMYFUNCTION("GOOGLETRANSLATE(A33477, ""de"", ""en"")"),"mays")</f>
        <v>mays</v>
      </c>
    </row>
    <row r="33478">
      <c r="A33478" s="1" t="s">
        <v>33477</v>
      </c>
      <c r="B33478" s="2" t="str">
        <f>IFERROR(__xludf.DUMMYFUNCTION("GOOGLETRANSLATE(A33478, ""de"", ""en"")"),"DNA sample")</f>
        <v>DNA sample</v>
      </c>
    </row>
    <row r="33479">
      <c r="A33479" s="1" t="s">
        <v>33478</v>
      </c>
      <c r="B33479" s="2" t="str">
        <f>IFERROR(__xludf.DUMMYFUNCTION("GOOGLETRANSLATE(A33479, ""de"", ""en"")"),"commands")</f>
        <v>commands</v>
      </c>
    </row>
    <row r="33480">
      <c r="A33480" s="1" t="s">
        <v>33479</v>
      </c>
      <c r="B33480" s="2" t="str">
        <f>IFERROR(__xludf.DUMMYFUNCTION("GOOGLETRANSLATE(A33480, ""de"", ""en"")"),"transports")</f>
        <v>transports</v>
      </c>
    </row>
    <row r="33481">
      <c r="A33481" s="1" t="s">
        <v>33480</v>
      </c>
      <c r="B33481" s="2" t="str">
        <f>IFERROR(__xludf.DUMMYFUNCTION("GOOGLETRANSLATE(A33481, ""de"", ""en"")"),"muzzle")</f>
        <v>muzzle</v>
      </c>
    </row>
    <row r="33482">
      <c r="A33482" s="1" t="s">
        <v>33481</v>
      </c>
      <c r="B33482" s="2" t="str">
        <f>IFERROR(__xludf.DUMMYFUNCTION("GOOGLETRANSLATE(A33482, ""de"", ""en"")"),"bank safe deposit box")</f>
        <v>bank safe deposit box</v>
      </c>
    </row>
    <row r="33483">
      <c r="A33483" s="1" t="s">
        <v>33482</v>
      </c>
      <c r="B33483" s="2" t="str">
        <f>IFERROR(__xludf.DUMMYFUNCTION("GOOGLETRANSLATE(A33483, ""de"", ""en"")"),"angelica")</f>
        <v>angelica</v>
      </c>
    </row>
    <row r="33484">
      <c r="A33484" s="1" t="s">
        <v>33483</v>
      </c>
      <c r="B33484" s="2" t="str">
        <f>IFERROR(__xludf.DUMMYFUNCTION("GOOGLETRANSLATE(A33484, ""de"", ""en"")"),"deepest")</f>
        <v>deepest</v>
      </c>
    </row>
    <row r="33485">
      <c r="A33485" s="1" t="s">
        <v>33484</v>
      </c>
      <c r="B33485" s="2" t="str">
        <f>IFERROR(__xludf.DUMMYFUNCTION("GOOGLETRANSLATE(A33485, ""de"", ""en"")"),"tested")</f>
        <v>tested</v>
      </c>
    </row>
    <row r="33486">
      <c r="A33486" s="1" t="s">
        <v>33485</v>
      </c>
      <c r="B33486" s="2" t="str">
        <f>IFERROR(__xludf.DUMMYFUNCTION("GOOGLETRANSLATE(A33486, ""de"", ""en"")"),"ramadan")</f>
        <v>ramadan</v>
      </c>
    </row>
    <row r="33487">
      <c r="A33487" s="1" t="s">
        <v>33486</v>
      </c>
      <c r="B33487" s="2" t="str">
        <f>IFERROR(__xludf.DUMMYFUNCTION("GOOGLETRANSLATE(A33487, ""de"", ""en"")"),"eastside")</f>
        <v>eastside</v>
      </c>
    </row>
    <row r="33488">
      <c r="A33488" s="1" t="s">
        <v>33487</v>
      </c>
      <c r="B33488" s="2" t="str">
        <f>IFERROR(__xludf.DUMMYFUNCTION("GOOGLETRANSLATE(A33488, ""de"", ""en"")"),"sirena")</f>
        <v>sirena</v>
      </c>
    </row>
    <row r="33489">
      <c r="A33489" s="1" t="s">
        <v>33488</v>
      </c>
      <c r="B33489" s="2" t="str">
        <f>IFERROR(__xludf.DUMMYFUNCTION("GOOGLETRANSLATE(A33489, ""de"", ""en"")"),"egocentric")</f>
        <v>egocentric</v>
      </c>
    </row>
    <row r="33490">
      <c r="A33490" s="1" t="s">
        <v>33489</v>
      </c>
      <c r="B33490" s="2" t="str">
        <f>IFERROR(__xludf.DUMMYFUNCTION("GOOGLETRANSLATE(A33490, ""de"", ""en"")"),"adlon")</f>
        <v>adlon</v>
      </c>
    </row>
    <row r="33491">
      <c r="A33491" s="1" t="s">
        <v>33490</v>
      </c>
      <c r="B33491" s="2" t="str">
        <f>IFERROR(__xludf.DUMMYFUNCTION("GOOGLETRANSLATE(A33491, ""de"", ""en"")"),"security")</f>
        <v>security</v>
      </c>
    </row>
    <row r="33492">
      <c r="A33492" s="1" t="s">
        <v>33491</v>
      </c>
      <c r="B33492" s="2" t="str">
        <f>IFERROR(__xludf.DUMMYFUNCTION("GOOGLETRANSLATE(A33492, ""de"", ""en"")"),"toulon")</f>
        <v>toulon</v>
      </c>
    </row>
    <row r="33493">
      <c r="A33493" s="1" t="s">
        <v>33492</v>
      </c>
      <c r="B33493" s="2" t="str">
        <f>IFERROR(__xludf.DUMMYFUNCTION("GOOGLETRANSLATE(A33493, ""de"", ""en"")"),"Mordecai")</f>
        <v>Mordecai</v>
      </c>
    </row>
    <row r="33494">
      <c r="A33494" s="1" t="s">
        <v>33493</v>
      </c>
      <c r="B33494" s="2" t="str">
        <f>IFERROR(__xludf.DUMMYFUNCTION("GOOGLETRANSLATE(A33494, ""de"", ""en"")"),"more physical")</f>
        <v>more physical</v>
      </c>
    </row>
    <row r="33495">
      <c r="A33495" s="1" t="s">
        <v>33494</v>
      </c>
      <c r="B33495" s="2" t="str">
        <f>IFERROR(__xludf.DUMMYFUNCTION("GOOGLETRANSLATE(A33495, ""de"", ""en"")"),"fifi")</f>
        <v>fifi</v>
      </c>
    </row>
    <row r="33496">
      <c r="A33496" s="1" t="s">
        <v>33495</v>
      </c>
      <c r="B33496" s="2" t="str">
        <f>IFERROR(__xludf.DUMMYFUNCTION("GOOGLETRANSLATE(A33496, ""de"", ""en"")"),"chooses")</f>
        <v>chooses</v>
      </c>
    </row>
    <row r="33497">
      <c r="A33497" s="1" t="s">
        <v>33496</v>
      </c>
      <c r="B33497" s="2" t="str">
        <f>IFERROR(__xludf.DUMMYFUNCTION("GOOGLETRANSLATE(A33497, ""de"", ""en"")"),"heard")</f>
        <v>heard</v>
      </c>
    </row>
    <row r="33498">
      <c r="A33498" s="1" t="s">
        <v>33497</v>
      </c>
      <c r="B33498" s="2" t="str">
        <f>IFERROR(__xludf.DUMMYFUNCTION("GOOGLETRANSLATE(A33498, ""de"", ""en"")"),"slutty")</f>
        <v>slutty</v>
      </c>
    </row>
    <row r="33499">
      <c r="A33499" s="1" t="s">
        <v>33498</v>
      </c>
      <c r="B33499" s="2" t="str">
        <f>IFERROR(__xludf.DUMMYFUNCTION("GOOGLETRANSLATE(A33499, ""de"", ""en"")"),"away")</f>
        <v>away</v>
      </c>
    </row>
    <row r="33500">
      <c r="A33500" s="1" t="s">
        <v>33499</v>
      </c>
      <c r="B33500" s="2" t="str">
        <f>IFERROR(__xludf.DUMMYFUNCTION("GOOGLETRANSLATE(A33500, ""de"", ""en"")"),"soft")</f>
        <v>soft</v>
      </c>
    </row>
    <row r="33501">
      <c r="A33501" s="1" t="s">
        <v>33500</v>
      </c>
      <c r="B33501" s="2" t="str">
        <f>IFERROR(__xludf.DUMMYFUNCTION("GOOGLETRANSLATE(A33501, ""de"", ""en"")"),"personnel files")</f>
        <v>personnel files</v>
      </c>
    </row>
    <row r="33502">
      <c r="A33502" s="1" t="s">
        <v>33501</v>
      </c>
      <c r="B33502" s="2" t="str">
        <f>IFERROR(__xludf.DUMMYFUNCTION("GOOGLETRANSLATE(A33502, ""de"", ""en"")"),"hold")</f>
        <v>hold</v>
      </c>
    </row>
    <row r="33503">
      <c r="A33503" s="1" t="s">
        <v>33502</v>
      </c>
      <c r="B33503" s="2" t="str">
        <f>IFERROR(__xludf.DUMMYFUNCTION("GOOGLETRANSLATE(A33503, ""de"", ""en"")"),"rammer")</f>
        <v>rammer</v>
      </c>
    </row>
    <row r="33504">
      <c r="A33504" s="1" t="s">
        <v>33503</v>
      </c>
      <c r="B33504" s="2" t="str">
        <f>IFERROR(__xludf.DUMMYFUNCTION("GOOGLETRANSLATE(A33504, ""de"", ""en"")"),"stalking")</f>
        <v>stalking</v>
      </c>
    </row>
    <row r="33505">
      <c r="A33505" s="1" t="s">
        <v>33504</v>
      </c>
      <c r="B33505" s="2" t="str">
        <f>IFERROR(__xludf.DUMMYFUNCTION("GOOGLETRANSLATE(A33505, ""de"", ""en"")"),"grant")</f>
        <v>grant</v>
      </c>
    </row>
    <row r="33506">
      <c r="A33506" s="1" t="s">
        <v>33505</v>
      </c>
      <c r="B33506" s="2" t="str">
        <f>IFERROR(__xludf.DUMMYFUNCTION("GOOGLETRANSLATE(A33506, ""de"", ""en"")"),"accomplice")</f>
        <v>accomplice</v>
      </c>
    </row>
    <row r="33507">
      <c r="A33507" s="1" t="s">
        <v>33506</v>
      </c>
      <c r="B33507" s="2" t="str">
        <f>IFERROR(__xludf.DUMMYFUNCTION("GOOGLETRANSLATE(A33507, ""de"", ""en"")"),"felt")</f>
        <v>felt</v>
      </c>
    </row>
    <row r="33508">
      <c r="A33508" s="1" t="s">
        <v>33507</v>
      </c>
      <c r="B33508" s="2" t="str">
        <f>IFERROR(__xludf.DUMMYFUNCTION("GOOGLETRANSLATE(A33508, ""de"", ""en"")"),"spontaneous")</f>
        <v>spontaneous</v>
      </c>
    </row>
    <row r="33509">
      <c r="A33509" s="1" t="s">
        <v>33508</v>
      </c>
      <c r="B33509" s="2" t="str">
        <f>IFERROR(__xludf.DUMMYFUNCTION("GOOGLETRANSLATE(A33509, ""de"", ""en"")"),"graces")</f>
        <v>graces</v>
      </c>
    </row>
    <row r="33510">
      <c r="A33510" s="1" t="s">
        <v>33509</v>
      </c>
      <c r="B33510" s="2" t="str">
        <f>IFERROR(__xludf.DUMMYFUNCTION("GOOGLETRANSLATE(A33510, ""de"", ""en"")"),"merrin")</f>
        <v>merrin</v>
      </c>
    </row>
    <row r="33511">
      <c r="A33511" s="1" t="s">
        <v>33510</v>
      </c>
      <c r="B33511" s="2" t="str">
        <f>IFERROR(__xludf.DUMMYFUNCTION("GOOGLETRANSLATE(A33511, ""de"", ""en"")"),"antique dealer")</f>
        <v>antique dealer</v>
      </c>
    </row>
    <row r="33512">
      <c r="A33512" s="1" t="s">
        <v>33511</v>
      </c>
      <c r="B33512" s="2" t="str">
        <f>IFERROR(__xludf.DUMMYFUNCTION("GOOGLETRANSLATE(A33512, ""de"", ""en"")"),"profitable")</f>
        <v>profitable</v>
      </c>
    </row>
    <row r="33513">
      <c r="A33513" s="1" t="s">
        <v>33512</v>
      </c>
      <c r="B33513" s="2" t="str">
        <f>IFERROR(__xludf.DUMMYFUNCTION("GOOGLETRANSLATE(A33513, ""de"", ""en"")"),"midway")</f>
        <v>midway</v>
      </c>
    </row>
    <row r="33514">
      <c r="A33514" s="1" t="s">
        <v>33513</v>
      </c>
      <c r="B33514" s="2" t="str">
        <f>IFERROR(__xludf.DUMMYFUNCTION("GOOGLETRANSLATE(A33514, ""de"", ""en"")"),"relic")</f>
        <v>relic</v>
      </c>
    </row>
    <row r="33515">
      <c r="A33515" s="1" t="s">
        <v>33514</v>
      </c>
      <c r="B33515" s="2" t="str">
        <f>IFERROR(__xludf.DUMMYFUNCTION("GOOGLETRANSLATE(A33515, ""de"", ""en"")"),"issued")</f>
        <v>issued</v>
      </c>
    </row>
    <row r="33516">
      <c r="A33516" s="1" t="s">
        <v>33515</v>
      </c>
      <c r="B33516" s="2" t="str">
        <f>IFERROR(__xludf.DUMMYFUNCTION("GOOGLETRANSLATE(A33516, ""de"", ""en"")"),"flagrant")</f>
        <v>flagrant</v>
      </c>
    </row>
    <row r="33517">
      <c r="A33517" s="1" t="s">
        <v>33516</v>
      </c>
      <c r="B33517" s="2" t="str">
        <f>IFERROR(__xludf.DUMMYFUNCTION("GOOGLETRANSLATE(A33517, ""de"", ""en"")"),"corso")</f>
        <v>corso</v>
      </c>
    </row>
    <row r="33518">
      <c r="A33518" s="1" t="s">
        <v>33517</v>
      </c>
      <c r="B33518" s="2" t="str">
        <f>IFERROR(__xludf.DUMMYFUNCTION("GOOGLETRANSLATE(A33518, ""de"", ""en"")"),"Alexander")</f>
        <v>Alexander</v>
      </c>
    </row>
    <row r="33519">
      <c r="A33519" s="1" t="s">
        <v>33518</v>
      </c>
      <c r="B33519" s="2" t="str">
        <f>IFERROR(__xludf.DUMMYFUNCTION("GOOGLETRANSLATE(A33519, ""de"", ""en"")"),"affected")</f>
        <v>affected</v>
      </c>
    </row>
    <row r="33520">
      <c r="A33520" s="1" t="s">
        <v>33519</v>
      </c>
      <c r="B33520" s="2" t="str">
        <f>IFERROR(__xludf.DUMMYFUNCTION("GOOGLETRANSLATE(A33520, ""de"", ""en"")"),"Montoya")</f>
        <v>Montoya</v>
      </c>
    </row>
    <row r="33521">
      <c r="A33521" s="1" t="s">
        <v>33520</v>
      </c>
      <c r="B33521" s="2" t="str">
        <f>IFERROR(__xludf.DUMMYFUNCTION("GOOGLETRANSLATE(A33521, ""de"", ""en"")"),"announce")</f>
        <v>announce</v>
      </c>
    </row>
    <row r="33522">
      <c r="A33522" s="1" t="s">
        <v>33521</v>
      </c>
      <c r="B33522" s="2" t="str">
        <f>IFERROR(__xludf.DUMMYFUNCTION("GOOGLETRANSLATE(A33522, ""de"", ""en"")"),"lower")</f>
        <v>lower</v>
      </c>
    </row>
    <row r="33523">
      <c r="A33523" s="1" t="s">
        <v>33522</v>
      </c>
      <c r="B33523" s="2" t="str">
        <f>IFERROR(__xludf.DUMMYFUNCTION("GOOGLETRANSLATE(A33523, ""de"", ""en"")"),"mayflower")</f>
        <v>mayflower</v>
      </c>
    </row>
    <row r="33524">
      <c r="A33524" s="1" t="s">
        <v>33523</v>
      </c>
      <c r="B33524" s="2" t="str">
        <f>IFERROR(__xludf.DUMMYFUNCTION("GOOGLETRANSLATE(A33524, ""de"", ""en"")"),"fiery")</f>
        <v>fiery</v>
      </c>
    </row>
    <row r="33525">
      <c r="A33525" s="1" t="s">
        <v>33524</v>
      </c>
      <c r="B33525" s="2" t="str">
        <f>IFERROR(__xludf.DUMMYFUNCTION("GOOGLETRANSLATE(A33525, ""de"", ""en"")"),"walkman")</f>
        <v>walkman</v>
      </c>
    </row>
    <row r="33526">
      <c r="A33526" s="1" t="s">
        <v>33525</v>
      </c>
      <c r="B33526" s="2" t="str">
        <f>IFERROR(__xludf.DUMMYFUNCTION("GOOGLETRANSLATE(A33526, ""de"", ""en"")"),"rancher")</f>
        <v>rancher</v>
      </c>
    </row>
    <row r="33527">
      <c r="A33527" s="1" t="s">
        <v>33526</v>
      </c>
      <c r="B33527" s="2" t="str">
        <f>IFERROR(__xludf.DUMMYFUNCTION("GOOGLETRANSLATE(A33527, ""de"", ""en"")"),"heated")</f>
        <v>heated</v>
      </c>
    </row>
    <row r="33528">
      <c r="A33528" s="1" t="s">
        <v>33527</v>
      </c>
      <c r="B33528" s="2" t="str">
        <f>IFERROR(__xludf.DUMMYFUNCTION("GOOGLETRANSLATE(A33528, ""de"", ""en"")"),"cheerfulness")</f>
        <v>cheerfulness</v>
      </c>
    </row>
    <row r="33529">
      <c r="A33529" s="1" t="s">
        <v>33528</v>
      </c>
      <c r="B33529" s="2" t="str">
        <f>IFERROR(__xludf.DUMMYFUNCTION("GOOGLETRANSLATE(A33529, ""de"", ""en"")"),"lightest")</f>
        <v>lightest</v>
      </c>
    </row>
    <row r="33530">
      <c r="A33530" s="1" t="s">
        <v>33529</v>
      </c>
      <c r="B33530" s="2" t="str">
        <f>IFERROR(__xludf.DUMMYFUNCTION("GOOGLETRANSLATE(A33530, ""de"", ""en"")"),"recover")</f>
        <v>recover</v>
      </c>
    </row>
    <row r="33531">
      <c r="A33531" s="1" t="s">
        <v>33530</v>
      </c>
      <c r="B33531" s="2" t="str">
        <f>IFERROR(__xludf.DUMMYFUNCTION("GOOGLETRANSLATE(A33531, ""de"", ""en"")"),"tano")</f>
        <v>tano</v>
      </c>
    </row>
    <row r="33532">
      <c r="A33532" s="1" t="s">
        <v>33531</v>
      </c>
      <c r="B33532" s="2" t="str">
        <f>IFERROR(__xludf.DUMMYFUNCTION("GOOGLETRANSLATE(A33532, ""de"", ""en"")"),"tati")</f>
        <v>tati</v>
      </c>
    </row>
    <row r="33533">
      <c r="A33533" s="1" t="s">
        <v>33532</v>
      </c>
      <c r="B33533" s="2" t="str">
        <f>IFERROR(__xludf.DUMMYFUNCTION("GOOGLETRANSLATE(A33533, ""de"", ""en"")"),"poor")</f>
        <v>poor</v>
      </c>
    </row>
    <row r="33534">
      <c r="A33534" s="1" t="s">
        <v>33533</v>
      </c>
      <c r="B33534" s="2" t="str">
        <f>IFERROR(__xludf.DUMMYFUNCTION("GOOGLETRANSLATE(A33534, ""de"", ""en"")"),"follow")</f>
        <v>follow</v>
      </c>
    </row>
    <row r="33535">
      <c r="A33535" s="1" t="s">
        <v>33534</v>
      </c>
      <c r="B33535" s="2" t="str">
        <f>IFERROR(__xludf.DUMMYFUNCTION("GOOGLETRANSLATE(A33535, ""de"", ""en"")"),"money transporter")</f>
        <v>money transporter</v>
      </c>
    </row>
    <row r="33536">
      <c r="A33536" s="1" t="s">
        <v>33535</v>
      </c>
      <c r="B33536" s="2" t="str">
        <f>IFERROR(__xludf.DUMMYFUNCTION("GOOGLETRANSLATE(A33536, ""de"", ""en"")"),"unguarded")</f>
        <v>unguarded</v>
      </c>
    </row>
    <row r="33537">
      <c r="A33537" s="1" t="s">
        <v>33536</v>
      </c>
      <c r="B33537" s="2" t="str">
        <f>IFERROR(__xludf.DUMMYFUNCTION("GOOGLETRANSLATE(A33537, ""de"", ""en"")"),"dishwasher")</f>
        <v>dishwasher</v>
      </c>
    </row>
    <row r="33538">
      <c r="A33538" s="1" t="s">
        <v>33537</v>
      </c>
      <c r="B33538" s="2" t="str">
        <f>IFERROR(__xludf.DUMMYFUNCTION("GOOGLETRANSLATE(A33538, ""de"", ""en"")"),"antibiotic")</f>
        <v>antibiotic</v>
      </c>
    </row>
    <row r="33539">
      <c r="A33539" s="1" t="s">
        <v>33538</v>
      </c>
      <c r="B33539" s="2" t="str">
        <f>IFERROR(__xludf.DUMMYFUNCTION("GOOGLETRANSLATE(A33539, ""de"", ""en"")"),"servanthood")</f>
        <v>servanthood</v>
      </c>
    </row>
    <row r="33540">
      <c r="A33540" s="1" t="s">
        <v>33539</v>
      </c>
      <c r="B33540" s="2" t="str">
        <f>IFERROR(__xludf.DUMMYFUNCTION("GOOGLETRANSLATE(A33540, ""de"", ""en"")"),"transfer")</f>
        <v>transfer</v>
      </c>
    </row>
    <row r="33541">
      <c r="A33541" s="1" t="s">
        <v>33540</v>
      </c>
      <c r="B33541" s="2" t="str">
        <f>IFERROR(__xludf.DUMMYFUNCTION("GOOGLETRANSLATE(A33541, ""de"", ""en"")"),"more southerly")</f>
        <v>more southerly</v>
      </c>
    </row>
    <row r="33542">
      <c r="A33542" s="1" t="s">
        <v>33541</v>
      </c>
      <c r="B33542" s="2" t="str">
        <f>IFERROR(__xludf.DUMMYFUNCTION("GOOGLETRANSLATE(A33542, ""de"", ""en"")"),"more western")</f>
        <v>more western</v>
      </c>
    </row>
    <row r="33543">
      <c r="A33543" s="1" t="s">
        <v>33542</v>
      </c>
      <c r="B33543" s="2" t="str">
        <f>IFERROR(__xludf.DUMMYFUNCTION("GOOGLETRANSLATE(A33543, ""de"", ""en"")"),"dung")</f>
        <v>dung</v>
      </c>
    </row>
    <row r="33544">
      <c r="A33544" s="1" t="s">
        <v>33543</v>
      </c>
      <c r="B33544" s="2" t="str">
        <f>IFERROR(__xludf.DUMMYFUNCTION("GOOGLETRANSLATE(A33544, ""de"", ""en"")"),"pile up")</f>
        <v>pile up</v>
      </c>
    </row>
    <row r="33545">
      <c r="A33545" s="1" t="s">
        <v>33544</v>
      </c>
      <c r="B33545" s="2" t="str">
        <f>IFERROR(__xludf.DUMMYFUNCTION("GOOGLETRANSLATE(A33545, ""de"", ""en"")"),"material")</f>
        <v>material</v>
      </c>
    </row>
    <row r="33546">
      <c r="A33546" s="1" t="s">
        <v>33545</v>
      </c>
      <c r="B33546" s="2" t="str">
        <f>IFERROR(__xludf.DUMMYFUNCTION("GOOGLETRANSLATE(A33546, ""de"", ""en"")"),"langston")</f>
        <v>langston</v>
      </c>
    </row>
    <row r="33547">
      <c r="A33547" s="1" t="s">
        <v>33546</v>
      </c>
      <c r="B33547" s="2" t="str">
        <f>IFERROR(__xludf.DUMMYFUNCTION("GOOGLETRANSLATE(A33547, ""de"", ""en"")"),"Lombardo")</f>
        <v>Lombardo</v>
      </c>
    </row>
    <row r="33548">
      <c r="A33548" s="1" t="s">
        <v>33547</v>
      </c>
      <c r="B33548" s="2" t="str">
        <f>IFERROR(__xludf.DUMMYFUNCTION("GOOGLETRANSLATE(A33548, ""de"", ""en"")"),"sports")</f>
        <v>sports</v>
      </c>
    </row>
    <row r="33549">
      <c r="A33549" s="1" t="s">
        <v>33548</v>
      </c>
      <c r="B33549" s="2" t="str">
        <f>IFERROR(__xludf.DUMMYFUNCTION("GOOGLETRANSLATE(A33549, ""de"", ""en"")"),"represent")</f>
        <v>represent</v>
      </c>
    </row>
    <row r="33550">
      <c r="A33550" s="1" t="s">
        <v>33549</v>
      </c>
      <c r="B33550" s="2" t="str">
        <f>IFERROR(__xludf.DUMMYFUNCTION("GOOGLETRANSLATE(A33550, ""de"", ""en"")"),"ariadne")</f>
        <v>ariadne</v>
      </c>
    </row>
    <row r="33551">
      <c r="A33551" s="1" t="s">
        <v>33550</v>
      </c>
      <c r="B33551" s="2" t="str">
        <f>IFERROR(__xludf.DUMMYFUNCTION("GOOGLETRANSLATE(A33551, ""de"", ""en"")"),"squash")</f>
        <v>squash</v>
      </c>
    </row>
    <row r="33552">
      <c r="A33552" s="1" t="s">
        <v>33551</v>
      </c>
      <c r="B33552" s="2" t="str">
        <f>IFERROR(__xludf.DUMMYFUNCTION("GOOGLETRANSLATE(A33552, ""de"", ""en"")"),"approve")</f>
        <v>approve</v>
      </c>
    </row>
    <row r="33553">
      <c r="A33553" s="1" t="s">
        <v>33552</v>
      </c>
      <c r="B33553" s="2" t="str">
        <f>IFERROR(__xludf.DUMMYFUNCTION("GOOGLETRANSLATE(A33553, ""de"", ""en"")"),"gone broken")</f>
        <v>gone broken</v>
      </c>
    </row>
    <row r="33554">
      <c r="A33554" s="1" t="s">
        <v>33553</v>
      </c>
      <c r="B33554" s="2" t="str">
        <f>IFERROR(__xludf.DUMMYFUNCTION("GOOGLETRANSLATE(A33554, ""de"", ""en"")"),"locked away")</f>
        <v>locked away</v>
      </c>
    </row>
    <row r="33555">
      <c r="A33555" s="1" t="s">
        <v>33554</v>
      </c>
      <c r="B33555" s="2" t="str">
        <f>IFERROR(__xludf.DUMMYFUNCTION("GOOGLETRANSLATE(A33555, ""de"", ""en"")"),"filii")</f>
        <v>filii</v>
      </c>
    </row>
    <row r="33556">
      <c r="A33556" s="1" t="s">
        <v>33555</v>
      </c>
      <c r="B33556" s="2" t="str">
        <f>IFERROR(__xludf.DUMMYFUNCTION("GOOGLETRANSLATE(A33556, ""de"", ""en"")"),"handbags")</f>
        <v>handbags</v>
      </c>
    </row>
    <row r="33557">
      <c r="A33557" s="1" t="s">
        <v>33556</v>
      </c>
      <c r="B33557" s="2" t="str">
        <f>IFERROR(__xludf.DUMMYFUNCTION("GOOGLETRANSLATE(A33557, ""de"", ""en"")"),"radio announcer")</f>
        <v>radio announcer</v>
      </c>
    </row>
    <row r="33558">
      <c r="A33558" s="1" t="s">
        <v>33557</v>
      </c>
      <c r="B33558" s="2" t="str">
        <f>IFERROR(__xludf.DUMMYFUNCTION("GOOGLETRANSLATE(A33558, ""de"", ""en"")"),"cozy")</f>
        <v>cozy</v>
      </c>
    </row>
    <row r="33559">
      <c r="A33559" s="1" t="s">
        <v>33558</v>
      </c>
      <c r="B33559" s="2" t="str">
        <f>IFERROR(__xludf.DUMMYFUNCTION("GOOGLETRANSLATE(A33559, ""de"", ""en"")"),"spill out")</f>
        <v>spill out</v>
      </c>
    </row>
    <row r="33560">
      <c r="A33560" s="1" t="s">
        <v>33559</v>
      </c>
      <c r="B33560" s="2" t="str">
        <f>IFERROR(__xludf.DUMMYFUNCTION("GOOGLETRANSLATE(A33560, ""de"", ""en"")"),"lowest")</f>
        <v>lowest</v>
      </c>
    </row>
    <row r="33561">
      <c r="A33561" s="1" t="s">
        <v>33560</v>
      </c>
      <c r="B33561" s="2" t="str">
        <f>IFERROR(__xludf.DUMMYFUNCTION("GOOGLETRANSLATE(A33561, ""de"", ""en"")"),"honorable")</f>
        <v>honorable</v>
      </c>
    </row>
    <row r="33562">
      <c r="A33562" s="1" t="s">
        <v>33561</v>
      </c>
      <c r="B33562" s="2" t="str">
        <f>IFERROR(__xludf.DUMMYFUNCTION("GOOGLETRANSLATE(A33562, ""de"", ""en"")"),"cabal")</f>
        <v>cabal</v>
      </c>
    </row>
    <row r="33563">
      <c r="A33563" s="1" t="s">
        <v>33562</v>
      </c>
      <c r="B33563" s="2" t="str">
        <f>IFERROR(__xludf.DUMMYFUNCTION("GOOGLETRANSLATE(A33563, ""de"", ""en"")"),"kidney failure")</f>
        <v>kidney failure</v>
      </c>
    </row>
    <row r="33564">
      <c r="A33564" s="1" t="s">
        <v>33563</v>
      </c>
      <c r="B33564" s="2" t="str">
        <f>IFERROR(__xludf.DUMMYFUNCTION("GOOGLETRANSLATE(A33564, ""de"", ""en"")"),"westside")</f>
        <v>westside</v>
      </c>
    </row>
    <row r="33565">
      <c r="A33565" s="1" t="s">
        <v>33564</v>
      </c>
      <c r="B33565" s="2" t="str">
        <f>IFERROR(__xludf.DUMMYFUNCTION("GOOGLETRANSLATE(A33565, ""de"", ""en"")"),"terrible")</f>
        <v>terrible</v>
      </c>
    </row>
    <row r="33566">
      <c r="A33566" s="1" t="s">
        <v>33565</v>
      </c>
      <c r="B33566" s="2" t="str">
        <f>IFERROR(__xludf.DUMMYFUNCTION("GOOGLETRANSLATE(A33566, ""de"", ""en"")"),"scare")</f>
        <v>scare</v>
      </c>
    </row>
    <row r="33567">
      <c r="A33567" s="1" t="s">
        <v>33566</v>
      </c>
      <c r="B33567" s="2" t="str">
        <f>IFERROR(__xludf.DUMMYFUNCTION("GOOGLETRANSLATE(A33567, ""de"", ""en"")"),"is it")</f>
        <v>is it</v>
      </c>
    </row>
    <row r="33568">
      <c r="A33568" s="1" t="s">
        <v>33567</v>
      </c>
      <c r="B33568" s="2" t="str">
        <f>IFERROR(__xludf.DUMMYFUNCTION("GOOGLETRANSLATE(A33568, ""de"", ""en"")"),"kinsella")</f>
        <v>kinsella</v>
      </c>
    </row>
    <row r="33569">
      <c r="A33569" s="1" t="s">
        <v>33568</v>
      </c>
      <c r="B33569" s="2" t="str">
        <f>IFERROR(__xludf.DUMMYFUNCTION("GOOGLETRANSLATE(A33569, ""de"", ""en"")"),"higher")</f>
        <v>higher</v>
      </c>
    </row>
    <row r="33570">
      <c r="A33570" s="1" t="s">
        <v>33569</v>
      </c>
      <c r="B33570" s="2" t="str">
        <f>IFERROR(__xludf.DUMMYFUNCTION("GOOGLETRANSLATE(A33570, ""de"", ""en"")"),"abolition")</f>
        <v>abolition</v>
      </c>
    </row>
    <row r="33571">
      <c r="A33571" s="1" t="s">
        <v>33570</v>
      </c>
      <c r="B33571" s="2" t="str">
        <f>IFERROR(__xludf.DUMMYFUNCTION("GOOGLETRANSLATE(A33571, ""de"", ""en"")"),"serenade")</f>
        <v>serenade</v>
      </c>
    </row>
    <row r="33572">
      <c r="A33572" s="1" t="s">
        <v>33571</v>
      </c>
      <c r="B33572" s="2" t="str">
        <f>IFERROR(__xludf.DUMMYFUNCTION("GOOGLETRANSLATE(A33572, ""de"", ""en"")"),"scoffs")</f>
        <v>scoffs</v>
      </c>
    </row>
    <row r="33573">
      <c r="A33573" s="1" t="s">
        <v>33572</v>
      </c>
      <c r="B33573" s="2" t="str">
        <f>IFERROR(__xludf.DUMMYFUNCTION("GOOGLETRANSLATE(A33573, ""de"", ""en"")"),"Saudi")</f>
        <v>Saudi</v>
      </c>
    </row>
    <row r="33574">
      <c r="A33574" s="1" t="s">
        <v>33573</v>
      </c>
      <c r="B33574" s="2" t="str">
        <f>IFERROR(__xludf.DUMMYFUNCTION("GOOGLETRANSLATE(A33574, ""de"", ""en"")"),"barons")</f>
        <v>barons</v>
      </c>
    </row>
    <row r="33575">
      <c r="A33575" s="1" t="s">
        <v>33574</v>
      </c>
      <c r="B33575" s="2" t="str">
        <f>IFERROR(__xludf.DUMMYFUNCTION("GOOGLETRANSLATE(A33575, ""de"", ""en"")"),"shock")</f>
        <v>shock</v>
      </c>
    </row>
    <row r="33576">
      <c r="A33576" s="1" t="s">
        <v>33575</v>
      </c>
      <c r="B33576" s="2" t="str">
        <f>IFERROR(__xludf.DUMMYFUNCTION("GOOGLETRANSLATE(A33576, ""de"", ""en"")"),"test of courage")</f>
        <v>test of courage</v>
      </c>
    </row>
    <row r="33577">
      <c r="A33577" s="1" t="s">
        <v>33576</v>
      </c>
      <c r="B33577" s="2" t="str">
        <f>IFERROR(__xludf.DUMMYFUNCTION("GOOGLETRANSLATE(A33577, ""de"", ""en"")"),"gags")</f>
        <v>gags</v>
      </c>
    </row>
    <row r="33578">
      <c r="A33578" s="1" t="s">
        <v>33577</v>
      </c>
      <c r="B33578" s="2" t="str">
        <f>IFERROR(__xludf.DUMMYFUNCTION("GOOGLETRANSLATE(A33578, ""de"", ""en"")"),"most incredible")</f>
        <v>most incredible</v>
      </c>
    </row>
    <row r="33579">
      <c r="A33579" s="1" t="s">
        <v>33578</v>
      </c>
      <c r="B33579" s="2" t="str">
        <f>IFERROR(__xludf.DUMMYFUNCTION("GOOGLETRANSLATE(A33579, ""de"", ""en"")"),"engine deck")</f>
        <v>engine deck</v>
      </c>
    </row>
    <row r="33580">
      <c r="A33580" s="1" t="s">
        <v>33579</v>
      </c>
      <c r="B33580" s="2" t="str">
        <f>IFERROR(__xludf.DUMMYFUNCTION("GOOGLETRANSLATE(A33580, ""de"", ""en"")"),"expired")</f>
        <v>expired</v>
      </c>
    </row>
    <row r="33581">
      <c r="A33581" s="1" t="s">
        <v>33580</v>
      </c>
      <c r="B33581" s="2" t="str">
        <f>IFERROR(__xludf.DUMMYFUNCTION("GOOGLETRANSLATE(A33581, ""de"", ""en"")"),"marisol")</f>
        <v>marisol</v>
      </c>
    </row>
    <row r="33582">
      <c r="A33582" s="1" t="s">
        <v>33581</v>
      </c>
      <c r="B33582" s="2" t="str">
        <f>IFERROR(__xludf.DUMMYFUNCTION("GOOGLETRANSLATE(A33582, ""de"", ""en"")"),"dried up")</f>
        <v>dried up</v>
      </c>
    </row>
    <row r="33583">
      <c r="A33583" s="1" t="s">
        <v>33582</v>
      </c>
      <c r="B33583" s="2" t="str">
        <f>IFERROR(__xludf.DUMMYFUNCTION("GOOGLETRANSLATE(A33583, ""de"", ""en"")"),"sigrid")</f>
        <v>sigrid</v>
      </c>
    </row>
    <row r="33584">
      <c r="A33584" s="1" t="s">
        <v>33583</v>
      </c>
      <c r="B33584" s="2" t="str">
        <f>IFERROR(__xludf.DUMMYFUNCTION("GOOGLETRANSLATE(A33584, ""de"", ""en"")"),"evening")</f>
        <v>evening</v>
      </c>
    </row>
    <row r="33585">
      <c r="A33585" s="1" t="s">
        <v>33584</v>
      </c>
      <c r="B33585" s="2" t="str">
        <f>IFERROR(__xludf.DUMMYFUNCTION("GOOGLETRANSLATE(A33585, ""de"", ""en"")"),"opened")</f>
        <v>opened</v>
      </c>
    </row>
    <row r="33586">
      <c r="A33586" s="1" t="s">
        <v>33585</v>
      </c>
      <c r="B33586" s="2" t="str">
        <f>IFERROR(__xludf.DUMMYFUNCTION("GOOGLETRANSLATE(A33586, ""de"", ""en"")"),"theology")</f>
        <v>theology</v>
      </c>
    </row>
    <row r="33587">
      <c r="A33587" s="1" t="s">
        <v>33586</v>
      </c>
      <c r="B33587" s="2" t="str">
        <f>IFERROR(__xludf.DUMMYFUNCTION("GOOGLETRANSLATE(A33587, ""de"", ""en"")"),"sounds")</f>
        <v>sounds</v>
      </c>
    </row>
    <row r="33588">
      <c r="A33588" s="1" t="s">
        <v>33587</v>
      </c>
      <c r="B33588" s="2" t="str">
        <f>IFERROR(__xludf.DUMMYFUNCTION("GOOGLETRANSLATE(A33588, ""de"", ""en"")"),"Oh yes")</f>
        <v>Oh yes</v>
      </c>
    </row>
    <row r="33589">
      <c r="A33589" s="1" t="s">
        <v>33588</v>
      </c>
      <c r="B33589" s="2" t="str">
        <f>IFERROR(__xludf.DUMMYFUNCTION("GOOGLETRANSLATE(A33589, ""de"", ""en"")"),"neurologists")</f>
        <v>neurologists</v>
      </c>
    </row>
    <row r="33590">
      <c r="A33590" s="1" t="s">
        <v>33589</v>
      </c>
      <c r="B33590" s="2" t="str">
        <f>IFERROR(__xludf.DUMMYFUNCTION("GOOGLETRANSLATE(A33590, ""de"", ""en"")"),"shelter")</f>
        <v>shelter</v>
      </c>
    </row>
    <row r="33591">
      <c r="A33591" s="1" t="s">
        <v>33590</v>
      </c>
      <c r="B33591" s="2" t="str">
        <f>IFERROR(__xludf.DUMMYFUNCTION("GOOGLETRANSLATE(A33591, ""de"", ""en"")"),"knelt")</f>
        <v>knelt</v>
      </c>
    </row>
    <row r="33592">
      <c r="A33592" s="1" t="s">
        <v>33591</v>
      </c>
      <c r="B33592" s="2" t="str">
        <f>IFERROR(__xludf.DUMMYFUNCTION("GOOGLETRANSLATE(A33592, ""de"", ""en"")"),"contagious")</f>
        <v>contagious</v>
      </c>
    </row>
    <row r="33593">
      <c r="A33593" s="1" t="s">
        <v>33592</v>
      </c>
      <c r="B33593" s="2" t="str">
        <f>IFERROR(__xludf.DUMMYFUNCTION("GOOGLETRANSLATE(A33593, ""de"", ""en"")"),"although")</f>
        <v>although</v>
      </c>
    </row>
    <row r="33594">
      <c r="A33594" s="1" t="s">
        <v>33593</v>
      </c>
      <c r="B33594" s="2" t="str">
        <f>IFERROR(__xludf.DUMMYFUNCTION("GOOGLETRANSLATE(A33594, ""de"", ""en"")"),"couscous")</f>
        <v>couscous</v>
      </c>
    </row>
    <row r="33595">
      <c r="A33595" s="1" t="s">
        <v>33594</v>
      </c>
      <c r="B33595" s="2" t="str">
        <f>IFERROR(__xludf.DUMMYFUNCTION("GOOGLETRANSLATE(A33595, ""de"", ""en"")"),"escalate")</f>
        <v>escalate</v>
      </c>
    </row>
    <row r="33596">
      <c r="A33596" s="1" t="s">
        <v>33595</v>
      </c>
      <c r="B33596" s="2" t="str">
        <f>IFERROR(__xludf.DUMMYFUNCTION("GOOGLETRANSLATE(A33596, ""de"", ""en"")"),"inning")</f>
        <v>inning</v>
      </c>
    </row>
    <row r="33597">
      <c r="A33597" s="1" t="s">
        <v>33596</v>
      </c>
      <c r="B33597" s="2" t="str">
        <f>IFERROR(__xludf.DUMMYFUNCTION("GOOGLETRANSLATE(A33597, ""de"", ""en"")"),"irritating")</f>
        <v>irritating</v>
      </c>
    </row>
    <row r="33598">
      <c r="A33598" s="1" t="s">
        <v>33597</v>
      </c>
      <c r="B33598" s="2" t="str">
        <f>IFERROR(__xludf.DUMMYFUNCTION("GOOGLETRANSLATE(A33598, ""de"", ""en"")"),"langford")</f>
        <v>langford</v>
      </c>
    </row>
    <row r="33599">
      <c r="A33599" s="1" t="s">
        <v>33598</v>
      </c>
      <c r="B33599" s="2" t="str">
        <f>IFERROR(__xludf.DUMMYFUNCTION("GOOGLETRANSLATE(A33599, ""de"", ""en"")"),"napoleons")</f>
        <v>napoleons</v>
      </c>
    </row>
    <row r="33600">
      <c r="A33600" s="1" t="s">
        <v>33599</v>
      </c>
      <c r="B33600" s="2" t="str">
        <f>IFERROR(__xludf.DUMMYFUNCTION("GOOGLETRANSLATE(A33600, ""de"", ""en"")"),"hates")</f>
        <v>hates</v>
      </c>
    </row>
    <row r="33601">
      <c r="A33601" s="1" t="s">
        <v>33600</v>
      </c>
      <c r="B33601" s="2" t="str">
        <f>IFERROR(__xludf.DUMMYFUNCTION("GOOGLETRANSLATE(A33601, ""de"", ""en"")"),"whites")</f>
        <v>whites</v>
      </c>
    </row>
    <row r="33602">
      <c r="A33602" s="1" t="s">
        <v>33601</v>
      </c>
      <c r="B33602" s="2" t="str">
        <f>IFERROR(__xludf.DUMMYFUNCTION("GOOGLETRANSLATE(A33602, ""de"", ""en"")"),"kringle")</f>
        <v>kringle</v>
      </c>
    </row>
    <row r="33603">
      <c r="A33603" s="1" t="s">
        <v>33602</v>
      </c>
      <c r="B33603" s="2" t="str">
        <f>IFERROR(__xludf.DUMMYFUNCTION("GOOGLETRANSLATE(A33603, ""de"", ""en"")"),"quid")</f>
        <v>quid</v>
      </c>
    </row>
    <row r="33604">
      <c r="A33604" s="1" t="s">
        <v>33603</v>
      </c>
      <c r="B33604" s="2" t="str">
        <f>IFERROR(__xludf.DUMMYFUNCTION("GOOGLETRANSLATE(A33604, ""de"", ""en"")"),"reads out")</f>
        <v>reads out</v>
      </c>
    </row>
    <row r="33605">
      <c r="A33605" s="1" t="s">
        <v>33604</v>
      </c>
      <c r="B33605" s="2" t="str">
        <f>IFERROR(__xludf.DUMMYFUNCTION("GOOGLETRANSLATE(A33605, ""de"", ""en"")"),"bundle of nerves")</f>
        <v>bundle of nerves</v>
      </c>
    </row>
    <row r="33606">
      <c r="A33606" s="1" t="s">
        <v>33605</v>
      </c>
      <c r="B33606" s="2" t="str">
        <f>IFERROR(__xludf.DUMMYFUNCTION("GOOGLETRANSLATE(A33606, ""de"", ""en"")"),"ulli")</f>
        <v>ulli</v>
      </c>
    </row>
    <row r="33607">
      <c r="A33607" s="1" t="s">
        <v>33606</v>
      </c>
      <c r="B33607" s="2" t="str">
        <f>IFERROR(__xludf.DUMMYFUNCTION("GOOGLETRANSLATE(A33607, ""de"", ""en"")"),"hijacked")</f>
        <v>hijacked</v>
      </c>
    </row>
    <row r="33608">
      <c r="A33608" s="1" t="s">
        <v>33607</v>
      </c>
      <c r="B33608" s="2" t="str">
        <f>IFERROR(__xludf.DUMMYFUNCTION("GOOGLETRANSLATE(A33608, ""de"", ""en"")"),"sincere")</f>
        <v>sincere</v>
      </c>
    </row>
    <row r="33609">
      <c r="A33609" s="1" t="s">
        <v>33608</v>
      </c>
      <c r="B33609" s="2" t="str">
        <f>IFERROR(__xludf.DUMMYFUNCTION("GOOGLETRANSLATE(A33609, ""de"", ""en"")"),"piece")</f>
        <v>piece</v>
      </c>
    </row>
    <row r="33610">
      <c r="A33610" s="1" t="s">
        <v>33609</v>
      </c>
      <c r="B33610" s="2" t="str">
        <f>IFERROR(__xludf.DUMMYFUNCTION("GOOGLETRANSLATE(A33610, ""de"", ""en"")"),"rush")</f>
        <v>rush</v>
      </c>
    </row>
    <row r="33611">
      <c r="A33611" s="1" t="s">
        <v>33610</v>
      </c>
      <c r="B33611" s="2" t="str">
        <f>IFERROR(__xludf.DUMMYFUNCTION("GOOGLETRANSLATE(A33611, ""de"", ""en"")"),"mouth-to-mouth resuscitation")</f>
        <v>mouth-to-mouth resuscitation</v>
      </c>
    </row>
    <row r="33612">
      <c r="A33612" s="1" t="s">
        <v>33611</v>
      </c>
      <c r="B33612" s="2" t="str">
        <f>IFERROR(__xludf.DUMMYFUNCTION("GOOGLETRANSLATE(A33612, ""de"", ""en"")"),"duras")</f>
        <v>duras</v>
      </c>
    </row>
    <row r="33613">
      <c r="A33613" s="1" t="s">
        <v>33612</v>
      </c>
      <c r="B33613" s="2" t="str">
        <f>IFERROR(__xludf.DUMMYFUNCTION("GOOGLETRANSLATE(A33613, ""de"", ""en"")"),"bebe")</f>
        <v>bebe</v>
      </c>
    </row>
    <row r="33614">
      <c r="A33614" s="1" t="s">
        <v>33613</v>
      </c>
      <c r="B33614" s="2" t="str">
        <f>IFERROR(__xludf.DUMMYFUNCTION("GOOGLETRANSLATE(A33614, ""de"", ""en"")"),"family")</f>
        <v>family</v>
      </c>
    </row>
    <row r="33615">
      <c r="A33615" s="1" t="s">
        <v>33614</v>
      </c>
      <c r="B33615" s="2" t="str">
        <f>IFERROR(__xludf.DUMMYFUNCTION("GOOGLETRANSLATE(A33615, ""de"", ""en"")"),"reject")</f>
        <v>reject</v>
      </c>
    </row>
    <row r="33616">
      <c r="A33616" s="1" t="s">
        <v>33615</v>
      </c>
      <c r="B33616" s="2" t="str">
        <f>IFERROR(__xludf.DUMMYFUNCTION("GOOGLETRANSLATE(A33616, ""de"", ""en"")"),"guesses")</f>
        <v>guesses</v>
      </c>
    </row>
    <row r="33617">
      <c r="A33617" s="1" t="s">
        <v>33616</v>
      </c>
      <c r="B33617" s="2" t="str">
        <f>IFERROR(__xludf.DUMMYFUNCTION("GOOGLETRANSLATE(A33617, ""de"", ""en"")"),"describe")</f>
        <v>describe</v>
      </c>
    </row>
    <row r="33618">
      <c r="A33618" s="1" t="s">
        <v>33617</v>
      </c>
      <c r="B33618" s="2" t="str">
        <f>IFERROR(__xludf.DUMMYFUNCTION("GOOGLETRANSLATE(A33618, ""de"", ""en"")"),"moved")</f>
        <v>moved</v>
      </c>
    </row>
    <row r="33619">
      <c r="A33619" s="1" t="s">
        <v>33618</v>
      </c>
      <c r="B33619" s="2" t="str">
        <f>IFERROR(__xludf.DUMMYFUNCTION("GOOGLETRANSLATE(A33619, ""de"", ""en"")"),"junk")</f>
        <v>junk</v>
      </c>
    </row>
    <row r="33620">
      <c r="A33620" s="1" t="s">
        <v>33619</v>
      </c>
      <c r="B33620" s="2" t="str">
        <f>IFERROR(__xludf.DUMMYFUNCTION("GOOGLETRANSLATE(A33620, ""de"", ""en"")"),"plato")</f>
        <v>plato</v>
      </c>
    </row>
    <row r="33621">
      <c r="A33621" s="1" t="s">
        <v>33620</v>
      </c>
      <c r="B33621" s="2" t="str">
        <f>IFERROR(__xludf.DUMMYFUNCTION("GOOGLETRANSLATE(A33621, ""de"", ""en"")"),"large")</f>
        <v>large</v>
      </c>
    </row>
    <row r="33622">
      <c r="A33622" s="1" t="s">
        <v>33621</v>
      </c>
      <c r="B33622" s="2" t="str">
        <f>IFERROR(__xludf.DUMMYFUNCTION("GOOGLETRANSLATE(A33622, ""de"", ""en"")"),"image")</f>
        <v>image</v>
      </c>
    </row>
    <row r="33623">
      <c r="A33623" s="1" t="s">
        <v>33622</v>
      </c>
      <c r="B33623" s="2" t="str">
        <f>IFERROR(__xludf.DUMMYFUNCTION("GOOGLETRANSLATE(A33623, ""de"", ""en"")"),"rowland")</f>
        <v>rowland</v>
      </c>
    </row>
    <row r="33624">
      <c r="A33624" s="1" t="s">
        <v>33623</v>
      </c>
      <c r="B33624" s="2" t="str">
        <f>IFERROR(__xludf.DUMMYFUNCTION("GOOGLETRANSLATE(A33624, ""de"", ""en"")"),"sy")</f>
        <v>sy</v>
      </c>
    </row>
    <row r="33625">
      <c r="A33625" s="1" t="s">
        <v>33624</v>
      </c>
      <c r="B33625" s="2" t="str">
        <f>IFERROR(__xludf.DUMMYFUNCTION("GOOGLETRANSLATE(A33625, ""de"", ""en"")"),"marriage certificate")</f>
        <v>marriage certificate</v>
      </c>
    </row>
    <row r="33626">
      <c r="A33626" s="1" t="s">
        <v>33625</v>
      </c>
      <c r="B33626" s="2" t="str">
        <f>IFERROR(__xludf.DUMMYFUNCTION("GOOGLETRANSLATE(A33626, ""de"", ""en"")"),"pesticides")</f>
        <v>pesticides</v>
      </c>
    </row>
    <row r="33627">
      <c r="A33627" s="1" t="s">
        <v>33626</v>
      </c>
      <c r="B33627" s="2" t="str">
        <f>IFERROR(__xludf.DUMMYFUNCTION("GOOGLETRANSLATE(A33627, ""de"", ""en"")"),"Astaire")</f>
        <v>Astaire</v>
      </c>
    </row>
    <row r="33628">
      <c r="A33628" s="1" t="s">
        <v>33627</v>
      </c>
      <c r="B33628" s="2" t="str">
        <f>IFERROR(__xludf.DUMMYFUNCTION("GOOGLETRANSLATE(A33628, ""de"", ""en"")"),"ugliness")</f>
        <v>ugliness</v>
      </c>
    </row>
    <row r="33629">
      <c r="A33629" s="1" t="s">
        <v>33628</v>
      </c>
      <c r="B33629" s="2" t="str">
        <f>IFERROR(__xludf.DUMMYFUNCTION("GOOGLETRANSLATE(A33629, ""de"", ""en"")"),"no")</f>
        <v>no</v>
      </c>
    </row>
    <row r="33630">
      <c r="A33630" s="1" t="s">
        <v>33629</v>
      </c>
      <c r="B33630" s="2" t="str">
        <f>IFERROR(__xludf.DUMMYFUNCTION("GOOGLETRANSLATE(A33630, ""de"", ""en"")"),"coy")</f>
        <v>coy</v>
      </c>
    </row>
    <row r="33631">
      <c r="A33631" s="1" t="s">
        <v>33630</v>
      </c>
      <c r="B33631" s="2" t="str">
        <f>IFERROR(__xludf.DUMMYFUNCTION("GOOGLETRANSLATE(A33631, ""de"", ""en"")"),"relocated")</f>
        <v>relocated</v>
      </c>
    </row>
    <row r="33632">
      <c r="A33632" s="1" t="s">
        <v>33631</v>
      </c>
      <c r="B33632" s="2" t="str">
        <f>IFERROR(__xludf.DUMMYFUNCTION("GOOGLETRANSLATE(A33632, ""de"", ""en"")"),"mysterious")</f>
        <v>mysterious</v>
      </c>
    </row>
    <row r="33633">
      <c r="A33633" s="1" t="s">
        <v>33632</v>
      </c>
      <c r="B33633" s="2" t="str">
        <f>IFERROR(__xludf.DUMMYFUNCTION("GOOGLETRANSLATE(A33633, ""de"", ""en"")"),"amounts")</f>
        <v>amounts</v>
      </c>
    </row>
    <row r="33634">
      <c r="A33634" s="1" t="s">
        <v>33633</v>
      </c>
      <c r="B33634" s="2" t="str">
        <f>IFERROR(__xludf.DUMMYFUNCTION("GOOGLETRANSLATE(A33634, ""de"", ""en"")"),"for the purpose")</f>
        <v>for the purpose</v>
      </c>
    </row>
    <row r="33635">
      <c r="A33635" s="1" t="s">
        <v>33634</v>
      </c>
      <c r="B33635" s="2" t="str">
        <f>IFERROR(__xludf.DUMMYFUNCTION("GOOGLETRANSLATE(A33635, ""de"", ""en"")"),"stay overnight")</f>
        <v>stay overnight</v>
      </c>
    </row>
    <row r="33636">
      <c r="A33636" s="1" t="s">
        <v>33635</v>
      </c>
      <c r="B33636" s="2" t="str">
        <f>IFERROR(__xludf.DUMMYFUNCTION("GOOGLETRANSLATE(A33636, ""de"", ""en"")"),"hyatt")</f>
        <v>hyatt</v>
      </c>
    </row>
    <row r="33637">
      <c r="A33637" s="1" t="s">
        <v>33636</v>
      </c>
      <c r="B33637" s="2" t="str">
        <f>IFERROR(__xludf.DUMMYFUNCTION("GOOGLETRANSLATE(A33637, ""de"", ""en"")"),"horn ox")</f>
        <v>horn ox</v>
      </c>
    </row>
    <row r="33638">
      <c r="A33638" s="1" t="s">
        <v>33637</v>
      </c>
      <c r="B33638" s="2" t="str">
        <f>IFERROR(__xludf.DUMMYFUNCTION("GOOGLETRANSLATE(A33638, ""de"", ""en"")"),"night long")</f>
        <v>night long</v>
      </c>
    </row>
    <row r="33639">
      <c r="A33639" s="1" t="s">
        <v>33638</v>
      </c>
      <c r="B33639" s="2" t="str">
        <f>IFERROR(__xludf.DUMMYFUNCTION("GOOGLETRANSLATE(A33639, ""de"", ""en"")"),"new addition")</f>
        <v>new addition</v>
      </c>
    </row>
    <row r="33640">
      <c r="A33640" s="1" t="s">
        <v>33639</v>
      </c>
      <c r="B33640" s="2" t="str">
        <f>IFERROR(__xludf.DUMMYFUNCTION("GOOGLETRANSLATE(A33640, ""de"", ""en"")"),"faisal")</f>
        <v>faisal</v>
      </c>
    </row>
    <row r="33641">
      <c r="A33641" s="1" t="s">
        <v>33640</v>
      </c>
      <c r="B33641" s="2" t="str">
        <f>IFERROR(__xludf.DUMMYFUNCTION("GOOGLETRANSLATE(A33641, ""de"", ""en"")"),"manipulative")</f>
        <v>manipulative</v>
      </c>
    </row>
    <row r="33642">
      <c r="A33642" s="1" t="s">
        <v>33641</v>
      </c>
      <c r="B33642" s="2" t="str">
        <f>IFERROR(__xludf.DUMMYFUNCTION("GOOGLETRANSLATE(A33642, ""de"", ""en"")"),"most important")</f>
        <v>most important</v>
      </c>
    </row>
    <row r="33643">
      <c r="A33643" s="1" t="s">
        <v>33642</v>
      </c>
      <c r="B33643" s="2" t="str">
        <f>IFERROR(__xludf.DUMMYFUNCTION("GOOGLETRANSLATE(A33643, ""de"", ""en"")"),"p.d.")</f>
        <v>p.d.</v>
      </c>
    </row>
    <row r="33644">
      <c r="A33644" s="1" t="s">
        <v>33643</v>
      </c>
      <c r="B33644" s="2" t="str">
        <f>IFERROR(__xludf.DUMMYFUNCTION("GOOGLETRANSLATE(A33644, ""de"", ""en"")"),"adorable")</f>
        <v>adorable</v>
      </c>
    </row>
    <row r="33645">
      <c r="A33645" s="1" t="s">
        <v>33644</v>
      </c>
      <c r="B33645" s="2" t="str">
        <f>IFERROR(__xludf.DUMMYFUNCTION("GOOGLETRANSLATE(A33645, ""de"", ""en"")"),"acceptable")</f>
        <v>acceptable</v>
      </c>
    </row>
    <row r="33646">
      <c r="A33646" s="1" t="s">
        <v>33645</v>
      </c>
      <c r="B33646" s="2" t="str">
        <f>IFERROR(__xludf.DUMMYFUNCTION("GOOGLETRANSLATE(A33646, ""de"", ""en"")"),"sailed")</f>
        <v>sailed</v>
      </c>
    </row>
    <row r="33647">
      <c r="A33647" s="1" t="s">
        <v>33646</v>
      </c>
      <c r="B33647" s="2" t="str">
        <f>IFERROR(__xludf.DUMMYFUNCTION("GOOGLETRANSLATE(A33647, ""de"", ""en"")"),"glasses snake")</f>
        <v>glasses snake</v>
      </c>
    </row>
    <row r="33648">
      <c r="A33648" s="1" t="s">
        <v>33647</v>
      </c>
      <c r="B33648" s="2" t="str">
        <f>IFERROR(__xludf.DUMMYFUNCTION("GOOGLETRANSLATE(A33648, ""de"", ""en"")"),"coup")</f>
        <v>coup</v>
      </c>
    </row>
    <row r="33649">
      <c r="A33649" s="1" t="s">
        <v>33648</v>
      </c>
      <c r="B33649" s="2" t="str">
        <f>IFERROR(__xludf.DUMMYFUNCTION("GOOGLETRANSLATE(A33649, ""de"", ""en"")"),"washed off")</f>
        <v>washed off</v>
      </c>
    </row>
    <row r="33650">
      <c r="A33650" s="1" t="s">
        <v>33649</v>
      </c>
      <c r="B33650" s="2" t="str">
        <f>IFERROR(__xludf.DUMMYFUNCTION("GOOGLETRANSLATE(A33650, ""de"", ""en"")"),"loaded")</f>
        <v>loaded</v>
      </c>
    </row>
    <row r="33651">
      <c r="A33651" s="1" t="s">
        <v>33650</v>
      </c>
      <c r="B33651" s="2" t="str">
        <f>IFERROR(__xludf.DUMMYFUNCTION("GOOGLETRANSLATE(A33651, ""de"", ""en"")"),"saras")</f>
        <v>saras</v>
      </c>
    </row>
    <row r="33652">
      <c r="A33652" s="1" t="s">
        <v>33651</v>
      </c>
      <c r="B33652" s="2" t="str">
        <f>IFERROR(__xludf.DUMMYFUNCTION("GOOGLETRANSLATE(A33652, ""de"", ""en"")"),"michima")</f>
        <v>michima</v>
      </c>
    </row>
    <row r="33653">
      <c r="A33653" s="1" t="s">
        <v>33652</v>
      </c>
      <c r="B33653" s="2" t="str">
        <f>IFERROR(__xludf.DUMMYFUNCTION("GOOGLETRANSLATE(A33653, ""de"", ""en"")"),"mauser")</f>
        <v>mauser</v>
      </c>
    </row>
    <row r="33654">
      <c r="A33654" s="1" t="s">
        <v>33653</v>
      </c>
      <c r="B33654" s="2" t="str">
        <f>IFERROR(__xludf.DUMMYFUNCTION("GOOGLETRANSLATE(A33654, ""de"", ""en"")"),"content of life")</f>
        <v>content of life</v>
      </c>
    </row>
    <row r="33655">
      <c r="A33655" s="1" t="s">
        <v>33654</v>
      </c>
      <c r="B33655" s="2" t="str">
        <f>IFERROR(__xludf.DUMMYFUNCTION("GOOGLETRANSLATE(A33655, ""de"", ""en"")"),"recreated")</f>
        <v>recreated</v>
      </c>
    </row>
    <row r="33656">
      <c r="A33656" s="1" t="s">
        <v>33655</v>
      </c>
      <c r="B33656" s="2" t="str">
        <f>IFERROR(__xludf.DUMMYFUNCTION("GOOGLETRANSLATE(A33656, ""de"", ""en"")"),"looked")</f>
        <v>looked</v>
      </c>
    </row>
    <row r="33657">
      <c r="A33657" s="1" t="s">
        <v>33656</v>
      </c>
      <c r="B33657" s="2" t="str">
        <f>IFERROR(__xludf.DUMMYFUNCTION("GOOGLETRANSLATE(A33657, ""de"", ""en"")"),"spectator")</f>
        <v>spectator</v>
      </c>
    </row>
    <row r="33658">
      <c r="A33658" s="1" t="s">
        <v>33657</v>
      </c>
      <c r="B33658" s="2" t="str">
        <f>IFERROR(__xludf.DUMMYFUNCTION("GOOGLETRANSLATE(A33658, ""de"", ""en"")"),"hines")</f>
        <v>hines</v>
      </c>
    </row>
    <row r="33659">
      <c r="A33659" s="1" t="s">
        <v>33658</v>
      </c>
      <c r="B33659" s="2" t="str">
        <f>IFERROR(__xludf.DUMMYFUNCTION("GOOGLETRANSLATE(A33659, ""de"", ""en"")"),"Khasinau")</f>
        <v>Khasinau</v>
      </c>
    </row>
    <row r="33660">
      <c r="A33660" s="1" t="s">
        <v>33659</v>
      </c>
      <c r="B33660" s="2" t="str">
        <f>IFERROR(__xludf.DUMMYFUNCTION("GOOGLETRANSLATE(A33660, ""de"", ""en"")"),"proper")</f>
        <v>proper</v>
      </c>
    </row>
    <row r="33661">
      <c r="A33661" s="1" t="s">
        <v>33660</v>
      </c>
      <c r="B33661" s="2" t="str">
        <f>IFERROR(__xludf.DUMMYFUNCTION("GOOGLETRANSLATE(A33661, ""de"", ""en"")"),"aphrodisiac")</f>
        <v>aphrodisiac</v>
      </c>
    </row>
    <row r="33662">
      <c r="A33662" s="1" t="s">
        <v>33661</v>
      </c>
      <c r="B33662" s="2" t="str">
        <f>IFERROR(__xludf.DUMMYFUNCTION("GOOGLETRANSLATE(A33662, ""de"", ""en"")"),"useful")</f>
        <v>useful</v>
      </c>
    </row>
    <row r="33663">
      <c r="A33663" s="1" t="s">
        <v>33662</v>
      </c>
      <c r="B33663" s="2" t="str">
        <f>IFERROR(__xludf.DUMMYFUNCTION("GOOGLETRANSLATE(A33663, ""de"", ""en"")"),"zobelle")</f>
        <v>zobelle</v>
      </c>
    </row>
    <row r="33664">
      <c r="A33664" s="1" t="s">
        <v>33663</v>
      </c>
      <c r="B33664" s="2" t="str">
        <f>IFERROR(__xludf.DUMMYFUNCTION("GOOGLETRANSLATE(A33664, ""de"", ""en"")"),"delicate")</f>
        <v>delicate</v>
      </c>
    </row>
    <row r="33665">
      <c r="A33665" s="1" t="s">
        <v>33664</v>
      </c>
      <c r="B33665" s="2" t="str">
        <f>IFERROR(__xludf.DUMMYFUNCTION("GOOGLETRANSLATE(A33665, ""de"", ""en"")"),"pushed")</f>
        <v>pushed</v>
      </c>
    </row>
    <row r="33666">
      <c r="A33666" s="1" t="s">
        <v>33665</v>
      </c>
      <c r="B33666" s="2" t="str">
        <f>IFERROR(__xludf.DUMMYFUNCTION("GOOGLETRANSLATE(A33666, ""de"", ""en"")"),"snored")</f>
        <v>snored</v>
      </c>
    </row>
    <row r="33667">
      <c r="A33667" s="1" t="s">
        <v>33666</v>
      </c>
      <c r="B33667" s="2" t="str">
        <f>IFERROR(__xludf.DUMMYFUNCTION("GOOGLETRANSLATE(A33667, ""de"", ""en"")"),"rudels")</f>
        <v>rudels</v>
      </c>
    </row>
    <row r="33668">
      <c r="A33668" s="1" t="s">
        <v>33667</v>
      </c>
      <c r="B33668" s="2" t="str">
        <f>IFERROR(__xludf.DUMMYFUNCTION("GOOGLETRANSLATE(A33668, ""de"", ""en"")"),"to let off")</f>
        <v>to let off</v>
      </c>
    </row>
    <row r="33669">
      <c r="A33669" s="1" t="s">
        <v>33668</v>
      </c>
      <c r="B33669" s="2" t="str">
        <f>IFERROR(__xludf.DUMMYFUNCTION("GOOGLETRANSLATE(A33669, ""de"", ""en"")"),"Eugene")</f>
        <v>Eugene</v>
      </c>
    </row>
    <row r="33670">
      <c r="A33670" s="1" t="s">
        <v>33669</v>
      </c>
      <c r="B33670" s="2" t="str">
        <f>IFERROR(__xludf.DUMMYFUNCTION("GOOGLETRANSLATE(A33670, ""de"", ""en"")"),"skull")</f>
        <v>skull</v>
      </c>
    </row>
    <row r="33671">
      <c r="A33671" s="1" t="s">
        <v>33670</v>
      </c>
      <c r="B33671" s="2" t="str">
        <f>IFERROR(__xludf.DUMMYFUNCTION("GOOGLETRANSLATE(A33671, ""de"", ""en"")"),"pee")</f>
        <v>pee</v>
      </c>
    </row>
    <row r="33672">
      <c r="A33672" s="1" t="s">
        <v>33671</v>
      </c>
      <c r="B33672" s="2" t="str">
        <f>IFERROR(__xludf.DUMMYFUNCTION("GOOGLETRANSLATE(A33672, ""de"", ""en"")"),"medical records")</f>
        <v>medical records</v>
      </c>
    </row>
    <row r="33673">
      <c r="A33673" s="1" t="s">
        <v>33672</v>
      </c>
      <c r="B33673" s="2" t="str">
        <f>IFERROR(__xludf.DUMMYFUNCTION("GOOGLETRANSLATE(A33673, ""de"", ""en"")"),"goldfish")</f>
        <v>goldfish</v>
      </c>
    </row>
    <row r="33674">
      <c r="A33674" s="1" t="s">
        <v>33673</v>
      </c>
      <c r="B33674" s="2" t="str">
        <f>IFERROR(__xludf.DUMMYFUNCTION("GOOGLETRANSLATE(A33674, ""de"", ""en"")"),"fuji")</f>
        <v>fuji</v>
      </c>
    </row>
    <row r="33675">
      <c r="A33675" s="1" t="s">
        <v>33674</v>
      </c>
      <c r="B33675" s="2" t="str">
        <f>IFERROR(__xludf.DUMMYFUNCTION("GOOGLETRANSLATE(A33675, ""de"", ""en"")"),"warp speed")</f>
        <v>warp speed</v>
      </c>
    </row>
    <row r="33676">
      <c r="A33676" s="1" t="s">
        <v>33675</v>
      </c>
      <c r="B33676" s="2" t="str">
        <f>IFERROR(__xludf.DUMMYFUNCTION("GOOGLETRANSLATE(A33676, ""de"", ""en"")"),"straighten")</f>
        <v>straighten</v>
      </c>
    </row>
    <row r="33677">
      <c r="A33677" s="1" t="s">
        <v>33676</v>
      </c>
      <c r="B33677" s="2" t="str">
        <f>IFERROR(__xludf.DUMMYFUNCTION("GOOGLETRANSLATE(A33677, ""de"", ""en"")"),"currents")</f>
        <v>currents</v>
      </c>
    </row>
    <row r="33678">
      <c r="A33678" s="1" t="s">
        <v>33677</v>
      </c>
      <c r="B33678" s="2" t="str">
        <f>IFERROR(__xludf.DUMMYFUNCTION("GOOGLETRANSLATE(A33678, ""de"", ""en"")"),"go ahead")</f>
        <v>go ahead</v>
      </c>
    </row>
    <row r="33679">
      <c r="A33679" s="1" t="s">
        <v>33678</v>
      </c>
      <c r="B33679" s="2" t="str">
        <f>IFERROR(__xludf.DUMMYFUNCTION("GOOGLETRANSLATE(A33679, ""de"", ""en"")"),"bog")</f>
        <v>bog</v>
      </c>
    </row>
    <row r="33680">
      <c r="A33680" s="1" t="s">
        <v>33679</v>
      </c>
      <c r="B33680" s="2" t="str">
        <f>IFERROR(__xludf.DUMMYFUNCTION("GOOGLETRANSLATE(A33680, ""de"", ""en"")"),"shot")</f>
        <v>shot</v>
      </c>
    </row>
    <row r="33681">
      <c r="A33681" s="1" t="s">
        <v>33680</v>
      </c>
      <c r="B33681" s="2" t="str">
        <f>IFERROR(__xludf.DUMMYFUNCTION("GOOGLETRANSLATE(A33681, ""de"", ""en"")"),"functional")</f>
        <v>functional</v>
      </c>
    </row>
    <row r="33682">
      <c r="A33682" s="1" t="s">
        <v>33681</v>
      </c>
      <c r="B33682" s="2" t="str">
        <f>IFERROR(__xludf.DUMMYFUNCTION("GOOGLETRANSLATE(A33682, ""de"", ""en"")"),"Tatyana")</f>
        <v>Tatyana</v>
      </c>
    </row>
    <row r="33683">
      <c r="A33683" s="1" t="s">
        <v>33682</v>
      </c>
      <c r="B33683" s="2" t="str">
        <f>IFERROR(__xludf.DUMMYFUNCTION("GOOGLETRANSLATE(A33683, ""de"", ""en"")"),"discussed")</f>
        <v>discussed</v>
      </c>
    </row>
    <row r="33684">
      <c r="A33684" s="1" t="s">
        <v>33683</v>
      </c>
      <c r="B33684" s="2" t="str">
        <f>IFERROR(__xludf.DUMMYFUNCTION("GOOGLETRANSLATE(A33684, ""de"", ""en"")"),"raved")</f>
        <v>raved</v>
      </c>
    </row>
    <row r="33685">
      <c r="A33685" s="1" t="s">
        <v>33684</v>
      </c>
      <c r="B33685" s="2" t="str">
        <f>IFERROR(__xludf.DUMMYFUNCTION("GOOGLETRANSLATE(A33685, ""de"", ""en"")"),"opposing")</f>
        <v>opposing</v>
      </c>
    </row>
    <row r="33686">
      <c r="A33686" s="1" t="s">
        <v>33685</v>
      </c>
      <c r="B33686" s="2" t="str">
        <f>IFERROR(__xludf.DUMMYFUNCTION("GOOGLETRANSLATE(A33686, ""de"", ""en"")"),"sponsored")</f>
        <v>sponsored</v>
      </c>
    </row>
    <row r="33687">
      <c r="A33687" s="1" t="s">
        <v>33686</v>
      </c>
      <c r="B33687" s="2" t="str">
        <f>IFERROR(__xludf.DUMMYFUNCTION("GOOGLETRANSLATE(A33687, ""de"", ""en"")"),"ptbs")</f>
        <v>ptbs</v>
      </c>
    </row>
    <row r="33688">
      <c r="A33688" s="1" t="s">
        <v>33687</v>
      </c>
      <c r="B33688" s="2" t="str">
        <f>IFERROR(__xludf.DUMMYFUNCTION("GOOGLETRANSLATE(A33688, ""de"", ""en"")"),"Sebastian")</f>
        <v>Sebastian</v>
      </c>
    </row>
    <row r="33689">
      <c r="A33689" s="1" t="s">
        <v>33688</v>
      </c>
      <c r="B33689" s="2" t="str">
        <f>IFERROR(__xludf.DUMMYFUNCTION("GOOGLETRANSLATE(A33689, ""de"", ""en"")"),"standish")</f>
        <v>standish</v>
      </c>
    </row>
    <row r="33690">
      <c r="A33690" s="1" t="s">
        <v>33689</v>
      </c>
      <c r="B33690" s="2" t="str">
        <f>IFERROR(__xludf.DUMMYFUNCTION("GOOGLETRANSLATE(A33690, ""de"", ""en"")"),"dominated")</f>
        <v>dominated</v>
      </c>
    </row>
    <row r="33691">
      <c r="A33691" s="1" t="s">
        <v>33690</v>
      </c>
      <c r="B33691" s="2" t="str">
        <f>IFERROR(__xludf.DUMMYFUNCTION("GOOGLETRANSLATE(A33691, ""de"", ""en"")"),"vector")</f>
        <v>vector</v>
      </c>
    </row>
    <row r="33692">
      <c r="A33692" s="1" t="s">
        <v>33691</v>
      </c>
      <c r="B33692" s="2" t="str">
        <f>IFERROR(__xludf.DUMMYFUNCTION("GOOGLETRANSLATE(A33692, ""de"", ""en"")"),"Indian")</f>
        <v>Indian</v>
      </c>
    </row>
    <row r="33693">
      <c r="A33693" s="1" t="s">
        <v>33692</v>
      </c>
      <c r="B33693" s="2" t="str">
        <f>IFERROR(__xludf.DUMMYFUNCTION("GOOGLETRANSLATE(A33693, ""de"", ""en"")"),"found out")</f>
        <v>found out</v>
      </c>
    </row>
    <row r="33694">
      <c r="A33694" s="1" t="s">
        <v>33693</v>
      </c>
      <c r="B33694" s="2" t="str">
        <f>IFERROR(__xludf.DUMMYFUNCTION("GOOGLETRANSLATE(A33694, ""de"", ""en"")"),"suffering")</f>
        <v>suffering</v>
      </c>
    </row>
    <row r="33695">
      <c r="A33695" s="1" t="s">
        <v>33694</v>
      </c>
      <c r="B33695" s="2" t="str">
        <f>IFERROR(__xludf.DUMMYFUNCTION("GOOGLETRANSLATE(A33695, ""de"", ""en"")"),"gru")</f>
        <v>gru</v>
      </c>
    </row>
    <row r="33696">
      <c r="A33696" s="1" t="s">
        <v>33695</v>
      </c>
      <c r="B33696" s="2" t="str">
        <f>IFERROR(__xludf.DUMMYFUNCTION("GOOGLETRANSLATE(A33696, ""de"", ""en"")"),"childish")</f>
        <v>childish</v>
      </c>
    </row>
    <row r="33697">
      <c r="A33697" s="1" t="s">
        <v>33696</v>
      </c>
      <c r="B33697" s="2" t="str">
        <f>IFERROR(__xludf.DUMMYFUNCTION("GOOGLETRANSLATE(A33697, ""de"", ""en"")"),"prairie")</f>
        <v>prairie</v>
      </c>
    </row>
    <row r="33698">
      <c r="A33698" s="1" t="s">
        <v>33697</v>
      </c>
      <c r="B33698" s="2" t="str">
        <f>IFERROR(__xludf.DUMMYFUNCTION("GOOGLETRANSLATE(A33698, ""de"", ""en"")"),"on her part")</f>
        <v>on her part</v>
      </c>
    </row>
    <row r="33699">
      <c r="A33699" s="1" t="s">
        <v>33698</v>
      </c>
      <c r="B33699" s="2" t="str">
        <f>IFERROR(__xludf.DUMMYFUNCTION("GOOGLETRANSLATE(A33699, ""de"", ""en"")"),"Indian")</f>
        <v>Indian</v>
      </c>
    </row>
    <row r="33700">
      <c r="A33700" s="1" t="s">
        <v>33699</v>
      </c>
      <c r="B33700" s="2" t="str">
        <f>IFERROR(__xludf.DUMMYFUNCTION("GOOGLETRANSLATE(A33700, ""de"", ""en"")"),"supernatural")</f>
        <v>supernatural</v>
      </c>
    </row>
    <row r="33701">
      <c r="A33701" s="1" t="s">
        <v>33700</v>
      </c>
      <c r="B33701" s="2" t="str">
        <f>IFERROR(__xludf.DUMMYFUNCTION("GOOGLETRANSLATE(A33701, ""de"", ""en"")"),"sociopaths")</f>
        <v>sociopaths</v>
      </c>
    </row>
    <row r="33702">
      <c r="A33702" s="1" t="s">
        <v>33701</v>
      </c>
      <c r="B33702" s="2" t="str">
        <f>IFERROR(__xludf.DUMMYFUNCTION("GOOGLETRANSLATE(A33702, ""de"", ""en"")"),"brigadier")</f>
        <v>brigadier</v>
      </c>
    </row>
    <row r="33703">
      <c r="A33703" s="1" t="s">
        <v>33702</v>
      </c>
      <c r="B33703" s="2" t="str">
        <f>IFERROR(__xludf.DUMMYFUNCTION("GOOGLETRANSLATE(A33703, ""de"", ""en"")"),"zhen")</f>
        <v>zhen</v>
      </c>
    </row>
    <row r="33704">
      <c r="A33704" s="1" t="s">
        <v>33703</v>
      </c>
      <c r="B33704" s="2" t="str">
        <f>IFERROR(__xludf.DUMMYFUNCTION("GOOGLETRANSLATE(A33704, ""de"", ""en"")"),"photo album")</f>
        <v>photo album</v>
      </c>
    </row>
    <row r="33705">
      <c r="A33705" s="1" t="s">
        <v>33704</v>
      </c>
      <c r="B33705" s="2" t="str">
        <f>IFERROR(__xludf.DUMMYFUNCTION("GOOGLETRANSLATE(A33705, ""de"", ""en"")"),"training camp")</f>
        <v>training camp</v>
      </c>
    </row>
    <row r="33706">
      <c r="A33706" s="1" t="s">
        <v>33705</v>
      </c>
      <c r="B33706" s="2" t="str">
        <f>IFERROR(__xludf.DUMMYFUNCTION("GOOGLETRANSLATE(A33706, ""de"", ""en"")"),"one-eyed")</f>
        <v>one-eyed</v>
      </c>
    </row>
    <row r="33707">
      <c r="A33707" s="1" t="s">
        <v>33706</v>
      </c>
      <c r="B33707" s="2" t="str">
        <f>IFERROR(__xludf.DUMMYFUNCTION("GOOGLETRANSLATE(A33707, ""de"", ""en"")"),"pretend")</f>
        <v>pretend</v>
      </c>
    </row>
    <row r="33708">
      <c r="A33708" s="1" t="s">
        <v>33707</v>
      </c>
      <c r="B33708" s="2" t="str">
        <f>IFERROR(__xludf.DUMMYFUNCTION("GOOGLETRANSLATE(A33708, ""de"", ""en"")"),"felt")</f>
        <v>felt</v>
      </c>
    </row>
    <row r="33709">
      <c r="A33709" s="1" t="s">
        <v>33708</v>
      </c>
      <c r="B33709" s="2" t="str">
        <f>IFERROR(__xludf.DUMMYFUNCTION("GOOGLETRANSLATE(A33709, ""de"", ""en"")"),"air shaft")</f>
        <v>air shaft</v>
      </c>
    </row>
    <row r="33710">
      <c r="A33710" s="1" t="s">
        <v>33709</v>
      </c>
      <c r="B33710" s="2" t="str">
        <f>IFERROR(__xludf.DUMMYFUNCTION("GOOGLETRANSLATE(A33710, ""de"", ""en"")"),"equal")</f>
        <v>equal</v>
      </c>
    </row>
    <row r="33711">
      <c r="A33711" s="1" t="s">
        <v>33710</v>
      </c>
      <c r="B33711" s="2" t="str">
        <f>IFERROR(__xludf.DUMMYFUNCTION("GOOGLETRANSLATE(A33711, ""de"", ""en"")"),"outlast")</f>
        <v>outlast</v>
      </c>
    </row>
    <row r="33712">
      <c r="A33712" s="1" t="s">
        <v>33711</v>
      </c>
      <c r="B33712" s="2" t="str">
        <f>IFERROR(__xludf.DUMMYFUNCTION("GOOGLETRANSLATE(A33712, ""de"", ""en"")"),"Sepp")</f>
        <v>Sepp</v>
      </c>
    </row>
    <row r="33713">
      <c r="A33713" s="1" t="s">
        <v>33712</v>
      </c>
      <c r="B33713" s="2" t="str">
        <f>IFERROR(__xludf.DUMMYFUNCTION("GOOGLETRANSLATE(A33713, ""de"", ""en"")"),"yeti")</f>
        <v>yeti</v>
      </c>
    </row>
    <row r="33714">
      <c r="A33714" s="1" t="s">
        <v>33713</v>
      </c>
      <c r="B33714" s="2" t="str">
        <f>IFERROR(__xludf.DUMMYFUNCTION("GOOGLETRANSLATE(A33714, ""de"", ""en"")"),"euphemia")</f>
        <v>euphemia</v>
      </c>
    </row>
    <row r="33715">
      <c r="A33715" s="1" t="s">
        <v>33714</v>
      </c>
      <c r="B33715" s="2" t="str">
        <f>IFERROR(__xludf.DUMMYFUNCTION("GOOGLETRANSLATE(A33715, ""de"", ""en"")"),"radio messages")</f>
        <v>radio messages</v>
      </c>
    </row>
    <row r="33716">
      <c r="A33716" s="1" t="s">
        <v>33715</v>
      </c>
      <c r="B33716" s="2" t="str">
        <f>IFERROR(__xludf.DUMMYFUNCTION("GOOGLETRANSLATE(A33716, ""de"", ""en"")"),"sewage")</f>
        <v>sewage</v>
      </c>
    </row>
    <row r="33717">
      <c r="A33717" s="1" t="s">
        <v>33716</v>
      </c>
      <c r="B33717" s="2" t="str">
        <f>IFERROR(__xludf.DUMMYFUNCTION("GOOGLETRANSLATE(A33717, ""de"", ""en"")"),"blasphemy")</f>
        <v>blasphemy</v>
      </c>
    </row>
    <row r="33718">
      <c r="A33718" s="1" t="s">
        <v>33717</v>
      </c>
      <c r="B33718" s="2" t="str">
        <f>IFERROR(__xludf.DUMMYFUNCTION("GOOGLETRANSLATE(A33718, ""de"", ""en"")"),"efficient")</f>
        <v>efficient</v>
      </c>
    </row>
    <row r="33719">
      <c r="A33719" s="1" t="s">
        <v>33718</v>
      </c>
      <c r="B33719" s="2" t="str">
        <f>IFERROR(__xludf.DUMMYFUNCTION("GOOGLETRANSLATE(A33719, ""de"", ""en"")"),"open up")</f>
        <v>open up</v>
      </c>
    </row>
    <row r="33720">
      <c r="A33720" s="1" t="s">
        <v>33719</v>
      </c>
      <c r="B33720" s="2" t="str">
        <f>IFERROR(__xludf.DUMMYFUNCTION("GOOGLETRANSLATE(A33720, ""de"", ""en"")"),"understanding")</f>
        <v>understanding</v>
      </c>
    </row>
    <row r="33721">
      <c r="A33721" s="1" t="s">
        <v>33720</v>
      </c>
      <c r="B33721" s="2" t="str">
        <f>IFERROR(__xludf.DUMMYFUNCTION("GOOGLETRANSLATE(A33721, ""de"", ""en"")"),"mendacious")</f>
        <v>mendacious</v>
      </c>
    </row>
    <row r="33722">
      <c r="A33722" s="1" t="s">
        <v>33721</v>
      </c>
      <c r="B33722" s="2" t="str">
        <f>IFERROR(__xludf.DUMMYFUNCTION("GOOGLETRANSLATE(A33722, ""de"", ""en"")"),"annies")</f>
        <v>annies</v>
      </c>
    </row>
    <row r="33723">
      <c r="A33723" s="1" t="s">
        <v>33722</v>
      </c>
      <c r="B33723" s="2" t="str">
        <f>IFERROR(__xludf.DUMMYFUNCTION("GOOGLETRANSLATE(A33723, ""de"", ""en"")"),"received")</f>
        <v>received</v>
      </c>
    </row>
    <row r="33724">
      <c r="A33724" s="1" t="s">
        <v>33723</v>
      </c>
      <c r="B33724" s="2" t="str">
        <f>IFERROR(__xludf.DUMMYFUNCTION("GOOGLETRANSLATE(A33724, ""de"", ""en"")"),"smoke out")</f>
        <v>smoke out</v>
      </c>
    </row>
    <row r="33725">
      <c r="A33725" s="1" t="s">
        <v>33724</v>
      </c>
      <c r="B33725" s="2" t="str">
        <f>IFERROR(__xludf.DUMMYFUNCTION("GOOGLETRANSLATE(A33725, ""de"", ""en"")"),"Rachel")</f>
        <v>Rachel</v>
      </c>
    </row>
    <row r="33726">
      <c r="A33726" s="1" t="s">
        <v>33725</v>
      </c>
      <c r="B33726" s="2" t="str">
        <f>IFERROR(__xludf.DUMMYFUNCTION("GOOGLETRANSLATE(A33726, ""de"", ""en"")"),"complete")</f>
        <v>complete</v>
      </c>
    </row>
    <row r="33727">
      <c r="A33727" s="1" t="s">
        <v>33726</v>
      </c>
      <c r="B33727" s="2" t="str">
        <f>IFERROR(__xludf.DUMMYFUNCTION("GOOGLETRANSLATE(A33727, ""de"", ""en"")"),"among others")</f>
        <v>among others</v>
      </c>
    </row>
    <row r="33728">
      <c r="A33728" s="1" t="s">
        <v>33727</v>
      </c>
      <c r="B33728" s="2" t="str">
        <f>IFERROR(__xludf.DUMMYFUNCTION("GOOGLETRANSLATE(A33728, ""de"", ""en"")"),"you teach")</f>
        <v>you teach</v>
      </c>
    </row>
    <row r="33729">
      <c r="A33729" s="1" t="s">
        <v>33728</v>
      </c>
      <c r="B33729" s="2" t="str">
        <f>IFERROR(__xludf.DUMMYFUNCTION("GOOGLETRANSLATE(A33729, ""de"", ""en"")"),"stormy")</f>
        <v>stormy</v>
      </c>
    </row>
    <row r="33730">
      <c r="A33730" s="1" t="s">
        <v>33729</v>
      </c>
      <c r="B33730" s="2" t="str">
        <f>IFERROR(__xludf.DUMMYFUNCTION("GOOGLETRANSLATE(A33730, ""de"", ""en"")"),"sin")</f>
        <v>sin</v>
      </c>
    </row>
    <row r="33731">
      <c r="A33731" s="1" t="s">
        <v>33730</v>
      </c>
      <c r="B33731" s="2" t="str">
        <f>IFERROR(__xludf.DUMMYFUNCTION("GOOGLETRANSLATE(A33731, ""de"", ""en"")"),"chuckie")</f>
        <v>chuckie</v>
      </c>
    </row>
    <row r="33732">
      <c r="A33732" s="1" t="s">
        <v>33731</v>
      </c>
      <c r="B33732" s="2" t="str">
        <f>IFERROR(__xludf.DUMMYFUNCTION("GOOGLETRANSLATE(A33732, ""de"", ""en"")"),"kept out")</f>
        <v>kept out</v>
      </c>
    </row>
    <row r="33733">
      <c r="A33733" s="1" t="s">
        <v>33732</v>
      </c>
      <c r="B33733" s="2" t="str">
        <f>IFERROR(__xludf.DUMMYFUNCTION("GOOGLETRANSLATE(A33733, ""de"", ""en"")"),"kyles")</f>
        <v>kyles</v>
      </c>
    </row>
    <row r="33734">
      <c r="A33734" s="1" t="s">
        <v>33733</v>
      </c>
      <c r="B33734" s="2" t="str">
        <f>IFERROR(__xludf.DUMMYFUNCTION("GOOGLETRANSLATE(A33734, ""de"", ""en"")"),"honorable")</f>
        <v>honorable</v>
      </c>
    </row>
    <row r="33735">
      <c r="A33735" s="1" t="s">
        <v>33734</v>
      </c>
      <c r="B33735" s="2" t="str">
        <f>IFERROR(__xludf.DUMMYFUNCTION("GOOGLETRANSLATE(A33735, ""de"", ""en"")"),"eyesight")</f>
        <v>eyesight</v>
      </c>
    </row>
    <row r="33736">
      <c r="A33736" s="1" t="s">
        <v>33735</v>
      </c>
      <c r="B33736" s="2" t="str">
        <f>IFERROR(__xludf.DUMMYFUNCTION("GOOGLETRANSLATE(A33736, ""de"", ""en"")"),"humidity")</f>
        <v>humidity</v>
      </c>
    </row>
    <row r="33737">
      <c r="A33737" s="1" t="s">
        <v>33736</v>
      </c>
      <c r="B33737" s="2" t="str">
        <f>IFERROR(__xludf.DUMMYFUNCTION("GOOGLETRANSLATE(A33737, ""de"", ""en"")"),"chatter")</f>
        <v>chatter</v>
      </c>
    </row>
    <row r="33738">
      <c r="A33738" s="1" t="s">
        <v>33737</v>
      </c>
      <c r="B33738" s="2" t="str">
        <f>IFERROR(__xludf.DUMMYFUNCTION("GOOGLETRANSLATE(A33738, ""de"", ""en"")"),"sacks")</f>
        <v>sacks</v>
      </c>
    </row>
    <row r="33739">
      <c r="A33739" s="1" t="s">
        <v>33738</v>
      </c>
      <c r="B33739" s="2" t="str">
        <f>IFERROR(__xludf.DUMMYFUNCTION("GOOGLETRANSLATE(A33739, ""de"", ""en"")"),"com")</f>
        <v>com</v>
      </c>
    </row>
    <row r="33740">
      <c r="A33740" s="1" t="s">
        <v>33739</v>
      </c>
      <c r="B33740" s="2" t="str">
        <f>IFERROR(__xludf.DUMMYFUNCTION("GOOGLETRANSLATE(A33740, ""de"", ""en"")"),"to perceive")</f>
        <v>to perceive</v>
      </c>
    </row>
    <row r="33741">
      <c r="A33741" s="1" t="s">
        <v>33740</v>
      </c>
      <c r="B33741" s="2" t="str">
        <f>IFERROR(__xludf.DUMMYFUNCTION("GOOGLETRANSLATE(A33741, ""de"", ""en"")"),"helens")</f>
        <v>helens</v>
      </c>
    </row>
    <row r="33742">
      <c r="A33742" s="1" t="s">
        <v>33741</v>
      </c>
      <c r="B33742" s="2" t="str">
        <f>IFERROR(__xludf.DUMMYFUNCTION("GOOGLETRANSLATE(A33742, ""de"", ""en"")"),"approved")</f>
        <v>approved</v>
      </c>
    </row>
    <row r="33743">
      <c r="A33743" s="1" t="s">
        <v>33742</v>
      </c>
      <c r="B33743" s="2" t="str">
        <f>IFERROR(__xludf.DUMMYFUNCTION("GOOGLETRANSLATE(A33743, ""de"", ""en"")"),"do it")</f>
        <v>do it</v>
      </c>
    </row>
    <row r="33744">
      <c r="A33744" s="1" t="s">
        <v>33743</v>
      </c>
      <c r="B33744" s="2" t="str">
        <f>IFERROR(__xludf.DUMMYFUNCTION("GOOGLETRANSLATE(A33744, ""de"", ""en"")"),"hand grenades")</f>
        <v>hand grenades</v>
      </c>
    </row>
    <row r="33745">
      <c r="A33745" s="1" t="s">
        <v>33744</v>
      </c>
      <c r="B33745" s="2" t="str">
        <f>IFERROR(__xludf.DUMMYFUNCTION("GOOGLETRANSLATE(A33745, ""de"", ""en"")"),"along")</f>
        <v>along</v>
      </c>
    </row>
    <row r="33746">
      <c r="A33746" s="1" t="s">
        <v>33745</v>
      </c>
      <c r="B33746" s="2" t="str">
        <f>IFERROR(__xludf.DUMMYFUNCTION("GOOGLETRANSLATE(A33746, ""de"", ""en"")"),"lard")</f>
        <v>lard</v>
      </c>
    </row>
    <row r="33747">
      <c r="A33747" s="1" t="s">
        <v>33746</v>
      </c>
      <c r="B33747" s="2" t="str">
        <f>IFERROR(__xludf.DUMMYFUNCTION("GOOGLETRANSLATE(A33747, ""de"", ""en"")"),"understudy")</f>
        <v>understudy</v>
      </c>
    </row>
    <row r="33748">
      <c r="A33748" s="1" t="s">
        <v>33747</v>
      </c>
      <c r="B33748" s="2" t="str">
        <f>IFERROR(__xludf.DUMMYFUNCTION("GOOGLETRANSLATE(A33748, ""de"", ""en"")"),"brightest")</f>
        <v>brightest</v>
      </c>
    </row>
    <row r="33749">
      <c r="A33749" s="1" t="s">
        <v>33748</v>
      </c>
      <c r="B33749" s="2" t="str">
        <f>IFERROR(__xludf.DUMMYFUNCTION("GOOGLETRANSLATE(A33749, ""de"", ""en"")"),"detergent")</f>
        <v>detergent</v>
      </c>
    </row>
    <row r="33750">
      <c r="A33750" s="1" t="s">
        <v>33749</v>
      </c>
      <c r="B33750" s="2" t="str">
        <f>IFERROR(__xludf.DUMMYFUNCTION("GOOGLETRANSLATE(A33750, ""de"", ""en"")"),"night duty")</f>
        <v>night duty</v>
      </c>
    </row>
    <row r="33751">
      <c r="A33751" s="1" t="s">
        <v>33750</v>
      </c>
      <c r="B33751" s="2" t="str">
        <f>IFERROR(__xludf.DUMMYFUNCTION("GOOGLETRANSLATE(A33751, ""de"", ""en"")"),"said goodbye")</f>
        <v>said goodbye</v>
      </c>
    </row>
    <row r="33752">
      <c r="A33752" s="1" t="s">
        <v>33751</v>
      </c>
      <c r="B33752" s="2" t="str">
        <f>IFERROR(__xludf.DUMMYFUNCTION("GOOGLETRANSLATE(A33752, ""de"", ""en"")"),"slimmer")</f>
        <v>slimmer</v>
      </c>
    </row>
    <row r="33753">
      <c r="A33753" s="1" t="s">
        <v>33752</v>
      </c>
      <c r="B33753" s="2" t="str">
        <f>IFERROR(__xludf.DUMMYFUNCTION("GOOGLETRANSLATE(A33753, ""de"", ""en"")"),"haqqani")</f>
        <v>haqqani</v>
      </c>
    </row>
    <row r="33754">
      <c r="A33754" s="1" t="s">
        <v>33753</v>
      </c>
      <c r="B33754" s="2" t="str">
        <f>IFERROR(__xludf.DUMMYFUNCTION("GOOGLETRANSLATE(A33754, ""de"", ""en"")"),"aperture")</f>
        <v>aperture</v>
      </c>
    </row>
    <row r="33755">
      <c r="A33755" s="1" t="s">
        <v>33754</v>
      </c>
      <c r="B33755" s="2" t="str">
        <f>IFERROR(__xludf.DUMMYFUNCTION("GOOGLETRANSLATE(A33755, ""de"", ""en"")"),"monogamy")</f>
        <v>monogamy</v>
      </c>
    </row>
    <row r="33756">
      <c r="A33756" s="1" t="s">
        <v>33755</v>
      </c>
      <c r="B33756" s="2" t="str">
        <f>IFERROR(__xludf.DUMMYFUNCTION("GOOGLETRANSLATE(A33756, ""de"", ""en"")"),"disk")</f>
        <v>disk</v>
      </c>
    </row>
    <row r="33757">
      <c r="A33757" s="1" t="s">
        <v>33756</v>
      </c>
      <c r="B33757" s="2" t="str">
        <f>IFERROR(__xludf.DUMMYFUNCTION("GOOGLETRANSLATE(A33757, ""de"", ""en"")"),"proceeds")</f>
        <v>proceeds</v>
      </c>
    </row>
    <row r="33758">
      <c r="A33758" s="1" t="s">
        <v>33757</v>
      </c>
      <c r="B33758" s="2" t="str">
        <f>IFERROR(__xludf.DUMMYFUNCTION("GOOGLETRANSLATE(A33758, ""de"", ""en"")"),"tee")</f>
        <v>tee</v>
      </c>
    </row>
    <row r="33759">
      <c r="A33759" s="1" t="s">
        <v>33758</v>
      </c>
      <c r="B33759" s="2" t="str">
        <f>IFERROR(__xludf.DUMMYFUNCTION("GOOGLETRANSLATE(A33759, ""de"", ""en"")"),"burritos")</f>
        <v>burritos</v>
      </c>
    </row>
    <row r="33760">
      <c r="A33760" s="1" t="s">
        <v>33759</v>
      </c>
      <c r="B33760" s="2" t="str">
        <f>IFERROR(__xludf.DUMMYFUNCTION("GOOGLETRANSLATE(A33760, ""de"", ""en"")"),"tense up")</f>
        <v>tense up</v>
      </c>
    </row>
    <row r="33761">
      <c r="A33761" s="1" t="s">
        <v>33760</v>
      </c>
      <c r="B33761" s="2" t="str">
        <f>IFERROR(__xludf.DUMMYFUNCTION("GOOGLETRANSLATE(A33761, ""de"", ""en"")"),"moving")</f>
        <v>moving</v>
      </c>
    </row>
    <row r="33762">
      <c r="A33762" s="1" t="s">
        <v>33761</v>
      </c>
      <c r="B33762" s="2" t="str">
        <f>IFERROR(__xludf.DUMMYFUNCTION("GOOGLETRANSLATE(A33762, ""de"", ""en"")"),"danforth")</f>
        <v>danforth</v>
      </c>
    </row>
    <row r="33763">
      <c r="A33763" s="1" t="s">
        <v>33762</v>
      </c>
      <c r="B33763" s="2" t="str">
        <f>IFERROR(__xludf.DUMMYFUNCTION("GOOGLETRANSLATE(A33763, ""de"", ""en"")"),"sneakers")</f>
        <v>sneakers</v>
      </c>
    </row>
    <row r="33764">
      <c r="A33764" s="1" t="s">
        <v>33763</v>
      </c>
      <c r="B33764" s="2" t="str">
        <f>IFERROR(__xludf.DUMMYFUNCTION("GOOGLETRANSLATE(A33764, ""de"", ""en"")"),"cyrano")</f>
        <v>cyrano</v>
      </c>
    </row>
    <row r="33765">
      <c r="A33765" s="1" t="s">
        <v>33764</v>
      </c>
      <c r="B33765" s="2" t="str">
        <f>IFERROR(__xludf.DUMMYFUNCTION("GOOGLETRANSLATE(A33765, ""de"", ""en"")"),"graduation year")</f>
        <v>graduation year</v>
      </c>
    </row>
    <row r="33766">
      <c r="A33766" s="1" t="s">
        <v>33765</v>
      </c>
      <c r="B33766" s="2" t="str">
        <f>IFERROR(__xludf.DUMMYFUNCTION("GOOGLETRANSLATE(A33766, ""de"", ""en"")"),"loves")</f>
        <v>loves</v>
      </c>
    </row>
    <row r="33767">
      <c r="A33767" s="1" t="s">
        <v>33766</v>
      </c>
      <c r="B33767" s="2" t="str">
        <f>IFERROR(__xludf.DUMMYFUNCTION("GOOGLETRANSLATE(A33767, ""de"", ""en"")"),"the same")</f>
        <v>the same</v>
      </c>
    </row>
    <row r="33768">
      <c r="A33768" s="1" t="s">
        <v>33767</v>
      </c>
      <c r="B33768" s="2" t="str">
        <f>IFERROR(__xludf.DUMMYFUNCTION("GOOGLETRANSLATE(A33768, ""de"", ""en"")"),"swimming pool")</f>
        <v>swimming pool</v>
      </c>
    </row>
    <row r="33769">
      <c r="A33769" s="1" t="s">
        <v>33768</v>
      </c>
      <c r="B33769" s="2" t="str">
        <f>IFERROR(__xludf.DUMMYFUNCTION("GOOGLETRANSLATE(A33769, ""de"", ""en"")"),"radio traffic")</f>
        <v>radio traffic</v>
      </c>
    </row>
    <row r="33770">
      <c r="A33770" s="1" t="s">
        <v>33769</v>
      </c>
      <c r="B33770" s="2" t="str">
        <f>IFERROR(__xludf.DUMMYFUNCTION("GOOGLETRANSLATE(A33770, ""de"", ""en"")"),"braden")</f>
        <v>braden</v>
      </c>
    </row>
    <row r="33771">
      <c r="A33771" s="1" t="s">
        <v>33770</v>
      </c>
      <c r="B33771" s="2" t="str">
        <f>IFERROR(__xludf.DUMMYFUNCTION("GOOGLETRANSLATE(A33771, ""de"", ""en"")"),"irregularities")</f>
        <v>irregularities</v>
      </c>
    </row>
    <row r="33772">
      <c r="A33772" s="1" t="s">
        <v>33771</v>
      </c>
      <c r="B33772" s="2" t="str">
        <f>IFERROR(__xludf.DUMMYFUNCTION("GOOGLETRANSLATE(A33772, ""de"", ""en"")"),"garden gnome")</f>
        <v>garden gnome</v>
      </c>
    </row>
    <row r="33773">
      <c r="A33773" s="1" t="s">
        <v>33772</v>
      </c>
      <c r="B33773" s="2" t="str">
        <f>IFERROR(__xludf.DUMMYFUNCTION("GOOGLETRANSLATE(A33773, ""de"", ""en"")"),"nosedive")</f>
        <v>nosedive</v>
      </c>
    </row>
    <row r="33774">
      <c r="A33774" s="1" t="s">
        <v>33773</v>
      </c>
      <c r="B33774" s="2" t="str">
        <f>IFERROR(__xludf.DUMMYFUNCTION("GOOGLETRANSLATE(A33774, ""de"", ""en"")"),"to be on the safe side")</f>
        <v>to be on the safe side</v>
      </c>
    </row>
    <row r="33775">
      <c r="A33775" s="1" t="s">
        <v>33774</v>
      </c>
      <c r="B33775" s="2" t="str">
        <f>IFERROR(__xludf.DUMMYFUNCTION("GOOGLETRANSLATE(A33775, ""de"", ""en"")"),"stoddard")</f>
        <v>stoddard</v>
      </c>
    </row>
    <row r="33776">
      <c r="A33776" s="1" t="s">
        <v>33775</v>
      </c>
      <c r="B33776" s="2" t="str">
        <f>IFERROR(__xludf.DUMMYFUNCTION("GOOGLETRANSLATE(A33776, ""de"", ""en"")"),"cube")</f>
        <v>cube</v>
      </c>
    </row>
    <row r="33777">
      <c r="A33777" s="1" t="s">
        <v>33776</v>
      </c>
      <c r="B33777" s="2" t="str">
        <f>IFERROR(__xludf.DUMMYFUNCTION("GOOGLETRANSLATE(A33777, ""de"", ""en"")"),"hoho")</f>
        <v>hoho</v>
      </c>
    </row>
    <row r="33778">
      <c r="A33778" s="1" t="s">
        <v>33777</v>
      </c>
      <c r="B33778" s="2" t="str">
        <f>IFERROR(__xludf.DUMMYFUNCTION("GOOGLETRANSLATE(A33778, ""de"", ""en"")"),"medication")</f>
        <v>medication</v>
      </c>
    </row>
    <row r="33779">
      <c r="A33779" s="1" t="s">
        <v>33778</v>
      </c>
      <c r="B33779" s="2" t="str">
        <f>IFERROR(__xludf.DUMMYFUNCTION("GOOGLETRANSLATE(A33779, ""de"", ""en"")"),"hospice")</f>
        <v>hospice</v>
      </c>
    </row>
    <row r="33780">
      <c r="A33780" s="1" t="s">
        <v>33779</v>
      </c>
      <c r="B33780" s="2" t="str">
        <f>IFERROR(__xludf.DUMMYFUNCTION("GOOGLETRANSLATE(A33780, ""de"", ""en"")"),"ratted out")</f>
        <v>ratted out</v>
      </c>
    </row>
    <row r="33781">
      <c r="A33781" s="1" t="s">
        <v>33780</v>
      </c>
      <c r="B33781" s="2" t="str">
        <f>IFERROR(__xludf.DUMMYFUNCTION("GOOGLETRANSLATE(A33781, ""de"", ""en"")"),"door buzzer")</f>
        <v>door buzzer</v>
      </c>
    </row>
    <row r="33782">
      <c r="A33782" s="1" t="s">
        <v>33781</v>
      </c>
      <c r="B33782" s="2" t="str">
        <f>IFERROR(__xludf.DUMMYFUNCTION("GOOGLETRANSLATE(A33782, ""de"", ""en"")"),"transparent")</f>
        <v>transparent</v>
      </c>
    </row>
    <row r="33783">
      <c r="A33783" s="1" t="s">
        <v>33782</v>
      </c>
      <c r="B33783" s="2" t="str">
        <f>IFERROR(__xludf.DUMMYFUNCTION("GOOGLETRANSLATE(A33783, ""de"", ""en"")"),"nymphomaniac")</f>
        <v>nymphomaniac</v>
      </c>
    </row>
    <row r="33784">
      <c r="A33784" s="1" t="s">
        <v>33783</v>
      </c>
      <c r="B33784" s="2" t="str">
        <f>IFERROR(__xludf.DUMMYFUNCTION("GOOGLETRANSLATE(A33784, ""de"", ""en"")"),"violence")</f>
        <v>violence</v>
      </c>
    </row>
    <row r="33785">
      <c r="A33785" s="1" t="s">
        <v>33784</v>
      </c>
      <c r="B33785" s="2" t="str">
        <f>IFERROR(__xludf.DUMMYFUNCTION("GOOGLETRANSLATE(A33785, ""de"", ""en"")"),"accessed")</f>
        <v>accessed</v>
      </c>
    </row>
    <row r="33786">
      <c r="A33786" s="1" t="s">
        <v>33785</v>
      </c>
      <c r="B33786" s="2" t="str">
        <f>IFERROR(__xludf.DUMMYFUNCTION("GOOGLETRANSLATE(A33786, ""de"", ""en"")"),"saints")</f>
        <v>saints</v>
      </c>
    </row>
    <row r="33787">
      <c r="A33787" s="1" t="s">
        <v>33786</v>
      </c>
      <c r="B33787" s="2" t="str">
        <f>IFERROR(__xludf.DUMMYFUNCTION("GOOGLETRANSLATE(A33787, ""de"", ""en"")"),"Good heavens")</f>
        <v>Good heavens</v>
      </c>
    </row>
    <row r="33788">
      <c r="A33788" s="1" t="s">
        <v>33787</v>
      </c>
      <c r="B33788" s="2" t="str">
        <f>IFERROR(__xludf.DUMMYFUNCTION("GOOGLETRANSLATE(A33788, ""de"", ""en"")"),"blinked")</f>
        <v>blinked</v>
      </c>
    </row>
    <row r="33789">
      <c r="A33789" s="1" t="s">
        <v>33788</v>
      </c>
      <c r="B33789" s="2" t="str">
        <f>IFERROR(__xludf.DUMMYFUNCTION("GOOGLETRANSLATE(A33789, ""de"", ""en"")"),"to cope")</f>
        <v>to cope</v>
      </c>
    </row>
    <row r="33790">
      <c r="A33790" s="1" t="s">
        <v>33789</v>
      </c>
      <c r="B33790" s="2" t="str">
        <f>IFERROR(__xludf.DUMMYFUNCTION("GOOGLETRANSLATE(A33790, ""de"", ""en"")"),"washed away")</f>
        <v>washed away</v>
      </c>
    </row>
    <row r="33791">
      <c r="A33791" s="1" t="s">
        <v>33790</v>
      </c>
      <c r="B33791" s="2" t="str">
        <f>IFERROR(__xludf.DUMMYFUNCTION("GOOGLETRANSLATE(A33791, ""de"", ""en"")"),"longingly")</f>
        <v>longingly</v>
      </c>
    </row>
    <row r="33792">
      <c r="A33792" s="1" t="s">
        <v>33791</v>
      </c>
      <c r="B33792" s="2" t="str">
        <f>IFERROR(__xludf.DUMMYFUNCTION("GOOGLETRANSLATE(A33792, ""de"", ""en"")"),"crossed")</f>
        <v>crossed</v>
      </c>
    </row>
    <row r="33793">
      <c r="A33793" s="1" t="s">
        <v>33792</v>
      </c>
      <c r="B33793" s="2" t="str">
        <f>IFERROR(__xludf.DUMMYFUNCTION("GOOGLETRANSLATE(A33793, ""de"", ""en"")"),"governor")</f>
        <v>governor</v>
      </c>
    </row>
    <row r="33794">
      <c r="A33794" s="1" t="s">
        <v>33793</v>
      </c>
      <c r="B33794" s="2" t="str">
        <f>IFERROR(__xludf.DUMMYFUNCTION("GOOGLETRANSLATE(A33794, ""de"", ""en"")"),"engraver")</f>
        <v>engraver</v>
      </c>
    </row>
    <row r="33795">
      <c r="A33795" s="1" t="s">
        <v>33794</v>
      </c>
      <c r="B33795" s="2" t="str">
        <f>IFERROR(__xludf.DUMMYFUNCTION("GOOGLETRANSLATE(A33795, ""de"", ""en"")"),"lucilla")</f>
        <v>lucilla</v>
      </c>
    </row>
    <row r="33796">
      <c r="A33796" s="1" t="s">
        <v>33795</v>
      </c>
      <c r="B33796" s="2" t="str">
        <f>IFERROR(__xludf.DUMMYFUNCTION("GOOGLETRANSLATE(A33796, ""de"", ""en"")"),"abstract")</f>
        <v>abstract</v>
      </c>
    </row>
    <row r="33797">
      <c r="A33797" s="1" t="s">
        <v>33796</v>
      </c>
      <c r="B33797" s="2" t="str">
        <f>IFERROR(__xludf.DUMMYFUNCTION("GOOGLETRANSLATE(A33797, ""de"", ""en"")"),"neurons")</f>
        <v>neurons</v>
      </c>
    </row>
    <row r="33798">
      <c r="A33798" s="1" t="s">
        <v>33797</v>
      </c>
      <c r="B33798" s="2" t="str">
        <f>IFERROR(__xludf.DUMMYFUNCTION("GOOGLETRANSLATE(A33798, ""de"", ""en"")"),"coo")</f>
        <v>coo</v>
      </c>
    </row>
    <row r="33799">
      <c r="A33799" s="1" t="s">
        <v>33798</v>
      </c>
      <c r="B33799" s="2" t="str">
        <f>IFERROR(__xludf.DUMMYFUNCTION("GOOGLETRANSLATE(A33799, ""de"", ""en"")"),"meeks")</f>
        <v>meeks</v>
      </c>
    </row>
    <row r="33800">
      <c r="A33800" s="1" t="s">
        <v>33799</v>
      </c>
      <c r="B33800" s="2" t="str">
        <f>IFERROR(__xludf.DUMMYFUNCTION("GOOGLETRANSLATE(A33800, ""de"", ""en"")"),"ice cream sundae")</f>
        <v>ice cream sundae</v>
      </c>
    </row>
    <row r="33801">
      <c r="A33801" s="1" t="s">
        <v>33800</v>
      </c>
      <c r="B33801" s="2" t="str">
        <f>IFERROR(__xludf.DUMMYFUNCTION("GOOGLETRANSLATE(A33801, ""de"", ""en"")"),"taken out")</f>
        <v>taken out</v>
      </c>
    </row>
    <row r="33802">
      <c r="A33802" s="1" t="s">
        <v>33801</v>
      </c>
      <c r="B33802" s="2" t="str">
        <f>IFERROR(__xludf.DUMMYFUNCTION("GOOGLETRANSLATE(A33802, ""de"", ""en"")"),"see")</f>
        <v>see</v>
      </c>
    </row>
    <row r="33803">
      <c r="A33803" s="1" t="s">
        <v>33802</v>
      </c>
      <c r="B33803" s="2" t="str">
        <f>IFERROR(__xludf.DUMMYFUNCTION("GOOGLETRANSLATE(A33803, ""de"", ""en"")"),"confession")</f>
        <v>confession</v>
      </c>
    </row>
    <row r="33804">
      <c r="A33804" s="1" t="s">
        <v>33803</v>
      </c>
      <c r="B33804" s="2" t="str">
        <f>IFERROR(__xludf.DUMMYFUNCTION("GOOGLETRANSLATE(A33804, ""de"", ""en"")"),"beame")</f>
        <v>beame</v>
      </c>
    </row>
    <row r="33805">
      <c r="A33805" s="1" t="s">
        <v>33804</v>
      </c>
      <c r="B33805" s="2" t="str">
        <f>IFERROR(__xludf.DUMMYFUNCTION("GOOGLETRANSLATE(A33805, ""de"", ""en"")"),"scrolls")</f>
        <v>scrolls</v>
      </c>
    </row>
    <row r="33806">
      <c r="A33806" s="1" t="s">
        <v>33805</v>
      </c>
      <c r="B33806" s="2" t="str">
        <f>IFERROR(__xludf.DUMMYFUNCTION("GOOGLETRANSLATE(A33806, ""de"", ""en"")"),"deal with")</f>
        <v>deal with</v>
      </c>
    </row>
    <row r="33807">
      <c r="A33807" s="1" t="s">
        <v>33806</v>
      </c>
      <c r="B33807" s="2" t="str">
        <f>IFERROR(__xludf.DUMMYFUNCTION("GOOGLETRANSLATE(A33807, ""de"", ""en"")"),"penitentiary")</f>
        <v>penitentiary</v>
      </c>
    </row>
    <row r="33808">
      <c r="A33808" s="1" t="s">
        <v>33807</v>
      </c>
      <c r="B33808" s="2" t="str">
        <f>IFERROR(__xludf.DUMMYFUNCTION("GOOGLETRANSLATE(A33808, ""de"", ""en"")"),"permanent")</f>
        <v>permanent</v>
      </c>
    </row>
    <row r="33809">
      <c r="A33809" s="1" t="s">
        <v>33808</v>
      </c>
      <c r="B33809" s="2" t="str">
        <f>IFERROR(__xludf.DUMMYFUNCTION("GOOGLETRANSLATE(A33809, ""de"", ""en"")"),"daring")</f>
        <v>daring</v>
      </c>
    </row>
    <row r="33810">
      <c r="A33810" s="1" t="s">
        <v>33809</v>
      </c>
      <c r="B33810" s="2" t="str">
        <f>IFERROR(__xludf.DUMMYFUNCTION("GOOGLETRANSLATE(A33810, ""de"", ""en"")"),"rake")</f>
        <v>rake</v>
      </c>
    </row>
    <row r="33811">
      <c r="A33811" s="1" t="s">
        <v>33810</v>
      </c>
      <c r="B33811" s="2" t="str">
        <f>IFERROR(__xludf.DUMMYFUNCTION("GOOGLETRANSLATE(A33811, ""de"", ""en"")"),"childish")</f>
        <v>childish</v>
      </c>
    </row>
    <row r="33812">
      <c r="A33812" s="1" t="s">
        <v>33811</v>
      </c>
      <c r="B33812" s="2" t="str">
        <f>IFERROR(__xludf.DUMMYFUNCTION("GOOGLETRANSLATE(A33812, ""de"", ""en"")"),"frightened")</f>
        <v>frightened</v>
      </c>
    </row>
    <row r="33813">
      <c r="A33813" s="1" t="s">
        <v>33812</v>
      </c>
      <c r="B33813" s="2" t="str">
        <f>IFERROR(__xludf.DUMMYFUNCTION("GOOGLETRANSLATE(A33813, ""de"", ""en"")"),"palace")</f>
        <v>palace</v>
      </c>
    </row>
    <row r="33814">
      <c r="A33814" s="1" t="s">
        <v>33813</v>
      </c>
      <c r="B33814" s="2" t="str">
        <f>IFERROR(__xludf.DUMMYFUNCTION("GOOGLETRANSLATE(A33814, ""de"", ""en"")"),"alternate")</f>
        <v>alternate</v>
      </c>
    </row>
    <row r="33815">
      <c r="A33815" s="1" t="s">
        <v>33814</v>
      </c>
      <c r="B33815" s="2" t="str">
        <f>IFERROR(__xludf.DUMMYFUNCTION("GOOGLETRANSLATE(A33815, ""de"", ""en"")"),"to hand over")</f>
        <v>to hand over</v>
      </c>
    </row>
    <row r="33816">
      <c r="A33816" s="1" t="s">
        <v>33815</v>
      </c>
      <c r="B33816" s="2" t="str">
        <f>IFERROR(__xludf.DUMMYFUNCTION("GOOGLETRANSLATE(A33816, ""de"", ""en"")"),"overgrown")</f>
        <v>overgrown</v>
      </c>
    </row>
    <row r="33817">
      <c r="A33817" s="1" t="s">
        <v>33816</v>
      </c>
      <c r="B33817" s="2" t="str">
        <f>IFERROR(__xludf.DUMMYFUNCTION("GOOGLETRANSLATE(A33817, ""de"", ""en"")"),"meta")</f>
        <v>meta</v>
      </c>
    </row>
    <row r="33818">
      <c r="A33818" s="1" t="s">
        <v>33817</v>
      </c>
      <c r="B33818" s="2" t="str">
        <f>IFERROR(__xludf.DUMMYFUNCTION("GOOGLETRANSLATE(A33818, ""de"", ""en"")"),"shaken off")</f>
        <v>shaken off</v>
      </c>
    </row>
    <row r="33819">
      <c r="A33819" s="1" t="s">
        <v>33818</v>
      </c>
      <c r="B33819" s="2" t="str">
        <f>IFERROR(__xludf.DUMMYFUNCTION("GOOGLETRANSLATE(A33819, ""de"", ""en"")"),"illuminated")</f>
        <v>illuminated</v>
      </c>
    </row>
    <row r="33820">
      <c r="A33820" s="1" t="s">
        <v>33819</v>
      </c>
      <c r="B33820" s="2" t="str">
        <f>IFERROR(__xludf.DUMMYFUNCTION("GOOGLETRANSLATE(A33820, ""de"", ""en"")"),"fix")</f>
        <v>fix</v>
      </c>
    </row>
    <row r="33821">
      <c r="A33821" s="1" t="s">
        <v>33820</v>
      </c>
      <c r="B33821" s="2" t="str">
        <f>IFERROR(__xludf.DUMMYFUNCTION("GOOGLETRANSLATE(A33821, ""de"", ""en"")"),"pennywise")</f>
        <v>pennywise</v>
      </c>
    </row>
    <row r="33822">
      <c r="A33822" s="1" t="s">
        <v>33821</v>
      </c>
      <c r="B33822" s="2" t="str">
        <f>IFERROR(__xludf.DUMMYFUNCTION("GOOGLETRANSLATE(A33822, ""de"", ""en"")"),"pda")</f>
        <v>pda</v>
      </c>
    </row>
    <row r="33823">
      <c r="A33823" s="1" t="s">
        <v>33822</v>
      </c>
      <c r="B33823" s="2" t="str">
        <f>IFERROR(__xludf.DUMMYFUNCTION("GOOGLETRANSLATE(A33823, ""de"", ""en"")"),"came up")</f>
        <v>came up</v>
      </c>
    </row>
    <row r="33824">
      <c r="A33824" s="1" t="s">
        <v>33823</v>
      </c>
      <c r="B33824" s="2" t="str">
        <f>IFERROR(__xludf.DUMMYFUNCTION("GOOGLETRANSLATE(A33824, ""de"", ""en"")"),"backpacks")</f>
        <v>backpacks</v>
      </c>
    </row>
    <row r="33825">
      <c r="A33825" s="1" t="s">
        <v>33824</v>
      </c>
      <c r="B33825" s="2" t="str">
        <f>IFERROR(__xludf.DUMMYFUNCTION("GOOGLETRANSLATE(A33825, ""de"", ""en"")"),"skis")</f>
        <v>skis</v>
      </c>
    </row>
    <row r="33826">
      <c r="A33826" s="1" t="s">
        <v>33825</v>
      </c>
      <c r="B33826" s="2" t="str">
        <f>IFERROR(__xludf.DUMMYFUNCTION("GOOGLETRANSLATE(A33826, ""de"", ""en"")"),"godchild")</f>
        <v>godchild</v>
      </c>
    </row>
    <row r="33827">
      <c r="A33827" s="1" t="s">
        <v>33826</v>
      </c>
      <c r="B33827" s="2" t="str">
        <f>IFERROR(__xludf.DUMMYFUNCTION("GOOGLETRANSLATE(A33827, ""de"", ""en"")"),"throat")</f>
        <v>throat</v>
      </c>
    </row>
    <row r="33828">
      <c r="A33828" s="1" t="s">
        <v>33827</v>
      </c>
      <c r="B33828" s="2" t="str">
        <f>IFERROR(__xludf.DUMMYFUNCTION("GOOGLETRANSLATE(A33828, ""de"", ""en"")"),"individual")</f>
        <v>individual</v>
      </c>
    </row>
    <row r="33829">
      <c r="A33829" s="1" t="s">
        <v>33828</v>
      </c>
      <c r="B33829" s="2" t="str">
        <f>IFERROR(__xludf.DUMMYFUNCTION("GOOGLETRANSLATE(A33829, ""de"", ""en"")"),"Elodie")</f>
        <v>Elodie</v>
      </c>
    </row>
    <row r="33830">
      <c r="A33830" s="1" t="s">
        <v>33829</v>
      </c>
      <c r="B33830" s="2" t="str">
        <f>IFERROR(__xludf.DUMMYFUNCTION("GOOGLETRANSLATE(A33830, ""de"", ""en"")"),"exposed")</f>
        <v>exposed</v>
      </c>
    </row>
    <row r="33831">
      <c r="A33831" s="1" t="s">
        <v>33830</v>
      </c>
      <c r="B33831" s="2" t="str">
        <f>IFERROR(__xludf.DUMMYFUNCTION("GOOGLETRANSLATE(A33831, ""de"", ""en"")"),"wrists")</f>
        <v>wrists</v>
      </c>
    </row>
    <row r="33832">
      <c r="A33832" s="1" t="s">
        <v>33831</v>
      </c>
      <c r="B33832" s="2" t="str">
        <f>IFERROR(__xludf.DUMMYFUNCTION("GOOGLETRANSLATE(A33832, ""de"", ""en"")"),"holler")</f>
        <v>holler</v>
      </c>
    </row>
    <row r="33833">
      <c r="A33833" s="1" t="s">
        <v>33832</v>
      </c>
      <c r="B33833" s="2" t="str">
        <f>IFERROR(__xludf.DUMMYFUNCTION("GOOGLETRANSLATE(A33833, ""de"", ""en"")"),"fantasy")</f>
        <v>fantasy</v>
      </c>
    </row>
    <row r="33834">
      <c r="A33834" s="1" t="s">
        <v>33833</v>
      </c>
      <c r="B33834" s="2" t="str">
        <f>IFERROR(__xludf.DUMMYFUNCTION("GOOGLETRANSLATE(A33834, ""de"", ""en"")"),"Mongolia")</f>
        <v>Mongolia</v>
      </c>
    </row>
    <row r="33835">
      <c r="A33835" s="1" t="s">
        <v>33834</v>
      </c>
      <c r="B33835" s="2" t="str">
        <f>IFERROR(__xludf.DUMMYFUNCTION("GOOGLETRANSLATE(A33835, ""de"", ""en"")"),"coo")</f>
        <v>coo</v>
      </c>
    </row>
    <row r="33836">
      <c r="A33836" s="1" t="s">
        <v>33835</v>
      </c>
      <c r="B33836" s="2" t="str">
        <f>IFERROR(__xludf.DUMMYFUNCTION("GOOGLETRANSLATE(A33836, ""de"", ""en"")"),"moored")</f>
        <v>moored</v>
      </c>
    </row>
    <row r="33837">
      <c r="A33837" s="1" t="s">
        <v>33836</v>
      </c>
      <c r="B33837" s="2" t="str">
        <f>IFERROR(__xludf.DUMMYFUNCTION("GOOGLETRANSLATE(A33837, ""de"", ""en"")"),"size")</f>
        <v>size</v>
      </c>
    </row>
    <row r="33838">
      <c r="A33838" s="1" t="s">
        <v>33837</v>
      </c>
      <c r="B33838" s="2" t="str">
        <f>IFERROR(__xludf.DUMMYFUNCTION("GOOGLETRANSLATE(A33838, ""de"", ""en"")"),"hannahs")</f>
        <v>hannahs</v>
      </c>
    </row>
    <row r="33839">
      <c r="A33839" s="1" t="s">
        <v>33838</v>
      </c>
      <c r="B33839" s="2" t="str">
        <f>IFERROR(__xludf.DUMMYFUNCTION("GOOGLETRANSLATE(A33839, ""de"", ""en"")"),"sinan")</f>
        <v>sinan</v>
      </c>
    </row>
    <row r="33840">
      <c r="A33840" s="1" t="s">
        <v>33839</v>
      </c>
      <c r="B33840" s="2" t="str">
        <f>IFERROR(__xludf.DUMMYFUNCTION("GOOGLETRANSLATE(A33840, ""de"", ""en"")"),"reserve")</f>
        <v>reserve</v>
      </c>
    </row>
    <row r="33841">
      <c r="A33841" s="1" t="s">
        <v>33840</v>
      </c>
      <c r="B33841" s="2" t="str">
        <f>IFERROR(__xludf.DUMMYFUNCTION("GOOGLETRANSLATE(A33841, ""de"", ""en"")"),"frizzy")</f>
        <v>frizzy</v>
      </c>
    </row>
    <row r="33842">
      <c r="A33842" s="1" t="s">
        <v>33841</v>
      </c>
      <c r="B33842" s="2" t="str">
        <f>IFERROR(__xludf.DUMMYFUNCTION("GOOGLETRANSLATE(A33842, ""de"", ""en"")"),"regulate")</f>
        <v>regulate</v>
      </c>
    </row>
    <row r="33843">
      <c r="A33843" s="1" t="s">
        <v>33842</v>
      </c>
      <c r="B33843" s="2" t="str">
        <f>IFERROR(__xludf.DUMMYFUNCTION("GOOGLETRANSLATE(A33843, ""de"", ""en"")"),"study group")</f>
        <v>study group</v>
      </c>
    </row>
    <row r="33844">
      <c r="A33844" s="1" t="s">
        <v>33843</v>
      </c>
      <c r="B33844" s="2" t="str">
        <f>IFERROR(__xludf.DUMMYFUNCTION("GOOGLETRANSLATE(A33844, ""de"", ""en"")"),"gamma quadrant")</f>
        <v>gamma quadrant</v>
      </c>
    </row>
    <row r="33845">
      <c r="A33845" s="1" t="s">
        <v>33844</v>
      </c>
      <c r="B33845" s="2" t="str">
        <f>IFERROR(__xludf.DUMMYFUNCTION("GOOGLETRANSLATE(A33845, ""de"", ""en"")"),"refused")</f>
        <v>refused</v>
      </c>
    </row>
    <row r="33846">
      <c r="A33846" s="1" t="s">
        <v>33845</v>
      </c>
      <c r="B33846" s="2" t="str">
        <f>IFERROR(__xludf.DUMMYFUNCTION("GOOGLETRANSLATE(A33846, ""de"", ""en"")"),"pollution")</f>
        <v>pollution</v>
      </c>
    </row>
    <row r="33847">
      <c r="A33847" s="1" t="s">
        <v>33846</v>
      </c>
      <c r="B33847" s="2" t="str">
        <f>IFERROR(__xludf.DUMMYFUNCTION("GOOGLETRANSLATE(A33847, ""de"", ""en"")"),"security systems")</f>
        <v>security systems</v>
      </c>
    </row>
    <row r="33848">
      <c r="A33848" s="1" t="s">
        <v>33847</v>
      </c>
      <c r="B33848" s="2" t="str">
        <f>IFERROR(__xludf.DUMMYFUNCTION("GOOGLETRANSLATE(A33848, ""de"", ""en"")"),"herc")</f>
        <v>herc</v>
      </c>
    </row>
    <row r="33849">
      <c r="A33849" s="1" t="s">
        <v>33848</v>
      </c>
      <c r="B33849" s="2" t="str">
        <f>IFERROR(__xludf.DUMMYFUNCTION("GOOGLETRANSLATE(A33849, ""de"", ""en"")"),"undamaged")</f>
        <v>undamaged</v>
      </c>
    </row>
    <row r="33850">
      <c r="A33850" s="1" t="s">
        <v>33849</v>
      </c>
      <c r="B33850" s="2" t="str">
        <f>IFERROR(__xludf.DUMMYFUNCTION("GOOGLETRANSLATE(A33850, ""de"", ""en"")"),"oven")</f>
        <v>oven</v>
      </c>
    </row>
    <row r="33851">
      <c r="A33851" s="1" t="s">
        <v>33850</v>
      </c>
      <c r="B33851" s="2" t="str">
        <f>IFERROR(__xludf.DUMMYFUNCTION("GOOGLETRANSLATE(A33851, ""de"", ""en"")"),"glancing shot")</f>
        <v>glancing shot</v>
      </c>
    </row>
    <row r="33852">
      <c r="A33852" s="1" t="s">
        <v>33851</v>
      </c>
      <c r="B33852" s="2" t="str">
        <f>IFERROR(__xludf.DUMMYFUNCTION("GOOGLETRANSLATE(A33852, ""de"", ""en"")"),"rygel")</f>
        <v>rygel</v>
      </c>
    </row>
    <row r="33853">
      <c r="A33853" s="1" t="s">
        <v>33852</v>
      </c>
      <c r="B33853" s="2" t="str">
        <f>IFERROR(__xludf.DUMMYFUNCTION("GOOGLETRANSLATE(A33853, ""de"", ""en"")"),"female")</f>
        <v>female</v>
      </c>
    </row>
    <row r="33854">
      <c r="A33854" s="1" t="s">
        <v>33853</v>
      </c>
      <c r="B33854" s="2" t="str">
        <f>IFERROR(__xludf.DUMMYFUNCTION("GOOGLETRANSLATE(A33854, ""de"", ""en"")"),"questionable")</f>
        <v>questionable</v>
      </c>
    </row>
    <row r="33855">
      <c r="A33855" s="1" t="s">
        <v>33854</v>
      </c>
      <c r="B33855" s="2" t="str">
        <f>IFERROR(__xludf.DUMMYFUNCTION("GOOGLETRANSLATE(A33855, ""de"", ""en"")"),"minor")</f>
        <v>minor</v>
      </c>
    </row>
    <row r="33856">
      <c r="A33856" s="1" t="s">
        <v>33855</v>
      </c>
      <c r="B33856" s="2" t="str">
        <f>IFERROR(__xludf.DUMMYFUNCTION("GOOGLETRANSLATE(A33856, ""de"", ""en"")"),"theme song")</f>
        <v>theme song</v>
      </c>
    </row>
    <row r="33857">
      <c r="A33857" s="1" t="s">
        <v>33856</v>
      </c>
      <c r="B33857" s="2" t="str">
        <f>IFERROR(__xludf.DUMMYFUNCTION("GOOGLETRANSLATE(A33857, ""de"", ""en"")"),"carefree")</f>
        <v>carefree</v>
      </c>
    </row>
    <row r="33858">
      <c r="A33858" s="1" t="s">
        <v>33857</v>
      </c>
      <c r="B33858" s="2" t="str">
        <f>IFERROR(__xludf.DUMMYFUNCTION("GOOGLETRANSLATE(A33858, ""de"", ""en"")"),"transparency")</f>
        <v>transparency</v>
      </c>
    </row>
    <row r="33859">
      <c r="A33859" s="1" t="s">
        <v>33858</v>
      </c>
      <c r="B33859" s="2" t="str">
        <f>IFERROR(__xludf.DUMMYFUNCTION("GOOGLETRANSLATE(A33859, ""de"", ""en"")"),"painting")</f>
        <v>painting</v>
      </c>
    </row>
    <row r="33860">
      <c r="A33860" s="1" t="s">
        <v>33859</v>
      </c>
      <c r="B33860" s="2" t="str">
        <f>IFERROR(__xludf.DUMMYFUNCTION("GOOGLETRANSLATE(A33860, ""de"", ""en"")"),"reardon")</f>
        <v>reardon</v>
      </c>
    </row>
    <row r="33861">
      <c r="A33861" s="1" t="s">
        <v>33860</v>
      </c>
      <c r="B33861" s="2" t="str">
        <f>IFERROR(__xludf.DUMMYFUNCTION("GOOGLETRANSLATE(A33861, ""de"", ""en"")"),"brought forward")</f>
        <v>brought forward</v>
      </c>
    </row>
    <row r="33862">
      <c r="A33862" s="1" t="s">
        <v>33861</v>
      </c>
      <c r="B33862" s="2" t="str">
        <f>IFERROR(__xludf.DUMMYFUNCTION("GOOGLETRANSLATE(A33862, ""de"", ""en"")"),"recognize")</f>
        <v>recognize</v>
      </c>
    </row>
    <row r="33863">
      <c r="A33863" s="1" t="s">
        <v>33862</v>
      </c>
      <c r="B33863" s="2" t="str">
        <f>IFERROR(__xludf.DUMMYFUNCTION("GOOGLETRANSLATE(A33863, ""de"", ""en"")"),"confessional")</f>
        <v>confessional</v>
      </c>
    </row>
    <row r="33864">
      <c r="A33864" s="1" t="s">
        <v>33863</v>
      </c>
      <c r="B33864" s="2" t="str">
        <f>IFERROR(__xludf.DUMMYFUNCTION("GOOGLETRANSLATE(A33864, ""de"", ""en"")"),"snappy")</f>
        <v>snappy</v>
      </c>
    </row>
    <row r="33865">
      <c r="A33865" s="1" t="s">
        <v>33864</v>
      </c>
      <c r="B33865" s="2" t="str">
        <f>IFERROR(__xludf.DUMMYFUNCTION("GOOGLETRANSLATE(A33865, ""de"", ""en"")"),"paralyzes")</f>
        <v>paralyzes</v>
      </c>
    </row>
    <row r="33866">
      <c r="A33866" s="1" t="s">
        <v>33865</v>
      </c>
      <c r="B33866" s="2" t="str">
        <f>IFERROR(__xludf.DUMMYFUNCTION("GOOGLETRANSLATE(A33866, ""de"", ""en"")"),"presented")</f>
        <v>presented</v>
      </c>
    </row>
    <row r="33867">
      <c r="A33867" s="1" t="s">
        <v>33866</v>
      </c>
      <c r="B33867" s="2" t="str">
        <f>IFERROR(__xludf.DUMMYFUNCTION("GOOGLETRANSLATE(A33867, ""de"", ""en"")"),"receives")</f>
        <v>receives</v>
      </c>
    </row>
    <row r="33868">
      <c r="A33868" s="1" t="s">
        <v>33867</v>
      </c>
      <c r="B33868" s="2" t="str">
        <f>IFERROR(__xludf.DUMMYFUNCTION("GOOGLETRANSLATE(A33868, ""de"", ""en"")"),"selfish")</f>
        <v>selfish</v>
      </c>
    </row>
    <row r="33869">
      <c r="A33869" s="1" t="s">
        <v>33868</v>
      </c>
      <c r="B33869" s="2" t="str">
        <f>IFERROR(__xludf.DUMMYFUNCTION("GOOGLETRANSLATE(A33869, ""de"", ""en"")"),"job search")</f>
        <v>job search</v>
      </c>
    </row>
    <row r="33870">
      <c r="A33870" s="1" t="s">
        <v>33869</v>
      </c>
      <c r="B33870" s="2" t="str">
        <f>IFERROR(__xludf.DUMMYFUNCTION("GOOGLETRANSLATE(A33870, ""de"", ""en"")"),"hansson")</f>
        <v>hansson</v>
      </c>
    </row>
    <row r="33871">
      <c r="A33871" s="1" t="s">
        <v>33870</v>
      </c>
      <c r="B33871" s="2" t="str">
        <f>IFERROR(__xludf.DUMMYFUNCTION("GOOGLETRANSLATE(A33871, ""de"", ""en"")"),"to stop by")</f>
        <v>to stop by</v>
      </c>
    </row>
    <row r="33872">
      <c r="A33872" s="1" t="s">
        <v>33871</v>
      </c>
      <c r="B33872" s="2" t="str">
        <f>IFERROR(__xludf.DUMMYFUNCTION("GOOGLETRANSLATE(A33872, ""de"", ""en"")"),"harmless")</f>
        <v>harmless</v>
      </c>
    </row>
    <row r="33873">
      <c r="A33873" s="1" t="s">
        <v>33872</v>
      </c>
      <c r="B33873" s="2" t="str">
        <f>IFERROR(__xludf.DUMMYFUNCTION("GOOGLETRANSLATE(A33873, ""de"", ""en"")"),"frank")</f>
        <v>frank</v>
      </c>
    </row>
    <row r="33874">
      <c r="A33874" s="1" t="s">
        <v>33873</v>
      </c>
      <c r="B33874" s="2" t="str">
        <f>IFERROR(__xludf.DUMMYFUNCTION("GOOGLETRANSLATE(A33874, ""de"", ""en"")"),"fried egg")</f>
        <v>fried egg</v>
      </c>
    </row>
    <row r="33875">
      <c r="A33875" s="1" t="s">
        <v>33874</v>
      </c>
      <c r="B33875" s="2" t="str">
        <f>IFERROR(__xludf.DUMMYFUNCTION("GOOGLETRANSLATE(A33875, ""de"", ""en"")"),"orgies")</f>
        <v>orgies</v>
      </c>
    </row>
    <row r="33876">
      <c r="A33876" s="1" t="s">
        <v>33875</v>
      </c>
      <c r="B33876" s="2" t="str">
        <f>IFERROR(__xludf.DUMMYFUNCTION("GOOGLETRANSLATE(A33876, ""de"", ""en"")"),"farmhouse")</f>
        <v>farmhouse</v>
      </c>
    </row>
    <row r="33877">
      <c r="A33877" s="1" t="s">
        <v>33876</v>
      </c>
      <c r="B33877" s="2" t="str">
        <f>IFERROR(__xludf.DUMMYFUNCTION("GOOGLETRANSLATE(A33877, ""de"", ""en"")"),"mcpherson")</f>
        <v>mcpherson</v>
      </c>
    </row>
    <row r="33878">
      <c r="A33878" s="1" t="s">
        <v>33877</v>
      </c>
      <c r="B33878" s="2" t="str">
        <f>IFERROR(__xludf.DUMMYFUNCTION("GOOGLETRANSLATE(A33878, ""de"", ""en"")"),"shao")</f>
        <v>shao</v>
      </c>
    </row>
    <row r="33879">
      <c r="A33879" s="1" t="s">
        <v>33878</v>
      </c>
      <c r="B33879" s="2" t="str">
        <f>IFERROR(__xludf.DUMMYFUNCTION("GOOGLETRANSLATE(A33879, ""de"", ""en"")"),"commute")</f>
        <v>commute</v>
      </c>
    </row>
    <row r="33880">
      <c r="A33880" s="1" t="s">
        <v>33879</v>
      </c>
      <c r="B33880" s="2" t="str">
        <f>IFERROR(__xludf.DUMMYFUNCTION("GOOGLETRANSLATE(A33880, ""de"", ""en"")"),"swamp")</f>
        <v>swamp</v>
      </c>
    </row>
    <row r="33881">
      <c r="A33881" s="1" t="s">
        <v>33880</v>
      </c>
      <c r="B33881" s="2" t="str">
        <f>IFERROR(__xludf.DUMMYFUNCTION("GOOGLETRANSLATE(A33881, ""de"", ""en"")"),"liquidate")</f>
        <v>liquidate</v>
      </c>
    </row>
    <row r="33882">
      <c r="A33882" s="1" t="s">
        <v>33881</v>
      </c>
      <c r="B33882" s="2" t="str">
        <f>IFERROR(__xludf.DUMMYFUNCTION("GOOGLETRANSLATE(A33882, ""de"", ""en"")"),"vedek")</f>
        <v>vedek</v>
      </c>
    </row>
    <row r="33883">
      <c r="A33883" s="1" t="s">
        <v>33882</v>
      </c>
      <c r="B33883" s="2" t="str">
        <f>IFERROR(__xludf.DUMMYFUNCTION("GOOGLETRANSLATE(A33883, ""de"", ""en"")"),"chassis")</f>
        <v>chassis</v>
      </c>
    </row>
    <row r="33884">
      <c r="A33884" s="1" t="s">
        <v>33883</v>
      </c>
      <c r="B33884" s="2" t="str">
        <f>IFERROR(__xludf.DUMMYFUNCTION("GOOGLETRANSLATE(A33884, ""de"", ""en"")"),"Wilshire")</f>
        <v>Wilshire</v>
      </c>
    </row>
    <row r="33885">
      <c r="A33885" s="1" t="s">
        <v>33884</v>
      </c>
      <c r="B33885" s="2" t="str">
        <f>IFERROR(__xludf.DUMMYFUNCTION("GOOGLETRANSLATE(A33885, ""de"", ""en"")"),"more sensible")</f>
        <v>more sensible</v>
      </c>
    </row>
    <row r="33886">
      <c r="A33886" s="1" t="s">
        <v>33885</v>
      </c>
      <c r="B33886" s="2" t="str">
        <f>IFERROR(__xludf.DUMMYFUNCTION("GOOGLETRANSLATE(A33886, ""de"", ""en"")"),"astrology")</f>
        <v>astrology</v>
      </c>
    </row>
    <row r="33887">
      <c r="A33887" s="1" t="s">
        <v>33886</v>
      </c>
      <c r="B33887" s="2" t="str">
        <f>IFERROR(__xludf.DUMMYFUNCTION("GOOGLETRANSLATE(A33887, ""de"", ""en"")"),"cynic")</f>
        <v>cynic</v>
      </c>
    </row>
    <row r="33888">
      <c r="A33888" s="1" t="s">
        <v>33887</v>
      </c>
      <c r="B33888" s="2" t="str">
        <f>IFERROR(__xludf.DUMMYFUNCTION("GOOGLETRANSLATE(A33888, ""de"", ""en"")"),"collected")</f>
        <v>collected</v>
      </c>
    </row>
    <row r="33889">
      <c r="A33889" s="1" t="s">
        <v>33888</v>
      </c>
      <c r="B33889" s="2" t="str">
        <f>IFERROR(__xludf.DUMMYFUNCTION("GOOGLETRANSLATE(A33889, ""de"", ""en"")"),"factory")</f>
        <v>factory</v>
      </c>
    </row>
    <row r="33890">
      <c r="A33890" s="1" t="s">
        <v>33889</v>
      </c>
      <c r="B33890" s="2" t="str">
        <f>IFERROR(__xludf.DUMMYFUNCTION("GOOGLETRANSLATE(A33890, ""de"", ""en"")"),"survivalist")</f>
        <v>survivalist</v>
      </c>
    </row>
    <row r="33891">
      <c r="A33891" s="1" t="s">
        <v>33890</v>
      </c>
      <c r="B33891" s="2" t="str">
        <f>IFERROR(__xludf.DUMMYFUNCTION("GOOGLETRANSLATE(A33891, ""de"", ""en"")"),"welcome")</f>
        <v>welcome</v>
      </c>
    </row>
    <row r="33892">
      <c r="A33892" s="1" t="s">
        <v>33891</v>
      </c>
      <c r="B33892" s="2" t="str">
        <f>IFERROR(__xludf.DUMMYFUNCTION("GOOGLETRANSLATE(A33892, ""de"", ""en"")"),"god")</f>
        <v>god</v>
      </c>
    </row>
    <row r="33893">
      <c r="A33893" s="1" t="s">
        <v>33892</v>
      </c>
      <c r="B33893" s="2" t="str">
        <f>IFERROR(__xludf.DUMMYFUNCTION("GOOGLETRANSLATE(A33893, ""de"", ""en"")"),"spank")</f>
        <v>spank</v>
      </c>
    </row>
    <row r="33894">
      <c r="A33894" s="1" t="s">
        <v>33893</v>
      </c>
      <c r="B33894" s="2" t="str">
        <f>IFERROR(__xludf.DUMMYFUNCTION("GOOGLETRANSLATE(A33894, ""de"", ""en"")"),"addicted to drugs")</f>
        <v>addicted to drugs</v>
      </c>
    </row>
    <row r="33895">
      <c r="A33895" s="1" t="s">
        <v>33894</v>
      </c>
      <c r="B33895" s="2" t="str">
        <f>IFERROR(__xludf.DUMMYFUNCTION("GOOGLETRANSLATE(A33895, ""de"", ""en"")"),"icy")</f>
        <v>icy</v>
      </c>
    </row>
    <row r="33896">
      <c r="A33896" s="1" t="s">
        <v>33895</v>
      </c>
      <c r="B33896" s="2" t="str">
        <f>IFERROR(__xludf.DUMMYFUNCTION("GOOGLETRANSLATE(A33896, ""de"", ""en"")"),"met")</f>
        <v>met</v>
      </c>
    </row>
    <row r="33897">
      <c r="A33897" s="1" t="s">
        <v>33896</v>
      </c>
      <c r="B33897" s="2" t="str">
        <f>IFERROR(__xludf.DUMMYFUNCTION("GOOGLETRANSLATE(A33897, ""de"", ""en"")"),"exceed")</f>
        <v>exceed</v>
      </c>
    </row>
    <row r="33898">
      <c r="A33898" s="1" t="s">
        <v>33897</v>
      </c>
      <c r="B33898" s="2" t="str">
        <f>IFERROR(__xludf.DUMMYFUNCTION("GOOGLETRANSLATE(A33898, ""de"", ""en"")"),"people's republic")</f>
        <v>people's republic</v>
      </c>
    </row>
    <row r="33899">
      <c r="A33899" s="1" t="s">
        <v>33898</v>
      </c>
      <c r="B33899" s="2" t="str">
        <f>IFERROR(__xludf.DUMMYFUNCTION("GOOGLETRANSLATE(A33899, ""de"", ""en"")"),"doctor")</f>
        <v>doctor</v>
      </c>
    </row>
    <row r="33900">
      <c r="A33900" s="1" t="s">
        <v>33899</v>
      </c>
      <c r="B33900" s="2" t="str">
        <f>IFERROR(__xludf.DUMMYFUNCTION("GOOGLETRANSLATE(A33900, ""de"", ""en"")"),"nessi")</f>
        <v>nessi</v>
      </c>
    </row>
    <row r="33901">
      <c r="A33901" s="1" t="s">
        <v>33900</v>
      </c>
      <c r="B33901" s="2" t="str">
        <f>IFERROR(__xludf.DUMMYFUNCTION("GOOGLETRANSLATE(A33901, ""de"", ""en"")"),"car dealership")</f>
        <v>car dealership</v>
      </c>
    </row>
    <row r="33902">
      <c r="A33902" s="1" t="s">
        <v>33901</v>
      </c>
      <c r="B33902" s="2" t="str">
        <f>IFERROR(__xludf.DUMMYFUNCTION("GOOGLETRANSLATE(A33902, ""de"", ""en"")"),"shoots")</f>
        <v>shoots</v>
      </c>
    </row>
    <row r="33903">
      <c r="A33903" s="1" t="s">
        <v>33902</v>
      </c>
      <c r="B33903" s="2" t="str">
        <f>IFERROR(__xludf.DUMMYFUNCTION("GOOGLETRANSLATE(A33903, ""de"", ""en"")"),"eulogy")</f>
        <v>eulogy</v>
      </c>
    </row>
    <row r="33904">
      <c r="A33904" s="1" t="s">
        <v>33903</v>
      </c>
      <c r="B33904" s="2" t="str">
        <f>IFERROR(__xludf.DUMMYFUNCTION("GOOGLETRANSLATE(A33904, ""de"", ""en"")"),"skeptic")</f>
        <v>skeptic</v>
      </c>
    </row>
    <row r="33905">
      <c r="A33905" s="1" t="s">
        <v>33904</v>
      </c>
      <c r="B33905" s="2" t="str">
        <f>IFERROR(__xludf.DUMMYFUNCTION("GOOGLETRANSLATE(A33905, ""de"", ""en"")"),"henriksen")</f>
        <v>henriksen</v>
      </c>
    </row>
    <row r="33906">
      <c r="A33906" s="1" t="s">
        <v>33905</v>
      </c>
      <c r="B33906" s="2" t="str">
        <f>IFERROR(__xludf.DUMMYFUNCTION("GOOGLETRANSLATE(A33906, ""de"", ""en"")"),"sheri")</f>
        <v>sheri</v>
      </c>
    </row>
    <row r="33907">
      <c r="A33907" s="1" t="s">
        <v>33906</v>
      </c>
      <c r="B33907" s="2" t="str">
        <f>IFERROR(__xludf.DUMMYFUNCTION("GOOGLETRANSLATE(A33907, ""de"", ""en"")"),"components")</f>
        <v>components</v>
      </c>
    </row>
    <row r="33908">
      <c r="A33908" s="1" t="s">
        <v>33907</v>
      </c>
      <c r="B33908" s="2" t="str">
        <f>IFERROR(__xludf.DUMMYFUNCTION("GOOGLETRANSLATE(A33908, ""de"", ""en"")"),"on this")</f>
        <v>on this</v>
      </c>
    </row>
    <row r="33909">
      <c r="A33909" s="1" t="s">
        <v>33908</v>
      </c>
      <c r="B33909" s="2" t="str">
        <f>IFERROR(__xludf.DUMMYFUNCTION("GOOGLETRANSLATE(A33909, ""de"", ""en"")"),"rams")</f>
        <v>rams</v>
      </c>
    </row>
    <row r="33910">
      <c r="A33910" s="1" t="s">
        <v>33909</v>
      </c>
      <c r="B33910" s="2" t="str">
        <f>IFERROR(__xludf.DUMMYFUNCTION("GOOGLETRANSLATE(A33910, ""de"", ""en"")"),"Allahu")</f>
        <v>Allahu</v>
      </c>
    </row>
    <row r="33911">
      <c r="A33911" s="1" t="s">
        <v>33910</v>
      </c>
      <c r="B33911" s="2" t="str">
        <f>IFERROR(__xludf.DUMMYFUNCTION("GOOGLETRANSLATE(A33911, ""de"", ""en"")"),"characters")</f>
        <v>characters</v>
      </c>
    </row>
    <row r="33912">
      <c r="A33912" s="1" t="s">
        <v>33911</v>
      </c>
      <c r="B33912" s="2" t="str">
        <f>IFERROR(__xludf.DUMMYFUNCTION("GOOGLETRANSLATE(A33912, ""de"", ""en"")"),"sis")</f>
        <v>sis</v>
      </c>
    </row>
    <row r="33913">
      <c r="A33913" s="1" t="s">
        <v>33912</v>
      </c>
      <c r="B33913" s="2" t="str">
        <f>IFERROR(__xludf.DUMMYFUNCTION("GOOGLETRANSLATE(A33913, ""de"", ""en"")"),"adrienne")</f>
        <v>adrienne</v>
      </c>
    </row>
    <row r="33914">
      <c r="A33914" s="1" t="s">
        <v>33913</v>
      </c>
      <c r="B33914" s="2" t="str">
        <f>IFERROR(__xludf.DUMMYFUNCTION("GOOGLETRANSLATE(A33914, ""de"", ""en"")"),"motorcyclist")</f>
        <v>motorcyclist</v>
      </c>
    </row>
    <row r="33915">
      <c r="A33915" s="1" t="s">
        <v>33914</v>
      </c>
      <c r="B33915" s="2" t="str">
        <f>IFERROR(__xludf.DUMMYFUNCTION("GOOGLETRANSLATE(A33915, ""de"", ""en"")"),"chlorine")</f>
        <v>chlorine</v>
      </c>
    </row>
    <row r="33916">
      <c r="A33916" s="1" t="s">
        <v>33915</v>
      </c>
      <c r="B33916" s="2" t="str">
        <f>IFERROR(__xludf.DUMMYFUNCTION("GOOGLETRANSLATE(A33916, ""de"", ""en"")"),"c.c.")</f>
        <v>c.c.</v>
      </c>
    </row>
    <row r="33917">
      <c r="A33917" s="1" t="s">
        <v>33916</v>
      </c>
      <c r="B33917" s="2" t="str">
        <f>IFERROR(__xludf.DUMMYFUNCTION("GOOGLETRANSLATE(A33917, ""de"", ""en"")"),"credit")</f>
        <v>credit</v>
      </c>
    </row>
    <row r="33918">
      <c r="A33918" s="1" t="s">
        <v>33917</v>
      </c>
      <c r="B33918" s="2" t="str">
        <f>IFERROR(__xludf.DUMMYFUNCTION("GOOGLETRANSLATE(A33918, ""de"", ""en"")"),"facebook page")</f>
        <v>facebook page</v>
      </c>
    </row>
    <row r="33919">
      <c r="A33919" s="1" t="s">
        <v>33918</v>
      </c>
      <c r="B33919" s="2" t="str">
        <f>IFERROR(__xludf.DUMMYFUNCTION("GOOGLETRANSLATE(A33919, ""de"", ""en"")"),"transfers")</f>
        <v>transfers</v>
      </c>
    </row>
    <row r="33920">
      <c r="A33920" s="1" t="s">
        <v>33919</v>
      </c>
      <c r="B33920" s="2" t="str">
        <f>IFERROR(__xludf.DUMMYFUNCTION("GOOGLETRANSLATE(A33920, ""de"", ""en"")"),"football game")</f>
        <v>football game</v>
      </c>
    </row>
    <row r="33921">
      <c r="A33921" s="1" t="s">
        <v>33920</v>
      </c>
      <c r="B33921" s="2" t="str">
        <f>IFERROR(__xludf.DUMMYFUNCTION("GOOGLETRANSLATE(A33921, ""de"", ""en"")"),"fear")</f>
        <v>fear</v>
      </c>
    </row>
    <row r="33922">
      <c r="A33922" s="1" t="s">
        <v>33921</v>
      </c>
      <c r="B33922" s="2" t="str">
        <f>IFERROR(__xludf.DUMMYFUNCTION("GOOGLETRANSLATE(A33922, ""de"", ""en"")"),"rapport")</f>
        <v>rapport</v>
      </c>
    </row>
    <row r="33923">
      <c r="A33923" s="1" t="s">
        <v>33922</v>
      </c>
      <c r="B33923" s="2" t="str">
        <f>IFERROR(__xludf.DUMMYFUNCTION("GOOGLETRANSLATE(A33923, ""de"", ""en"")"),"fuse")</f>
        <v>fuse</v>
      </c>
    </row>
    <row r="33924">
      <c r="A33924" s="1" t="s">
        <v>33923</v>
      </c>
      <c r="B33924" s="2" t="str">
        <f>IFERROR(__xludf.DUMMYFUNCTION("GOOGLETRANSLATE(A33924, ""de"", ""en"")"),"filmed")</f>
        <v>filmed</v>
      </c>
    </row>
    <row r="33925">
      <c r="A33925" s="1" t="s">
        <v>33924</v>
      </c>
      <c r="B33925" s="2" t="str">
        <f>IFERROR(__xludf.DUMMYFUNCTION("GOOGLETRANSLATE(A33925, ""de"", ""en"")"),"participates")</f>
        <v>participates</v>
      </c>
    </row>
    <row r="33926">
      <c r="A33926" s="1" t="s">
        <v>33925</v>
      </c>
      <c r="B33926" s="2" t="str">
        <f>IFERROR(__xludf.DUMMYFUNCTION("GOOGLETRANSLATE(A33926, ""de"", ""en"")"),"snot spoon")</f>
        <v>snot spoon</v>
      </c>
    </row>
    <row r="33927">
      <c r="A33927" s="1" t="s">
        <v>33926</v>
      </c>
      <c r="B33927" s="2" t="str">
        <f>IFERROR(__xludf.DUMMYFUNCTION("GOOGLETRANSLATE(A33927, ""de"", ""en"")"),"hormones")</f>
        <v>hormones</v>
      </c>
    </row>
    <row r="33928">
      <c r="A33928" s="1" t="s">
        <v>33927</v>
      </c>
      <c r="B33928" s="2" t="str">
        <f>IFERROR(__xludf.DUMMYFUNCTION("GOOGLETRANSLATE(A33928, ""de"", ""en"")"),"drink")</f>
        <v>drink</v>
      </c>
    </row>
    <row r="33929">
      <c r="A33929" s="1" t="s">
        <v>33928</v>
      </c>
      <c r="B33929" s="2" t="str">
        <f>IFERROR(__xludf.DUMMYFUNCTION("GOOGLETRANSLATE(A33929, ""de"", ""en"")"),"Arabs")</f>
        <v>Arabs</v>
      </c>
    </row>
    <row r="33930">
      <c r="A33930" s="1" t="s">
        <v>33929</v>
      </c>
      <c r="B33930" s="2" t="str">
        <f>IFERROR(__xludf.DUMMYFUNCTION("GOOGLETRANSLATE(A33930, ""de"", ""en"")"),"assfiddle")</f>
        <v>assfiddle</v>
      </c>
    </row>
    <row r="33931">
      <c r="A33931" s="1" t="s">
        <v>33930</v>
      </c>
      <c r="B33931" s="2" t="str">
        <f>IFERROR(__xludf.DUMMYFUNCTION("GOOGLETRANSLATE(A33931, ""de"", ""en"")"),"Norwegian")</f>
        <v>Norwegian</v>
      </c>
    </row>
    <row r="33932">
      <c r="A33932" s="1" t="s">
        <v>33931</v>
      </c>
      <c r="B33932" s="2" t="str">
        <f>IFERROR(__xludf.DUMMYFUNCTION("GOOGLETRANSLATE(A33932, ""de"", ""en"")"),"previous conviction")</f>
        <v>previous conviction</v>
      </c>
    </row>
    <row r="33933">
      <c r="A33933" s="1" t="s">
        <v>33932</v>
      </c>
      <c r="B33933" s="2" t="str">
        <f>IFERROR(__xludf.DUMMYFUNCTION("GOOGLETRANSLATE(A33933, ""de"", ""en"")"),"burial")</f>
        <v>burial</v>
      </c>
    </row>
    <row r="33934">
      <c r="A33934" s="1" t="s">
        <v>33933</v>
      </c>
      <c r="B33934" s="2" t="str">
        <f>IFERROR(__xludf.DUMMYFUNCTION("GOOGLETRANSLATE(A33934, ""de"", ""en"")"),"technologies")</f>
        <v>technologies</v>
      </c>
    </row>
    <row r="33935">
      <c r="A33935" s="1" t="s">
        <v>33934</v>
      </c>
      <c r="B33935" s="2" t="str">
        <f>IFERROR(__xludf.DUMMYFUNCTION("GOOGLETRANSLATE(A33935, ""de"", ""en"")"),"pubic lice")</f>
        <v>pubic lice</v>
      </c>
    </row>
    <row r="33936">
      <c r="A33936" s="1" t="s">
        <v>33935</v>
      </c>
      <c r="B33936" s="2" t="str">
        <f>IFERROR(__xludf.DUMMYFUNCTION("GOOGLETRANSLATE(A33936, ""de"", ""en"")"),"bawl")</f>
        <v>bawl</v>
      </c>
    </row>
    <row r="33937">
      <c r="A33937" s="1" t="s">
        <v>33936</v>
      </c>
      <c r="B33937" s="2" t="str">
        <f>IFERROR(__xludf.DUMMYFUNCTION("GOOGLETRANSLATE(A33937, ""de"", ""en"")"),"office building")</f>
        <v>office building</v>
      </c>
    </row>
    <row r="33938">
      <c r="A33938" s="1" t="s">
        <v>33937</v>
      </c>
      <c r="B33938" s="2" t="str">
        <f>IFERROR(__xludf.DUMMYFUNCTION("GOOGLETRANSLATE(A33938, ""de"", ""en"")"),"barking")</f>
        <v>barking</v>
      </c>
    </row>
    <row r="33939">
      <c r="A33939" s="1" t="s">
        <v>33938</v>
      </c>
      <c r="B33939" s="2" t="str">
        <f>IFERROR(__xludf.DUMMYFUNCTION("GOOGLETRANSLATE(A33939, ""de"", ""en"")"),"coleslaw")</f>
        <v>coleslaw</v>
      </c>
    </row>
    <row r="33940">
      <c r="A33940" s="1" t="s">
        <v>33939</v>
      </c>
      <c r="B33940" s="2" t="str">
        <f>IFERROR(__xludf.DUMMYFUNCTION("GOOGLETRANSLATE(A33940, ""de"", ""en"")"),"Kronos")</f>
        <v>Kronos</v>
      </c>
    </row>
    <row r="33941">
      <c r="A33941" s="1" t="s">
        <v>33940</v>
      </c>
      <c r="B33941" s="2" t="str">
        <f>IFERROR(__xludf.DUMMYFUNCTION("GOOGLETRANSLATE(A33941, ""de"", ""en"")"),"uli")</f>
        <v>uli</v>
      </c>
    </row>
    <row r="33942">
      <c r="A33942" s="1" t="s">
        <v>33941</v>
      </c>
      <c r="B33942" s="2" t="str">
        <f>IFERROR(__xludf.DUMMYFUNCTION("GOOGLETRANSLATE(A33942, ""de"", ""en"")"),"shooting day")</f>
        <v>shooting day</v>
      </c>
    </row>
    <row r="33943">
      <c r="A33943" s="1" t="s">
        <v>33942</v>
      </c>
      <c r="B33943" s="2" t="str">
        <f>IFERROR(__xludf.DUMMYFUNCTION("GOOGLETRANSLATE(A33943, ""de"", ""en"")"),"davie")</f>
        <v>davie</v>
      </c>
    </row>
    <row r="33944">
      <c r="A33944" s="1" t="s">
        <v>33943</v>
      </c>
      <c r="B33944" s="2" t="str">
        <f>IFERROR(__xludf.DUMMYFUNCTION("GOOGLETRANSLATE(A33944, ""de"", ""en"")"),"scaffold")</f>
        <v>scaffold</v>
      </c>
    </row>
    <row r="33945">
      <c r="A33945" s="1" t="s">
        <v>33944</v>
      </c>
      <c r="B33945" s="2" t="str">
        <f>IFERROR(__xludf.DUMMYFUNCTION("GOOGLETRANSLATE(A33945, ""de"", ""en"")"),"water")</f>
        <v>water</v>
      </c>
    </row>
    <row r="33946">
      <c r="A33946" s="1" t="s">
        <v>33945</v>
      </c>
      <c r="B33946" s="2" t="str">
        <f>IFERROR(__xludf.DUMMYFUNCTION("GOOGLETRANSLATE(A33946, ""de"", ""en"")"),"kimball")</f>
        <v>kimball</v>
      </c>
    </row>
    <row r="33947">
      <c r="A33947" s="1" t="s">
        <v>33946</v>
      </c>
      <c r="B33947" s="2" t="str">
        <f>IFERROR(__xludf.DUMMYFUNCTION("GOOGLETRANSLATE(A33947, ""de"", ""en"")"),"patience")</f>
        <v>patience</v>
      </c>
    </row>
    <row r="33948">
      <c r="A33948" s="1" t="s">
        <v>33947</v>
      </c>
      <c r="B33948" s="2" t="str">
        <f>IFERROR(__xludf.DUMMYFUNCTION("GOOGLETRANSLATE(A33948, ""de"", ""en"")"),"class action lawsuit")</f>
        <v>class action lawsuit</v>
      </c>
    </row>
    <row r="33949">
      <c r="A33949" s="1" t="s">
        <v>33948</v>
      </c>
      <c r="B33949" s="2" t="str">
        <f>IFERROR(__xludf.DUMMYFUNCTION("GOOGLETRANSLATE(A33949, ""de"", ""en"")"),"plugged in")</f>
        <v>plugged in</v>
      </c>
    </row>
    <row r="33950">
      <c r="A33950" s="1" t="s">
        <v>33949</v>
      </c>
      <c r="B33950" s="2" t="str">
        <f>IFERROR(__xludf.DUMMYFUNCTION("GOOGLETRANSLATE(A33950, ""de"", ""en"")"),"Norbert")</f>
        <v>Norbert</v>
      </c>
    </row>
    <row r="33951">
      <c r="A33951" s="1" t="s">
        <v>33950</v>
      </c>
      <c r="B33951" s="2" t="str">
        <f>IFERROR(__xludf.DUMMYFUNCTION("GOOGLETRANSLATE(A33951, ""de"", ""en"")"),"Westeros")</f>
        <v>Westeros</v>
      </c>
    </row>
    <row r="33952">
      <c r="A33952" s="1" t="s">
        <v>33951</v>
      </c>
      <c r="B33952" s="2" t="str">
        <f>IFERROR(__xludf.DUMMYFUNCTION("GOOGLETRANSLATE(A33952, ""de"", ""en"")"),"magpie")</f>
        <v>magpie</v>
      </c>
    </row>
    <row r="33953">
      <c r="A33953" s="1" t="s">
        <v>33952</v>
      </c>
      <c r="B33953" s="2" t="str">
        <f>IFERROR(__xludf.DUMMYFUNCTION("GOOGLETRANSLATE(A33953, ""de"", ""en"")"),"holliday")</f>
        <v>holliday</v>
      </c>
    </row>
    <row r="33954">
      <c r="A33954" s="1" t="s">
        <v>33953</v>
      </c>
      <c r="B33954" s="2" t="str">
        <f>IFERROR(__xludf.DUMMYFUNCTION("GOOGLETRANSLATE(A33954, ""de"", ""en"")"),"Turin")</f>
        <v>Turin</v>
      </c>
    </row>
    <row r="33955">
      <c r="A33955" s="1" t="s">
        <v>33954</v>
      </c>
      <c r="B33955" s="2" t="str">
        <f>IFERROR(__xludf.DUMMYFUNCTION("GOOGLETRANSLATE(A33955, ""de"", ""en"")"),"instruments")</f>
        <v>instruments</v>
      </c>
    </row>
    <row r="33956">
      <c r="A33956" s="1" t="s">
        <v>33955</v>
      </c>
      <c r="B33956" s="2" t="str">
        <f>IFERROR(__xludf.DUMMYFUNCTION("GOOGLETRANSLATE(A33956, ""de"", ""en"")"),"external office")</f>
        <v>external office</v>
      </c>
    </row>
    <row r="33957">
      <c r="A33957" s="1" t="s">
        <v>33956</v>
      </c>
      <c r="B33957" s="2" t="str">
        <f>IFERROR(__xludf.DUMMYFUNCTION("GOOGLETRANSLATE(A33957, ""de"", ""en"")"),"psychotic")</f>
        <v>psychotic</v>
      </c>
    </row>
    <row r="33958">
      <c r="A33958" s="1" t="s">
        <v>33957</v>
      </c>
      <c r="B33958" s="2" t="str">
        <f>IFERROR(__xludf.DUMMYFUNCTION("GOOGLETRANSLATE(A33958, ""de"", ""en"")"),"sentences")</f>
        <v>sentences</v>
      </c>
    </row>
    <row r="33959">
      <c r="A33959" s="1" t="s">
        <v>33958</v>
      </c>
      <c r="B33959" s="2" t="str">
        <f>IFERROR(__xludf.DUMMYFUNCTION("GOOGLETRANSLATE(A33959, ""de"", ""en"")"),"heat")</f>
        <v>heat</v>
      </c>
    </row>
    <row r="33960">
      <c r="A33960" s="1" t="s">
        <v>33959</v>
      </c>
      <c r="B33960" s="2" t="str">
        <f>IFERROR(__xludf.DUMMYFUNCTION("GOOGLETRANSLATE(A33960, ""de"", ""en"")"),"kitty")</f>
        <v>kitty</v>
      </c>
    </row>
    <row r="33961">
      <c r="A33961" s="1" t="s">
        <v>33960</v>
      </c>
      <c r="B33961" s="2" t="str">
        <f>IFERROR(__xludf.DUMMYFUNCTION("GOOGLETRANSLATE(A33961, ""de"", ""en"")"),"bubble bath")</f>
        <v>bubble bath</v>
      </c>
    </row>
    <row r="33962">
      <c r="A33962" s="1" t="s">
        <v>33961</v>
      </c>
      <c r="B33962" s="2" t="str">
        <f>IFERROR(__xludf.DUMMYFUNCTION("GOOGLETRANSLATE(A33962, ""de"", ""en"")"),"video store")</f>
        <v>video store</v>
      </c>
    </row>
    <row r="33963">
      <c r="A33963" s="1" t="s">
        <v>33962</v>
      </c>
      <c r="B33963" s="2" t="str">
        <f>IFERROR(__xludf.DUMMYFUNCTION("GOOGLETRANSLATE(A33963, ""de"", ""en"")"),"holding")</f>
        <v>holding</v>
      </c>
    </row>
    <row r="33964">
      <c r="A33964" s="1" t="s">
        <v>33963</v>
      </c>
      <c r="B33964" s="2" t="str">
        <f>IFERROR(__xludf.DUMMYFUNCTION("GOOGLETRANSLATE(A33964, ""de"", ""en"")"),"thyme")</f>
        <v>thyme</v>
      </c>
    </row>
    <row r="33965">
      <c r="A33965" s="1" t="s">
        <v>33964</v>
      </c>
      <c r="B33965" s="2" t="str">
        <f>IFERROR(__xludf.DUMMYFUNCTION("GOOGLETRANSLATE(A33965, ""de"", ""en"")"),"contract")</f>
        <v>contract</v>
      </c>
    </row>
    <row r="33966">
      <c r="A33966" s="1" t="s">
        <v>33965</v>
      </c>
      <c r="B33966" s="2" t="str">
        <f>IFERROR(__xludf.DUMMYFUNCTION("GOOGLETRANSLATE(A33966, ""de"", ""en"")"),"exited")</f>
        <v>exited</v>
      </c>
    </row>
    <row r="33967">
      <c r="A33967" s="1" t="s">
        <v>33966</v>
      </c>
      <c r="B33967" s="2" t="str">
        <f>IFERROR(__xludf.DUMMYFUNCTION("GOOGLETRANSLATE(A33967, ""de"", ""en"")"),"ambushed")</f>
        <v>ambushed</v>
      </c>
    </row>
    <row r="33968">
      <c r="A33968" s="1" t="s">
        <v>33967</v>
      </c>
      <c r="B33968" s="2" t="str">
        <f>IFERROR(__xludf.DUMMYFUNCTION("GOOGLETRANSLATE(A33968, ""de"", ""en"")"),"deceive")</f>
        <v>deceive</v>
      </c>
    </row>
    <row r="33969">
      <c r="A33969" s="1" t="s">
        <v>33968</v>
      </c>
      <c r="B33969" s="2" t="str">
        <f>IFERROR(__xludf.DUMMYFUNCTION("GOOGLETRANSLATE(A33969, ""de"", ""en"")"),"hurricane")</f>
        <v>hurricane</v>
      </c>
    </row>
    <row r="33970">
      <c r="A33970" s="1" t="s">
        <v>33969</v>
      </c>
      <c r="B33970" s="2" t="str">
        <f>IFERROR(__xludf.DUMMYFUNCTION("GOOGLETRANSLATE(A33970, ""de"", ""en"")"),"publish")</f>
        <v>publish</v>
      </c>
    </row>
    <row r="33971">
      <c r="A33971" s="1" t="s">
        <v>33970</v>
      </c>
      <c r="B33971" s="2" t="str">
        <f>IFERROR(__xludf.DUMMYFUNCTION("GOOGLETRANSLATE(A33971, ""de"", ""en"")"),"whip")</f>
        <v>whip</v>
      </c>
    </row>
    <row r="33972">
      <c r="A33972" s="1" t="s">
        <v>33971</v>
      </c>
      <c r="B33972" s="2" t="str">
        <f>IFERROR(__xludf.DUMMYFUNCTION("GOOGLETRANSLATE(A33972, ""de"", ""en"")"),"control")</f>
        <v>control</v>
      </c>
    </row>
    <row r="33973">
      <c r="A33973" s="1" t="s">
        <v>33972</v>
      </c>
      <c r="B33973" s="2" t="str">
        <f>IFERROR(__xludf.DUMMYFUNCTION("GOOGLETRANSLATE(A33973, ""de"", ""en"")"),"causes")</f>
        <v>causes</v>
      </c>
    </row>
    <row r="33974">
      <c r="A33974" s="1" t="s">
        <v>33973</v>
      </c>
      <c r="B33974" s="2" t="str">
        <f>IFERROR(__xludf.DUMMYFUNCTION("GOOGLETRANSLATE(A33974, ""de"", ""en"")"),"pant")</f>
        <v>pant</v>
      </c>
    </row>
    <row r="33975">
      <c r="A33975" s="1" t="s">
        <v>33974</v>
      </c>
      <c r="B33975" s="2" t="str">
        <f>IFERROR(__xludf.DUMMYFUNCTION("GOOGLETRANSLATE(A33975, ""de"", ""en"")"),"torrance")</f>
        <v>torrance</v>
      </c>
    </row>
    <row r="33976">
      <c r="A33976" s="1" t="s">
        <v>33975</v>
      </c>
      <c r="B33976" s="2" t="str">
        <f>IFERROR(__xludf.DUMMYFUNCTION("GOOGLETRANSLATE(A33976, ""de"", ""en"")"),"assemble")</f>
        <v>assemble</v>
      </c>
    </row>
    <row r="33977">
      <c r="A33977" s="1" t="s">
        <v>33976</v>
      </c>
      <c r="B33977" s="2" t="str">
        <f>IFERROR(__xludf.DUMMYFUNCTION("GOOGLETRANSLATE(A33977, ""de"", ""en"")"),"Australian")</f>
        <v>Australian</v>
      </c>
    </row>
    <row r="33978">
      <c r="A33978" s="1" t="s">
        <v>33977</v>
      </c>
      <c r="B33978" s="2" t="str">
        <f>IFERROR(__xludf.DUMMYFUNCTION("GOOGLETRANSLATE(A33978, ""de"", ""en"")"),"set the table")</f>
        <v>set the table</v>
      </c>
    </row>
    <row r="33979">
      <c r="A33979" s="1" t="s">
        <v>33978</v>
      </c>
      <c r="B33979" s="2" t="str">
        <f>IFERROR(__xludf.DUMMYFUNCTION("GOOGLETRANSLATE(A33979, ""de"", ""en"")"),"crawls")</f>
        <v>crawls</v>
      </c>
    </row>
    <row r="33980">
      <c r="A33980" s="1" t="s">
        <v>33979</v>
      </c>
      <c r="B33980" s="2" t="str">
        <f>IFERROR(__xludf.DUMMYFUNCTION("GOOGLETRANSLATE(A33980, ""de"", ""en"")"),"prelude")</f>
        <v>prelude</v>
      </c>
    </row>
    <row r="33981">
      <c r="A33981" s="1" t="s">
        <v>33980</v>
      </c>
      <c r="B33981" s="2" t="str">
        <f>IFERROR(__xludf.DUMMYFUNCTION("GOOGLETRANSLATE(A33981, ""de"", ""en"")"),"emergency brake")</f>
        <v>emergency brake</v>
      </c>
    </row>
    <row r="33982">
      <c r="A33982" s="1" t="s">
        <v>33981</v>
      </c>
      <c r="B33982" s="2" t="str">
        <f>IFERROR(__xludf.DUMMYFUNCTION("GOOGLETRANSLATE(A33982, ""de"", ""en"")"),"tough ones")</f>
        <v>tough ones</v>
      </c>
    </row>
    <row r="33983">
      <c r="A33983" s="1" t="s">
        <v>33982</v>
      </c>
      <c r="B33983" s="2" t="str">
        <f>IFERROR(__xludf.DUMMYFUNCTION("GOOGLETRANSLATE(A33983, ""de"", ""en"")"),"stab")</f>
        <v>stab</v>
      </c>
    </row>
    <row r="33984">
      <c r="A33984" s="1" t="s">
        <v>33983</v>
      </c>
      <c r="B33984" s="2" t="str">
        <f>IFERROR(__xludf.DUMMYFUNCTION("GOOGLETRANSLATE(A33984, ""de"", ""en"")"),"v3")</f>
        <v>v3</v>
      </c>
    </row>
    <row r="33985">
      <c r="A33985" s="1" t="s">
        <v>33984</v>
      </c>
      <c r="B33985" s="2" t="str">
        <f>IFERROR(__xludf.DUMMYFUNCTION("GOOGLETRANSLATE(A33985, ""de"", ""en"")"),"suspected")</f>
        <v>suspected</v>
      </c>
    </row>
    <row r="33986">
      <c r="A33986" s="1" t="s">
        <v>33985</v>
      </c>
      <c r="B33986" s="2" t="str">
        <f>IFERROR(__xludf.DUMMYFUNCTION("GOOGLETRANSLATE(A33986, ""de"", ""en"")"),"access")</f>
        <v>access</v>
      </c>
    </row>
    <row r="33987">
      <c r="A33987" s="1" t="s">
        <v>33986</v>
      </c>
      <c r="B33987" s="2" t="str">
        <f>IFERROR(__xludf.DUMMYFUNCTION("GOOGLETRANSLATE(A33987, ""de"", ""en"")"),"killer")</f>
        <v>killer</v>
      </c>
    </row>
    <row r="33988">
      <c r="A33988" s="1" t="s">
        <v>33987</v>
      </c>
      <c r="B33988" s="2" t="str">
        <f>IFERROR(__xludf.DUMMYFUNCTION("GOOGLETRANSLATE(A33988, ""de"", ""en"")"),"eardrum")</f>
        <v>eardrum</v>
      </c>
    </row>
    <row r="33989">
      <c r="A33989" s="1" t="s">
        <v>33988</v>
      </c>
      <c r="B33989" s="2" t="str">
        <f>IFERROR(__xludf.DUMMYFUNCTION("GOOGLETRANSLATE(A33989, ""de"", ""en"")"),"looks")</f>
        <v>looks</v>
      </c>
    </row>
    <row r="33990">
      <c r="A33990" s="1" t="s">
        <v>33989</v>
      </c>
      <c r="B33990" s="2" t="str">
        <f>IFERROR(__xludf.DUMMYFUNCTION("GOOGLETRANSLATE(A33990, ""de"", ""en"")"),"add")</f>
        <v>add</v>
      </c>
    </row>
    <row r="33991">
      <c r="A33991" s="1" t="s">
        <v>33990</v>
      </c>
      <c r="B33991" s="2" t="str">
        <f>IFERROR(__xludf.DUMMYFUNCTION("GOOGLETRANSLATE(A33991, ""de"", ""en"")"),"embarrass")</f>
        <v>embarrass</v>
      </c>
    </row>
    <row r="33992">
      <c r="A33992" s="1" t="s">
        <v>33991</v>
      </c>
      <c r="B33992" s="2" t="str">
        <f>IFERROR(__xludf.DUMMYFUNCTION("GOOGLETRANSLATE(A33992, ""de"", ""en"")"),"maneuver")</f>
        <v>maneuver</v>
      </c>
    </row>
    <row r="33993">
      <c r="A33993" s="1" t="s">
        <v>33992</v>
      </c>
      <c r="B33993" s="2" t="str">
        <f>IFERROR(__xludf.DUMMYFUNCTION("GOOGLETRANSLATE(A33993, ""de"", ""en"")"),"single")</f>
        <v>single</v>
      </c>
    </row>
    <row r="33994">
      <c r="A33994" s="1" t="s">
        <v>33993</v>
      </c>
      <c r="B33994" s="2" t="str">
        <f>IFERROR(__xludf.DUMMYFUNCTION("GOOGLETRANSLATE(A33994, ""de"", ""en"")"),"marital")</f>
        <v>marital</v>
      </c>
    </row>
    <row r="33995">
      <c r="A33995" s="1" t="s">
        <v>33994</v>
      </c>
      <c r="B33995" s="2" t="str">
        <f>IFERROR(__xludf.DUMMYFUNCTION("GOOGLETRANSLATE(A33995, ""de"", ""en"")"),"pulpit")</f>
        <v>pulpit</v>
      </c>
    </row>
    <row r="33996">
      <c r="A33996" s="1" t="s">
        <v>33995</v>
      </c>
      <c r="B33996" s="2" t="str">
        <f>IFERROR(__xludf.DUMMYFUNCTION("GOOGLETRANSLATE(A33996, ""de"", ""en"")"),"goes on")</f>
        <v>goes on</v>
      </c>
    </row>
    <row r="33997">
      <c r="A33997" s="1" t="s">
        <v>33996</v>
      </c>
      <c r="B33997" s="2" t="str">
        <f>IFERROR(__xludf.DUMMYFUNCTION("GOOGLETRANSLATE(A33997, ""de"", ""en"")"),"harder")</f>
        <v>harder</v>
      </c>
    </row>
    <row r="33998">
      <c r="A33998" s="1" t="s">
        <v>33997</v>
      </c>
      <c r="B33998" s="2" t="str">
        <f>IFERROR(__xludf.DUMMYFUNCTION("GOOGLETRANSLATE(A33998, ""de"", ""en"")"),"dress")</f>
        <v>dress</v>
      </c>
    </row>
    <row r="33999">
      <c r="A33999" s="1" t="s">
        <v>33998</v>
      </c>
      <c r="B33999" s="2" t="str">
        <f>IFERROR(__xludf.DUMMYFUNCTION("GOOGLETRANSLATE(A33999, ""de"", ""en"")"),"pawnshop")</f>
        <v>pawnshop</v>
      </c>
    </row>
    <row r="34000">
      <c r="A34000" s="1" t="s">
        <v>33999</v>
      </c>
      <c r="B34000" s="2" t="str">
        <f>IFERROR(__xludf.DUMMYFUNCTION("GOOGLETRANSLATE(A34000, ""de"", ""en"")"),"losses")</f>
        <v>losses</v>
      </c>
    </row>
    <row r="34001">
      <c r="A34001" s="1" t="s">
        <v>34000</v>
      </c>
      <c r="B34001" s="2" t="str">
        <f>IFERROR(__xludf.DUMMYFUNCTION("GOOGLETRANSLATE(A34001, ""de"", ""en"")"),"Lanka")</f>
        <v>Lanka</v>
      </c>
    </row>
    <row r="34002">
      <c r="A34002" s="1" t="s">
        <v>34001</v>
      </c>
      <c r="B34002" s="2" t="str">
        <f>IFERROR(__xludf.DUMMYFUNCTION("GOOGLETRANSLATE(A34002, ""de"", ""en"")"),"Shepherd")</f>
        <v>Shepherd</v>
      </c>
    </row>
    <row r="34003">
      <c r="A34003" s="1" t="s">
        <v>34002</v>
      </c>
      <c r="B34003" s="2" t="str">
        <f>IFERROR(__xludf.DUMMYFUNCTION("GOOGLETRANSLATE(A34003, ""de"", ""en"")"),"sports field")</f>
        <v>sports field</v>
      </c>
    </row>
    <row r="34004">
      <c r="A34004" s="1" t="s">
        <v>34003</v>
      </c>
      <c r="B34004" s="2" t="str">
        <f>IFERROR(__xludf.DUMMYFUNCTION("GOOGLETRANSLATE(A34004, ""de"", ""en"")"),"soldier")</f>
        <v>soldier</v>
      </c>
    </row>
    <row r="34005">
      <c r="A34005" s="1" t="s">
        <v>34004</v>
      </c>
      <c r="B34005" s="2" t="str">
        <f>IFERROR(__xludf.DUMMYFUNCTION("GOOGLETRANSLATE(A34005, ""de"", ""en"")"),"hide")</f>
        <v>hide</v>
      </c>
    </row>
    <row r="34006">
      <c r="A34006" s="1" t="s">
        <v>34005</v>
      </c>
      <c r="B34006" s="2" t="str">
        <f>IFERROR(__xludf.DUMMYFUNCTION("GOOGLETRANSLATE(A34006, ""de"", ""en"")"),"female image")</f>
        <v>female image</v>
      </c>
    </row>
    <row r="34007">
      <c r="A34007" s="1" t="s">
        <v>34006</v>
      </c>
      <c r="B34007" s="2" t="str">
        <f>IFERROR(__xludf.DUMMYFUNCTION("GOOGLETRANSLATE(A34007, ""de"", ""en"")"),"lovely")</f>
        <v>lovely</v>
      </c>
    </row>
    <row r="34008">
      <c r="A34008" s="1" t="s">
        <v>34007</v>
      </c>
      <c r="B34008" s="2" t="str">
        <f>IFERROR(__xludf.DUMMYFUNCTION("GOOGLETRANSLATE(A34008, ""de"", ""en"")"),"poorest")</f>
        <v>poorest</v>
      </c>
    </row>
    <row r="34009">
      <c r="A34009" s="1" t="s">
        <v>34008</v>
      </c>
      <c r="B34009" s="2" t="str">
        <f>IFERROR(__xludf.DUMMYFUNCTION("GOOGLETRANSLATE(A34009, ""de"", ""en"")"),"lexus")</f>
        <v>lexus</v>
      </c>
    </row>
    <row r="34010">
      <c r="A34010" s="1" t="s">
        <v>34009</v>
      </c>
      <c r="B34010" s="2" t="str">
        <f>IFERROR(__xludf.DUMMYFUNCTION("GOOGLETRANSLATE(A34010, ""de"", ""en"")"),"unresolved")</f>
        <v>unresolved</v>
      </c>
    </row>
    <row r="34011">
      <c r="A34011" s="1" t="s">
        <v>34010</v>
      </c>
      <c r="B34011" s="2" t="str">
        <f>IFERROR(__xludf.DUMMYFUNCTION("GOOGLETRANSLATE(A34011, ""de"", ""en"")"),"hellmouth")</f>
        <v>hellmouth</v>
      </c>
    </row>
    <row r="34012">
      <c r="A34012" s="1" t="s">
        <v>34011</v>
      </c>
      <c r="B34012" s="2" t="str">
        <f>IFERROR(__xludf.DUMMYFUNCTION("GOOGLETRANSLATE(A34012, ""de"", ""en"")"),"prisoners of war")</f>
        <v>prisoners of war</v>
      </c>
    </row>
    <row r="34013">
      <c r="A34013" s="1" t="s">
        <v>34012</v>
      </c>
      <c r="B34013" s="2" t="str">
        <f>IFERROR(__xludf.DUMMYFUNCTION("GOOGLETRANSLATE(A34013, ""de"", ""en"")"),"cherokee")</f>
        <v>cherokee</v>
      </c>
    </row>
    <row r="34014">
      <c r="A34014" s="1" t="s">
        <v>34013</v>
      </c>
      <c r="B34014" s="2" t="str">
        <f>IFERROR(__xludf.DUMMYFUNCTION("GOOGLETRANSLATE(A34014, ""de"", ""en"")"),"bazooka")</f>
        <v>bazooka</v>
      </c>
    </row>
    <row r="34015">
      <c r="A34015" s="1" t="s">
        <v>34014</v>
      </c>
      <c r="B34015" s="2" t="str">
        <f>IFERROR(__xludf.DUMMYFUNCTION("GOOGLETRANSLATE(A34015, ""de"", ""en"")"),"rank")</f>
        <v>rank</v>
      </c>
    </row>
    <row r="34016">
      <c r="A34016" s="1" t="s">
        <v>34015</v>
      </c>
      <c r="B34016" s="2" t="str">
        <f>IFERROR(__xludf.DUMMYFUNCTION("GOOGLETRANSLATE(A34016, ""de"", ""en"")"),"tenacity")</f>
        <v>tenacity</v>
      </c>
    </row>
    <row r="34017">
      <c r="A34017" s="1" t="s">
        <v>34016</v>
      </c>
      <c r="B34017" s="2" t="str">
        <f>IFERROR(__xludf.DUMMYFUNCTION("GOOGLETRANSLATE(A34017, ""de"", ""en"")"),"gillespie")</f>
        <v>gillespie</v>
      </c>
    </row>
    <row r="34018">
      <c r="A34018" s="1" t="s">
        <v>34017</v>
      </c>
      <c r="B34018" s="2" t="str">
        <f>IFERROR(__xludf.DUMMYFUNCTION("GOOGLETRANSLATE(A34018, ""de"", ""en"")"),"honesty")</f>
        <v>honesty</v>
      </c>
    </row>
    <row r="34019">
      <c r="A34019" s="1" t="s">
        <v>34018</v>
      </c>
      <c r="B34019" s="2" t="str">
        <f>IFERROR(__xludf.DUMMYFUNCTION("GOOGLETRANSLATE(A34019, ""de"", ""en"")"),"legally binding")</f>
        <v>legally binding</v>
      </c>
    </row>
    <row r="34020">
      <c r="A34020" s="1" t="s">
        <v>34019</v>
      </c>
      <c r="B34020" s="2" t="str">
        <f>IFERROR(__xludf.DUMMYFUNCTION("GOOGLETRANSLATE(A34020, ""de"", ""en"")"),"dopamine")</f>
        <v>dopamine</v>
      </c>
    </row>
    <row r="34021">
      <c r="A34021" s="1" t="s">
        <v>34020</v>
      </c>
      <c r="B34021" s="2" t="str">
        <f>IFERROR(__xludf.DUMMYFUNCTION("GOOGLETRANSLATE(A34021, ""de"", ""en"")"),"identify")</f>
        <v>identify</v>
      </c>
    </row>
    <row r="34022">
      <c r="A34022" s="1" t="s">
        <v>34021</v>
      </c>
      <c r="B34022" s="2" t="str">
        <f>IFERROR(__xludf.DUMMYFUNCTION("GOOGLETRANSLATE(A34022, ""de"", ""en"")"),"exhausted")</f>
        <v>exhausted</v>
      </c>
    </row>
    <row r="34023">
      <c r="A34023" s="1" t="s">
        <v>34022</v>
      </c>
      <c r="B34023" s="2" t="str">
        <f>IFERROR(__xludf.DUMMYFUNCTION("GOOGLETRANSLATE(A34023, ""de"", ""en"")"),"laughing gas")</f>
        <v>laughing gas</v>
      </c>
    </row>
    <row r="34024">
      <c r="A34024" s="1" t="s">
        <v>34023</v>
      </c>
      <c r="B34024" s="2" t="str">
        <f>IFERROR(__xludf.DUMMYFUNCTION("GOOGLETRANSLATE(A34024, ""de"", ""en"")"),"flood")</f>
        <v>flood</v>
      </c>
    </row>
    <row r="34025">
      <c r="A34025" s="1" t="s">
        <v>34024</v>
      </c>
      <c r="B34025" s="2" t="str">
        <f>IFERROR(__xludf.DUMMYFUNCTION("GOOGLETRANSLATE(A34025, ""de"", ""en"")"),"trips")</f>
        <v>trips</v>
      </c>
    </row>
    <row r="34026">
      <c r="A34026" s="1" t="s">
        <v>34025</v>
      </c>
      <c r="B34026" s="2" t="str">
        <f>IFERROR(__xludf.DUMMYFUNCTION("GOOGLETRANSLATE(A34026, ""de"", ""en"")"),"humanitarian")</f>
        <v>humanitarian</v>
      </c>
    </row>
    <row r="34027">
      <c r="A34027" s="1" t="s">
        <v>34026</v>
      </c>
      <c r="B34027" s="2" t="str">
        <f>IFERROR(__xludf.DUMMYFUNCTION("GOOGLETRANSLATE(A34027, ""de"", ""en"")"),"killed")</f>
        <v>killed</v>
      </c>
    </row>
    <row r="34028">
      <c r="A34028" s="1" t="s">
        <v>34027</v>
      </c>
      <c r="B34028" s="2" t="str">
        <f>IFERROR(__xludf.DUMMYFUNCTION("GOOGLETRANSLATE(A34028, ""de"", ""en"")"),"landers")</f>
        <v>landers</v>
      </c>
    </row>
    <row r="34029">
      <c r="A34029" s="1" t="s">
        <v>34028</v>
      </c>
      <c r="B34029" s="2" t="str">
        <f>IFERROR(__xludf.DUMMYFUNCTION("GOOGLETRANSLATE(A34029, ""de"", ""en"")"),"father's day")</f>
        <v>father's day</v>
      </c>
    </row>
    <row r="34030">
      <c r="A34030" s="1" t="s">
        <v>34029</v>
      </c>
      <c r="B34030" s="2" t="str">
        <f>IFERROR(__xludf.DUMMYFUNCTION("GOOGLETRANSLATE(A34030, ""de"", ""en"")"),"brogan")</f>
        <v>brogan</v>
      </c>
    </row>
    <row r="34031">
      <c r="A34031" s="1" t="s">
        <v>34030</v>
      </c>
      <c r="B34031" s="2" t="str">
        <f>IFERROR(__xludf.DUMMYFUNCTION("GOOGLETRANSLATE(A34031, ""de"", ""en"")"),"correct")</f>
        <v>correct</v>
      </c>
    </row>
    <row r="34032">
      <c r="A34032" s="1" t="s">
        <v>34031</v>
      </c>
      <c r="B34032" s="2" t="str">
        <f>IFERROR(__xludf.DUMMYFUNCTION("GOOGLETRANSLATE(A34032, ""de"", ""en"")"),"signal")</f>
        <v>signal</v>
      </c>
    </row>
    <row r="34033">
      <c r="A34033" s="1" t="s">
        <v>34032</v>
      </c>
      <c r="B34033" s="2" t="str">
        <f>IFERROR(__xludf.DUMMYFUNCTION("GOOGLETRANSLATE(A34033, ""de"", ""en"")"),"interrupts")</f>
        <v>interrupts</v>
      </c>
    </row>
    <row r="34034">
      <c r="A34034" s="1" t="s">
        <v>34033</v>
      </c>
      <c r="B34034" s="2" t="str">
        <f>IFERROR(__xludf.DUMMYFUNCTION("GOOGLETRANSLATE(A34034, ""de"", ""en"")"),"stillwell")</f>
        <v>stillwell</v>
      </c>
    </row>
    <row r="34035">
      <c r="A34035" s="1" t="s">
        <v>34034</v>
      </c>
      <c r="B34035" s="2" t="str">
        <f>IFERROR(__xludf.DUMMYFUNCTION("GOOGLETRANSLATE(A34035, ""de"", ""en"")"),"draco")</f>
        <v>draco</v>
      </c>
    </row>
    <row r="34036">
      <c r="A34036" s="1" t="s">
        <v>34035</v>
      </c>
      <c r="B34036" s="2" t="str">
        <f>IFERROR(__xludf.DUMMYFUNCTION("GOOGLETRANSLATE(A34036, ""de"", ""en"")"),"to look")</f>
        <v>to look</v>
      </c>
    </row>
    <row r="34037">
      <c r="A34037" s="1" t="s">
        <v>34036</v>
      </c>
      <c r="B34037" s="2" t="str">
        <f>IFERROR(__xludf.DUMMYFUNCTION("GOOGLETRANSLATE(A34037, ""de"", ""en"")"),"applied")</f>
        <v>applied</v>
      </c>
    </row>
    <row r="34038">
      <c r="A34038" s="1" t="s">
        <v>34037</v>
      </c>
      <c r="B34038" s="2" t="str">
        <f>IFERROR(__xludf.DUMMYFUNCTION("GOOGLETRANSLATE(A34038, ""de"", ""en"")"),"madden")</f>
        <v>madden</v>
      </c>
    </row>
    <row r="34039">
      <c r="A34039" s="1" t="s">
        <v>34038</v>
      </c>
      <c r="B34039" s="2" t="str">
        <f>IFERROR(__xludf.DUMMYFUNCTION("GOOGLETRANSLATE(A34039, ""de"", ""en"")"),"appointments")</f>
        <v>appointments</v>
      </c>
    </row>
    <row r="34040">
      <c r="A34040" s="1" t="s">
        <v>34039</v>
      </c>
      <c r="B34040" s="2" t="str">
        <f>IFERROR(__xludf.DUMMYFUNCTION("GOOGLETRANSLATE(A34040, ""de"", ""en"")"),"marriage vows")</f>
        <v>marriage vows</v>
      </c>
    </row>
    <row r="34041">
      <c r="A34041" s="1" t="s">
        <v>34040</v>
      </c>
      <c r="B34041" s="2" t="str">
        <f>IFERROR(__xludf.DUMMYFUNCTION("GOOGLETRANSLATE(A34041, ""de"", ""en"")"),"simple")</f>
        <v>simple</v>
      </c>
    </row>
    <row r="34042">
      <c r="A34042" s="1" t="s">
        <v>34041</v>
      </c>
      <c r="B34042" s="2" t="str">
        <f>IFERROR(__xludf.DUMMYFUNCTION("GOOGLETRANSLATE(A34042, ""de"", ""en"")"),"bacilli")</f>
        <v>bacilli</v>
      </c>
    </row>
    <row r="34043">
      <c r="A34043" s="1" t="s">
        <v>34042</v>
      </c>
      <c r="B34043" s="2" t="str">
        <f>IFERROR(__xludf.DUMMYFUNCTION("GOOGLETRANSLATE(A34043, ""de"", ""en"")"),"theta")</f>
        <v>theta</v>
      </c>
    </row>
    <row r="34044">
      <c r="A34044" s="1" t="s">
        <v>34043</v>
      </c>
      <c r="B34044" s="2" t="str">
        <f>IFERROR(__xludf.DUMMYFUNCTION("GOOGLETRANSLATE(A34044, ""de"", ""en"")"),"asha")</f>
        <v>asha</v>
      </c>
    </row>
    <row r="34045">
      <c r="A34045" s="1" t="s">
        <v>34044</v>
      </c>
      <c r="B34045" s="2" t="str">
        <f>IFERROR(__xludf.DUMMYFUNCTION("GOOGLETRANSLATE(A34045, ""de"", ""en"")"),"annoyed")</f>
        <v>annoyed</v>
      </c>
    </row>
    <row r="34046">
      <c r="A34046" s="1" t="s">
        <v>34045</v>
      </c>
      <c r="B34046" s="2" t="str">
        <f>IFERROR(__xludf.DUMMYFUNCTION("GOOGLETRANSLATE(A34046, ""de"", ""en"")"),"obituaries")</f>
        <v>obituaries</v>
      </c>
    </row>
    <row r="34047">
      <c r="A34047" s="1" t="s">
        <v>34046</v>
      </c>
      <c r="B34047" s="2" t="str">
        <f>IFERROR(__xludf.DUMMYFUNCTION("GOOGLETRANSLATE(A34047, ""de"", ""en"")"),"fertile")</f>
        <v>fertile</v>
      </c>
    </row>
    <row r="34048">
      <c r="A34048" s="1" t="s">
        <v>34047</v>
      </c>
      <c r="B34048" s="2" t="str">
        <f>IFERROR(__xludf.DUMMYFUNCTION("GOOGLETRANSLATE(A34048, ""de"", ""en"")"),"at the same time")</f>
        <v>at the same time</v>
      </c>
    </row>
    <row r="34049">
      <c r="A34049" s="1" t="s">
        <v>34048</v>
      </c>
      <c r="B34049" s="2" t="str">
        <f>IFERROR(__xludf.DUMMYFUNCTION("GOOGLETRANSLATE(A34049, ""de"", ""en"")"),"catholic")</f>
        <v>catholic</v>
      </c>
    </row>
    <row r="34050">
      <c r="A34050" s="1" t="s">
        <v>34049</v>
      </c>
      <c r="B34050" s="2" t="str">
        <f>IFERROR(__xludf.DUMMYFUNCTION("GOOGLETRANSLATE(A34050, ""de"", ""en"")"),"silhouette")</f>
        <v>silhouette</v>
      </c>
    </row>
    <row r="34051">
      <c r="A34051" s="1" t="s">
        <v>34050</v>
      </c>
      <c r="B34051" s="2" t="str">
        <f>IFERROR(__xludf.DUMMYFUNCTION("GOOGLETRANSLATE(A34051, ""de"", ""en"")"),"granted")</f>
        <v>granted</v>
      </c>
    </row>
    <row r="34052">
      <c r="A34052" s="1" t="s">
        <v>34051</v>
      </c>
      <c r="B34052" s="2" t="str">
        <f>IFERROR(__xludf.DUMMYFUNCTION("GOOGLETRANSLATE(A34052, ""de"", ""en"")"),"cheeky")</f>
        <v>cheeky</v>
      </c>
    </row>
    <row r="34053">
      <c r="A34053" s="1" t="s">
        <v>34052</v>
      </c>
      <c r="B34053" s="2" t="str">
        <f>IFERROR(__xludf.DUMMYFUNCTION("GOOGLETRANSLATE(A34053, ""de"", ""en"")"),"whistle")</f>
        <v>whistle</v>
      </c>
    </row>
    <row r="34054">
      <c r="A34054" s="1" t="s">
        <v>34053</v>
      </c>
      <c r="B34054" s="2" t="str">
        <f>IFERROR(__xludf.DUMMYFUNCTION("GOOGLETRANSLATE(A34054, ""de"", ""en"")"),"let sit")</f>
        <v>let sit</v>
      </c>
    </row>
    <row r="34055">
      <c r="A34055" s="1" t="s">
        <v>34054</v>
      </c>
      <c r="B34055" s="2" t="str">
        <f>IFERROR(__xludf.DUMMYFUNCTION("GOOGLETRANSLATE(A34055, ""de"", ""en"")"),"snaps")</f>
        <v>snaps</v>
      </c>
    </row>
    <row r="34056">
      <c r="A34056" s="1" t="s">
        <v>34055</v>
      </c>
      <c r="B34056" s="2" t="str">
        <f>IFERROR(__xludf.DUMMYFUNCTION("GOOGLETRANSLATE(A34056, ""de"", ""en"")"),"ask")</f>
        <v>ask</v>
      </c>
    </row>
    <row r="34057">
      <c r="A34057" s="1" t="s">
        <v>34056</v>
      </c>
      <c r="B34057" s="2" t="str">
        <f>IFERROR(__xludf.DUMMYFUNCTION("GOOGLETRANSLATE(A34057, ""de"", ""en"")"),"sane")</f>
        <v>sane</v>
      </c>
    </row>
    <row r="34058">
      <c r="A34058" s="1" t="s">
        <v>34057</v>
      </c>
      <c r="B34058" s="2" t="str">
        <f>IFERROR(__xludf.DUMMYFUNCTION("GOOGLETRANSLATE(A34058, ""de"", ""en"")"),"widmore")</f>
        <v>widmore</v>
      </c>
    </row>
    <row r="34059">
      <c r="A34059" s="1" t="s">
        <v>34058</v>
      </c>
      <c r="B34059" s="2" t="str">
        <f>IFERROR(__xludf.DUMMYFUNCTION("GOOGLETRANSLATE(A34059, ""de"", ""en"")"),"baseball game")</f>
        <v>baseball game</v>
      </c>
    </row>
    <row r="34060">
      <c r="A34060" s="1" t="s">
        <v>34059</v>
      </c>
      <c r="B34060" s="2" t="str">
        <f>IFERROR(__xludf.DUMMYFUNCTION("GOOGLETRANSLATE(A34060, ""de"", ""en"")"),"oppressive")</f>
        <v>oppressive</v>
      </c>
    </row>
    <row r="34061">
      <c r="A34061" s="1" t="s">
        <v>34060</v>
      </c>
      <c r="B34061" s="2" t="str">
        <f>IFERROR(__xludf.DUMMYFUNCTION("GOOGLETRANSLATE(A34061, ""de"", ""en"")"),"gun barrel")</f>
        <v>gun barrel</v>
      </c>
    </row>
    <row r="34062">
      <c r="A34062" s="1" t="s">
        <v>34061</v>
      </c>
      <c r="B34062" s="2" t="str">
        <f>IFERROR(__xludf.DUMMYFUNCTION("GOOGLETRANSLATE(A34062, ""de"", ""en"")"),"vaseline")</f>
        <v>vaseline</v>
      </c>
    </row>
    <row r="34063">
      <c r="A34063" s="1" t="s">
        <v>34062</v>
      </c>
      <c r="B34063" s="2" t="str">
        <f>IFERROR(__xludf.DUMMYFUNCTION("GOOGLETRANSLATE(A34063, ""de"", ""en"")"),"scavenger hunt")</f>
        <v>scavenger hunt</v>
      </c>
    </row>
    <row r="34064">
      <c r="A34064" s="1" t="s">
        <v>34063</v>
      </c>
      <c r="B34064" s="2" t="str">
        <f>IFERROR(__xludf.DUMMYFUNCTION("GOOGLETRANSLATE(A34064, ""de"", ""en"")"),"ventilation shaft")</f>
        <v>ventilation shaft</v>
      </c>
    </row>
    <row r="34065">
      <c r="A34065" s="1" t="s">
        <v>34064</v>
      </c>
      <c r="B34065" s="2" t="str">
        <f>IFERROR(__xludf.DUMMYFUNCTION("GOOGLETRANSLATE(A34065, ""de"", ""en"")"),"travel bag")</f>
        <v>travel bag</v>
      </c>
    </row>
    <row r="34066">
      <c r="A34066" s="1" t="s">
        <v>34065</v>
      </c>
      <c r="B34066" s="2" t="str">
        <f>IFERROR(__xludf.DUMMYFUNCTION("GOOGLETRANSLATE(A34066, ""de"", ""en"")"),"sweated")</f>
        <v>sweated</v>
      </c>
    </row>
    <row r="34067">
      <c r="A34067" s="1" t="s">
        <v>34066</v>
      </c>
      <c r="B34067" s="2" t="str">
        <f>IFERROR(__xludf.DUMMYFUNCTION("GOOGLETRANSLATE(A34067, ""de"", ""en"")"),"ang")</f>
        <v>ang</v>
      </c>
    </row>
    <row r="34068">
      <c r="A34068" s="1" t="s">
        <v>34067</v>
      </c>
      <c r="B34068" s="2" t="str">
        <f>IFERROR(__xludf.DUMMYFUNCTION("GOOGLETRANSLATE(A34068, ""de"", ""en"")"),"shipment")</f>
        <v>shipment</v>
      </c>
    </row>
    <row r="34069">
      <c r="A34069" s="1" t="s">
        <v>34068</v>
      </c>
      <c r="B34069" s="2" t="str">
        <f>IFERROR(__xludf.DUMMYFUNCTION("GOOGLETRANSLATE(A34069, ""de"", ""en"")"),"strive")</f>
        <v>strive</v>
      </c>
    </row>
    <row r="34070">
      <c r="A34070" s="1" t="s">
        <v>34069</v>
      </c>
      <c r="B34070" s="2" t="str">
        <f>IFERROR(__xludf.DUMMYFUNCTION("GOOGLETRANSLATE(A34070, ""de"", ""en"")"),"dominguez")</f>
        <v>dominguez</v>
      </c>
    </row>
    <row r="34071">
      <c r="A34071" s="1" t="s">
        <v>34070</v>
      </c>
      <c r="B34071" s="2" t="str">
        <f>IFERROR(__xludf.DUMMYFUNCTION("GOOGLETRANSLATE(A34071, ""de"", ""en"")"),"place of residence")</f>
        <v>place of residence</v>
      </c>
    </row>
    <row r="34072">
      <c r="A34072" s="1" t="s">
        <v>34071</v>
      </c>
      <c r="B34072" s="2" t="str">
        <f>IFERROR(__xludf.DUMMYFUNCTION("GOOGLETRANSLATE(A34072, ""de"", ""en"")"),"payout")</f>
        <v>payout</v>
      </c>
    </row>
    <row r="34073">
      <c r="A34073" s="1" t="s">
        <v>34072</v>
      </c>
      <c r="B34073" s="2" t="str">
        <f>IFERROR(__xludf.DUMMYFUNCTION("GOOGLETRANSLATE(A34073, ""de"", ""en"")"),"chummy")</f>
        <v>chummy</v>
      </c>
    </row>
    <row r="34074">
      <c r="A34074" s="1" t="s">
        <v>34073</v>
      </c>
      <c r="B34074" s="2" t="str">
        <f>IFERROR(__xludf.DUMMYFUNCTION("GOOGLETRANSLATE(A34074, ""de"", ""en"")"),"mantel")</f>
        <v>mantel</v>
      </c>
    </row>
    <row r="34075">
      <c r="A34075" s="1" t="s">
        <v>34074</v>
      </c>
      <c r="B34075" s="2" t="str">
        <f>IFERROR(__xludf.DUMMYFUNCTION("GOOGLETRANSLATE(A34075, ""de"", ""en"")"),"fence")</f>
        <v>fence</v>
      </c>
    </row>
    <row r="34076">
      <c r="A34076" s="1" t="s">
        <v>34075</v>
      </c>
      <c r="B34076" s="2" t="str">
        <f>IFERROR(__xludf.DUMMYFUNCTION("GOOGLETRANSLATE(A34076, ""de"", ""en"")"),"Friday")</f>
        <v>Friday</v>
      </c>
    </row>
    <row r="34077">
      <c r="A34077" s="1" t="s">
        <v>34076</v>
      </c>
      <c r="B34077" s="2" t="str">
        <f>IFERROR(__xludf.DUMMYFUNCTION("GOOGLETRANSLATE(A34077, ""de"", ""en"")"),"socialists")</f>
        <v>socialists</v>
      </c>
    </row>
    <row r="34078">
      <c r="A34078" s="1" t="s">
        <v>34077</v>
      </c>
      <c r="B34078" s="2" t="str">
        <f>IFERROR(__xludf.DUMMYFUNCTION("GOOGLETRANSLATE(A34078, ""de"", ""en"")"),"to resign")</f>
        <v>to resign</v>
      </c>
    </row>
    <row r="34079">
      <c r="A34079" s="1" t="s">
        <v>34078</v>
      </c>
      <c r="B34079" s="2" t="str">
        <f>IFERROR(__xludf.DUMMYFUNCTION("GOOGLETRANSLATE(A34079, ""de"", ""en"")"),"influences")</f>
        <v>influences</v>
      </c>
    </row>
    <row r="34080">
      <c r="A34080" s="1" t="s">
        <v>34079</v>
      </c>
      <c r="B34080" s="2" t="str">
        <f>IFERROR(__xludf.DUMMYFUNCTION("GOOGLETRANSLATE(A34080, ""de"", ""en"")"),"dagwood")</f>
        <v>dagwood</v>
      </c>
    </row>
    <row r="34081">
      <c r="A34081" s="1" t="s">
        <v>34080</v>
      </c>
      <c r="B34081" s="2" t="str">
        <f>IFERROR(__xludf.DUMMYFUNCTION("GOOGLETRANSLATE(A34081, ""de"", ""en"")"),"gower")</f>
        <v>gower</v>
      </c>
    </row>
    <row r="34082">
      <c r="A34082" s="1" t="s">
        <v>34081</v>
      </c>
      <c r="B34082" s="2" t="str">
        <f>IFERROR(__xludf.DUMMYFUNCTION("GOOGLETRANSLATE(A34082, ""de"", ""en"")"),"transmitter")</f>
        <v>transmitter</v>
      </c>
    </row>
    <row r="34083">
      <c r="A34083" s="1" t="s">
        <v>34082</v>
      </c>
      <c r="B34083" s="2" t="str">
        <f>IFERROR(__xludf.DUMMYFUNCTION("GOOGLETRANSLATE(A34083, ""de"", ""en"")"),"afro")</f>
        <v>afro</v>
      </c>
    </row>
    <row r="34084">
      <c r="A34084" s="1" t="s">
        <v>34083</v>
      </c>
      <c r="B34084" s="2" t="str">
        <f>IFERROR(__xludf.DUMMYFUNCTION("GOOGLETRANSLATE(A34084, ""de"", ""en"")"),"hana")</f>
        <v>hana</v>
      </c>
    </row>
    <row r="34085">
      <c r="A34085" s="1" t="s">
        <v>34084</v>
      </c>
      <c r="B34085" s="2" t="str">
        <f>IFERROR(__xludf.DUMMYFUNCTION("GOOGLETRANSLATE(A34085, ""de"", ""en"")"),"supply")</f>
        <v>supply</v>
      </c>
    </row>
    <row r="34086">
      <c r="A34086" s="1" t="s">
        <v>34085</v>
      </c>
      <c r="B34086" s="2" t="str">
        <f>IFERROR(__xludf.DUMMYFUNCTION("GOOGLETRANSLATE(A34086, ""de"", ""en"")"),"ravioli")</f>
        <v>ravioli</v>
      </c>
    </row>
    <row r="34087">
      <c r="A34087" s="1" t="s">
        <v>34086</v>
      </c>
      <c r="B34087" s="2" t="str">
        <f>IFERROR(__xludf.DUMMYFUNCTION("GOOGLETRANSLATE(A34087, ""de"", ""en"")"),"clear as day")</f>
        <v>clear as day</v>
      </c>
    </row>
    <row r="34088">
      <c r="A34088" s="1" t="s">
        <v>34087</v>
      </c>
      <c r="B34088" s="2" t="str">
        <f>IFERROR(__xludf.DUMMYFUNCTION("GOOGLETRANSLATE(A34088, ""de"", ""en"")"),"arrangements")</f>
        <v>arrangements</v>
      </c>
    </row>
    <row r="34089">
      <c r="A34089" s="1" t="s">
        <v>34088</v>
      </c>
      <c r="B34089" s="2" t="str">
        <f>IFERROR(__xludf.DUMMYFUNCTION("GOOGLETRANSLATE(A34089, ""de"", ""en"")"),"hoard")</f>
        <v>hoard</v>
      </c>
    </row>
    <row r="34090">
      <c r="A34090" s="1" t="s">
        <v>34089</v>
      </c>
      <c r="B34090" s="2" t="str">
        <f>IFERROR(__xludf.DUMMYFUNCTION("GOOGLETRANSLATE(A34090, ""de"", ""en"")"),"amazing")</f>
        <v>amazing</v>
      </c>
    </row>
    <row r="34091">
      <c r="A34091" s="1" t="s">
        <v>34090</v>
      </c>
      <c r="B34091" s="2" t="str">
        <f>IFERROR(__xludf.DUMMYFUNCTION("GOOGLETRANSLATE(A34091, ""de"", ""en"")"),"trumpeter")</f>
        <v>trumpeter</v>
      </c>
    </row>
    <row r="34092">
      <c r="A34092" s="1" t="s">
        <v>34091</v>
      </c>
      <c r="B34092" s="2" t="str">
        <f>IFERROR(__xludf.DUMMYFUNCTION("GOOGLETRANSLATE(A34092, ""de"", ""en"")"),"viceroy")</f>
        <v>viceroy</v>
      </c>
    </row>
    <row r="34093">
      <c r="A34093" s="1" t="s">
        <v>34092</v>
      </c>
      <c r="B34093" s="2" t="str">
        <f>IFERROR(__xludf.DUMMYFUNCTION("GOOGLETRANSLATE(A34093, ""de"", ""en"")"),"freezer")</f>
        <v>freezer</v>
      </c>
    </row>
    <row r="34094">
      <c r="A34094" s="1" t="s">
        <v>34093</v>
      </c>
      <c r="B34094" s="2" t="str">
        <f>IFERROR(__xludf.DUMMYFUNCTION("GOOGLETRANSLATE(A34094, ""de"", ""en"")"),"to attach")</f>
        <v>to attach</v>
      </c>
    </row>
    <row r="34095">
      <c r="A34095" s="1" t="s">
        <v>34094</v>
      </c>
      <c r="B34095" s="2" t="str">
        <f>IFERROR(__xludf.DUMMYFUNCTION("GOOGLETRANSLATE(A34095, ""de"", ""en"")"),"joon")</f>
        <v>joon</v>
      </c>
    </row>
    <row r="34096">
      <c r="A34096" s="1" t="s">
        <v>34095</v>
      </c>
      <c r="B34096" s="2" t="str">
        <f>IFERROR(__xludf.DUMMYFUNCTION("GOOGLETRANSLATE(A34096, ""de"", ""en"")"),"turns on")</f>
        <v>turns on</v>
      </c>
    </row>
    <row r="34097">
      <c r="A34097" s="1" t="s">
        <v>34096</v>
      </c>
      <c r="B34097" s="2" t="str">
        <f>IFERROR(__xludf.DUMMYFUNCTION("GOOGLETRANSLATE(A34097, ""de"", ""en"")"),"detail")</f>
        <v>detail</v>
      </c>
    </row>
    <row r="34098">
      <c r="A34098" s="1" t="s">
        <v>34097</v>
      </c>
      <c r="B34098" s="2" t="str">
        <f>IFERROR(__xludf.DUMMYFUNCTION("GOOGLETRANSLATE(A34098, ""de"", ""en"")"),"realexcav")</f>
        <v>realexcav</v>
      </c>
    </row>
    <row r="34099">
      <c r="A34099" s="1" t="s">
        <v>34098</v>
      </c>
      <c r="B34099" s="2" t="str">
        <f>IFERROR(__xludf.DUMMYFUNCTION("GOOGLETRANSLATE(A34099, ""de"", ""en"")"),"South Pole")</f>
        <v>South Pole</v>
      </c>
    </row>
    <row r="34100">
      <c r="A34100" s="1" t="s">
        <v>34099</v>
      </c>
      <c r="B34100" s="2" t="str">
        <f>IFERROR(__xludf.DUMMYFUNCTION("GOOGLETRANSLATE(A34100, ""de"", ""en"")"),"cohesion")</f>
        <v>cohesion</v>
      </c>
    </row>
    <row r="34101">
      <c r="A34101" s="1" t="s">
        <v>34100</v>
      </c>
      <c r="B34101" s="2" t="str">
        <f>IFERROR(__xludf.DUMMYFUNCTION("GOOGLETRANSLATE(A34101, ""de"", ""en"")"),"bring out")</f>
        <v>bring out</v>
      </c>
    </row>
    <row r="34102">
      <c r="A34102" s="1" t="s">
        <v>34101</v>
      </c>
      <c r="B34102" s="2" t="str">
        <f>IFERROR(__xludf.DUMMYFUNCTION("GOOGLETRANSLATE(A34102, ""de"", ""en"")"),"protection money")</f>
        <v>protection money</v>
      </c>
    </row>
    <row r="34103">
      <c r="A34103" s="1" t="s">
        <v>34102</v>
      </c>
      <c r="B34103" s="2" t="str">
        <f>IFERROR(__xludf.DUMMYFUNCTION("GOOGLETRANSLATE(A34103, ""de"", ""en"")"),"airline")</f>
        <v>airline</v>
      </c>
    </row>
    <row r="34104">
      <c r="A34104" s="1" t="s">
        <v>34103</v>
      </c>
      <c r="B34104" s="2" t="str">
        <f>IFERROR(__xludf.DUMMYFUNCTION("GOOGLETRANSLATE(A34104, ""de"", ""en"")"),"crank")</f>
        <v>crank</v>
      </c>
    </row>
    <row r="34105">
      <c r="A34105" s="1" t="s">
        <v>34104</v>
      </c>
      <c r="B34105" s="2" t="str">
        <f>IFERROR(__xludf.DUMMYFUNCTION("GOOGLETRANSLATE(A34105, ""de"", ""en"")"),"to insert")</f>
        <v>to insert</v>
      </c>
    </row>
    <row r="34106">
      <c r="A34106" s="1" t="s">
        <v>34105</v>
      </c>
      <c r="B34106" s="2" t="str">
        <f>IFERROR(__xludf.DUMMYFUNCTION("GOOGLETRANSLATE(A34106, ""de"", ""en"")"),"knowingly")</f>
        <v>knowingly</v>
      </c>
    </row>
    <row r="34107">
      <c r="A34107" s="1" t="s">
        <v>34106</v>
      </c>
      <c r="B34107" s="2" t="str">
        <f>IFERROR(__xludf.DUMMYFUNCTION("GOOGLETRANSLATE(A34107, ""de"", ""en"")"),"envelope")</f>
        <v>envelope</v>
      </c>
    </row>
    <row r="34108">
      <c r="A34108" s="1" t="s">
        <v>34107</v>
      </c>
      <c r="B34108" s="2" t="str">
        <f>IFERROR(__xludf.DUMMYFUNCTION("GOOGLETRANSLATE(A34108, ""de"", ""en"")"),"theo")</f>
        <v>theo</v>
      </c>
    </row>
    <row r="34109">
      <c r="A34109" s="1" t="s">
        <v>34108</v>
      </c>
      <c r="B34109" s="2" t="str">
        <f>IFERROR(__xludf.DUMMYFUNCTION("GOOGLETRANSLATE(A34109, ""de"", ""en"")"),"suresh")</f>
        <v>suresh</v>
      </c>
    </row>
    <row r="34110">
      <c r="A34110" s="1" t="s">
        <v>34109</v>
      </c>
      <c r="B34110" s="2" t="str">
        <f>IFERROR(__xludf.DUMMYFUNCTION("GOOGLETRANSLATE(A34110, ""de"", ""en"")"),"deathbed")</f>
        <v>deathbed</v>
      </c>
    </row>
    <row r="34111">
      <c r="A34111" s="1" t="s">
        <v>34110</v>
      </c>
      <c r="B34111" s="2" t="str">
        <f>IFERROR(__xludf.DUMMYFUNCTION("GOOGLETRANSLATE(A34111, ""de"", ""en"")"),"snipers")</f>
        <v>snipers</v>
      </c>
    </row>
    <row r="34112">
      <c r="A34112" s="1" t="s">
        <v>34111</v>
      </c>
      <c r="B34112" s="2" t="str">
        <f>IFERROR(__xludf.DUMMYFUNCTION("GOOGLETRANSLATE(A34112, ""de"", ""en"")"),"bloodberry")</f>
        <v>bloodberry</v>
      </c>
    </row>
    <row r="34113">
      <c r="A34113" s="1" t="s">
        <v>34112</v>
      </c>
      <c r="B34113" s="2" t="str">
        <f>IFERROR(__xludf.DUMMYFUNCTION("GOOGLETRANSLATE(A34113, ""de"", ""en"")"),"honorable")</f>
        <v>honorable</v>
      </c>
    </row>
    <row r="34114">
      <c r="A34114" s="1" t="s">
        <v>34113</v>
      </c>
      <c r="B34114" s="2" t="str">
        <f>IFERROR(__xludf.DUMMYFUNCTION("GOOGLETRANSLATE(A34114, ""de"", ""en"")"),"index")</f>
        <v>index</v>
      </c>
    </row>
    <row r="34115">
      <c r="A34115" s="1" t="s">
        <v>34114</v>
      </c>
      <c r="B34115" s="2" t="str">
        <f>IFERROR(__xludf.DUMMYFUNCTION("GOOGLETRANSLATE(A34115, ""de"", ""en"")"),"weapons of mass destruction")</f>
        <v>weapons of mass destruction</v>
      </c>
    </row>
    <row r="34116">
      <c r="A34116" s="1" t="s">
        <v>34115</v>
      </c>
      <c r="B34116" s="2" t="str">
        <f>IFERROR(__xludf.DUMMYFUNCTION("GOOGLETRANSLATE(A34116, ""de"", ""en"")"),"wooden")</f>
        <v>wooden</v>
      </c>
    </row>
    <row r="34117">
      <c r="A34117" s="1" t="s">
        <v>34116</v>
      </c>
      <c r="B34117" s="2" t="str">
        <f>IFERROR(__xludf.DUMMYFUNCTION("GOOGLETRANSLATE(A34117, ""de"", ""en"")"),"Leonid")</f>
        <v>Leonid</v>
      </c>
    </row>
    <row r="34118">
      <c r="A34118" s="1" t="s">
        <v>34117</v>
      </c>
      <c r="B34118" s="2" t="str">
        <f>IFERROR(__xludf.DUMMYFUNCTION("GOOGLETRANSLATE(A34118, ""de"", ""en"")"),"watanabe")</f>
        <v>watanabe</v>
      </c>
    </row>
    <row r="34119">
      <c r="A34119" s="1" t="s">
        <v>34118</v>
      </c>
      <c r="B34119" s="2" t="str">
        <f>IFERROR(__xludf.DUMMYFUNCTION("GOOGLETRANSLATE(A34119, ""de"", ""en"")"),"ages")</f>
        <v>ages</v>
      </c>
    </row>
    <row r="34120">
      <c r="A34120" s="1" t="s">
        <v>34119</v>
      </c>
      <c r="B34120" s="2" t="str">
        <f>IFERROR(__xludf.DUMMYFUNCTION("GOOGLETRANSLATE(A34120, ""de"", ""en"")"),"hollow")</f>
        <v>hollow</v>
      </c>
    </row>
    <row r="34121">
      <c r="A34121" s="1" t="s">
        <v>34120</v>
      </c>
      <c r="B34121" s="2" t="str">
        <f>IFERROR(__xludf.DUMMYFUNCTION("GOOGLETRANSLATE(A34121, ""de"", ""en"")"),"air pressure")</f>
        <v>air pressure</v>
      </c>
    </row>
    <row r="34122">
      <c r="A34122" s="1" t="s">
        <v>34121</v>
      </c>
      <c r="B34122" s="2" t="str">
        <f>IFERROR(__xludf.DUMMYFUNCTION("GOOGLETRANSLATE(A34122, ""de"", ""en"")"),"skaikru")</f>
        <v>skaikru</v>
      </c>
    </row>
    <row r="34123">
      <c r="A34123" s="1" t="s">
        <v>34122</v>
      </c>
      <c r="B34123" s="2" t="str">
        <f>IFERROR(__xludf.DUMMYFUNCTION("GOOGLETRANSLATE(A34123, ""de"", ""en"")"),"takahashi")</f>
        <v>takahashi</v>
      </c>
    </row>
    <row r="34124">
      <c r="A34124" s="1" t="s">
        <v>34123</v>
      </c>
      <c r="B34124" s="2" t="str">
        <f>IFERROR(__xludf.DUMMYFUNCTION("GOOGLETRANSLATE(A34124, ""de"", ""en"")"),"to shoot down")</f>
        <v>to shoot down</v>
      </c>
    </row>
    <row r="34125">
      <c r="A34125" s="1" t="s">
        <v>34124</v>
      </c>
      <c r="B34125" s="2" t="str">
        <f>IFERROR(__xludf.DUMMYFUNCTION("GOOGLETRANSLATE(A34125, ""de"", ""en"")"),"rehearses")</f>
        <v>rehearses</v>
      </c>
    </row>
    <row r="34126">
      <c r="A34126" s="1" t="s">
        <v>34125</v>
      </c>
      <c r="B34126" s="2" t="str">
        <f>IFERROR(__xludf.DUMMYFUNCTION("GOOGLETRANSLATE(A34126, ""de"", ""en"")"),"private property")</f>
        <v>private property</v>
      </c>
    </row>
    <row r="34127">
      <c r="A34127" s="1" t="s">
        <v>34126</v>
      </c>
      <c r="B34127" s="2" t="str">
        <f>IFERROR(__xludf.DUMMYFUNCTION("GOOGLETRANSLATE(A34127, ""de"", ""en"")"),"hardcore")</f>
        <v>hardcore</v>
      </c>
    </row>
    <row r="34128">
      <c r="A34128" s="1" t="s">
        <v>34127</v>
      </c>
      <c r="B34128" s="2" t="str">
        <f>IFERROR(__xludf.DUMMYFUNCTION("GOOGLETRANSLATE(A34128, ""de"", ""en"")"),"Parker's")</f>
        <v>Parker's</v>
      </c>
    </row>
    <row r="34129">
      <c r="A34129" s="1" t="s">
        <v>34128</v>
      </c>
      <c r="B34129" s="2" t="str">
        <f>IFERROR(__xludf.DUMMYFUNCTION("GOOGLETRANSLATE(A34129, ""de"", ""en"")"),"logbooks")</f>
        <v>logbooks</v>
      </c>
    </row>
    <row r="34130">
      <c r="A34130" s="1" t="s">
        <v>34129</v>
      </c>
      <c r="B34130" s="2" t="str">
        <f>IFERROR(__xludf.DUMMYFUNCTION("GOOGLETRANSLATE(A34130, ""de"", ""en"")"),"ikea")</f>
        <v>ikea</v>
      </c>
    </row>
    <row r="34131">
      <c r="A34131" s="1" t="s">
        <v>34130</v>
      </c>
      <c r="B34131" s="2" t="str">
        <f>IFERROR(__xludf.DUMMYFUNCTION("GOOGLETRANSLATE(A34131, ""de"", ""en"")"),"there it says")</f>
        <v>there it says</v>
      </c>
    </row>
    <row r="34132">
      <c r="A34132" s="1" t="s">
        <v>34131</v>
      </c>
      <c r="B34132" s="2" t="str">
        <f>IFERROR(__xludf.DUMMYFUNCTION("GOOGLETRANSLATE(A34132, ""de"", ""en"")"),"batsman")</f>
        <v>batsman</v>
      </c>
    </row>
    <row r="34133">
      <c r="A34133" s="1" t="s">
        <v>34132</v>
      </c>
      <c r="B34133" s="2" t="str">
        <f>IFERROR(__xludf.DUMMYFUNCTION("GOOGLETRANSLATE(A34133, ""de"", ""en"")"),"toxic waste")</f>
        <v>toxic waste</v>
      </c>
    </row>
    <row r="34134">
      <c r="A34134" s="1" t="s">
        <v>34133</v>
      </c>
      <c r="B34134" s="2" t="str">
        <f>IFERROR(__xludf.DUMMYFUNCTION("GOOGLETRANSLATE(A34134, ""de"", ""en"")"),"aurore")</f>
        <v>aurore</v>
      </c>
    </row>
    <row r="34135">
      <c r="A34135" s="1" t="s">
        <v>34134</v>
      </c>
      <c r="B34135" s="2" t="str">
        <f>IFERROR(__xludf.DUMMYFUNCTION("GOOGLETRANSLATE(A34135, ""de"", ""en"")"),"call")</f>
        <v>call</v>
      </c>
    </row>
    <row r="34136">
      <c r="A34136" s="1" t="s">
        <v>34135</v>
      </c>
      <c r="B34136" s="2" t="str">
        <f>IFERROR(__xludf.DUMMYFUNCTION("GOOGLETRANSLATE(A34136, ""de"", ""en"")"),"penne")</f>
        <v>penne</v>
      </c>
    </row>
    <row r="34137">
      <c r="A34137" s="1" t="s">
        <v>34136</v>
      </c>
      <c r="B34137" s="2" t="str">
        <f>IFERROR(__xludf.DUMMYFUNCTION("GOOGLETRANSLATE(A34137, ""de"", ""en"")"),"grinds")</f>
        <v>grinds</v>
      </c>
    </row>
    <row r="34138">
      <c r="A34138" s="1" t="s">
        <v>34137</v>
      </c>
      <c r="B34138" s="2" t="str">
        <f>IFERROR(__xludf.DUMMYFUNCTION("GOOGLETRANSLATE(A34138, ""de"", ""en"")"),"football team")</f>
        <v>football team</v>
      </c>
    </row>
    <row r="34139">
      <c r="A34139" s="1" t="s">
        <v>34138</v>
      </c>
      <c r="B34139" s="2" t="str">
        <f>IFERROR(__xludf.DUMMYFUNCTION("GOOGLETRANSLATE(A34139, ""de"", ""en"")"),"tax collector")</f>
        <v>tax collector</v>
      </c>
    </row>
    <row r="34140">
      <c r="A34140" s="1" t="s">
        <v>34139</v>
      </c>
      <c r="B34140" s="2" t="str">
        <f>IFERROR(__xludf.DUMMYFUNCTION("GOOGLETRANSLATE(A34140, ""de"", ""en"")"),"kari")</f>
        <v>kari</v>
      </c>
    </row>
    <row r="34141">
      <c r="A34141" s="1" t="s">
        <v>34140</v>
      </c>
      <c r="B34141" s="2" t="str">
        <f>IFERROR(__xludf.DUMMYFUNCTION("GOOGLETRANSLATE(A34141, ""de"", ""en"")"),"steroids")</f>
        <v>steroids</v>
      </c>
    </row>
    <row r="34142">
      <c r="A34142" s="1" t="s">
        <v>34141</v>
      </c>
      <c r="B34142" s="2" t="str">
        <f>IFERROR(__xludf.DUMMYFUNCTION("GOOGLETRANSLATE(A34142, ""de"", ""en"")"),"declaration of love")</f>
        <v>declaration of love</v>
      </c>
    </row>
    <row r="34143">
      <c r="A34143" s="1" t="s">
        <v>34142</v>
      </c>
      <c r="B34143" s="2" t="str">
        <f>IFERROR(__xludf.DUMMYFUNCTION("GOOGLETRANSLATE(A34143, ""de"", ""en"")"),"note")</f>
        <v>note</v>
      </c>
    </row>
    <row r="34144">
      <c r="A34144" s="1" t="s">
        <v>34143</v>
      </c>
      <c r="B34144" s="2" t="str">
        <f>IFERROR(__xludf.DUMMYFUNCTION("GOOGLETRANSLATE(A34144, ""de"", ""en"")"),"cracker")</f>
        <v>cracker</v>
      </c>
    </row>
    <row r="34145">
      <c r="A34145" s="1" t="s">
        <v>34144</v>
      </c>
      <c r="B34145" s="2" t="str">
        <f>IFERROR(__xludf.DUMMYFUNCTION("GOOGLETRANSLATE(A34145, ""de"", ""en"")"),"Chernobyl")</f>
        <v>Chernobyl</v>
      </c>
    </row>
    <row r="34146">
      <c r="A34146" s="1" t="s">
        <v>34145</v>
      </c>
      <c r="B34146" s="2" t="str">
        <f>IFERROR(__xludf.DUMMYFUNCTION("GOOGLETRANSLATE(A34146, ""de"", ""en"")"),"google it")</f>
        <v>google it</v>
      </c>
    </row>
    <row r="34147">
      <c r="A34147" s="1" t="s">
        <v>34146</v>
      </c>
      <c r="B34147" s="2" t="str">
        <f>IFERROR(__xludf.DUMMYFUNCTION("GOOGLETRANSLATE(A34147, ""de"", ""en"")"),"important")</f>
        <v>important</v>
      </c>
    </row>
    <row r="34148">
      <c r="A34148" s="1" t="s">
        <v>34147</v>
      </c>
      <c r="B34148" s="2" t="str">
        <f>IFERROR(__xludf.DUMMYFUNCTION("GOOGLETRANSLATE(A34148, ""de"", ""en"")"),"ramone")</f>
        <v>ramone</v>
      </c>
    </row>
    <row r="34149">
      <c r="A34149" s="1" t="s">
        <v>34148</v>
      </c>
      <c r="B34149" s="2" t="str">
        <f>IFERROR(__xludf.DUMMYFUNCTION("GOOGLETRANSLATE(A34149, ""de"", ""en"")"),"imogene")</f>
        <v>imogene</v>
      </c>
    </row>
    <row r="34150">
      <c r="A34150" s="1" t="s">
        <v>34149</v>
      </c>
      <c r="B34150" s="2" t="str">
        <f>IFERROR(__xludf.DUMMYFUNCTION("GOOGLETRANSLATE(A34150, ""de"", ""en"")"),"pinkman")</f>
        <v>pinkman</v>
      </c>
    </row>
    <row r="34151">
      <c r="A34151" s="1" t="s">
        <v>34150</v>
      </c>
      <c r="B34151" s="2" t="str">
        <f>IFERROR(__xludf.DUMMYFUNCTION("GOOGLETRANSLATE(A34151, ""de"", ""en"")"),"highways")</f>
        <v>highways</v>
      </c>
    </row>
    <row r="34152">
      <c r="A34152" s="1" t="s">
        <v>34151</v>
      </c>
      <c r="B34152" s="2" t="str">
        <f>IFERROR(__xludf.DUMMYFUNCTION("GOOGLETRANSLATE(A34152, ""de"", ""en"")"),"sue")</f>
        <v>sue</v>
      </c>
    </row>
    <row r="34153">
      <c r="A34153" s="1" t="s">
        <v>34152</v>
      </c>
      <c r="B34153" s="2" t="str">
        <f>IFERROR(__xludf.DUMMYFUNCTION("GOOGLETRANSLATE(A34153, ""de"", ""en"")"),"haller")</f>
        <v>haller</v>
      </c>
    </row>
    <row r="34154">
      <c r="A34154" s="1" t="s">
        <v>34153</v>
      </c>
      <c r="B34154" s="2" t="str">
        <f>IFERROR(__xludf.DUMMYFUNCTION("GOOGLETRANSLATE(A34154, ""de"", ""en"")"),"cod")</f>
        <v>cod</v>
      </c>
    </row>
    <row r="34155">
      <c r="A34155" s="1" t="s">
        <v>34154</v>
      </c>
      <c r="B34155" s="2" t="str">
        <f>IFERROR(__xludf.DUMMYFUNCTION("GOOGLETRANSLATE(A34155, ""de"", ""en"")"),"eighth")</f>
        <v>eighth</v>
      </c>
    </row>
    <row r="34156">
      <c r="A34156" s="1" t="s">
        <v>34155</v>
      </c>
      <c r="B34156" s="2" t="str">
        <f>IFERROR(__xludf.DUMMYFUNCTION("GOOGLETRANSLATE(A34156, ""de"", ""en"")"),"grange")</f>
        <v>grange</v>
      </c>
    </row>
    <row r="34157">
      <c r="A34157" s="1" t="s">
        <v>34156</v>
      </c>
      <c r="B34157" s="2" t="str">
        <f>IFERROR(__xludf.DUMMYFUNCTION("GOOGLETRANSLATE(A34157, ""de"", ""en"")"),"do-it-yourself king")</f>
        <v>do-it-yourself king</v>
      </c>
    </row>
    <row r="34158">
      <c r="A34158" s="1" t="s">
        <v>34157</v>
      </c>
      <c r="B34158" s="2" t="str">
        <f>IFERROR(__xludf.DUMMYFUNCTION("GOOGLETRANSLATE(A34158, ""de"", ""en"")"),"carbon dioxide")</f>
        <v>carbon dioxide</v>
      </c>
    </row>
    <row r="34159">
      <c r="A34159" s="1" t="s">
        <v>34158</v>
      </c>
      <c r="B34159" s="2" t="str">
        <f>IFERROR(__xludf.DUMMYFUNCTION("GOOGLETRANSLATE(A34159, ""de"", ""en"")"),"paid")</f>
        <v>paid</v>
      </c>
    </row>
    <row r="34160">
      <c r="A34160" s="1" t="s">
        <v>34159</v>
      </c>
      <c r="B34160" s="2" t="str">
        <f>IFERROR(__xludf.DUMMYFUNCTION("GOOGLETRANSLATE(A34160, ""de"", ""en"")"),"fangs")</f>
        <v>fangs</v>
      </c>
    </row>
    <row r="34161">
      <c r="A34161" s="1" t="s">
        <v>34160</v>
      </c>
      <c r="B34161" s="2" t="str">
        <f>IFERROR(__xludf.DUMMYFUNCTION("GOOGLETRANSLATE(A34161, ""de"", ""en"")"),"so many")</f>
        <v>so many</v>
      </c>
    </row>
    <row r="34162">
      <c r="A34162" s="1" t="s">
        <v>34161</v>
      </c>
      <c r="B34162" s="2" t="str">
        <f>IFERROR(__xludf.DUMMYFUNCTION("GOOGLETRANSLATE(A34162, ""de"", ""en"")"),"baileys")</f>
        <v>baileys</v>
      </c>
    </row>
    <row r="34163">
      <c r="A34163" s="1" t="s">
        <v>34162</v>
      </c>
      <c r="B34163" s="2" t="str">
        <f>IFERROR(__xludf.DUMMYFUNCTION("GOOGLETRANSLATE(A34163, ""de"", ""en"")"),"boon")</f>
        <v>boon</v>
      </c>
    </row>
    <row r="34164">
      <c r="A34164" s="1" t="s">
        <v>34163</v>
      </c>
      <c r="B34164" s="2" t="str">
        <f>IFERROR(__xludf.DUMMYFUNCTION("GOOGLETRANSLATE(A34164, ""de"", ""en"")"),"bunchy")</f>
        <v>bunchy</v>
      </c>
    </row>
    <row r="34165">
      <c r="A34165" s="1" t="s">
        <v>34164</v>
      </c>
      <c r="B34165" s="2" t="str">
        <f>IFERROR(__xludf.DUMMYFUNCTION("GOOGLETRANSLATE(A34165, ""de"", ""en"")"),"cruelties")</f>
        <v>cruelties</v>
      </c>
    </row>
    <row r="34166">
      <c r="A34166" s="1" t="s">
        <v>34165</v>
      </c>
      <c r="B34166" s="2" t="str">
        <f>IFERROR(__xludf.DUMMYFUNCTION("GOOGLETRANSLATE(A34166, ""de"", ""en"")"),"bend over")</f>
        <v>bend over</v>
      </c>
    </row>
    <row r="34167">
      <c r="A34167" s="1" t="s">
        <v>34166</v>
      </c>
      <c r="B34167" s="2" t="str">
        <f>IFERROR(__xludf.DUMMYFUNCTION("GOOGLETRANSLATE(A34167, ""de"", ""en"")"),"fuck")</f>
        <v>fuck</v>
      </c>
    </row>
    <row r="34168">
      <c r="A34168" s="1" t="s">
        <v>34167</v>
      </c>
      <c r="B34168" s="2" t="str">
        <f>IFERROR(__xludf.DUMMYFUNCTION("GOOGLETRANSLATE(A34168, ""de"", ""en"")"),"site")</f>
        <v>site</v>
      </c>
    </row>
    <row r="34169">
      <c r="A34169" s="1" t="s">
        <v>34168</v>
      </c>
      <c r="B34169" s="2" t="str">
        <f>IFERROR(__xludf.DUMMYFUNCTION("GOOGLETRANSLATE(A34169, ""de"", ""en"")"),"protector")</f>
        <v>protector</v>
      </c>
    </row>
    <row r="34170">
      <c r="A34170" s="1" t="s">
        <v>34169</v>
      </c>
      <c r="B34170" s="2" t="str">
        <f>IFERROR(__xludf.DUMMYFUNCTION("GOOGLETRANSLATE(A34170, ""de"", ""en"")"),"jordans")</f>
        <v>jordans</v>
      </c>
    </row>
    <row r="34171">
      <c r="A34171" s="1" t="s">
        <v>34170</v>
      </c>
      <c r="B34171" s="2" t="str">
        <f>IFERROR(__xludf.DUMMYFUNCTION("GOOGLETRANSLATE(A34171, ""de"", ""en"")"),"business relationship")</f>
        <v>business relationship</v>
      </c>
    </row>
    <row r="34172">
      <c r="A34172" s="1" t="s">
        <v>34171</v>
      </c>
      <c r="B34172" s="2" t="str">
        <f>IFERROR(__xludf.DUMMYFUNCTION("GOOGLETRANSLATE(A34172, ""de"", ""en"")"),"go for a stroll")</f>
        <v>go for a stroll</v>
      </c>
    </row>
    <row r="34173">
      <c r="A34173" s="1" t="s">
        <v>34172</v>
      </c>
      <c r="B34173" s="2" t="str">
        <f>IFERROR(__xludf.DUMMYFUNCTION("GOOGLETRANSLATE(A34173, ""de"", ""en"")"),"tract")</f>
        <v>tract</v>
      </c>
    </row>
    <row r="34174">
      <c r="A34174" s="1" t="s">
        <v>34173</v>
      </c>
      <c r="B34174" s="2" t="str">
        <f>IFERROR(__xludf.DUMMYFUNCTION("GOOGLETRANSLATE(A34174, ""de"", ""en"")"),"predisposition")</f>
        <v>predisposition</v>
      </c>
    </row>
    <row r="34175">
      <c r="A34175" s="1" t="s">
        <v>34174</v>
      </c>
      <c r="B34175" s="2" t="str">
        <f>IFERROR(__xludf.DUMMYFUNCTION("GOOGLETRANSLATE(A34175, ""de"", ""en"")"),"referee")</f>
        <v>referee</v>
      </c>
    </row>
    <row r="34176">
      <c r="A34176" s="1" t="s">
        <v>34175</v>
      </c>
      <c r="B34176" s="2" t="str">
        <f>IFERROR(__xludf.DUMMYFUNCTION("GOOGLETRANSLATE(A34176, ""de"", ""en"")"),"Heisenberg")</f>
        <v>Heisenberg</v>
      </c>
    </row>
    <row r="34177">
      <c r="A34177" s="1" t="s">
        <v>34176</v>
      </c>
      <c r="B34177" s="2" t="str">
        <f>IFERROR(__xludf.DUMMYFUNCTION("GOOGLETRANSLATE(A34177, ""de"", ""en"")"),"breakfast cereal")</f>
        <v>breakfast cereal</v>
      </c>
    </row>
    <row r="34178">
      <c r="A34178" s="1" t="s">
        <v>34177</v>
      </c>
      <c r="B34178" s="2" t="str">
        <f>IFERROR(__xludf.DUMMYFUNCTION("GOOGLETRANSLATE(A34178, ""de"", ""en"")"),"Czech")</f>
        <v>Czech</v>
      </c>
    </row>
    <row r="34179">
      <c r="A34179" s="1" t="s">
        <v>34178</v>
      </c>
      <c r="B34179" s="2" t="str">
        <f>IFERROR(__xludf.DUMMYFUNCTION("GOOGLETRANSLATE(A34179, ""de"", ""en"")"),"Steffen")</f>
        <v>Steffen</v>
      </c>
    </row>
    <row r="34180">
      <c r="A34180" s="1" t="s">
        <v>34179</v>
      </c>
      <c r="B34180" s="2" t="str">
        <f>IFERROR(__xludf.DUMMYFUNCTION("GOOGLETRANSLATE(A34180, ""de"", ""en"")"),"strangest")</f>
        <v>strangest</v>
      </c>
    </row>
    <row r="34181">
      <c r="A34181" s="1" t="s">
        <v>34180</v>
      </c>
      <c r="B34181" s="2" t="str">
        <f>IFERROR(__xludf.DUMMYFUNCTION("GOOGLETRANSLATE(A34181, ""de"", ""en"")"),"mila")</f>
        <v>mila</v>
      </c>
    </row>
    <row r="34182">
      <c r="A34182" s="1" t="s">
        <v>34181</v>
      </c>
      <c r="B34182" s="2" t="str">
        <f>IFERROR(__xludf.DUMMYFUNCTION("GOOGLETRANSLATE(A34182, ""de"", ""en"")"),"daye")</f>
        <v>daye</v>
      </c>
    </row>
    <row r="34183">
      <c r="A34183" s="1" t="s">
        <v>34182</v>
      </c>
      <c r="B34183" s="2" t="str">
        <f>IFERROR(__xludf.DUMMYFUNCTION("GOOGLETRANSLATE(A34183, ""de"", ""en"")"),"blue")</f>
        <v>blue</v>
      </c>
    </row>
    <row r="34184">
      <c r="A34184" s="1" t="s">
        <v>34183</v>
      </c>
      <c r="B34184" s="2" t="str">
        <f>IFERROR(__xludf.DUMMYFUNCTION("GOOGLETRANSLATE(A34184, ""de"", ""en"")"),"more in love")</f>
        <v>more in love</v>
      </c>
    </row>
    <row r="34185">
      <c r="A34185" s="1" t="s">
        <v>34184</v>
      </c>
      <c r="B34185" s="2" t="str">
        <f>IFERROR(__xludf.DUMMYFUNCTION("GOOGLETRANSLATE(A34185, ""de"", ""en"")"),"confessor")</f>
        <v>confessor</v>
      </c>
    </row>
    <row r="34186">
      <c r="A34186" s="1" t="s">
        <v>34185</v>
      </c>
      <c r="B34186" s="2" t="str">
        <f>IFERROR(__xludf.DUMMYFUNCTION("GOOGLETRANSLATE(A34186, ""de"", ""en"")"),"snap")</f>
        <v>snap</v>
      </c>
    </row>
    <row r="34187">
      <c r="A34187" s="1" t="s">
        <v>34186</v>
      </c>
      <c r="B34187" s="2" t="str">
        <f>IFERROR(__xludf.DUMMYFUNCTION("GOOGLETRANSLATE(A34187, ""de"", ""en"")"),"starting")</f>
        <v>starting</v>
      </c>
    </row>
    <row r="34188">
      <c r="A34188" s="1" t="s">
        <v>34187</v>
      </c>
      <c r="B34188" s="2" t="str">
        <f>IFERROR(__xludf.DUMMYFUNCTION("GOOGLETRANSLATE(A34188, ""de"", ""en"")"),"dive bar")</f>
        <v>dive bar</v>
      </c>
    </row>
    <row r="34189">
      <c r="A34189" s="1" t="s">
        <v>34188</v>
      </c>
      <c r="B34189" s="2" t="str">
        <f>IFERROR(__xludf.DUMMYFUNCTION("GOOGLETRANSLATE(A34189, ""de"", ""en"")"),"Denham")</f>
        <v>Denham</v>
      </c>
    </row>
    <row r="34190">
      <c r="A34190" s="1" t="s">
        <v>34189</v>
      </c>
      <c r="B34190" s="2" t="str">
        <f>IFERROR(__xludf.DUMMYFUNCTION("GOOGLETRANSLATE(A34190, ""de"", ""en"")"),"hallucinate")</f>
        <v>hallucinate</v>
      </c>
    </row>
    <row r="34191">
      <c r="A34191" s="1" t="s">
        <v>34190</v>
      </c>
      <c r="B34191" s="2" t="str">
        <f>IFERROR(__xludf.DUMMYFUNCTION("GOOGLETRANSLATE(A34191, ""de"", ""en"")"),"disinherited")</f>
        <v>disinherited</v>
      </c>
    </row>
    <row r="34192">
      <c r="A34192" s="1" t="s">
        <v>34191</v>
      </c>
      <c r="B34192" s="2" t="str">
        <f>IFERROR(__xludf.DUMMYFUNCTION("GOOGLETRANSLATE(A34192, ""de"", ""en"")"),"Rebecca")</f>
        <v>Rebecca</v>
      </c>
    </row>
    <row r="34193">
      <c r="A34193" s="1" t="s">
        <v>34192</v>
      </c>
      <c r="B34193" s="2" t="str">
        <f>IFERROR(__xludf.DUMMYFUNCTION("GOOGLETRANSLATE(A34193, ""de"", ""en"")"),"judicial")</f>
        <v>judicial</v>
      </c>
    </row>
    <row r="34194">
      <c r="A34194" s="1" t="s">
        <v>34193</v>
      </c>
      <c r="B34194" s="2" t="str">
        <f>IFERROR(__xludf.DUMMYFUNCTION("GOOGLETRANSLATE(A34194, ""de"", ""en"")"),"brubaker")</f>
        <v>brubaker</v>
      </c>
    </row>
    <row r="34195">
      <c r="A34195" s="1" t="s">
        <v>34194</v>
      </c>
      <c r="B34195" s="2" t="str">
        <f>IFERROR(__xludf.DUMMYFUNCTION("GOOGLETRANSLATE(A34195, ""de"", ""en"")"),"more merciful")</f>
        <v>more merciful</v>
      </c>
    </row>
    <row r="34196">
      <c r="A34196" s="1" t="s">
        <v>34195</v>
      </c>
      <c r="B34196" s="2" t="str">
        <f>IFERROR(__xludf.DUMMYFUNCTION("GOOGLETRANSLATE(A34196, ""de"", ""en"")"),"oona")</f>
        <v>oona</v>
      </c>
    </row>
    <row r="34197">
      <c r="A34197" s="1" t="s">
        <v>34196</v>
      </c>
      <c r="B34197" s="2" t="str">
        <f>IFERROR(__xludf.DUMMYFUNCTION("GOOGLETRANSLATE(A34197, ""de"", ""en"")"),"ek")</f>
        <v>ek</v>
      </c>
    </row>
    <row r="34198">
      <c r="A34198" s="1" t="s">
        <v>34197</v>
      </c>
      <c r="B34198" s="2" t="str">
        <f>IFERROR(__xludf.DUMMYFUNCTION("GOOGLETRANSLATE(A34198, ""de"", ""en"")"),"covered")</f>
        <v>covered</v>
      </c>
    </row>
    <row r="34199">
      <c r="A34199" s="1" t="s">
        <v>34198</v>
      </c>
      <c r="B34199" s="2" t="str">
        <f>IFERROR(__xludf.DUMMYFUNCTION("GOOGLETRANSLATE(A34199, ""de"", ""en"")"),"g.w.")</f>
        <v>g.w.</v>
      </c>
    </row>
    <row r="34200">
      <c r="A34200" s="1" t="s">
        <v>34199</v>
      </c>
      <c r="B34200" s="2" t="str">
        <f>IFERROR(__xludf.DUMMYFUNCTION("GOOGLETRANSLATE(A34200, ""de"", ""en"")"),"electrodes")</f>
        <v>electrodes</v>
      </c>
    </row>
    <row r="34201">
      <c r="A34201" s="1" t="s">
        <v>34200</v>
      </c>
      <c r="B34201" s="2" t="str">
        <f>IFERROR(__xludf.DUMMYFUNCTION("GOOGLETRANSLATE(A34201, ""de"", ""en"")"),"oboe")</f>
        <v>oboe</v>
      </c>
    </row>
    <row r="34202">
      <c r="A34202" s="1" t="s">
        <v>34201</v>
      </c>
      <c r="B34202" s="2" t="str">
        <f>IFERROR(__xludf.DUMMYFUNCTION("GOOGLETRANSLATE(A34202, ""de"", ""en"")"),"do-it-yourself king")</f>
        <v>do-it-yourself king</v>
      </c>
    </row>
    <row r="34203">
      <c r="A34203" s="1" t="s">
        <v>34202</v>
      </c>
      <c r="B34203" s="2" t="str">
        <f>IFERROR(__xludf.DUMMYFUNCTION("GOOGLETRANSLATE(A34203, ""de"", ""en"")"),"smeared")</f>
        <v>smeared</v>
      </c>
    </row>
    <row r="34204">
      <c r="A34204" s="1" t="s">
        <v>34203</v>
      </c>
      <c r="B34204" s="2" t="str">
        <f>IFERROR(__xludf.DUMMYFUNCTION("GOOGLETRANSLATE(A34204, ""de"", ""en"")"),"takes off")</f>
        <v>takes off</v>
      </c>
    </row>
    <row r="34205">
      <c r="A34205" s="1" t="s">
        <v>34204</v>
      </c>
      <c r="B34205" s="2" t="str">
        <f>IFERROR(__xludf.DUMMYFUNCTION("GOOGLETRANSLATE(A34205, ""de"", ""en"")"),"moment of surprise")</f>
        <v>moment of surprise</v>
      </c>
    </row>
    <row r="34206">
      <c r="A34206" s="1" t="s">
        <v>34205</v>
      </c>
      <c r="B34206" s="2" t="str">
        <f>IFERROR(__xludf.DUMMYFUNCTION("GOOGLETRANSLATE(A34206, ""de"", ""en"")"),"incidental")</f>
        <v>incidental</v>
      </c>
    </row>
    <row r="34207">
      <c r="A34207" s="1" t="s">
        <v>34206</v>
      </c>
      <c r="B34207" s="2" t="str">
        <f>IFERROR(__xludf.DUMMYFUNCTION("GOOGLETRANSLATE(A34207, ""de"", ""en"")"),"handles")</f>
        <v>handles</v>
      </c>
    </row>
    <row r="34208">
      <c r="A34208" s="1" t="s">
        <v>34207</v>
      </c>
      <c r="B34208" s="2" t="str">
        <f>IFERROR(__xludf.DUMMYFUNCTION("GOOGLETRANSLATE(A34208, ""de"", ""en"")"),"stop")</f>
        <v>stop</v>
      </c>
    </row>
    <row r="34209">
      <c r="A34209" s="1" t="s">
        <v>34208</v>
      </c>
      <c r="B34209" s="2" t="str">
        <f>IFERROR(__xludf.DUMMYFUNCTION("GOOGLETRANSLATE(A34209, ""de"", ""en"")"),"Tabitha")</f>
        <v>Tabitha</v>
      </c>
    </row>
    <row r="34210">
      <c r="A34210" s="1" t="s">
        <v>34209</v>
      </c>
      <c r="B34210" s="2" t="str">
        <f>IFERROR(__xludf.DUMMYFUNCTION("GOOGLETRANSLATE(A34210, ""de"", ""en"")"),"grab hold")</f>
        <v>grab hold</v>
      </c>
    </row>
    <row r="34211">
      <c r="A34211" s="1" t="s">
        <v>34210</v>
      </c>
      <c r="B34211" s="2" t="str">
        <f>IFERROR(__xludf.DUMMYFUNCTION("GOOGLETRANSLATE(A34211, ""de"", ""en"")"),"stones")</f>
        <v>stones</v>
      </c>
    </row>
    <row r="34212">
      <c r="A34212" s="1" t="s">
        <v>34211</v>
      </c>
      <c r="B34212" s="2" t="str">
        <f>IFERROR(__xludf.DUMMYFUNCTION("GOOGLETRANSLATE(A34212, ""de"", ""en"")"),"accesses")</f>
        <v>accesses</v>
      </c>
    </row>
    <row r="34213">
      <c r="A34213" s="1" t="s">
        <v>34212</v>
      </c>
      <c r="B34213" s="2" t="str">
        <f>IFERROR(__xludf.DUMMYFUNCTION("GOOGLETRANSLATE(A34213, ""de"", ""en"")"),"found")</f>
        <v>found</v>
      </c>
    </row>
    <row r="34214">
      <c r="A34214" s="1" t="s">
        <v>34213</v>
      </c>
      <c r="B34214" s="2" t="str">
        <f>IFERROR(__xludf.DUMMYFUNCTION("GOOGLETRANSLATE(A34214, ""de"", ""en"")"),"advances")</f>
        <v>advances</v>
      </c>
    </row>
    <row r="34215">
      <c r="A34215" s="1" t="s">
        <v>34214</v>
      </c>
      <c r="B34215" s="2" t="str">
        <f>IFERROR(__xludf.DUMMYFUNCTION("GOOGLETRANSLATE(A34215, ""de"", ""en"")"),"enoch")</f>
        <v>enoch</v>
      </c>
    </row>
    <row r="34216">
      <c r="A34216" s="1" t="s">
        <v>34215</v>
      </c>
      <c r="B34216" s="2" t="str">
        <f>IFERROR(__xludf.DUMMYFUNCTION("GOOGLETRANSLATE(A34216, ""de"", ""en"")"),"pendulum")</f>
        <v>pendulum</v>
      </c>
    </row>
    <row r="34217">
      <c r="A34217" s="1" t="s">
        <v>34216</v>
      </c>
      <c r="B34217" s="2" t="str">
        <f>IFERROR(__xludf.DUMMYFUNCTION("GOOGLETRANSLATE(A34217, ""de"", ""en"")"),"laertes")</f>
        <v>laertes</v>
      </c>
    </row>
    <row r="34218">
      <c r="A34218" s="1" t="s">
        <v>34217</v>
      </c>
      <c r="B34218" s="2" t="str">
        <f>IFERROR(__xludf.DUMMYFUNCTION("GOOGLETRANSLATE(A34218, ""de"", ""en"")"),"chime")</f>
        <v>chime</v>
      </c>
    </row>
    <row r="34219">
      <c r="A34219" s="1" t="s">
        <v>34218</v>
      </c>
      <c r="B34219" s="2" t="str">
        <f>IFERROR(__xludf.DUMMYFUNCTION("GOOGLETRANSLATE(A34219, ""de"", ""en"")"),"were")</f>
        <v>were</v>
      </c>
    </row>
    <row r="34220">
      <c r="A34220" s="1" t="s">
        <v>34219</v>
      </c>
      <c r="B34220" s="2" t="str">
        <f>IFERROR(__xludf.DUMMYFUNCTION("GOOGLETRANSLATE(A34220, ""de"", ""en"")"),"tiny little ones")</f>
        <v>tiny little ones</v>
      </c>
    </row>
    <row r="34221">
      <c r="A34221" s="1" t="s">
        <v>34220</v>
      </c>
      <c r="B34221" s="2" t="str">
        <f>IFERROR(__xludf.DUMMYFUNCTION("GOOGLETRANSLATE(A34221, ""de"", ""en"")"),"mechanically")</f>
        <v>mechanically</v>
      </c>
    </row>
    <row r="34222">
      <c r="A34222" s="1" t="s">
        <v>34221</v>
      </c>
      <c r="B34222" s="2" t="str">
        <f>IFERROR(__xludf.DUMMYFUNCTION("GOOGLETRANSLATE(A34222, ""de"", ""en"")"),"unhindered")</f>
        <v>unhindered</v>
      </c>
    </row>
    <row r="34223">
      <c r="A34223" s="1" t="s">
        <v>34222</v>
      </c>
      <c r="B34223" s="2" t="str">
        <f>IFERROR(__xludf.DUMMYFUNCTION("GOOGLETRANSLATE(A34223, ""de"", ""en"")"),"close")</f>
        <v>close</v>
      </c>
    </row>
    <row r="34224">
      <c r="A34224" s="1" t="s">
        <v>34223</v>
      </c>
      <c r="B34224" s="2" t="str">
        <f>IFERROR(__xludf.DUMMYFUNCTION("GOOGLETRANSLATE(A34224, ""de"", ""en"")"),"landing zone")</f>
        <v>landing zone</v>
      </c>
    </row>
    <row r="34225">
      <c r="A34225" s="1" t="s">
        <v>34224</v>
      </c>
      <c r="B34225" s="2" t="str">
        <f>IFERROR(__xludf.DUMMYFUNCTION("GOOGLETRANSLATE(A34225, ""de"", ""en"")"),"bardot")</f>
        <v>bardot</v>
      </c>
    </row>
    <row r="34226">
      <c r="A34226" s="1" t="s">
        <v>34225</v>
      </c>
      <c r="B34226" s="2" t="str">
        <f>IFERROR(__xludf.DUMMYFUNCTION("GOOGLETRANSLATE(A34226, ""de"", ""en"")"),"restless")</f>
        <v>restless</v>
      </c>
    </row>
    <row r="34227">
      <c r="A34227" s="1" t="s">
        <v>34226</v>
      </c>
      <c r="B34227" s="2" t="str">
        <f>IFERROR(__xludf.DUMMYFUNCTION("GOOGLETRANSLATE(A34227, ""de"", ""en"")"),"Australian")</f>
        <v>Australian</v>
      </c>
    </row>
    <row r="34228">
      <c r="A34228" s="1" t="s">
        <v>34227</v>
      </c>
      <c r="B34228" s="2" t="str">
        <f>IFERROR(__xludf.DUMMYFUNCTION("GOOGLETRANSLATE(A34228, ""de"", ""en"")"),"theatrical")</f>
        <v>theatrical</v>
      </c>
    </row>
    <row r="34229">
      <c r="A34229" s="1" t="s">
        <v>34228</v>
      </c>
      <c r="B34229" s="2" t="str">
        <f>IFERROR(__xludf.DUMMYFUNCTION("GOOGLETRANSLATE(A34229, ""de"", ""en"")"),"insinuation")</f>
        <v>insinuation</v>
      </c>
    </row>
    <row r="34230">
      <c r="A34230" s="1" t="s">
        <v>34229</v>
      </c>
      <c r="B34230" s="2" t="str">
        <f>IFERROR(__xludf.DUMMYFUNCTION("GOOGLETRANSLATE(A34230, ""de"", ""en"")"),"Grandpa")</f>
        <v>Grandpa</v>
      </c>
    </row>
    <row r="34231">
      <c r="A34231" s="1" t="s">
        <v>34230</v>
      </c>
      <c r="B34231" s="2" t="str">
        <f>IFERROR(__xludf.DUMMYFUNCTION("GOOGLETRANSLATE(A34231, ""de"", ""en"")"),"newbies")</f>
        <v>newbies</v>
      </c>
    </row>
    <row r="34232">
      <c r="A34232" s="1" t="s">
        <v>34231</v>
      </c>
      <c r="B34232" s="2" t="str">
        <f>IFERROR(__xludf.DUMMYFUNCTION("GOOGLETRANSLATE(A34232, ""de"", ""en"")"),"sneaky")</f>
        <v>sneaky</v>
      </c>
    </row>
    <row r="34233">
      <c r="A34233" s="1" t="s">
        <v>34232</v>
      </c>
      <c r="B34233" s="2" t="str">
        <f>IFERROR(__xludf.DUMMYFUNCTION("GOOGLETRANSLATE(A34233, ""de"", ""en"")"),"clumsy")</f>
        <v>clumsy</v>
      </c>
    </row>
    <row r="34234">
      <c r="A34234" s="1" t="s">
        <v>34233</v>
      </c>
      <c r="B34234" s="2" t="str">
        <f>IFERROR(__xludf.DUMMYFUNCTION("GOOGLETRANSLATE(A34234, ""de"", ""en"")"),"honor")</f>
        <v>honor</v>
      </c>
    </row>
    <row r="34235">
      <c r="A34235" s="1" t="s">
        <v>34234</v>
      </c>
      <c r="B34235" s="2" t="str">
        <f>IFERROR(__xludf.DUMMYFUNCTION("GOOGLETRANSLATE(A34235, ""de"", ""en"")"),"reaper")</f>
        <v>reaper</v>
      </c>
    </row>
    <row r="34236">
      <c r="A34236" s="1" t="s">
        <v>34235</v>
      </c>
      <c r="B34236" s="2" t="str">
        <f>IFERROR(__xludf.DUMMYFUNCTION("GOOGLETRANSLATE(A34236, ""de"", ""en"")"),"command")</f>
        <v>command</v>
      </c>
    </row>
    <row r="34237">
      <c r="A34237" s="1" t="s">
        <v>34236</v>
      </c>
      <c r="B34237" s="2" t="str">
        <f>IFERROR(__xludf.DUMMYFUNCTION("GOOGLETRANSLATE(A34237, ""de"", ""en"")"),"crawl")</f>
        <v>crawl</v>
      </c>
    </row>
    <row r="34238">
      <c r="A34238" s="1" t="s">
        <v>34237</v>
      </c>
      <c r="B34238" s="2" t="str">
        <f>IFERROR(__xludf.DUMMYFUNCTION("GOOGLETRANSLATE(A34238, ""de"", ""en"")"),"grandmother's")</f>
        <v>grandmother's</v>
      </c>
    </row>
    <row r="34239">
      <c r="A34239" s="1" t="s">
        <v>34238</v>
      </c>
      <c r="B34239" s="2" t="str">
        <f>IFERROR(__xludf.DUMMYFUNCTION("GOOGLETRANSLATE(A34239, ""de"", ""en"")"),"understandably")</f>
        <v>understandably</v>
      </c>
    </row>
    <row r="34240">
      <c r="A34240" s="1" t="s">
        <v>34239</v>
      </c>
      <c r="B34240" s="2" t="str">
        <f>IFERROR(__xludf.DUMMYFUNCTION("GOOGLETRANSLATE(A34240, ""de"", ""en"")"),"lucys")</f>
        <v>lucys</v>
      </c>
    </row>
    <row r="34241">
      <c r="A34241" s="1" t="s">
        <v>34240</v>
      </c>
      <c r="B34241" s="2" t="str">
        <f>IFERROR(__xludf.DUMMYFUNCTION("GOOGLETRANSLATE(A34241, ""de"", ""en"")"),"completes")</f>
        <v>completes</v>
      </c>
    </row>
    <row r="34242">
      <c r="A34242" s="1" t="s">
        <v>34241</v>
      </c>
      <c r="B34242" s="2" t="str">
        <f>IFERROR(__xludf.DUMMYFUNCTION("GOOGLETRANSLATE(A34242, ""de"", ""en"")"),"suspected")</f>
        <v>suspected</v>
      </c>
    </row>
    <row r="34243">
      <c r="A34243" s="1" t="s">
        <v>34242</v>
      </c>
      <c r="B34243" s="2" t="str">
        <f>IFERROR(__xludf.DUMMYFUNCTION("GOOGLETRANSLATE(A34243, ""de"", ""en"")"),"groped")</f>
        <v>groped</v>
      </c>
    </row>
    <row r="34244">
      <c r="A34244" s="1" t="s">
        <v>34243</v>
      </c>
      <c r="B34244" s="2" t="str">
        <f>IFERROR(__xludf.DUMMYFUNCTION("GOOGLETRANSLATE(A34244, ""de"", ""en"")"),"tino")</f>
        <v>tino</v>
      </c>
    </row>
    <row r="34245">
      <c r="A34245" s="1" t="s">
        <v>34244</v>
      </c>
      <c r="B34245" s="2" t="str">
        <f>IFERROR(__xludf.DUMMYFUNCTION("GOOGLETRANSLATE(A34245, ""de"", ""en"")"),"stimulation")</f>
        <v>stimulation</v>
      </c>
    </row>
    <row r="34246">
      <c r="A34246" s="1" t="s">
        <v>34245</v>
      </c>
      <c r="B34246" s="2" t="str">
        <f>IFERROR(__xludf.DUMMYFUNCTION("GOOGLETRANSLATE(A34246, ""de"", ""en"")"),"boyer")</f>
        <v>boyer</v>
      </c>
    </row>
    <row r="34247">
      <c r="A34247" s="1" t="s">
        <v>34246</v>
      </c>
      <c r="B34247" s="2" t="str">
        <f>IFERROR(__xludf.DUMMYFUNCTION("GOOGLETRANSLATE(A34247, ""de"", ""en"")"),"advertising campaign")</f>
        <v>advertising campaign</v>
      </c>
    </row>
    <row r="34248">
      <c r="A34248" s="1" t="s">
        <v>34247</v>
      </c>
      <c r="B34248" s="2" t="str">
        <f>IFERROR(__xludf.DUMMYFUNCTION("GOOGLETRANSLATE(A34248, ""de"", ""en"")"),"nicolas")</f>
        <v>nicolas</v>
      </c>
    </row>
    <row r="34249">
      <c r="A34249" s="1" t="s">
        <v>34248</v>
      </c>
      <c r="B34249" s="2" t="str">
        <f>IFERROR(__xludf.DUMMYFUNCTION("GOOGLETRANSLATE(A34249, ""de"", ""en"")"),"hellhole")</f>
        <v>hellhole</v>
      </c>
    </row>
    <row r="34250">
      <c r="A34250" s="1" t="s">
        <v>34249</v>
      </c>
      <c r="B34250" s="2" t="str">
        <f>IFERROR(__xludf.DUMMYFUNCTION("GOOGLETRANSLATE(A34250, ""de"", ""en"")"),"pony")</f>
        <v>pony</v>
      </c>
    </row>
    <row r="34251">
      <c r="A34251" s="1" t="s">
        <v>34250</v>
      </c>
      <c r="B34251" s="2" t="str">
        <f>IFERROR(__xludf.DUMMYFUNCTION("GOOGLETRANSLATE(A34251, ""de"", ""en"")"),"therapies")</f>
        <v>therapies</v>
      </c>
    </row>
    <row r="34252">
      <c r="A34252" s="1" t="s">
        <v>34251</v>
      </c>
      <c r="B34252" s="2" t="str">
        <f>IFERROR(__xludf.DUMMYFUNCTION("GOOGLETRANSLATE(A34252, ""de"", ""en"")"),"hitchhike")</f>
        <v>hitchhike</v>
      </c>
    </row>
    <row r="34253">
      <c r="A34253" s="1" t="s">
        <v>34252</v>
      </c>
      <c r="B34253" s="2" t="str">
        <f>IFERROR(__xludf.DUMMYFUNCTION("GOOGLETRANSLATE(A34253, ""de"", ""en"")"),"revelations")</f>
        <v>revelations</v>
      </c>
    </row>
    <row r="34254">
      <c r="A34254" s="1" t="s">
        <v>34253</v>
      </c>
      <c r="B34254" s="2" t="str">
        <f>IFERROR(__xludf.DUMMYFUNCTION("GOOGLETRANSLATE(A34254, ""de"", ""en"")"),"Ecuador")</f>
        <v>Ecuador</v>
      </c>
    </row>
    <row r="34255">
      <c r="A34255" s="1" t="s">
        <v>34254</v>
      </c>
      <c r="B34255" s="2" t="str">
        <f>IFERROR(__xludf.DUMMYFUNCTION("GOOGLETRANSLATE(A34255, ""de"", ""en"")"),"dawn")</f>
        <v>dawn</v>
      </c>
    </row>
    <row r="34256">
      <c r="A34256" s="1" t="s">
        <v>34255</v>
      </c>
      <c r="B34256" s="2" t="str">
        <f>IFERROR(__xludf.DUMMYFUNCTION("GOOGLETRANSLATE(A34256, ""de"", ""en"")"),"tomasz")</f>
        <v>tomasz</v>
      </c>
    </row>
    <row r="34257">
      <c r="A34257" s="1" t="s">
        <v>34256</v>
      </c>
      <c r="B34257" s="2" t="str">
        <f>IFERROR(__xludf.DUMMYFUNCTION("GOOGLETRANSLATE(A34257, ""de"", ""en"")"),"Indian")</f>
        <v>Indian</v>
      </c>
    </row>
    <row r="34258">
      <c r="A34258" s="1" t="s">
        <v>34257</v>
      </c>
      <c r="B34258" s="2" t="str">
        <f>IFERROR(__xludf.DUMMYFUNCTION("GOOGLETRANSLATE(A34258, ""de"", ""en"")"),"minded")</f>
        <v>minded</v>
      </c>
    </row>
    <row r="34259">
      <c r="A34259" s="1" t="s">
        <v>34258</v>
      </c>
      <c r="B34259" s="2" t="str">
        <f>IFERROR(__xludf.DUMMYFUNCTION("GOOGLETRANSLATE(A34259, ""de"", ""en"")"),"transport")</f>
        <v>transport</v>
      </c>
    </row>
    <row r="34260">
      <c r="A34260" s="1" t="s">
        <v>34259</v>
      </c>
      <c r="B34260" s="2" t="str">
        <f>IFERROR(__xludf.DUMMYFUNCTION("GOOGLETRANSLATE(A34260, ""de"", ""en"")"),"Normans")</f>
        <v>Normans</v>
      </c>
    </row>
    <row r="34261">
      <c r="A34261" s="1" t="s">
        <v>34260</v>
      </c>
      <c r="B34261" s="2" t="str">
        <f>IFERROR(__xludf.DUMMYFUNCTION("GOOGLETRANSLATE(A34261, ""de"", ""en"")"),"Catholic")</f>
        <v>Catholic</v>
      </c>
    </row>
    <row r="34262">
      <c r="A34262" s="1" t="s">
        <v>34261</v>
      </c>
      <c r="B34262" s="2" t="str">
        <f>IFERROR(__xludf.DUMMYFUNCTION("GOOGLETRANSLATE(A34262, ""de"", ""en"")"),"iris diaphragm")</f>
        <v>iris diaphragm</v>
      </c>
    </row>
    <row r="34263">
      <c r="A34263" s="1" t="s">
        <v>34262</v>
      </c>
      <c r="B34263" s="2" t="str">
        <f>IFERROR(__xludf.DUMMYFUNCTION("GOOGLETRANSLATE(A34263, ""de"", ""en"")"),"weather")</f>
        <v>weather</v>
      </c>
    </row>
    <row r="34264">
      <c r="A34264" s="1" t="s">
        <v>34263</v>
      </c>
      <c r="B34264" s="2" t="str">
        <f>IFERROR(__xludf.DUMMYFUNCTION("GOOGLETRANSLATE(A34264, ""de"", ""en"")"),"unannounced")</f>
        <v>unannounced</v>
      </c>
    </row>
    <row r="34265">
      <c r="A34265" s="1" t="s">
        <v>34264</v>
      </c>
      <c r="B34265" s="2" t="str">
        <f>IFERROR(__xludf.DUMMYFUNCTION("GOOGLETRANSLATE(A34265, ""de"", ""en"")"),"renounce")</f>
        <v>renounce</v>
      </c>
    </row>
    <row r="34266">
      <c r="A34266" s="1" t="s">
        <v>34265</v>
      </c>
      <c r="B34266" s="2" t="str">
        <f>IFERROR(__xludf.DUMMYFUNCTION("GOOGLETRANSLATE(A34266, ""de"", ""en"")"),"skill")</f>
        <v>skill</v>
      </c>
    </row>
    <row r="34267">
      <c r="A34267" s="1" t="s">
        <v>34266</v>
      </c>
      <c r="B34267" s="2" t="str">
        <f>IFERROR(__xludf.DUMMYFUNCTION("GOOGLETRANSLATE(A34267, ""de"", ""en"")"),"Christmas dinner")</f>
        <v>Christmas dinner</v>
      </c>
    </row>
    <row r="34268">
      <c r="A34268" s="1" t="s">
        <v>34267</v>
      </c>
      <c r="B34268" s="2" t="str">
        <f>IFERROR(__xludf.DUMMYFUNCTION("GOOGLETRANSLATE(A34268, ""de"", ""en"")"),"Mariano")</f>
        <v>Mariano</v>
      </c>
    </row>
    <row r="34269">
      <c r="A34269" s="1" t="s">
        <v>34268</v>
      </c>
      <c r="B34269" s="2" t="str">
        <f>IFERROR(__xludf.DUMMYFUNCTION("GOOGLETRANSLATE(A34269, ""de"", ""en"")"),"contaminated")</f>
        <v>contaminated</v>
      </c>
    </row>
    <row r="34270">
      <c r="A34270" s="1" t="s">
        <v>34269</v>
      </c>
      <c r="B34270" s="2" t="str">
        <f>IFERROR(__xludf.DUMMYFUNCTION("GOOGLETRANSLATE(A34270, ""de"", ""en"")"),"bellas")</f>
        <v>bellas</v>
      </c>
    </row>
    <row r="34271">
      <c r="A34271" s="1" t="s">
        <v>34270</v>
      </c>
      <c r="B34271" s="2" t="str">
        <f>IFERROR(__xludf.DUMMYFUNCTION("GOOGLETRANSLATE(A34271, ""de"", ""en"")"),"looked at")</f>
        <v>looked at</v>
      </c>
    </row>
    <row r="34272">
      <c r="A34272" s="1" t="s">
        <v>34271</v>
      </c>
      <c r="B34272" s="2" t="str">
        <f>IFERROR(__xludf.DUMMYFUNCTION("GOOGLETRANSLATE(A34272, ""de"", ""en"")"),"study")</f>
        <v>study</v>
      </c>
    </row>
    <row r="34273">
      <c r="A34273" s="1" t="s">
        <v>34272</v>
      </c>
      <c r="B34273" s="2" t="str">
        <f>IFERROR(__xludf.DUMMYFUNCTION("GOOGLETRANSLATE(A34273, ""de"", ""en"")"),"move here")</f>
        <v>move here</v>
      </c>
    </row>
    <row r="34274">
      <c r="A34274" s="1" t="s">
        <v>34273</v>
      </c>
      <c r="B34274" s="2" t="str">
        <f>IFERROR(__xludf.DUMMYFUNCTION("GOOGLETRANSLATE(A34274, ""de"", ""en"")"),"trude")</f>
        <v>trude</v>
      </c>
    </row>
    <row r="34275">
      <c r="A34275" s="1" t="s">
        <v>34274</v>
      </c>
      <c r="B34275" s="2" t="str">
        <f>IFERROR(__xludf.DUMMYFUNCTION("GOOGLETRANSLATE(A34275, ""de"", ""en"")"),"take a swing")</f>
        <v>take a swing</v>
      </c>
    </row>
    <row r="34276">
      <c r="A34276" s="1" t="s">
        <v>34275</v>
      </c>
      <c r="B34276" s="2" t="str">
        <f>IFERROR(__xludf.DUMMYFUNCTION("GOOGLETRANSLATE(A34276, ""de"", ""en"")"),"polish")</f>
        <v>polish</v>
      </c>
    </row>
    <row r="34277">
      <c r="A34277" s="1" t="s">
        <v>34276</v>
      </c>
      <c r="B34277" s="2" t="str">
        <f>IFERROR(__xludf.DUMMYFUNCTION("GOOGLETRANSLATE(A34277, ""de"", ""en"")"),"brush your teeth")</f>
        <v>brush your teeth</v>
      </c>
    </row>
    <row r="34278">
      <c r="A34278" s="1" t="s">
        <v>34277</v>
      </c>
      <c r="B34278" s="2" t="str">
        <f>IFERROR(__xludf.DUMMYFUNCTION("GOOGLETRANSLATE(A34278, ""de"", ""en"")"),"intuitive")</f>
        <v>intuitive</v>
      </c>
    </row>
    <row r="34279">
      <c r="A34279" s="1" t="s">
        <v>34278</v>
      </c>
      <c r="B34279" s="2" t="str">
        <f>IFERROR(__xludf.DUMMYFUNCTION("GOOGLETRANSLATE(A34279, ""de"", ""en"")"),"beaucoup")</f>
        <v>beaucoup</v>
      </c>
    </row>
    <row r="34280">
      <c r="A34280" s="1" t="s">
        <v>34279</v>
      </c>
      <c r="B34280" s="2" t="str">
        <f>IFERROR(__xludf.DUMMYFUNCTION("GOOGLETRANSLATE(A34280, ""de"", ""en"")"),"burst in")</f>
        <v>burst in</v>
      </c>
    </row>
    <row r="34281">
      <c r="A34281" s="1" t="s">
        <v>34280</v>
      </c>
      <c r="B34281" s="2" t="str">
        <f>IFERROR(__xludf.DUMMYFUNCTION("GOOGLETRANSLATE(A34281, ""de"", ""en"")"),"authorization")</f>
        <v>authorization</v>
      </c>
    </row>
    <row r="34282">
      <c r="A34282" s="1" t="s">
        <v>34281</v>
      </c>
      <c r="B34282" s="2" t="str">
        <f>IFERROR(__xludf.DUMMYFUNCTION("GOOGLETRANSLATE(A34282, ""de"", ""en"")"),"heart leaf")</f>
        <v>heart leaf</v>
      </c>
    </row>
    <row r="34283">
      <c r="A34283" s="1" t="s">
        <v>34282</v>
      </c>
      <c r="B34283" s="2" t="str">
        <f>IFERROR(__xludf.DUMMYFUNCTION("GOOGLETRANSLATE(A34283, ""de"", ""en"")"),"bnd")</f>
        <v>bnd</v>
      </c>
    </row>
    <row r="34284">
      <c r="A34284" s="1" t="s">
        <v>34283</v>
      </c>
      <c r="B34284" s="2" t="str">
        <f>IFERROR(__xludf.DUMMYFUNCTION("GOOGLETRANSLATE(A34284, ""de"", ""en"")"),"Menelaus")</f>
        <v>Menelaus</v>
      </c>
    </row>
    <row r="34285">
      <c r="A34285" s="1" t="s">
        <v>34284</v>
      </c>
      <c r="B34285" s="2" t="str">
        <f>IFERROR(__xludf.DUMMYFUNCTION("GOOGLETRANSLATE(A34285, ""de"", ""en"")"),"chiseled")</f>
        <v>chiseled</v>
      </c>
    </row>
    <row r="34286">
      <c r="A34286" s="1" t="s">
        <v>34285</v>
      </c>
      <c r="B34286" s="2" t="str">
        <f>IFERROR(__xludf.DUMMYFUNCTION("GOOGLETRANSLATE(A34286, ""de"", ""en"")"),"drained")</f>
        <v>drained</v>
      </c>
    </row>
    <row r="34287">
      <c r="A34287" s="1" t="s">
        <v>34286</v>
      </c>
      <c r="B34287" s="2" t="str">
        <f>IFERROR(__xludf.DUMMYFUNCTION("GOOGLETRANSLATE(A34287, ""de"", ""en"")"),"Wonka")</f>
        <v>Wonka</v>
      </c>
    </row>
    <row r="34288">
      <c r="A34288" s="1" t="s">
        <v>34287</v>
      </c>
      <c r="B34288" s="2" t="str">
        <f>IFERROR(__xludf.DUMMYFUNCTION("GOOGLETRANSLATE(A34288, ""de"", ""en"")"),"peak")</f>
        <v>peak</v>
      </c>
    </row>
    <row r="34289">
      <c r="A34289" s="1" t="s">
        <v>34288</v>
      </c>
      <c r="B34289" s="2" t="str">
        <f>IFERROR(__xludf.DUMMYFUNCTION("GOOGLETRANSLATE(A34289, ""de"", ""en"")"),"opera")</f>
        <v>opera</v>
      </c>
    </row>
    <row r="34290">
      <c r="A34290" s="1" t="s">
        <v>34289</v>
      </c>
      <c r="B34290" s="2" t="str">
        <f>IFERROR(__xludf.DUMMYFUNCTION("GOOGLETRANSLATE(A34290, ""de"", ""en"")"),"advance")</f>
        <v>advance</v>
      </c>
    </row>
    <row r="34291">
      <c r="A34291" s="1" t="s">
        <v>34290</v>
      </c>
      <c r="B34291" s="2" t="str">
        <f>IFERROR(__xludf.DUMMYFUNCTION("GOOGLETRANSLATE(A34291, ""de"", ""en"")"),"snitch")</f>
        <v>snitch</v>
      </c>
    </row>
    <row r="34292">
      <c r="A34292" s="1" t="s">
        <v>34291</v>
      </c>
      <c r="B34292" s="2" t="str">
        <f>IFERROR(__xludf.DUMMYFUNCTION("GOOGLETRANSLATE(A34292, ""de"", ""en"")"),"questionnaire")</f>
        <v>questionnaire</v>
      </c>
    </row>
    <row r="34293">
      <c r="A34293" s="1" t="s">
        <v>34292</v>
      </c>
      <c r="B34293" s="2" t="str">
        <f>IFERROR(__xludf.DUMMYFUNCTION("GOOGLETRANSLATE(A34293, ""de"", ""en"")"),"missing person")</f>
        <v>missing person</v>
      </c>
    </row>
    <row r="34294">
      <c r="A34294" s="1" t="s">
        <v>34293</v>
      </c>
      <c r="B34294" s="2" t="str">
        <f>IFERROR(__xludf.DUMMYFUNCTION("GOOGLETRANSLATE(A34294, ""de"", ""en"")"),"Egypt")</f>
        <v>Egypt</v>
      </c>
    </row>
    <row r="34295">
      <c r="A34295" s="1" t="s">
        <v>34294</v>
      </c>
      <c r="B34295" s="2" t="str">
        <f>IFERROR(__xludf.DUMMYFUNCTION("GOOGLETRANSLATE(A34295, ""de"", ""en"")"),"jux")</f>
        <v>jux</v>
      </c>
    </row>
    <row r="34296">
      <c r="A34296" s="1" t="s">
        <v>34295</v>
      </c>
      <c r="B34296" s="2" t="str">
        <f>IFERROR(__xludf.DUMMYFUNCTION("GOOGLETRANSLATE(A34296, ""de"", ""en"")"),"parry")</f>
        <v>parry</v>
      </c>
    </row>
    <row r="34297">
      <c r="A34297" s="1" t="s">
        <v>34296</v>
      </c>
      <c r="B34297" s="2" t="str">
        <f>IFERROR(__xludf.DUMMYFUNCTION("GOOGLETRANSLATE(A34297, ""de"", ""en"")"),"money worries")</f>
        <v>money worries</v>
      </c>
    </row>
    <row r="34298">
      <c r="A34298" s="1" t="s">
        <v>34297</v>
      </c>
      <c r="B34298" s="2" t="str">
        <f>IFERROR(__xludf.DUMMYFUNCTION("GOOGLETRANSLATE(A34298, ""de"", ""en"")"),"older")</f>
        <v>older</v>
      </c>
    </row>
    <row r="34299">
      <c r="A34299" s="1" t="s">
        <v>34298</v>
      </c>
      <c r="B34299" s="2" t="str">
        <f>IFERROR(__xludf.DUMMYFUNCTION("GOOGLETRANSLATE(A34299, ""de"", ""en"")"),"bald")</f>
        <v>bald</v>
      </c>
    </row>
    <row r="34300">
      <c r="A34300" s="1" t="s">
        <v>34299</v>
      </c>
      <c r="B34300" s="2" t="str">
        <f>IFERROR(__xludf.DUMMYFUNCTION("GOOGLETRANSLATE(A34300, ""de"", ""en"")"),"daily routine")</f>
        <v>daily routine</v>
      </c>
    </row>
    <row r="34301">
      <c r="A34301" s="1" t="s">
        <v>34300</v>
      </c>
      <c r="B34301" s="2" t="str">
        <f>IFERROR(__xludf.DUMMYFUNCTION("GOOGLETRANSLATE(A34301, ""de"", ""en"")"),"FBI agent")</f>
        <v>FBI agent</v>
      </c>
    </row>
    <row r="34302">
      <c r="A34302" s="1" t="s">
        <v>34301</v>
      </c>
      <c r="B34302" s="2" t="str">
        <f>IFERROR(__xludf.DUMMYFUNCTION("GOOGLETRANSLATE(A34302, ""de"", ""en"")"),"local")</f>
        <v>local</v>
      </c>
    </row>
    <row r="34303">
      <c r="A34303" s="1" t="s">
        <v>34302</v>
      </c>
      <c r="B34303" s="2" t="str">
        <f>IFERROR(__xludf.DUMMYFUNCTION("GOOGLETRANSLATE(A34303, ""de"", ""en"")"),"capricorn")</f>
        <v>capricorn</v>
      </c>
    </row>
    <row r="34304">
      <c r="A34304" s="1" t="s">
        <v>34303</v>
      </c>
      <c r="B34304" s="2" t="str">
        <f>IFERROR(__xludf.DUMMYFUNCTION("GOOGLETRANSLATE(A34304, ""de"", ""en"")"),"executive")</f>
        <v>executive</v>
      </c>
    </row>
    <row r="34305">
      <c r="A34305" s="1" t="s">
        <v>34304</v>
      </c>
      <c r="B34305" s="2" t="str">
        <f>IFERROR(__xludf.DUMMYFUNCTION("GOOGLETRANSLATE(A34305, ""de"", ""en"")"),"Siamese")</f>
        <v>Siamese</v>
      </c>
    </row>
    <row r="34306">
      <c r="A34306" s="1" t="s">
        <v>34305</v>
      </c>
      <c r="B34306" s="2" t="str">
        <f>IFERROR(__xludf.DUMMYFUNCTION("GOOGLETRANSLATE(A34306, ""de"", ""en"")"),"Nielsen")</f>
        <v>Nielsen</v>
      </c>
    </row>
    <row r="34307">
      <c r="A34307" s="1" t="s">
        <v>34306</v>
      </c>
      <c r="B34307" s="2" t="str">
        <f>IFERROR(__xludf.DUMMYFUNCTION("GOOGLETRANSLATE(A34307, ""de"", ""en"")"),"applesauce")</f>
        <v>applesauce</v>
      </c>
    </row>
    <row r="34308">
      <c r="A34308" s="1" t="s">
        <v>34307</v>
      </c>
      <c r="B34308" s="2" t="str">
        <f>IFERROR(__xludf.DUMMYFUNCTION("GOOGLETRANSLATE(A34308, ""de"", ""en"")"),"text")</f>
        <v>text</v>
      </c>
    </row>
    <row r="34309">
      <c r="A34309" s="1" t="s">
        <v>34308</v>
      </c>
      <c r="B34309" s="2" t="str">
        <f>IFERROR(__xludf.DUMMYFUNCTION("GOOGLETRANSLATE(A34309, ""de"", ""en"")"),"published")</f>
        <v>published</v>
      </c>
    </row>
    <row r="34310">
      <c r="A34310" s="1" t="s">
        <v>34309</v>
      </c>
      <c r="B34310" s="2" t="str">
        <f>IFERROR(__xludf.DUMMYFUNCTION("GOOGLETRANSLATE(A34310, ""de"", ""en"")"),"customer")</f>
        <v>customer</v>
      </c>
    </row>
    <row r="34311">
      <c r="A34311" s="1" t="s">
        <v>34310</v>
      </c>
      <c r="B34311" s="2" t="str">
        <f>IFERROR(__xludf.DUMMYFUNCTION("GOOGLETRANSLATE(A34311, ""de"", ""en"")"),"businessmen")</f>
        <v>businessmen</v>
      </c>
    </row>
    <row r="34312">
      <c r="A34312" s="1" t="s">
        <v>34311</v>
      </c>
      <c r="B34312" s="2" t="str">
        <f>IFERROR(__xludf.DUMMYFUNCTION("GOOGLETRANSLATE(A34312, ""de"", ""en"")"),"secretariat")</f>
        <v>secretariat</v>
      </c>
    </row>
    <row r="34313">
      <c r="A34313" s="1" t="s">
        <v>34312</v>
      </c>
      <c r="B34313" s="2" t="str">
        <f>IFERROR(__xludf.DUMMYFUNCTION("GOOGLETRANSLATE(A34313, ""de"", ""en"")"),"analysts")</f>
        <v>analysts</v>
      </c>
    </row>
    <row r="34314">
      <c r="A34314" s="1" t="s">
        <v>34313</v>
      </c>
      <c r="B34314" s="2" t="str">
        <f>IFERROR(__xludf.DUMMYFUNCTION("GOOGLETRANSLATE(A34314, ""de"", ""en"")"),"discuss")</f>
        <v>discuss</v>
      </c>
    </row>
    <row r="34315">
      <c r="A34315" s="1" t="s">
        <v>34314</v>
      </c>
      <c r="B34315" s="2" t="str">
        <f>IFERROR(__xludf.DUMMYFUNCTION("GOOGLETRANSLATE(A34315, ""de"", ""en"")"),"saskia")</f>
        <v>saskia</v>
      </c>
    </row>
    <row r="34316">
      <c r="A34316" s="1" t="s">
        <v>34315</v>
      </c>
      <c r="B34316" s="2" t="str">
        <f>IFERROR(__xludf.DUMMYFUNCTION("GOOGLETRANSLATE(A34316, ""de"", ""en"")"),"Montmartre")</f>
        <v>Montmartre</v>
      </c>
    </row>
    <row r="34317">
      <c r="A34317" s="1" t="s">
        <v>34316</v>
      </c>
      <c r="B34317" s="2" t="str">
        <f>IFERROR(__xludf.DUMMYFUNCTION("GOOGLETRANSLATE(A34317, ""de"", ""en"")"),"emerald")</f>
        <v>emerald</v>
      </c>
    </row>
    <row r="34318">
      <c r="A34318" s="1" t="s">
        <v>34317</v>
      </c>
      <c r="B34318" s="2" t="str">
        <f>IFERROR(__xludf.DUMMYFUNCTION("GOOGLETRANSLATE(A34318, ""de"", ""en"")"),"police department")</f>
        <v>police department</v>
      </c>
    </row>
    <row r="34319">
      <c r="A34319" s="1" t="s">
        <v>34318</v>
      </c>
      <c r="B34319" s="2" t="str">
        <f>IFERROR(__xludf.DUMMYFUNCTION("GOOGLETRANSLATE(A34319, ""de"", ""en"")"),"shithead")</f>
        <v>shithead</v>
      </c>
    </row>
    <row r="34320">
      <c r="A34320" s="1" t="s">
        <v>34319</v>
      </c>
      <c r="B34320" s="2" t="str">
        <f>IFERROR(__xludf.DUMMYFUNCTION("GOOGLETRANSLATE(A34320, ""de"", ""en"")"),"spoke")</f>
        <v>spoke</v>
      </c>
    </row>
    <row r="34321">
      <c r="A34321" s="1" t="s">
        <v>34320</v>
      </c>
      <c r="B34321" s="2" t="str">
        <f>IFERROR(__xludf.DUMMYFUNCTION("GOOGLETRANSLATE(A34321, ""de"", ""en"")"),"fancy")</f>
        <v>fancy</v>
      </c>
    </row>
    <row r="34322">
      <c r="A34322" s="1" t="s">
        <v>34321</v>
      </c>
      <c r="B34322" s="2" t="str">
        <f>IFERROR(__xludf.DUMMYFUNCTION("GOOGLETRANSLATE(A34322, ""de"", ""en"")"),"ebba")</f>
        <v>ebba</v>
      </c>
    </row>
    <row r="34323">
      <c r="A34323" s="1" t="s">
        <v>34322</v>
      </c>
      <c r="B34323" s="2" t="str">
        <f>IFERROR(__xludf.DUMMYFUNCTION("GOOGLETRANSLATE(A34323, ""de"", ""en"")"),"bleeding")</f>
        <v>bleeding</v>
      </c>
    </row>
    <row r="34324">
      <c r="A34324" s="1" t="s">
        <v>34323</v>
      </c>
      <c r="B34324" s="2" t="str">
        <f>IFERROR(__xludf.DUMMYFUNCTION("GOOGLETRANSLATE(A34324, ""de"", ""en"")"),"multiple")</f>
        <v>multiple</v>
      </c>
    </row>
    <row r="34325">
      <c r="A34325" s="1" t="s">
        <v>34324</v>
      </c>
      <c r="B34325" s="2" t="str">
        <f>IFERROR(__xludf.DUMMYFUNCTION("GOOGLETRANSLATE(A34325, ""de"", ""en"")"),"withdraws")</f>
        <v>withdraws</v>
      </c>
    </row>
    <row r="34326">
      <c r="A34326" s="1" t="s">
        <v>34325</v>
      </c>
      <c r="B34326" s="2" t="str">
        <f>IFERROR(__xludf.DUMMYFUNCTION("GOOGLETRANSLATE(A34326, ""de"", ""en"")"),"shitty")</f>
        <v>shitty</v>
      </c>
    </row>
    <row r="34327">
      <c r="A34327" s="1" t="s">
        <v>34326</v>
      </c>
      <c r="B34327" s="2" t="str">
        <f>IFERROR(__xludf.DUMMYFUNCTION("GOOGLETRANSLATE(A34327, ""de"", ""en"")"),"frederic")</f>
        <v>frederic</v>
      </c>
    </row>
    <row r="34328">
      <c r="A34328" s="1" t="s">
        <v>34327</v>
      </c>
      <c r="B34328" s="2" t="str">
        <f>IFERROR(__xludf.DUMMYFUNCTION("GOOGLETRANSLATE(A34328, ""de"", ""en"")"),"more disgusting")</f>
        <v>more disgusting</v>
      </c>
    </row>
    <row r="34329">
      <c r="A34329" s="1" t="s">
        <v>34328</v>
      </c>
      <c r="B34329" s="2" t="str">
        <f>IFERROR(__xludf.DUMMYFUNCTION("GOOGLETRANSLATE(A34329, ""de"", ""en"")"),"light")</f>
        <v>light</v>
      </c>
    </row>
    <row r="34330">
      <c r="A34330" s="1" t="s">
        <v>34329</v>
      </c>
      <c r="B34330" s="2" t="str">
        <f>IFERROR(__xludf.DUMMYFUNCTION("GOOGLETRANSLATE(A34330, ""de"", ""en"")"),"nyberg")</f>
        <v>nyberg</v>
      </c>
    </row>
    <row r="34331">
      <c r="A34331" s="1" t="s">
        <v>34330</v>
      </c>
      <c r="B34331" s="2" t="str">
        <f>IFERROR(__xludf.DUMMYFUNCTION("GOOGLETRANSLATE(A34331, ""de"", ""en"")"),"daphnee")</f>
        <v>daphnee</v>
      </c>
    </row>
    <row r="34332">
      <c r="A34332" s="1" t="s">
        <v>34331</v>
      </c>
      <c r="B34332" s="2" t="str">
        <f>IFERROR(__xludf.DUMMYFUNCTION("GOOGLETRANSLATE(A34332, ""de"", ""en"")"),"rj")</f>
        <v>rj</v>
      </c>
    </row>
    <row r="34333">
      <c r="A34333" s="1" t="s">
        <v>34332</v>
      </c>
      <c r="B34333" s="2" t="str">
        <f>IFERROR(__xludf.DUMMYFUNCTION("GOOGLETRANSLATE(A34333, ""de"", ""en"")"),"risky")</f>
        <v>risky</v>
      </c>
    </row>
    <row r="34334">
      <c r="A34334" s="1" t="s">
        <v>34333</v>
      </c>
      <c r="B34334" s="2" t="str">
        <f>IFERROR(__xludf.DUMMYFUNCTION("GOOGLETRANSLATE(A34334, ""de"", ""en"")"),"piñata")</f>
        <v>piñata</v>
      </c>
    </row>
    <row r="34335">
      <c r="A34335" s="1" t="s">
        <v>34334</v>
      </c>
      <c r="B34335" s="2" t="str">
        <f>IFERROR(__xludf.DUMMYFUNCTION("GOOGLETRANSLATE(A34335, ""de"", ""en"")"),"strikes")</f>
        <v>strikes</v>
      </c>
    </row>
    <row r="34336">
      <c r="A34336" s="1" t="s">
        <v>34335</v>
      </c>
      <c r="B34336" s="2" t="str">
        <f>IFERROR(__xludf.DUMMYFUNCTION("GOOGLETRANSLATE(A34336, ""de"", ""en"")"),"ounces")</f>
        <v>ounces</v>
      </c>
    </row>
    <row r="34337">
      <c r="A34337" s="1" t="s">
        <v>34336</v>
      </c>
      <c r="B34337" s="2" t="str">
        <f>IFERROR(__xludf.DUMMYFUNCTION("GOOGLETRANSLATE(A34337, ""de"", ""en"")"),"bushrod")</f>
        <v>bushrod</v>
      </c>
    </row>
    <row r="34338">
      <c r="A34338" s="1" t="s">
        <v>34337</v>
      </c>
      <c r="B34338" s="2" t="str">
        <f>IFERROR(__xludf.DUMMYFUNCTION("GOOGLETRANSLATE(A34338, ""de"", ""en"")"),"foreign policy")</f>
        <v>foreign policy</v>
      </c>
    </row>
    <row r="34339">
      <c r="A34339" s="1" t="s">
        <v>34338</v>
      </c>
      <c r="B34339" s="2" t="str">
        <f>IFERROR(__xludf.DUMMYFUNCTION("GOOGLETRANSLATE(A34339, ""de"", ""en"")"),"thing fixed")</f>
        <v>thing fixed</v>
      </c>
    </row>
    <row r="34340">
      <c r="A34340" s="1" t="s">
        <v>34339</v>
      </c>
      <c r="B34340" s="2" t="str">
        <f>IFERROR(__xludf.DUMMYFUNCTION("GOOGLETRANSLATE(A34340, ""de"", ""en"")"),"caulfield")</f>
        <v>caulfield</v>
      </c>
    </row>
    <row r="34341">
      <c r="A34341" s="1" t="s">
        <v>34340</v>
      </c>
      <c r="B34341" s="2" t="str">
        <f>IFERROR(__xludf.DUMMYFUNCTION("GOOGLETRANSLATE(A34341, ""de"", ""en"")"),"attracted")</f>
        <v>attracted</v>
      </c>
    </row>
    <row r="34342">
      <c r="A34342" s="1" t="s">
        <v>34341</v>
      </c>
      <c r="B34342" s="2" t="str">
        <f>IFERROR(__xludf.DUMMYFUNCTION("GOOGLETRANSLATE(A34342, ""de"", ""en"")"),"general")</f>
        <v>general</v>
      </c>
    </row>
    <row r="34343">
      <c r="A34343" s="1" t="s">
        <v>34342</v>
      </c>
      <c r="B34343" s="2" t="str">
        <f>IFERROR(__xludf.DUMMYFUNCTION("GOOGLETRANSLATE(A34343, ""de"", ""en"")"),"replaced")</f>
        <v>replaced</v>
      </c>
    </row>
    <row r="34344">
      <c r="A34344" s="1" t="s">
        <v>34343</v>
      </c>
      <c r="B34344" s="2" t="str">
        <f>IFERROR(__xludf.DUMMYFUNCTION("GOOGLETRANSLATE(A34344, ""de"", ""en"")"),"caspere")</f>
        <v>caspere</v>
      </c>
    </row>
    <row r="34345">
      <c r="A34345" s="1" t="s">
        <v>34344</v>
      </c>
      <c r="B34345" s="2" t="str">
        <f>IFERROR(__xludf.DUMMYFUNCTION("GOOGLETRANSLATE(A34345, ""de"", ""en"")"),"dominance")</f>
        <v>dominance</v>
      </c>
    </row>
    <row r="34346">
      <c r="A34346" s="1" t="s">
        <v>34345</v>
      </c>
      <c r="B34346" s="2" t="str">
        <f>IFERROR(__xludf.DUMMYFUNCTION("GOOGLETRANSLATE(A34346, ""de"", ""en"")"),"piece")</f>
        <v>piece</v>
      </c>
    </row>
    <row r="34347">
      <c r="A34347" s="1" t="s">
        <v>34346</v>
      </c>
      <c r="B34347" s="2" t="str">
        <f>IFERROR(__xludf.DUMMYFUNCTION("GOOGLETRANSLATE(A34347, ""de"", ""en"")"),"changed my mind")</f>
        <v>changed my mind</v>
      </c>
    </row>
    <row r="34348">
      <c r="A34348" s="1" t="s">
        <v>34347</v>
      </c>
      <c r="B34348" s="2" t="str">
        <f>IFERROR(__xludf.DUMMYFUNCTION("GOOGLETRANSLATE(A34348, ""de"", ""en"")"),"existing")</f>
        <v>existing</v>
      </c>
    </row>
    <row r="34349">
      <c r="A34349" s="1" t="s">
        <v>34348</v>
      </c>
      <c r="B34349" s="2" t="str">
        <f>IFERROR(__xludf.DUMMYFUNCTION("GOOGLETRANSLATE(A34349, ""de"", ""en"")"),"disguised")</f>
        <v>disguised</v>
      </c>
    </row>
    <row r="34350">
      <c r="A34350" s="1" t="s">
        <v>34349</v>
      </c>
      <c r="B34350" s="2" t="str">
        <f>IFERROR(__xludf.DUMMYFUNCTION("GOOGLETRANSLATE(A34350, ""de"", ""en"")"),"delicate")</f>
        <v>delicate</v>
      </c>
    </row>
    <row r="34351">
      <c r="A34351" s="1" t="s">
        <v>34350</v>
      </c>
      <c r="B34351" s="2" t="str">
        <f>IFERROR(__xludf.DUMMYFUNCTION("GOOGLETRANSLATE(A34351, ""de"", ""en"")"),"executions")</f>
        <v>executions</v>
      </c>
    </row>
    <row r="34352">
      <c r="A34352" s="1" t="s">
        <v>34351</v>
      </c>
      <c r="B34352" s="2" t="str">
        <f>IFERROR(__xludf.DUMMYFUNCTION("GOOGLETRANSLATE(A34352, ""de"", ""en"")"),"torment")</f>
        <v>torment</v>
      </c>
    </row>
    <row r="34353">
      <c r="A34353" s="1" t="s">
        <v>34352</v>
      </c>
      <c r="B34353" s="2" t="str">
        <f>IFERROR(__xludf.DUMMYFUNCTION("GOOGLETRANSLATE(A34353, ""de"", ""en"")"),"whistle sound")</f>
        <v>whistle sound</v>
      </c>
    </row>
    <row r="34354">
      <c r="A34354" s="1" t="s">
        <v>34353</v>
      </c>
      <c r="B34354" s="2" t="str">
        <f>IFERROR(__xludf.DUMMYFUNCTION("GOOGLETRANSLATE(A34354, ""de"", ""en"")"),"shakes")</f>
        <v>shakes</v>
      </c>
    </row>
    <row r="34355">
      <c r="A34355" s="1" t="s">
        <v>34354</v>
      </c>
      <c r="B34355" s="2" t="str">
        <f>IFERROR(__xludf.DUMMYFUNCTION("GOOGLETRANSLATE(A34355, ""de"", ""en"")"),"corridors")</f>
        <v>corridors</v>
      </c>
    </row>
    <row r="34356">
      <c r="A34356" s="1" t="s">
        <v>34355</v>
      </c>
      <c r="B34356" s="2" t="str">
        <f>IFERROR(__xludf.DUMMYFUNCTION("GOOGLETRANSLATE(A34356, ""de"", ""en"")"),"slave traders")</f>
        <v>slave traders</v>
      </c>
    </row>
    <row r="34357">
      <c r="A34357" s="1" t="s">
        <v>34356</v>
      </c>
      <c r="B34357" s="2" t="str">
        <f>IFERROR(__xludf.DUMMYFUNCTION("GOOGLETRANSLATE(A34357, ""de"", ""en"")"),"golden boy")</f>
        <v>golden boy</v>
      </c>
    </row>
    <row r="34358">
      <c r="A34358" s="1" t="s">
        <v>34357</v>
      </c>
      <c r="B34358" s="2" t="str">
        <f>IFERROR(__xludf.DUMMYFUNCTION("GOOGLETRANSLATE(A34358, ""de"", ""en"")"),"though")</f>
        <v>though</v>
      </c>
    </row>
    <row r="34359">
      <c r="A34359" s="1" t="s">
        <v>34358</v>
      </c>
      <c r="B34359" s="2" t="str">
        <f>IFERROR(__xludf.DUMMYFUNCTION("GOOGLETRANSLATE(A34359, ""de"", ""en"")"),"rake")</f>
        <v>rake</v>
      </c>
    </row>
    <row r="34360">
      <c r="A34360" s="1" t="s">
        <v>34359</v>
      </c>
      <c r="B34360" s="2" t="str">
        <f>IFERROR(__xludf.DUMMYFUNCTION("GOOGLETRANSLATE(A34360, ""de"", ""en"")"),"canary")</f>
        <v>canary</v>
      </c>
    </row>
    <row r="34361">
      <c r="A34361" s="1" t="s">
        <v>34360</v>
      </c>
      <c r="B34361" s="2" t="str">
        <f>IFERROR(__xludf.DUMMYFUNCTION("GOOGLETRANSLATE(A34361, ""de"", ""en"")"),"accept")</f>
        <v>accept</v>
      </c>
    </row>
    <row r="34362">
      <c r="A34362" s="1" t="s">
        <v>34361</v>
      </c>
      <c r="B34362" s="2" t="str">
        <f>IFERROR(__xludf.DUMMYFUNCTION("GOOGLETRANSLATE(A34362, ""de"", ""en"")"),"cabaret")</f>
        <v>cabaret</v>
      </c>
    </row>
    <row r="34363">
      <c r="A34363" s="1" t="s">
        <v>34362</v>
      </c>
      <c r="B34363" s="2" t="str">
        <f>IFERROR(__xludf.DUMMYFUNCTION("GOOGLETRANSLATE(A34363, ""de"", ""en"")"),"shave")</f>
        <v>shave</v>
      </c>
    </row>
    <row r="34364">
      <c r="A34364" s="1" t="s">
        <v>34363</v>
      </c>
      <c r="B34364" s="2" t="str">
        <f>IFERROR(__xludf.DUMMYFUNCTION("GOOGLETRANSLATE(A34364, ""de"", ""en"")"),"reunited")</f>
        <v>reunited</v>
      </c>
    </row>
    <row r="34365">
      <c r="A34365" s="1" t="s">
        <v>34364</v>
      </c>
      <c r="B34365" s="2" t="str">
        <f>IFERROR(__xludf.DUMMYFUNCTION("GOOGLETRANSLATE(A34365, ""de"", ""en"")"),"hair loss")</f>
        <v>hair loss</v>
      </c>
    </row>
    <row r="34366">
      <c r="A34366" s="1" t="s">
        <v>34365</v>
      </c>
      <c r="B34366" s="2" t="str">
        <f>IFERROR(__xludf.DUMMYFUNCTION("GOOGLETRANSLATE(A34366, ""de"", ""en"")"),"ethical")</f>
        <v>ethical</v>
      </c>
    </row>
    <row r="34367">
      <c r="A34367" s="1" t="s">
        <v>34366</v>
      </c>
      <c r="B34367" s="2" t="str">
        <f>IFERROR(__xludf.DUMMYFUNCTION("GOOGLETRANSLATE(A34367, ""de"", ""en"")"),"paradox")</f>
        <v>paradox</v>
      </c>
    </row>
    <row r="34368">
      <c r="A34368" s="1" t="s">
        <v>34367</v>
      </c>
      <c r="B34368" s="2" t="str">
        <f>IFERROR(__xludf.DUMMYFUNCTION("GOOGLETRANSLATE(A34368, ""de"", ""en"")"),"guineas")</f>
        <v>guineas</v>
      </c>
    </row>
    <row r="34369">
      <c r="A34369" s="1" t="s">
        <v>34368</v>
      </c>
      <c r="B34369" s="2" t="str">
        <f>IFERROR(__xludf.DUMMYFUNCTION("GOOGLETRANSLATE(A34369, ""de"", ""en"")"),"blood money")</f>
        <v>blood money</v>
      </c>
    </row>
    <row r="34370">
      <c r="A34370" s="1" t="s">
        <v>34369</v>
      </c>
      <c r="B34370" s="2" t="str">
        <f>IFERROR(__xludf.DUMMYFUNCTION("GOOGLETRANSLATE(A34370, ""de"", ""en"")"),"butcher shop")</f>
        <v>butcher shop</v>
      </c>
    </row>
    <row r="34371">
      <c r="A34371" s="1" t="s">
        <v>34370</v>
      </c>
      <c r="B34371" s="2" t="str">
        <f>IFERROR(__xludf.DUMMYFUNCTION("GOOGLETRANSLATE(A34371, ""de"", ""en"")"),"goddard")</f>
        <v>goddard</v>
      </c>
    </row>
    <row r="34372">
      <c r="A34372" s="1" t="s">
        <v>34371</v>
      </c>
      <c r="B34372" s="2" t="str">
        <f>IFERROR(__xludf.DUMMYFUNCTION("GOOGLETRANSLATE(A34372, ""de"", ""en"")"),"tingles")</f>
        <v>tingles</v>
      </c>
    </row>
    <row r="34373">
      <c r="A34373" s="1" t="s">
        <v>34372</v>
      </c>
      <c r="B34373" s="2" t="str">
        <f>IFERROR(__xludf.DUMMYFUNCTION("GOOGLETRANSLATE(A34373, ""de"", ""en"")"),"bertin")</f>
        <v>bertin</v>
      </c>
    </row>
    <row r="34374">
      <c r="A34374" s="1" t="s">
        <v>34373</v>
      </c>
      <c r="B34374" s="2" t="str">
        <f>IFERROR(__xludf.DUMMYFUNCTION("GOOGLETRANSLATE(A34374, ""de"", ""en"")"),"mind control")</f>
        <v>mind control</v>
      </c>
    </row>
    <row r="34375">
      <c r="A34375" s="1" t="s">
        <v>34374</v>
      </c>
      <c r="B34375" s="2" t="str">
        <f>IFERROR(__xludf.DUMMYFUNCTION("GOOGLETRANSLATE(A34375, ""de"", ""en"")"),"collateral damage")</f>
        <v>collateral damage</v>
      </c>
    </row>
    <row r="34376">
      <c r="A34376" s="1" t="s">
        <v>34375</v>
      </c>
      <c r="B34376" s="2" t="str">
        <f>IFERROR(__xludf.DUMMYFUNCTION("GOOGLETRANSLATE(A34376, ""de"", ""en"")"),"dung heap")</f>
        <v>dung heap</v>
      </c>
    </row>
    <row r="34377">
      <c r="A34377" s="1" t="s">
        <v>34376</v>
      </c>
      <c r="B34377" s="2" t="str">
        <f>IFERROR(__xludf.DUMMYFUNCTION("GOOGLETRANSLATE(A34377, ""de"", ""en"")"),"Jago")</f>
        <v>Jago</v>
      </c>
    </row>
    <row r="34378">
      <c r="A34378" s="1" t="s">
        <v>34377</v>
      </c>
      <c r="B34378" s="2" t="str">
        <f>IFERROR(__xludf.DUMMYFUNCTION("GOOGLETRANSLATE(A34378, ""de"", ""en"")"),"lincolns")</f>
        <v>lincolns</v>
      </c>
    </row>
    <row r="34379">
      <c r="A34379" s="1" t="s">
        <v>34378</v>
      </c>
      <c r="B34379" s="2" t="str">
        <f>IFERROR(__xludf.DUMMYFUNCTION("GOOGLETRANSLATE(A34379, ""de"", ""en"")"),"Spenser")</f>
        <v>Spenser</v>
      </c>
    </row>
    <row r="34380">
      <c r="A34380" s="1" t="s">
        <v>34379</v>
      </c>
      <c r="B34380" s="2" t="str">
        <f>IFERROR(__xludf.DUMMYFUNCTION("GOOGLETRANSLATE(A34380, ""de"", ""en"")"),"health insurance")</f>
        <v>health insurance</v>
      </c>
    </row>
    <row r="34381">
      <c r="A34381" s="1" t="s">
        <v>34380</v>
      </c>
      <c r="B34381" s="2" t="str">
        <f>IFERROR(__xludf.DUMMYFUNCTION("GOOGLETRANSLATE(A34381, ""de"", ""en"")"),"masuka")</f>
        <v>masuka</v>
      </c>
    </row>
    <row r="34382">
      <c r="A34382" s="1" t="s">
        <v>34381</v>
      </c>
      <c r="B34382" s="2" t="str">
        <f>IFERROR(__xludf.DUMMYFUNCTION("GOOGLETRANSLATE(A34382, ""de"", ""en"")"),"moral")</f>
        <v>moral</v>
      </c>
    </row>
    <row r="34383">
      <c r="A34383" s="1" t="s">
        <v>34382</v>
      </c>
      <c r="B34383" s="2" t="str">
        <f>IFERROR(__xludf.DUMMYFUNCTION("GOOGLETRANSLATE(A34383, ""de"", ""en"")"),"aeon")</f>
        <v>aeon</v>
      </c>
    </row>
    <row r="34384">
      <c r="A34384" s="1" t="s">
        <v>34383</v>
      </c>
      <c r="B34384" s="2" t="str">
        <f>IFERROR(__xludf.DUMMYFUNCTION("GOOGLETRANSLATE(A34384, ""de"", ""en"")"),"reptile")</f>
        <v>reptile</v>
      </c>
    </row>
    <row r="34385">
      <c r="A34385" s="1" t="s">
        <v>34384</v>
      </c>
      <c r="B34385" s="2" t="str">
        <f>IFERROR(__xludf.DUMMYFUNCTION("GOOGLETRANSLATE(A34385, ""de"", ""en"")"),"resort")</f>
        <v>resort</v>
      </c>
    </row>
    <row r="34386">
      <c r="A34386" s="1" t="s">
        <v>34385</v>
      </c>
      <c r="B34386" s="2" t="str">
        <f>IFERROR(__xludf.DUMMYFUNCTION("GOOGLETRANSLATE(A34386, ""de"", ""en"")"),"delusional")</f>
        <v>delusional</v>
      </c>
    </row>
    <row r="34387">
      <c r="A34387" s="1" t="s">
        <v>34386</v>
      </c>
      <c r="B34387" s="2" t="str">
        <f>IFERROR(__xludf.DUMMYFUNCTION("GOOGLETRANSLATE(A34387, ""de"", ""en"")"),"inviting")</f>
        <v>inviting</v>
      </c>
    </row>
    <row r="34388">
      <c r="A34388" s="1" t="s">
        <v>34387</v>
      </c>
      <c r="B34388" s="2" t="str">
        <f>IFERROR(__xludf.DUMMYFUNCTION("GOOGLETRANSLATE(A34388, ""de"", ""en"")"),"stabbed")</f>
        <v>stabbed</v>
      </c>
    </row>
    <row r="34389">
      <c r="A34389" s="1" t="s">
        <v>34388</v>
      </c>
      <c r="B34389" s="2" t="str">
        <f>IFERROR(__xludf.DUMMYFUNCTION("GOOGLETRANSLATE(A34389, ""de"", ""en"")"),"compared")</f>
        <v>compared</v>
      </c>
    </row>
    <row r="34390">
      <c r="A34390" s="1" t="s">
        <v>34389</v>
      </c>
      <c r="B34390" s="2" t="str">
        <f>IFERROR(__xludf.DUMMYFUNCTION("GOOGLETRANSLATE(A34390, ""de"", ""en"")"),"blythe")</f>
        <v>blythe</v>
      </c>
    </row>
    <row r="34391">
      <c r="A34391" s="1" t="s">
        <v>34390</v>
      </c>
      <c r="B34391" s="2" t="str">
        <f>IFERROR(__xludf.DUMMYFUNCTION("GOOGLETRANSLATE(A34391, ""de"", ""en"")"),"breaths")</f>
        <v>breaths</v>
      </c>
    </row>
    <row r="34392">
      <c r="A34392" s="1" t="s">
        <v>34391</v>
      </c>
      <c r="B34392" s="2" t="str">
        <f>IFERROR(__xludf.DUMMYFUNCTION("GOOGLETRANSLATE(A34392, ""de"", ""en"")"),"master")</f>
        <v>master</v>
      </c>
    </row>
    <row r="34393">
      <c r="A34393" s="1" t="s">
        <v>34392</v>
      </c>
      <c r="B34393" s="2" t="str">
        <f>IFERROR(__xludf.DUMMYFUNCTION("GOOGLETRANSLATE(A34393, ""de"", ""en"")"),"pajama party")</f>
        <v>pajama party</v>
      </c>
    </row>
    <row r="34394">
      <c r="A34394" s="1" t="s">
        <v>34393</v>
      </c>
      <c r="B34394" s="2" t="str">
        <f>IFERROR(__xludf.DUMMYFUNCTION("GOOGLETRANSLATE(A34394, ""de"", ""en"")"),"grow up")</f>
        <v>grow up</v>
      </c>
    </row>
    <row r="34395">
      <c r="A34395" s="1" t="s">
        <v>34394</v>
      </c>
      <c r="B34395" s="2" t="str">
        <f>IFERROR(__xludf.DUMMYFUNCTION("GOOGLETRANSLATE(A34395, ""de"", ""en"")"),"forced")</f>
        <v>forced</v>
      </c>
    </row>
    <row r="34396">
      <c r="A34396" s="1" t="s">
        <v>34395</v>
      </c>
      <c r="B34396" s="2" t="str">
        <f>IFERROR(__xludf.DUMMYFUNCTION("GOOGLETRANSLATE(A34396, ""de"", ""en"")"),"kicks")</f>
        <v>kicks</v>
      </c>
    </row>
    <row r="34397">
      <c r="A34397" s="1" t="s">
        <v>34396</v>
      </c>
      <c r="B34397" s="2" t="str">
        <f>IFERROR(__xludf.DUMMYFUNCTION("GOOGLETRANSLATE(A34397, ""de"", ""en"")"),"human sacrifice")</f>
        <v>human sacrifice</v>
      </c>
    </row>
    <row r="34398">
      <c r="A34398" s="1" t="s">
        <v>34397</v>
      </c>
      <c r="B34398" s="2" t="str">
        <f>IFERROR(__xludf.DUMMYFUNCTION("GOOGLETRANSLATE(A34398, ""de"", ""en"")"),"shrike")</f>
        <v>shrike</v>
      </c>
    </row>
    <row r="34399">
      <c r="A34399" s="1" t="s">
        <v>34398</v>
      </c>
      <c r="B34399" s="2" t="str">
        <f>IFERROR(__xludf.DUMMYFUNCTION("GOOGLETRANSLATE(A34399, ""de"", ""en"")"),"desirable")</f>
        <v>desirable</v>
      </c>
    </row>
    <row r="34400">
      <c r="A34400" s="1" t="s">
        <v>34399</v>
      </c>
      <c r="B34400" s="2" t="str">
        <f>IFERROR(__xludf.DUMMYFUNCTION("GOOGLETRANSLATE(A34400, ""de"", ""en"")"),"filter")</f>
        <v>filter</v>
      </c>
    </row>
    <row r="34401">
      <c r="A34401" s="1" t="s">
        <v>34400</v>
      </c>
      <c r="B34401" s="2" t="str">
        <f>IFERROR(__xludf.DUMMYFUNCTION("GOOGLETRANSLATE(A34401, ""de"", ""en"")"),"straws")</f>
        <v>straws</v>
      </c>
    </row>
    <row r="34402">
      <c r="A34402" s="1" t="s">
        <v>34401</v>
      </c>
      <c r="B34402" s="2" t="str">
        <f>IFERROR(__xludf.DUMMYFUNCTION("GOOGLETRANSLATE(A34402, ""de"", ""en"")"),"pig dogs")</f>
        <v>pig dogs</v>
      </c>
    </row>
    <row r="34403">
      <c r="A34403" s="1" t="s">
        <v>34402</v>
      </c>
      <c r="B34403" s="2" t="str">
        <f>IFERROR(__xludf.DUMMYFUNCTION("GOOGLETRANSLATE(A34403, ""de"", ""en"")"),"paper bag")</f>
        <v>paper bag</v>
      </c>
    </row>
    <row r="34404">
      <c r="A34404" s="1" t="s">
        <v>34403</v>
      </c>
      <c r="B34404" s="2" t="str">
        <f>IFERROR(__xludf.DUMMYFUNCTION("GOOGLETRANSLATE(A34404, ""de"", ""en"")"),"astra")</f>
        <v>astra</v>
      </c>
    </row>
    <row r="34405">
      <c r="A34405" s="1" t="s">
        <v>34404</v>
      </c>
      <c r="B34405" s="2" t="str">
        <f>IFERROR(__xludf.DUMMYFUNCTION("GOOGLETRANSLATE(A34405, ""de"", ""en"")"),"carried away")</f>
        <v>carried away</v>
      </c>
    </row>
    <row r="34406">
      <c r="A34406" s="1" t="s">
        <v>34405</v>
      </c>
      <c r="B34406" s="2" t="str">
        <f>IFERROR(__xludf.DUMMYFUNCTION("GOOGLETRANSLATE(A34406, ""de"", ""en"")"),"conquests")</f>
        <v>conquests</v>
      </c>
    </row>
    <row r="34407">
      <c r="A34407" s="1" t="s">
        <v>34406</v>
      </c>
      <c r="B34407" s="2" t="str">
        <f>IFERROR(__xludf.DUMMYFUNCTION("GOOGLETRANSLATE(A34407, ""de"", ""en"")"),"superficial")</f>
        <v>superficial</v>
      </c>
    </row>
    <row r="34408">
      <c r="A34408" s="1" t="s">
        <v>34407</v>
      </c>
      <c r="B34408" s="2" t="str">
        <f>IFERROR(__xludf.DUMMYFUNCTION("GOOGLETRANSLATE(A34408, ""de"", ""en"")"),"to throw out")</f>
        <v>to throw out</v>
      </c>
    </row>
    <row r="34409">
      <c r="A34409" s="1" t="s">
        <v>34408</v>
      </c>
      <c r="B34409" s="2" t="str">
        <f>IFERROR(__xludf.DUMMYFUNCTION("GOOGLETRANSLATE(A34409, ""de"", ""en"")"),"Altmann")</f>
        <v>Altmann</v>
      </c>
    </row>
    <row r="34410">
      <c r="A34410" s="1" t="s">
        <v>34409</v>
      </c>
      <c r="B34410" s="2" t="str">
        <f>IFERROR(__xludf.DUMMYFUNCTION("GOOGLETRANSLATE(A34410, ""de"", ""en"")"),"incumbent")</f>
        <v>incumbent</v>
      </c>
    </row>
    <row r="34411">
      <c r="A34411" s="1" t="s">
        <v>34410</v>
      </c>
      <c r="B34411" s="2" t="str">
        <f>IFERROR(__xludf.DUMMYFUNCTION("GOOGLETRANSLATE(A34411, ""de"", ""en"")"),"stormy")</f>
        <v>stormy</v>
      </c>
    </row>
    <row r="34412">
      <c r="A34412" s="1" t="s">
        <v>34411</v>
      </c>
      <c r="B34412" s="2" t="str">
        <f>IFERROR(__xludf.DUMMYFUNCTION("GOOGLETRANSLATE(A34412, ""de"", ""en"")"),"suspenders")</f>
        <v>suspenders</v>
      </c>
    </row>
    <row r="34413">
      <c r="A34413" s="1" t="s">
        <v>34412</v>
      </c>
      <c r="B34413" s="2" t="str">
        <f>IFERROR(__xludf.DUMMYFUNCTION("GOOGLETRANSLATE(A34413, ""de"", ""en"")"),"hathaway")</f>
        <v>hathaway</v>
      </c>
    </row>
    <row r="34414">
      <c r="A34414" s="1" t="s">
        <v>34413</v>
      </c>
      <c r="B34414" s="2" t="str">
        <f>IFERROR(__xludf.DUMMYFUNCTION("GOOGLETRANSLATE(A34414, ""de"", ""en"")"),"professional")</f>
        <v>professional</v>
      </c>
    </row>
    <row r="34415">
      <c r="A34415" s="1" t="s">
        <v>34414</v>
      </c>
      <c r="B34415" s="2" t="str">
        <f>IFERROR(__xludf.DUMMYFUNCTION("GOOGLETRANSLATE(A34415, ""de"", ""en"")"),"squeezed")</f>
        <v>squeezed</v>
      </c>
    </row>
    <row r="34416">
      <c r="A34416" s="1" t="s">
        <v>34415</v>
      </c>
      <c r="B34416" s="2" t="str">
        <f>IFERROR(__xludf.DUMMYFUNCTION("GOOGLETRANSLATE(A34416, ""de"", ""en"")"),"uncontrollable")</f>
        <v>uncontrollable</v>
      </c>
    </row>
    <row r="34417">
      <c r="A34417" s="1" t="s">
        <v>34416</v>
      </c>
      <c r="B34417" s="2" t="str">
        <f>IFERROR(__xludf.DUMMYFUNCTION("GOOGLETRANSLATE(A34417, ""de"", ""en"")"),"litigation")</f>
        <v>litigation</v>
      </c>
    </row>
    <row r="34418">
      <c r="A34418" s="1" t="s">
        <v>34417</v>
      </c>
      <c r="B34418" s="2" t="str">
        <f>IFERROR(__xludf.DUMMYFUNCTION("GOOGLETRANSLATE(A34418, ""de"", ""en"")"),"credits")</f>
        <v>credits</v>
      </c>
    </row>
    <row r="34419">
      <c r="A34419" s="1" t="s">
        <v>34418</v>
      </c>
      <c r="B34419" s="2" t="str">
        <f>IFERROR(__xludf.DUMMYFUNCTION("GOOGLETRANSLATE(A34419, ""de"", ""en"")"),"kirkland")</f>
        <v>kirkland</v>
      </c>
    </row>
    <row r="34420">
      <c r="A34420" s="1" t="s">
        <v>34419</v>
      </c>
      <c r="B34420" s="2" t="str">
        <f>IFERROR(__xludf.DUMMYFUNCTION("GOOGLETRANSLATE(A34420, ""de"", ""en"")"),"dominate")</f>
        <v>dominate</v>
      </c>
    </row>
    <row r="34421">
      <c r="A34421" s="1" t="s">
        <v>34420</v>
      </c>
      <c r="B34421" s="2" t="str">
        <f>IFERROR(__xludf.DUMMYFUNCTION("GOOGLETRANSLATE(A34421, ""de"", ""en"")"),"states")</f>
        <v>states</v>
      </c>
    </row>
    <row r="34422">
      <c r="A34422" s="1" t="s">
        <v>34421</v>
      </c>
      <c r="B34422" s="2" t="str">
        <f>IFERROR(__xludf.DUMMYFUNCTION("GOOGLETRANSLATE(A34422, ""de"", ""en"")"),"unpaid")</f>
        <v>unpaid</v>
      </c>
    </row>
    <row r="34423">
      <c r="A34423" s="1" t="s">
        <v>34422</v>
      </c>
      <c r="B34423" s="2" t="str">
        <f>IFERROR(__xludf.DUMMYFUNCTION("GOOGLETRANSLATE(A34423, ""de"", ""en"")"),"time fuse")</f>
        <v>time fuse</v>
      </c>
    </row>
    <row r="34424">
      <c r="A34424" s="1" t="s">
        <v>34423</v>
      </c>
      <c r="B34424" s="2" t="str">
        <f>IFERROR(__xludf.DUMMYFUNCTION("GOOGLETRANSLATE(A34424, ""de"", ""en"")"),"surgical")</f>
        <v>surgical</v>
      </c>
    </row>
    <row r="34425">
      <c r="A34425" s="1" t="s">
        <v>34424</v>
      </c>
      <c r="B34425" s="2" t="str">
        <f>IFERROR(__xludf.DUMMYFUNCTION("GOOGLETRANSLATE(A34425, ""de"", ""en"")"),"to recapture")</f>
        <v>to recapture</v>
      </c>
    </row>
    <row r="34426">
      <c r="A34426" s="1" t="s">
        <v>34425</v>
      </c>
      <c r="B34426" s="2" t="str">
        <f>IFERROR(__xludf.DUMMYFUNCTION("GOOGLETRANSLATE(A34426, ""de"", ""en"")"),"tv series")</f>
        <v>tv series</v>
      </c>
    </row>
    <row r="34427">
      <c r="A34427" s="1" t="s">
        <v>34426</v>
      </c>
      <c r="B34427" s="2" t="str">
        <f>IFERROR(__xludf.DUMMYFUNCTION("GOOGLETRANSLATE(A34427, ""de"", ""en"")"),"preach")</f>
        <v>preach</v>
      </c>
    </row>
    <row r="34428">
      <c r="A34428" s="1" t="s">
        <v>34427</v>
      </c>
      <c r="B34428" s="2" t="str">
        <f>IFERROR(__xludf.DUMMYFUNCTION("GOOGLETRANSLATE(A34428, ""de"", ""en"")"),"blooms")</f>
        <v>blooms</v>
      </c>
    </row>
    <row r="34429">
      <c r="A34429" s="1" t="s">
        <v>34428</v>
      </c>
      <c r="B34429" s="2" t="str">
        <f>IFERROR(__xludf.DUMMYFUNCTION("GOOGLETRANSLATE(A34429, ""de"", ""en"")"),"Belgian")</f>
        <v>Belgian</v>
      </c>
    </row>
    <row r="34430">
      <c r="A34430" s="1" t="s">
        <v>34429</v>
      </c>
      <c r="B34430" s="2" t="str">
        <f>IFERROR(__xludf.DUMMYFUNCTION("GOOGLETRANSLATE(A34430, ""de"", ""en"")"),"again")</f>
        <v>again</v>
      </c>
    </row>
    <row r="34431">
      <c r="A34431" s="1" t="s">
        <v>34430</v>
      </c>
      <c r="B34431" s="2" t="str">
        <f>IFERROR(__xludf.DUMMYFUNCTION("GOOGLETRANSLATE(A34431, ""de"", ""en"")"),"repulsed")</f>
        <v>repulsed</v>
      </c>
    </row>
    <row r="34432">
      <c r="A34432" s="1" t="s">
        <v>34431</v>
      </c>
      <c r="B34432" s="2" t="str">
        <f>IFERROR(__xludf.DUMMYFUNCTION("GOOGLETRANSLATE(A34432, ""de"", ""en"")"),"service weapon")</f>
        <v>service weapon</v>
      </c>
    </row>
    <row r="34433">
      <c r="A34433" s="1" t="s">
        <v>34432</v>
      </c>
      <c r="B34433" s="2" t="str">
        <f>IFERROR(__xludf.DUMMYFUNCTION("GOOGLETRANSLATE(A34433, ""de"", ""en"")"),"lick")</f>
        <v>lick</v>
      </c>
    </row>
    <row r="34434">
      <c r="A34434" s="1" t="s">
        <v>34433</v>
      </c>
      <c r="B34434" s="2" t="str">
        <f>IFERROR(__xludf.DUMMYFUNCTION("GOOGLETRANSLATE(A34434, ""de"", ""en"")"),"squire")</f>
        <v>squire</v>
      </c>
    </row>
    <row r="34435">
      <c r="A34435" s="1" t="s">
        <v>34434</v>
      </c>
      <c r="B34435" s="2" t="str">
        <f>IFERROR(__xludf.DUMMYFUNCTION("GOOGLETRANSLATE(A34435, ""de"", ""en"")"),"midland")</f>
        <v>midland</v>
      </c>
    </row>
    <row r="34436">
      <c r="A34436" s="1" t="s">
        <v>34435</v>
      </c>
      <c r="B34436" s="2" t="str">
        <f>IFERROR(__xludf.DUMMYFUNCTION("GOOGLETRANSLATE(A34436, ""de"", ""en"")"),"park bench")</f>
        <v>park bench</v>
      </c>
    </row>
    <row r="34437">
      <c r="A34437" s="1" t="s">
        <v>34436</v>
      </c>
      <c r="B34437" s="2" t="str">
        <f>IFERROR(__xludf.DUMMYFUNCTION("GOOGLETRANSLATE(A34437, ""de"", ""en"")"),"barstow")</f>
        <v>barstow</v>
      </c>
    </row>
    <row r="34438">
      <c r="A34438" s="1" t="s">
        <v>34437</v>
      </c>
      <c r="B34438" s="2" t="str">
        <f>IFERROR(__xludf.DUMMYFUNCTION("GOOGLETRANSLATE(A34438, ""de"", ""en"")"),"school newspaper")</f>
        <v>school newspaper</v>
      </c>
    </row>
    <row r="34439">
      <c r="A34439" s="1" t="s">
        <v>34438</v>
      </c>
      <c r="B34439" s="2" t="str">
        <f>IFERROR(__xludf.DUMMYFUNCTION("GOOGLETRANSLATE(A34439, ""de"", ""en"")"),"sexual life")</f>
        <v>sexual life</v>
      </c>
    </row>
    <row r="34440">
      <c r="A34440" s="1" t="s">
        <v>34439</v>
      </c>
      <c r="B34440" s="2" t="str">
        <f>IFERROR(__xludf.DUMMYFUNCTION("GOOGLETRANSLATE(A34440, ""de"", ""en"")"),"nid")</f>
        <v>nid</v>
      </c>
    </row>
    <row r="34441">
      <c r="A34441" s="1" t="s">
        <v>34440</v>
      </c>
      <c r="B34441" s="2" t="str">
        <f>IFERROR(__xludf.DUMMYFUNCTION("GOOGLETRANSLATE(A34441, ""de"", ""en"")"),"spotter")</f>
        <v>spotter</v>
      </c>
    </row>
    <row r="34442">
      <c r="A34442" s="1" t="s">
        <v>34441</v>
      </c>
      <c r="B34442" s="2" t="str">
        <f>IFERROR(__xludf.DUMMYFUNCTION("GOOGLETRANSLATE(A34442, ""de"", ""en"")"),"dagmar")</f>
        <v>dagmar</v>
      </c>
    </row>
    <row r="34443">
      <c r="A34443" s="1" t="s">
        <v>34442</v>
      </c>
      <c r="B34443" s="2" t="str">
        <f>IFERROR(__xludf.DUMMYFUNCTION("GOOGLETRANSLATE(A34443, ""de"", ""en"")"),"dharma")</f>
        <v>dharma</v>
      </c>
    </row>
    <row r="34444">
      <c r="A34444" s="1" t="s">
        <v>34443</v>
      </c>
      <c r="B34444" s="2" t="str">
        <f>IFERROR(__xludf.DUMMYFUNCTION("GOOGLETRANSLATE(A34444, ""de"", ""en"")"),"extravagant")</f>
        <v>extravagant</v>
      </c>
    </row>
    <row r="34445">
      <c r="A34445" s="1" t="s">
        <v>34444</v>
      </c>
      <c r="B34445" s="2" t="str">
        <f>IFERROR(__xludf.DUMMYFUNCTION("GOOGLETRANSLATE(A34445, ""de"", ""en"")"),"nervous")</f>
        <v>nervous</v>
      </c>
    </row>
    <row r="34446">
      <c r="A34446" s="1" t="s">
        <v>34445</v>
      </c>
      <c r="B34446" s="2" t="str">
        <f>IFERROR(__xludf.DUMMYFUNCTION("GOOGLETRANSLATE(A34446, ""de"", ""en"")"),"waiting")</f>
        <v>waiting</v>
      </c>
    </row>
    <row r="34447">
      <c r="A34447" s="1" t="s">
        <v>34446</v>
      </c>
      <c r="B34447" s="2" t="str">
        <f>IFERROR(__xludf.DUMMYFUNCTION("GOOGLETRANSLATE(A34447, ""de"", ""en"")"),"ancestor")</f>
        <v>ancestor</v>
      </c>
    </row>
    <row r="34448">
      <c r="A34448" s="1" t="s">
        <v>34447</v>
      </c>
      <c r="B34448" s="2" t="str">
        <f>IFERROR(__xludf.DUMMYFUNCTION("GOOGLETRANSLATE(A34448, ""de"", ""en"")"),"vikram")</f>
        <v>vikram</v>
      </c>
    </row>
    <row r="34449">
      <c r="A34449" s="1" t="s">
        <v>34448</v>
      </c>
      <c r="B34449" s="2" t="str">
        <f>IFERROR(__xludf.DUMMYFUNCTION("GOOGLETRANSLATE(A34449, ""de"", ""en"")"),"roosters")</f>
        <v>roosters</v>
      </c>
    </row>
    <row r="34450">
      <c r="A34450" s="1" t="s">
        <v>34449</v>
      </c>
      <c r="B34450" s="2" t="str">
        <f>IFERROR(__xludf.DUMMYFUNCTION("GOOGLETRANSLATE(A34450, ""de"", ""en"")"),"raspberries")</f>
        <v>raspberries</v>
      </c>
    </row>
    <row r="34451">
      <c r="A34451" s="1" t="s">
        <v>34450</v>
      </c>
      <c r="B34451" s="2" t="str">
        <f>IFERROR(__xludf.DUMMYFUNCTION("GOOGLETRANSLATE(A34451, ""de"", ""en"")"),"moved out")</f>
        <v>moved out</v>
      </c>
    </row>
    <row r="34452">
      <c r="A34452" s="1" t="s">
        <v>34451</v>
      </c>
      <c r="B34452" s="2" t="str">
        <f>IFERROR(__xludf.DUMMYFUNCTION("GOOGLETRANSLATE(A34452, ""de"", ""en"")"),"annapolis")</f>
        <v>annapolis</v>
      </c>
    </row>
    <row r="34453">
      <c r="A34453" s="1" t="s">
        <v>34452</v>
      </c>
      <c r="B34453" s="2" t="str">
        <f>IFERROR(__xludf.DUMMYFUNCTION("GOOGLETRANSLATE(A34453, ""de"", ""en"")"),"count")</f>
        <v>count</v>
      </c>
    </row>
    <row r="34454">
      <c r="A34454" s="1" t="s">
        <v>34453</v>
      </c>
      <c r="B34454" s="2" t="str">
        <f>IFERROR(__xludf.DUMMYFUNCTION("GOOGLETRANSLATE(A34454, ""de"", ""en"")"),"tight")</f>
        <v>tight</v>
      </c>
    </row>
    <row r="34455">
      <c r="A34455" s="1" t="s">
        <v>34454</v>
      </c>
      <c r="B34455" s="2" t="str">
        <f>IFERROR(__xludf.DUMMYFUNCTION("GOOGLETRANSLATE(A34455, ""de"", ""en"")"),"thought")</f>
        <v>thought</v>
      </c>
    </row>
    <row r="34456">
      <c r="A34456" s="1" t="s">
        <v>34455</v>
      </c>
      <c r="B34456" s="2" t="str">
        <f>IFERROR(__xludf.DUMMYFUNCTION("GOOGLETRANSLATE(A34456, ""de"", ""en"")"),"greetings")</f>
        <v>greetings</v>
      </c>
    </row>
    <row r="34457">
      <c r="A34457" s="1" t="s">
        <v>34456</v>
      </c>
      <c r="B34457" s="2" t="str">
        <f>IFERROR(__xludf.DUMMYFUNCTION("GOOGLETRANSLATE(A34457, ""de"", ""en"")"),"meal")</f>
        <v>meal</v>
      </c>
    </row>
    <row r="34458">
      <c r="A34458" s="1" t="s">
        <v>34457</v>
      </c>
      <c r="B34458" s="2" t="str">
        <f>IFERROR(__xludf.DUMMYFUNCTION("GOOGLETRANSLATE(A34458, ""de"", ""en"")"),"massive")</f>
        <v>massive</v>
      </c>
    </row>
    <row r="34459">
      <c r="A34459" s="1" t="s">
        <v>34458</v>
      </c>
      <c r="B34459" s="2" t="str">
        <f>IFERROR(__xludf.DUMMYFUNCTION("GOOGLETRANSLATE(A34459, ""de"", ""en"")"),"log in")</f>
        <v>log in</v>
      </c>
    </row>
    <row r="34460">
      <c r="A34460" s="1" t="s">
        <v>34459</v>
      </c>
      <c r="B34460" s="2" t="str">
        <f>IFERROR(__xludf.DUMMYFUNCTION("GOOGLETRANSLATE(A34460, ""de"", ""en"")"),"bring back")</f>
        <v>bring back</v>
      </c>
    </row>
    <row r="34461">
      <c r="A34461" s="1" t="s">
        <v>34460</v>
      </c>
      <c r="B34461" s="2" t="str">
        <f>IFERROR(__xludf.DUMMYFUNCTION("GOOGLETRANSLATE(A34461, ""de"", ""en"")"),"ephraim")</f>
        <v>ephraim</v>
      </c>
    </row>
    <row r="34462">
      <c r="A34462" s="1" t="s">
        <v>34461</v>
      </c>
      <c r="B34462" s="2" t="str">
        <f>IFERROR(__xludf.DUMMYFUNCTION("GOOGLETRANSLATE(A34462, ""de"", ""en"")"),"flatfoot")</f>
        <v>flatfoot</v>
      </c>
    </row>
    <row r="34463">
      <c r="A34463" s="1" t="s">
        <v>34462</v>
      </c>
      <c r="B34463" s="2" t="str">
        <f>IFERROR(__xludf.DUMMYFUNCTION("GOOGLETRANSLATE(A34463, ""de"", ""en"")"),"slow")</f>
        <v>slow</v>
      </c>
    </row>
    <row r="34464">
      <c r="A34464" s="1" t="s">
        <v>34463</v>
      </c>
      <c r="B34464" s="2" t="str">
        <f>IFERROR(__xludf.DUMMYFUNCTION("GOOGLETRANSLATE(A34464, ""de"", ""en"")"),"pinch")</f>
        <v>pinch</v>
      </c>
    </row>
    <row r="34465">
      <c r="A34465" s="1" t="s">
        <v>34464</v>
      </c>
      <c r="B34465" s="2" t="str">
        <f>IFERROR(__xludf.DUMMYFUNCTION("GOOGLETRANSLATE(A34465, ""de"", ""en"")"),"perceives")</f>
        <v>perceives</v>
      </c>
    </row>
    <row r="34466">
      <c r="A34466" s="1" t="s">
        <v>34465</v>
      </c>
      <c r="B34466" s="2" t="str">
        <f>IFERROR(__xludf.DUMMYFUNCTION("GOOGLETRANSLATE(A34466, ""de"", ""en"")"),"lousiest")</f>
        <v>lousiest</v>
      </c>
    </row>
    <row r="34467">
      <c r="A34467" s="1" t="s">
        <v>34466</v>
      </c>
      <c r="B34467" s="2" t="str">
        <f>IFERROR(__xludf.DUMMYFUNCTION("GOOGLETRANSLATE(A34467, ""de"", ""en"")"),"deterrence")</f>
        <v>deterrence</v>
      </c>
    </row>
    <row r="34468">
      <c r="A34468" s="1" t="s">
        <v>34467</v>
      </c>
      <c r="B34468" s="2" t="str">
        <f>IFERROR(__xludf.DUMMYFUNCTION("GOOGLETRANSLATE(A34468, ""de"", ""en"")"),"coolest")</f>
        <v>coolest</v>
      </c>
    </row>
    <row r="34469">
      <c r="A34469" s="1" t="s">
        <v>34468</v>
      </c>
      <c r="B34469" s="2" t="str">
        <f>IFERROR(__xludf.DUMMYFUNCTION("GOOGLETRANSLATE(A34469, ""de"", ""en"")"),"small children")</f>
        <v>small children</v>
      </c>
    </row>
    <row r="34470">
      <c r="A34470" s="1" t="s">
        <v>34469</v>
      </c>
      <c r="B34470" s="2" t="str">
        <f>IFERROR(__xludf.DUMMYFUNCTION("GOOGLETRANSLATE(A34470, ""de"", ""en"")"),"mercia")</f>
        <v>mercia</v>
      </c>
    </row>
    <row r="34471">
      <c r="A34471" s="1" t="s">
        <v>34470</v>
      </c>
      <c r="B34471" s="2" t="str">
        <f>IFERROR(__xludf.DUMMYFUNCTION("GOOGLETRANSLATE(A34471, ""de"", ""en"")"),"vital functions")</f>
        <v>vital functions</v>
      </c>
    </row>
    <row r="34472">
      <c r="A34472" s="1" t="s">
        <v>34471</v>
      </c>
      <c r="B34472" s="2" t="str">
        <f>IFERROR(__xludf.DUMMYFUNCTION("GOOGLETRANSLATE(A34472, ""de"", ""en"")"),"raises")</f>
        <v>raises</v>
      </c>
    </row>
    <row r="34473">
      <c r="A34473" s="1" t="s">
        <v>34472</v>
      </c>
      <c r="B34473" s="2" t="str">
        <f>IFERROR(__xludf.DUMMYFUNCTION("GOOGLETRANSLATE(A34473, ""de"", ""en"")"),"tread")</f>
        <v>tread</v>
      </c>
    </row>
    <row r="34474">
      <c r="A34474" s="1" t="s">
        <v>34473</v>
      </c>
      <c r="B34474" s="2" t="str">
        <f>IFERROR(__xludf.DUMMYFUNCTION("GOOGLETRANSLATE(A34474, ""de"", ""en"")"),"fruity")</f>
        <v>fruity</v>
      </c>
    </row>
    <row r="34475">
      <c r="A34475" s="1" t="s">
        <v>34474</v>
      </c>
      <c r="B34475" s="2" t="str">
        <f>IFERROR(__xludf.DUMMYFUNCTION("GOOGLETRANSLATE(A34475, ""de"", ""en"")"),"greasy")</f>
        <v>greasy</v>
      </c>
    </row>
    <row r="34476">
      <c r="A34476" s="1" t="s">
        <v>34475</v>
      </c>
      <c r="B34476" s="2" t="str">
        <f>IFERROR(__xludf.DUMMYFUNCTION("GOOGLETRANSLATE(A34476, ""de"", ""en"")"),"nomads")</f>
        <v>nomads</v>
      </c>
    </row>
    <row r="34477">
      <c r="A34477" s="1" t="s">
        <v>34476</v>
      </c>
      <c r="B34477" s="2" t="str">
        <f>IFERROR(__xludf.DUMMYFUNCTION("GOOGLETRANSLATE(A34477, ""de"", ""en"")"),"ID card")</f>
        <v>ID card</v>
      </c>
    </row>
    <row r="34478">
      <c r="A34478" s="1" t="s">
        <v>34477</v>
      </c>
      <c r="B34478" s="2" t="str">
        <f>IFERROR(__xludf.DUMMYFUNCTION("GOOGLETRANSLATE(A34478, ""de"", ""en"")"),"terje")</f>
        <v>terje</v>
      </c>
    </row>
    <row r="34479">
      <c r="A34479" s="1" t="s">
        <v>34478</v>
      </c>
      <c r="B34479" s="2" t="str">
        <f>IFERROR(__xludf.DUMMYFUNCTION("GOOGLETRANSLATE(A34479, ""de"", ""en"")"),"imprisonment")</f>
        <v>imprisonment</v>
      </c>
    </row>
    <row r="34480">
      <c r="A34480" s="1" t="s">
        <v>34479</v>
      </c>
      <c r="B34480" s="2" t="str">
        <f>IFERROR(__xludf.DUMMYFUNCTION("GOOGLETRANSLATE(A34480, ""de"", ""en"")"),"minutes")</f>
        <v>minutes</v>
      </c>
    </row>
    <row r="34481">
      <c r="A34481" s="1" t="s">
        <v>34480</v>
      </c>
      <c r="B34481" s="2" t="str">
        <f>IFERROR(__xludf.DUMMYFUNCTION("GOOGLETRANSLATE(A34481, ""de"", ""en"")"),"Beckham")</f>
        <v>Beckham</v>
      </c>
    </row>
    <row r="34482">
      <c r="A34482" s="1" t="s">
        <v>34481</v>
      </c>
      <c r="B34482" s="2" t="str">
        <f>IFERROR(__xludf.DUMMYFUNCTION("GOOGLETRANSLATE(A34482, ""de"", ""en"")"),"martin")</f>
        <v>martin</v>
      </c>
    </row>
    <row r="34483">
      <c r="A34483" s="1" t="s">
        <v>34482</v>
      </c>
      <c r="B34483" s="2" t="str">
        <f>IFERROR(__xludf.DUMMYFUNCTION("GOOGLETRANSLATE(A34483, ""de"", ""en"")"),"offering")</f>
        <v>offering</v>
      </c>
    </row>
    <row r="34484">
      <c r="A34484" s="1" t="s">
        <v>34483</v>
      </c>
      <c r="B34484" s="2" t="str">
        <f>IFERROR(__xludf.DUMMYFUNCTION("GOOGLETRANSLATE(A34484, ""de"", ""en"")"),"foreigner")</f>
        <v>foreigner</v>
      </c>
    </row>
    <row r="34485">
      <c r="A34485" s="1" t="s">
        <v>34484</v>
      </c>
      <c r="B34485" s="2" t="str">
        <f>IFERROR(__xludf.DUMMYFUNCTION("GOOGLETRANSLATE(A34485, ""de"", ""en"")"),"improvise")</f>
        <v>improvise</v>
      </c>
    </row>
    <row r="34486">
      <c r="A34486" s="1" t="s">
        <v>34485</v>
      </c>
      <c r="B34486" s="2" t="str">
        <f>IFERROR(__xludf.DUMMYFUNCTION("GOOGLETRANSLATE(A34486, ""de"", ""en"")"),"transformed")</f>
        <v>transformed</v>
      </c>
    </row>
    <row r="34487">
      <c r="A34487" s="1" t="s">
        <v>34486</v>
      </c>
      <c r="B34487" s="2" t="str">
        <f>IFERROR(__xludf.DUMMYFUNCTION("GOOGLETRANSLATE(A34487, ""de"", ""en"")"),"Stine")</f>
        <v>Stine</v>
      </c>
    </row>
    <row r="34488">
      <c r="A34488" s="1" t="s">
        <v>34487</v>
      </c>
      <c r="B34488" s="2" t="str">
        <f>IFERROR(__xludf.DUMMYFUNCTION("GOOGLETRANSLATE(A34488, ""de"", ""en"")"),"consume")</f>
        <v>consume</v>
      </c>
    </row>
    <row r="34489">
      <c r="A34489" s="1" t="s">
        <v>34488</v>
      </c>
      <c r="B34489" s="2" t="str">
        <f>IFERROR(__xludf.DUMMYFUNCTION("GOOGLETRANSLATE(A34489, ""de"", ""en"")"),"Gilly")</f>
        <v>Gilly</v>
      </c>
    </row>
    <row r="34490">
      <c r="A34490" s="1" t="s">
        <v>34489</v>
      </c>
      <c r="B34490" s="2" t="str">
        <f>IFERROR(__xludf.DUMMYFUNCTION("GOOGLETRANSLATE(A34490, ""de"", ""en"")"),"distant")</f>
        <v>distant</v>
      </c>
    </row>
    <row r="34491">
      <c r="A34491" s="1" t="s">
        <v>34490</v>
      </c>
      <c r="B34491" s="2" t="str">
        <f>IFERROR(__xludf.DUMMYFUNCTION("GOOGLETRANSLATE(A34491, ""de"", ""en"")"),"Akron")</f>
        <v>Akron</v>
      </c>
    </row>
    <row r="34492">
      <c r="A34492" s="1" t="s">
        <v>34491</v>
      </c>
      <c r="B34492" s="2" t="str">
        <f>IFERROR(__xludf.DUMMYFUNCTION("GOOGLETRANSLATE(A34492, ""de"", ""en"")"),"chatter")</f>
        <v>chatter</v>
      </c>
    </row>
    <row r="34493">
      <c r="A34493" s="1" t="s">
        <v>34492</v>
      </c>
      <c r="B34493" s="2" t="str">
        <f>IFERROR(__xludf.DUMMYFUNCTION("GOOGLETRANSLATE(A34493, ""de"", ""en"")"),"motto")</f>
        <v>motto</v>
      </c>
    </row>
    <row r="34494">
      <c r="A34494" s="1" t="s">
        <v>34493</v>
      </c>
      <c r="B34494" s="2" t="str">
        <f>IFERROR(__xludf.DUMMYFUNCTION("GOOGLETRANSLATE(A34494, ""de"", ""en"")"),"alberts")</f>
        <v>alberts</v>
      </c>
    </row>
    <row r="34495">
      <c r="A34495" s="1" t="s">
        <v>34494</v>
      </c>
      <c r="B34495" s="2" t="str">
        <f>IFERROR(__xludf.DUMMYFUNCTION("GOOGLETRANSLATE(A34495, ""de"", ""en"")"),"rock stars")</f>
        <v>rock stars</v>
      </c>
    </row>
    <row r="34496">
      <c r="A34496" s="1" t="s">
        <v>34495</v>
      </c>
      <c r="B34496" s="2" t="str">
        <f>IFERROR(__xludf.DUMMYFUNCTION("GOOGLETRANSLATE(A34496, ""de"", ""en"")"),"paid out")</f>
        <v>paid out</v>
      </c>
    </row>
    <row r="34497">
      <c r="A34497" s="1" t="s">
        <v>34496</v>
      </c>
      <c r="B34497" s="2" t="str">
        <f>IFERROR(__xludf.DUMMYFUNCTION("GOOGLETRANSLATE(A34497, ""de"", ""en"")"),"blackwell")</f>
        <v>blackwell</v>
      </c>
    </row>
    <row r="34498">
      <c r="A34498" s="1" t="s">
        <v>34497</v>
      </c>
      <c r="B34498" s="2" t="str">
        <f>IFERROR(__xludf.DUMMYFUNCTION("GOOGLETRANSLATE(A34498, ""de"", ""en"")"),"departments")</f>
        <v>departments</v>
      </c>
    </row>
    <row r="34499">
      <c r="A34499" s="1" t="s">
        <v>34498</v>
      </c>
      <c r="B34499" s="2" t="str">
        <f>IFERROR(__xludf.DUMMYFUNCTION("GOOGLETRANSLATE(A34499, ""de"", ""en"")"),"to continue")</f>
        <v>to continue</v>
      </c>
    </row>
    <row r="34500">
      <c r="A34500" s="1" t="s">
        <v>34499</v>
      </c>
      <c r="B34500" s="2" t="str">
        <f>IFERROR(__xludf.DUMMYFUNCTION("GOOGLETRANSLATE(A34500, ""de"", ""en"")"),"thawed")</f>
        <v>thawed</v>
      </c>
    </row>
    <row r="34501">
      <c r="A34501" s="1" t="s">
        <v>34500</v>
      </c>
      <c r="B34501" s="2" t="str">
        <f>IFERROR(__xludf.DUMMYFUNCTION("GOOGLETRANSLATE(A34501, ""de"", ""en"")"),"self-hatred")</f>
        <v>self-hatred</v>
      </c>
    </row>
    <row r="34502">
      <c r="A34502" s="1" t="s">
        <v>34501</v>
      </c>
      <c r="B34502" s="2" t="str">
        <f>IFERROR(__xludf.DUMMYFUNCTION("GOOGLETRANSLATE(A34502, ""de"", ""en"")"),"more unique")</f>
        <v>more unique</v>
      </c>
    </row>
    <row r="34503">
      <c r="A34503" s="1" t="s">
        <v>34502</v>
      </c>
      <c r="B34503" s="2" t="str">
        <f>IFERROR(__xludf.DUMMYFUNCTION("GOOGLETRANSLATE(A34503, ""de"", ""en"")"),"wainwright")</f>
        <v>wainwright</v>
      </c>
    </row>
    <row r="34504">
      <c r="A34504" s="1" t="s">
        <v>34503</v>
      </c>
      <c r="B34504" s="2" t="str">
        <f>IFERROR(__xludf.DUMMYFUNCTION("GOOGLETRANSLATE(A34504, ""de"", ""en"")"),"jiang")</f>
        <v>jiang</v>
      </c>
    </row>
    <row r="34505">
      <c r="A34505" s="1" t="s">
        <v>34504</v>
      </c>
      <c r="B34505" s="2" t="str">
        <f>IFERROR(__xludf.DUMMYFUNCTION("GOOGLETRANSLATE(A34505, ""de"", ""en"")"),"Arthur")</f>
        <v>Arthur</v>
      </c>
    </row>
    <row r="34506">
      <c r="A34506" s="1" t="s">
        <v>34505</v>
      </c>
      <c r="B34506" s="2" t="str">
        <f>IFERROR(__xludf.DUMMYFUNCTION("GOOGLETRANSLATE(A34506, ""de"", ""en"")"),"halstead")</f>
        <v>halstead</v>
      </c>
    </row>
    <row r="34507">
      <c r="A34507" s="1" t="s">
        <v>34506</v>
      </c>
      <c r="B34507" s="2" t="str">
        <f>IFERROR(__xludf.DUMMYFUNCTION("GOOGLETRANSLATE(A34507, ""de"", ""en"")"),"cot")</f>
        <v>cot</v>
      </c>
    </row>
    <row r="34508">
      <c r="A34508" s="1" t="s">
        <v>34507</v>
      </c>
      <c r="B34508" s="2" t="str">
        <f>IFERROR(__xludf.DUMMYFUNCTION("GOOGLETRANSLATE(A34508, ""de"", ""en"")"),"screenwriter")</f>
        <v>screenwriter</v>
      </c>
    </row>
    <row r="34509">
      <c r="A34509" s="1" t="s">
        <v>34508</v>
      </c>
      <c r="B34509" s="2" t="str">
        <f>IFERROR(__xludf.DUMMYFUNCTION("GOOGLETRANSLATE(A34509, ""de"", ""en"")"),"desire")</f>
        <v>desire</v>
      </c>
    </row>
    <row r="34510">
      <c r="A34510" s="1" t="s">
        <v>34509</v>
      </c>
      <c r="B34510" s="2" t="str">
        <f>IFERROR(__xludf.DUMMYFUNCTION("GOOGLETRANSLATE(A34510, ""de"", ""en"")"),"contamination")</f>
        <v>contamination</v>
      </c>
    </row>
    <row r="34511">
      <c r="A34511" s="1" t="s">
        <v>34510</v>
      </c>
      <c r="B34511" s="2" t="str">
        <f>IFERROR(__xludf.DUMMYFUNCTION("GOOGLETRANSLATE(A34511, ""de"", ""en"")"),"sneaky")</f>
        <v>sneaky</v>
      </c>
    </row>
    <row r="34512">
      <c r="A34512" s="1" t="s">
        <v>34511</v>
      </c>
      <c r="B34512" s="2" t="str">
        <f>IFERROR(__xludf.DUMMYFUNCTION("GOOGLETRANSLATE(A34512, ""de"", ""en"")"),"papaya")</f>
        <v>papaya</v>
      </c>
    </row>
    <row r="34513">
      <c r="A34513" s="1" t="s">
        <v>34512</v>
      </c>
      <c r="B34513" s="2" t="str">
        <f>IFERROR(__xludf.DUMMYFUNCTION("GOOGLETRANSLATE(A34513, ""de"", ""en"")"),"bucks")</f>
        <v>bucks</v>
      </c>
    </row>
    <row r="34514">
      <c r="A34514" s="1" t="s">
        <v>34513</v>
      </c>
      <c r="B34514" s="2" t="str">
        <f>IFERROR(__xludf.DUMMYFUNCTION("GOOGLETRANSLATE(A34514, ""de"", ""en"")"),"constellation")</f>
        <v>constellation</v>
      </c>
    </row>
    <row r="34515">
      <c r="A34515" s="1" t="s">
        <v>34514</v>
      </c>
      <c r="B34515" s="2" t="str">
        <f>IFERROR(__xludf.DUMMYFUNCTION("GOOGLETRANSLATE(A34515, ""de"", ""en"")"),"toa")</f>
        <v>toa</v>
      </c>
    </row>
    <row r="34516">
      <c r="A34516" s="1" t="s">
        <v>34515</v>
      </c>
      <c r="B34516" s="2" t="str">
        <f>IFERROR(__xludf.DUMMYFUNCTION("GOOGLETRANSLATE(A34516, ""de"", ""en"")"),"sat")</f>
        <v>sat</v>
      </c>
    </row>
    <row r="34517">
      <c r="A34517" s="1" t="s">
        <v>34516</v>
      </c>
      <c r="B34517" s="2" t="str">
        <f>IFERROR(__xludf.DUMMYFUNCTION("GOOGLETRANSLATE(A34517, ""de"", ""en"")"),"consuela")</f>
        <v>consuela</v>
      </c>
    </row>
    <row r="34518">
      <c r="A34518" s="1" t="s">
        <v>34517</v>
      </c>
      <c r="B34518" s="2" t="str">
        <f>IFERROR(__xludf.DUMMYFUNCTION("GOOGLETRANSLATE(A34518, ""de"", ""en"")"),"impractical")</f>
        <v>impractical</v>
      </c>
    </row>
    <row r="34519">
      <c r="A34519" s="1" t="s">
        <v>34518</v>
      </c>
      <c r="B34519" s="2" t="str">
        <f>IFERROR(__xludf.DUMMYFUNCTION("GOOGLETRANSLATE(A34519, ""de"", ""en"")"),"hit on")</f>
        <v>hit on</v>
      </c>
    </row>
    <row r="34520">
      <c r="A34520" s="1" t="s">
        <v>34519</v>
      </c>
      <c r="B34520" s="2" t="str">
        <f>IFERROR(__xludf.DUMMYFUNCTION("GOOGLETRANSLATE(A34520, ""de"", ""en"")"),"conscious")</f>
        <v>conscious</v>
      </c>
    </row>
    <row r="34521">
      <c r="A34521" s="1" t="s">
        <v>34520</v>
      </c>
      <c r="B34521" s="2" t="str">
        <f>IFERROR(__xludf.DUMMYFUNCTION("GOOGLETRANSLATE(A34521, ""de"", ""en"")"),"Mardi")</f>
        <v>Mardi</v>
      </c>
    </row>
    <row r="34522">
      <c r="A34522" s="1" t="s">
        <v>34521</v>
      </c>
      <c r="B34522" s="2" t="str">
        <f>IFERROR(__xludf.DUMMYFUNCTION("GOOGLETRANSLATE(A34522, ""de"", ""en"")"),"nutcracker")</f>
        <v>nutcracker</v>
      </c>
    </row>
    <row r="34523">
      <c r="A34523" s="1" t="s">
        <v>34522</v>
      </c>
      <c r="B34523" s="2" t="str">
        <f>IFERROR(__xludf.DUMMYFUNCTION("GOOGLETRANSLATE(A34523, ""de"", ""en"")"),"hoopla")</f>
        <v>hoopla</v>
      </c>
    </row>
    <row r="34524">
      <c r="A34524" s="1" t="s">
        <v>34523</v>
      </c>
      <c r="B34524" s="2" t="str">
        <f>IFERROR(__xludf.DUMMYFUNCTION("GOOGLETRANSLATE(A34524, ""de"", ""en"")"),"more old-fashioned")</f>
        <v>more old-fashioned</v>
      </c>
    </row>
    <row r="34525">
      <c r="A34525" s="1" t="s">
        <v>34524</v>
      </c>
      <c r="B34525" s="2" t="str">
        <f>IFERROR(__xludf.DUMMYFUNCTION("GOOGLETRANSLATE(A34525, ""de"", ""en"")"),"Mallorca")</f>
        <v>Mallorca</v>
      </c>
    </row>
    <row r="34526">
      <c r="A34526" s="1" t="s">
        <v>34525</v>
      </c>
      <c r="B34526" s="2" t="str">
        <f>IFERROR(__xludf.DUMMYFUNCTION("GOOGLETRANSLATE(A34526, ""de"", ""en"")"),"Kisses")</f>
        <v>Kisses</v>
      </c>
    </row>
    <row r="34527">
      <c r="A34527" s="1" t="s">
        <v>34526</v>
      </c>
      <c r="B34527" s="2" t="str">
        <f>IFERROR(__xludf.DUMMYFUNCTION("GOOGLETRANSLATE(A34527, ""de"", ""en"")"),"soon")</f>
        <v>soon</v>
      </c>
    </row>
    <row r="34528">
      <c r="A34528" s="1" t="s">
        <v>34527</v>
      </c>
      <c r="B34528" s="2" t="str">
        <f>IFERROR(__xludf.DUMMYFUNCTION("GOOGLETRANSLATE(A34528, ""de"", ""en"")"),"tan")</f>
        <v>tan</v>
      </c>
    </row>
    <row r="34529">
      <c r="A34529" s="1" t="s">
        <v>34528</v>
      </c>
      <c r="B34529" s="2" t="str">
        <f>IFERROR(__xludf.DUMMYFUNCTION("GOOGLETRANSLATE(A34529, ""de"", ""en"")"),"researches")</f>
        <v>researches</v>
      </c>
    </row>
    <row r="34530">
      <c r="A34530" s="1" t="s">
        <v>34529</v>
      </c>
      <c r="B34530" s="2" t="str">
        <f>IFERROR(__xludf.DUMMYFUNCTION("GOOGLETRANSLATE(A34530, ""de"", ""en"")"),"buried")</f>
        <v>buried</v>
      </c>
    </row>
    <row r="34531">
      <c r="A34531" s="1" t="s">
        <v>34530</v>
      </c>
      <c r="B34531" s="2" t="str">
        <f>IFERROR(__xludf.DUMMYFUNCTION("GOOGLETRANSLATE(A34531, ""de"", ""en"")"),"think")</f>
        <v>think</v>
      </c>
    </row>
    <row r="34532">
      <c r="A34532" s="1" t="s">
        <v>34531</v>
      </c>
      <c r="B34532" s="2" t="str">
        <f>IFERROR(__xludf.DUMMYFUNCTION("GOOGLETRANSLATE(A34532, ""de"", ""en"")"),"lull")</f>
        <v>lull</v>
      </c>
    </row>
    <row r="34533">
      <c r="A34533" s="1" t="s">
        <v>34532</v>
      </c>
      <c r="B34533" s="2" t="str">
        <f>IFERROR(__xludf.DUMMYFUNCTION("GOOGLETRANSLATE(A34533, ""de"", ""en"")"),"felice")</f>
        <v>felice</v>
      </c>
    </row>
    <row r="34534">
      <c r="A34534" s="1" t="s">
        <v>34533</v>
      </c>
      <c r="B34534" s="2" t="str">
        <f>IFERROR(__xludf.DUMMYFUNCTION("GOOGLETRANSLATE(A34534, ""de"", ""en"")"),"blank")</f>
        <v>blank</v>
      </c>
    </row>
    <row r="34535">
      <c r="A34535" s="1" t="s">
        <v>34534</v>
      </c>
      <c r="B34535" s="2" t="str">
        <f>IFERROR(__xludf.DUMMYFUNCTION("GOOGLETRANSLATE(A34535, ""de"", ""en"")"),"productivity")</f>
        <v>productivity</v>
      </c>
    </row>
    <row r="34536">
      <c r="A34536" s="1" t="s">
        <v>34535</v>
      </c>
      <c r="B34536" s="2" t="str">
        <f>IFERROR(__xludf.DUMMYFUNCTION("GOOGLETRANSLATE(A34536, ""de"", ""en"")"),"span")</f>
        <v>span</v>
      </c>
    </row>
    <row r="34537">
      <c r="A34537" s="1" t="s">
        <v>34536</v>
      </c>
      <c r="B34537" s="2" t="str">
        <f>IFERROR(__xludf.DUMMYFUNCTION("GOOGLETRANSLATE(A34537, ""de"", ""en"")"),"national")</f>
        <v>national</v>
      </c>
    </row>
    <row r="34538">
      <c r="A34538" s="1" t="s">
        <v>34537</v>
      </c>
      <c r="B34538" s="2" t="str">
        <f>IFERROR(__xludf.DUMMYFUNCTION("GOOGLETRANSLATE(A34538, ""de"", ""en"")"),"annoying")</f>
        <v>annoying</v>
      </c>
    </row>
    <row r="34539">
      <c r="A34539" s="1" t="s">
        <v>34538</v>
      </c>
      <c r="B34539" s="2" t="str">
        <f>IFERROR(__xludf.DUMMYFUNCTION("GOOGLETRANSLATE(A34539, ""de"", ""en"")"),"visually")</f>
        <v>visually</v>
      </c>
    </row>
    <row r="34540">
      <c r="A34540" s="1" t="s">
        <v>34539</v>
      </c>
      <c r="B34540" s="2" t="str">
        <f>IFERROR(__xludf.DUMMYFUNCTION("GOOGLETRANSLATE(A34540, ""de"", ""en"")"),"medieval")</f>
        <v>medieval</v>
      </c>
    </row>
    <row r="34541">
      <c r="A34541" s="1" t="s">
        <v>34540</v>
      </c>
      <c r="B34541" s="2" t="str">
        <f>IFERROR(__xludf.DUMMYFUNCTION("GOOGLETRANSLATE(A34541, ""de"", ""en"")"),"rescue service")</f>
        <v>rescue service</v>
      </c>
    </row>
    <row r="34542">
      <c r="A34542" s="1" t="s">
        <v>34541</v>
      </c>
      <c r="B34542" s="2" t="str">
        <f>IFERROR(__xludf.DUMMYFUNCTION("GOOGLETRANSLATE(A34542, ""de"", ""en"")"),"barriers")</f>
        <v>barriers</v>
      </c>
    </row>
    <row r="34543">
      <c r="A34543" s="1" t="s">
        <v>34542</v>
      </c>
      <c r="B34543" s="2" t="str">
        <f>IFERROR(__xludf.DUMMYFUNCTION("GOOGLETRANSLATE(A34543, ""de"", ""en"")"),"treatment room")</f>
        <v>treatment room</v>
      </c>
    </row>
    <row r="34544">
      <c r="A34544" s="1" t="s">
        <v>34543</v>
      </c>
      <c r="B34544" s="2" t="str">
        <f>IFERROR(__xludf.DUMMYFUNCTION("GOOGLETRANSLATE(A34544, ""de"", ""en"")"),"fantasy world")</f>
        <v>fantasy world</v>
      </c>
    </row>
    <row r="34545">
      <c r="A34545" s="1" t="s">
        <v>34544</v>
      </c>
      <c r="B34545" s="2" t="str">
        <f>IFERROR(__xludf.DUMMYFUNCTION("GOOGLETRANSLATE(A34545, ""de"", ""en"")"),"drifting around")</f>
        <v>drifting around</v>
      </c>
    </row>
    <row r="34546">
      <c r="A34546" s="1" t="s">
        <v>34545</v>
      </c>
      <c r="B34546" s="2" t="str">
        <f>IFERROR(__xludf.DUMMYFUNCTION("GOOGLETRANSLATE(A34546, ""de"", ""en"")"),"sea ​​water")</f>
        <v>sea ​​water</v>
      </c>
    </row>
    <row r="34547">
      <c r="A34547" s="1" t="s">
        <v>34546</v>
      </c>
      <c r="B34547" s="2" t="str">
        <f>IFERROR(__xludf.DUMMYFUNCTION("GOOGLETRANSLATE(A34547, ""de"", ""en"")"),"happier")</f>
        <v>happier</v>
      </c>
    </row>
    <row r="34548">
      <c r="A34548" s="1" t="s">
        <v>34547</v>
      </c>
      <c r="B34548" s="2" t="str">
        <f>IFERROR(__xludf.DUMMYFUNCTION("GOOGLETRANSLATE(A34548, ""de"", ""en"")"),"pemberton")</f>
        <v>pemberton</v>
      </c>
    </row>
    <row r="34549">
      <c r="A34549" s="1" t="s">
        <v>34548</v>
      </c>
      <c r="B34549" s="2" t="str">
        <f>IFERROR(__xludf.DUMMYFUNCTION("GOOGLETRANSLATE(A34549, ""de"", ""en"")"),"little bird")</f>
        <v>little bird</v>
      </c>
    </row>
    <row r="34550">
      <c r="A34550" s="1" t="s">
        <v>34549</v>
      </c>
      <c r="B34550" s="2" t="str">
        <f>IFERROR(__xludf.DUMMYFUNCTION("GOOGLETRANSLATE(A34550, ""de"", ""en"")"),"wealthier")</f>
        <v>wealthier</v>
      </c>
    </row>
    <row r="34551">
      <c r="A34551" s="1" t="s">
        <v>34550</v>
      </c>
      <c r="B34551" s="2" t="str">
        <f>IFERROR(__xludf.DUMMYFUNCTION("GOOGLETRANSLATE(A34551, ""de"", ""en"")"),"banning")</f>
        <v>banning</v>
      </c>
    </row>
    <row r="34552">
      <c r="A34552" s="1" t="s">
        <v>34551</v>
      </c>
      <c r="B34552" s="2" t="str">
        <f>IFERROR(__xludf.DUMMYFUNCTION("GOOGLETRANSLATE(A34552, ""de"", ""en"")"),"deposit")</f>
        <v>deposit</v>
      </c>
    </row>
    <row r="34553">
      <c r="A34553" s="1" t="s">
        <v>34552</v>
      </c>
      <c r="B34553" s="2" t="str">
        <f>IFERROR(__xludf.DUMMYFUNCTION("GOOGLETRANSLATE(A34553, ""de"", ""en"")"),"ene")</f>
        <v>ene</v>
      </c>
    </row>
    <row r="34554">
      <c r="A34554" s="1" t="s">
        <v>34553</v>
      </c>
      <c r="B34554" s="2" t="str">
        <f>IFERROR(__xludf.DUMMYFUNCTION("GOOGLETRANSLATE(A34554, ""de"", ""en"")"),"theoretical")</f>
        <v>theoretical</v>
      </c>
    </row>
    <row r="34555">
      <c r="A34555" s="1" t="s">
        <v>34554</v>
      </c>
      <c r="B34555" s="2" t="str">
        <f>IFERROR(__xludf.DUMMYFUNCTION("GOOGLETRANSLATE(A34555, ""de"", ""en"")"),"showing off")</f>
        <v>showing off</v>
      </c>
    </row>
    <row r="34556">
      <c r="A34556" s="1" t="s">
        <v>34555</v>
      </c>
      <c r="B34556" s="2" t="str">
        <f>IFERROR(__xludf.DUMMYFUNCTION("GOOGLETRANSLATE(A34556, ""de"", ""en"")"),"boat trip")</f>
        <v>boat trip</v>
      </c>
    </row>
    <row r="34557">
      <c r="A34557" s="1" t="s">
        <v>34556</v>
      </c>
      <c r="B34557" s="2" t="str">
        <f>IFERROR(__xludf.DUMMYFUNCTION("GOOGLETRANSLATE(A34557, ""de"", ""en"")"),"test subjects")</f>
        <v>test subjects</v>
      </c>
    </row>
    <row r="34558">
      <c r="A34558" s="1" t="s">
        <v>34557</v>
      </c>
      <c r="B34558" s="2" t="str">
        <f>IFERROR(__xludf.DUMMYFUNCTION("GOOGLETRANSLATE(A34558, ""de"", ""en"")"),"Yuri")</f>
        <v>Yuri</v>
      </c>
    </row>
    <row r="34559">
      <c r="A34559" s="1" t="s">
        <v>34558</v>
      </c>
      <c r="B34559" s="2" t="str">
        <f>IFERROR(__xludf.DUMMYFUNCTION("GOOGLETRANSLATE(A34559, ""de"", ""en"")"),"hogwarts")</f>
        <v>hogwarts</v>
      </c>
    </row>
    <row r="34560">
      <c r="A34560" s="1" t="s">
        <v>34559</v>
      </c>
      <c r="B34560" s="2" t="str">
        <f>IFERROR(__xludf.DUMMYFUNCTION("GOOGLETRANSLATE(A34560, ""de"", ""en"")"),"to comply")</f>
        <v>to comply</v>
      </c>
    </row>
    <row r="34561">
      <c r="A34561" s="1" t="s">
        <v>34560</v>
      </c>
      <c r="B34561" s="2" t="str">
        <f>IFERROR(__xludf.DUMMYFUNCTION("GOOGLETRANSLATE(A34561, ""de"", ""en"")"),"persuade")</f>
        <v>persuade</v>
      </c>
    </row>
    <row r="34562">
      <c r="A34562" s="1" t="s">
        <v>34561</v>
      </c>
      <c r="B34562" s="2" t="str">
        <f>IFERROR(__xludf.DUMMYFUNCTION("GOOGLETRANSLATE(A34562, ""de"", ""en"")"),"gray area")</f>
        <v>gray area</v>
      </c>
    </row>
    <row r="34563">
      <c r="A34563" s="1" t="s">
        <v>34562</v>
      </c>
      <c r="B34563" s="2" t="str">
        <f>IFERROR(__xludf.DUMMYFUNCTION("GOOGLETRANSLATE(A34563, ""de"", ""en"")"),"shady ones")</f>
        <v>shady ones</v>
      </c>
    </row>
    <row r="34564">
      <c r="A34564" s="1" t="s">
        <v>34563</v>
      </c>
      <c r="B34564" s="2" t="str">
        <f>IFERROR(__xludf.DUMMYFUNCTION("GOOGLETRANSLATE(A34564, ""de"", ""en"")"),"kitchens")</f>
        <v>kitchens</v>
      </c>
    </row>
    <row r="34565">
      <c r="A34565" s="1" t="s">
        <v>34564</v>
      </c>
      <c r="B34565" s="2" t="str">
        <f>IFERROR(__xludf.DUMMYFUNCTION("GOOGLETRANSLATE(A34565, ""de"", ""en"")"),"total damage")</f>
        <v>total damage</v>
      </c>
    </row>
    <row r="34566">
      <c r="A34566" s="1" t="s">
        <v>34565</v>
      </c>
      <c r="B34566" s="2" t="str">
        <f>IFERROR(__xludf.DUMMYFUNCTION("GOOGLETRANSLATE(A34566, ""de"", ""en"")"),"compromise")</f>
        <v>compromise</v>
      </c>
    </row>
    <row r="34567">
      <c r="A34567" s="1" t="s">
        <v>34566</v>
      </c>
      <c r="B34567" s="2" t="str">
        <f>IFERROR(__xludf.DUMMYFUNCTION("GOOGLETRANSLATE(A34567, ""de"", ""en"")"),"findings")</f>
        <v>findings</v>
      </c>
    </row>
    <row r="34568">
      <c r="A34568" s="1" t="s">
        <v>34567</v>
      </c>
      <c r="B34568" s="2" t="str">
        <f>IFERROR(__xludf.DUMMYFUNCTION("GOOGLETRANSLATE(A34568, ""de"", ""en"")"),"merton")</f>
        <v>merton</v>
      </c>
    </row>
    <row r="34569">
      <c r="A34569" s="1" t="s">
        <v>34568</v>
      </c>
      <c r="B34569" s="2" t="str">
        <f>IFERROR(__xludf.DUMMYFUNCTION("GOOGLETRANSLATE(A34569, ""de"", ""en"")"),"love stories")</f>
        <v>love stories</v>
      </c>
    </row>
    <row r="34570">
      <c r="A34570" s="1" t="s">
        <v>34569</v>
      </c>
      <c r="B34570" s="2" t="str">
        <f>IFERROR(__xludf.DUMMYFUNCTION("GOOGLETRANSLATE(A34570, ""de"", ""en"")"),"messages")</f>
        <v>messages</v>
      </c>
    </row>
    <row r="34571">
      <c r="A34571" s="1" t="s">
        <v>34570</v>
      </c>
      <c r="B34571" s="2" t="str">
        <f>IFERROR(__xludf.DUMMYFUNCTION("GOOGLETRANSLATE(A34571, ""de"", ""en"")"),"pour out")</f>
        <v>pour out</v>
      </c>
    </row>
    <row r="34572">
      <c r="A34572" s="1" t="s">
        <v>34571</v>
      </c>
      <c r="B34572" s="2" t="str">
        <f>IFERROR(__xludf.DUMMYFUNCTION("GOOGLETRANSLATE(A34572, ""de"", ""en"")"),"paint")</f>
        <v>paint</v>
      </c>
    </row>
    <row r="34573">
      <c r="A34573" s="1" t="s">
        <v>34572</v>
      </c>
      <c r="B34573" s="2" t="str">
        <f>IFERROR(__xludf.DUMMYFUNCTION("GOOGLETRANSLATE(A34573, ""de"", ""en"")"),"more confused")</f>
        <v>more confused</v>
      </c>
    </row>
    <row r="34574">
      <c r="A34574" s="1" t="s">
        <v>34573</v>
      </c>
      <c r="B34574" s="2" t="str">
        <f>IFERROR(__xludf.DUMMYFUNCTION("GOOGLETRANSLATE(A34574, ""de"", ""en"")"),"satin")</f>
        <v>satin</v>
      </c>
    </row>
    <row r="34575">
      <c r="A34575" s="1" t="s">
        <v>34574</v>
      </c>
      <c r="B34575" s="2" t="str">
        <f>IFERROR(__xludf.DUMMYFUNCTION("GOOGLETRANSLATE(A34575, ""de"", ""en"")"),"starting aid")</f>
        <v>starting aid</v>
      </c>
    </row>
    <row r="34576">
      <c r="A34576" s="1" t="s">
        <v>34575</v>
      </c>
      <c r="B34576" s="2" t="str">
        <f>IFERROR(__xludf.DUMMYFUNCTION("GOOGLETRANSLATE(A34576, ""de"", ""en"")"),"character")</f>
        <v>character</v>
      </c>
    </row>
    <row r="34577">
      <c r="A34577" s="1" t="s">
        <v>34576</v>
      </c>
      <c r="B34577" s="2" t="str">
        <f>IFERROR(__xludf.DUMMYFUNCTION("GOOGLETRANSLATE(A34577, ""de"", ""en"")"),"judo")</f>
        <v>judo</v>
      </c>
    </row>
    <row r="34578">
      <c r="A34578" s="1" t="s">
        <v>34577</v>
      </c>
      <c r="B34578" s="2" t="str">
        <f>IFERROR(__xludf.DUMMYFUNCTION("GOOGLETRANSLATE(A34578, ""de"", ""en"")"),"user.user")</f>
        <v>user.user</v>
      </c>
    </row>
    <row r="34579">
      <c r="A34579" s="1" t="s">
        <v>34578</v>
      </c>
      <c r="B34579" s="2" t="str">
        <f>IFERROR(__xludf.DUMMYFUNCTION("GOOGLETRANSLATE(A34579, ""de"", ""en"")"),"discouraged")</f>
        <v>discouraged</v>
      </c>
    </row>
    <row r="34580">
      <c r="A34580" s="1" t="s">
        <v>34579</v>
      </c>
      <c r="B34580" s="2" t="str">
        <f>IFERROR(__xludf.DUMMYFUNCTION("GOOGLETRANSLATE(A34580, ""de"", ""en"")"),"affected")</f>
        <v>affected</v>
      </c>
    </row>
    <row r="34581">
      <c r="A34581" s="1" t="s">
        <v>34580</v>
      </c>
      <c r="B34581" s="2" t="str">
        <f>IFERROR(__xludf.DUMMYFUNCTION("GOOGLETRANSLATE(A34581, ""de"", ""en"")"),"cutlet")</f>
        <v>cutlet</v>
      </c>
    </row>
    <row r="34582">
      <c r="A34582" s="1" t="s">
        <v>34581</v>
      </c>
      <c r="B34582" s="2" t="str">
        <f>IFERROR(__xludf.DUMMYFUNCTION("GOOGLETRANSLATE(A34582, ""de"", ""en"")"),"hollywoods")</f>
        <v>hollywoods</v>
      </c>
    </row>
    <row r="34583">
      <c r="A34583" s="1" t="s">
        <v>34582</v>
      </c>
      <c r="B34583" s="2" t="str">
        <f>IFERROR(__xludf.DUMMYFUNCTION("GOOGLETRANSLATE(A34583, ""de"", ""en"")"),"airfield")</f>
        <v>airfield</v>
      </c>
    </row>
    <row r="34584">
      <c r="A34584" s="1" t="s">
        <v>34583</v>
      </c>
      <c r="B34584" s="2" t="str">
        <f>IFERROR(__xludf.DUMMYFUNCTION("GOOGLETRANSLATE(A34584, ""de"", ""en"")"),"thought")</f>
        <v>thought</v>
      </c>
    </row>
    <row r="34585">
      <c r="A34585" s="1" t="s">
        <v>34584</v>
      </c>
      <c r="B34585" s="2" t="str">
        <f>IFERROR(__xludf.DUMMYFUNCTION("GOOGLETRANSLATE(A34585, ""de"", ""en"")"),"terrier")</f>
        <v>terrier</v>
      </c>
    </row>
    <row r="34586">
      <c r="A34586" s="1" t="s">
        <v>34585</v>
      </c>
      <c r="B34586" s="2" t="str">
        <f>IFERROR(__xludf.DUMMYFUNCTION("GOOGLETRANSLATE(A34586, ""de"", ""en"")"),"iron")</f>
        <v>iron</v>
      </c>
    </row>
    <row r="34587">
      <c r="A34587" s="1" t="s">
        <v>34586</v>
      </c>
      <c r="B34587" s="2" t="str">
        <f>IFERROR(__xludf.DUMMYFUNCTION("GOOGLETRANSLATE(A34587, ""de"", ""en"")"),"cheated")</f>
        <v>cheated</v>
      </c>
    </row>
    <row r="34588">
      <c r="A34588" s="1" t="s">
        <v>34587</v>
      </c>
      <c r="B34588" s="2" t="str">
        <f>IFERROR(__xludf.DUMMYFUNCTION("GOOGLETRANSLATE(A34588, ""de"", ""en"")"),"macao")</f>
        <v>macao</v>
      </c>
    </row>
    <row r="34589">
      <c r="A34589" s="1" t="s">
        <v>34588</v>
      </c>
      <c r="B34589" s="2" t="str">
        <f>IFERROR(__xludf.DUMMYFUNCTION("GOOGLETRANSLATE(A34589, ""de"", ""en"")"),"40s")</f>
        <v>40s</v>
      </c>
    </row>
    <row r="34590">
      <c r="A34590" s="1" t="s">
        <v>34589</v>
      </c>
      <c r="B34590" s="2" t="str">
        <f>IFERROR(__xludf.DUMMYFUNCTION("GOOGLETRANSLATE(A34590, ""de"", ""en"")"),"Mclane")</f>
        <v>Mclane</v>
      </c>
    </row>
    <row r="34591">
      <c r="A34591" s="1" t="s">
        <v>34590</v>
      </c>
      <c r="B34591" s="2" t="str">
        <f>IFERROR(__xludf.DUMMYFUNCTION("GOOGLETRANSLATE(A34591, ""de"", ""en"")"),"unwanted")</f>
        <v>unwanted</v>
      </c>
    </row>
    <row r="34592">
      <c r="A34592" s="1" t="s">
        <v>34591</v>
      </c>
      <c r="B34592" s="2" t="str">
        <f>IFERROR(__xludf.DUMMYFUNCTION("GOOGLETRANSLATE(A34592, ""de"", ""en"")"),"primates")</f>
        <v>primates</v>
      </c>
    </row>
    <row r="34593">
      <c r="A34593" s="1" t="s">
        <v>34592</v>
      </c>
      <c r="B34593" s="2" t="str">
        <f>IFERROR(__xludf.DUMMYFUNCTION("GOOGLETRANSLATE(A34593, ""de"", ""en"")"),"Swiss")</f>
        <v>Swiss</v>
      </c>
    </row>
    <row r="34594">
      <c r="A34594" s="1" t="s">
        <v>34593</v>
      </c>
      <c r="B34594" s="2" t="str">
        <f>IFERROR(__xludf.DUMMYFUNCTION("GOOGLETRANSLATE(A34594, ""de"", ""en"")"),"younger")</f>
        <v>younger</v>
      </c>
    </row>
    <row r="34595">
      <c r="A34595" s="1" t="s">
        <v>34594</v>
      </c>
      <c r="B34595" s="2" t="str">
        <f>IFERROR(__xludf.DUMMYFUNCTION("GOOGLETRANSLATE(A34595, ""de"", ""en"")"),"predominantly")</f>
        <v>predominantly</v>
      </c>
    </row>
    <row r="34596">
      <c r="A34596" s="1" t="s">
        <v>34595</v>
      </c>
      <c r="B34596" s="2" t="str">
        <f>IFERROR(__xludf.DUMMYFUNCTION("GOOGLETRANSLATE(A34596, ""de"", ""en"")"),"drug business")</f>
        <v>drug business</v>
      </c>
    </row>
    <row r="34597">
      <c r="A34597" s="1" t="s">
        <v>34596</v>
      </c>
      <c r="B34597" s="2" t="str">
        <f>IFERROR(__xludf.DUMMYFUNCTION("GOOGLETRANSLATE(A34597, ""de"", ""en"")"),"branches")</f>
        <v>branches</v>
      </c>
    </row>
    <row r="34598">
      <c r="A34598" s="1" t="s">
        <v>34597</v>
      </c>
      <c r="B34598" s="2" t="str">
        <f>IFERROR(__xludf.DUMMYFUNCTION("GOOGLETRANSLATE(A34598, ""de"", ""en"")"),"anchovies")</f>
        <v>anchovies</v>
      </c>
    </row>
    <row r="34599">
      <c r="A34599" s="1" t="s">
        <v>34598</v>
      </c>
      <c r="B34599" s="2" t="str">
        <f>IFERROR(__xludf.DUMMYFUNCTION("GOOGLETRANSLATE(A34599, ""de"", ""en"")"),"processing")</f>
        <v>processing</v>
      </c>
    </row>
    <row r="34600">
      <c r="A34600" s="1" t="s">
        <v>34599</v>
      </c>
      <c r="B34600" s="2" t="str">
        <f>IFERROR(__xludf.DUMMYFUNCTION("GOOGLETRANSLATE(A34600, ""de"", ""en"")"),"tried on")</f>
        <v>tried on</v>
      </c>
    </row>
    <row r="34601">
      <c r="A34601" s="1" t="s">
        <v>34600</v>
      </c>
      <c r="B34601" s="2" t="str">
        <f>IFERROR(__xludf.DUMMYFUNCTION("GOOGLETRANSLATE(A34601, ""de"", ""en"")"),"fighting")</f>
        <v>fighting</v>
      </c>
    </row>
    <row r="34602">
      <c r="A34602" s="1" t="s">
        <v>34601</v>
      </c>
      <c r="B34602" s="2" t="str">
        <f>IFERROR(__xludf.DUMMYFUNCTION("GOOGLETRANSLATE(A34602, ""de"", ""en"")"),"innermost")</f>
        <v>innermost</v>
      </c>
    </row>
    <row r="34603">
      <c r="A34603" s="1" t="s">
        <v>34602</v>
      </c>
      <c r="B34603" s="2" t="str">
        <f>IFERROR(__xludf.DUMMYFUNCTION("GOOGLETRANSLATE(A34603, ""de"", ""en"")"),"Hello")</f>
        <v>Hello</v>
      </c>
    </row>
    <row r="34604">
      <c r="A34604" s="1" t="s">
        <v>34603</v>
      </c>
      <c r="B34604" s="2" t="str">
        <f>IFERROR(__xludf.DUMMYFUNCTION("GOOGLETRANSLATE(A34604, ""de"", ""en"")"),"first aid kit")</f>
        <v>first aid kit</v>
      </c>
    </row>
    <row r="34605">
      <c r="A34605" s="1" t="s">
        <v>34604</v>
      </c>
      <c r="B34605" s="2" t="str">
        <f>IFERROR(__xludf.DUMMYFUNCTION("GOOGLETRANSLATE(A34605, ""de"", ""en"")"),"shimada")</f>
        <v>shimada</v>
      </c>
    </row>
    <row r="34606">
      <c r="A34606" s="1" t="s">
        <v>34605</v>
      </c>
      <c r="B34606" s="2" t="str">
        <f>IFERROR(__xludf.DUMMYFUNCTION("GOOGLETRANSLATE(A34606, ""de"", ""en"")"),"marshmallow")</f>
        <v>marshmallow</v>
      </c>
    </row>
    <row r="34607">
      <c r="A34607" s="1" t="s">
        <v>34606</v>
      </c>
      <c r="B34607" s="2" t="str">
        <f>IFERROR(__xludf.DUMMYFUNCTION("GOOGLETRANSLATE(A34607, ""de"", ""en"")"),"selected")</f>
        <v>selected</v>
      </c>
    </row>
    <row r="34608">
      <c r="A34608" s="1" t="s">
        <v>34607</v>
      </c>
      <c r="B34608" s="2" t="str">
        <f>IFERROR(__xludf.DUMMYFUNCTION("GOOGLETRANSLATE(A34608, ""de"", ""en"")"),"weekly")</f>
        <v>weekly</v>
      </c>
    </row>
    <row r="34609">
      <c r="A34609" s="1" t="s">
        <v>34608</v>
      </c>
      <c r="B34609" s="2" t="str">
        <f>IFERROR(__xludf.DUMMYFUNCTION("GOOGLETRANSLATE(A34609, ""de"", ""en"")"),"stadiums")</f>
        <v>stadiums</v>
      </c>
    </row>
    <row r="34610">
      <c r="A34610" s="1" t="s">
        <v>34609</v>
      </c>
      <c r="B34610" s="2" t="str">
        <f>IFERROR(__xludf.DUMMYFUNCTION("GOOGLETRANSLATE(A34610, ""de"", ""en"")"),"15 year old")</f>
        <v>15 year old</v>
      </c>
    </row>
    <row r="34611">
      <c r="A34611" s="1" t="s">
        <v>34610</v>
      </c>
      <c r="B34611" s="2" t="str">
        <f>IFERROR(__xludf.DUMMYFUNCTION("GOOGLETRANSLATE(A34611, ""de"", ""en"")"),"to what extent")</f>
        <v>to what extent</v>
      </c>
    </row>
    <row r="34612">
      <c r="A34612" s="1" t="s">
        <v>34611</v>
      </c>
      <c r="B34612" s="2" t="str">
        <f>IFERROR(__xludf.DUMMYFUNCTION("GOOGLETRANSLATE(A34612, ""de"", ""en"")"),"shard")</f>
        <v>shard</v>
      </c>
    </row>
    <row r="34613">
      <c r="A34613" s="1" t="s">
        <v>34612</v>
      </c>
      <c r="B34613" s="2" t="str">
        <f>IFERROR(__xludf.DUMMYFUNCTION("GOOGLETRANSLATE(A34613, ""de"", ""en"")"),"saddle")</f>
        <v>saddle</v>
      </c>
    </row>
    <row r="34614">
      <c r="A34614" s="1" t="s">
        <v>34613</v>
      </c>
      <c r="B34614" s="2" t="str">
        <f>IFERROR(__xludf.DUMMYFUNCTION("GOOGLETRANSLATE(A34614, ""de"", ""en"")"),"Cosby")</f>
        <v>Cosby</v>
      </c>
    </row>
    <row r="34615">
      <c r="A34615" s="1" t="s">
        <v>34614</v>
      </c>
      <c r="B34615" s="2" t="str">
        <f>IFERROR(__xludf.DUMMYFUNCTION("GOOGLETRANSLATE(A34615, ""de"", ""en"")"),"scratches")</f>
        <v>scratches</v>
      </c>
    </row>
    <row r="34616">
      <c r="A34616" s="1" t="s">
        <v>34615</v>
      </c>
      <c r="B34616" s="2" t="str">
        <f>IFERROR(__xludf.DUMMYFUNCTION("GOOGLETRANSLATE(A34616, ""de"", ""en"")"),"wire")</f>
        <v>wire</v>
      </c>
    </row>
    <row r="34617">
      <c r="A34617" s="1" t="s">
        <v>34616</v>
      </c>
      <c r="B34617" s="2" t="str">
        <f>IFERROR(__xludf.DUMMYFUNCTION("GOOGLETRANSLATE(A34617, ""de"", ""en"")"),"wrap")</f>
        <v>wrap</v>
      </c>
    </row>
    <row r="34618">
      <c r="A34618" s="1" t="s">
        <v>34617</v>
      </c>
      <c r="B34618" s="2" t="str">
        <f>IFERROR(__xludf.DUMMYFUNCTION("GOOGLETRANSLATE(A34618, ""de"", ""en"")"),"stringer")</f>
        <v>stringer</v>
      </c>
    </row>
    <row r="34619">
      <c r="A34619" s="1" t="s">
        <v>34618</v>
      </c>
      <c r="B34619" s="2" t="str">
        <f>IFERROR(__xludf.DUMMYFUNCTION("GOOGLETRANSLATE(A34619, ""de"", ""en"")"),"håkon")</f>
        <v>håkon</v>
      </c>
    </row>
    <row r="34620">
      <c r="A34620" s="1" t="s">
        <v>34619</v>
      </c>
      <c r="B34620" s="2" t="str">
        <f>IFERROR(__xludf.DUMMYFUNCTION("GOOGLETRANSLATE(A34620, ""de"", ""en"")"),"art gallery")</f>
        <v>art gallery</v>
      </c>
    </row>
    <row r="34621">
      <c r="A34621" s="1" t="s">
        <v>34620</v>
      </c>
      <c r="B34621" s="2" t="str">
        <f>IFERROR(__xludf.DUMMYFUNCTION("GOOGLETRANSLATE(A34621, ""de"", ""en"")"),"Herod")</f>
        <v>Herod</v>
      </c>
    </row>
    <row r="34622">
      <c r="A34622" s="1" t="s">
        <v>34621</v>
      </c>
      <c r="B34622" s="2" t="str">
        <f>IFERROR(__xludf.DUMMYFUNCTION("GOOGLETRANSLATE(A34622, ""de"", ""en"")"),"ugliest")</f>
        <v>ugliest</v>
      </c>
    </row>
    <row r="34623">
      <c r="A34623" s="1" t="s">
        <v>34622</v>
      </c>
      <c r="B34623" s="2" t="str">
        <f>IFERROR(__xludf.DUMMYFUNCTION("GOOGLETRANSLATE(A34623, ""de"", ""en"")"),"estimated")</f>
        <v>estimated</v>
      </c>
    </row>
    <row r="34624">
      <c r="A34624" s="1" t="s">
        <v>34623</v>
      </c>
      <c r="B34624" s="2" t="str">
        <f>IFERROR(__xludf.DUMMYFUNCTION("GOOGLETRANSLATE(A34624, ""de"", ""en"")"),"Exodus")</f>
        <v>Exodus</v>
      </c>
    </row>
    <row r="34625">
      <c r="A34625" s="1" t="s">
        <v>34624</v>
      </c>
      <c r="B34625" s="2" t="str">
        <f>IFERROR(__xludf.DUMMYFUNCTION("GOOGLETRANSLATE(A34625, ""de"", ""en"")"),"matt")</f>
        <v>matt</v>
      </c>
    </row>
    <row r="34626">
      <c r="A34626" s="1" t="s">
        <v>34625</v>
      </c>
      <c r="B34626" s="2" t="str">
        <f>IFERROR(__xludf.DUMMYFUNCTION("GOOGLETRANSLATE(A34626, ""de"", ""en"")"),"spacious")</f>
        <v>spacious</v>
      </c>
    </row>
    <row r="34627">
      <c r="A34627" s="1" t="s">
        <v>34626</v>
      </c>
      <c r="B34627" s="2" t="str">
        <f>IFERROR(__xludf.DUMMYFUNCTION("GOOGLETRANSLATE(A34627, ""de"", ""en"")"),"upright")</f>
        <v>upright</v>
      </c>
    </row>
    <row r="34628">
      <c r="A34628" s="1" t="s">
        <v>34627</v>
      </c>
      <c r="B34628" s="2" t="str">
        <f>IFERROR(__xludf.DUMMYFUNCTION("GOOGLETRANSLATE(A34628, ""de"", ""en"")"),"chances of survival")</f>
        <v>chances of survival</v>
      </c>
    </row>
    <row r="34629">
      <c r="A34629" s="1" t="s">
        <v>34628</v>
      </c>
      <c r="B34629" s="2" t="str">
        <f>IFERROR(__xludf.DUMMYFUNCTION("GOOGLETRANSLATE(A34629, ""de"", ""en"")"),"its")</f>
        <v>its</v>
      </c>
    </row>
    <row r="34630">
      <c r="A34630" s="1" t="s">
        <v>34629</v>
      </c>
      <c r="B34630" s="2" t="str">
        <f>IFERROR(__xludf.DUMMYFUNCTION("GOOGLETRANSLATE(A34630, ""de"", ""en"")"),"kao")</f>
        <v>kao</v>
      </c>
    </row>
    <row r="34631">
      <c r="A34631" s="1" t="s">
        <v>34630</v>
      </c>
      <c r="B34631" s="2" t="str">
        <f>IFERROR(__xludf.DUMMYFUNCTION("GOOGLETRANSLATE(A34631, ""de"", ""en"")"),"will")</f>
        <v>will</v>
      </c>
    </row>
    <row r="34632">
      <c r="A34632" s="1" t="s">
        <v>34631</v>
      </c>
      <c r="B34632" s="2" t="str">
        <f>IFERROR(__xludf.DUMMYFUNCTION("GOOGLETRANSLATE(A34632, ""de"", ""en"")"),"OK.")</f>
        <v>OK.</v>
      </c>
    </row>
    <row r="34633">
      <c r="A34633" s="1" t="s">
        <v>34632</v>
      </c>
      <c r="B34633" s="2" t="str">
        <f>IFERROR(__xludf.DUMMYFUNCTION("GOOGLETRANSLATE(A34633, ""de"", ""en"")"),"cutthroat")</f>
        <v>cutthroat</v>
      </c>
    </row>
    <row r="34634">
      <c r="A34634" s="1" t="s">
        <v>34633</v>
      </c>
      <c r="B34634" s="2" t="str">
        <f>IFERROR(__xludf.DUMMYFUNCTION("GOOGLETRANSLATE(A34634, ""de"", ""en"")"),"drug investigator")</f>
        <v>drug investigator</v>
      </c>
    </row>
    <row r="34635">
      <c r="A34635" s="1" t="s">
        <v>34634</v>
      </c>
      <c r="B34635" s="2" t="str">
        <f>IFERROR(__xludf.DUMMYFUNCTION("GOOGLETRANSLATE(A34635, ""de"", ""en"")"),"fight")</f>
        <v>fight</v>
      </c>
    </row>
    <row r="34636">
      <c r="A34636" s="1" t="s">
        <v>34635</v>
      </c>
      <c r="B34636" s="2" t="str">
        <f>IFERROR(__xludf.DUMMYFUNCTION("GOOGLETRANSLATE(A34636, ""de"", ""en"")"),"then")</f>
        <v>then</v>
      </c>
    </row>
    <row r="34637">
      <c r="A34637" s="1" t="s">
        <v>34636</v>
      </c>
      <c r="B34637" s="2" t="str">
        <f>IFERROR(__xludf.DUMMYFUNCTION("GOOGLETRANSLATE(A34637, ""de"", ""en"")"),"bliss")</f>
        <v>bliss</v>
      </c>
    </row>
    <row r="34638">
      <c r="A34638" s="1" t="s">
        <v>34637</v>
      </c>
      <c r="B34638" s="2" t="str">
        <f>IFERROR(__xludf.DUMMYFUNCTION("GOOGLETRANSLATE(A34638, ""de"", ""en"")"),"to limit")</f>
        <v>to limit</v>
      </c>
    </row>
    <row r="34639">
      <c r="A34639" s="1" t="s">
        <v>34638</v>
      </c>
      <c r="B34639" s="2" t="str">
        <f>IFERROR(__xludf.DUMMYFUNCTION("GOOGLETRANSLATE(A34639, ""de"", ""en"")"),"savor")</f>
        <v>savor</v>
      </c>
    </row>
    <row r="34640">
      <c r="A34640" s="1" t="s">
        <v>34639</v>
      </c>
      <c r="B34640" s="2" t="str">
        <f>IFERROR(__xludf.DUMMYFUNCTION("GOOGLETRANSLATE(A34640, ""de"", ""en"")"),"more speaking")</f>
        <v>more speaking</v>
      </c>
    </row>
    <row r="34641">
      <c r="A34641" s="1" t="s">
        <v>34640</v>
      </c>
      <c r="B34641" s="2" t="str">
        <f>IFERROR(__xludf.DUMMYFUNCTION("GOOGLETRANSLATE(A34641, ""de"", ""en"")"),"more complete")</f>
        <v>more complete</v>
      </c>
    </row>
    <row r="34642">
      <c r="A34642" s="1" t="s">
        <v>34641</v>
      </c>
      <c r="B34642" s="2" t="str">
        <f>IFERROR(__xludf.DUMMYFUNCTION("GOOGLETRANSLATE(A34642, ""de"", ""en"")"),"guide")</f>
        <v>guide</v>
      </c>
    </row>
    <row r="34643">
      <c r="A34643" s="1" t="s">
        <v>34642</v>
      </c>
      <c r="B34643" s="2" t="str">
        <f>IFERROR(__xludf.DUMMYFUNCTION("GOOGLETRANSLATE(A34643, ""de"", ""en"")"),"lasting")</f>
        <v>lasting</v>
      </c>
    </row>
    <row r="34644">
      <c r="A34644" s="1" t="s">
        <v>34643</v>
      </c>
      <c r="B34644" s="2" t="str">
        <f>IFERROR(__xludf.DUMMYFUNCTION("GOOGLETRANSLATE(A34644, ""de"", ""en"")"),"mentally ill")</f>
        <v>mentally ill</v>
      </c>
    </row>
    <row r="34645">
      <c r="A34645" s="1" t="s">
        <v>34644</v>
      </c>
      <c r="B34645" s="2" t="str">
        <f>IFERROR(__xludf.DUMMYFUNCTION("GOOGLETRANSLATE(A34645, ""de"", ""en"")"),"regulated")</f>
        <v>regulated</v>
      </c>
    </row>
    <row r="34646">
      <c r="A34646" s="1" t="s">
        <v>34645</v>
      </c>
      <c r="B34646" s="2" t="str">
        <f>IFERROR(__xludf.DUMMYFUNCTION("GOOGLETRANSLATE(A34646, ""de"", ""en"")"),"liver spot")</f>
        <v>liver spot</v>
      </c>
    </row>
    <row r="34647">
      <c r="A34647" s="1" t="s">
        <v>34646</v>
      </c>
      <c r="B34647" s="2" t="str">
        <f>IFERROR(__xludf.DUMMYFUNCTION("GOOGLETRANSLATE(A34647, ""de"", ""en"")"),"overexcited")</f>
        <v>overexcited</v>
      </c>
    </row>
    <row r="34648">
      <c r="A34648" s="1" t="s">
        <v>34647</v>
      </c>
      <c r="B34648" s="2" t="str">
        <f>IFERROR(__xludf.DUMMYFUNCTION("GOOGLETRANSLATE(A34648, ""de"", ""en"")"),"woolsey")</f>
        <v>woolsey</v>
      </c>
    </row>
    <row r="34649">
      <c r="A34649" s="1" t="s">
        <v>34648</v>
      </c>
      <c r="B34649" s="2" t="str">
        <f>IFERROR(__xludf.DUMMYFUNCTION("GOOGLETRANSLATE(A34649, ""de"", ""en"")"),"artemis")</f>
        <v>artemis</v>
      </c>
    </row>
    <row r="34650">
      <c r="A34650" s="1" t="s">
        <v>34649</v>
      </c>
      <c r="B34650" s="2" t="str">
        <f>IFERROR(__xludf.DUMMYFUNCTION("GOOGLETRANSLATE(A34650, ""de"", ""en"")"),"javadi")</f>
        <v>javadi</v>
      </c>
    </row>
    <row r="34651">
      <c r="A34651" s="1" t="s">
        <v>34650</v>
      </c>
      <c r="B34651" s="2" t="str">
        <f>IFERROR(__xludf.DUMMYFUNCTION("GOOGLETRANSLATE(A34651, ""de"", ""en"")"),"annemarie")</f>
        <v>annemarie</v>
      </c>
    </row>
    <row r="34652">
      <c r="A34652" s="1" t="s">
        <v>34651</v>
      </c>
      <c r="B34652" s="2" t="str">
        <f>IFERROR(__xludf.DUMMYFUNCTION("GOOGLETRANSLATE(A34652, ""de"", ""en"")"),"color blind")</f>
        <v>color blind</v>
      </c>
    </row>
    <row r="34653">
      <c r="A34653" s="1" t="s">
        <v>34652</v>
      </c>
      <c r="B34653" s="2" t="str">
        <f>IFERROR(__xludf.DUMMYFUNCTION("GOOGLETRANSLATE(A34653, ""de"", ""en"")"),"disappointing")</f>
        <v>disappointing</v>
      </c>
    </row>
    <row r="34654">
      <c r="A34654" s="1" t="s">
        <v>34653</v>
      </c>
      <c r="B34654" s="2" t="str">
        <f>IFERROR(__xludf.DUMMYFUNCTION("GOOGLETRANSLATE(A34654, ""de"", ""en"")"),"kita")</f>
        <v>kita</v>
      </c>
    </row>
    <row r="34655">
      <c r="A34655" s="1" t="s">
        <v>34654</v>
      </c>
      <c r="B34655" s="2" t="str">
        <f>IFERROR(__xludf.DUMMYFUNCTION("GOOGLETRANSLATE(A34655, ""de"", ""en"")"),"armor")</f>
        <v>armor</v>
      </c>
    </row>
    <row r="34656">
      <c r="A34656" s="1" t="s">
        <v>34655</v>
      </c>
      <c r="B34656" s="2" t="str">
        <f>IFERROR(__xludf.DUMMYFUNCTION("GOOGLETRANSLATE(A34656, ""de"", ""en"")"),"tariq")</f>
        <v>tariq</v>
      </c>
    </row>
    <row r="34657">
      <c r="A34657" s="1" t="s">
        <v>34656</v>
      </c>
      <c r="B34657" s="2" t="str">
        <f>IFERROR(__xludf.DUMMYFUNCTION("GOOGLETRANSLATE(A34657, ""de"", ""en"")"),"come down")</f>
        <v>come down</v>
      </c>
    </row>
    <row r="34658">
      <c r="A34658" s="1" t="s">
        <v>34657</v>
      </c>
      <c r="B34658" s="2" t="str">
        <f>IFERROR(__xludf.DUMMYFUNCTION("GOOGLETRANSLATE(A34658, ""de"", ""en"")"),"jacs")</f>
        <v>jacs</v>
      </c>
    </row>
    <row r="34659">
      <c r="A34659" s="1" t="s">
        <v>34658</v>
      </c>
      <c r="B34659" s="2" t="str">
        <f>IFERROR(__xludf.DUMMYFUNCTION("GOOGLETRANSLATE(A34659, ""de"", ""en"")"),"light")</f>
        <v>light</v>
      </c>
    </row>
    <row r="34660">
      <c r="A34660" s="1" t="s">
        <v>34659</v>
      </c>
      <c r="B34660" s="2" t="str">
        <f>IFERROR(__xludf.DUMMYFUNCTION("GOOGLETRANSLATE(A34660, ""de"", ""en"")"),"unlock")</f>
        <v>unlock</v>
      </c>
    </row>
    <row r="34661">
      <c r="A34661" s="1" t="s">
        <v>34660</v>
      </c>
      <c r="B34661" s="2" t="str">
        <f>IFERROR(__xludf.DUMMYFUNCTION("GOOGLETRANSLATE(A34661, ""de"", ""en"")"),"nobler")</f>
        <v>nobler</v>
      </c>
    </row>
    <row r="34662">
      <c r="A34662" s="1" t="s">
        <v>34661</v>
      </c>
      <c r="B34662" s="2" t="str">
        <f>IFERROR(__xludf.DUMMYFUNCTION("GOOGLETRANSLATE(A34662, ""de"", ""en"")"),"annes")</f>
        <v>annes</v>
      </c>
    </row>
    <row r="34663">
      <c r="A34663" s="1" t="s">
        <v>34662</v>
      </c>
      <c r="B34663" s="2" t="str">
        <f>IFERROR(__xludf.DUMMYFUNCTION("GOOGLETRANSLATE(A34663, ""de"", ""en"")"),"crucifixion")</f>
        <v>crucifixion</v>
      </c>
    </row>
    <row r="34664">
      <c r="A34664" s="1" t="s">
        <v>34663</v>
      </c>
      <c r="B34664" s="2" t="str">
        <f>IFERROR(__xludf.DUMMYFUNCTION("GOOGLETRANSLATE(A34664, ""de"", ""en"")"),"broadcast time")</f>
        <v>broadcast time</v>
      </c>
    </row>
    <row r="34665">
      <c r="A34665" s="1" t="s">
        <v>34664</v>
      </c>
      <c r="B34665" s="2" t="str">
        <f>IFERROR(__xludf.DUMMYFUNCTION("GOOGLETRANSLATE(A34665, ""de"", ""en"")"),"flying")</f>
        <v>flying</v>
      </c>
    </row>
    <row r="34666">
      <c r="A34666" s="1" t="s">
        <v>34665</v>
      </c>
      <c r="B34666" s="2" t="str">
        <f>IFERROR(__xludf.DUMMYFUNCTION("GOOGLETRANSLATE(A34666, ""de"", ""en"")"),"claims")</f>
        <v>claims</v>
      </c>
    </row>
    <row r="34667">
      <c r="A34667" s="1" t="s">
        <v>34666</v>
      </c>
      <c r="B34667" s="2" t="str">
        <f>IFERROR(__xludf.DUMMYFUNCTION("GOOGLETRANSLATE(A34667, ""de"", ""en"")"),"Göran")</f>
        <v>Göran</v>
      </c>
    </row>
    <row r="34668">
      <c r="A34668" s="1" t="s">
        <v>34667</v>
      </c>
      <c r="B34668" s="2" t="str">
        <f>IFERROR(__xludf.DUMMYFUNCTION("GOOGLETRANSLATE(A34668, ""de"", ""en"")"),"clouds")</f>
        <v>clouds</v>
      </c>
    </row>
    <row r="34669">
      <c r="A34669" s="1" t="s">
        <v>34668</v>
      </c>
      <c r="B34669" s="2" t="str">
        <f>IFERROR(__xludf.DUMMYFUNCTION("GOOGLETRANSLATE(A34669, ""de"", ""en"")"),"subaru")</f>
        <v>subaru</v>
      </c>
    </row>
    <row r="34670">
      <c r="A34670" s="1" t="s">
        <v>34669</v>
      </c>
      <c r="B34670" s="2" t="str">
        <f>IFERROR(__xludf.DUMMYFUNCTION("GOOGLETRANSLATE(A34670, ""de"", ""en"")"),"fenton")</f>
        <v>fenton</v>
      </c>
    </row>
    <row r="34671">
      <c r="A34671" s="1" t="s">
        <v>34670</v>
      </c>
      <c r="B34671" s="2" t="str">
        <f>IFERROR(__xludf.DUMMYFUNCTION("GOOGLETRANSLATE(A34671, ""de"", ""en"")"),"dragonfly")</f>
        <v>dragonfly</v>
      </c>
    </row>
    <row r="34672">
      <c r="A34672" s="1" t="s">
        <v>34671</v>
      </c>
      <c r="B34672" s="2" t="str">
        <f>IFERROR(__xludf.DUMMYFUNCTION("GOOGLETRANSLATE(A34672, ""de"", ""en"")"),"cod")</f>
        <v>cod</v>
      </c>
    </row>
    <row r="34673">
      <c r="A34673" s="1" t="s">
        <v>34672</v>
      </c>
      <c r="B34673" s="2" t="str">
        <f>IFERROR(__xludf.DUMMYFUNCTION("GOOGLETRANSLATE(A34673, ""de"", ""en"")"),"forfeited")</f>
        <v>forfeited</v>
      </c>
    </row>
    <row r="34674">
      <c r="A34674" s="1" t="s">
        <v>34673</v>
      </c>
      <c r="B34674" s="2" t="str">
        <f>IFERROR(__xludf.DUMMYFUNCTION("GOOGLETRANSLATE(A34674, ""de"", ""en"")"),"questionable")</f>
        <v>questionable</v>
      </c>
    </row>
    <row r="34675">
      <c r="A34675" s="1" t="s">
        <v>34674</v>
      </c>
      <c r="B34675" s="2" t="str">
        <f>IFERROR(__xludf.DUMMYFUNCTION("GOOGLETRANSLATE(A34675, ""de"", ""en"")"),"strategist")</f>
        <v>strategist</v>
      </c>
    </row>
    <row r="34676">
      <c r="A34676" s="1" t="s">
        <v>34675</v>
      </c>
      <c r="B34676" s="2" t="str">
        <f>IFERROR(__xludf.DUMMYFUNCTION("GOOGLETRANSLATE(A34676, ""de"", ""en"")"),"appeased")</f>
        <v>appeased</v>
      </c>
    </row>
    <row r="34677">
      <c r="A34677" s="1" t="s">
        <v>34676</v>
      </c>
      <c r="B34677" s="2" t="str">
        <f>IFERROR(__xludf.DUMMYFUNCTION("GOOGLETRANSLATE(A34677, ""de"", ""en"")"),"Aimee")</f>
        <v>Aimee</v>
      </c>
    </row>
    <row r="34678">
      <c r="A34678" s="1" t="s">
        <v>34677</v>
      </c>
      <c r="B34678" s="2" t="str">
        <f>IFERROR(__xludf.DUMMYFUNCTION("GOOGLETRANSLATE(A34678, ""de"", ""en"")"),"management")</f>
        <v>management</v>
      </c>
    </row>
    <row r="34679">
      <c r="A34679" s="1" t="s">
        <v>34678</v>
      </c>
      <c r="B34679" s="2" t="str">
        <f>IFERROR(__xludf.DUMMYFUNCTION("GOOGLETRANSLATE(A34679, ""de"", ""en"")"),"yoke")</f>
        <v>yoke</v>
      </c>
    </row>
    <row r="34680">
      <c r="A34680" s="1" t="s">
        <v>34679</v>
      </c>
      <c r="B34680" s="2" t="str">
        <f>IFERROR(__xludf.DUMMYFUNCTION("GOOGLETRANSLATE(A34680, ""de"", ""en"")"),"surrey")</f>
        <v>surrey</v>
      </c>
    </row>
    <row r="34681">
      <c r="A34681" s="1" t="s">
        <v>34680</v>
      </c>
      <c r="B34681" s="2" t="str">
        <f>IFERROR(__xludf.DUMMYFUNCTION("GOOGLETRANSLATE(A34681, ""de"", ""en"")"),"pollock")</f>
        <v>pollock</v>
      </c>
    </row>
    <row r="34682">
      <c r="A34682" s="1" t="s">
        <v>34681</v>
      </c>
      <c r="B34682" s="2" t="str">
        <f>IFERROR(__xludf.DUMMYFUNCTION("GOOGLETRANSLATE(A34682, ""de"", ""en"")"),"lemmy")</f>
        <v>lemmy</v>
      </c>
    </row>
    <row r="34683">
      <c r="A34683" s="1" t="s">
        <v>34682</v>
      </c>
      <c r="B34683" s="2" t="str">
        <f>IFERROR(__xludf.DUMMYFUNCTION("GOOGLETRANSLATE(A34683, ""de"", ""en"")"),"brave")</f>
        <v>brave</v>
      </c>
    </row>
    <row r="34684">
      <c r="A34684" s="1" t="s">
        <v>34683</v>
      </c>
      <c r="B34684" s="2" t="str">
        <f>IFERROR(__xludf.DUMMYFUNCTION("GOOGLETRANSLATE(A34684, ""de"", ""en"")"),"freezes")</f>
        <v>freezes</v>
      </c>
    </row>
    <row r="34685">
      <c r="A34685" s="1" t="s">
        <v>34684</v>
      </c>
      <c r="B34685" s="2" t="str">
        <f>IFERROR(__xludf.DUMMYFUNCTION("GOOGLETRANSLATE(A34685, ""de"", ""en"")"),"jolie")</f>
        <v>jolie</v>
      </c>
    </row>
    <row r="34686">
      <c r="A34686" s="1" t="s">
        <v>34685</v>
      </c>
      <c r="B34686" s="2" t="str">
        <f>IFERROR(__xludf.DUMMYFUNCTION("GOOGLETRANSLATE(A34686, ""de"", ""en"")"),"poor")</f>
        <v>poor</v>
      </c>
    </row>
    <row r="34687">
      <c r="A34687" s="1" t="s">
        <v>34686</v>
      </c>
      <c r="B34687" s="2" t="str">
        <f>IFERROR(__xludf.DUMMYFUNCTION("GOOGLETRANSLATE(A34687, ""de"", ""en"")"),"pee")</f>
        <v>pee</v>
      </c>
    </row>
    <row r="34688">
      <c r="A34688" s="1" t="s">
        <v>34687</v>
      </c>
      <c r="B34688" s="2" t="str">
        <f>IFERROR(__xludf.DUMMYFUNCTION("GOOGLETRANSLATE(A34688, ""de"", ""en"")"),"traumas")</f>
        <v>traumas</v>
      </c>
    </row>
    <row r="34689">
      <c r="A34689" s="1" t="s">
        <v>34688</v>
      </c>
      <c r="B34689" s="2" t="str">
        <f>IFERROR(__xludf.DUMMYFUNCTION("GOOGLETRANSLATE(A34689, ""de"", ""en"")"),"birch")</f>
        <v>birch</v>
      </c>
    </row>
    <row r="34690">
      <c r="A34690" s="1" t="s">
        <v>34689</v>
      </c>
      <c r="B34690" s="2" t="str">
        <f>IFERROR(__xludf.DUMMYFUNCTION("GOOGLETRANSLATE(A34690, ""de"", ""en"")"),"tell others")</f>
        <v>tell others</v>
      </c>
    </row>
    <row r="34691">
      <c r="A34691" s="1" t="s">
        <v>34690</v>
      </c>
      <c r="B34691" s="2" t="str">
        <f>IFERROR(__xludf.DUMMYFUNCTION("GOOGLETRANSLATE(A34691, ""de"", ""en"")"),"Larsson")</f>
        <v>Larsson</v>
      </c>
    </row>
    <row r="34692">
      <c r="A34692" s="1" t="s">
        <v>34691</v>
      </c>
      <c r="B34692" s="2" t="str">
        <f>IFERROR(__xludf.DUMMYFUNCTION("GOOGLETRANSLATE(A34692, ""de"", ""en"")"),"footwork")</f>
        <v>footwork</v>
      </c>
    </row>
    <row r="34693">
      <c r="A34693" s="1" t="s">
        <v>34692</v>
      </c>
      <c r="B34693" s="2" t="str">
        <f>IFERROR(__xludf.DUMMYFUNCTION("GOOGLETRANSLATE(A34693, ""de"", ""en"")"),"position")</f>
        <v>position</v>
      </c>
    </row>
    <row r="34694">
      <c r="A34694" s="1" t="s">
        <v>34693</v>
      </c>
      <c r="B34694" s="2" t="str">
        <f>IFERROR(__xludf.DUMMYFUNCTION("GOOGLETRANSLATE(A34694, ""de"", ""en"")"),"molière")</f>
        <v>molière</v>
      </c>
    </row>
    <row r="34695">
      <c r="A34695" s="1" t="s">
        <v>34694</v>
      </c>
      <c r="B34695" s="2" t="str">
        <f>IFERROR(__xludf.DUMMYFUNCTION("GOOGLETRANSLATE(A34695, ""de"", ""en"")"),"more efficient")</f>
        <v>more efficient</v>
      </c>
    </row>
    <row r="34696">
      <c r="A34696" s="1" t="s">
        <v>34695</v>
      </c>
      <c r="B34696" s="2" t="str">
        <f>IFERROR(__xludf.DUMMYFUNCTION("GOOGLETRANSLATE(A34696, ""de"", ""en"")"),"vandal")</f>
        <v>vandal</v>
      </c>
    </row>
    <row r="34697">
      <c r="A34697" s="1" t="s">
        <v>34696</v>
      </c>
      <c r="B34697" s="2" t="str">
        <f>IFERROR(__xludf.DUMMYFUNCTION("GOOGLETRANSLATE(A34697, ""de"", ""en"")"),"hardware store")</f>
        <v>hardware store</v>
      </c>
    </row>
    <row r="34698">
      <c r="A34698" s="1" t="s">
        <v>34697</v>
      </c>
      <c r="B34698" s="2" t="str">
        <f>IFERROR(__xludf.DUMMYFUNCTION("GOOGLETRANSLATE(A34698, ""de"", ""en"")"),"ines")</f>
        <v>ines</v>
      </c>
    </row>
    <row r="34699">
      <c r="A34699" s="1" t="s">
        <v>34698</v>
      </c>
      <c r="B34699" s="2" t="str">
        <f>IFERROR(__xludf.DUMMYFUNCTION("GOOGLETRANSLATE(A34699, ""de"", ""en"")"),"US citizen")</f>
        <v>US citizen</v>
      </c>
    </row>
    <row r="34700">
      <c r="A34700" s="1" t="s">
        <v>34699</v>
      </c>
      <c r="B34700" s="2" t="str">
        <f>IFERROR(__xludf.DUMMYFUNCTION("GOOGLETRANSLATE(A34700, ""de"", ""en"")"),"muffy")</f>
        <v>muffy</v>
      </c>
    </row>
    <row r="34701">
      <c r="A34701" s="1" t="s">
        <v>34700</v>
      </c>
      <c r="B34701" s="2" t="str">
        <f>IFERROR(__xludf.DUMMYFUNCTION("GOOGLETRANSLATE(A34701, ""de"", ""en"")"),"success")</f>
        <v>success</v>
      </c>
    </row>
    <row r="34702">
      <c r="A34702" s="1" t="s">
        <v>34701</v>
      </c>
      <c r="B34702" s="2" t="str">
        <f>IFERROR(__xludf.DUMMYFUNCTION("GOOGLETRANSLATE(A34702, ""de"", ""en"")"),"tick")</f>
        <v>tick</v>
      </c>
    </row>
    <row r="34703">
      <c r="A34703" s="1" t="s">
        <v>34702</v>
      </c>
      <c r="B34703" s="2" t="str">
        <f>IFERROR(__xludf.DUMMYFUNCTION("GOOGLETRANSLATE(A34703, ""de"", ""en"")"),"moonstone")</f>
        <v>moonstone</v>
      </c>
    </row>
    <row r="34704">
      <c r="A34704" s="1" t="s">
        <v>34703</v>
      </c>
      <c r="B34704" s="2" t="str">
        <f>IFERROR(__xludf.DUMMYFUNCTION("GOOGLETRANSLATE(A34704, ""de"", ""en"")"),"Wilfred")</f>
        <v>Wilfred</v>
      </c>
    </row>
    <row r="34705">
      <c r="A34705" s="1" t="s">
        <v>34704</v>
      </c>
      <c r="B34705" s="2" t="str">
        <f>IFERROR(__xludf.DUMMYFUNCTION("GOOGLETRANSLATE(A34705, ""de"", ""en"")"),"Rhodes")</f>
        <v>Rhodes</v>
      </c>
    </row>
    <row r="34706">
      <c r="A34706" s="1" t="s">
        <v>34705</v>
      </c>
      <c r="B34706" s="2" t="str">
        <f>IFERROR(__xludf.DUMMYFUNCTION("GOOGLETRANSLATE(A34706, ""de"", ""en"")"),"radio connection")</f>
        <v>radio connection</v>
      </c>
    </row>
    <row r="34707">
      <c r="A34707" s="1" t="s">
        <v>34706</v>
      </c>
      <c r="B34707" s="2" t="str">
        <f>IFERROR(__xludf.DUMMYFUNCTION("GOOGLETRANSLATE(A34707, ""de"", ""en"")"),"bang")</f>
        <v>bang</v>
      </c>
    </row>
    <row r="34708">
      <c r="A34708" s="1" t="s">
        <v>34707</v>
      </c>
      <c r="B34708" s="2" t="str">
        <f>IFERROR(__xludf.DUMMYFUNCTION("GOOGLETRANSLATE(A34708, ""de"", ""en"")"),"run in")</f>
        <v>run in</v>
      </c>
    </row>
    <row r="34709">
      <c r="A34709" s="1" t="s">
        <v>34708</v>
      </c>
      <c r="B34709" s="2" t="str">
        <f>IFERROR(__xludf.DUMMYFUNCTION("GOOGLETRANSLATE(A34709, ""de"", ""en"")"),"geography")</f>
        <v>geography</v>
      </c>
    </row>
    <row r="34710">
      <c r="A34710" s="1" t="s">
        <v>34709</v>
      </c>
      <c r="B34710" s="2" t="str">
        <f>IFERROR(__xludf.DUMMYFUNCTION("GOOGLETRANSLATE(A34710, ""de"", ""en"")"),"to come home")</f>
        <v>to come home</v>
      </c>
    </row>
    <row r="34711">
      <c r="A34711" s="1" t="s">
        <v>34710</v>
      </c>
      <c r="B34711" s="2" t="str">
        <f>IFERROR(__xludf.DUMMYFUNCTION("GOOGLETRANSLATE(A34711, ""de"", ""en"")"),"rot")</f>
        <v>rot</v>
      </c>
    </row>
    <row r="34712">
      <c r="A34712" s="1" t="s">
        <v>34711</v>
      </c>
      <c r="B34712" s="2" t="str">
        <f>IFERROR(__xludf.DUMMYFUNCTION("GOOGLETRANSLATE(A34712, ""de"", ""en"")"),"little children")</f>
        <v>little children</v>
      </c>
    </row>
    <row r="34713">
      <c r="A34713" s="1" t="s">
        <v>34712</v>
      </c>
      <c r="B34713" s="2" t="str">
        <f>IFERROR(__xludf.DUMMYFUNCTION("GOOGLETRANSLATE(A34713, ""de"", ""en"")"),"highest")</f>
        <v>highest</v>
      </c>
    </row>
    <row r="34714">
      <c r="A34714" s="1" t="s">
        <v>34713</v>
      </c>
      <c r="B34714" s="2" t="str">
        <f>IFERROR(__xludf.DUMMYFUNCTION("GOOGLETRANSLATE(A34714, ""de"", ""en"")"),"sworn")</f>
        <v>sworn</v>
      </c>
    </row>
    <row r="34715">
      <c r="A34715" s="1" t="s">
        <v>34714</v>
      </c>
      <c r="B34715" s="2" t="str">
        <f>IFERROR(__xludf.DUMMYFUNCTION("GOOGLETRANSLATE(A34715, ""de"", ""en"")"),"cornea")</f>
        <v>cornea</v>
      </c>
    </row>
    <row r="34716">
      <c r="A34716" s="1" t="s">
        <v>34715</v>
      </c>
      <c r="B34716" s="2" t="str">
        <f>IFERROR(__xludf.DUMMYFUNCTION("GOOGLETRANSLATE(A34716, ""de"", ""en"")"),"chest pain")</f>
        <v>chest pain</v>
      </c>
    </row>
    <row r="34717">
      <c r="A34717" s="1" t="s">
        <v>34716</v>
      </c>
      <c r="B34717" s="2" t="str">
        <f>IFERROR(__xludf.DUMMYFUNCTION("GOOGLETRANSLATE(A34717, ""de"", ""en"")"),"anatoly")</f>
        <v>anatoly</v>
      </c>
    </row>
    <row r="34718">
      <c r="A34718" s="1" t="s">
        <v>34717</v>
      </c>
      <c r="B34718" s="2" t="str">
        <f>IFERROR(__xludf.DUMMYFUNCTION("GOOGLETRANSLATE(A34718, ""de"", ""en"")"),"scaredy-cats")</f>
        <v>scaredy-cats</v>
      </c>
    </row>
    <row r="34719">
      <c r="A34719" s="1" t="s">
        <v>34718</v>
      </c>
      <c r="B34719" s="2" t="str">
        <f>IFERROR(__xludf.DUMMYFUNCTION("GOOGLETRANSLATE(A34719, ""de"", ""en"")"),"remote controlled")</f>
        <v>remote controlled</v>
      </c>
    </row>
    <row r="34720">
      <c r="A34720" s="1" t="s">
        <v>34719</v>
      </c>
      <c r="B34720" s="2" t="str">
        <f>IFERROR(__xludf.DUMMYFUNCTION("GOOGLETRANSLATE(A34720, ""de"", ""en"")"),"interact")</f>
        <v>interact</v>
      </c>
    </row>
    <row r="34721">
      <c r="A34721" s="1" t="s">
        <v>34720</v>
      </c>
      <c r="B34721" s="2" t="str">
        <f>IFERROR(__xludf.DUMMYFUNCTION("GOOGLETRANSLATE(A34721, ""de"", ""en"")"),"yo-yo")</f>
        <v>yo-yo</v>
      </c>
    </row>
    <row r="34722">
      <c r="A34722" s="1" t="s">
        <v>34721</v>
      </c>
      <c r="B34722" s="2" t="str">
        <f>IFERROR(__xludf.DUMMYFUNCTION("GOOGLETRANSLATE(A34722, ""de"", ""en"")"),"disturbing")</f>
        <v>disturbing</v>
      </c>
    </row>
    <row r="34723">
      <c r="A34723" s="1" t="s">
        <v>34722</v>
      </c>
      <c r="B34723" s="2" t="str">
        <f>IFERROR(__xludf.DUMMYFUNCTION("GOOGLETRANSLATE(A34723, ""de"", ""en"")"),"baboon")</f>
        <v>baboon</v>
      </c>
    </row>
    <row r="34724">
      <c r="A34724" s="1" t="s">
        <v>34723</v>
      </c>
      <c r="B34724" s="2" t="str">
        <f>IFERROR(__xludf.DUMMYFUNCTION("GOOGLETRANSLATE(A34724, ""de"", ""en"")"),"runner")</f>
        <v>runner</v>
      </c>
    </row>
    <row r="34725">
      <c r="A34725" s="1" t="s">
        <v>34724</v>
      </c>
      <c r="B34725" s="2" t="str">
        <f>IFERROR(__xludf.DUMMYFUNCTION("GOOGLETRANSLATE(A34725, ""de"", ""en"")"),"beagle")</f>
        <v>beagle</v>
      </c>
    </row>
    <row r="34726">
      <c r="A34726" s="1" t="s">
        <v>34725</v>
      </c>
      <c r="B34726" s="2" t="str">
        <f>IFERROR(__xludf.DUMMYFUNCTION("GOOGLETRANSLATE(A34726, ""de"", ""en"")"),"paratrooper")</f>
        <v>paratrooper</v>
      </c>
    </row>
    <row r="34727">
      <c r="A34727" s="1" t="s">
        <v>34726</v>
      </c>
      <c r="B34727" s="2" t="str">
        <f>IFERROR(__xludf.DUMMYFUNCTION("GOOGLETRANSLATE(A34727, ""de"", ""en"")"),"Andorians")</f>
        <v>Andorians</v>
      </c>
    </row>
    <row r="34728">
      <c r="A34728" s="1" t="s">
        <v>34727</v>
      </c>
      <c r="B34728" s="2" t="str">
        <f>IFERROR(__xludf.DUMMYFUNCTION("GOOGLETRANSLATE(A34728, ""de"", ""en"")"),"spare tires")</f>
        <v>spare tires</v>
      </c>
    </row>
    <row r="34729">
      <c r="A34729" s="1" t="s">
        <v>34728</v>
      </c>
      <c r="B34729" s="2" t="str">
        <f>IFERROR(__xludf.DUMMYFUNCTION("GOOGLETRANSLATE(A34729, ""de"", ""en"")"),"tall")</f>
        <v>tall</v>
      </c>
    </row>
    <row r="34730">
      <c r="A34730" s="1" t="s">
        <v>34729</v>
      </c>
      <c r="B34730" s="2" t="str">
        <f>IFERROR(__xludf.DUMMYFUNCTION("GOOGLETRANSLATE(A34730, ""de"", ""en"")"),"neverland")</f>
        <v>neverland</v>
      </c>
    </row>
    <row r="34731">
      <c r="A34731" s="1" t="s">
        <v>34730</v>
      </c>
      <c r="B34731" s="2" t="str">
        <f>IFERROR(__xludf.DUMMYFUNCTION("GOOGLETRANSLATE(A34731, ""de"", ""en"")"),"lain")</f>
        <v>lain</v>
      </c>
    </row>
    <row r="34732">
      <c r="A34732" s="1" t="s">
        <v>34731</v>
      </c>
      <c r="B34732" s="2" t="str">
        <f>IFERROR(__xludf.DUMMYFUNCTION("GOOGLETRANSLATE(A34732, ""de"", ""en"")"),"later")</f>
        <v>later</v>
      </c>
    </row>
    <row r="34733">
      <c r="A34733" s="1" t="s">
        <v>34732</v>
      </c>
      <c r="B34733" s="2" t="str">
        <f>IFERROR(__xludf.DUMMYFUNCTION("GOOGLETRANSLATE(A34733, ""de"", ""en"")"),"suicide")</f>
        <v>suicide</v>
      </c>
    </row>
    <row r="34734">
      <c r="A34734" s="1" t="s">
        <v>34733</v>
      </c>
      <c r="B34734" s="2" t="str">
        <f>IFERROR(__xludf.DUMMYFUNCTION("GOOGLETRANSLATE(A34734, ""de"", ""en"")"),"longer")</f>
        <v>longer</v>
      </c>
    </row>
    <row r="34735">
      <c r="A34735" s="1" t="s">
        <v>34734</v>
      </c>
      <c r="B34735" s="2" t="str">
        <f>IFERROR(__xludf.DUMMYFUNCTION("GOOGLETRANSLATE(A34735, ""de"", ""en"")"),"square kilometer")</f>
        <v>square kilometer</v>
      </c>
    </row>
    <row r="34736">
      <c r="A34736" s="1" t="s">
        <v>34735</v>
      </c>
      <c r="B34736" s="2" t="str">
        <f>IFERROR(__xludf.DUMMYFUNCTION("GOOGLETRANSLATE(A34736, ""de"", ""en"")"),"nona")</f>
        <v>nona</v>
      </c>
    </row>
    <row r="34737">
      <c r="A34737" s="1" t="s">
        <v>34736</v>
      </c>
      <c r="B34737" s="2" t="str">
        <f>IFERROR(__xludf.DUMMYFUNCTION("GOOGLETRANSLATE(A34737, ""de"", ""en"")"),"forstman")</f>
        <v>forstman</v>
      </c>
    </row>
    <row r="34738">
      <c r="A34738" s="1" t="s">
        <v>34737</v>
      </c>
      <c r="B34738" s="2" t="str">
        <f>IFERROR(__xludf.DUMMYFUNCTION("GOOGLETRANSLATE(A34738, ""de"", ""en"")"),"medford")</f>
        <v>medford</v>
      </c>
    </row>
    <row r="34739">
      <c r="A34739" s="1" t="s">
        <v>34738</v>
      </c>
      <c r="B34739" s="2" t="str">
        <f>IFERROR(__xludf.DUMMYFUNCTION("GOOGLETRANSLATE(A34739, ""de"", ""en"")"),"andri")</f>
        <v>andri</v>
      </c>
    </row>
    <row r="34740">
      <c r="A34740" s="1" t="s">
        <v>34739</v>
      </c>
      <c r="B34740" s="2" t="str">
        <f>IFERROR(__xludf.DUMMYFUNCTION("GOOGLETRANSLATE(A34740, ""de"", ""en"")"),"vice-chancellor")</f>
        <v>vice-chancellor</v>
      </c>
    </row>
    <row r="34741">
      <c r="A34741" s="1" t="s">
        <v>34740</v>
      </c>
      <c r="B34741" s="2" t="str">
        <f>IFERROR(__xludf.DUMMYFUNCTION("GOOGLETRANSLATE(A34741, ""de"", ""en"")"),"buried")</f>
        <v>buried</v>
      </c>
    </row>
    <row r="34742">
      <c r="A34742" s="1" t="s">
        <v>34741</v>
      </c>
      <c r="B34742" s="2" t="str">
        <f>IFERROR(__xludf.DUMMYFUNCTION("GOOGLETRANSLATE(A34742, ""de"", ""en"")"),"stimulate")</f>
        <v>stimulate</v>
      </c>
    </row>
    <row r="34743">
      <c r="A34743" s="1" t="s">
        <v>34742</v>
      </c>
      <c r="B34743" s="2" t="str">
        <f>IFERROR(__xludf.DUMMYFUNCTION("GOOGLETRANSLATE(A34743, ""de"", ""en"")"),"exciting")</f>
        <v>exciting</v>
      </c>
    </row>
    <row r="34744">
      <c r="A34744" s="1" t="s">
        <v>34743</v>
      </c>
      <c r="B34744" s="2" t="str">
        <f>IFERROR(__xludf.DUMMYFUNCTION("GOOGLETRANSLATE(A34744, ""de"", ""en"")"),"ticklish")</f>
        <v>ticklish</v>
      </c>
    </row>
    <row r="34745">
      <c r="A34745" s="1" t="s">
        <v>34744</v>
      </c>
      <c r="B34745" s="2" t="str">
        <f>IFERROR(__xludf.DUMMYFUNCTION("GOOGLETRANSLATE(A34745, ""de"", ""en"")"),"considers")</f>
        <v>considers</v>
      </c>
    </row>
    <row r="34746">
      <c r="A34746" s="1" t="s">
        <v>34745</v>
      </c>
      <c r="B34746" s="2" t="str">
        <f>IFERROR(__xludf.DUMMYFUNCTION("GOOGLETRANSLATE(A34746, ""de"", ""en"")"),"bet")</f>
        <v>bet</v>
      </c>
    </row>
    <row r="34747">
      <c r="A34747" s="1" t="s">
        <v>34746</v>
      </c>
      <c r="B34747" s="2" t="str">
        <f>IFERROR(__xludf.DUMMYFUNCTION("GOOGLETRANSLATE(A34747, ""de"", ""en"")"),"Mexico")</f>
        <v>Mexico</v>
      </c>
    </row>
    <row r="34748">
      <c r="A34748" s="1" t="s">
        <v>34747</v>
      </c>
      <c r="B34748" s="2" t="str">
        <f>IFERROR(__xludf.DUMMYFUNCTION("GOOGLETRANSLATE(A34748, ""de"", ""en"")"),"very first")</f>
        <v>very first</v>
      </c>
    </row>
    <row r="34749">
      <c r="A34749" s="1" t="s">
        <v>34748</v>
      </c>
      <c r="B34749" s="2" t="str">
        <f>IFERROR(__xludf.DUMMYFUNCTION("GOOGLETRANSLATE(A34749, ""de"", ""en"")"),"produced")</f>
        <v>produced</v>
      </c>
    </row>
    <row r="34750">
      <c r="A34750" s="1" t="s">
        <v>34749</v>
      </c>
      <c r="B34750" s="2" t="str">
        <f>IFERROR(__xludf.DUMMYFUNCTION("GOOGLETRANSLATE(A34750, ""de"", ""en"")"),"neolution")</f>
        <v>neolution</v>
      </c>
    </row>
    <row r="34751">
      <c r="A34751" s="1" t="s">
        <v>34750</v>
      </c>
      <c r="B34751" s="2" t="str">
        <f>IFERROR(__xludf.DUMMYFUNCTION("GOOGLETRANSLATE(A34751, ""de"", ""en"")"),"shah")</f>
        <v>shah</v>
      </c>
    </row>
    <row r="34752">
      <c r="A34752" s="1" t="s">
        <v>34751</v>
      </c>
      <c r="B34752" s="2" t="str">
        <f>IFERROR(__xludf.DUMMYFUNCTION("GOOGLETRANSLATE(A34752, ""de"", ""en"")"),"sniffed")</f>
        <v>sniffed</v>
      </c>
    </row>
    <row r="34753">
      <c r="A34753" s="1" t="s">
        <v>34752</v>
      </c>
      <c r="B34753" s="2" t="str">
        <f>IFERROR(__xludf.DUMMYFUNCTION("GOOGLETRANSLATE(A34753, ""de"", ""en"")"),"gemini")</f>
        <v>gemini</v>
      </c>
    </row>
    <row r="34754">
      <c r="A34754" s="1" t="s">
        <v>34753</v>
      </c>
      <c r="B34754" s="2" t="str">
        <f>IFERROR(__xludf.DUMMYFUNCTION("GOOGLETRANSLATE(A34754, ""de"", ""en"")"),"pretzel")</f>
        <v>pretzel</v>
      </c>
    </row>
    <row r="34755">
      <c r="A34755" s="1" t="s">
        <v>34754</v>
      </c>
      <c r="B34755" s="2" t="str">
        <f>IFERROR(__xludf.DUMMYFUNCTION("GOOGLETRANSLATE(A34755, ""de"", ""en"")"),"disgusting")</f>
        <v>disgusting</v>
      </c>
    </row>
    <row r="34756">
      <c r="A34756" s="1" t="s">
        <v>34755</v>
      </c>
      <c r="B34756" s="2" t="str">
        <f>IFERROR(__xludf.DUMMYFUNCTION("GOOGLETRANSLATE(A34756, ""de"", ""en"")"),"concerned")</f>
        <v>concerned</v>
      </c>
    </row>
    <row r="34757">
      <c r="A34757" s="1" t="s">
        <v>34756</v>
      </c>
      <c r="B34757" s="2" t="str">
        <f>IFERROR(__xludf.DUMMYFUNCTION("GOOGLETRANSLATE(A34757, ""de"", ""en"")"),"ginsberg")</f>
        <v>ginsberg</v>
      </c>
    </row>
    <row r="34758">
      <c r="A34758" s="1" t="s">
        <v>34757</v>
      </c>
      <c r="B34758" s="2" t="str">
        <f>IFERROR(__xludf.DUMMYFUNCTION("GOOGLETRANSLATE(A34758, ""de"", ""en"")"),"Chevrolet")</f>
        <v>Chevrolet</v>
      </c>
    </row>
    <row r="34759">
      <c r="A34759" s="1" t="s">
        <v>34758</v>
      </c>
      <c r="B34759" s="2" t="str">
        <f>IFERROR(__xludf.DUMMYFUNCTION("GOOGLETRANSLATE(A34759, ""de"", ""en"")"),"tte")</f>
        <v>tte</v>
      </c>
    </row>
    <row r="34760">
      <c r="A34760" s="1" t="s">
        <v>34759</v>
      </c>
      <c r="B34760" s="2" t="str">
        <f>IFERROR(__xludf.DUMMYFUNCTION("GOOGLETRANSLATE(A34760, ""de"", ""en"")"),"masha")</f>
        <v>masha</v>
      </c>
    </row>
    <row r="34761">
      <c r="A34761" s="1" t="s">
        <v>34760</v>
      </c>
      <c r="B34761" s="2" t="str">
        <f>IFERROR(__xludf.DUMMYFUNCTION("GOOGLETRANSLATE(A34761, ""de"", ""en"")"),"enthusiastic")</f>
        <v>enthusiastic</v>
      </c>
    </row>
    <row r="34762">
      <c r="A34762" s="1" t="s">
        <v>34761</v>
      </c>
      <c r="B34762" s="2" t="str">
        <f>IFERROR(__xludf.DUMMYFUNCTION("GOOGLETRANSLATE(A34762, ""de"", ""en"")"),"revolutions")</f>
        <v>revolutions</v>
      </c>
    </row>
    <row r="34763">
      <c r="A34763" s="1" t="s">
        <v>34762</v>
      </c>
      <c r="B34763" s="2" t="str">
        <f>IFERROR(__xludf.DUMMYFUNCTION("GOOGLETRANSLATE(A34763, ""de"", ""en"")"),"more often")</f>
        <v>more often</v>
      </c>
    </row>
    <row r="34764">
      <c r="A34764" s="1" t="s">
        <v>34763</v>
      </c>
      <c r="B34764" s="2" t="str">
        <f>IFERROR(__xludf.DUMMYFUNCTION("GOOGLETRANSLATE(A34764, ""de"", ""en"")"),"overtired")</f>
        <v>overtired</v>
      </c>
    </row>
    <row r="34765">
      <c r="A34765" s="1" t="s">
        <v>34764</v>
      </c>
      <c r="B34765" s="2" t="str">
        <f>IFERROR(__xludf.DUMMYFUNCTION("GOOGLETRANSLATE(A34765, ""de"", ""en"")"),"gorgeous")</f>
        <v>gorgeous</v>
      </c>
    </row>
    <row r="34766">
      <c r="A34766" s="1" t="s">
        <v>34765</v>
      </c>
      <c r="B34766" s="2" t="str">
        <f>IFERROR(__xludf.DUMMYFUNCTION("GOOGLETRANSLATE(A34766, ""de"", ""en"")"),"hit list")</f>
        <v>hit list</v>
      </c>
    </row>
    <row r="34767">
      <c r="A34767" s="1" t="s">
        <v>34766</v>
      </c>
      <c r="B34767" s="2" t="str">
        <f>IFERROR(__xludf.DUMMYFUNCTION("GOOGLETRANSLATE(A34767, ""de"", ""en"")"),"kisser")</f>
        <v>kisser</v>
      </c>
    </row>
    <row r="34768">
      <c r="A34768" s="1" t="s">
        <v>34767</v>
      </c>
      <c r="B34768" s="2" t="str">
        <f>IFERROR(__xludf.DUMMYFUNCTION("GOOGLETRANSLATE(A34768, ""de"", ""en"")"),"ran after")</f>
        <v>ran after</v>
      </c>
    </row>
    <row r="34769">
      <c r="A34769" s="1" t="s">
        <v>34768</v>
      </c>
      <c r="B34769" s="2" t="str">
        <f>IFERROR(__xludf.DUMMYFUNCTION("GOOGLETRANSLATE(A34769, ""de"", ""en"")"),"farrah")</f>
        <v>farrah</v>
      </c>
    </row>
    <row r="34770">
      <c r="A34770" s="1" t="s">
        <v>34769</v>
      </c>
      <c r="B34770" s="2" t="str">
        <f>IFERROR(__xludf.DUMMYFUNCTION("GOOGLETRANSLATE(A34770, ""de"", ""en"")"),"necks")</f>
        <v>necks</v>
      </c>
    </row>
    <row r="34771">
      <c r="A34771" s="1" t="s">
        <v>34770</v>
      </c>
      <c r="B34771" s="2" t="str">
        <f>IFERROR(__xludf.DUMMYFUNCTION("GOOGLETRANSLATE(A34771, ""de"", ""en"")"),"train driver")</f>
        <v>train driver</v>
      </c>
    </row>
    <row r="34772">
      <c r="A34772" s="1" t="s">
        <v>34771</v>
      </c>
      <c r="B34772" s="2" t="str">
        <f>IFERROR(__xludf.DUMMYFUNCTION("GOOGLETRANSLATE(A34772, ""de"", ""en"")"),"highest")</f>
        <v>highest</v>
      </c>
    </row>
    <row r="34773">
      <c r="A34773" s="1" t="s">
        <v>34772</v>
      </c>
      <c r="B34773" s="2" t="str">
        <f>IFERROR(__xludf.DUMMYFUNCTION("GOOGLETRANSLATE(A34773, ""de"", ""en"")"),"maisie")</f>
        <v>maisie</v>
      </c>
    </row>
    <row r="34774">
      <c r="A34774" s="1" t="s">
        <v>34773</v>
      </c>
      <c r="B34774" s="2" t="str">
        <f>IFERROR(__xludf.DUMMYFUNCTION("GOOGLETRANSLATE(A34774, ""de"", ""en"")"),"looks")</f>
        <v>looks</v>
      </c>
    </row>
    <row r="34775">
      <c r="A34775" s="1" t="s">
        <v>34774</v>
      </c>
      <c r="B34775" s="2" t="str">
        <f>IFERROR(__xludf.DUMMYFUNCTION("GOOGLETRANSLATE(A34775, ""de"", ""en"")"),"dolce")</f>
        <v>dolce</v>
      </c>
    </row>
    <row r="34776">
      <c r="A34776" s="1" t="s">
        <v>34775</v>
      </c>
      <c r="B34776" s="2" t="str">
        <f>IFERROR(__xludf.DUMMYFUNCTION("GOOGLETRANSLATE(A34776, ""de"", ""en"")"),"armani")</f>
        <v>armani</v>
      </c>
    </row>
    <row r="34777">
      <c r="A34777" s="1" t="s">
        <v>34776</v>
      </c>
      <c r="B34777" s="2" t="str">
        <f>IFERROR(__xludf.DUMMYFUNCTION("GOOGLETRANSLATE(A34777, ""de"", ""en"")"),"gimmick")</f>
        <v>gimmick</v>
      </c>
    </row>
    <row r="34778">
      <c r="A34778" s="1" t="s">
        <v>34777</v>
      </c>
      <c r="B34778" s="2" t="str">
        <f>IFERROR(__xludf.DUMMYFUNCTION("GOOGLETRANSLATE(A34778, ""de"", ""en"")"),"pearl necklace")</f>
        <v>pearl necklace</v>
      </c>
    </row>
    <row r="34779">
      <c r="A34779" s="1" t="s">
        <v>34778</v>
      </c>
      <c r="B34779" s="2" t="str">
        <f>IFERROR(__xludf.DUMMYFUNCTION("GOOGLETRANSLATE(A34779, ""de"", ""en"")"),"closest")</f>
        <v>closest</v>
      </c>
    </row>
    <row r="34780">
      <c r="A34780" s="1" t="s">
        <v>34779</v>
      </c>
      <c r="B34780" s="2" t="str">
        <f>IFERROR(__xludf.DUMMYFUNCTION("GOOGLETRANSLATE(A34780, ""de"", ""en"")"),"fantasize")</f>
        <v>fantasize</v>
      </c>
    </row>
    <row r="34781">
      <c r="A34781" s="1" t="s">
        <v>34780</v>
      </c>
      <c r="B34781" s="2" t="str">
        <f>IFERROR(__xludf.DUMMYFUNCTION("GOOGLETRANSLATE(A34781, ""de"", ""en"")"),"ridiculous")</f>
        <v>ridiculous</v>
      </c>
    </row>
    <row r="34782">
      <c r="A34782" s="1" t="s">
        <v>34781</v>
      </c>
      <c r="B34782" s="2" t="str">
        <f>IFERROR(__xludf.DUMMYFUNCTION("GOOGLETRANSLATE(A34782, ""de"", ""en"")"),"brand new")</f>
        <v>brand new</v>
      </c>
    </row>
    <row r="34783">
      <c r="A34783" s="1" t="s">
        <v>34782</v>
      </c>
      <c r="B34783" s="2" t="str">
        <f>IFERROR(__xludf.DUMMYFUNCTION("GOOGLETRANSLATE(A34783, ""de"", ""en"")"),"fuel")</f>
        <v>fuel</v>
      </c>
    </row>
    <row r="34784">
      <c r="A34784" s="1" t="s">
        <v>34783</v>
      </c>
      <c r="B34784" s="2" t="str">
        <f>IFERROR(__xludf.DUMMYFUNCTION("GOOGLETRANSLATE(A34784, ""de"", ""en"")"),"insolvency")</f>
        <v>insolvency</v>
      </c>
    </row>
    <row r="34785">
      <c r="A34785" s="1" t="s">
        <v>34784</v>
      </c>
      <c r="B34785" s="2" t="str">
        <f>IFERROR(__xludf.DUMMYFUNCTION("GOOGLETRANSLATE(A34785, ""de"", ""en"")"),"shot")</f>
        <v>shot</v>
      </c>
    </row>
    <row r="34786">
      <c r="A34786" s="1" t="s">
        <v>34785</v>
      </c>
      <c r="B34786" s="2" t="str">
        <f>IFERROR(__xludf.DUMMYFUNCTION("GOOGLETRANSLATE(A34786, ""de"", ""en"")"),"vol")</f>
        <v>vol</v>
      </c>
    </row>
    <row r="34787">
      <c r="A34787" s="1" t="s">
        <v>34786</v>
      </c>
      <c r="B34787" s="2" t="str">
        <f>IFERROR(__xludf.DUMMYFUNCTION("GOOGLETRANSLATE(A34787, ""de"", ""en"")"),"stagger")</f>
        <v>stagger</v>
      </c>
    </row>
    <row r="34788">
      <c r="A34788" s="1" t="s">
        <v>34787</v>
      </c>
      <c r="B34788" s="2" t="str">
        <f>IFERROR(__xludf.DUMMYFUNCTION("GOOGLETRANSLATE(A34788, ""de"", ""en"")"),"roe")</f>
        <v>roe</v>
      </c>
    </row>
    <row r="34789">
      <c r="A34789" s="1" t="s">
        <v>34788</v>
      </c>
      <c r="B34789" s="2" t="str">
        <f>IFERROR(__xludf.DUMMYFUNCTION("GOOGLETRANSLATE(A34789, ""de"", ""en"")"),"plaintiff")</f>
        <v>plaintiff</v>
      </c>
    </row>
    <row r="34790">
      <c r="A34790" s="1" t="s">
        <v>34789</v>
      </c>
      <c r="B34790" s="2" t="str">
        <f>IFERROR(__xludf.DUMMYFUNCTION("GOOGLETRANSLATE(A34790, ""de"", ""en"")"),"admission office")</f>
        <v>admission office</v>
      </c>
    </row>
    <row r="34791">
      <c r="A34791" s="1" t="s">
        <v>34790</v>
      </c>
      <c r="B34791" s="2" t="str">
        <f>IFERROR(__xludf.DUMMYFUNCTION("GOOGLETRANSLATE(A34791, ""de"", ""en"")"),"landslide")</f>
        <v>landslide</v>
      </c>
    </row>
    <row r="34792">
      <c r="A34792" s="1" t="s">
        <v>34791</v>
      </c>
      <c r="B34792" s="2" t="str">
        <f>IFERROR(__xludf.DUMMYFUNCTION("GOOGLETRANSLATE(A34792, ""de"", ""en"")"),"chewing gum")</f>
        <v>chewing gum</v>
      </c>
    </row>
    <row r="34793">
      <c r="A34793" s="1" t="s">
        <v>34792</v>
      </c>
      <c r="B34793" s="2" t="str">
        <f>IFERROR(__xludf.DUMMYFUNCTION("GOOGLETRANSLATE(A34793, ""de"", ""en"")"),"lyons")</f>
        <v>lyons</v>
      </c>
    </row>
    <row r="34794">
      <c r="A34794" s="1" t="s">
        <v>34793</v>
      </c>
      <c r="B34794" s="2" t="str">
        <f>IFERROR(__xludf.DUMMYFUNCTION("GOOGLETRANSLATE(A34794, ""de"", ""en"")"),"Rebecca's")</f>
        <v>Rebecca's</v>
      </c>
    </row>
    <row r="34795">
      <c r="A34795" s="1" t="s">
        <v>34794</v>
      </c>
      <c r="B34795" s="2" t="str">
        <f>IFERROR(__xludf.DUMMYFUNCTION("GOOGLETRANSLATE(A34795, ""de"", ""en"")"),"standby")</f>
        <v>standby</v>
      </c>
    </row>
    <row r="34796">
      <c r="A34796" s="1" t="s">
        <v>34795</v>
      </c>
      <c r="B34796" s="2" t="str">
        <f>IFERROR(__xludf.DUMMYFUNCTION("GOOGLETRANSLATE(A34796, ""de"", ""en"")"),"flying object")</f>
        <v>flying object</v>
      </c>
    </row>
    <row r="34797">
      <c r="A34797" s="1" t="s">
        <v>34796</v>
      </c>
      <c r="B34797" s="2" t="str">
        <f>IFERROR(__xludf.DUMMYFUNCTION("GOOGLETRANSLATE(A34797, ""de"", ""en"")"),"shy ones")</f>
        <v>shy ones</v>
      </c>
    </row>
    <row r="34798">
      <c r="A34798" s="1" t="s">
        <v>34797</v>
      </c>
      <c r="B34798" s="2" t="str">
        <f>IFERROR(__xludf.DUMMYFUNCTION("GOOGLETRANSLATE(A34798, ""de"", ""en"")"),"hellhound")</f>
        <v>hellhound</v>
      </c>
    </row>
    <row r="34799">
      <c r="A34799" s="1" t="s">
        <v>34798</v>
      </c>
      <c r="B34799" s="2" t="str">
        <f>IFERROR(__xludf.DUMMYFUNCTION("GOOGLETRANSLATE(A34799, ""de"", ""en"")"),"fold")</f>
        <v>fold</v>
      </c>
    </row>
    <row r="34800">
      <c r="A34800" s="1" t="s">
        <v>34799</v>
      </c>
      <c r="B34800" s="2" t="str">
        <f>IFERROR(__xludf.DUMMYFUNCTION("GOOGLETRANSLATE(A34800, ""de"", ""en"")"),"delight")</f>
        <v>delight</v>
      </c>
    </row>
    <row r="34801">
      <c r="A34801" s="1" t="s">
        <v>34800</v>
      </c>
      <c r="B34801" s="2" t="str">
        <f>IFERROR(__xludf.DUMMYFUNCTION("GOOGLETRANSLATE(A34801, ""de"", ""en"")"),"poured")</f>
        <v>poured</v>
      </c>
    </row>
    <row r="34802">
      <c r="A34802" s="1" t="s">
        <v>34801</v>
      </c>
      <c r="B34802" s="2" t="str">
        <f>IFERROR(__xludf.DUMMYFUNCTION("GOOGLETRANSLATE(A34802, ""de"", ""en"")"),"odda")</f>
        <v>odda</v>
      </c>
    </row>
    <row r="34803">
      <c r="A34803" s="1" t="s">
        <v>34802</v>
      </c>
      <c r="B34803" s="2" t="str">
        <f>IFERROR(__xludf.DUMMYFUNCTION("GOOGLETRANSLATE(A34803, ""de"", ""en"")"),"galley")</f>
        <v>galley</v>
      </c>
    </row>
    <row r="34804">
      <c r="A34804" s="1" t="s">
        <v>34803</v>
      </c>
      <c r="B34804" s="2" t="str">
        <f>IFERROR(__xludf.DUMMYFUNCTION("GOOGLETRANSLATE(A34804, ""de"", ""en"")"),"hallways")</f>
        <v>hallways</v>
      </c>
    </row>
    <row r="34805">
      <c r="A34805" s="1" t="s">
        <v>34804</v>
      </c>
      <c r="B34805" s="2" t="str">
        <f>IFERROR(__xludf.DUMMYFUNCTION("GOOGLETRANSLATE(A34805, ""de"", ""en"")"),"uninhibited")</f>
        <v>uninhibited</v>
      </c>
    </row>
    <row r="34806">
      <c r="A34806" s="1" t="s">
        <v>34805</v>
      </c>
      <c r="B34806" s="2" t="str">
        <f>IFERROR(__xludf.DUMMYFUNCTION("GOOGLETRANSLATE(A34806, ""de"", ""en"")"),"accessories")</f>
        <v>accessories</v>
      </c>
    </row>
    <row r="34807">
      <c r="A34807" s="1" t="s">
        <v>34806</v>
      </c>
      <c r="B34807" s="2" t="str">
        <f>IFERROR(__xludf.DUMMYFUNCTION("GOOGLETRANSLATE(A34807, ""de"", ""en"")"),"selfish")</f>
        <v>selfish</v>
      </c>
    </row>
    <row r="34808">
      <c r="A34808" s="1" t="s">
        <v>34807</v>
      </c>
      <c r="B34808" s="2" t="str">
        <f>IFERROR(__xludf.DUMMYFUNCTION("GOOGLETRANSLATE(A34808, ""de"", ""en"")"),"scold")</f>
        <v>scold</v>
      </c>
    </row>
    <row r="34809">
      <c r="A34809" s="1" t="s">
        <v>34808</v>
      </c>
      <c r="B34809" s="2" t="str">
        <f>IFERROR(__xludf.DUMMYFUNCTION("GOOGLETRANSLATE(A34809, ""de"", ""en"")"),"distribute")</f>
        <v>distribute</v>
      </c>
    </row>
    <row r="34810">
      <c r="A34810" s="1" t="s">
        <v>34809</v>
      </c>
      <c r="B34810" s="2" t="str">
        <f>IFERROR(__xludf.DUMMYFUNCTION("GOOGLETRANSLATE(A34810, ""de"", ""en"")"),"get back")</f>
        <v>get back</v>
      </c>
    </row>
    <row r="34811">
      <c r="A34811" s="1" t="s">
        <v>34810</v>
      </c>
      <c r="B34811" s="2" t="str">
        <f>IFERROR(__xludf.DUMMYFUNCTION("GOOGLETRANSLATE(A34811, ""de"", ""en"")"),"manage")</f>
        <v>manage</v>
      </c>
    </row>
    <row r="34812">
      <c r="A34812" s="1" t="s">
        <v>34811</v>
      </c>
      <c r="B34812" s="2" t="str">
        <f>IFERROR(__xludf.DUMMYFUNCTION("GOOGLETRANSLATE(A34812, ""de"", ""en"")"),"Parmesan")</f>
        <v>Parmesan</v>
      </c>
    </row>
    <row r="34813">
      <c r="A34813" s="1" t="s">
        <v>34812</v>
      </c>
      <c r="B34813" s="2" t="str">
        <f>IFERROR(__xludf.DUMMYFUNCTION("GOOGLETRANSLATE(A34813, ""de"", ""en"")"),"armored car")</f>
        <v>armored car</v>
      </c>
    </row>
    <row r="34814">
      <c r="A34814" s="1" t="s">
        <v>34813</v>
      </c>
      <c r="B34814" s="2" t="str">
        <f>IFERROR(__xludf.DUMMYFUNCTION("GOOGLETRANSLATE(A34814, ""de"", ""en"")"),"time jump")</f>
        <v>time jump</v>
      </c>
    </row>
    <row r="34815">
      <c r="A34815" s="1" t="s">
        <v>34814</v>
      </c>
      <c r="B34815" s="2" t="str">
        <f>IFERROR(__xludf.DUMMYFUNCTION("GOOGLETRANSLATE(A34815, ""de"", ""en"")"),"hardworking")</f>
        <v>hardworking</v>
      </c>
    </row>
    <row r="34816">
      <c r="A34816" s="1" t="s">
        <v>34815</v>
      </c>
      <c r="B34816" s="2" t="str">
        <f>IFERROR(__xludf.DUMMYFUNCTION("GOOGLETRANSLATE(A34816, ""de"", ""en"")"),"rural")</f>
        <v>rural</v>
      </c>
    </row>
    <row r="34817">
      <c r="A34817" s="1" t="s">
        <v>34816</v>
      </c>
      <c r="B34817" s="2" t="str">
        <f>IFERROR(__xludf.DUMMYFUNCTION("GOOGLETRANSLATE(A34817, ""de"", ""en"")"),"prevention")</f>
        <v>prevention</v>
      </c>
    </row>
    <row r="34818">
      <c r="A34818" s="1" t="s">
        <v>34817</v>
      </c>
      <c r="B34818" s="2" t="str">
        <f>IFERROR(__xludf.DUMMYFUNCTION("GOOGLETRANSLATE(A34818, ""de"", ""en"")"),"strickland")</f>
        <v>strickland</v>
      </c>
    </row>
    <row r="34819">
      <c r="A34819" s="1" t="s">
        <v>34818</v>
      </c>
      <c r="B34819" s="2" t="str">
        <f>IFERROR(__xludf.DUMMYFUNCTION("GOOGLETRANSLATE(A34819, ""de"", ""en"")"),"itaker")</f>
        <v>itaker</v>
      </c>
    </row>
    <row r="34820">
      <c r="A34820" s="1" t="s">
        <v>34819</v>
      </c>
      <c r="B34820" s="2" t="str">
        <f>IFERROR(__xludf.DUMMYFUNCTION("GOOGLETRANSLATE(A34820, ""de"", ""en"")"),"rushed")</f>
        <v>rushed</v>
      </c>
    </row>
    <row r="34821">
      <c r="A34821" s="1" t="s">
        <v>34820</v>
      </c>
      <c r="B34821" s="2" t="str">
        <f>IFERROR(__xludf.DUMMYFUNCTION("GOOGLETRANSLATE(A34821, ""de"", ""en"")"),"crusader")</f>
        <v>crusader</v>
      </c>
    </row>
    <row r="34822">
      <c r="A34822" s="1" t="s">
        <v>34821</v>
      </c>
      <c r="B34822" s="2" t="str">
        <f>IFERROR(__xludf.DUMMYFUNCTION("GOOGLETRANSLATE(A34822, ""de"", ""en"")"),"ride a bike")</f>
        <v>ride a bike</v>
      </c>
    </row>
    <row r="34823">
      <c r="A34823" s="1" t="s">
        <v>34822</v>
      </c>
      <c r="B34823" s="2" t="str">
        <f>IFERROR(__xludf.DUMMYFUNCTION("GOOGLETRANSLATE(A34823, ""de"", ""en"")"),"chewie")</f>
        <v>chewie</v>
      </c>
    </row>
    <row r="34824">
      <c r="A34824" s="1" t="s">
        <v>34823</v>
      </c>
      <c r="B34824" s="2" t="str">
        <f>IFERROR(__xludf.DUMMYFUNCTION("GOOGLETRANSLATE(A34824, ""de"", ""en"")"),"general staff")</f>
        <v>general staff</v>
      </c>
    </row>
    <row r="34825">
      <c r="A34825" s="1" t="s">
        <v>34824</v>
      </c>
      <c r="B34825" s="2" t="str">
        <f>IFERROR(__xludf.DUMMYFUNCTION("GOOGLETRANSLATE(A34825, ""de"", ""en"")"),"strands")</f>
        <v>strands</v>
      </c>
    </row>
    <row r="34826">
      <c r="A34826" s="1" t="s">
        <v>34825</v>
      </c>
      <c r="B34826" s="2" t="str">
        <f>IFERROR(__xludf.DUMMYFUNCTION("GOOGLETRANSLATE(A34826, ""de"", ""en"")"),"uniformed")</f>
        <v>uniformed</v>
      </c>
    </row>
    <row r="34827">
      <c r="A34827" s="1" t="s">
        <v>34826</v>
      </c>
      <c r="B34827" s="2" t="str">
        <f>IFERROR(__xludf.DUMMYFUNCTION("GOOGLETRANSLATE(A34827, ""de"", ""en"")"),"woodman")</f>
        <v>woodman</v>
      </c>
    </row>
    <row r="34828">
      <c r="A34828" s="1" t="s">
        <v>34827</v>
      </c>
      <c r="B34828" s="2" t="str">
        <f>IFERROR(__xludf.DUMMYFUNCTION("GOOGLETRANSLATE(A34828, ""de"", ""en"")"),"sprung")</f>
        <v>sprung</v>
      </c>
    </row>
    <row r="34829">
      <c r="A34829" s="1" t="s">
        <v>34828</v>
      </c>
      <c r="B34829" s="2" t="str">
        <f>IFERROR(__xludf.DUMMYFUNCTION("GOOGLETRANSLATE(A34829, ""de"", ""en"")"),"crop")</f>
        <v>crop</v>
      </c>
    </row>
    <row r="34830">
      <c r="A34830" s="1" t="s">
        <v>34829</v>
      </c>
      <c r="B34830" s="2" t="str">
        <f>IFERROR(__xludf.DUMMYFUNCTION("GOOGLETRANSLATE(A34830, ""de"", ""en"")"),"keyboard")</f>
        <v>keyboard</v>
      </c>
    </row>
    <row r="34831">
      <c r="A34831" s="1" t="s">
        <v>34830</v>
      </c>
      <c r="B34831" s="2" t="str">
        <f>IFERROR(__xludf.DUMMYFUNCTION("GOOGLETRANSLATE(A34831, ""de"", ""en"")"),"plates")</f>
        <v>plates</v>
      </c>
    </row>
    <row r="34832">
      <c r="A34832" s="1" t="s">
        <v>34831</v>
      </c>
      <c r="B34832" s="2" t="str">
        <f>IFERROR(__xludf.DUMMYFUNCTION("GOOGLETRANSLATE(A34832, ""de"", ""en"")"),"sunglasses")</f>
        <v>sunglasses</v>
      </c>
    </row>
    <row r="34833">
      <c r="A34833" s="1" t="s">
        <v>34832</v>
      </c>
      <c r="B34833" s="2" t="str">
        <f>IFERROR(__xludf.DUMMYFUNCTION("GOOGLETRANSLATE(A34833, ""de"", ""en"")"),"cut out")</f>
        <v>cut out</v>
      </c>
    </row>
    <row r="34834">
      <c r="A34834" s="1" t="s">
        <v>34833</v>
      </c>
      <c r="B34834" s="2" t="str">
        <f>IFERROR(__xludf.DUMMYFUNCTION("GOOGLETRANSLATE(A34834, ""de"", ""en"")"),"spoiled")</f>
        <v>spoiled</v>
      </c>
    </row>
    <row r="34835">
      <c r="A34835" s="1" t="s">
        <v>34834</v>
      </c>
      <c r="B34835" s="2" t="str">
        <f>IFERROR(__xludf.DUMMYFUNCTION("GOOGLETRANSLATE(A34835, ""de"", ""en"")"),"guns")</f>
        <v>guns</v>
      </c>
    </row>
    <row r="34836">
      <c r="A34836" s="1" t="s">
        <v>34835</v>
      </c>
      <c r="B34836" s="2" t="str">
        <f>IFERROR(__xludf.DUMMYFUNCTION("GOOGLETRANSLATE(A34836, ""de"", ""en"")"),"ship's horn")</f>
        <v>ship's horn</v>
      </c>
    </row>
    <row r="34837">
      <c r="A34837" s="1" t="s">
        <v>34836</v>
      </c>
      <c r="B34837" s="2" t="str">
        <f>IFERROR(__xludf.DUMMYFUNCTION("GOOGLETRANSLATE(A34837, ""de"", ""en"")"),"punishes")</f>
        <v>punishes</v>
      </c>
    </row>
    <row r="34838">
      <c r="A34838" s="1" t="s">
        <v>34837</v>
      </c>
      <c r="B34838" s="2" t="str">
        <f>IFERROR(__xludf.DUMMYFUNCTION("GOOGLETRANSLATE(A34838, ""de"", ""en"")"),"chat")</f>
        <v>chat</v>
      </c>
    </row>
    <row r="34839">
      <c r="A34839" s="1" t="s">
        <v>34838</v>
      </c>
      <c r="B34839" s="2" t="str">
        <f>IFERROR(__xludf.DUMMYFUNCTION("GOOGLETRANSLATE(A34839, ""de"", ""en"")"),"clover")</f>
        <v>clover</v>
      </c>
    </row>
    <row r="34840">
      <c r="A34840" s="1" t="s">
        <v>34839</v>
      </c>
      <c r="B34840" s="2" t="str">
        <f>IFERROR(__xludf.DUMMYFUNCTION("GOOGLETRANSLATE(A34840, ""de"", ""en"")"),"redfern")</f>
        <v>redfern</v>
      </c>
    </row>
    <row r="34841">
      <c r="A34841" s="1" t="s">
        <v>34840</v>
      </c>
      <c r="B34841" s="2" t="str">
        <f>IFERROR(__xludf.DUMMYFUNCTION("GOOGLETRANSLATE(A34841, ""de"", ""en"")"),"gerrit")</f>
        <v>gerrit</v>
      </c>
    </row>
    <row r="34842">
      <c r="A34842" s="1" t="s">
        <v>34841</v>
      </c>
      <c r="B34842" s="2" t="str">
        <f>IFERROR(__xludf.DUMMYFUNCTION("GOOGLETRANSLATE(A34842, ""de"", ""en"")"),"brains")</f>
        <v>brains</v>
      </c>
    </row>
    <row r="34843">
      <c r="A34843" s="1" t="s">
        <v>34842</v>
      </c>
      <c r="B34843" s="2" t="str">
        <f>IFERROR(__xludf.DUMMYFUNCTION("GOOGLETRANSLATE(A34843, ""de"", ""en"")"),"interviewed")</f>
        <v>interviewed</v>
      </c>
    </row>
    <row r="34844">
      <c r="A34844" s="1" t="s">
        <v>34843</v>
      </c>
      <c r="B34844" s="2" t="str">
        <f>IFERROR(__xludf.DUMMYFUNCTION("GOOGLETRANSLATE(A34844, ""de"", ""en"")"),"stans")</f>
        <v>stans</v>
      </c>
    </row>
    <row r="34845">
      <c r="A34845" s="1" t="s">
        <v>34844</v>
      </c>
      <c r="B34845" s="2" t="str">
        <f>IFERROR(__xludf.DUMMYFUNCTION("GOOGLETRANSLATE(A34845, ""de"", ""en"")"),"Aryans")</f>
        <v>Aryans</v>
      </c>
    </row>
    <row r="34846">
      <c r="A34846" s="1" t="s">
        <v>34845</v>
      </c>
      <c r="B34846" s="2" t="str">
        <f>IFERROR(__xludf.DUMMYFUNCTION("GOOGLETRANSLATE(A34846, ""de"", ""en"")"),"noble")</f>
        <v>noble</v>
      </c>
    </row>
    <row r="34847">
      <c r="A34847" s="1" t="s">
        <v>34846</v>
      </c>
      <c r="B34847" s="2" t="str">
        <f>IFERROR(__xludf.DUMMYFUNCTION("GOOGLETRANSLATE(A34847, ""de"", ""en"")"),"tar")</f>
        <v>tar</v>
      </c>
    </row>
    <row r="34848">
      <c r="A34848" s="1" t="s">
        <v>34847</v>
      </c>
      <c r="B34848" s="2" t="str">
        <f>IFERROR(__xludf.DUMMYFUNCTION("GOOGLETRANSLATE(A34848, ""de"", ""en"")"),"addicts")</f>
        <v>addicts</v>
      </c>
    </row>
    <row r="34849">
      <c r="A34849" s="1" t="s">
        <v>34848</v>
      </c>
      <c r="B34849" s="2" t="str">
        <f>IFERROR(__xludf.DUMMYFUNCTION("GOOGLETRANSLATE(A34849, ""de"", ""en"")"),"leading")</f>
        <v>leading</v>
      </c>
    </row>
    <row r="34850">
      <c r="A34850" s="1" t="s">
        <v>34849</v>
      </c>
      <c r="B34850" s="2" t="str">
        <f>IFERROR(__xludf.DUMMYFUNCTION("GOOGLETRANSLATE(A34850, ""de"", ""en"")"),"film business")</f>
        <v>film business</v>
      </c>
    </row>
    <row r="34851">
      <c r="A34851" s="1" t="s">
        <v>34850</v>
      </c>
      <c r="B34851" s="2" t="str">
        <f>IFERROR(__xludf.DUMMYFUNCTION("GOOGLETRANSLATE(A34851, ""de"", ""en"")"),"traffic cameras")</f>
        <v>traffic cameras</v>
      </c>
    </row>
    <row r="34852">
      <c r="A34852" s="1" t="s">
        <v>34851</v>
      </c>
      <c r="B34852" s="2" t="str">
        <f>IFERROR(__xludf.DUMMYFUNCTION("GOOGLETRANSLATE(A34852, ""de"", ""en"")"),"savings account")</f>
        <v>savings account</v>
      </c>
    </row>
    <row r="34853">
      <c r="A34853" s="1" t="s">
        <v>34852</v>
      </c>
      <c r="B34853" s="2" t="str">
        <f>IFERROR(__xludf.DUMMYFUNCTION("GOOGLETRANSLATE(A34853, ""de"", ""en"")"),"nightlife")</f>
        <v>nightlife</v>
      </c>
    </row>
    <row r="34854">
      <c r="A34854" s="1" t="s">
        <v>34853</v>
      </c>
      <c r="B34854" s="2" t="str">
        <f>IFERROR(__xludf.DUMMYFUNCTION("GOOGLETRANSLATE(A34854, ""de"", ""en"")"),"irmgard")</f>
        <v>irmgard</v>
      </c>
    </row>
    <row r="34855">
      <c r="A34855" s="1" t="s">
        <v>34854</v>
      </c>
      <c r="B34855" s="2" t="str">
        <f>IFERROR(__xludf.DUMMYFUNCTION("GOOGLETRANSLATE(A34855, ""de"", ""en"")"),"naughtier")</f>
        <v>naughtier</v>
      </c>
    </row>
    <row r="34856">
      <c r="A34856" s="1" t="s">
        <v>34855</v>
      </c>
      <c r="B34856" s="2" t="str">
        <f>IFERROR(__xludf.DUMMYFUNCTION("GOOGLETRANSLATE(A34856, ""de"", ""en"")"),"Mongolians")</f>
        <v>Mongolians</v>
      </c>
    </row>
    <row r="34857">
      <c r="A34857" s="1" t="s">
        <v>34856</v>
      </c>
      <c r="B34857" s="2" t="str">
        <f>IFERROR(__xludf.DUMMYFUNCTION("GOOGLETRANSLATE(A34857, ""de"", ""en"")"),"bag")</f>
        <v>bag</v>
      </c>
    </row>
    <row r="34858">
      <c r="A34858" s="1" t="s">
        <v>34857</v>
      </c>
      <c r="B34858" s="2" t="str">
        <f>IFERROR(__xludf.DUMMYFUNCTION("GOOGLETRANSLATE(A34858, ""de"", ""en"")"),"participate")</f>
        <v>participate</v>
      </c>
    </row>
    <row r="34859">
      <c r="A34859" s="1" t="s">
        <v>34858</v>
      </c>
      <c r="B34859" s="2" t="str">
        <f>IFERROR(__xludf.DUMMYFUNCTION("GOOGLETRANSLATE(A34859, ""de"", ""en"")"),"converted")</f>
        <v>converted</v>
      </c>
    </row>
    <row r="34860">
      <c r="A34860" s="1" t="s">
        <v>34859</v>
      </c>
      <c r="B34860" s="2" t="str">
        <f>IFERROR(__xludf.DUMMYFUNCTION("GOOGLETRANSLATE(A34860, ""de"", ""en"")"),"vehicle documents")</f>
        <v>vehicle documents</v>
      </c>
    </row>
    <row r="34861">
      <c r="A34861" s="1" t="s">
        <v>34860</v>
      </c>
      <c r="B34861" s="2" t="str">
        <f>IFERROR(__xludf.DUMMYFUNCTION("GOOGLETRANSLATE(A34861, ""de"", ""en"")"),"swap")</f>
        <v>swap</v>
      </c>
    </row>
    <row r="34862">
      <c r="A34862" s="1" t="s">
        <v>34861</v>
      </c>
      <c r="B34862" s="2" t="str">
        <f>IFERROR(__xludf.DUMMYFUNCTION("GOOGLETRANSLATE(A34862, ""de"", ""en"")"),"bypass")</f>
        <v>bypass</v>
      </c>
    </row>
    <row r="34863">
      <c r="A34863" s="1" t="s">
        <v>34862</v>
      </c>
      <c r="B34863" s="2" t="str">
        <f>IFERROR(__xludf.DUMMYFUNCTION("GOOGLETRANSLATE(A34863, ""de"", ""en"")"),"impulsive")</f>
        <v>impulsive</v>
      </c>
    </row>
    <row r="34864">
      <c r="A34864" s="1" t="s">
        <v>34863</v>
      </c>
      <c r="B34864" s="2" t="str">
        <f>IFERROR(__xludf.DUMMYFUNCTION("GOOGLETRANSLATE(A34864, ""de"", ""en"")"),"Persian")</f>
        <v>Persian</v>
      </c>
    </row>
    <row r="34865">
      <c r="A34865" s="1" t="s">
        <v>34864</v>
      </c>
      <c r="B34865" s="2" t="str">
        <f>IFERROR(__xludf.DUMMYFUNCTION("GOOGLETRANSLATE(A34865, ""de"", ""en"")"),"ducks")</f>
        <v>ducks</v>
      </c>
    </row>
    <row r="34866">
      <c r="A34866" s="1" t="s">
        <v>34865</v>
      </c>
      <c r="B34866" s="2" t="str">
        <f>IFERROR(__xludf.DUMMYFUNCTION("GOOGLETRANSLATE(A34866, ""de"", ""en"")"),"armed")</f>
        <v>armed</v>
      </c>
    </row>
    <row r="34867">
      <c r="A34867" s="1" t="s">
        <v>34866</v>
      </c>
      <c r="B34867" s="2" t="str">
        <f>IFERROR(__xludf.DUMMYFUNCTION("GOOGLETRANSLATE(A34867, ""de"", ""en"")"),"boasts")</f>
        <v>boasts</v>
      </c>
    </row>
    <row r="34868">
      <c r="A34868" s="1" t="s">
        <v>34867</v>
      </c>
      <c r="B34868" s="2" t="str">
        <f>IFERROR(__xludf.DUMMYFUNCTION("GOOGLETRANSLATE(A34868, ""de"", ""en"")"),"buenas")</f>
        <v>buenas</v>
      </c>
    </row>
    <row r="34869">
      <c r="A34869" s="1" t="s">
        <v>34868</v>
      </c>
      <c r="B34869" s="2" t="str">
        <f>IFERROR(__xludf.DUMMYFUNCTION("GOOGLETRANSLATE(A34869, ""de"", ""en"")"),"pillory")</f>
        <v>pillory</v>
      </c>
    </row>
    <row r="34870">
      <c r="A34870" s="1" t="s">
        <v>34869</v>
      </c>
      <c r="B34870" s="2" t="str">
        <f>IFERROR(__xludf.DUMMYFUNCTION("GOOGLETRANSLATE(A34870, ""de"", ""en"")"),"consumers")</f>
        <v>consumers</v>
      </c>
    </row>
    <row r="34871">
      <c r="A34871" s="1" t="s">
        <v>34870</v>
      </c>
      <c r="B34871" s="2" t="str">
        <f>IFERROR(__xludf.DUMMYFUNCTION("GOOGLETRANSLATE(A34871, ""de"", ""en"")"),"hang around")</f>
        <v>hang around</v>
      </c>
    </row>
    <row r="34872">
      <c r="A34872" s="1" t="s">
        <v>34871</v>
      </c>
      <c r="B34872" s="2" t="str">
        <f>IFERROR(__xludf.DUMMYFUNCTION("GOOGLETRANSLATE(A34872, ""de"", ""en"")"),"pendragon")</f>
        <v>pendragon</v>
      </c>
    </row>
    <row r="34873">
      <c r="A34873" s="1" t="s">
        <v>34872</v>
      </c>
      <c r="B34873" s="2" t="str">
        <f>IFERROR(__xludf.DUMMYFUNCTION("GOOGLETRANSLATE(A34873, ""de"", ""en"")"),"pale face")</f>
        <v>pale face</v>
      </c>
    </row>
    <row r="34874">
      <c r="A34874" s="1" t="s">
        <v>34873</v>
      </c>
      <c r="B34874" s="2" t="str">
        <f>IFERROR(__xludf.DUMMYFUNCTION("GOOGLETRANSLATE(A34874, ""de"", ""en"")"),"lund")</f>
        <v>lund</v>
      </c>
    </row>
    <row r="34875">
      <c r="A34875" s="1" t="s">
        <v>34874</v>
      </c>
      <c r="B34875" s="2" t="str">
        <f>IFERROR(__xludf.DUMMYFUNCTION("GOOGLETRANSLATE(A34875, ""de"", ""en"")"),"tools")</f>
        <v>tools</v>
      </c>
    </row>
    <row r="34876">
      <c r="A34876" s="1" t="s">
        <v>34875</v>
      </c>
      <c r="B34876" s="2" t="str">
        <f>IFERROR(__xludf.DUMMYFUNCTION("GOOGLETRANSLATE(A34876, ""de"", ""en"")"),"accrue")</f>
        <v>accrue</v>
      </c>
    </row>
    <row r="34877">
      <c r="A34877" s="1" t="s">
        <v>34876</v>
      </c>
      <c r="B34877" s="2" t="str">
        <f>IFERROR(__xludf.DUMMYFUNCTION("GOOGLETRANSLATE(A34877, ""de"", ""en"")"),"transmission")</f>
        <v>transmission</v>
      </c>
    </row>
    <row r="34878">
      <c r="A34878" s="1" t="s">
        <v>34877</v>
      </c>
      <c r="B34878" s="2" t="str">
        <f>IFERROR(__xludf.DUMMYFUNCTION("GOOGLETRANSLATE(A34878, ""de"", ""en"")"),"danes")</f>
        <v>danes</v>
      </c>
    </row>
    <row r="34879">
      <c r="A34879" s="1" t="s">
        <v>34878</v>
      </c>
      <c r="B34879" s="2" t="str">
        <f>IFERROR(__xludf.DUMMYFUNCTION("GOOGLETRANSLATE(A34879, ""de"", ""en"")"),"brass")</f>
        <v>brass</v>
      </c>
    </row>
    <row r="34880">
      <c r="A34880" s="1" t="s">
        <v>34879</v>
      </c>
      <c r="B34880" s="2" t="str">
        <f>IFERROR(__xludf.DUMMYFUNCTION("GOOGLETRANSLATE(A34880, ""de"", ""en"")"),"doggedly")</f>
        <v>doggedly</v>
      </c>
    </row>
    <row r="34881">
      <c r="A34881" s="1" t="s">
        <v>34880</v>
      </c>
      <c r="B34881" s="2" t="str">
        <f>IFERROR(__xludf.DUMMYFUNCTION("GOOGLETRANSLATE(A34881, ""de"", ""en"")"),"temps")</f>
        <v>temps</v>
      </c>
    </row>
    <row r="34882">
      <c r="A34882" s="1" t="s">
        <v>34881</v>
      </c>
      <c r="B34882" s="2" t="str">
        <f>IFERROR(__xludf.DUMMYFUNCTION("GOOGLETRANSLATE(A34882, ""de"", ""en"")"),"arbitrary")</f>
        <v>arbitrary</v>
      </c>
    </row>
    <row r="34883">
      <c r="A34883" s="1" t="s">
        <v>34882</v>
      </c>
      <c r="B34883" s="2" t="str">
        <f>IFERROR(__xludf.DUMMYFUNCTION("GOOGLETRANSLATE(A34883, ""de"", ""en"")"),"acknowledge")</f>
        <v>acknowledge</v>
      </c>
    </row>
    <row r="34884">
      <c r="A34884" s="1" t="s">
        <v>34883</v>
      </c>
      <c r="B34884" s="2" t="str">
        <f>IFERROR(__xludf.DUMMYFUNCTION("GOOGLETRANSLATE(A34884, ""de"", ""en"")"),"michele")</f>
        <v>michele</v>
      </c>
    </row>
    <row r="34885">
      <c r="A34885" s="1" t="s">
        <v>34884</v>
      </c>
      <c r="B34885" s="2" t="str">
        <f>IFERROR(__xludf.DUMMYFUNCTION("GOOGLETRANSLATE(A34885, ""de"", ""en"")"),"Joplin")</f>
        <v>Joplin</v>
      </c>
    </row>
    <row r="34886">
      <c r="A34886" s="1" t="s">
        <v>34885</v>
      </c>
      <c r="B34886" s="2" t="str">
        <f>IFERROR(__xludf.DUMMYFUNCTION("GOOGLETRANSLATE(A34886, ""de"", ""en"")"),"driver's seat")</f>
        <v>driver's seat</v>
      </c>
    </row>
    <row r="34887">
      <c r="A34887" s="1" t="s">
        <v>34886</v>
      </c>
      <c r="B34887" s="2" t="str">
        <f>IFERROR(__xludf.DUMMYFUNCTION("GOOGLETRANSLATE(A34887, ""de"", ""en"")"),"parody")</f>
        <v>parody</v>
      </c>
    </row>
    <row r="34888">
      <c r="A34888" s="1" t="s">
        <v>34887</v>
      </c>
      <c r="B34888" s="2" t="str">
        <f>IFERROR(__xludf.DUMMYFUNCTION("GOOGLETRANSLATE(A34888, ""de"", ""en"")"),"great")</f>
        <v>great</v>
      </c>
    </row>
    <row r="34889">
      <c r="A34889" s="1" t="s">
        <v>34888</v>
      </c>
      <c r="B34889" s="2" t="str">
        <f>IFERROR(__xludf.DUMMYFUNCTION("GOOGLETRANSLATE(A34889, ""de"", ""en"")"),"tape recorder")</f>
        <v>tape recorder</v>
      </c>
    </row>
    <row r="34890">
      <c r="A34890" s="1" t="s">
        <v>34889</v>
      </c>
      <c r="B34890" s="2" t="str">
        <f>IFERROR(__xludf.DUMMYFUNCTION("GOOGLETRANSLATE(A34890, ""de"", ""en"")"),"cammie")</f>
        <v>cammie</v>
      </c>
    </row>
    <row r="34891">
      <c r="A34891" s="1" t="s">
        <v>34890</v>
      </c>
      <c r="B34891" s="2" t="str">
        <f>IFERROR(__xludf.DUMMYFUNCTION("GOOGLETRANSLATE(A34891, ""de"", ""en"")"),"ministry")</f>
        <v>ministry</v>
      </c>
    </row>
    <row r="34892">
      <c r="A34892" s="1" t="s">
        <v>34891</v>
      </c>
      <c r="B34892" s="2" t="str">
        <f>IFERROR(__xludf.DUMMYFUNCTION("GOOGLETRANSLATE(A34892, ""de"", ""en"")"),"rahul")</f>
        <v>rahul</v>
      </c>
    </row>
    <row r="34893">
      <c r="A34893" s="1" t="s">
        <v>34892</v>
      </c>
      <c r="B34893" s="2" t="str">
        <f>IFERROR(__xludf.DUMMYFUNCTION("GOOGLETRANSLATE(A34893, ""de"", ""en"")"),"imhotep")</f>
        <v>imhotep</v>
      </c>
    </row>
    <row r="34894">
      <c r="A34894" s="1" t="s">
        <v>34893</v>
      </c>
      <c r="B34894" s="2" t="str">
        <f>IFERROR(__xludf.DUMMYFUNCTION("GOOGLETRANSLATE(A34894, ""de"", ""en"")"),"came from")</f>
        <v>came from</v>
      </c>
    </row>
    <row r="34895">
      <c r="A34895" s="1" t="s">
        <v>34894</v>
      </c>
      <c r="B34895" s="2" t="str">
        <f>IFERROR(__xludf.DUMMYFUNCTION("GOOGLETRANSLATE(A34895, ""de"", ""en"")"),"sour")</f>
        <v>sour</v>
      </c>
    </row>
    <row r="34896">
      <c r="A34896" s="1" t="s">
        <v>34895</v>
      </c>
      <c r="B34896" s="2" t="str">
        <f>IFERROR(__xludf.DUMMYFUNCTION("GOOGLETRANSLATE(A34896, ""de"", ""en"")"),"sultry")</f>
        <v>sultry</v>
      </c>
    </row>
    <row r="34897">
      <c r="A34897" s="1" t="s">
        <v>34896</v>
      </c>
      <c r="B34897" s="2" t="str">
        <f>IFERROR(__xludf.DUMMYFUNCTION("GOOGLETRANSLATE(A34897, ""de"", ""en"")"),"wynn")</f>
        <v>wynn</v>
      </c>
    </row>
    <row r="34898">
      <c r="A34898" s="1" t="s">
        <v>34897</v>
      </c>
      <c r="B34898" s="2" t="str">
        <f>IFERROR(__xludf.DUMMYFUNCTION("GOOGLETRANSLATE(A34898, ""de"", ""en"")"),"rafi")</f>
        <v>rafi</v>
      </c>
    </row>
    <row r="34899">
      <c r="A34899" s="1" t="s">
        <v>34898</v>
      </c>
      <c r="B34899" s="2" t="str">
        <f>IFERROR(__xludf.DUMMYFUNCTION("GOOGLETRANSLATE(A34899, ""de"", ""en"")"),"japoness")</f>
        <v>japoness</v>
      </c>
    </row>
    <row r="34900">
      <c r="A34900" s="1" t="s">
        <v>34899</v>
      </c>
      <c r="B34900" s="2" t="str">
        <f>IFERROR(__xludf.DUMMYFUNCTION("GOOGLETRANSLATE(A34900, ""de"", ""en"")"),"main reason")</f>
        <v>main reason</v>
      </c>
    </row>
    <row r="34901">
      <c r="A34901" s="1" t="s">
        <v>34900</v>
      </c>
      <c r="B34901" s="2" t="str">
        <f>IFERROR(__xludf.DUMMYFUNCTION("GOOGLETRANSLATE(A34901, ""de"", ""en"")"),"populated")</f>
        <v>populated</v>
      </c>
    </row>
    <row r="34902">
      <c r="A34902" s="1" t="s">
        <v>34901</v>
      </c>
      <c r="B34902" s="2" t="str">
        <f>IFERROR(__xludf.DUMMYFUNCTION("GOOGLETRANSLATE(A34902, ""de"", ""en"")"),"put on it")</f>
        <v>put on it</v>
      </c>
    </row>
    <row r="34903">
      <c r="A34903" s="1" t="s">
        <v>34902</v>
      </c>
      <c r="B34903" s="2" t="str">
        <f>IFERROR(__xludf.DUMMYFUNCTION("GOOGLETRANSLATE(A34903, ""de"", ""en"")"),"fiat")</f>
        <v>fiat</v>
      </c>
    </row>
    <row r="34904">
      <c r="A34904" s="1" t="s">
        <v>34903</v>
      </c>
      <c r="B34904" s="2" t="str">
        <f>IFERROR(__xludf.DUMMYFUNCTION("GOOGLETRANSLATE(A34904, ""de"", ""en"")"),"at least")</f>
        <v>at least</v>
      </c>
    </row>
    <row r="34905">
      <c r="A34905" s="1" t="s">
        <v>34904</v>
      </c>
      <c r="B34905" s="2" t="str">
        <f>IFERROR(__xludf.DUMMYFUNCTION("GOOGLETRANSLATE(A34905, ""de"", ""en"")"),"Java")</f>
        <v>Java</v>
      </c>
    </row>
    <row r="34906">
      <c r="A34906" s="1" t="s">
        <v>34905</v>
      </c>
      <c r="B34906" s="2" t="str">
        <f>IFERROR(__xludf.DUMMYFUNCTION("GOOGLETRANSLATE(A34906, ""de"", ""en"")"),"Paraguay")</f>
        <v>Paraguay</v>
      </c>
    </row>
    <row r="34907">
      <c r="A34907" s="1" t="s">
        <v>34906</v>
      </c>
      <c r="B34907" s="2" t="str">
        <f>IFERROR(__xludf.DUMMYFUNCTION("GOOGLETRANSLATE(A34907, ""de"", ""en"")"),"rook")</f>
        <v>rook</v>
      </c>
    </row>
    <row r="34908">
      <c r="A34908" s="1" t="s">
        <v>34907</v>
      </c>
      <c r="B34908" s="2" t="str">
        <f>IFERROR(__xludf.DUMMYFUNCTION("GOOGLETRANSLATE(A34908, ""de"", ""en"")"),"meant")</f>
        <v>meant</v>
      </c>
    </row>
    <row r="34909">
      <c r="A34909" s="1" t="s">
        <v>34908</v>
      </c>
      <c r="B34909" s="2" t="str">
        <f>IFERROR(__xludf.DUMMYFUNCTION("GOOGLETRANSLATE(A34909, ""de"", ""en"")"),"more liquid")</f>
        <v>more liquid</v>
      </c>
    </row>
    <row r="34910">
      <c r="A34910" s="1" t="s">
        <v>34909</v>
      </c>
      <c r="B34910" s="2" t="str">
        <f>IFERROR(__xludf.DUMMYFUNCTION("GOOGLETRANSLATE(A34910, ""de"", ""en"")"),"mountaineering")</f>
        <v>mountaineering</v>
      </c>
    </row>
    <row r="34911">
      <c r="A34911" s="1" t="s">
        <v>34910</v>
      </c>
      <c r="B34911" s="2" t="str">
        <f>IFERROR(__xludf.DUMMYFUNCTION("GOOGLETRANSLATE(A34911, ""de"", ""en"")"),"concerts")</f>
        <v>concerts</v>
      </c>
    </row>
    <row r="34912">
      <c r="A34912" s="1" t="s">
        <v>34911</v>
      </c>
      <c r="B34912" s="2" t="str">
        <f>IFERROR(__xludf.DUMMYFUNCTION("GOOGLETRANSLATE(A34912, ""de"", ""en"")"),"alessandra")</f>
        <v>alessandra</v>
      </c>
    </row>
    <row r="34913">
      <c r="A34913" s="1" t="s">
        <v>34912</v>
      </c>
      <c r="B34913" s="2" t="str">
        <f>IFERROR(__xludf.DUMMYFUNCTION("GOOGLETRANSLATE(A34913, ""de"", ""en"")"),"duckling")</f>
        <v>duckling</v>
      </c>
    </row>
    <row r="34914">
      <c r="A34914" s="1" t="s">
        <v>34913</v>
      </c>
      <c r="B34914" s="2" t="str">
        <f>IFERROR(__xludf.DUMMYFUNCTION("GOOGLETRANSLATE(A34914, ""de"", ""en"")"),"ohlsson")</f>
        <v>ohlsson</v>
      </c>
    </row>
    <row r="34915">
      <c r="A34915" s="1" t="s">
        <v>34914</v>
      </c>
      <c r="B34915" s="2" t="str">
        <f>IFERROR(__xludf.DUMMYFUNCTION("GOOGLETRANSLATE(A34915, ""de"", ""en"")"),"Renaud")</f>
        <v>Renaud</v>
      </c>
    </row>
    <row r="34916">
      <c r="A34916" s="1" t="s">
        <v>34915</v>
      </c>
      <c r="B34916" s="2" t="str">
        <f>IFERROR(__xludf.DUMMYFUNCTION("GOOGLETRANSLATE(A34916, ""de"", ""en"")"),"g.g.")</f>
        <v>g.g.</v>
      </c>
    </row>
    <row r="34917">
      <c r="A34917" s="1" t="s">
        <v>34916</v>
      </c>
      <c r="B34917" s="2" t="str">
        <f>IFERROR(__xludf.DUMMYFUNCTION("GOOGLETRANSLATE(A34917, ""de"", ""en"")"),"symmetry")</f>
        <v>symmetry</v>
      </c>
    </row>
    <row r="34918">
      <c r="A34918" s="1" t="s">
        <v>34917</v>
      </c>
      <c r="B34918" s="2" t="str">
        <f>IFERROR(__xludf.DUMMYFUNCTION("GOOGLETRANSLATE(A34918, ""de"", ""en"")"),"think through")</f>
        <v>think through</v>
      </c>
    </row>
    <row r="34919">
      <c r="A34919" s="1" t="s">
        <v>34918</v>
      </c>
      <c r="B34919" s="2" t="str">
        <f>IFERROR(__xludf.DUMMYFUNCTION("GOOGLETRANSLATE(A34919, ""de"", ""en"")"),"ice cold")</f>
        <v>ice cold</v>
      </c>
    </row>
    <row r="34920">
      <c r="A34920" s="1" t="s">
        <v>34919</v>
      </c>
      <c r="B34920" s="2" t="str">
        <f>IFERROR(__xludf.DUMMYFUNCTION("GOOGLETRANSLATE(A34920, ""de"", ""en"")"),"collision course")</f>
        <v>collision course</v>
      </c>
    </row>
    <row r="34921">
      <c r="A34921" s="1" t="s">
        <v>34920</v>
      </c>
      <c r="B34921" s="2" t="str">
        <f>IFERROR(__xludf.DUMMYFUNCTION("GOOGLETRANSLATE(A34921, ""de"", ""en"")"),"dandelion")</f>
        <v>dandelion</v>
      </c>
    </row>
    <row r="34922">
      <c r="A34922" s="1" t="s">
        <v>34921</v>
      </c>
      <c r="B34922" s="2" t="str">
        <f>IFERROR(__xludf.DUMMYFUNCTION("GOOGLETRANSLATE(A34922, ""de"", ""en"")"),"evening news")</f>
        <v>evening news</v>
      </c>
    </row>
    <row r="34923">
      <c r="A34923" s="1" t="s">
        <v>34922</v>
      </c>
      <c r="B34923" s="2" t="str">
        <f>IFERROR(__xludf.DUMMYFUNCTION("GOOGLETRANSLATE(A34923, ""de"", ""en"")"),"lowest")</f>
        <v>lowest</v>
      </c>
    </row>
    <row r="34924">
      <c r="A34924" s="1" t="s">
        <v>34923</v>
      </c>
      <c r="B34924" s="2" t="str">
        <f>IFERROR(__xludf.DUMMYFUNCTION("GOOGLETRANSLATE(A34924, ""de"", ""en"")"),"inertia")</f>
        <v>inertia</v>
      </c>
    </row>
    <row r="34925">
      <c r="A34925" s="1" t="s">
        <v>34924</v>
      </c>
      <c r="B34925" s="2" t="str">
        <f>IFERROR(__xludf.DUMMYFUNCTION("GOOGLETRANSLATE(A34925, ""de"", ""en"")"),"lark")</f>
        <v>lark</v>
      </c>
    </row>
    <row r="34926">
      <c r="A34926" s="1" t="s">
        <v>34925</v>
      </c>
      <c r="B34926" s="2" t="str">
        <f>IFERROR(__xludf.DUMMYFUNCTION("GOOGLETRANSLATE(A34926, ""de"", ""en"")"),"completely")</f>
        <v>completely</v>
      </c>
    </row>
    <row r="34927">
      <c r="A34927" s="1" t="s">
        <v>34926</v>
      </c>
      <c r="B34927" s="2" t="str">
        <f>IFERROR(__xludf.DUMMYFUNCTION("GOOGLETRANSLATE(A34927, ""de"", ""en"")"),"dung beetle")</f>
        <v>dung beetle</v>
      </c>
    </row>
    <row r="34928">
      <c r="A34928" s="1" t="s">
        <v>34927</v>
      </c>
      <c r="B34928" s="2" t="str">
        <f>IFERROR(__xludf.DUMMYFUNCTION("GOOGLETRANSLATE(A34928, ""de"", ""en"")"),"to fire")</f>
        <v>to fire</v>
      </c>
    </row>
    <row r="34929">
      <c r="A34929" s="1" t="s">
        <v>34928</v>
      </c>
      <c r="B34929" s="2" t="str">
        <f>IFERROR(__xludf.DUMMYFUNCTION("GOOGLETRANSLATE(A34929, ""de"", ""en"")"),"bibles")</f>
        <v>bibles</v>
      </c>
    </row>
    <row r="34930">
      <c r="A34930" s="1" t="s">
        <v>34929</v>
      </c>
      <c r="B34930" s="2" t="str">
        <f>IFERROR(__xludf.DUMMYFUNCTION("GOOGLETRANSLATE(A34930, ""de"", ""en"")"),"world war")</f>
        <v>world war</v>
      </c>
    </row>
    <row r="34931">
      <c r="A34931" s="1" t="s">
        <v>34930</v>
      </c>
      <c r="B34931" s="2" t="str">
        <f>IFERROR(__xludf.DUMMYFUNCTION("GOOGLETRANSLATE(A34931, ""de"", ""en"")"),"iange")</f>
        <v>iange</v>
      </c>
    </row>
    <row r="34932">
      <c r="A34932" s="1" t="s">
        <v>34931</v>
      </c>
      <c r="B34932" s="2" t="str">
        <f>IFERROR(__xludf.DUMMYFUNCTION("GOOGLETRANSLATE(A34932, ""de"", ""en"")"),"OK")</f>
        <v>OK</v>
      </c>
    </row>
    <row r="34933">
      <c r="A34933" s="1" t="s">
        <v>34932</v>
      </c>
      <c r="B34933" s="2" t="str">
        <f>IFERROR(__xludf.DUMMYFUNCTION("GOOGLETRANSLATE(A34933, ""de"", ""en"")"),"wanted")</f>
        <v>wanted</v>
      </c>
    </row>
    <row r="34934">
      <c r="A34934" s="1" t="s">
        <v>34933</v>
      </c>
      <c r="B34934" s="2" t="str">
        <f>IFERROR(__xludf.DUMMYFUNCTION("GOOGLETRANSLATE(A34934, ""de"", ""en"")"),"Spanish")</f>
        <v>Spanish</v>
      </c>
    </row>
    <row r="34935">
      <c r="A34935" s="1" t="s">
        <v>34934</v>
      </c>
      <c r="B34935" s="2" t="str">
        <f>IFERROR(__xludf.DUMMYFUNCTION("GOOGLETRANSLATE(A34935, ""de"", ""en"")"),"loyal")</f>
        <v>loyal</v>
      </c>
    </row>
    <row r="34936">
      <c r="A34936" s="1" t="s">
        <v>34935</v>
      </c>
      <c r="B34936" s="2" t="str">
        <f>IFERROR(__xludf.DUMMYFUNCTION("GOOGLETRANSLATE(A34936, ""de"", ""en"")"),"flattery")</f>
        <v>flattery</v>
      </c>
    </row>
    <row r="34937">
      <c r="A34937" s="1" t="s">
        <v>34936</v>
      </c>
      <c r="B34937" s="2" t="str">
        <f>IFERROR(__xludf.DUMMYFUNCTION("GOOGLETRANSLATE(A34937, ""de"", ""en"")"),"tap")</f>
        <v>tap</v>
      </c>
    </row>
    <row r="34938">
      <c r="A34938" s="1" t="s">
        <v>34937</v>
      </c>
      <c r="B34938" s="2" t="str">
        <f>IFERROR(__xludf.DUMMYFUNCTION("GOOGLETRANSLATE(A34938, ""de"", ""en"")"),"lowen")</f>
        <v>lowen</v>
      </c>
    </row>
    <row r="34939">
      <c r="A34939" s="1" t="s">
        <v>34938</v>
      </c>
      <c r="B34939" s="2" t="str">
        <f>IFERROR(__xludf.DUMMYFUNCTION("GOOGLETRANSLATE(A34939, ""de"", ""en"")"),"flair")</f>
        <v>flair</v>
      </c>
    </row>
    <row r="34940">
      <c r="A34940" s="1" t="s">
        <v>34939</v>
      </c>
      <c r="B34940" s="2" t="str">
        <f>IFERROR(__xludf.DUMMYFUNCTION("GOOGLETRANSLATE(A34940, ""de"", ""en"")"),"ofelia")</f>
        <v>ofelia</v>
      </c>
    </row>
    <row r="34941">
      <c r="A34941" s="1" t="s">
        <v>34940</v>
      </c>
      <c r="B34941" s="2" t="str">
        <f>IFERROR(__xludf.DUMMYFUNCTION("GOOGLETRANSLATE(A34941, ""de"", ""en"")"),"conjures")</f>
        <v>conjures</v>
      </c>
    </row>
    <row r="34942">
      <c r="A34942" s="1" t="s">
        <v>34941</v>
      </c>
      <c r="B34942" s="2" t="str">
        <f>IFERROR(__xludf.DUMMYFUNCTION("GOOGLETRANSLATE(A34942, ""de"", ""en"")"),"disposable cell phone")</f>
        <v>disposable cell phone</v>
      </c>
    </row>
    <row r="34943">
      <c r="A34943" s="1" t="s">
        <v>34942</v>
      </c>
      <c r="B34943" s="2" t="str">
        <f>IFERROR(__xludf.DUMMYFUNCTION("GOOGLETRANSLATE(A34943, ""de"", ""en"")"),"blaster")</f>
        <v>blaster</v>
      </c>
    </row>
    <row r="34944">
      <c r="A34944" s="1" t="s">
        <v>34943</v>
      </c>
      <c r="B34944" s="2" t="str">
        <f>IFERROR(__xludf.DUMMYFUNCTION("GOOGLETRANSLATE(A34944, ""de"", ""en"")"),"incident")</f>
        <v>incident</v>
      </c>
    </row>
    <row r="34945">
      <c r="A34945" s="1" t="s">
        <v>34944</v>
      </c>
      <c r="B34945" s="2" t="str">
        <f>IFERROR(__xludf.DUMMYFUNCTION("GOOGLETRANSLATE(A34945, ""de"", ""en"")"),"kun")</f>
        <v>kun</v>
      </c>
    </row>
    <row r="34946">
      <c r="A34946" s="1" t="s">
        <v>34945</v>
      </c>
      <c r="B34946" s="2" t="str">
        <f>IFERROR(__xludf.DUMMYFUNCTION("GOOGLETRANSLATE(A34946, ""de"", ""en"")"),"drazi")</f>
        <v>drazi</v>
      </c>
    </row>
    <row r="34947">
      <c r="A34947" s="1" t="s">
        <v>34946</v>
      </c>
      <c r="B34947" s="2" t="str">
        <f>IFERROR(__xludf.DUMMYFUNCTION("GOOGLETRANSLATE(A34947, ""de"", ""en"")"),"applied")</f>
        <v>applied</v>
      </c>
    </row>
    <row r="34948">
      <c r="A34948" s="1" t="s">
        <v>34947</v>
      </c>
      <c r="B34948" s="2" t="str">
        <f>IFERROR(__xludf.DUMMYFUNCTION("GOOGLETRANSLATE(A34948, ""de"", ""en"")"),"main course")</f>
        <v>main course</v>
      </c>
    </row>
    <row r="34949">
      <c r="A34949" s="1" t="s">
        <v>34948</v>
      </c>
      <c r="B34949" s="2" t="str">
        <f>IFERROR(__xludf.DUMMYFUNCTION("GOOGLETRANSLATE(A34949, ""de"", ""en"")"),"perfect")</f>
        <v>perfect</v>
      </c>
    </row>
    <row r="34950">
      <c r="A34950" s="1" t="s">
        <v>34949</v>
      </c>
      <c r="B34950" s="2" t="str">
        <f>IFERROR(__xludf.DUMMYFUNCTION("GOOGLETRANSLATE(A34950, ""de"", ""en"")"),"northmen")</f>
        <v>northmen</v>
      </c>
    </row>
    <row r="34951">
      <c r="A34951" s="1" t="s">
        <v>34950</v>
      </c>
      <c r="B34951" s="2" t="str">
        <f>IFERROR(__xludf.DUMMYFUNCTION("GOOGLETRANSLATE(A34951, ""de"", ""en"")"),"head")</f>
        <v>head</v>
      </c>
    </row>
    <row r="34952">
      <c r="A34952" s="1" t="s">
        <v>34951</v>
      </c>
      <c r="B34952" s="2" t="str">
        <f>IFERROR(__xludf.DUMMYFUNCTION("GOOGLETRANSLATE(A34952, ""de"", ""en"")"),"FC")</f>
        <v>FC</v>
      </c>
    </row>
    <row r="34953">
      <c r="A34953" s="1" t="s">
        <v>34952</v>
      </c>
      <c r="B34953" s="2" t="str">
        <f>IFERROR(__xludf.DUMMYFUNCTION("GOOGLETRANSLATE(A34953, ""de"", ""en"")"),"teng")</f>
        <v>teng</v>
      </c>
    </row>
    <row r="34954">
      <c r="A34954" s="1" t="s">
        <v>34953</v>
      </c>
      <c r="B34954" s="2" t="str">
        <f>IFERROR(__xludf.DUMMYFUNCTION("GOOGLETRANSLATE(A34954, ""de"", ""en"")"),"argos")</f>
        <v>argos</v>
      </c>
    </row>
    <row r="34955">
      <c r="A34955" s="1" t="s">
        <v>34954</v>
      </c>
      <c r="B34955" s="2" t="str">
        <f>IFERROR(__xludf.DUMMYFUNCTION("GOOGLETRANSLATE(A34955, ""de"", ""en"")"),"sony")</f>
        <v>sony</v>
      </c>
    </row>
    <row r="34956">
      <c r="A34956" s="1" t="s">
        <v>34955</v>
      </c>
      <c r="B34956" s="2" t="str">
        <f>IFERROR(__xludf.DUMMYFUNCTION("GOOGLETRANSLATE(A34956, ""de"", ""en"")"),"dab")</f>
        <v>dab</v>
      </c>
    </row>
    <row r="34957">
      <c r="A34957" s="1" t="s">
        <v>34956</v>
      </c>
      <c r="B34957" s="2" t="str">
        <f>IFERROR(__xludf.DUMMYFUNCTION("GOOGLETRANSLATE(A34957, ""de"", ""en"")"),"levites")</f>
        <v>levites</v>
      </c>
    </row>
    <row r="34958">
      <c r="A34958" s="1" t="s">
        <v>34957</v>
      </c>
      <c r="B34958" s="2" t="str">
        <f>IFERROR(__xludf.DUMMYFUNCTION("GOOGLETRANSLATE(A34958, ""de"", ""en"")"),"mea")</f>
        <v>mea</v>
      </c>
    </row>
    <row r="34959">
      <c r="A34959" s="1" t="s">
        <v>34958</v>
      </c>
      <c r="B34959" s="2" t="str">
        <f>IFERROR(__xludf.DUMMYFUNCTION("GOOGLETRANSLATE(A34959, ""de"", ""en"")"),"curved")</f>
        <v>curved</v>
      </c>
    </row>
    <row r="34960">
      <c r="A34960" s="1" t="s">
        <v>34959</v>
      </c>
      <c r="B34960" s="2" t="str">
        <f>IFERROR(__xludf.DUMMYFUNCTION("GOOGLETRANSLATE(A34960, ""de"", ""en"")"),"rewards")</f>
        <v>rewards</v>
      </c>
    </row>
    <row r="34961">
      <c r="A34961" s="1" t="s">
        <v>34960</v>
      </c>
      <c r="B34961" s="2" t="str">
        <f>IFERROR(__xludf.DUMMYFUNCTION("GOOGLETRANSLATE(A34961, ""de"", ""en"")"),"kind")</f>
        <v>kind</v>
      </c>
    </row>
    <row r="34962">
      <c r="A34962" s="1" t="s">
        <v>34961</v>
      </c>
      <c r="B34962" s="2" t="str">
        <f>IFERROR(__xludf.DUMMYFUNCTION("GOOGLETRANSLATE(A34962, ""de"", ""en"")"),"social security")</f>
        <v>social security</v>
      </c>
    </row>
    <row r="34963">
      <c r="A34963" s="1" t="s">
        <v>34962</v>
      </c>
      <c r="B34963" s="2" t="str">
        <f>IFERROR(__xludf.DUMMYFUNCTION("GOOGLETRANSLATE(A34963, ""de"", ""en"")"),"foster families")</f>
        <v>foster families</v>
      </c>
    </row>
    <row r="34964">
      <c r="A34964" s="1" t="s">
        <v>34963</v>
      </c>
      <c r="B34964" s="2" t="str">
        <f>IFERROR(__xludf.DUMMYFUNCTION("GOOGLETRANSLATE(A34964, ""de"", ""en"")"),"choral singing")</f>
        <v>choral singing</v>
      </c>
    </row>
    <row r="34965">
      <c r="A34965" s="1" t="s">
        <v>34964</v>
      </c>
      <c r="B34965" s="2" t="str">
        <f>IFERROR(__xludf.DUMMYFUNCTION("GOOGLETRANSLATE(A34965, ""de"", ""en"")"),"Leona")</f>
        <v>Leona</v>
      </c>
    </row>
    <row r="34966">
      <c r="A34966" s="1" t="s">
        <v>34965</v>
      </c>
      <c r="B34966" s="2" t="str">
        <f>IFERROR(__xludf.DUMMYFUNCTION("GOOGLETRANSLATE(A34966, ""de"", ""en"")"),"throw in")</f>
        <v>throw in</v>
      </c>
    </row>
    <row r="34967">
      <c r="A34967" s="1" t="s">
        <v>34966</v>
      </c>
      <c r="B34967" s="2" t="str">
        <f>IFERROR(__xludf.DUMMYFUNCTION("GOOGLETRANSLATE(A34967, ""de"", ""en"")"),"compare")</f>
        <v>compare</v>
      </c>
    </row>
    <row r="34968">
      <c r="A34968" s="1" t="s">
        <v>34967</v>
      </c>
      <c r="B34968" s="2" t="str">
        <f>IFERROR(__xludf.DUMMYFUNCTION("GOOGLETRANSLATE(A34968, ""de"", ""en"")"),"to charge")</f>
        <v>to charge</v>
      </c>
    </row>
    <row r="34969">
      <c r="A34969" s="1" t="s">
        <v>34968</v>
      </c>
      <c r="B34969" s="2" t="str">
        <f>IFERROR(__xludf.DUMMYFUNCTION("GOOGLETRANSLATE(A34969, ""de"", ""en"")"),"toss")</f>
        <v>toss</v>
      </c>
    </row>
    <row r="34970">
      <c r="A34970" s="1" t="s">
        <v>34969</v>
      </c>
      <c r="B34970" s="2" t="str">
        <f>IFERROR(__xludf.DUMMYFUNCTION("GOOGLETRANSLATE(A34970, ""de"", ""en"")"),"Saturday")</f>
        <v>Saturday</v>
      </c>
    </row>
    <row r="34971">
      <c r="A34971" s="1" t="s">
        <v>34970</v>
      </c>
      <c r="B34971" s="2" t="str">
        <f>IFERROR(__xludf.DUMMYFUNCTION("GOOGLETRANSLATE(A34971, ""de"", ""en"")"),"first")</f>
        <v>first</v>
      </c>
    </row>
    <row r="34972">
      <c r="A34972" s="1" t="s">
        <v>34971</v>
      </c>
      <c r="B34972" s="2" t="str">
        <f>IFERROR(__xludf.DUMMYFUNCTION("GOOGLETRANSLATE(A34972, ""de"", ""en"")"),"produce")</f>
        <v>produce</v>
      </c>
    </row>
    <row r="34973">
      <c r="A34973" s="1" t="s">
        <v>34972</v>
      </c>
      <c r="B34973" s="2" t="str">
        <f>IFERROR(__xludf.DUMMYFUNCTION("GOOGLETRANSLATE(A34973, ""de"", ""en"")"),"julienne")</f>
        <v>julienne</v>
      </c>
    </row>
    <row r="34974">
      <c r="A34974" s="1" t="s">
        <v>34973</v>
      </c>
      <c r="B34974" s="2" t="str">
        <f>IFERROR(__xludf.DUMMYFUNCTION("GOOGLETRANSLATE(A34974, ""de"", ""en"")"),"go in")</f>
        <v>go in</v>
      </c>
    </row>
    <row r="34975">
      <c r="A34975" s="1" t="s">
        <v>34974</v>
      </c>
      <c r="B34975" s="2" t="str">
        <f>IFERROR(__xludf.DUMMYFUNCTION("GOOGLETRANSLATE(A34975, ""de"", ""en"")"),"socialist")</f>
        <v>socialist</v>
      </c>
    </row>
    <row r="34976">
      <c r="A34976" s="1" t="s">
        <v>34975</v>
      </c>
      <c r="B34976" s="2" t="str">
        <f>IFERROR(__xludf.DUMMYFUNCTION("GOOGLETRANSLATE(A34976, ""de"", ""en"")"),"marleen")</f>
        <v>marleen</v>
      </c>
    </row>
    <row r="34977">
      <c r="A34977" s="1" t="s">
        <v>34976</v>
      </c>
      <c r="B34977" s="2" t="str">
        <f>IFERROR(__xludf.DUMMYFUNCTION("GOOGLETRANSLATE(A34977, ""de"", ""en"")"),"fiery")</f>
        <v>fiery</v>
      </c>
    </row>
    <row r="34978">
      <c r="A34978" s="1" t="s">
        <v>34977</v>
      </c>
      <c r="B34978" s="2" t="str">
        <f>IFERROR(__xludf.DUMMYFUNCTION("GOOGLETRANSLATE(A34978, ""de"", ""en"")"),"broke in")</f>
        <v>broke in</v>
      </c>
    </row>
    <row r="34979">
      <c r="A34979" s="1" t="s">
        <v>34978</v>
      </c>
      <c r="B34979" s="2" t="str">
        <f>IFERROR(__xludf.DUMMYFUNCTION("GOOGLETRANSLATE(A34979, ""de"", ""en"")"),"colson")</f>
        <v>colson</v>
      </c>
    </row>
    <row r="34980">
      <c r="A34980" s="1" t="s">
        <v>34979</v>
      </c>
      <c r="B34980" s="2" t="str">
        <f>IFERROR(__xludf.DUMMYFUNCTION("GOOGLETRANSLATE(A34980, ""de"", ""en"")"),"restriction")</f>
        <v>restriction</v>
      </c>
    </row>
    <row r="34981">
      <c r="A34981" s="1" t="s">
        <v>34980</v>
      </c>
      <c r="B34981" s="2" t="str">
        <f>IFERROR(__xludf.DUMMYFUNCTION("GOOGLETRANSLATE(A34981, ""de"", ""en"")"),"Walde")</f>
        <v>Walde</v>
      </c>
    </row>
    <row r="34982">
      <c r="A34982" s="1" t="s">
        <v>34981</v>
      </c>
      <c r="B34982" s="2" t="str">
        <f>IFERROR(__xludf.DUMMYFUNCTION("GOOGLETRANSLATE(A34982, ""de"", ""en"")"),"more common")</f>
        <v>more common</v>
      </c>
    </row>
    <row r="34983">
      <c r="A34983" s="1" t="s">
        <v>34982</v>
      </c>
      <c r="B34983" s="2" t="str">
        <f>IFERROR(__xludf.DUMMYFUNCTION("GOOGLETRANSLATE(A34983, ""de"", ""en"")"),"triple")</f>
        <v>triple</v>
      </c>
    </row>
    <row r="34984">
      <c r="A34984" s="1" t="s">
        <v>34983</v>
      </c>
      <c r="B34984" s="2" t="str">
        <f>IFERROR(__xludf.DUMMYFUNCTION("GOOGLETRANSLATE(A34984, ""de"", ""en"")"),"fane")</f>
        <v>fane</v>
      </c>
    </row>
    <row r="34985">
      <c r="A34985" s="1" t="s">
        <v>34984</v>
      </c>
      <c r="B34985" s="2" t="str">
        <f>IFERROR(__xludf.DUMMYFUNCTION("GOOGLETRANSLATE(A34985, ""de"", ""en"")"),"act of revenge")</f>
        <v>act of revenge</v>
      </c>
    </row>
    <row r="34986">
      <c r="A34986" s="1" t="s">
        <v>34985</v>
      </c>
      <c r="B34986" s="2" t="str">
        <f>IFERROR(__xludf.DUMMYFUNCTION("GOOGLETRANSLATE(A34986, ""de"", ""en"")"),"more glorious")</f>
        <v>more glorious</v>
      </c>
    </row>
    <row r="34987">
      <c r="A34987" s="1" t="s">
        <v>34986</v>
      </c>
      <c r="B34987" s="2" t="str">
        <f>IFERROR(__xludf.DUMMYFUNCTION("GOOGLETRANSLATE(A34987, ""de"", ""en"")"),"racist")</f>
        <v>racist</v>
      </c>
    </row>
    <row r="34988">
      <c r="A34988" s="1" t="s">
        <v>34987</v>
      </c>
      <c r="B34988" s="2" t="str">
        <f>IFERROR(__xludf.DUMMYFUNCTION("GOOGLETRANSLATE(A34988, ""de"", ""en"")"),"laudanum")</f>
        <v>laudanum</v>
      </c>
    </row>
    <row r="34989">
      <c r="A34989" s="1" t="s">
        <v>34988</v>
      </c>
      <c r="B34989" s="2" t="str">
        <f>IFERROR(__xludf.DUMMYFUNCTION("GOOGLETRANSLATE(A34989, ""de"", ""en"")"),"strokes")</f>
        <v>strokes</v>
      </c>
    </row>
    <row r="34990">
      <c r="A34990" s="1" t="s">
        <v>34989</v>
      </c>
      <c r="B34990" s="2" t="str">
        <f>IFERROR(__xludf.DUMMYFUNCTION("GOOGLETRANSLATE(A34990, ""de"", ""en"")"),"atonement")</f>
        <v>atonement</v>
      </c>
    </row>
    <row r="34991">
      <c r="A34991" s="1" t="s">
        <v>34990</v>
      </c>
      <c r="B34991" s="2" t="str">
        <f>IFERROR(__xludf.DUMMYFUNCTION("GOOGLETRANSLATE(A34991, ""de"", ""en"")"),"get along")</f>
        <v>get along</v>
      </c>
    </row>
    <row r="34992">
      <c r="A34992" s="1" t="s">
        <v>34991</v>
      </c>
      <c r="B34992" s="2" t="str">
        <f>IFERROR(__xludf.DUMMYFUNCTION("GOOGLETRANSLATE(A34992, ""de"", ""en"")"),"remo")</f>
        <v>remo</v>
      </c>
    </row>
    <row r="34993">
      <c r="A34993" s="1" t="s">
        <v>34992</v>
      </c>
      <c r="B34993" s="2" t="str">
        <f>IFERROR(__xludf.DUMMYFUNCTION("GOOGLETRANSLATE(A34993, ""de"", ""en"")"),"mammals")</f>
        <v>mammals</v>
      </c>
    </row>
    <row r="34994">
      <c r="A34994" s="1" t="s">
        <v>34993</v>
      </c>
      <c r="B34994" s="2" t="str">
        <f>IFERROR(__xludf.DUMMYFUNCTION("GOOGLETRANSLATE(A34994, ""de"", ""en"")"),"milder")</f>
        <v>milder</v>
      </c>
    </row>
    <row r="34995">
      <c r="A34995" s="1" t="s">
        <v>34994</v>
      </c>
      <c r="B34995" s="2" t="str">
        <f>IFERROR(__xludf.DUMMYFUNCTION("GOOGLETRANSLATE(A34995, ""de"", ""en"")"),"coca")</f>
        <v>coca</v>
      </c>
    </row>
    <row r="34996">
      <c r="A34996" s="1" t="s">
        <v>34995</v>
      </c>
      <c r="B34996" s="2" t="str">
        <f>IFERROR(__xludf.DUMMYFUNCTION("GOOGLETRANSLATE(A34996, ""de"", ""en"")"),"heartbreaking")</f>
        <v>heartbreaking</v>
      </c>
    </row>
    <row r="34997">
      <c r="A34997" s="1" t="s">
        <v>34996</v>
      </c>
      <c r="B34997" s="2" t="str">
        <f>IFERROR(__xludf.DUMMYFUNCTION("GOOGLETRANSLATE(A34997, ""de"", ""en"")"),"poncho")</f>
        <v>poncho</v>
      </c>
    </row>
    <row r="34998">
      <c r="A34998" s="1" t="s">
        <v>34997</v>
      </c>
      <c r="B34998" s="2" t="str">
        <f>IFERROR(__xludf.DUMMYFUNCTION("GOOGLETRANSLATE(A34998, ""de"", ""en"")"),"mitchum")</f>
        <v>mitchum</v>
      </c>
    </row>
    <row r="34999">
      <c r="A34999" s="1" t="s">
        <v>34998</v>
      </c>
      <c r="B34999" s="2" t="str">
        <f>IFERROR(__xludf.DUMMYFUNCTION("GOOGLETRANSLATE(A34999, ""de"", ""en"")"),"Latin")</f>
        <v>Latin</v>
      </c>
    </row>
    <row r="35000">
      <c r="A35000" s="1" t="s">
        <v>34999</v>
      </c>
      <c r="B35000" s="2" t="str">
        <f>IFERROR(__xludf.DUMMYFUNCTION("GOOGLETRANSLATE(A35000, ""de"", ""en"")"),"frye")</f>
        <v>frye</v>
      </c>
    </row>
    <row r="35001">
      <c r="A35001" s="1" t="s">
        <v>35000</v>
      </c>
      <c r="B35001" s="2" t="str">
        <f>IFERROR(__xludf.DUMMYFUNCTION("GOOGLETRANSLATE(A35001, ""de"", ""en"")"),"Kaylee")</f>
        <v>Kaylee</v>
      </c>
    </row>
    <row r="35002">
      <c r="A35002" s="1" t="s">
        <v>35001</v>
      </c>
      <c r="B35002" s="2" t="str">
        <f>IFERROR(__xludf.DUMMYFUNCTION("GOOGLETRANSLATE(A35002, ""de"", ""en"")"),"thwarted")</f>
        <v>thwarted</v>
      </c>
    </row>
    <row r="35003">
      <c r="A35003" s="1" t="s">
        <v>35002</v>
      </c>
      <c r="B35003" s="2" t="str">
        <f>IFERROR(__xludf.DUMMYFUNCTION("GOOGLETRANSLATE(A35003, ""de"", ""en"")"),"replied")</f>
        <v>replied</v>
      </c>
    </row>
    <row r="35004">
      <c r="A35004" s="1" t="s">
        <v>35003</v>
      </c>
      <c r="B35004" s="2" t="str">
        <f>IFERROR(__xludf.DUMMYFUNCTION("GOOGLETRANSLATE(A35004, ""de"", ""en"")"),"barres")</f>
        <v>barres</v>
      </c>
    </row>
    <row r="35005">
      <c r="A35005" s="1" t="s">
        <v>35004</v>
      </c>
      <c r="B35005" s="2" t="str">
        <f>IFERROR(__xludf.DUMMYFUNCTION("GOOGLETRANSLATE(A35005, ""de"", ""en"")"),"broom closet")</f>
        <v>broom closet</v>
      </c>
    </row>
    <row r="35006">
      <c r="A35006" s="1" t="s">
        <v>35005</v>
      </c>
      <c r="B35006" s="2" t="str">
        <f>IFERROR(__xludf.DUMMYFUNCTION("GOOGLETRANSLATE(A35006, ""de"", ""en"")"),"lyta")</f>
        <v>lyta</v>
      </c>
    </row>
    <row r="35007">
      <c r="A35007" s="1" t="s">
        <v>35006</v>
      </c>
      <c r="B35007" s="2" t="str">
        <f>IFERROR(__xludf.DUMMYFUNCTION("GOOGLETRANSLATE(A35007, ""de"", ""en"")"),"let it run")</f>
        <v>let it run</v>
      </c>
    </row>
    <row r="35008">
      <c r="A35008" s="1" t="s">
        <v>35007</v>
      </c>
      <c r="B35008" s="2" t="str">
        <f>IFERROR(__xludf.DUMMYFUNCTION("GOOGLETRANSLATE(A35008, ""de"", ""en"")"),"hawk")</f>
        <v>hawk</v>
      </c>
    </row>
    <row r="35009">
      <c r="A35009" s="1" t="s">
        <v>35008</v>
      </c>
      <c r="B35009" s="2" t="str">
        <f>IFERROR(__xludf.DUMMYFUNCTION("GOOGLETRANSLATE(A35009, ""de"", ""en"")"),"aang")</f>
        <v>aang</v>
      </c>
    </row>
    <row r="35010">
      <c r="A35010" s="1" t="s">
        <v>35009</v>
      </c>
      <c r="B35010" s="2" t="str">
        <f>IFERROR(__xludf.DUMMYFUNCTION("GOOGLETRANSLATE(A35010, ""de"", ""en"")"),"sandstorm")</f>
        <v>sandstorm</v>
      </c>
    </row>
    <row r="35011">
      <c r="A35011" s="1" t="s">
        <v>35010</v>
      </c>
      <c r="B35011" s="2" t="str">
        <f>IFERROR(__xludf.DUMMYFUNCTION("GOOGLETRANSLATE(A35011, ""de"", ""en"")"),"pollution")</f>
        <v>pollution</v>
      </c>
    </row>
    <row r="35012">
      <c r="A35012" s="1" t="s">
        <v>35011</v>
      </c>
      <c r="B35012" s="2" t="str">
        <f>IFERROR(__xludf.DUMMYFUNCTION("GOOGLETRANSLATE(A35012, ""de"", ""en"")"),"snotnose")</f>
        <v>snotnose</v>
      </c>
    </row>
    <row r="35013">
      <c r="A35013" s="1" t="s">
        <v>35012</v>
      </c>
      <c r="B35013" s="2" t="str">
        <f>IFERROR(__xludf.DUMMYFUNCTION("GOOGLETRANSLATE(A35013, ""de"", ""en"")"),"statements")</f>
        <v>statements</v>
      </c>
    </row>
    <row r="35014">
      <c r="A35014" s="1" t="s">
        <v>35013</v>
      </c>
      <c r="B35014" s="2" t="str">
        <f>IFERROR(__xludf.DUMMYFUNCTION("GOOGLETRANSLATE(A35014, ""de"", ""en"")"),"peggotty")</f>
        <v>peggotty</v>
      </c>
    </row>
    <row r="35015">
      <c r="A35015" s="1" t="s">
        <v>35014</v>
      </c>
      <c r="B35015" s="2" t="str">
        <f>IFERROR(__xludf.DUMMYFUNCTION("GOOGLETRANSLATE(A35015, ""de"", ""en"")"),"acquired")</f>
        <v>acquired</v>
      </c>
    </row>
    <row r="35016">
      <c r="A35016" s="1" t="s">
        <v>35015</v>
      </c>
      <c r="B35016" s="2" t="str">
        <f>IFERROR(__xludf.DUMMYFUNCTION("GOOGLETRANSLATE(A35016, ""de"", ""en"")"),"Rodgers")</f>
        <v>Rodgers</v>
      </c>
    </row>
    <row r="35017">
      <c r="A35017" s="1" t="s">
        <v>35016</v>
      </c>
      <c r="B35017" s="2" t="str">
        <f>IFERROR(__xludf.DUMMYFUNCTION("GOOGLETRANSLATE(A35017, ""de"", ""en"")"),"Bolsheviks")</f>
        <v>Bolsheviks</v>
      </c>
    </row>
    <row r="35018">
      <c r="A35018" s="1" t="s">
        <v>35017</v>
      </c>
      <c r="B35018" s="2" t="str">
        <f>IFERROR(__xludf.DUMMYFUNCTION("GOOGLETRANSLATE(A35018, ""de"", ""en"")"),"smoak")</f>
        <v>smoak</v>
      </c>
    </row>
    <row r="35019">
      <c r="A35019" s="1" t="s">
        <v>35018</v>
      </c>
      <c r="B35019" s="2" t="str">
        <f>IFERROR(__xludf.DUMMYFUNCTION("GOOGLETRANSLATE(A35019, ""de"", ""en"")"),"alive")</f>
        <v>alive</v>
      </c>
    </row>
    <row r="35020">
      <c r="A35020" s="1" t="s">
        <v>35019</v>
      </c>
      <c r="B35020" s="2" t="str">
        <f>IFERROR(__xludf.DUMMYFUNCTION("GOOGLETRANSLATE(A35020, ""de"", ""en"")"),"dad")</f>
        <v>dad</v>
      </c>
    </row>
    <row r="35021">
      <c r="A35021" s="1" t="s">
        <v>35020</v>
      </c>
      <c r="B35021" s="2" t="str">
        <f>IFERROR(__xludf.DUMMYFUNCTION("GOOGLETRANSLATE(A35021, ""de"", ""en"")"),"more radical")</f>
        <v>more radical</v>
      </c>
    </row>
    <row r="35022">
      <c r="A35022" s="1" t="s">
        <v>35021</v>
      </c>
      <c r="B35022" s="2" t="str">
        <f>IFERROR(__xludf.DUMMYFUNCTION("GOOGLETRANSLATE(A35022, ""de"", ""en"")"),"damar")</f>
        <v>damar</v>
      </c>
    </row>
    <row r="35023">
      <c r="A35023" s="1" t="s">
        <v>35022</v>
      </c>
      <c r="B35023" s="2" t="str">
        <f>IFERROR(__xludf.DUMMYFUNCTION("GOOGLETRANSLATE(A35023, ""de"", ""en"")"),"moral sermon")</f>
        <v>moral sermon</v>
      </c>
    </row>
    <row r="35024">
      <c r="A35024" s="1" t="s">
        <v>35023</v>
      </c>
      <c r="B35024" s="2" t="str">
        <f>IFERROR(__xludf.DUMMYFUNCTION("GOOGLETRANSLATE(A35024, ""de"", ""en"")"),"insatiable")</f>
        <v>insatiable</v>
      </c>
    </row>
    <row r="35025">
      <c r="A35025" s="1" t="s">
        <v>35024</v>
      </c>
      <c r="B35025" s="2" t="str">
        <f>IFERROR(__xludf.DUMMYFUNCTION("GOOGLETRANSLATE(A35025, ""de"", ""en"")"),"huntley")</f>
        <v>huntley</v>
      </c>
    </row>
    <row r="35026">
      <c r="A35026" s="1" t="s">
        <v>35025</v>
      </c>
      <c r="B35026" s="2" t="str">
        <f>IFERROR(__xludf.DUMMYFUNCTION("GOOGLETRANSLATE(A35026, ""de"", ""en"")"),"strychnine")</f>
        <v>strychnine</v>
      </c>
    </row>
    <row r="35027">
      <c r="A35027" s="1" t="s">
        <v>35026</v>
      </c>
      <c r="B35027" s="2" t="str">
        <f>IFERROR(__xludf.DUMMYFUNCTION("GOOGLETRANSLATE(A35027, ""de"", ""en"")"),"song")</f>
        <v>song</v>
      </c>
    </row>
    <row r="35028">
      <c r="A35028" s="1" t="s">
        <v>35027</v>
      </c>
      <c r="B35028" s="2" t="str">
        <f>IFERROR(__xludf.DUMMYFUNCTION("GOOGLETRANSLATE(A35028, ""de"", ""en"")"),"programmed")</f>
        <v>programmed</v>
      </c>
    </row>
    <row r="35029">
      <c r="A35029" s="1" t="s">
        <v>35028</v>
      </c>
      <c r="B35029" s="2" t="str">
        <f>IFERROR(__xludf.DUMMYFUNCTION("GOOGLETRANSLATE(A35029, ""de"", ""en"")"),"lol")</f>
        <v>lol</v>
      </c>
    </row>
    <row r="35030">
      <c r="A35030" s="1" t="s">
        <v>35029</v>
      </c>
      <c r="B35030" s="2" t="str">
        <f>IFERROR(__xludf.DUMMYFUNCTION("GOOGLETRANSLATE(A35030, ""de"", ""en"")"),"unorthodox")</f>
        <v>unorthodox</v>
      </c>
    </row>
    <row r="35031">
      <c r="A35031" s="1" t="s">
        <v>35030</v>
      </c>
      <c r="B35031" s="2" t="str">
        <f>IFERROR(__xludf.DUMMYFUNCTION("GOOGLETRANSLATE(A35031, ""de"", ""en"")"),"geko")</f>
        <v>geko</v>
      </c>
    </row>
    <row r="35032">
      <c r="A35032" s="1" t="s">
        <v>35031</v>
      </c>
      <c r="B35032" s="2" t="str">
        <f>IFERROR(__xludf.DUMMYFUNCTION("GOOGLETRANSLATE(A35032, ""de"", ""en"")"),"ds9")</f>
        <v>ds9</v>
      </c>
    </row>
    <row r="35033">
      <c r="A35033" s="1" t="s">
        <v>35032</v>
      </c>
      <c r="B35033" s="2" t="str">
        <f>IFERROR(__xludf.DUMMYFUNCTION("GOOGLETRANSLATE(A35033, ""de"", ""en"")"),"looked up")</f>
        <v>looked up</v>
      </c>
    </row>
    <row r="35034">
      <c r="A35034" s="1" t="s">
        <v>35033</v>
      </c>
      <c r="B35034" s="2" t="str">
        <f>IFERROR(__xludf.DUMMYFUNCTION("GOOGLETRANSLATE(A35034, ""de"", ""en"")"),"continually")</f>
        <v>continually</v>
      </c>
    </row>
    <row r="35035">
      <c r="A35035" s="1" t="s">
        <v>35034</v>
      </c>
      <c r="B35035" s="2" t="str">
        <f>IFERROR(__xludf.DUMMYFUNCTION("GOOGLETRANSLATE(A35035, ""de"", ""en"")"),"gutted")</f>
        <v>gutted</v>
      </c>
    </row>
    <row r="35036">
      <c r="A35036" s="1" t="s">
        <v>35035</v>
      </c>
      <c r="B35036" s="2" t="str">
        <f>IFERROR(__xludf.DUMMYFUNCTION("GOOGLETRANSLATE(A35036, ""de"", ""en"")"),"huge")</f>
        <v>huge</v>
      </c>
    </row>
    <row r="35037">
      <c r="A35037" s="1" t="s">
        <v>35036</v>
      </c>
      <c r="B35037" s="2" t="str">
        <f>IFERROR(__xludf.DUMMYFUNCTION("GOOGLETRANSLATE(A35037, ""de"", ""en"")"),"Cassio")</f>
        <v>Cassio</v>
      </c>
    </row>
    <row r="35038">
      <c r="A35038" s="1" t="s">
        <v>35037</v>
      </c>
      <c r="B35038" s="2" t="str">
        <f>IFERROR(__xludf.DUMMYFUNCTION("GOOGLETRANSLATE(A35038, ""de"", ""en"")"),"jungle")</f>
        <v>jungle</v>
      </c>
    </row>
    <row r="35039">
      <c r="A35039" s="1" t="s">
        <v>35038</v>
      </c>
      <c r="B35039" s="2" t="str">
        <f>IFERROR(__xludf.DUMMYFUNCTION("GOOGLETRANSLATE(A35039, ""de"", ""en"")"),"crane")</f>
        <v>crane</v>
      </c>
    </row>
    <row r="35040">
      <c r="A35040" s="1" t="s">
        <v>35039</v>
      </c>
      <c r="B35040" s="2" t="str">
        <f>IFERROR(__xludf.DUMMYFUNCTION("GOOGLETRANSLATE(A35040, ""de"", ""en"")"),"coupons")</f>
        <v>coupons</v>
      </c>
    </row>
    <row r="35041">
      <c r="A35041" s="1" t="s">
        <v>35040</v>
      </c>
      <c r="B35041" s="2" t="str">
        <f>IFERROR(__xludf.DUMMYFUNCTION("GOOGLETRANSLATE(A35041, ""de"", ""en"")"),"Hungarian")</f>
        <v>Hungarian</v>
      </c>
    </row>
    <row r="35042">
      <c r="A35042" s="1" t="s">
        <v>35041</v>
      </c>
      <c r="B35042" s="2" t="str">
        <f>IFERROR(__xludf.DUMMYFUNCTION("GOOGLETRANSLATE(A35042, ""de"", ""en"")"),"family matter")</f>
        <v>family matter</v>
      </c>
    </row>
    <row r="35043">
      <c r="A35043" s="1" t="s">
        <v>35042</v>
      </c>
      <c r="B35043" s="2" t="str">
        <f>IFERROR(__xludf.DUMMYFUNCTION("GOOGLETRANSLATE(A35043, ""de"", ""en"")"),"Polish")</f>
        <v>Polish</v>
      </c>
    </row>
    <row r="35044">
      <c r="A35044" s="1" t="s">
        <v>35043</v>
      </c>
      <c r="B35044" s="2" t="str">
        <f>IFERROR(__xludf.DUMMYFUNCTION("GOOGLETRANSLATE(A35044, ""de"", ""en"")"),"beginnings")</f>
        <v>beginnings</v>
      </c>
    </row>
    <row r="35045">
      <c r="A35045" s="1" t="s">
        <v>35044</v>
      </c>
      <c r="B35045" s="2" t="str">
        <f>IFERROR(__xludf.DUMMYFUNCTION("GOOGLETRANSLATE(A35045, ""de"", ""en"")"),"recognized")</f>
        <v>recognized</v>
      </c>
    </row>
    <row r="35046">
      <c r="A35046" s="1" t="s">
        <v>35045</v>
      </c>
      <c r="B35046" s="2" t="str">
        <f>IFERROR(__xludf.DUMMYFUNCTION("GOOGLETRANSLATE(A35046, ""de"", ""en"")"),"trina")</f>
        <v>trina</v>
      </c>
    </row>
    <row r="35047">
      <c r="A35047" s="1" t="s">
        <v>35046</v>
      </c>
      <c r="B35047" s="2" t="str">
        <f>IFERROR(__xludf.DUMMYFUNCTION("GOOGLETRANSLATE(A35047, ""de"", ""en"")"),"awesome")</f>
        <v>awesome</v>
      </c>
    </row>
    <row r="35048">
      <c r="A35048" s="1" t="s">
        <v>35047</v>
      </c>
      <c r="B35048" s="2" t="str">
        <f>IFERROR(__xludf.DUMMYFUNCTION("GOOGLETRANSLATE(A35048, ""de"", ""en"")"),"shoebox")</f>
        <v>shoebox</v>
      </c>
    </row>
    <row r="35049">
      <c r="A35049" s="1" t="s">
        <v>35048</v>
      </c>
      <c r="B35049" s="2" t="str">
        <f>IFERROR(__xludf.DUMMYFUNCTION("GOOGLETRANSLATE(A35049, ""de"", ""en"")"),"missing")</f>
        <v>missing</v>
      </c>
    </row>
    <row r="35050">
      <c r="A35050" s="1" t="s">
        <v>35049</v>
      </c>
      <c r="B35050" s="2" t="str">
        <f>IFERROR(__xludf.DUMMYFUNCTION("GOOGLETRANSLATE(A35050, ""de"", ""en"")"),"corp.")</f>
        <v>corp.</v>
      </c>
    </row>
    <row r="35051">
      <c r="A35051" s="1" t="s">
        <v>35050</v>
      </c>
      <c r="B35051" s="2" t="str">
        <f>IFERROR(__xludf.DUMMYFUNCTION("GOOGLETRANSLATE(A35051, ""de"", ""en"")"),"longer")</f>
        <v>longer</v>
      </c>
    </row>
    <row r="35052">
      <c r="A35052" s="1" t="s">
        <v>35051</v>
      </c>
      <c r="B35052" s="2" t="str">
        <f>IFERROR(__xludf.DUMMYFUNCTION("GOOGLETRANSLATE(A35052, ""de"", ""en"")"),"formaldehyde")</f>
        <v>formaldehyde</v>
      </c>
    </row>
    <row r="35053">
      <c r="A35053" s="1" t="s">
        <v>35052</v>
      </c>
      <c r="B35053" s="2" t="str">
        <f>IFERROR(__xludf.DUMMYFUNCTION("GOOGLETRANSLATE(A35053, ""de"", ""en"")"),"coal steam")</f>
        <v>coal steam</v>
      </c>
    </row>
    <row r="35054">
      <c r="A35054" s="1" t="s">
        <v>35053</v>
      </c>
      <c r="B35054" s="2" t="str">
        <f>IFERROR(__xludf.DUMMYFUNCTION("GOOGLETRANSLATE(A35054, ""de"", ""en"")"),"eunuch")</f>
        <v>eunuch</v>
      </c>
    </row>
    <row r="35055">
      <c r="A35055" s="1" t="s">
        <v>35054</v>
      </c>
      <c r="B35055" s="2" t="str">
        <f>IFERROR(__xludf.DUMMYFUNCTION("GOOGLETRANSLATE(A35055, ""de"", ""en"")"),"started")</f>
        <v>started</v>
      </c>
    </row>
    <row r="35056">
      <c r="A35056" s="1" t="s">
        <v>35055</v>
      </c>
      <c r="B35056" s="2" t="str">
        <f>IFERROR(__xludf.DUMMYFUNCTION("GOOGLETRANSLATE(A35056, ""de"", ""en"")"),"simpler")</f>
        <v>simpler</v>
      </c>
    </row>
    <row r="35057">
      <c r="A35057" s="1" t="s">
        <v>35056</v>
      </c>
      <c r="B35057" s="2" t="str">
        <f>IFERROR(__xludf.DUMMYFUNCTION("GOOGLETRANSLATE(A35057, ""de"", ""en"")"),"plant")</f>
        <v>plant</v>
      </c>
    </row>
    <row r="35058">
      <c r="A35058" s="1" t="s">
        <v>35057</v>
      </c>
      <c r="B35058" s="2" t="str">
        <f>IFERROR(__xludf.DUMMYFUNCTION("GOOGLETRANSLATE(A35058, ""de"", ""en"")"),"unforgettable")</f>
        <v>unforgettable</v>
      </c>
    </row>
    <row r="35059">
      <c r="A35059" s="1" t="s">
        <v>35058</v>
      </c>
      <c r="B35059" s="2" t="str">
        <f>IFERROR(__xludf.DUMMYFUNCTION("GOOGLETRANSLATE(A35059, ""de"", ""en"")"),"fled")</f>
        <v>fled</v>
      </c>
    </row>
    <row r="35060">
      <c r="A35060" s="1" t="s">
        <v>35059</v>
      </c>
      <c r="B35060" s="2" t="str">
        <f>IFERROR(__xludf.DUMMYFUNCTION("GOOGLETRANSLATE(A35060, ""de"", ""en"")"),"seating arrangement")</f>
        <v>seating arrangement</v>
      </c>
    </row>
    <row r="35061">
      <c r="A35061" s="1" t="s">
        <v>35060</v>
      </c>
      <c r="B35061" s="2" t="str">
        <f>IFERROR(__xludf.DUMMYFUNCTION("GOOGLETRANSLATE(A35061, ""de"", ""en"")"),"Thaddeus")</f>
        <v>Thaddeus</v>
      </c>
    </row>
    <row r="35062">
      <c r="A35062" s="1" t="s">
        <v>35061</v>
      </c>
      <c r="B35062" s="2" t="str">
        <f>IFERROR(__xludf.DUMMYFUNCTION("GOOGLETRANSLATE(A35062, ""de"", ""en"")"),"indecent")</f>
        <v>indecent</v>
      </c>
    </row>
    <row r="35063">
      <c r="A35063" s="1" t="s">
        <v>35062</v>
      </c>
      <c r="B35063" s="2" t="str">
        <f>IFERROR(__xludf.DUMMYFUNCTION("GOOGLETRANSLATE(A35063, ""de"", ""en"")"),"secured")</f>
        <v>secured</v>
      </c>
    </row>
    <row r="35064">
      <c r="A35064" s="1" t="s">
        <v>35063</v>
      </c>
      <c r="B35064" s="2" t="str">
        <f>IFERROR(__xludf.DUMMYFUNCTION("GOOGLETRANSLATE(A35064, ""de"", ""en"")"),"distress")</f>
        <v>distress</v>
      </c>
    </row>
    <row r="35065">
      <c r="A35065" s="1" t="s">
        <v>35064</v>
      </c>
      <c r="B35065" s="2" t="str">
        <f>IFERROR(__xludf.DUMMYFUNCTION("GOOGLETRANSLATE(A35065, ""de"", ""en"")"),"Janna")</f>
        <v>Janna</v>
      </c>
    </row>
    <row r="35066">
      <c r="A35066" s="1" t="s">
        <v>35065</v>
      </c>
      <c r="B35066" s="2" t="str">
        <f>IFERROR(__xludf.DUMMYFUNCTION("GOOGLETRANSLATE(A35066, ""de"", ""en"")"),"originals")</f>
        <v>originals</v>
      </c>
    </row>
    <row r="35067">
      <c r="A35067" s="1" t="s">
        <v>35066</v>
      </c>
      <c r="B35067" s="2" t="str">
        <f>IFERROR(__xludf.DUMMYFUNCTION("GOOGLETRANSLATE(A35067, ""de"", ""en"")"),"personnel")</f>
        <v>personnel</v>
      </c>
    </row>
    <row r="35068">
      <c r="A35068" s="1" t="s">
        <v>35067</v>
      </c>
      <c r="B35068" s="2" t="str">
        <f>IFERROR(__xludf.DUMMYFUNCTION("GOOGLETRANSLATE(A35068, ""de"", ""en"")"),"gifted")</f>
        <v>gifted</v>
      </c>
    </row>
    <row r="35069">
      <c r="A35069" s="1" t="s">
        <v>35068</v>
      </c>
      <c r="B35069" s="2" t="str">
        <f>IFERROR(__xludf.DUMMYFUNCTION("GOOGLETRANSLATE(A35069, ""de"", ""en"")"),"victorias")</f>
        <v>victorias</v>
      </c>
    </row>
    <row r="35070">
      <c r="A35070" s="1" t="s">
        <v>35069</v>
      </c>
      <c r="B35070" s="2" t="str">
        <f>IFERROR(__xludf.DUMMYFUNCTION("GOOGLETRANSLATE(A35070, ""de"", ""en"")"),"signaled")</f>
        <v>signaled</v>
      </c>
    </row>
    <row r="35071">
      <c r="A35071" s="1" t="s">
        <v>35070</v>
      </c>
      <c r="B35071" s="2" t="str">
        <f>IFERROR(__xludf.DUMMYFUNCTION("GOOGLETRANSLATE(A35071, ""de"", ""en"")"),"nevermore")</f>
        <v>nevermore</v>
      </c>
    </row>
    <row r="35072">
      <c r="A35072" s="1" t="s">
        <v>35071</v>
      </c>
      <c r="B35072" s="2" t="str">
        <f>IFERROR(__xludf.DUMMYFUNCTION("GOOGLETRANSLATE(A35072, ""de"", ""en"")"),"scratched")</f>
        <v>scratched</v>
      </c>
    </row>
    <row r="35073">
      <c r="A35073" s="1" t="s">
        <v>35072</v>
      </c>
      <c r="B35073" s="2" t="str">
        <f>IFERROR(__xludf.DUMMYFUNCTION("GOOGLETRANSLATE(A35073, ""de"", ""en"")"),"non-stop")</f>
        <v>non-stop</v>
      </c>
    </row>
    <row r="35074">
      <c r="A35074" s="1" t="s">
        <v>35073</v>
      </c>
      <c r="B35074" s="2" t="str">
        <f>IFERROR(__xludf.DUMMYFUNCTION("GOOGLETRANSLATE(A35074, ""de"", ""en"")"),"incoming")</f>
        <v>incoming</v>
      </c>
    </row>
    <row r="35075">
      <c r="A35075" s="1" t="s">
        <v>35074</v>
      </c>
      <c r="B35075" s="2" t="str">
        <f>IFERROR(__xludf.DUMMYFUNCTION("GOOGLETRANSLATE(A35075, ""de"", ""en"")"),"future")</f>
        <v>future</v>
      </c>
    </row>
    <row r="35076">
      <c r="A35076" s="1" t="s">
        <v>35075</v>
      </c>
      <c r="B35076" s="2" t="str">
        <f>IFERROR(__xludf.DUMMYFUNCTION("GOOGLETRANSLATE(A35076, ""de"", ""en"")"),"yup")</f>
        <v>yup</v>
      </c>
    </row>
    <row r="35077">
      <c r="A35077" s="1" t="s">
        <v>35076</v>
      </c>
      <c r="B35077" s="2" t="str">
        <f>IFERROR(__xludf.DUMMYFUNCTION("GOOGLETRANSLATE(A35077, ""de"", ""en"")"),"rocky")</f>
        <v>rocky</v>
      </c>
    </row>
    <row r="35078">
      <c r="A35078" s="1" t="s">
        <v>35077</v>
      </c>
      <c r="B35078" s="2" t="str">
        <f>IFERROR(__xludf.DUMMYFUNCTION("GOOGLETRANSLATE(A35078, ""de"", ""en"")"),"specifications")</f>
        <v>specifications</v>
      </c>
    </row>
    <row r="35079">
      <c r="A35079" s="1" t="s">
        <v>35078</v>
      </c>
      <c r="B35079" s="2" t="str">
        <f>IFERROR(__xludf.DUMMYFUNCTION("GOOGLETRANSLATE(A35079, ""de"", ""en"")"),"insurance company")</f>
        <v>insurance company</v>
      </c>
    </row>
    <row r="35080">
      <c r="A35080" s="1" t="s">
        <v>35079</v>
      </c>
      <c r="B35080" s="2" t="str">
        <f>IFERROR(__xludf.DUMMYFUNCTION("GOOGLETRANSLATE(A35080, ""de"", ""en"")"),"innovation")</f>
        <v>innovation</v>
      </c>
    </row>
    <row r="35081">
      <c r="A35081" s="1" t="s">
        <v>35080</v>
      </c>
      <c r="B35081" s="2" t="str">
        <f>IFERROR(__xludf.DUMMYFUNCTION("GOOGLETRANSLATE(A35081, ""de"", ""en"")"),"sensual")</f>
        <v>sensual</v>
      </c>
    </row>
    <row r="35082">
      <c r="A35082" s="1" t="s">
        <v>35081</v>
      </c>
      <c r="B35082" s="2" t="str">
        <f>IFERROR(__xludf.DUMMYFUNCTION("GOOGLETRANSLATE(A35082, ""de"", ""en"")"),"company")</f>
        <v>company</v>
      </c>
    </row>
    <row r="35083">
      <c r="A35083" s="1" t="s">
        <v>35082</v>
      </c>
      <c r="B35083" s="2" t="str">
        <f>IFERROR(__xludf.DUMMYFUNCTION("GOOGLETRANSLATE(A35083, ""de"", ""en"")"),"catalyst")</f>
        <v>catalyst</v>
      </c>
    </row>
    <row r="35084">
      <c r="A35084" s="1" t="s">
        <v>35083</v>
      </c>
      <c r="B35084" s="2" t="str">
        <f>IFERROR(__xludf.DUMMYFUNCTION("GOOGLETRANSLATE(A35084, ""de"", ""en"")"),"drawbridge")</f>
        <v>drawbridge</v>
      </c>
    </row>
    <row r="35085">
      <c r="A35085" s="1" t="s">
        <v>35084</v>
      </c>
      <c r="B35085" s="2" t="str">
        <f>IFERROR(__xludf.DUMMYFUNCTION("GOOGLETRANSLATE(A35085, ""de"", ""en"")"),"kimmel")</f>
        <v>kimmel</v>
      </c>
    </row>
    <row r="35086">
      <c r="A35086" s="1" t="s">
        <v>35085</v>
      </c>
      <c r="B35086" s="2" t="str">
        <f>IFERROR(__xludf.DUMMYFUNCTION("GOOGLETRANSLATE(A35086, ""de"", ""en"")"),"come home")</f>
        <v>come home</v>
      </c>
    </row>
    <row r="35087">
      <c r="A35087" s="1" t="s">
        <v>35086</v>
      </c>
      <c r="B35087" s="2" t="str">
        <f>IFERROR(__xludf.DUMMYFUNCTION("GOOGLETRANSLATE(A35087, ""de"", ""en"")"),"sing along")</f>
        <v>sing along</v>
      </c>
    </row>
    <row r="35088">
      <c r="A35088" s="1" t="s">
        <v>35087</v>
      </c>
      <c r="B35088" s="2" t="str">
        <f>IFERROR(__xludf.DUMMYFUNCTION("GOOGLETRANSLATE(A35088, ""de"", ""en"")"),"om")</f>
        <v>om</v>
      </c>
    </row>
    <row r="35089">
      <c r="A35089" s="1" t="s">
        <v>35088</v>
      </c>
      <c r="B35089" s="2" t="str">
        <f>IFERROR(__xludf.DUMMYFUNCTION("GOOGLETRANSLATE(A35089, ""de"", ""en"")"),"streams")</f>
        <v>streams</v>
      </c>
    </row>
    <row r="35090">
      <c r="A35090" s="1" t="s">
        <v>35089</v>
      </c>
      <c r="B35090" s="2" t="str">
        <f>IFERROR(__xludf.DUMMYFUNCTION("GOOGLETRANSLATE(A35090, ""de"", ""en"")"),"field")</f>
        <v>field</v>
      </c>
    </row>
    <row r="35091">
      <c r="A35091" s="1" t="s">
        <v>35090</v>
      </c>
      <c r="B35091" s="2" t="str">
        <f>IFERROR(__xludf.DUMMYFUNCTION("GOOGLETRANSLATE(A35091, ""de"", ""en"")"),"khaleesi")</f>
        <v>khaleesi</v>
      </c>
    </row>
    <row r="35092">
      <c r="A35092" s="1" t="s">
        <v>35091</v>
      </c>
      <c r="B35092" s="2" t="str">
        <f>IFERROR(__xludf.DUMMYFUNCTION("GOOGLETRANSLATE(A35092, ""de"", ""en"")"),"polar bear")</f>
        <v>polar bear</v>
      </c>
    </row>
    <row r="35093">
      <c r="A35093" s="1" t="s">
        <v>35092</v>
      </c>
      <c r="B35093" s="2" t="str">
        <f>IFERROR(__xludf.DUMMYFUNCTION("GOOGLETRANSLATE(A35093, ""de"", ""en"")"),"ahem")</f>
        <v>ahem</v>
      </c>
    </row>
    <row r="35094">
      <c r="A35094" s="1" t="s">
        <v>35093</v>
      </c>
      <c r="B35094" s="2" t="str">
        <f>IFERROR(__xludf.DUMMYFUNCTION("GOOGLETRANSLATE(A35094, ""de"", ""en"")"),"jeffersonian")</f>
        <v>jeffersonian</v>
      </c>
    </row>
    <row r="35095">
      <c r="A35095" s="1" t="s">
        <v>35094</v>
      </c>
      <c r="B35095" s="2" t="str">
        <f>IFERROR(__xludf.DUMMYFUNCTION("GOOGLETRANSLATE(A35095, ""de"", ""en"")"),"exclamation mark")</f>
        <v>exclamation mark</v>
      </c>
    </row>
    <row r="35096">
      <c r="A35096" s="1" t="s">
        <v>35095</v>
      </c>
      <c r="B35096" s="2" t="str">
        <f>IFERROR(__xludf.DUMMYFUNCTION("GOOGLETRANSLATE(A35096, ""de"", ""en"")"),"zoes")</f>
        <v>zoes</v>
      </c>
    </row>
    <row r="35097">
      <c r="A35097" s="1" t="s">
        <v>35096</v>
      </c>
      <c r="B35097" s="2" t="str">
        <f>IFERROR(__xludf.DUMMYFUNCTION("GOOGLETRANSLATE(A35097, ""de"", ""en"")"),"to wipe out")</f>
        <v>to wipe out</v>
      </c>
    </row>
    <row r="35098">
      <c r="A35098" s="1" t="s">
        <v>35097</v>
      </c>
      <c r="B35098" s="2" t="str">
        <f>IFERROR(__xludf.DUMMYFUNCTION("GOOGLETRANSLATE(A35098, ""de"", ""en"")"),"buy up")</f>
        <v>buy up</v>
      </c>
    </row>
    <row r="35099">
      <c r="A35099" s="1" t="s">
        <v>35098</v>
      </c>
      <c r="B35099" s="2" t="str">
        <f>IFERROR(__xludf.DUMMYFUNCTION("GOOGLETRANSLATE(A35099, ""de"", ""en"")"),"King's Landing")</f>
        <v>King's Landing</v>
      </c>
    </row>
    <row r="35100">
      <c r="A35100" s="1" t="s">
        <v>35099</v>
      </c>
      <c r="B35100" s="2" t="str">
        <f>IFERROR(__xludf.DUMMYFUNCTION("GOOGLETRANSLATE(A35100, ""de"", ""en"")"),"caught")</f>
        <v>caught</v>
      </c>
    </row>
    <row r="35101">
      <c r="A35101" s="1" t="s">
        <v>35100</v>
      </c>
      <c r="B35101" s="2" t="str">
        <f>IFERROR(__xludf.DUMMYFUNCTION("GOOGLETRANSLATE(A35101, ""de"", ""en"")"),"maiden")</f>
        <v>maiden</v>
      </c>
    </row>
    <row r="35102">
      <c r="A35102" s="1" t="s">
        <v>35101</v>
      </c>
      <c r="B35102" s="2" t="str">
        <f>IFERROR(__xludf.DUMMYFUNCTION("GOOGLETRANSLATE(A35102, ""de"", ""en"")"),"Pontius")</f>
        <v>Pontius</v>
      </c>
    </row>
    <row r="35103">
      <c r="A35103" s="1" t="s">
        <v>35102</v>
      </c>
      <c r="B35103" s="2" t="str">
        <f>IFERROR(__xludf.DUMMYFUNCTION("GOOGLETRANSLATE(A35103, ""de"", ""en"")"),"catapult")</f>
        <v>catapult</v>
      </c>
    </row>
    <row r="35104">
      <c r="A35104" s="1" t="s">
        <v>35103</v>
      </c>
      <c r="B35104" s="2" t="str">
        <f>IFERROR(__xludf.DUMMYFUNCTION("GOOGLETRANSLATE(A35104, ""de"", ""en"")"),"Boulogne")</f>
        <v>Boulogne</v>
      </c>
    </row>
    <row r="35105">
      <c r="A35105" s="1" t="s">
        <v>35104</v>
      </c>
      <c r="B35105" s="2" t="str">
        <f>IFERROR(__xludf.DUMMYFUNCTION("GOOGLETRANSLATE(A35105, ""de"", ""en"")"),"splendid")</f>
        <v>splendid</v>
      </c>
    </row>
    <row r="35106">
      <c r="A35106" s="1" t="s">
        <v>35105</v>
      </c>
      <c r="B35106" s="2" t="str">
        <f>IFERROR(__xludf.DUMMYFUNCTION("GOOGLETRANSLATE(A35106, ""de"", ""en"")"),"educator")</f>
        <v>educator</v>
      </c>
    </row>
    <row r="35107">
      <c r="A35107" s="1" t="s">
        <v>35106</v>
      </c>
      <c r="B35107" s="2" t="str">
        <f>IFERROR(__xludf.DUMMYFUNCTION("GOOGLETRANSLATE(A35107, ""de"", ""en"")"),"admire")</f>
        <v>admire</v>
      </c>
    </row>
    <row r="35108">
      <c r="A35108" s="1" t="s">
        <v>35107</v>
      </c>
      <c r="B35108" s="2" t="str">
        <f>IFERROR(__xludf.DUMMYFUNCTION("GOOGLETRANSLATE(A35108, ""de"", ""en"")"),"church bell")</f>
        <v>church bell</v>
      </c>
    </row>
    <row r="35109">
      <c r="A35109" s="1" t="s">
        <v>35108</v>
      </c>
      <c r="B35109" s="2" t="str">
        <f>IFERROR(__xludf.DUMMYFUNCTION("GOOGLETRANSLATE(A35109, ""de"", ""en"")"),"Mexicans")</f>
        <v>Mexicans</v>
      </c>
    </row>
    <row r="35110">
      <c r="A35110" s="1" t="s">
        <v>35109</v>
      </c>
      <c r="B35110" s="2" t="str">
        <f>IFERROR(__xludf.DUMMYFUNCTION("GOOGLETRANSLATE(A35110, ""de"", ""en"")"),"malice")</f>
        <v>malice</v>
      </c>
    </row>
    <row r="35111">
      <c r="A35111" s="1" t="s">
        <v>35110</v>
      </c>
      <c r="B35111" s="2" t="str">
        <f>IFERROR(__xludf.DUMMYFUNCTION("GOOGLETRANSLATE(A35111, ""de"", ""en"")"),"vibration")</f>
        <v>vibration</v>
      </c>
    </row>
    <row r="35112">
      <c r="A35112" s="1" t="s">
        <v>35111</v>
      </c>
      <c r="B35112" s="2" t="str">
        <f>IFERROR(__xludf.DUMMYFUNCTION("GOOGLETRANSLATE(A35112, ""de"", ""en"")"),"muck")</f>
        <v>muck</v>
      </c>
    </row>
    <row r="35113">
      <c r="A35113" s="1" t="s">
        <v>35112</v>
      </c>
      <c r="B35113" s="2" t="str">
        <f>IFERROR(__xludf.DUMMYFUNCTION("GOOGLETRANSLATE(A35113, ""de"", ""en"")"),"start permit")</f>
        <v>start permit</v>
      </c>
    </row>
    <row r="35114">
      <c r="A35114" s="1" t="s">
        <v>35113</v>
      </c>
      <c r="B35114" s="2" t="str">
        <f>IFERROR(__xludf.DUMMYFUNCTION("GOOGLETRANSLATE(A35114, ""de"", ""en"")"),"chess piece")</f>
        <v>chess piece</v>
      </c>
    </row>
    <row r="35115">
      <c r="A35115" s="1" t="s">
        <v>35114</v>
      </c>
      <c r="B35115" s="2" t="str">
        <f>IFERROR(__xludf.DUMMYFUNCTION("GOOGLETRANSLATE(A35115, ""de"", ""en"")"),"brain dead")</f>
        <v>brain dead</v>
      </c>
    </row>
    <row r="35116">
      <c r="A35116" s="1" t="s">
        <v>35115</v>
      </c>
      <c r="B35116" s="2" t="str">
        <f>IFERROR(__xludf.DUMMYFUNCTION("GOOGLETRANSLATE(A35116, ""de"", ""en"")"),"christel")</f>
        <v>christel</v>
      </c>
    </row>
    <row r="35117">
      <c r="A35117" s="1" t="s">
        <v>35116</v>
      </c>
      <c r="B35117" s="2" t="str">
        <f>IFERROR(__xludf.DUMMYFUNCTION("GOOGLETRANSLATE(A35117, ""de"", ""en"")"),"midori")</f>
        <v>midori</v>
      </c>
    </row>
    <row r="35118">
      <c r="A35118" s="1" t="s">
        <v>35117</v>
      </c>
      <c r="B35118" s="2" t="str">
        <f>IFERROR(__xludf.DUMMYFUNCTION("GOOGLETRANSLATE(A35118, ""de"", ""en"")"),"workforce")</f>
        <v>workforce</v>
      </c>
    </row>
    <row r="35119">
      <c r="A35119" s="1" t="s">
        <v>35118</v>
      </c>
      <c r="B35119" s="2" t="str">
        <f>IFERROR(__xludf.DUMMYFUNCTION("GOOGLETRANSLATE(A35119, ""de"", ""en"")"),"highwayman")</f>
        <v>highwayman</v>
      </c>
    </row>
    <row r="35120">
      <c r="A35120" s="1" t="s">
        <v>35119</v>
      </c>
      <c r="B35120" s="2" t="str">
        <f>IFERROR(__xludf.DUMMYFUNCTION("GOOGLETRANSLATE(A35120, ""de"", ""en"")"),"season finale")</f>
        <v>season finale</v>
      </c>
    </row>
    <row r="35121">
      <c r="A35121" s="1" t="s">
        <v>35120</v>
      </c>
      <c r="B35121" s="2" t="str">
        <f>IFERROR(__xludf.DUMMYFUNCTION("GOOGLETRANSLATE(A35121, ""de"", ""en"")"),"smartest")</f>
        <v>smartest</v>
      </c>
    </row>
    <row r="35122">
      <c r="A35122" s="1" t="s">
        <v>35121</v>
      </c>
      <c r="B35122" s="2" t="str">
        <f>IFERROR(__xludf.DUMMYFUNCTION("GOOGLETRANSLATE(A35122, ""de"", ""en"")"),"mateo")</f>
        <v>mateo</v>
      </c>
    </row>
    <row r="35123">
      <c r="A35123" s="1" t="s">
        <v>35122</v>
      </c>
      <c r="B35123" s="2" t="str">
        <f>IFERROR(__xludf.DUMMYFUNCTION("GOOGLETRANSLATE(A35123, ""de"", ""en"")"),"foolish")</f>
        <v>foolish</v>
      </c>
    </row>
    <row r="35124">
      <c r="A35124" s="1" t="s">
        <v>35123</v>
      </c>
      <c r="B35124" s="2" t="str">
        <f>IFERROR(__xludf.DUMMYFUNCTION("GOOGLETRANSLATE(A35124, ""de"", ""en"")"),"baratheon")</f>
        <v>baratheon</v>
      </c>
    </row>
    <row r="35125">
      <c r="A35125" s="1" t="s">
        <v>35124</v>
      </c>
      <c r="B35125" s="2" t="str">
        <f>IFERROR(__xludf.DUMMYFUNCTION("GOOGLETRANSLATE(A35125, ""de"", ""en"")"),"shall")</f>
        <v>shall</v>
      </c>
    </row>
    <row r="35126">
      <c r="A35126" s="1" t="s">
        <v>35125</v>
      </c>
      <c r="B35126" s="2" t="str">
        <f>IFERROR(__xludf.DUMMYFUNCTION("GOOGLETRANSLATE(A35126, ""de"", ""en"")"),"pissed off")</f>
        <v>pissed off</v>
      </c>
    </row>
    <row r="35127">
      <c r="A35127" s="1" t="s">
        <v>35126</v>
      </c>
      <c r="B35127" s="2" t="str">
        <f>IFERROR(__xludf.DUMMYFUNCTION("GOOGLETRANSLATE(A35127, ""de"", ""en"")"),"wee")</f>
        <v>wee</v>
      </c>
    </row>
    <row r="35128">
      <c r="A35128" s="1" t="s">
        <v>35127</v>
      </c>
      <c r="B35128" s="2" t="str">
        <f>IFERROR(__xludf.DUMMYFUNCTION("GOOGLETRANSLATE(A35128, ""de"", ""en"")"),"rackham")</f>
        <v>rackham</v>
      </c>
    </row>
    <row r="35129">
      <c r="A35129" s="1" t="s">
        <v>35128</v>
      </c>
      <c r="B35129" s="2" t="str">
        <f>IFERROR(__xludf.DUMMYFUNCTION("GOOGLETRANSLATE(A35129, ""de"", ""en"")"),"poured")</f>
        <v>poured</v>
      </c>
    </row>
    <row r="35130">
      <c r="A35130" s="1" t="s">
        <v>35129</v>
      </c>
      <c r="B35130" s="2" t="str">
        <f>IFERROR(__xludf.DUMMYFUNCTION("GOOGLETRANSLATE(A35130, ""de"", ""en"")"),"lower")</f>
        <v>lower</v>
      </c>
    </row>
    <row r="35131">
      <c r="A35131" s="1" t="s">
        <v>35130</v>
      </c>
      <c r="B35131" s="2" t="str">
        <f>IFERROR(__xludf.DUMMYFUNCTION("GOOGLETRANSLATE(A35131, ""de"", ""en"")"),"goes there")</f>
        <v>goes there</v>
      </c>
    </row>
    <row r="35132">
      <c r="A35132" s="1" t="s">
        <v>35131</v>
      </c>
      <c r="B35132" s="2" t="str">
        <f>IFERROR(__xludf.DUMMYFUNCTION("GOOGLETRANSLATE(A35132, ""de"", ""en"")"),"clan")</f>
        <v>clan</v>
      </c>
    </row>
    <row r="35133">
      <c r="A35133" s="1" t="s">
        <v>35132</v>
      </c>
      <c r="B35133" s="2" t="str">
        <f>IFERROR(__xludf.DUMMYFUNCTION("GOOGLETRANSLATE(A35133, ""de"", ""en"")"),"rip off")</f>
        <v>rip off</v>
      </c>
    </row>
    <row r="35134">
      <c r="A35134" s="1" t="s">
        <v>35133</v>
      </c>
      <c r="B35134" s="2" t="str">
        <f>IFERROR(__xludf.DUMMYFUNCTION("GOOGLETRANSLATE(A35134, ""de"", ""en"")"),"ethical")</f>
        <v>ethical</v>
      </c>
    </row>
    <row r="35135">
      <c r="A35135" s="1" t="s">
        <v>35134</v>
      </c>
      <c r="B35135" s="2" t="str">
        <f>IFERROR(__xludf.DUMMYFUNCTION("GOOGLETRANSLATE(A35135, ""de"", ""en"")"),"faster")</f>
        <v>faster</v>
      </c>
    </row>
    <row r="35136">
      <c r="A35136" s="1" t="s">
        <v>35135</v>
      </c>
      <c r="B35136" s="2" t="str">
        <f>IFERROR(__xludf.DUMMYFUNCTION("GOOGLETRANSLATE(A35136, ""de"", ""en"")"),"chloes")</f>
        <v>chloes</v>
      </c>
    </row>
    <row r="35137">
      <c r="A35137" s="1" t="s">
        <v>35136</v>
      </c>
      <c r="B35137" s="2" t="str">
        <f>IFERROR(__xludf.DUMMYFUNCTION("GOOGLETRANSLATE(A35137, ""de"", ""en"")"),"transvestites")</f>
        <v>transvestites</v>
      </c>
    </row>
    <row r="35138">
      <c r="A35138" s="1" t="s">
        <v>35137</v>
      </c>
      <c r="B35138" s="2" t="str">
        <f>IFERROR(__xludf.DUMMYFUNCTION("GOOGLETRANSLATE(A35138, ""de"", ""en"")"),"hackman")</f>
        <v>hackman</v>
      </c>
    </row>
    <row r="35139">
      <c r="A35139" s="1" t="s">
        <v>35138</v>
      </c>
      <c r="B35139" s="2" t="str">
        <f>IFERROR(__xludf.DUMMYFUNCTION("GOOGLETRANSLATE(A35139, ""de"", ""en"")"),"tick-tock")</f>
        <v>tick-tock</v>
      </c>
    </row>
    <row r="35140">
      <c r="A35140" s="1" t="s">
        <v>35139</v>
      </c>
      <c r="B35140" s="2" t="str">
        <f>IFERROR(__xludf.DUMMYFUNCTION("GOOGLETRANSLATE(A35140, ""de"", ""en"")"),"five thousand")</f>
        <v>five thousand</v>
      </c>
    </row>
    <row r="35141">
      <c r="A35141" s="1" t="s">
        <v>35140</v>
      </c>
      <c r="B35141" s="2" t="str">
        <f>IFERROR(__xludf.DUMMYFUNCTION("GOOGLETRANSLATE(A35141, ""de"", ""en"")"),"hosts")</f>
        <v>hosts</v>
      </c>
    </row>
    <row r="35142">
      <c r="A35142" s="1" t="s">
        <v>35141</v>
      </c>
      <c r="B35142" s="2" t="str">
        <f>IFERROR(__xludf.DUMMYFUNCTION("GOOGLETRANSLATE(A35142, ""de"", ""en"")"),"deer")</f>
        <v>deer</v>
      </c>
    </row>
    <row r="35143">
      <c r="A35143" s="1" t="s">
        <v>35142</v>
      </c>
      <c r="B35143" s="2" t="str">
        <f>IFERROR(__xludf.DUMMYFUNCTION("GOOGLETRANSLATE(A35143, ""de"", ""en"")"),"front pages")</f>
        <v>front pages</v>
      </c>
    </row>
    <row r="35144">
      <c r="A35144" s="1" t="s">
        <v>35143</v>
      </c>
      <c r="B35144" s="2" t="str">
        <f>IFERROR(__xludf.DUMMYFUNCTION("GOOGLETRANSLATE(A35144, ""de"", ""en"")"),"leung")</f>
        <v>leung</v>
      </c>
    </row>
    <row r="35145">
      <c r="A35145" s="1" t="s">
        <v>35144</v>
      </c>
      <c r="B35145" s="2" t="str">
        <f>IFERROR(__xludf.DUMMYFUNCTION("GOOGLETRANSLATE(A35145, ""de"", ""en"")"),"animal")</f>
        <v>animal</v>
      </c>
    </row>
    <row r="35146">
      <c r="A35146" s="1" t="s">
        <v>35145</v>
      </c>
      <c r="B35146" s="2" t="str">
        <f>IFERROR(__xludf.DUMMYFUNCTION("GOOGLETRANSLATE(A35146, ""de"", ""en"")"),"ungrateful")</f>
        <v>ungrateful</v>
      </c>
    </row>
    <row r="35147">
      <c r="A35147" s="1" t="s">
        <v>35146</v>
      </c>
      <c r="B35147" s="2" t="str">
        <f>IFERROR(__xludf.DUMMYFUNCTION("GOOGLETRANSLATE(A35147, ""de"", ""en"")"),"status report")</f>
        <v>status report</v>
      </c>
    </row>
    <row r="35148">
      <c r="A35148" s="1" t="s">
        <v>35147</v>
      </c>
      <c r="B35148" s="2" t="str">
        <f>IFERROR(__xludf.DUMMYFUNCTION("GOOGLETRANSLATE(A35148, ""de"", ""en"")"),"bum")</f>
        <v>bum</v>
      </c>
    </row>
    <row r="35149">
      <c r="A35149" s="1" t="s">
        <v>35148</v>
      </c>
      <c r="B35149" s="2" t="str">
        <f>IFERROR(__xludf.DUMMYFUNCTION("GOOGLETRANSLATE(A35149, ""de"", ""en"")"),"button")</f>
        <v>button</v>
      </c>
    </row>
    <row r="35150">
      <c r="A35150" s="1" t="s">
        <v>35149</v>
      </c>
      <c r="B35150" s="2" t="str">
        <f>IFERROR(__xludf.DUMMYFUNCTION("GOOGLETRANSLATE(A35150, ""de"", ""en"")"),"blood transfusion")</f>
        <v>blood transfusion</v>
      </c>
    </row>
    <row r="35151">
      <c r="A35151" s="1" t="s">
        <v>35150</v>
      </c>
      <c r="B35151" s="2" t="str">
        <f>IFERROR(__xludf.DUMMYFUNCTION("GOOGLETRANSLATE(A35151, ""de"", ""en"")"),"observation")</f>
        <v>observation</v>
      </c>
    </row>
    <row r="35152">
      <c r="A35152" s="1" t="s">
        <v>35151</v>
      </c>
      <c r="B35152" s="2" t="str">
        <f>IFERROR(__xludf.DUMMYFUNCTION("GOOGLETRANSLATE(A35152, ""de"", ""en"")"),"to drive away")</f>
        <v>to drive away</v>
      </c>
    </row>
    <row r="35153">
      <c r="A35153" s="1" t="s">
        <v>35152</v>
      </c>
      <c r="B35153" s="2" t="str">
        <f>IFERROR(__xludf.DUMMYFUNCTION("GOOGLETRANSLATE(A35153, ""de"", ""en"")"),"Geiger counter")</f>
        <v>Geiger counter</v>
      </c>
    </row>
    <row r="35154">
      <c r="A35154" s="1" t="s">
        <v>35153</v>
      </c>
      <c r="B35154" s="2" t="str">
        <f>IFERROR(__xludf.DUMMYFUNCTION("GOOGLETRANSLATE(A35154, ""de"", ""en"")"),"tease")</f>
        <v>tease</v>
      </c>
    </row>
    <row r="35155">
      <c r="A35155" s="1" t="s">
        <v>35154</v>
      </c>
      <c r="B35155" s="2" t="str">
        <f>IFERROR(__xludf.DUMMYFUNCTION("GOOGLETRANSLATE(A35155, ""de"", ""en"")"),"tried hard")</f>
        <v>tried hard</v>
      </c>
    </row>
    <row r="35156">
      <c r="A35156" s="1" t="s">
        <v>35155</v>
      </c>
      <c r="B35156" s="2" t="str">
        <f>IFERROR(__xludf.DUMMYFUNCTION("GOOGLETRANSLATE(A35156, ""de"", ""en"")"),"Hofmann")</f>
        <v>Hofmann</v>
      </c>
    </row>
    <row r="35157">
      <c r="A35157" s="1" t="s">
        <v>35156</v>
      </c>
      <c r="B35157" s="2" t="str">
        <f>IFERROR(__xludf.DUMMYFUNCTION("GOOGLETRANSLATE(A35157, ""de"", ""en"")"),"reformatory")</f>
        <v>reformatory</v>
      </c>
    </row>
    <row r="35158">
      <c r="A35158" s="1" t="s">
        <v>35157</v>
      </c>
      <c r="B35158" s="2" t="str">
        <f>IFERROR(__xludf.DUMMYFUNCTION("GOOGLETRANSLATE(A35158, ""de"", ""en"")"),"life support system")</f>
        <v>life support system</v>
      </c>
    </row>
    <row r="35159">
      <c r="A35159" s="1" t="s">
        <v>35158</v>
      </c>
      <c r="B35159" s="2" t="str">
        <f>IFERROR(__xludf.DUMMYFUNCTION("GOOGLETRANSLATE(A35159, ""de"", ""en"")"),"advocate")</f>
        <v>advocate</v>
      </c>
    </row>
    <row r="35160">
      <c r="A35160" s="1" t="s">
        <v>35159</v>
      </c>
      <c r="B35160" s="2" t="str">
        <f>IFERROR(__xludf.DUMMYFUNCTION("GOOGLETRANSLATE(A35160, ""de"", ""en"")"),"at the")</f>
        <v>at the</v>
      </c>
    </row>
    <row r="35161">
      <c r="A35161" s="1" t="s">
        <v>35160</v>
      </c>
      <c r="B35161" s="2" t="str">
        <f>IFERROR(__xludf.DUMMYFUNCTION("GOOGLETRANSLATE(A35161, ""de"", ""en"")"),"filing")</f>
        <v>filing</v>
      </c>
    </row>
    <row r="35162">
      <c r="A35162" s="1" t="s">
        <v>35161</v>
      </c>
      <c r="B35162" s="2" t="str">
        <f>IFERROR(__xludf.DUMMYFUNCTION("GOOGLETRANSLATE(A35162, ""de"", ""en"")"),"narrowed down")</f>
        <v>narrowed down</v>
      </c>
    </row>
    <row r="35163">
      <c r="A35163" s="1" t="s">
        <v>35162</v>
      </c>
      <c r="B35163" s="2" t="str">
        <f>IFERROR(__xludf.DUMMYFUNCTION("GOOGLETRANSLATE(A35163, ""de"", ""en"")"),"includes")</f>
        <v>includes</v>
      </c>
    </row>
    <row r="35164">
      <c r="A35164" s="1" t="s">
        <v>35163</v>
      </c>
      <c r="B35164" s="2" t="str">
        <f>IFERROR(__xludf.DUMMYFUNCTION("GOOGLETRANSLATE(A35164, ""de"", ""en"")"),"homecoming")</f>
        <v>homecoming</v>
      </c>
    </row>
    <row r="35165">
      <c r="A35165" s="1" t="s">
        <v>35164</v>
      </c>
      <c r="B35165" s="2" t="str">
        <f>IFERROR(__xludf.DUMMYFUNCTION("GOOGLETRANSLATE(A35165, ""de"", ""en"")"),"opposing ones")</f>
        <v>opposing ones</v>
      </c>
    </row>
    <row r="35166">
      <c r="A35166" s="1" t="s">
        <v>35165</v>
      </c>
      <c r="B35166" s="2" t="str">
        <f>IFERROR(__xludf.DUMMYFUNCTION("GOOGLETRANSLATE(A35166, ""de"", ""en"")"),"devilish")</f>
        <v>devilish</v>
      </c>
    </row>
    <row r="35167">
      <c r="A35167" s="1" t="s">
        <v>35166</v>
      </c>
      <c r="B35167" s="2" t="str">
        <f>IFERROR(__xludf.DUMMYFUNCTION("GOOGLETRANSLATE(A35167, ""de"", ""en"")"),"machinery")</f>
        <v>machinery</v>
      </c>
    </row>
    <row r="35168">
      <c r="A35168" s="1" t="s">
        <v>35167</v>
      </c>
      <c r="B35168" s="2" t="str">
        <f>IFERROR(__xludf.DUMMYFUNCTION("GOOGLETRANSLATE(A35168, ""de"", ""en"")"),"taxes")</f>
        <v>taxes</v>
      </c>
    </row>
    <row r="35169">
      <c r="A35169" s="1" t="s">
        <v>35168</v>
      </c>
      <c r="B35169" s="2" t="str">
        <f>IFERROR(__xludf.DUMMYFUNCTION("GOOGLETRANSLATE(A35169, ""de"", ""en"")"),"sunbeams")</f>
        <v>sunbeams</v>
      </c>
    </row>
    <row r="35170">
      <c r="A35170" s="1" t="s">
        <v>35169</v>
      </c>
      <c r="B35170" s="2" t="str">
        <f>IFERROR(__xludf.DUMMYFUNCTION("GOOGLETRANSLATE(A35170, ""de"", ""en"")"),"physically")</f>
        <v>physically</v>
      </c>
    </row>
    <row r="35171">
      <c r="A35171" s="1" t="s">
        <v>35170</v>
      </c>
      <c r="B35171" s="2" t="str">
        <f>IFERROR(__xludf.DUMMYFUNCTION("GOOGLETRANSLATE(A35171, ""de"", ""en"")"),"peaceful")</f>
        <v>peaceful</v>
      </c>
    </row>
    <row r="35172">
      <c r="A35172" s="1" t="s">
        <v>35171</v>
      </c>
      <c r="B35172" s="2" t="str">
        <f>IFERROR(__xludf.DUMMYFUNCTION("GOOGLETRANSLATE(A35172, ""de"", ""en"")"),"spend")</f>
        <v>spend</v>
      </c>
    </row>
    <row r="35173">
      <c r="A35173" s="1" t="s">
        <v>35172</v>
      </c>
      <c r="B35173" s="2" t="str">
        <f>IFERROR(__xludf.DUMMYFUNCTION("GOOGLETRANSLATE(A35173, ""de"", ""en"")"),"carstairs")</f>
        <v>carstairs</v>
      </c>
    </row>
    <row r="35174">
      <c r="A35174" s="1" t="s">
        <v>35173</v>
      </c>
      <c r="B35174" s="2" t="str">
        <f>IFERROR(__xludf.DUMMYFUNCTION("GOOGLETRANSLATE(A35174, ""de"", ""en"")"),"alcids")</f>
        <v>alcids</v>
      </c>
    </row>
    <row r="35175">
      <c r="A35175" s="1" t="s">
        <v>35174</v>
      </c>
      <c r="B35175" s="2" t="str">
        <f>IFERROR(__xludf.DUMMYFUNCTION("GOOGLETRANSLATE(A35175, ""de"", ""en"")"),"Trojan")</f>
        <v>Trojan</v>
      </c>
    </row>
    <row r="35176">
      <c r="A35176" s="1" t="s">
        <v>35175</v>
      </c>
      <c r="B35176" s="2" t="str">
        <f>IFERROR(__xludf.DUMMYFUNCTION("GOOGLETRANSLATE(A35176, ""de"", ""en"")"),"petting zoo")</f>
        <v>petting zoo</v>
      </c>
    </row>
    <row r="35177">
      <c r="A35177" s="1" t="s">
        <v>35176</v>
      </c>
      <c r="B35177" s="2" t="str">
        <f>IFERROR(__xludf.DUMMYFUNCTION("GOOGLETRANSLATE(A35177, ""de"", ""en"")"),"extinction")</f>
        <v>extinction</v>
      </c>
    </row>
    <row r="35178">
      <c r="A35178" s="1" t="s">
        <v>35177</v>
      </c>
      <c r="B35178" s="2" t="str">
        <f>IFERROR(__xludf.DUMMYFUNCTION("GOOGLETRANSLATE(A35178, ""de"", ""en"")"),"mouna")</f>
        <v>mouna</v>
      </c>
    </row>
    <row r="35179">
      <c r="A35179" s="1" t="s">
        <v>35178</v>
      </c>
      <c r="B35179" s="2" t="str">
        <f>IFERROR(__xludf.DUMMYFUNCTION("GOOGLETRANSLATE(A35179, ""de"", ""en"")"),"delivery service")</f>
        <v>delivery service</v>
      </c>
    </row>
    <row r="35180">
      <c r="A35180" s="1" t="s">
        <v>35179</v>
      </c>
      <c r="B35180" s="2" t="str">
        <f>IFERROR(__xludf.DUMMYFUNCTION("GOOGLETRANSLATE(A35180, ""de"", ""en"")"),"more precious")</f>
        <v>more precious</v>
      </c>
    </row>
    <row r="35181">
      <c r="A35181" s="1" t="s">
        <v>35180</v>
      </c>
      <c r="B35181" s="2" t="str">
        <f>IFERROR(__xludf.DUMMYFUNCTION("GOOGLETRANSLATE(A35181, ""de"", ""en"")"),"disgust")</f>
        <v>disgust</v>
      </c>
    </row>
    <row r="35182">
      <c r="A35182" s="1" t="s">
        <v>35181</v>
      </c>
      <c r="B35182" s="2" t="str">
        <f>IFERROR(__xludf.DUMMYFUNCTION("GOOGLETRANSLATE(A35182, ""de"", ""en"")"),"lions")</f>
        <v>lions</v>
      </c>
    </row>
    <row r="35183">
      <c r="A35183" s="1" t="s">
        <v>35182</v>
      </c>
      <c r="B35183" s="2" t="str">
        <f>IFERROR(__xludf.DUMMYFUNCTION("GOOGLETRANSLATE(A35183, ""de"", ""en"")"),"dishonor")</f>
        <v>dishonor</v>
      </c>
    </row>
    <row r="35184">
      <c r="A35184" s="1" t="s">
        <v>35183</v>
      </c>
      <c r="B35184" s="2" t="str">
        <f>IFERROR(__xludf.DUMMYFUNCTION("GOOGLETRANSLATE(A35184, ""de"", ""en"")"),"regulate")</f>
        <v>regulate</v>
      </c>
    </row>
    <row r="35185">
      <c r="A35185" s="1" t="s">
        <v>35184</v>
      </c>
      <c r="B35185" s="2" t="str">
        <f>IFERROR(__xludf.DUMMYFUNCTION("GOOGLETRANSLATE(A35185, ""de"", ""en"")"),"secrecy")</f>
        <v>secrecy</v>
      </c>
    </row>
    <row r="35186">
      <c r="A35186" s="1" t="s">
        <v>35185</v>
      </c>
      <c r="B35186" s="2" t="str">
        <f>IFERROR(__xludf.DUMMYFUNCTION("GOOGLETRANSLATE(A35186, ""de"", ""en"")"),"irène")</f>
        <v>irène</v>
      </c>
    </row>
    <row r="35187">
      <c r="A35187" s="1" t="s">
        <v>35186</v>
      </c>
      <c r="B35187" s="2" t="str">
        <f>IFERROR(__xludf.DUMMYFUNCTION("GOOGLETRANSLATE(A35187, ""de"", ""en"")"),"let in")</f>
        <v>let in</v>
      </c>
    </row>
    <row r="35188">
      <c r="A35188" s="1" t="s">
        <v>35187</v>
      </c>
      <c r="B35188" s="2" t="str">
        <f>IFERROR(__xludf.DUMMYFUNCTION("GOOGLETRANSLATE(A35188, ""de"", ""en"")"),"cates")</f>
        <v>cates</v>
      </c>
    </row>
    <row r="35189">
      <c r="A35189" s="1" t="s">
        <v>35188</v>
      </c>
      <c r="B35189" s="2" t="str">
        <f>IFERROR(__xludf.DUMMYFUNCTION("GOOGLETRANSLATE(A35189, ""de"", ""en"")"),"evangelina")</f>
        <v>evangelina</v>
      </c>
    </row>
    <row r="35190">
      <c r="A35190" s="1" t="s">
        <v>35189</v>
      </c>
      <c r="B35190" s="2" t="str">
        <f>IFERROR(__xludf.DUMMYFUNCTION("GOOGLETRANSLATE(A35190, ""de"", ""en"")"),"unintentionally")</f>
        <v>unintentionally</v>
      </c>
    </row>
    <row r="35191">
      <c r="A35191" s="1" t="s">
        <v>35190</v>
      </c>
      <c r="B35191" s="2" t="str">
        <f>IFERROR(__xludf.DUMMYFUNCTION("GOOGLETRANSLATE(A35191, ""de"", ""en"")"),"helix")</f>
        <v>helix</v>
      </c>
    </row>
    <row r="35192">
      <c r="A35192" s="1" t="s">
        <v>35191</v>
      </c>
      <c r="B35192" s="2" t="str">
        <f>IFERROR(__xludf.DUMMYFUNCTION("GOOGLETRANSLATE(A35192, ""de"", ""en"")"),"Honduras")</f>
        <v>Honduras</v>
      </c>
    </row>
    <row r="35193">
      <c r="A35193" s="1" t="s">
        <v>35192</v>
      </c>
      <c r="B35193" s="2" t="str">
        <f>IFERROR(__xludf.DUMMYFUNCTION("GOOGLETRANSLATE(A35193, ""de"", ""en"")"),"mistreatment")</f>
        <v>mistreatment</v>
      </c>
    </row>
    <row r="35194">
      <c r="A35194" s="1" t="s">
        <v>35193</v>
      </c>
      <c r="B35194" s="2" t="str">
        <f>IFERROR(__xludf.DUMMYFUNCTION("GOOGLETRANSLATE(A35194, ""de"", ""en"")"),"alexi")</f>
        <v>alexi</v>
      </c>
    </row>
    <row r="35195">
      <c r="A35195" s="1" t="s">
        <v>35194</v>
      </c>
      <c r="B35195" s="2" t="str">
        <f>IFERROR(__xludf.DUMMYFUNCTION("GOOGLETRANSLATE(A35195, ""de"", ""en"")"),"middle")</f>
        <v>middle</v>
      </c>
    </row>
    <row r="35196">
      <c r="A35196" s="1" t="s">
        <v>35195</v>
      </c>
      <c r="B35196" s="2" t="str">
        <f>IFERROR(__xludf.DUMMYFUNCTION("GOOGLETRANSLATE(A35196, ""de"", ""en"")"),"skins")</f>
        <v>skins</v>
      </c>
    </row>
    <row r="35197">
      <c r="A35197" s="1" t="s">
        <v>35196</v>
      </c>
      <c r="B35197" s="2" t="str">
        <f>IFERROR(__xludf.DUMMYFUNCTION("GOOGLETRANSLATE(A35197, ""de"", ""en"")"),"more devilish")</f>
        <v>more devilish</v>
      </c>
    </row>
    <row r="35198">
      <c r="A35198" s="1" t="s">
        <v>35197</v>
      </c>
      <c r="B35198" s="2" t="str">
        <f>IFERROR(__xludf.DUMMYFUNCTION("GOOGLETRANSLATE(A35198, ""de"", ""en"")"),"apple cider")</f>
        <v>apple cider</v>
      </c>
    </row>
    <row r="35199">
      <c r="A35199" s="1" t="s">
        <v>35198</v>
      </c>
      <c r="B35199" s="2" t="str">
        <f>IFERROR(__xludf.DUMMYFUNCTION("GOOGLETRANSLATE(A35199, ""de"", ""en"")"),"freedom of speech")</f>
        <v>freedom of speech</v>
      </c>
    </row>
    <row r="35200">
      <c r="A35200" s="1" t="s">
        <v>35199</v>
      </c>
      <c r="B35200" s="2" t="str">
        <f>IFERROR(__xludf.DUMMYFUNCTION("GOOGLETRANSLATE(A35200, ""de"", ""en"")"),"give away")</f>
        <v>give away</v>
      </c>
    </row>
    <row r="35201">
      <c r="A35201" s="1" t="s">
        <v>35200</v>
      </c>
      <c r="B35201" s="2" t="str">
        <f>IFERROR(__xludf.DUMMYFUNCTION("GOOGLETRANSLATE(A35201, ""de"", ""en"")"),"blinks")</f>
        <v>blinks</v>
      </c>
    </row>
    <row r="35202">
      <c r="A35202" s="1" t="s">
        <v>35201</v>
      </c>
      <c r="B35202" s="2" t="str">
        <f>IFERROR(__xludf.DUMMYFUNCTION("GOOGLETRANSLATE(A35202, ""de"", ""en"")"),"cut out")</f>
        <v>cut out</v>
      </c>
    </row>
    <row r="35203">
      <c r="A35203" s="1" t="s">
        <v>35202</v>
      </c>
      <c r="B35203" s="2" t="str">
        <f>IFERROR(__xludf.DUMMYFUNCTION("GOOGLETRANSLATE(A35203, ""de"", ""en"")"),"foxtrot")</f>
        <v>foxtrot</v>
      </c>
    </row>
    <row r="35204">
      <c r="A35204" s="1" t="s">
        <v>35203</v>
      </c>
      <c r="B35204" s="2" t="str">
        <f>IFERROR(__xludf.DUMMYFUNCTION("GOOGLETRANSLATE(A35204, ""de"", ""en"")"),"accumulated")</f>
        <v>accumulated</v>
      </c>
    </row>
    <row r="35205">
      <c r="A35205" s="1" t="s">
        <v>35204</v>
      </c>
      <c r="B35205" s="2" t="str">
        <f>IFERROR(__xludf.DUMMYFUNCTION("GOOGLETRANSLATE(A35205, ""de"", ""en"")"),"wart")</f>
        <v>wart</v>
      </c>
    </row>
    <row r="35206">
      <c r="A35206" s="1" t="s">
        <v>35205</v>
      </c>
      <c r="B35206" s="2" t="str">
        <f>IFERROR(__xludf.DUMMYFUNCTION("GOOGLETRANSLATE(A35206, ""de"", ""en"")"),"lesley")</f>
        <v>lesley</v>
      </c>
    </row>
    <row r="35207">
      <c r="A35207" s="1" t="s">
        <v>35206</v>
      </c>
      <c r="B35207" s="2" t="str">
        <f>IFERROR(__xludf.DUMMYFUNCTION("GOOGLETRANSLATE(A35207, ""de"", ""en"")"),"abused")</f>
        <v>abused</v>
      </c>
    </row>
    <row r="35208">
      <c r="A35208" s="1" t="s">
        <v>35207</v>
      </c>
      <c r="B35208" s="2" t="str">
        <f>IFERROR(__xludf.DUMMYFUNCTION("GOOGLETRANSLATE(A35208, ""de"", ""en"")"),"Maggie's")</f>
        <v>Maggie's</v>
      </c>
    </row>
    <row r="35209">
      <c r="A35209" s="1" t="s">
        <v>35208</v>
      </c>
      <c r="B35209" s="2" t="str">
        <f>IFERROR(__xludf.DUMMYFUNCTION("GOOGLETRANSLATE(A35209, ""de"", ""en"")"),"cramming")</f>
        <v>cramming</v>
      </c>
    </row>
    <row r="35210">
      <c r="A35210" s="1" t="s">
        <v>35209</v>
      </c>
      <c r="B35210" s="2" t="str">
        <f>IFERROR(__xludf.DUMMYFUNCTION("GOOGLETRANSLATE(A35210, ""de"", ""en"")"),"huh")</f>
        <v>huh</v>
      </c>
    </row>
    <row r="35211">
      <c r="A35211" s="1" t="s">
        <v>35210</v>
      </c>
      <c r="B35211" s="2" t="str">
        <f>IFERROR(__xludf.DUMMYFUNCTION("GOOGLETRANSLATE(A35211, ""de"", ""en"")"),"scraped off")</f>
        <v>scraped off</v>
      </c>
    </row>
    <row r="35212">
      <c r="A35212" s="1" t="s">
        <v>35211</v>
      </c>
      <c r="B35212" s="2" t="str">
        <f>IFERROR(__xludf.DUMMYFUNCTION("GOOGLETRANSLATE(A35212, ""de"", ""en"")"),"shortest")</f>
        <v>shortest</v>
      </c>
    </row>
    <row r="35213">
      <c r="A35213" s="1" t="s">
        <v>35212</v>
      </c>
      <c r="B35213" s="2" t="str">
        <f>IFERROR(__xludf.DUMMYFUNCTION("GOOGLETRANSLATE(A35213, ""de"", ""en"")"),"pusher")</f>
        <v>pusher</v>
      </c>
    </row>
    <row r="35214">
      <c r="A35214" s="1" t="s">
        <v>35213</v>
      </c>
      <c r="B35214" s="2" t="str">
        <f>IFERROR(__xludf.DUMMYFUNCTION("GOOGLETRANSLATE(A35214, ""de"", ""en"")"),"Monday evening")</f>
        <v>Monday evening</v>
      </c>
    </row>
    <row r="35215">
      <c r="A35215" s="1" t="s">
        <v>35214</v>
      </c>
      <c r="B35215" s="2" t="str">
        <f>IFERROR(__xludf.DUMMYFUNCTION("GOOGLETRANSLATE(A35215, ""de"", ""en"")"),"teddy bears")</f>
        <v>teddy bears</v>
      </c>
    </row>
    <row r="35216">
      <c r="A35216" s="1" t="s">
        <v>35215</v>
      </c>
      <c r="B35216" s="2" t="str">
        <f>IFERROR(__xludf.DUMMYFUNCTION("GOOGLETRANSLATE(A35216, ""de"", ""en"")"),"beamed")</f>
        <v>beamed</v>
      </c>
    </row>
    <row r="35217">
      <c r="A35217" s="1" t="s">
        <v>35216</v>
      </c>
      <c r="B35217" s="2" t="str">
        <f>IFERROR(__xludf.DUMMYFUNCTION("GOOGLETRANSLATE(A35217, ""de"", ""en"")"),"sixth")</f>
        <v>sixth</v>
      </c>
    </row>
    <row r="35218">
      <c r="A35218" s="1" t="s">
        <v>35217</v>
      </c>
      <c r="B35218" s="2" t="str">
        <f>IFERROR(__xludf.DUMMYFUNCTION("GOOGLETRANSLATE(A35218, ""de"", ""en"")"),"arrived")</f>
        <v>arrived</v>
      </c>
    </row>
    <row r="35219">
      <c r="A35219" s="1" t="s">
        <v>35218</v>
      </c>
      <c r="B35219" s="2" t="str">
        <f>IFERROR(__xludf.DUMMYFUNCTION("GOOGLETRANSLATE(A35219, ""de"", ""en"")"),"accuracy")</f>
        <v>accuracy</v>
      </c>
    </row>
    <row r="35220">
      <c r="A35220" s="1" t="s">
        <v>35219</v>
      </c>
      <c r="B35220" s="2" t="str">
        <f>IFERROR(__xludf.DUMMYFUNCTION("GOOGLETRANSLATE(A35220, ""de"", ""en"")"),"soaking wet")</f>
        <v>soaking wet</v>
      </c>
    </row>
    <row r="35221">
      <c r="A35221" s="1" t="s">
        <v>35220</v>
      </c>
      <c r="B35221" s="2" t="str">
        <f>IFERROR(__xludf.DUMMYFUNCTION("GOOGLETRANSLATE(A35221, ""de"", ""en"")"),"ody")</f>
        <v>ody</v>
      </c>
    </row>
    <row r="35222">
      <c r="A35222" s="1" t="s">
        <v>35221</v>
      </c>
      <c r="B35222" s="2" t="str">
        <f>IFERROR(__xludf.DUMMYFUNCTION("GOOGLETRANSLATE(A35222, ""de"", ""en"")"),"acosta")</f>
        <v>acosta</v>
      </c>
    </row>
    <row r="35223">
      <c r="A35223" s="1" t="s">
        <v>35222</v>
      </c>
      <c r="B35223" s="2" t="str">
        <f>IFERROR(__xludf.DUMMYFUNCTION("GOOGLETRANSLATE(A35223, ""de"", ""en"")"),"undead")</f>
        <v>undead</v>
      </c>
    </row>
    <row r="35224">
      <c r="A35224" s="1" t="s">
        <v>35223</v>
      </c>
      <c r="B35224" s="2" t="str">
        <f>IFERROR(__xludf.DUMMYFUNCTION("GOOGLETRANSLATE(A35224, ""de"", ""en"")"),"pantry")</f>
        <v>pantry</v>
      </c>
    </row>
    <row r="35225">
      <c r="A35225" s="1" t="s">
        <v>35224</v>
      </c>
      <c r="B35225" s="2" t="str">
        <f>IFERROR(__xludf.DUMMYFUNCTION("GOOGLETRANSLATE(A35225, ""de"", ""en"")"),"reproduction")</f>
        <v>reproduction</v>
      </c>
    </row>
    <row r="35226">
      <c r="A35226" s="1" t="s">
        <v>35225</v>
      </c>
      <c r="B35226" s="2" t="str">
        <f>IFERROR(__xludf.DUMMYFUNCTION("GOOGLETRANSLATE(A35226, ""de"", ""en"")"),"grants")</f>
        <v>grants</v>
      </c>
    </row>
    <row r="35227">
      <c r="A35227" s="1" t="s">
        <v>35226</v>
      </c>
      <c r="B35227" s="2" t="str">
        <f>IFERROR(__xludf.DUMMYFUNCTION("GOOGLETRANSLATE(A35227, ""de"", ""en"")"),"prefers")</f>
        <v>prefers</v>
      </c>
    </row>
    <row r="35228">
      <c r="A35228" s="1" t="s">
        <v>35227</v>
      </c>
      <c r="B35228" s="2" t="str">
        <f>IFERROR(__xludf.DUMMYFUNCTION("GOOGLETRANSLATE(A35228, ""de"", ""en"")"),"photographed")</f>
        <v>photographed</v>
      </c>
    </row>
    <row r="35229">
      <c r="A35229" s="1" t="s">
        <v>35228</v>
      </c>
      <c r="B35229" s="2" t="str">
        <f>IFERROR(__xludf.DUMMYFUNCTION("GOOGLETRANSLATE(A35229, ""de"", ""en"")"),"hydraulics")</f>
        <v>hydraulics</v>
      </c>
    </row>
    <row r="35230">
      <c r="A35230" s="1" t="s">
        <v>35229</v>
      </c>
      <c r="B35230" s="2" t="str">
        <f>IFERROR(__xludf.DUMMYFUNCTION("GOOGLETRANSLATE(A35230, ""de"", ""en"")"),"tatum")</f>
        <v>tatum</v>
      </c>
    </row>
    <row r="35231">
      <c r="A35231" s="1" t="s">
        <v>35230</v>
      </c>
      <c r="B35231" s="2" t="str">
        <f>IFERROR(__xludf.DUMMYFUNCTION("GOOGLETRANSLATE(A35231, ""de"", ""en"")"),"hickey")</f>
        <v>hickey</v>
      </c>
    </row>
    <row r="35232">
      <c r="A35232" s="1" t="s">
        <v>35231</v>
      </c>
      <c r="B35232" s="2" t="str">
        <f>IFERROR(__xludf.DUMMYFUNCTION("GOOGLETRANSLATE(A35232, ""de"", ""en"")"),"family matters")</f>
        <v>family matters</v>
      </c>
    </row>
    <row r="35233">
      <c r="A35233" s="1" t="s">
        <v>35232</v>
      </c>
      <c r="B35233" s="2" t="str">
        <f>IFERROR(__xludf.DUMMYFUNCTION("GOOGLETRANSLATE(A35233, ""de"", ""en"")"),"slimy")</f>
        <v>slimy</v>
      </c>
    </row>
    <row r="35234">
      <c r="A35234" s="1" t="s">
        <v>35233</v>
      </c>
      <c r="B35234" s="2" t="str">
        <f>IFERROR(__xludf.DUMMYFUNCTION("GOOGLETRANSLATE(A35234, ""de"", ""en"")"),"pick up")</f>
        <v>pick up</v>
      </c>
    </row>
    <row r="35235">
      <c r="A35235" s="1" t="s">
        <v>35234</v>
      </c>
      <c r="B35235" s="2" t="str">
        <f>IFERROR(__xludf.DUMMYFUNCTION("GOOGLETRANSLATE(A35235, ""de"", ""en"")"),"cooperate")</f>
        <v>cooperate</v>
      </c>
    </row>
    <row r="35236">
      <c r="A35236" s="1" t="s">
        <v>35235</v>
      </c>
      <c r="B35236" s="2" t="str">
        <f>IFERROR(__xludf.DUMMYFUNCTION("GOOGLETRANSLATE(A35236, ""de"", ""en"")"),"greedy ones")</f>
        <v>greedy ones</v>
      </c>
    </row>
    <row r="35237">
      <c r="A35237" s="1" t="s">
        <v>35236</v>
      </c>
      <c r="B35237" s="2" t="str">
        <f>IFERROR(__xludf.DUMMYFUNCTION("GOOGLETRANSLATE(A35237, ""de"", ""en"")"),"tummy")</f>
        <v>tummy</v>
      </c>
    </row>
    <row r="35238">
      <c r="A35238" s="1" t="s">
        <v>35237</v>
      </c>
      <c r="B35238" s="2" t="str">
        <f>IFERROR(__xludf.DUMMYFUNCTION("GOOGLETRANSLATE(A35238, ""de"", ""en"")"),"nates")</f>
        <v>nates</v>
      </c>
    </row>
    <row r="35239">
      <c r="A35239" s="1" t="s">
        <v>35238</v>
      </c>
      <c r="B35239" s="2" t="str">
        <f>IFERROR(__xludf.DUMMYFUNCTION("GOOGLETRANSLATE(A35239, ""de"", ""en"")"),"move away")</f>
        <v>move away</v>
      </c>
    </row>
    <row r="35240">
      <c r="A35240" s="1" t="s">
        <v>35239</v>
      </c>
      <c r="B35240" s="2" t="str">
        <f>IFERROR(__xludf.DUMMYFUNCTION("GOOGLETRANSLATE(A35240, ""de"", ""en"")"),"ruled")</f>
        <v>ruled</v>
      </c>
    </row>
    <row r="35241">
      <c r="A35241" s="1" t="s">
        <v>35240</v>
      </c>
      <c r="B35241" s="2" t="str">
        <f>IFERROR(__xludf.DUMMYFUNCTION("GOOGLETRANSLATE(A35241, ""de"", ""en"")"),"hernando")</f>
        <v>hernando</v>
      </c>
    </row>
    <row r="35242">
      <c r="A35242" s="1" t="s">
        <v>35241</v>
      </c>
      <c r="B35242" s="2" t="str">
        <f>IFERROR(__xludf.DUMMYFUNCTION("GOOGLETRANSLATE(A35242, ""de"", ""en"")"),"leader")</f>
        <v>leader</v>
      </c>
    </row>
    <row r="35243">
      <c r="A35243" s="1" t="s">
        <v>35242</v>
      </c>
      <c r="B35243" s="2" t="str">
        <f>IFERROR(__xludf.DUMMYFUNCTION("GOOGLETRANSLATE(A35243, ""de"", ""en"")"),"sociology")</f>
        <v>sociology</v>
      </c>
    </row>
    <row r="35244">
      <c r="A35244" s="1" t="s">
        <v>35243</v>
      </c>
      <c r="B35244" s="2" t="str">
        <f>IFERROR(__xludf.DUMMYFUNCTION("GOOGLETRANSLATE(A35244, ""de"", ""en"")"),"leach")</f>
        <v>leach</v>
      </c>
    </row>
    <row r="35245">
      <c r="A35245" s="1" t="s">
        <v>35244</v>
      </c>
      <c r="B35245" s="2" t="str">
        <f>IFERROR(__xludf.DUMMYFUNCTION("GOOGLETRANSLATE(A35245, ""de"", ""en"")"),"collection point")</f>
        <v>collection point</v>
      </c>
    </row>
    <row r="35246">
      <c r="A35246" s="1" t="s">
        <v>35245</v>
      </c>
      <c r="B35246" s="2" t="str">
        <f>IFERROR(__xludf.DUMMYFUNCTION("GOOGLETRANSLATE(A35246, ""de"", ""en"")"),"leaflet")</f>
        <v>leaflet</v>
      </c>
    </row>
    <row r="35247">
      <c r="A35247" s="1" t="s">
        <v>35246</v>
      </c>
      <c r="B35247" s="2" t="str">
        <f>IFERROR(__xludf.DUMMYFUNCTION("GOOGLETRANSLATE(A35247, ""de"", ""en"")"),"vanity")</f>
        <v>vanity</v>
      </c>
    </row>
    <row r="35248">
      <c r="A35248" s="1" t="s">
        <v>35247</v>
      </c>
      <c r="B35248" s="2" t="str">
        <f>IFERROR(__xludf.DUMMYFUNCTION("GOOGLETRANSLATE(A35248, ""de"", ""en"")"),"tic")</f>
        <v>tic</v>
      </c>
    </row>
    <row r="35249">
      <c r="A35249" s="1" t="s">
        <v>35248</v>
      </c>
      <c r="B35249" s="2" t="str">
        <f>IFERROR(__xludf.DUMMYFUNCTION("GOOGLETRANSLATE(A35249, ""de"", ""en"")"),"cookie jar")</f>
        <v>cookie jar</v>
      </c>
    </row>
    <row r="35250">
      <c r="A35250" s="1" t="s">
        <v>35249</v>
      </c>
      <c r="B35250" s="2" t="str">
        <f>IFERROR(__xludf.DUMMYFUNCTION("GOOGLETRANSLATE(A35250, ""de"", ""en"")"),"everyday")</f>
        <v>everyday</v>
      </c>
    </row>
    <row r="35251">
      <c r="A35251" s="1" t="s">
        <v>35250</v>
      </c>
      <c r="B35251" s="2" t="str">
        <f>IFERROR(__xludf.DUMMYFUNCTION("GOOGLETRANSLATE(A35251, ""de"", ""en"")"),"molecule")</f>
        <v>molecule</v>
      </c>
    </row>
    <row r="35252">
      <c r="A35252" s="1" t="s">
        <v>35251</v>
      </c>
      <c r="B35252" s="2" t="str">
        <f>IFERROR(__xludf.DUMMYFUNCTION("GOOGLETRANSLATE(A35252, ""de"", ""en"")"),"democrat")</f>
        <v>democrat</v>
      </c>
    </row>
    <row r="35253">
      <c r="A35253" s="1" t="s">
        <v>35252</v>
      </c>
      <c r="B35253" s="2" t="str">
        <f>IFERROR(__xludf.DUMMYFUNCTION("GOOGLETRANSLATE(A35253, ""de"", ""en"")"),"dimensions")</f>
        <v>dimensions</v>
      </c>
    </row>
    <row r="35254">
      <c r="A35254" s="1" t="s">
        <v>35253</v>
      </c>
      <c r="B35254" s="2" t="str">
        <f>IFERROR(__xludf.DUMMYFUNCTION("GOOGLETRANSLATE(A35254, ""de"", ""en"")"),"mole")</f>
        <v>mole</v>
      </c>
    </row>
    <row r="35255">
      <c r="A35255" s="1" t="s">
        <v>35254</v>
      </c>
      <c r="B35255" s="2" t="str">
        <f>IFERROR(__xludf.DUMMYFUNCTION("GOOGLETRANSLATE(A35255, ""de"", ""en"")"),"Burgundy")</f>
        <v>Burgundy</v>
      </c>
    </row>
    <row r="35256">
      <c r="A35256" s="1" t="s">
        <v>35255</v>
      </c>
      <c r="B35256" s="2" t="str">
        <f>IFERROR(__xludf.DUMMYFUNCTION("GOOGLETRANSLATE(A35256, ""de"", ""en"")"),"tintin")</f>
        <v>tintin</v>
      </c>
    </row>
    <row r="35257">
      <c r="A35257" s="1" t="s">
        <v>35256</v>
      </c>
      <c r="B35257" s="2" t="str">
        <f>IFERROR(__xludf.DUMMYFUNCTION("GOOGLETRANSLATE(A35257, ""de"", ""en"")"),"skull trauma")</f>
        <v>skull trauma</v>
      </c>
    </row>
    <row r="35258">
      <c r="A35258" s="1" t="s">
        <v>35257</v>
      </c>
      <c r="B35258" s="2" t="str">
        <f>IFERROR(__xludf.DUMMYFUNCTION("GOOGLETRANSLATE(A35258, ""de"", ""en"")"),"kinky")</f>
        <v>kinky</v>
      </c>
    </row>
    <row r="35259">
      <c r="A35259" s="1" t="s">
        <v>35258</v>
      </c>
      <c r="B35259" s="2" t="str">
        <f>IFERROR(__xludf.DUMMYFUNCTION("GOOGLETRANSLATE(A35259, ""de"", ""en"")"),"considerable")</f>
        <v>considerable</v>
      </c>
    </row>
    <row r="35260">
      <c r="A35260" s="1" t="s">
        <v>35259</v>
      </c>
      <c r="B35260" s="2" t="str">
        <f>IFERROR(__xludf.DUMMYFUNCTION("GOOGLETRANSLATE(A35260, ""de"", ""en"")"),"reza")</f>
        <v>reza</v>
      </c>
    </row>
    <row r="35261">
      <c r="A35261" s="1" t="s">
        <v>35260</v>
      </c>
      <c r="B35261" s="2" t="str">
        <f>IFERROR(__xludf.DUMMYFUNCTION("GOOGLETRANSLATE(A35261, ""de"", ""en"")"),"caution")</f>
        <v>caution</v>
      </c>
    </row>
    <row r="35262">
      <c r="A35262" s="1" t="s">
        <v>35261</v>
      </c>
      <c r="B35262" s="2" t="str">
        <f>IFERROR(__xludf.DUMMYFUNCTION("GOOGLETRANSLATE(A35262, ""de"", ""en"")"),"h.g.")</f>
        <v>h.g.</v>
      </c>
    </row>
    <row r="35263">
      <c r="A35263" s="1" t="s">
        <v>35262</v>
      </c>
      <c r="B35263" s="2" t="str">
        <f>IFERROR(__xludf.DUMMYFUNCTION("GOOGLETRANSLATE(A35263, ""de"", ""en"")"),"vespa")</f>
        <v>vespa</v>
      </c>
    </row>
    <row r="35264">
      <c r="A35264" s="1" t="s">
        <v>35263</v>
      </c>
      <c r="B35264" s="2" t="str">
        <f>IFERROR(__xludf.DUMMYFUNCTION("GOOGLETRANSLATE(A35264, ""de"", ""en"")"),"funny")</f>
        <v>funny</v>
      </c>
    </row>
    <row r="35265">
      <c r="A35265" s="1" t="s">
        <v>35264</v>
      </c>
      <c r="B35265" s="2" t="str">
        <f>IFERROR(__xludf.DUMMYFUNCTION("GOOGLETRANSLATE(A35265, ""de"", ""en"")"),"issued")</f>
        <v>issued</v>
      </c>
    </row>
    <row r="35266">
      <c r="A35266" s="1" t="s">
        <v>35265</v>
      </c>
      <c r="B35266" s="2" t="str">
        <f>IFERROR(__xludf.DUMMYFUNCTION("GOOGLETRANSLATE(A35266, ""de"", ""en"")"),"mixed")</f>
        <v>mixed</v>
      </c>
    </row>
    <row r="35267">
      <c r="A35267" s="1" t="s">
        <v>35266</v>
      </c>
      <c r="B35267" s="2" t="str">
        <f>IFERROR(__xludf.DUMMYFUNCTION("GOOGLETRANSLATE(A35267, ""de"", ""en"")"),"prince charming")</f>
        <v>prince charming</v>
      </c>
    </row>
    <row r="35268">
      <c r="A35268" s="1" t="s">
        <v>35267</v>
      </c>
      <c r="B35268" s="2" t="str">
        <f>IFERROR(__xludf.DUMMYFUNCTION("GOOGLETRANSLATE(A35268, ""de"", ""en"")"),"overweight")</f>
        <v>overweight</v>
      </c>
    </row>
    <row r="35269">
      <c r="A35269" s="1" t="s">
        <v>35268</v>
      </c>
      <c r="B35269" s="2" t="str">
        <f>IFERROR(__xludf.DUMMYFUNCTION("GOOGLETRANSLATE(A35269, ""de"", ""en"")"),"quickly")</f>
        <v>quickly</v>
      </c>
    </row>
    <row r="35270">
      <c r="A35270" s="1" t="s">
        <v>35269</v>
      </c>
      <c r="B35270" s="2" t="str">
        <f>IFERROR(__xludf.DUMMYFUNCTION("GOOGLETRANSLATE(A35270, ""de"", ""en"")"),"you came here")</f>
        <v>you came here</v>
      </c>
    </row>
    <row r="35271">
      <c r="A35271" s="1" t="s">
        <v>35270</v>
      </c>
      <c r="B35271" s="2" t="str">
        <f>IFERROR(__xludf.DUMMYFUNCTION("GOOGLETRANSLATE(A35271, ""de"", ""en"")"),"embroidery")</f>
        <v>embroidery</v>
      </c>
    </row>
    <row r="35272">
      <c r="A35272" s="1" t="s">
        <v>35271</v>
      </c>
      <c r="B35272" s="2" t="str">
        <f>IFERROR(__xludf.DUMMYFUNCTION("GOOGLETRANSLATE(A35272, ""de"", ""en"")"),"plastic explosives")</f>
        <v>plastic explosives</v>
      </c>
    </row>
    <row r="35273">
      <c r="A35273" s="1" t="s">
        <v>35272</v>
      </c>
      <c r="B35273" s="2" t="str">
        <f>IFERROR(__xludf.DUMMYFUNCTION("GOOGLETRANSLATE(A35273, ""de"", ""en"")"),"avengers")</f>
        <v>avengers</v>
      </c>
    </row>
    <row r="35274">
      <c r="A35274" s="1" t="s">
        <v>35273</v>
      </c>
      <c r="B35274" s="2" t="str">
        <f>IFERROR(__xludf.DUMMYFUNCTION("GOOGLETRANSLATE(A35274, ""de"", ""en"")"),"east side")</f>
        <v>east side</v>
      </c>
    </row>
    <row r="35275">
      <c r="A35275" s="1" t="s">
        <v>35274</v>
      </c>
      <c r="B35275" s="2" t="str">
        <f>IFERROR(__xludf.DUMMYFUNCTION("GOOGLETRANSLATE(A35275, ""de"", ""en"")"),"hideous")</f>
        <v>hideous</v>
      </c>
    </row>
    <row r="35276">
      <c r="A35276" s="1" t="s">
        <v>35275</v>
      </c>
      <c r="B35276" s="2" t="str">
        <f>IFERROR(__xludf.DUMMYFUNCTION("GOOGLETRANSLATE(A35276, ""de"", ""en"")"),"pawl")</f>
        <v>pawl</v>
      </c>
    </row>
    <row r="35277">
      <c r="A35277" s="1" t="s">
        <v>35276</v>
      </c>
      <c r="B35277" s="2" t="str">
        <f>IFERROR(__xludf.DUMMYFUNCTION("GOOGLETRANSLATE(A35277, ""de"", ""en"")"),"sweaters")</f>
        <v>sweaters</v>
      </c>
    </row>
    <row r="35278">
      <c r="A35278" s="1" t="s">
        <v>35277</v>
      </c>
      <c r="B35278" s="2" t="str">
        <f>IFERROR(__xludf.DUMMYFUNCTION("GOOGLETRANSLATE(A35278, ""de"", ""en"")"),"upset")</f>
        <v>upset</v>
      </c>
    </row>
    <row r="35279">
      <c r="A35279" s="1" t="s">
        <v>35278</v>
      </c>
      <c r="B35279" s="2" t="str">
        <f>IFERROR(__xludf.DUMMYFUNCTION("GOOGLETRANSLATE(A35279, ""de"", ""en"")"),"school principal")</f>
        <v>school principal</v>
      </c>
    </row>
    <row r="35280">
      <c r="A35280" s="1" t="s">
        <v>35279</v>
      </c>
      <c r="B35280" s="2" t="str">
        <f>IFERROR(__xludf.DUMMYFUNCTION("GOOGLETRANSLATE(A35280, ""de"", ""en"")"),"double bed")</f>
        <v>double bed</v>
      </c>
    </row>
    <row r="35281">
      <c r="A35281" s="1" t="s">
        <v>35280</v>
      </c>
      <c r="B35281" s="2" t="str">
        <f>IFERROR(__xludf.DUMMYFUNCTION("GOOGLETRANSLATE(A35281, ""de"", ""en"")"),"battle stations")</f>
        <v>battle stations</v>
      </c>
    </row>
    <row r="35282">
      <c r="A35282" s="1" t="s">
        <v>35281</v>
      </c>
      <c r="B35282" s="2" t="str">
        <f>IFERROR(__xludf.DUMMYFUNCTION("GOOGLETRANSLATE(A35282, ""de"", ""en"")"),"webcam")</f>
        <v>webcam</v>
      </c>
    </row>
    <row r="35283">
      <c r="A35283" s="1" t="s">
        <v>35282</v>
      </c>
      <c r="B35283" s="2" t="str">
        <f>IFERROR(__xludf.DUMMYFUNCTION("GOOGLETRANSLATE(A35283, ""de"", ""en"")"),"chops")</f>
        <v>chops</v>
      </c>
    </row>
    <row r="35284">
      <c r="A35284" s="1" t="s">
        <v>35283</v>
      </c>
      <c r="B35284" s="2" t="str">
        <f>IFERROR(__xludf.DUMMYFUNCTION("GOOGLETRANSLATE(A35284, ""de"", ""en"")"),"claustrophobia")</f>
        <v>claustrophobia</v>
      </c>
    </row>
    <row r="35285">
      <c r="A35285" s="1" t="s">
        <v>35284</v>
      </c>
      <c r="B35285" s="2" t="str">
        <f>IFERROR(__xludf.DUMMYFUNCTION("GOOGLETRANSLATE(A35285, ""de"", ""en"")"),"tugged")</f>
        <v>tugged</v>
      </c>
    </row>
    <row r="35286">
      <c r="A35286" s="1" t="s">
        <v>35285</v>
      </c>
      <c r="B35286" s="2" t="str">
        <f>IFERROR(__xludf.DUMMYFUNCTION("GOOGLETRANSLATE(A35286, ""de"", ""en"")"),"due to lack")</f>
        <v>due to lack</v>
      </c>
    </row>
    <row r="35287">
      <c r="A35287" s="1" t="s">
        <v>35286</v>
      </c>
      <c r="B35287" s="2" t="str">
        <f>IFERROR(__xludf.DUMMYFUNCTION("GOOGLETRANSLATE(A35287, ""de"", ""en"")"),"monthly")</f>
        <v>monthly</v>
      </c>
    </row>
    <row r="35288">
      <c r="A35288" s="1" t="s">
        <v>35287</v>
      </c>
      <c r="B35288" s="2" t="str">
        <f>IFERROR(__xludf.DUMMYFUNCTION("GOOGLETRANSLATE(A35288, ""de"", ""en"")"),"birthday")</f>
        <v>birthday</v>
      </c>
    </row>
    <row r="35289">
      <c r="A35289" s="1" t="s">
        <v>35288</v>
      </c>
      <c r="B35289" s="2" t="str">
        <f>IFERROR(__xludf.DUMMYFUNCTION("GOOGLETRANSLATE(A35289, ""de"", ""en"")"),"problem")</f>
        <v>problem</v>
      </c>
    </row>
    <row r="35290">
      <c r="A35290" s="1" t="s">
        <v>35289</v>
      </c>
      <c r="B35290" s="2" t="str">
        <f>IFERROR(__xludf.DUMMYFUNCTION("GOOGLETRANSLATE(A35290, ""de"", ""en"")"),"rawlins")</f>
        <v>rawlins</v>
      </c>
    </row>
    <row r="35291">
      <c r="A35291" s="1" t="s">
        <v>35290</v>
      </c>
      <c r="B35291" s="2" t="str">
        <f>IFERROR(__xludf.DUMMYFUNCTION("GOOGLETRANSLATE(A35291, ""de"", ""en"")"),"charcoal")</f>
        <v>charcoal</v>
      </c>
    </row>
    <row r="35292">
      <c r="A35292" s="1" t="s">
        <v>35291</v>
      </c>
      <c r="B35292" s="2" t="str">
        <f>IFERROR(__xludf.DUMMYFUNCTION("GOOGLETRANSLATE(A35292, ""de"", ""en"")"),"prepared")</f>
        <v>prepared</v>
      </c>
    </row>
    <row r="35293">
      <c r="A35293" s="1" t="s">
        <v>35292</v>
      </c>
      <c r="B35293" s="2" t="str">
        <f>IFERROR(__xludf.DUMMYFUNCTION("GOOGLETRANSLATE(A35293, ""de"", ""en"")"),"pragmatic")</f>
        <v>pragmatic</v>
      </c>
    </row>
    <row r="35294">
      <c r="A35294" s="1" t="s">
        <v>35293</v>
      </c>
      <c r="B35294" s="2" t="str">
        <f>IFERROR(__xludf.DUMMYFUNCTION("GOOGLETRANSLATE(A35294, ""de"", ""en"")"),"bequeath")</f>
        <v>bequeath</v>
      </c>
    </row>
    <row r="35295">
      <c r="A35295" s="1" t="s">
        <v>35294</v>
      </c>
      <c r="B35295" s="2" t="str">
        <f>IFERROR(__xludf.DUMMYFUNCTION("GOOGLETRANSLATE(A35295, ""de"", ""en"")"),"interrupted")</f>
        <v>interrupted</v>
      </c>
    </row>
    <row r="35296">
      <c r="A35296" s="1" t="s">
        <v>35295</v>
      </c>
      <c r="B35296" s="2" t="str">
        <f>IFERROR(__xludf.DUMMYFUNCTION("GOOGLETRANSLATE(A35296, ""de"", ""en"")"),"you agree")</f>
        <v>you agree</v>
      </c>
    </row>
    <row r="35297">
      <c r="A35297" s="1" t="s">
        <v>35296</v>
      </c>
      <c r="B35297" s="2" t="str">
        <f>IFERROR(__xludf.DUMMYFUNCTION("GOOGLETRANSLATE(A35297, ""de"", ""en"")"),"notepad")</f>
        <v>notepad</v>
      </c>
    </row>
    <row r="35298">
      <c r="A35298" s="1" t="s">
        <v>35297</v>
      </c>
      <c r="B35298" s="2" t="str">
        <f>IFERROR(__xludf.DUMMYFUNCTION("GOOGLETRANSLATE(A35298, ""de"", ""en"")"),"drazen")</f>
        <v>drazen</v>
      </c>
    </row>
    <row r="35299">
      <c r="A35299" s="1" t="s">
        <v>35298</v>
      </c>
      <c r="B35299" s="2" t="str">
        <f>IFERROR(__xludf.DUMMYFUNCTION("GOOGLETRANSLATE(A35299, ""de"", ""en"")"),"desserts")</f>
        <v>desserts</v>
      </c>
    </row>
    <row r="35300">
      <c r="A35300" s="1" t="s">
        <v>35299</v>
      </c>
      <c r="B35300" s="2" t="str">
        <f>IFERROR(__xludf.DUMMYFUNCTION("GOOGLETRANSLATE(A35300, ""de"", ""en"")"),"English")</f>
        <v>English</v>
      </c>
    </row>
    <row r="35301">
      <c r="A35301" s="1" t="s">
        <v>35300</v>
      </c>
      <c r="B35301" s="2" t="str">
        <f>IFERROR(__xludf.DUMMYFUNCTION("GOOGLETRANSLATE(A35301, ""de"", ""en"")"),"execution")</f>
        <v>execution</v>
      </c>
    </row>
    <row r="35302">
      <c r="A35302" s="1" t="s">
        <v>35301</v>
      </c>
      <c r="B35302" s="2" t="str">
        <f>IFERROR(__xludf.DUMMYFUNCTION("GOOGLETRANSLATE(A35302, ""de"", ""en"")"),"boise")</f>
        <v>boise</v>
      </c>
    </row>
    <row r="35303">
      <c r="A35303" s="1" t="s">
        <v>35302</v>
      </c>
      <c r="B35303" s="2" t="str">
        <f>IFERROR(__xludf.DUMMYFUNCTION("GOOGLETRANSLATE(A35303, ""de"", ""en"")"),"ram")</f>
        <v>ram</v>
      </c>
    </row>
    <row r="35304">
      <c r="A35304" s="1" t="s">
        <v>35303</v>
      </c>
      <c r="B35304" s="2" t="str">
        <f>IFERROR(__xludf.DUMMYFUNCTION("GOOGLETRANSLATE(A35304, ""de"", ""en"")"),"accelerator")</f>
        <v>accelerator</v>
      </c>
    </row>
    <row r="35305">
      <c r="A35305" s="1" t="s">
        <v>35304</v>
      </c>
      <c r="B35305" s="2" t="str">
        <f>IFERROR(__xludf.DUMMYFUNCTION("GOOGLETRANSLATE(A35305, ""de"", ""en"")"),"chaste")</f>
        <v>chaste</v>
      </c>
    </row>
    <row r="35306">
      <c r="A35306" s="1" t="s">
        <v>35305</v>
      </c>
      <c r="B35306" s="2" t="str">
        <f>IFERROR(__xludf.DUMMYFUNCTION("GOOGLETRANSLATE(A35306, ""de"", ""en"")"),"pollard")</f>
        <v>pollard</v>
      </c>
    </row>
    <row r="35307">
      <c r="A35307" s="1" t="s">
        <v>35306</v>
      </c>
      <c r="B35307" s="2" t="str">
        <f>IFERROR(__xludf.DUMMYFUNCTION("GOOGLETRANSLATE(A35307, ""de"", ""en"")"),"pathetic")</f>
        <v>pathetic</v>
      </c>
    </row>
    <row r="35308">
      <c r="A35308" s="1" t="s">
        <v>35307</v>
      </c>
      <c r="B35308" s="2" t="str">
        <f>IFERROR(__xludf.DUMMYFUNCTION("GOOGLETRANSLATE(A35308, ""de"", ""en"")"),"goya")</f>
        <v>goya</v>
      </c>
    </row>
    <row r="35309">
      <c r="A35309" s="1" t="s">
        <v>35308</v>
      </c>
      <c r="B35309" s="2" t="str">
        <f>IFERROR(__xludf.DUMMYFUNCTION("GOOGLETRANSLATE(A35309, ""de"", ""en"")"),"Mike")</f>
        <v>Mike</v>
      </c>
    </row>
    <row r="35310">
      <c r="A35310" s="1" t="s">
        <v>35309</v>
      </c>
      <c r="B35310" s="2" t="str">
        <f>IFERROR(__xludf.DUMMYFUNCTION("GOOGLETRANSLATE(A35310, ""de"", ""en"")"),"Big Bang")</f>
        <v>Big Bang</v>
      </c>
    </row>
    <row r="35311">
      <c r="A35311" s="1" t="s">
        <v>35310</v>
      </c>
      <c r="B35311" s="2" t="str">
        <f>IFERROR(__xludf.DUMMYFUNCTION("GOOGLETRANSLATE(A35311, ""de"", ""en"")"),"runs away")</f>
        <v>runs away</v>
      </c>
    </row>
    <row r="35312">
      <c r="A35312" s="1" t="s">
        <v>35311</v>
      </c>
      <c r="B35312" s="2" t="str">
        <f>IFERROR(__xludf.DUMMYFUNCTION("GOOGLETRANSLATE(A35312, ""de"", ""en"")"),"Templar")</f>
        <v>Templar</v>
      </c>
    </row>
    <row r="35313">
      <c r="A35313" s="1" t="s">
        <v>35312</v>
      </c>
      <c r="B35313" s="2" t="str">
        <f>IFERROR(__xludf.DUMMYFUNCTION("GOOGLETRANSLATE(A35313, ""de"", ""en"")"),"devastating")</f>
        <v>devastating</v>
      </c>
    </row>
    <row r="35314">
      <c r="A35314" s="1" t="s">
        <v>35313</v>
      </c>
      <c r="B35314" s="2" t="str">
        <f>IFERROR(__xludf.DUMMYFUNCTION("GOOGLETRANSLATE(A35314, ""de"", ""en"")"),"energetic")</f>
        <v>energetic</v>
      </c>
    </row>
    <row r="35315">
      <c r="A35315" s="1" t="s">
        <v>35314</v>
      </c>
      <c r="B35315" s="2" t="str">
        <f>IFERROR(__xludf.DUMMYFUNCTION("GOOGLETRANSLATE(A35315, ""de"", ""en"")"),"cassette recorder")</f>
        <v>cassette recorder</v>
      </c>
    </row>
    <row r="35316">
      <c r="A35316" s="1" t="s">
        <v>35315</v>
      </c>
      <c r="B35316" s="2" t="str">
        <f>IFERROR(__xludf.DUMMYFUNCTION("GOOGLETRANSLATE(A35316, ""de"", ""en"")"),"miser")</f>
        <v>miser</v>
      </c>
    </row>
    <row r="35317">
      <c r="A35317" s="1" t="s">
        <v>35316</v>
      </c>
      <c r="B35317" s="2" t="str">
        <f>IFERROR(__xludf.DUMMYFUNCTION("GOOGLETRANSLATE(A35317, ""de"", ""en"")"),"nous")</f>
        <v>nous</v>
      </c>
    </row>
    <row r="35318">
      <c r="A35318" s="1" t="s">
        <v>35317</v>
      </c>
      <c r="B35318" s="2" t="str">
        <f>IFERROR(__xludf.DUMMYFUNCTION("GOOGLETRANSLATE(A35318, ""de"", ""en"")"),"belongings")</f>
        <v>belongings</v>
      </c>
    </row>
    <row r="35319">
      <c r="A35319" s="1" t="s">
        <v>35318</v>
      </c>
      <c r="B35319" s="2" t="str">
        <f>IFERROR(__xludf.DUMMYFUNCTION("GOOGLETRANSLATE(A35319, ""de"", ""en"")"),"chemical")</f>
        <v>chemical</v>
      </c>
    </row>
    <row r="35320">
      <c r="A35320" s="1" t="s">
        <v>35319</v>
      </c>
      <c r="B35320" s="2" t="str">
        <f>IFERROR(__xludf.DUMMYFUNCTION("GOOGLETRANSLATE(A35320, ""de"", ""en"")"),"cashmere")</f>
        <v>cashmere</v>
      </c>
    </row>
    <row r="35321">
      <c r="A35321" s="1" t="s">
        <v>35320</v>
      </c>
      <c r="B35321" s="2" t="str">
        <f>IFERROR(__xludf.DUMMYFUNCTION("GOOGLETRANSLATE(A35321, ""de"", ""en"")"),"old town")</f>
        <v>old town</v>
      </c>
    </row>
    <row r="35322">
      <c r="A35322" s="1" t="s">
        <v>35321</v>
      </c>
      <c r="B35322" s="2" t="str">
        <f>IFERROR(__xludf.DUMMYFUNCTION("GOOGLETRANSLATE(A35322, ""de"", ""en"")"),"considered")</f>
        <v>considered</v>
      </c>
    </row>
    <row r="35323">
      <c r="A35323" s="1" t="s">
        <v>35322</v>
      </c>
      <c r="B35323" s="2" t="str">
        <f>IFERROR(__xludf.DUMMYFUNCTION("GOOGLETRANSLATE(A35323, ""de"", ""en"")"),"went down")</f>
        <v>went down</v>
      </c>
    </row>
    <row r="35324">
      <c r="A35324" s="1" t="s">
        <v>35323</v>
      </c>
      <c r="B35324" s="2" t="str">
        <f>IFERROR(__xludf.DUMMYFUNCTION("GOOGLETRANSLATE(A35324, ""de"", ""en"")"),"look past")</f>
        <v>look past</v>
      </c>
    </row>
    <row r="35325">
      <c r="A35325" s="1" t="s">
        <v>35324</v>
      </c>
      <c r="B35325" s="2" t="str">
        <f>IFERROR(__xludf.DUMMYFUNCTION("GOOGLETRANSLATE(A35325, ""de"", ""en"")"),"to be found")</f>
        <v>to be found</v>
      </c>
    </row>
    <row r="35326">
      <c r="A35326" s="1" t="s">
        <v>35325</v>
      </c>
      <c r="B35326" s="2" t="str">
        <f>IFERROR(__xludf.DUMMYFUNCTION("GOOGLETRANSLATE(A35326, ""de"", ""en"")"),"lora")</f>
        <v>lora</v>
      </c>
    </row>
    <row r="35327">
      <c r="A35327" s="1" t="s">
        <v>35326</v>
      </c>
      <c r="B35327" s="2" t="str">
        <f>IFERROR(__xludf.DUMMYFUNCTION("GOOGLETRANSLATE(A35327, ""de"", ""en"")"),"slippery")</f>
        <v>slippery</v>
      </c>
    </row>
    <row r="35328">
      <c r="A35328" s="1" t="s">
        <v>35327</v>
      </c>
      <c r="B35328" s="2" t="str">
        <f>IFERROR(__xludf.DUMMYFUNCTION("GOOGLETRANSLATE(A35328, ""de"", ""en"")"),"new territory")</f>
        <v>new territory</v>
      </c>
    </row>
    <row r="35329">
      <c r="A35329" s="1" t="s">
        <v>35328</v>
      </c>
      <c r="B35329" s="2" t="str">
        <f>IFERROR(__xludf.DUMMYFUNCTION("GOOGLETRANSLATE(A35329, ""de"", ""en"")"),"paintings")</f>
        <v>paintings</v>
      </c>
    </row>
    <row r="35330">
      <c r="A35330" s="1" t="s">
        <v>35329</v>
      </c>
      <c r="B35330" s="2" t="str">
        <f>IFERROR(__xludf.DUMMYFUNCTION("GOOGLETRANSLATE(A35330, ""de"", ""en"")"),"seventy")</f>
        <v>seventy</v>
      </c>
    </row>
    <row r="35331">
      <c r="A35331" s="1" t="s">
        <v>35330</v>
      </c>
      <c r="B35331" s="2" t="str">
        <f>IFERROR(__xludf.DUMMYFUNCTION("GOOGLETRANSLATE(A35331, ""de"", ""en"")"),"momento")</f>
        <v>momento</v>
      </c>
    </row>
    <row r="35332">
      <c r="A35332" s="1" t="s">
        <v>35331</v>
      </c>
      <c r="B35332" s="2" t="str">
        <f>IFERROR(__xludf.DUMMYFUNCTION("GOOGLETRANSLATE(A35332, ""de"", ""en"")"),"morning hours")</f>
        <v>morning hours</v>
      </c>
    </row>
    <row r="35333">
      <c r="A35333" s="1" t="s">
        <v>35332</v>
      </c>
      <c r="B35333" s="2" t="str">
        <f>IFERROR(__xludf.DUMMYFUNCTION("GOOGLETRANSLATE(A35333, ""de"", ""en"")"),"starters")</f>
        <v>starters</v>
      </c>
    </row>
    <row r="35334">
      <c r="A35334" s="1" t="s">
        <v>35333</v>
      </c>
      <c r="B35334" s="2" t="str">
        <f>IFERROR(__xludf.DUMMYFUNCTION("GOOGLETRANSLATE(A35334, ""de"", ""en"")"),"guard")</f>
        <v>guard</v>
      </c>
    </row>
    <row r="35335">
      <c r="A35335" s="1" t="s">
        <v>35334</v>
      </c>
      <c r="B35335" s="2" t="str">
        <f>IFERROR(__xludf.DUMMYFUNCTION("GOOGLETRANSLATE(A35335, ""de"", ""en"")"),"noise")</f>
        <v>noise</v>
      </c>
    </row>
    <row r="35336">
      <c r="A35336" s="1" t="s">
        <v>35335</v>
      </c>
      <c r="B35336" s="2" t="str">
        <f>IFERROR(__xludf.DUMMYFUNCTION("GOOGLETRANSLATE(A35336, ""de"", ""en"")"),"oil")</f>
        <v>oil</v>
      </c>
    </row>
    <row r="35337">
      <c r="A35337" s="1" t="s">
        <v>35336</v>
      </c>
      <c r="B35337" s="2" t="str">
        <f>IFERROR(__xludf.DUMMYFUNCTION("GOOGLETRANSLATE(A35337, ""de"", ""en"")"),"unexplained")</f>
        <v>unexplained</v>
      </c>
    </row>
    <row r="35338">
      <c r="A35338" s="1" t="s">
        <v>35337</v>
      </c>
      <c r="B35338" s="2" t="str">
        <f>IFERROR(__xludf.DUMMYFUNCTION("GOOGLETRANSLATE(A35338, ""de"", ""en"")"),"incited")</f>
        <v>incited</v>
      </c>
    </row>
    <row r="35339">
      <c r="A35339" s="1" t="s">
        <v>35338</v>
      </c>
      <c r="B35339" s="2" t="str">
        <f>IFERROR(__xludf.DUMMYFUNCTION("GOOGLETRANSLATE(A35339, ""de"", ""en"")"),"approved")</f>
        <v>approved</v>
      </c>
    </row>
    <row r="35340">
      <c r="A35340" s="1" t="s">
        <v>35339</v>
      </c>
      <c r="B35340" s="2" t="str">
        <f>IFERROR(__xludf.DUMMYFUNCTION("GOOGLETRANSLATE(A35340, ""de"", ""en"")"),"methadone")</f>
        <v>methadone</v>
      </c>
    </row>
    <row r="35341">
      <c r="A35341" s="1" t="s">
        <v>35340</v>
      </c>
      <c r="B35341" s="2" t="str">
        <f>IFERROR(__xludf.DUMMYFUNCTION("GOOGLETRANSLATE(A35341, ""de"", ""en"")"),"schoolchildren")</f>
        <v>schoolchildren</v>
      </c>
    </row>
    <row r="35342">
      <c r="A35342" s="1" t="s">
        <v>35341</v>
      </c>
      <c r="B35342" s="2" t="str">
        <f>IFERROR(__xludf.DUMMYFUNCTION("GOOGLETRANSLATE(A35342, ""de"", ""en"")"),"snore")</f>
        <v>snore</v>
      </c>
    </row>
    <row r="35343">
      <c r="A35343" s="1" t="s">
        <v>35342</v>
      </c>
      <c r="B35343" s="2" t="str">
        <f>IFERROR(__xludf.DUMMYFUNCTION("GOOGLETRANSLATE(A35343, ""de"", ""en"")"),"botox")</f>
        <v>botox</v>
      </c>
    </row>
    <row r="35344">
      <c r="A35344" s="1" t="s">
        <v>35343</v>
      </c>
      <c r="B35344" s="2" t="str">
        <f>IFERROR(__xludf.DUMMYFUNCTION("GOOGLETRANSLATE(A35344, ""de"", ""en"")"),"approach")</f>
        <v>approach</v>
      </c>
    </row>
    <row r="35345">
      <c r="A35345" s="1" t="s">
        <v>35344</v>
      </c>
      <c r="B35345" s="2" t="str">
        <f>IFERROR(__xludf.DUMMYFUNCTION("GOOGLETRANSLATE(A35345, ""de"", ""en"")"),"sona")</f>
        <v>sona</v>
      </c>
    </row>
    <row r="35346">
      <c r="A35346" s="1" t="s">
        <v>35345</v>
      </c>
      <c r="B35346" s="2" t="str">
        <f>IFERROR(__xludf.DUMMYFUNCTION("GOOGLETRANSLATE(A35346, ""de"", ""en"")"),"skills")</f>
        <v>skills</v>
      </c>
    </row>
    <row r="35347">
      <c r="A35347" s="1" t="s">
        <v>35346</v>
      </c>
      <c r="B35347" s="2" t="str">
        <f>IFERROR(__xludf.DUMMYFUNCTION("GOOGLETRANSLATE(A35347, ""de"", ""en"")"),"psi corps")</f>
        <v>psi corps</v>
      </c>
    </row>
    <row r="35348">
      <c r="A35348" s="1" t="s">
        <v>35347</v>
      </c>
      <c r="B35348" s="2" t="str">
        <f>IFERROR(__xludf.DUMMYFUNCTION("GOOGLETRANSLATE(A35348, ""de"", ""en"")"),"comprehend")</f>
        <v>comprehend</v>
      </c>
    </row>
    <row r="35349">
      <c r="A35349" s="1" t="s">
        <v>35348</v>
      </c>
      <c r="B35349" s="2" t="str">
        <f>IFERROR(__xludf.DUMMYFUNCTION("GOOGLETRANSLATE(A35349, ""de"", ""en"")"),"heat")</f>
        <v>heat</v>
      </c>
    </row>
    <row r="35350">
      <c r="A35350" s="1" t="s">
        <v>35349</v>
      </c>
      <c r="B35350" s="2" t="str">
        <f>IFERROR(__xludf.DUMMYFUNCTION("GOOGLETRANSLATE(A35350, ""de"", ""en"")"),"consumption")</f>
        <v>consumption</v>
      </c>
    </row>
    <row r="35351">
      <c r="A35351" s="1" t="s">
        <v>35350</v>
      </c>
      <c r="B35351" s="2" t="str">
        <f>IFERROR(__xludf.DUMMYFUNCTION("GOOGLETRANSLATE(A35351, ""de"", ""en"")"),"police chiefs")</f>
        <v>police chiefs</v>
      </c>
    </row>
    <row r="35352">
      <c r="A35352" s="1" t="s">
        <v>35351</v>
      </c>
      <c r="B35352" s="2" t="str">
        <f>IFERROR(__xludf.DUMMYFUNCTION("GOOGLETRANSLATE(A35352, ""de"", ""en"")"),"imitate")</f>
        <v>imitate</v>
      </c>
    </row>
    <row r="35353">
      <c r="A35353" s="1" t="s">
        <v>35352</v>
      </c>
      <c r="B35353" s="2" t="str">
        <f>IFERROR(__xludf.DUMMYFUNCTION("GOOGLETRANSLATE(A35353, ""de"", ""en"")"),"reactivate")</f>
        <v>reactivate</v>
      </c>
    </row>
    <row r="35354">
      <c r="A35354" s="1" t="s">
        <v>35353</v>
      </c>
      <c r="B35354" s="2" t="str">
        <f>IFERROR(__xludf.DUMMYFUNCTION("GOOGLETRANSLATE(A35354, ""de"", ""en"")"),"target")</f>
        <v>target</v>
      </c>
    </row>
    <row r="35355">
      <c r="A35355" s="1" t="s">
        <v>35354</v>
      </c>
      <c r="B35355" s="2" t="str">
        <f>IFERROR(__xludf.DUMMYFUNCTION("GOOGLETRANSLATE(A35355, ""de"", ""en"")"),"Ethiopia")</f>
        <v>Ethiopia</v>
      </c>
    </row>
    <row r="35356">
      <c r="A35356" s="1" t="s">
        <v>35355</v>
      </c>
      <c r="B35356" s="2" t="str">
        <f>IFERROR(__xludf.DUMMYFUNCTION("GOOGLETRANSLATE(A35356, ""de"", ""en"")"),"hani")</f>
        <v>hani</v>
      </c>
    </row>
    <row r="35357">
      <c r="A35357" s="1" t="s">
        <v>35356</v>
      </c>
      <c r="B35357" s="2" t="str">
        <f>IFERROR(__xludf.DUMMYFUNCTION("GOOGLETRANSLATE(A35357, ""de"", ""en"")"),"budget")</f>
        <v>budget</v>
      </c>
    </row>
    <row r="35358">
      <c r="A35358" s="1" t="s">
        <v>35357</v>
      </c>
      <c r="B35358" s="2" t="str">
        <f>IFERROR(__xludf.DUMMYFUNCTION("GOOGLETRANSLATE(A35358, ""de"", ""en"")"),"archive")</f>
        <v>archive</v>
      </c>
    </row>
    <row r="35359">
      <c r="A35359" s="1" t="s">
        <v>35358</v>
      </c>
      <c r="B35359" s="2" t="str">
        <f>IFERROR(__xludf.DUMMYFUNCTION("GOOGLETRANSLATE(A35359, ""de"", ""en"")"),"Sirius")</f>
        <v>Sirius</v>
      </c>
    </row>
    <row r="35360">
      <c r="A35360" s="1" t="s">
        <v>35359</v>
      </c>
      <c r="B35360" s="2" t="str">
        <f>IFERROR(__xludf.DUMMYFUNCTION("GOOGLETRANSLATE(A35360, ""de"", ""en"")"),"scream of pain")</f>
        <v>scream of pain</v>
      </c>
    </row>
    <row r="35361">
      <c r="A35361" s="1" t="s">
        <v>35360</v>
      </c>
      <c r="B35361" s="2" t="str">
        <f>IFERROR(__xludf.DUMMYFUNCTION("GOOGLETRANSLATE(A35361, ""de"", ""en"")"),"filing cabinet")</f>
        <v>filing cabinet</v>
      </c>
    </row>
    <row r="35362">
      <c r="A35362" s="1" t="s">
        <v>35361</v>
      </c>
      <c r="B35362" s="2" t="str">
        <f>IFERROR(__xludf.DUMMYFUNCTION("GOOGLETRANSLATE(A35362, ""de"", ""en"")"),"largely")</f>
        <v>largely</v>
      </c>
    </row>
    <row r="35363">
      <c r="A35363" s="1" t="s">
        <v>35362</v>
      </c>
      <c r="B35363" s="2" t="str">
        <f>IFERROR(__xludf.DUMMYFUNCTION("GOOGLETRANSLATE(A35363, ""de"", ""en"")"),"herve")</f>
        <v>herve</v>
      </c>
    </row>
    <row r="35364">
      <c r="A35364" s="1" t="s">
        <v>35363</v>
      </c>
      <c r="B35364" s="2" t="str">
        <f>IFERROR(__xludf.DUMMYFUNCTION("GOOGLETRANSLATE(A35364, ""de"", ""en"")"),"most wanted")</f>
        <v>most wanted</v>
      </c>
    </row>
    <row r="35365">
      <c r="A35365" s="1" t="s">
        <v>35364</v>
      </c>
      <c r="B35365" s="2" t="str">
        <f>IFERROR(__xludf.DUMMYFUNCTION("GOOGLETRANSLATE(A35365, ""de"", ""en"")"),"nobu")</f>
        <v>nobu</v>
      </c>
    </row>
    <row r="35366">
      <c r="A35366" s="1" t="s">
        <v>35365</v>
      </c>
      <c r="B35366" s="2" t="str">
        <f>IFERROR(__xludf.DUMMYFUNCTION("GOOGLETRANSLATE(A35366, ""de"", ""en"")"),"simply")</f>
        <v>simply</v>
      </c>
    </row>
    <row r="35367">
      <c r="A35367" s="1" t="s">
        <v>35366</v>
      </c>
      <c r="B35367" s="2" t="str">
        <f>IFERROR(__xludf.DUMMYFUNCTION("GOOGLETRANSLATE(A35367, ""de"", ""en"")"),"work through")</f>
        <v>work through</v>
      </c>
    </row>
    <row r="35368">
      <c r="A35368" s="1" t="s">
        <v>35367</v>
      </c>
      <c r="B35368" s="2" t="str">
        <f>IFERROR(__xludf.DUMMYFUNCTION("GOOGLETRANSLATE(A35368, ""de"", ""en"")"),"drug authority")</f>
        <v>drug authority</v>
      </c>
    </row>
    <row r="35369">
      <c r="A35369" s="1" t="s">
        <v>35368</v>
      </c>
      <c r="B35369" s="2" t="str">
        <f>IFERROR(__xludf.DUMMYFUNCTION("GOOGLETRANSLATE(A35369, ""de"", ""en"")"),"snowflake")</f>
        <v>snowflake</v>
      </c>
    </row>
    <row r="35370">
      <c r="A35370" s="1" t="s">
        <v>35369</v>
      </c>
      <c r="B35370" s="2" t="str">
        <f>IFERROR(__xludf.DUMMYFUNCTION("GOOGLETRANSLATE(A35370, ""de"", ""en"")"),"philo")</f>
        <v>philo</v>
      </c>
    </row>
    <row r="35371">
      <c r="A35371" s="1" t="s">
        <v>35370</v>
      </c>
      <c r="B35371" s="2" t="str">
        <f>IFERROR(__xludf.DUMMYFUNCTION("GOOGLETRANSLATE(A35371, ""de"", ""en"")"),"hays")</f>
        <v>hays</v>
      </c>
    </row>
    <row r="35372">
      <c r="A35372" s="1" t="s">
        <v>35371</v>
      </c>
      <c r="B35372" s="2" t="str">
        <f>IFERROR(__xludf.DUMMYFUNCTION("GOOGLETRANSLATE(A35372, ""de"", ""en"")"),"chamber of commerce")</f>
        <v>chamber of commerce</v>
      </c>
    </row>
    <row r="35373">
      <c r="A35373" s="1" t="s">
        <v>35372</v>
      </c>
      <c r="B35373" s="2" t="str">
        <f>IFERROR(__xludf.DUMMYFUNCTION("GOOGLETRANSLATE(A35373, ""de"", ""en"")"),"ring")</f>
        <v>ring</v>
      </c>
    </row>
    <row r="35374">
      <c r="A35374" s="1" t="s">
        <v>35373</v>
      </c>
      <c r="B35374" s="2" t="str">
        <f>IFERROR(__xludf.DUMMYFUNCTION("GOOGLETRANSLATE(A35374, ""de"", ""en"")"),"martinsson")</f>
        <v>martinsson</v>
      </c>
    </row>
    <row r="35375">
      <c r="A35375" s="1" t="s">
        <v>35374</v>
      </c>
      <c r="B35375" s="2" t="str">
        <f>IFERROR(__xludf.DUMMYFUNCTION("GOOGLETRANSLATE(A35375, ""de"", ""en"")"),"cushing")</f>
        <v>cushing</v>
      </c>
    </row>
    <row r="35376">
      <c r="A35376" s="1" t="s">
        <v>35375</v>
      </c>
      <c r="B35376" s="2" t="str">
        <f>IFERROR(__xludf.DUMMYFUNCTION("GOOGLETRANSLATE(A35376, ""de"", ""en"")"),"nirvana")</f>
        <v>nirvana</v>
      </c>
    </row>
    <row r="35377">
      <c r="A35377" s="1" t="s">
        <v>35376</v>
      </c>
      <c r="B35377" s="2" t="str">
        <f>IFERROR(__xludf.DUMMYFUNCTION("GOOGLETRANSLATE(A35377, ""de"", ""en"")"),"hull")</f>
        <v>hull</v>
      </c>
    </row>
    <row r="35378">
      <c r="A35378" s="1" t="s">
        <v>35377</v>
      </c>
      <c r="B35378" s="2" t="str">
        <f>IFERROR(__xludf.DUMMYFUNCTION("GOOGLETRANSLATE(A35378, ""de"", ""en"")"),"penises")</f>
        <v>penises</v>
      </c>
    </row>
    <row r="35379">
      <c r="A35379" s="1" t="s">
        <v>35378</v>
      </c>
      <c r="B35379" s="2" t="str">
        <f>IFERROR(__xludf.DUMMYFUNCTION("GOOGLETRANSLATE(A35379, ""de"", ""en"")"),"similar")</f>
        <v>similar</v>
      </c>
    </row>
    <row r="35380">
      <c r="A35380" s="1" t="s">
        <v>35379</v>
      </c>
      <c r="B35380" s="2" t="str">
        <f>IFERROR(__xludf.DUMMYFUNCTION("GOOGLETRANSLATE(A35380, ""de"", ""en"")"),"feature film")</f>
        <v>feature film</v>
      </c>
    </row>
    <row r="35381">
      <c r="A35381" s="1" t="s">
        <v>35380</v>
      </c>
      <c r="B35381" s="2" t="str">
        <f>IFERROR(__xludf.DUMMYFUNCTION("GOOGLETRANSLATE(A35381, ""de"", ""en"")"),"close")</f>
        <v>close</v>
      </c>
    </row>
    <row r="35382">
      <c r="A35382" s="1" t="s">
        <v>35381</v>
      </c>
      <c r="B35382" s="2" t="str">
        <f>IFERROR(__xludf.DUMMYFUNCTION("GOOGLETRANSLATE(A35382, ""de"", ""en"")"),"inherit")</f>
        <v>inherit</v>
      </c>
    </row>
    <row r="35383">
      <c r="A35383" s="1" t="s">
        <v>35382</v>
      </c>
      <c r="B35383" s="2" t="str">
        <f>IFERROR(__xludf.DUMMYFUNCTION("GOOGLETRANSLATE(A35383, ""de"", ""en"")"),"valid")</f>
        <v>valid</v>
      </c>
    </row>
    <row r="35384">
      <c r="A35384" s="1" t="s">
        <v>35383</v>
      </c>
      <c r="B35384" s="2" t="str">
        <f>IFERROR(__xludf.DUMMYFUNCTION("GOOGLETRANSLATE(A35384, ""de"", ""en"")"),"Gdansk")</f>
        <v>Gdansk</v>
      </c>
    </row>
    <row r="35385">
      <c r="A35385" s="1" t="s">
        <v>35384</v>
      </c>
      <c r="B35385" s="2" t="str">
        <f>IFERROR(__xludf.DUMMYFUNCTION("GOOGLETRANSLATE(A35385, ""de"", ""en"")"),"Flanders")</f>
        <v>Flanders</v>
      </c>
    </row>
    <row r="35386">
      <c r="A35386" s="1" t="s">
        <v>35385</v>
      </c>
      <c r="B35386" s="2" t="str">
        <f>IFERROR(__xludf.DUMMYFUNCTION("GOOGLETRANSLATE(A35386, ""de"", ""en"")"),"to relinquish")</f>
        <v>to relinquish</v>
      </c>
    </row>
    <row r="35387">
      <c r="A35387" s="1" t="s">
        <v>35386</v>
      </c>
      <c r="B35387" s="2" t="str">
        <f>IFERROR(__xludf.DUMMYFUNCTION("GOOGLETRANSLATE(A35387, ""de"", ""en"")"),"production")</f>
        <v>production</v>
      </c>
    </row>
    <row r="35388">
      <c r="A35388" s="1" t="s">
        <v>35387</v>
      </c>
      <c r="B35388" s="2" t="str">
        <f>IFERROR(__xludf.DUMMYFUNCTION("GOOGLETRANSLATE(A35388, ""de"", ""en"")"),"perm")</f>
        <v>perm</v>
      </c>
    </row>
    <row r="35389">
      <c r="A35389" s="1" t="s">
        <v>35388</v>
      </c>
      <c r="B35389" s="2" t="str">
        <f>IFERROR(__xludf.DUMMYFUNCTION("GOOGLETRANSLATE(A35389, ""de"", ""en"")"),"divisions")</f>
        <v>divisions</v>
      </c>
    </row>
    <row r="35390">
      <c r="A35390" s="1" t="s">
        <v>35389</v>
      </c>
      <c r="B35390" s="2" t="str">
        <f>IFERROR(__xludf.DUMMYFUNCTION("GOOGLETRANSLATE(A35390, ""de"", ""en"")"),"wagon")</f>
        <v>wagon</v>
      </c>
    </row>
    <row r="35391">
      <c r="A35391" s="1" t="s">
        <v>35390</v>
      </c>
      <c r="B35391" s="2" t="str">
        <f>IFERROR(__xludf.DUMMYFUNCTION("GOOGLETRANSLATE(A35391, ""de"", ""en"")"),"megalomania")</f>
        <v>megalomania</v>
      </c>
    </row>
    <row r="35392">
      <c r="A35392" s="1" t="s">
        <v>35391</v>
      </c>
      <c r="B35392" s="2" t="str">
        <f>IFERROR(__xludf.DUMMYFUNCTION("GOOGLETRANSLATE(A35392, ""de"", ""en"")"),"tals")</f>
        <v>tals</v>
      </c>
    </row>
    <row r="35393">
      <c r="A35393" s="1" t="s">
        <v>35392</v>
      </c>
      <c r="B35393" s="2" t="str">
        <f>IFERROR(__xludf.DUMMYFUNCTION("GOOGLETRANSLATE(A35393, ""de"", ""en"")"),"excerpts")</f>
        <v>excerpts</v>
      </c>
    </row>
    <row r="35394">
      <c r="A35394" s="1" t="s">
        <v>35393</v>
      </c>
      <c r="B35394" s="2" t="str">
        <f>IFERROR(__xludf.DUMMYFUNCTION("GOOGLETRANSLATE(A35394, ""de"", ""en"")"),"betsey")</f>
        <v>betsey</v>
      </c>
    </row>
    <row r="35395">
      <c r="A35395" s="1" t="s">
        <v>35394</v>
      </c>
      <c r="B35395" s="2" t="str">
        <f>IFERROR(__xludf.DUMMYFUNCTION("GOOGLETRANSLATE(A35395, ""de"", ""en"")"),"Kee")</f>
        <v>Kee</v>
      </c>
    </row>
    <row r="35396">
      <c r="A35396" s="1" t="s">
        <v>35395</v>
      </c>
      <c r="B35396" s="2" t="str">
        <f>IFERROR(__xludf.DUMMYFUNCTION("GOOGLETRANSLATE(A35396, ""de"", ""en"")"),"skydiving")</f>
        <v>skydiving</v>
      </c>
    </row>
    <row r="35397">
      <c r="A35397" s="1" t="s">
        <v>35396</v>
      </c>
      <c r="B35397" s="2" t="str">
        <f>IFERROR(__xludf.DUMMYFUNCTION("GOOGLETRANSLATE(A35397, ""de"", ""en"")"),"buon")</f>
        <v>buon</v>
      </c>
    </row>
    <row r="35398">
      <c r="A35398" s="1" t="s">
        <v>35397</v>
      </c>
      <c r="B35398" s="2" t="str">
        <f>IFERROR(__xludf.DUMMYFUNCTION("GOOGLETRANSLATE(A35398, ""de"", ""en"")"),"Kazakhstan")</f>
        <v>Kazakhstan</v>
      </c>
    </row>
    <row r="35399">
      <c r="A35399" s="1" t="s">
        <v>35398</v>
      </c>
      <c r="B35399" s="2" t="str">
        <f>IFERROR(__xludf.DUMMYFUNCTION("GOOGLETRANSLATE(A35399, ""de"", ""en"")"),"tremble")</f>
        <v>tremble</v>
      </c>
    </row>
    <row r="35400">
      <c r="A35400" s="1" t="s">
        <v>35399</v>
      </c>
      <c r="B35400" s="2" t="str">
        <f>IFERROR(__xludf.DUMMYFUNCTION("GOOGLETRANSLATE(A35400, ""de"", ""en"")"),"cartridge case")</f>
        <v>cartridge case</v>
      </c>
    </row>
    <row r="35401">
      <c r="A35401" s="1" t="s">
        <v>35400</v>
      </c>
      <c r="B35401" s="2" t="str">
        <f>IFERROR(__xludf.DUMMYFUNCTION("GOOGLETRANSLATE(A35401, ""de"", ""en"")"),"Jamaica")</f>
        <v>Jamaica</v>
      </c>
    </row>
    <row r="35402">
      <c r="A35402" s="1" t="s">
        <v>35401</v>
      </c>
      <c r="B35402" s="2" t="str">
        <f>IFERROR(__xludf.DUMMYFUNCTION("GOOGLETRANSLATE(A35402, ""de"", ""en"")"),"opera music")</f>
        <v>opera music</v>
      </c>
    </row>
    <row r="35403">
      <c r="A35403" s="1" t="s">
        <v>35402</v>
      </c>
      <c r="B35403" s="2" t="str">
        <f>IFERROR(__xludf.DUMMYFUNCTION("GOOGLETRANSLATE(A35403, ""de"", ""en"")"),"pinch")</f>
        <v>pinch</v>
      </c>
    </row>
    <row r="35404">
      <c r="A35404" s="1" t="s">
        <v>35403</v>
      </c>
      <c r="B35404" s="2" t="str">
        <f>IFERROR(__xludf.DUMMYFUNCTION("GOOGLETRANSLATE(A35404, ""de"", ""en"")"),"strut")</f>
        <v>strut</v>
      </c>
    </row>
    <row r="35405">
      <c r="A35405" s="1" t="s">
        <v>35404</v>
      </c>
      <c r="B35405" s="2" t="str">
        <f>IFERROR(__xludf.DUMMYFUNCTION("GOOGLETRANSLATE(A35405, ""de"", ""en"")"),"most significant")</f>
        <v>most significant</v>
      </c>
    </row>
    <row r="35406">
      <c r="A35406" s="1" t="s">
        <v>35405</v>
      </c>
      <c r="B35406" s="2" t="str">
        <f>IFERROR(__xludf.DUMMYFUNCTION("GOOGLETRANSLATE(A35406, ""de"", ""en"")"),"nameless")</f>
        <v>nameless</v>
      </c>
    </row>
    <row r="35407">
      <c r="A35407" s="1" t="s">
        <v>35406</v>
      </c>
      <c r="B35407" s="2" t="str">
        <f>IFERROR(__xludf.DUMMYFUNCTION("GOOGLETRANSLATE(A35407, ""de"", ""en"")"),"tear out")</f>
        <v>tear out</v>
      </c>
    </row>
    <row r="35408">
      <c r="A35408" s="1" t="s">
        <v>35407</v>
      </c>
      <c r="B35408" s="2" t="str">
        <f>IFERROR(__xludf.DUMMYFUNCTION("GOOGLETRANSLATE(A35408, ""de"", ""en"")"),"ahmed")</f>
        <v>ahmed</v>
      </c>
    </row>
    <row r="35409">
      <c r="A35409" s="1" t="s">
        <v>35408</v>
      </c>
      <c r="B35409" s="2" t="str">
        <f>IFERROR(__xludf.DUMMYFUNCTION("GOOGLETRANSLATE(A35409, ""de"", ""en"")"),"divides")</f>
        <v>divides</v>
      </c>
    </row>
    <row r="35410">
      <c r="A35410" s="1" t="s">
        <v>35409</v>
      </c>
      <c r="B35410" s="2" t="str">
        <f>IFERROR(__xludf.DUMMYFUNCTION("GOOGLETRANSLATE(A35410, ""de"", ""en"")"),"jump out")</f>
        <v>jump out</v>
      </c>
    </row>
    <row r="35411">
      <c r="A35411" s="1" t="s">
        <v>35410</v>
      </c>
      <c r="B35411" s="2" t="str">
        <f>IFERROR(__xludf.DUMMYFUNCTION("GOOGLETRANSLATE(A35411, ""de"", ""en"")"),"yours")</f>
        <v>yours</v>
      </c>
    </row>
    <row r="35412">
      <c r="A35412" s="1" t="s">
        <v>35411</v>
      </c>
      <c r="B35412" s="2" t="str">
        <f>IFERROR(__xludf.DUMMYFUNCTION("GOOGLETRANSLATE(A35412, ""de"", ""en"")"),"consolation prize")</f>
        <v>consolation prize</v>
      </c>
    </row>
    <row r="35413">
      <c r="A35413" s="1" t="s">
        <v>35412</v>
      </c>
      <c r="B35413" s="2" t="str">
        <f>IFERROR(__xludf.DUMMYFUNCTION("GOOGLETRANSLATE(A35413, ""de"", ""en"")"),"is fixed")</f>
        <v>is fixed</v>
      </c>
    </row>
    <row r="35414">
      <c r="A35414" s="1" t="s">
        <v>35413</v>
      </c>
      <c r="B35414" s="2" t="str">
        <f>IFERROR(__xludf.DUMMYFUNCTION("GOOGLETRANSLATE(A35414, ""de"", ""en"")"),"gnaw")</f>
        <v>gnaw</v>
      </c>
    </row>
    <row r="35415">
      <c r="A35415" s="1" t="s">
        <v>35414</v>
      </c>
      <c r="B35415" s="2" t="str">
        <f>IFERROR(__xludf.DUMMYFUNCTION("GOOGLETRANSLATE(A35415, ""de"", ""en"")"),"strix")</f>
        <v>strix</v>
      </c>
    </row>
    <row r="35416">
      <c r="A35416" s="1" t="s">
        <v>35415</v>
      </c>
      <c r="B35416" s="2" t="str">
        <f>IFERROR(__xludf.DUMMYFUNCTION("GOOGLETRANSLATE(A35416, ""de"", ""en"")"),"takumi")</f>
        <v>takumi</v>
      </c>
    </row>
    <row r="35417">
      <c r="A35417" s="1" t="s">
        <v>35416</v>
      </c>
      <c r="B35417" s="2" t="str">
        <f>IFERROR(__xludf.DUMMYFUNCTION("GOOGLETRANSLATE(A35417, ""de"", ""en"")"),"scholarships")</f>
        <v>scholarships</v>
      </c>
    </row>
    <row r="35418">
      <c r="A35418" s="1" t="s">
        <v>35417</v>
      </c>
      <c r="B35418" s="2" t="str">
        <f>IFERROR(__xludf.DUMMYFUNCTION("GOOGLETRANSLATE(A35418, ""de"", ""en"")"),"adulterer")</f>
        <v>adulterer</v>
      </c>
    </row>
    <row r="35419">
      <c r="A35419" s="1" t="s">
        <v>35418</v>
      </c>
      <c r="B35419" s="2" t="str">
        <f>IFERROR(__xludf.DUMMYFUNCTION("GOOGLETRANSLATE(A35419, ""de"", ""en"")"),"sweetie")</f>
        <v>sweetie</v>
      </c>
    </row>
    <row r="35420">
      <c r="A35420" s="1" t="s">
        <v>35419</v>
      </c>
      <c r="B35420" s="2" t="str">
        <f>IFERROR(__xludf.DUMMYFUNCTION("GOOGLETRANSLATE(A35420, ""de"", ""en"")"),"hang around")</f>
        <v>hang around</v>
      </c>
    </row>
    <row r="35421">
      <c r="A35421" s="1" t="s">
        <v>35420</v>
      </c>
      <c r="B35421" s="2" t="str">
        <f>IFERROR(__xludf.DUMMYFUNCTION("GOOGLETRANSLATE(A35421, ""de"", ""en"")"),"snipe")</f>
        <v>snipe</v>
      </c>
    </row>
    <row r="35422">
      <c r="A35422" s="1" t="s">
        <v>35421</v>
      </c>
      <c r="B35422" s="2" t="str">
        <f>IFERROR(__xludf.DUMMYFUNCTION("GOOGLETRANSLATE(A35422, ""de"", ""en"")"),"special forces")</f>
        <v>special forces</v>
      </c>
    </row>
    <row r="35423">
      <c r="A35423" s="1" t="s">
        <v>35422</v>
      </c>
      <c r="B35423" s="2" t="str">
        <f>IFERROR(__xludf.DUMMYFUNCTION("GOOGLETRANSLATE(A35423, ""de"", ""en"")"),"plagues")</f>
        <v>plagues</v>
      </c>
    </row>
    <row r="35424">
      <c r="A35424" s="1" t="s">
        <v>35423</v>
      </c>
      <c r="B35424" s="2" t="str">
        <f>IFERROR(__xludf.DUMMYFUNCTION("GOOGLETRANSLATE(A35424, ""de"", ""en"")"),"cauliflower")</f>
        <v>cauliflower</v>
      </c>
    </row>
    <row r="35425">
      <c r="A35425" s="1" t="s">
        <v>35424</v>
      </c>
      <c r="B35425" s="2" t="str">
        <f>IFERROR(__xludf.DUMMYFUNCTION("GOOGLETRANSLATE(A35425, ""de"", ""en"")"),"plastic")</f>
        <v>plastic</v>
      </c>
    </row>
    <row r="35426">
      <c r="A35426" s="1" t="s">
        <v>35425</v>
      </c>
      <c r="B35426" s="2" t="str">
        <f>IFERROR(__xludf.DUMMYFUNCTION("GOOGLETRANSLATE(A35426, ""de"", ""en"")"),"sideways")</f>
        <v>sideways</v>
      </c>
    </row>
    <row r="35427">
      <c r="A35427" s="1" t="s">
        <v>35426</v>
      </c>
      <c r="B35427" s="2" t="str">
        <f>IFERROR(__xludf.DUMMYFUNCTION("GOOGLETRANSLATE(A35427, ""de"", ""en"")"),"erased")</f>
        <v>erased</v>
      </c>
    </row>
    <row r="35428">
      <c r="A35428" s="1" t="s">
        <v>35427</v>
      </c>
      <c r="B35428" s="2" t="str">
        <f>IFERROR(__xludf.DUMMYFUNCTION("GOOGLETRANSLATE(A35428, ""de"", ""en"")"),"love affair")</f>
        <v>love affair</v>
      </c>
    </row>
    <row r="35429">
      <c r="A35429" s="1" t="s">
        <v>35428</v>
      </c>
      <c r="B35429" s="2" t="str">
        <f>IFERROR(__xludf.DUMMYFUNCTION("GOOGLETRANSLATE(A35429, ""de"", ""en"")"),"sometimes")</f>
        <v>sometimes</v>
      </c>
    </row>
    <row r="35430">
      <c r="A35430" s="1" t="s">
        <v>35429</v>
      </c>
      <c r="B35430" s="2" t="str">
        <f>IFERROR(__xludf.DUMMYFUNCTION("GOOGLETRANSLATE(A35430, ""de"", ""en"")"),"explored")</f>
        <v>explored</v>
      </c>
    </row>
    <row r="35431">
      <c r="A35431" s="1" t="s">
        <v>35430</v>
      </c>
      <c r="B35431" s="2" t="str">
        <f>IFERROR(__xludf.DUMMYFUNCTION("GOOGLETRANSLATE(A35431, ""de"", ""en"")"),"ledoux")</f>
        <v>ledoux</v>
      </c>
    </row>
    <row r="35432">
      <c r="A35432" s="1" t="s">
        <v>35431</v>
      </c>
      <c r="B35432" s="2" t="str">
        <f>IFERROR(__xludf.DUMMYFUNCTION("GOOGLETRANSLATE(A35432, ""de"", ""en"")"),"o.y.")</f>
        <v>o.y.</v>
      </c>
    </row>
    <row r="35433">
      <c r="A35433" s="1" t="s">
        <v>35432</v>
      </c>
      <c r="B35433" s="2" t="str">
        <f>IFERROR(__xludf.DUMMYFUNCTION("GOOGLETRANSLATE(A35433, ""de"", ""en"")"),"record contract")</f>
        <v>record contract</v>
      </c>
    </row>
    <row r="35434">
      <c r="A35434" s="1" t="s">
        <v>35433</v>
      </c>
      <c r="B35434" s="2" t="str">
        <f>IFERROR(__xludf.DUMMYFUNCTION("GOOGLETRANSLATE(A35434, ""de"", ""en"")"),"oxy")</f>
        <v>oxy</v>
      </c>
    </row>
    <row r="35435">
      <c r="A35435" s="1" t="s">
        <v>35434</v>
      </c>
      <c r="B35435" s="2" t="str">
        <f>IFERROR(__xludf.DUMMYFUNCTION("GOOGLETRANSLATE(A35435, ""de"", ""en"")"),"murder trial")</f>
        <v>murder trial</v>
      </c>
    </row>
    <row r="35436">
      <c r="A35436" s="1" t="s">
        <v>35435</v>
      </c>
      <c r="B35436" s="2" t="str">
        <f>IFERROR(__xludf.DUMMYFUNCTION("GOOGLETRANSLATE(A35436, ""de"", ""en"")"),"design")</f>
        <v>design</v>
      </c>
    </row>
    <row r="35437">
      <c r="A35437" s="1" t="s">
        <v>35436</v>
      </c>
      <c r="B35437" s="2" t="str">
        <f>IFERROR(__xludf.DUMMYFUNCTION("GOOGLETRANSLATE(A35437, ""de"", ""en"")"),"beautiful")</f>
        <v>beautiful</v>
      </c>
    </row>
    <row r="35438">
      <c r="A35438" s="1" t="s">
        <v>35437</v>
      </c>
      <c r="B35438" s="2" t="str">
        <f>IFERROR(__xludf.DUMMYFUNCTION("GOOGLETRANSLATE(A35438, ""de"", ""en"")"),"supervised")</f>
        <v>supervised</v>
      </c>
    </row>
    <row r="35439">
      <c r="A35439" s="1" t="s">
        <v>35438</v>
      </c>
      <c r="B35439" s="2" t="str">
        <f>IFERROR(__xludf.DUMMYFUNCTION("GOOGLETRANSLATE(A35439, ""de"", ""en"")"),"breadcrumbs")</f>
        <v>breadcrumbs</v>
      </c>
    </row>
    <row r="35440">
      <c r="A35440" s="1" t="s">
        <v>35439</v>
      </c>
      <c r="B35440" s="2" t="str">
        <f>IFERROR(__xludf.DUMMYFUNCTION("GOOGLETRANSLATE(A35440, ""de"", ""en"")"),"weather forecast")</f>
        <v>weather forecast</v>
      </c>
    </row>
    <row r="35441">
      <c r="A35441" s="1" t="s">
        <v>35440</v>
      </c>
      <c r="B35441" s="2" t="str">
        <f>IFERROR(__xludf.DUMMYFUNCTION("GOOGLETRANSLATE(A35441, ""de"", ""en"")"),"scales")</f>
        <v>scales</v>
      </c>
    </row>
    <row r="35442">
      <c r="A35442" s="1" t="s">
        <v>35441</v>
      </c>
      <c r="B35442" s="2" t="str">
        <f>IFERROR(__xludf.DUMMYFUNCTION("GOOGLETRANSLATE(A35442, ""de"", ""en"")"),"immense")</f>
        <v>immense</v>
      </c>
    </row>
    <row r="35443">
      <c r="A35443" s="1" t="s">
        <v>35442</v>
      </c>
      <c r="B35443" s="2" t="str">
        <f>IFERROR(__xludf.DUMMYFUNCTION("GOOGLETRANSLATE(A35443, ""de"", ""en"")"),"restricts")</f>
        <v>restricts</v>
      </c>
    </row>
    <row r="35444">
      <c r="A35444" s="1" t="s">
        <v>35443</v>
      </c>
      <c r="B35444" s="2" t="str">
        <f>IFERROR(__xludf.DUMMYFUNCTION("GOOGLETRANSLATE(A35444, ""de"", ""en"")"),"zampano")</f>
        <v>zampano</v>
      </c>
    </row>
    <row r="35445">
      <c r="A35445" s="1" t="s">
        <v>35444</v>
      </c>
      <c r="B35445" s="2" t="str">
        <f>IFERROR(__xludf.DUMMYFUNCTION("GOOGLETRANSLATE(A35445, ""de"", ""en"")"),"more curious")</f>
        <v>more curious</v>
      </c>
    </row>
    <row r="35446">
      <c r="A35446" s="1" t="s">
        <v>35445</v>
      </c>
      <c r="B35446" s="2" t="str">
        <f>IFERROR(__xludf.DUMMYFUNCTION("GOOGLETRANSLATE(A35446, ""de"", ""en"")"),"contact")</f>
        <v>contact</v>
      </c>
    </row>
    <row r="35447">
      <c r="A35447" s="1" t="s">
        <v>35446</v>
      </c>
      <c r="B35447" s="2" t="str">
        <f>IFERROR(__xludf.DUMMYFUNCTION("GOOGLETRANSLATE(A35447, ""de"", ""en"")"),"stopped")</f>
        <v>stopped</v>
      </c>
    </row>
    <row r="35448">
      <c r="A35448" s="1" t="s">
        <v>35447</v>
      </c>
      <c r="B35448" s="2" t="str">
        <f>IFERROR(__xludf.DUMMYFUNCTION("GOOGLETRANSLATE(A35448, ""de"", ""en"")"),"put back")</f>
        <v>put back</v>
      </c>
    </row>
    <row r="35449">
      <c r="A35449" s="1" t="s">
        <v>35448</v>
      </c>
      <c r="B35449" s="2" t="str">
        <f>IFERROR(__xludf.DUMMYFUNCTION("GOOGLETRANSLATE(A35449, ""de"", ""en"")"),"received")</f>
        <v>received</v>
      </c>
    </row>
    <row r="35450">
      <c r="A35450" s="1" t="s">
        <v>35449</v>
      </c>
      <c r="B35450" s="2" t="str">
        <f>IFERROR(__xludf.DUMMYFUNCTION("GOOGLETRANSLATE(A35450, ""de"", ""en"")"),"record")</f>
        <v>record</v>
      </c>
    </row>
    <row r="35451">
      <c r="A35451" s="1" t="s">
        <v>35450</v>
      </c>
      <c r="B35451" s="2" t="str">
        <f>IFERROR(__xludf.DUMMYFUNCTION("GOOGLETRANSLATE(A35451, ""de"", ""en"")"),"kettle")</f>
        <v>kettle</v>
      </c>
    </row>
    <row r="35452">
      <c r="A35452" s="1" t="s">
        <v>35451</v>
      </c>
      <c r="B35452" s="2" t="str">
        <f>IFERROR(__xludf.DUMMYFUNCTION("GOOGLETRANSLATE(A35452, ""de"", ""en"")"),"indispensable")</f>
        <v>indispensable</v>
      </c>
    </row>
    <row r="35453">
      <c r="A35453" s="1" t="s">
        <v>35452</v>
      </c>
      <c r="B35453" s="2" t="str">
        <f>IFERROR(__xludf.DUMMYFUNCTION("GOOGLETRANSLATE(A35453, ""de"", ""en"")"),"legate")</f>
        <v>legate</v>
      </c>
    </row>
    <row r="35454">
      <c r="A35454" s="1" t="s">
        <v>35453</v>
      </c>
      <c r="B35454" s="2" t="str">
        <f>IFERROR(__xludf.DUMMYFUNCTION("GOOGLETRANSLATE(A35454, ""de"", ""en"")"),"leonards")</f>
        <v>leonards</v>
      </c>
    </row>
    <row r="35455">
      <c r="A35455" s="1" t="s">
        <v>35454</v>
      </c>
      <c r="B35455" s="2" t="str">
        <f>IFERROR(__xludf.DUMMYFUNCTION("GOOGLETRANSLATE(A35455, ""de"", ""en"")"),"sten")</f>
        <v>sten</v>
      </c>
    </row>
    <row r="35456">
      <c r="A35456" s="1" t="s">
        <v>35455</v>
      </c>
      <c r="B35456" s="2" t="str">
        <f>IFERROR(__xludf.DUMMYFUNCTION("GOOGLETRANSLATE(A35456, ""de"", ""en"")"),"calculator")</f>
        <v>calculator</v>
      </c>
    </row>
    <row r="35457">
      <c r="A35457" s="1" t="s">
        <v>35456</v>
      </c>
      <c r="B35457" s="2" t="str">
        <f>IFERROR(__xludf.DUMMYFUNCTION("GOOGLETRANSLATE(A35457, ""de"", ""en"")"),"seasoned")</f>
        <v>seasoned</v>
      </c>
    </row>
    <row r="35458">
      <c r="A35458" s="1" t="s">
        <v>35457</v>
      </c>
      <c r="B35458" s="2" t="str">
        <f>IFERROR(__xludf.DUMMYFUNCTION("GOOGLETRANSLATE(A35458, ""de"", ""en"")"),"jumping jack")</f>
        <v>jumping jack</v>
      </c>
    </row>
    <row r="35459">
      <c r="A35459" s="1" t="s">
        <v>35458</v>
      </c>
      <c r="B35459" s="2" t="str">
        <f>IFERROR(__xludf.DUMMYFUNCTION("GOOGLETRANSLATE(A35459, ""de"", ""en"")"),"central bank")</f>
        <v>central bank</v>
      </c>
    </row>
    <row r="35460">
      <c r="A35460" s="1" t="s">
        <v>35459</v>
      </c>
      <c r="B35460" s="2" t="str">
        <f>IFERROR(__xludf.DUMMYFUNCTION("GOOGLETRANSLATE(A35460, ""de"", ""en"")"),"portals")</f>
        <v>portals</v>
      </c>
    </row>
    <row r="35461">
      <c r="A35461" s="1" t="s">
        <v>35460</v>
      </c>
      <c r="B35461" s="2" t="str">
        <f>IFERROR(__xludf.DUMMYFUNCTION("GOOGLETRANSLATE(A35461, ""de"", ""en"")"),"state border")</f>
        <v>state border</v>
      </c>
    </row>
    <row r="35462">
      <c r="A35462" s="1" t="s">
        <v>35461</v>
      </c>
      <c r="B35462" s="2" t="str">
        <f>IFERROR(__xludf.DUMMYFUNCTION("GOOGLETRANSLATE(A35462, ""de"", ""en"")"),"rowdy")</f>
        <v>rowdy</v>
      </c>
    </row>
    <row r="35463">
      <c r="A35463" s="1" t="s">
        <v>35462</v>
      </c>
      <c r="B35463" s="2" t="str">
        <f>IFERROR(__xludf.DUMMYFUNCTION("GOOGLETRANSLATE(A35463, ""de"", ""en"")"),"jc")</f>
        <v>jc</v>
      </c>
    </row>
    <row r="35464">
      <c r="A35464" s="1" t="s">
        <v>35463</v>
      </c>
      <c r="B35464" s="2" t="str">
        <f>IFERROR(__xludf.DUMMYFUNCTION("GOOGLETRANSLATE(A35464, ""de"", ""en"")"),"transmitter")</f>
        <v>transmitter</v>
      </c>
    </row>
    <row r="35465">
      <c r="A35465" s="1" t="s">
        <v>35464</v>
      </c>
      <c r="B35465" s="2" t="str">
        <f>IFERROR(__xludf.DUMMYFUNCTION("GOOGLETRANSLATE(A35465, ""de"", ""en"")"),"surprise attack")</f>
        <v>surprise attack</v>
      </c>
    </row>
    <row r="35466">
      <c r="A35466" s="1" t="s">
        <v>35465</v>
      </c>
      <c r="B35466" s="2" t="str">
        <f>IFERROR(__xludf.DUMMYFUNCTION("GOOGLETRANSLATE(A35466, ""de"", ""en"")"),"hachi")</f>
        <v>hachi</v>
      </c>
    </row>
    <row r="35467">
      <c r="A35467" s="1" t="s">
        <v>35466</v>
      </c>
      <c r="B35467" s="2" t="str">
        <f>IFERROR(__xludf.DUMMYFUNCTION("GOOGLETRANSLATE(A35467, ""de"", ""en"")"),"sat")</f>
        <v>sat</v>
      </c>
    </row>
    <row r="35468">
      <c r="A35468" s="1" t="s">
        <v>35467</v>
      </c>
      <c r="B35468" s="2" t="str">
        <f>IFERROR(__xludf.DUMMYFUNCTION("GOOGLETRANSLATE(A35468, ""de"", ""en"")"),"rotterdam")</f>
        <v>rotterdam</v>
      </c>
    </row>
    <row r="35469">
      <c r="A35469" s="1" t="s">
        <v>35468</v>
      </c>
      <c r="B35469" s="2" t="str">
        <f>IFERROR(__xludf.DUMMYFUNCTION("GOOGLETRANSLATE(A35469, ""de"", ""en"")"),"trenches")</f>
        <v>trenches</v>
      </c>
    </row>
    <row r="35470">
      <c r="A35470" s="1" t="s">
        <v>35469</v>
      </c>
      <c r="B35470" s="2" t="str">
        <f>IFERROR(__xludf.DUMMYFUNCTION("GOOGLETRANSLATE(A35470, ""de"", ""en"")"),"offices")</f>
        <v>offices</v>
      </c>
    </row>
    <row r="35471">
      <c r="A35471" s="1" t="s">
        <v>35470</v>
      </c>
      <c r="B35471" s="2" t="str">
        <f>IFERROR(__xludf.DUMMYFUNCTION("GOOGLETRANSLATE(A35471, ""de"", ""en"")"),"Ewa")</f>
        <v>Ewa</v>
      </c>
    </row>
    <row r="35472">
      <c r="A35472" s="1" t="s">
        <v>35471</v>
      </c>
      <c r="B35472" s="2" t="str">
        <f>IFERROR(__xludf.DUMMYFUNCTION("GOOGLETRANSLATE(A35472, ""de"", ""en"")"),"indigo")</f>
        <v>indigo</v>
      </c>
    </row>
    <row r="35473">
      <c r="A35473" s="1" t="s">
        <v>35472</v>
      </c>
      <c r="B35473" s="2" t="str">
        <f>IFERROR(__xludf.DUMMYFUNCTION("GOOGLETRANSLATE(A35473, ""de"", ""en"")"),"Irish")</f>
        <v>Irish</v>
      </c>
    </row>
    <row r="35474">
      <c r="A35474" s="1" t="s">
        <v>35473</v>
      </c>
      <c r="B35474" s="2" t="str">
        <f>IFERROR(__xludf.DUMMYFUNCTION("GOOGLETRANSLATE(A35474, ""de"", ""en"")"),"shameful")</f>
        <v>shameful</v>
      </c>
    </row>
    <row r="35475">
      <c r="A35475" s="1" t="s">
        <v>35474</v>
      </c>
      <c r="B35475" s="2" t="str">
        <f>IFERROR(__xludf.DUMMYFUNCTION("GOOGLETRANSLATE(A35475, ""de"", ""en"")"),"shhh")</f>
        <v>shhh</v>
      </c>
    </row>
    <row r="35476">
      <c r="A35476" s="1" t="s">
        <v>35475</v>
      </c>
      <c r="B35476" s="2" t="str">
        <f>IFERROR(__xludf.DUMMYFUNCTION("GOOGLETRANSLATE(A35476, ""de"", ""en"")"),"respectfully")</f>
        <v>respectfully</v>
      </c>
    </row>
    <row r="35477">
      <c r="A35477" s="1" t="s">
        <v>35476</v>
      </c>
      <c r="B35477" s="2" t="str">
        <f>IFERROR(__xludf.DUMMYFUNCTION("GOOGLETRANSLATE(A35477, ""de"", ""en"")"),"teleport")</f>
        <v>teleport</v>
      </c>
    </row>
    <row r="35478">
      <c r="A35478" s="1" t="s">
        <v>35477</v>
      </c>
      <c r="B35478" s="2" t="str">
        <f>IFERROR(__xludf.DUMMYFUNCTION("GOOGLETRANSLATE(A35478, ""de"", ""en"")"),"miyuki")</f>
        <v>miyuki</v>
      </c>
    </row>
    <row r="35479">
      <c r="A35479" s="1" t="s">
        <v>35478</v>
      </c>
      <c r="B35479" s="2" t="str">
        <f>IFERROR(__xludf.DUMMYFUNCTION("GOOGLETRANSLATE(A35479, ""de"", ""en"")"),"slip")</f>
        <v>slip</v>
      </c>
    </row>
    <row r="35480">
      <c r="A35480" s="1" t="s">
        <v>35479</v>
      </c>
      <c r="B35480" s="2" t="str">
        <f>IFERROR(__xludf.DUMMYFUNCTION("GOOGLETRANSLATE(A35480, ""de"", ""en"")"),"break down")</f>
        <v>break down</v>
      </c>
    </row>
    <row r="35481">
      <c r="A35481" s="1" t="s">
        <v>35480</v>
      </c>
      <c r="B35481" s="2" t="str">
        <f>IFERROR(__xludf.DUMMYFUNCTION("GOOGLETRANSLATE(A35481, ""de"", ""en"")"),"conclave")</f>
        <v>conclave</v>
      </c>
    </row>
    <row r="35482">
      <c r="A35482" s="1" t="s">
        <v>35481</v>
      </c>
      <c r="B35482" s="2" t="str">
        <f>IFERROR(__xludf.DUMMYFUNCTION("GOOGLETRANSLATE(A35482, ""de"", ""en"")"),"gets away")</f>
        <v>gets away</v>
      </c>
    </row>
    <row r="35483">
      <c r="A35483" s="1" t="s">
        <v>35482</v>
      </c>
      <c r="B35483" s="2" t="str">
        <f>IFERROR(__xludf.DUMMYFUNCTION("GOOGLETRANSLATE(A35483, ""de"", ""en"")"),"kamikaze")</f>
        <v>kamikaze</v>
      </c>
    </row>
    <row r="35484">
      <c r="A35484" s="1" t="s">
        <v>35483</v>
      </c>
      <c r="B35484" s="2" t="str">
        <f>IFERROR(__xludf.DUMMYFUNCTION("GOOGLETRANSLATE(A35484, ""de"", ""en"")"),"dismissed")</f>
        <v>dismissed</v>
      </c>
    </row>
    <row r="35485">
      <c r="A35485" s="1" t="s">
        <v>35484</v>
      </c>
      <c r="B35485" s="2" t="str">
        <f>IFERROR(__xludf.DUMMYFUNCTION("GOOGLETRANSLATE(A35485, ""de"", ""en"")"),"stubborn")</f>
        <v>stubborn</v>
      </c>
    </row>
    <row r="35486">
      <c r="A35486" s="1" t="s">
        <v>35485</v>
      </c>
      <c r="B35486" s="2" t="str">
        <f>IFERROR(__xludf.DUMMYFUNCTION("GOOGLETRANSLATE(A35486, ""de"", ""en"")"),"escalator")</f>
        <v>escalator</v>
      </c>
    </row>
    <row r="35487">
      <c r="A35487" s="1" t="s">
        <v>35486</v>
      </c>
      <c r="B35487" s="2" t="str">
        <f>IFERROR(__xludf.DUMMYFUNCTION("GOOGLETRANSLATE(A35487, ""de"", ""en"")"),"odins")</f>
        <v>odins</v>
      </c>
    </row>
    <row r="35488">
      <c r="A35488" s="1" t="s">
        <v>35487</v>
      </c>
      <c r="B35488" s="2" t="str">
        <f>IFERROR(__xludf.DUMMYFUNCTION("GOOGLETRANSLATE(A35488, ""de"", ""en"")"),"latitude")</f>
        <v>latitude</v>
      </c>
    </row>
    <row r="35489">
      <c r="A35489" s="1" t="s">
        <v>35488</v>
      </c>
      <c r="B35489" s="2" t="str">
        <f>IFERROR(__xludf.DUMMYFUNCTION("GOOGLETRANSLATE(A35489, ""de"", ""en"")"),"side effect")</f>
        <v>side effect</v>
      </c>
    </row>
    <row r="35490">
      <c r="A35490" s="1" t="s">
        <v>35489</v>
      </c>
      <c r="B35490" s="2" t="str">
        <f>IFERROR(__xludf.DUMMYFUNCTION("GOOGLETRANSLATE(A35490, ""de"", ""en"")"),"skylar")</f>
        <v>skylar</v>
      </c>
    </row>
    <row r="35491">
      <c r="A35491" s="1" t="s">
        <v>35490</v>
      </c>
      <c r="B35491" s="2" t="str">
        <f>IFERROR(__xludf.DUMMYFUNCTION("GOOGLETRANSLATE(A35491, ""de"", ""en"")"),"fouquet")</f>
        <v>fouquet</v>
      </c>
    </row>
    <row r="35492">
      <c r="A35492" s="1" t="s">
        <v>35491</v>
      </c>
      <c r="B35492" s="2" t="str">
        <f>IFERROR(__xludf.DUMMYFUNCTION("GOOGLETRANSLATE(A35492, ""de"", ""en"")"),"seducer")</f>
        <v>seducer</v>
      </c>
    </row>
    <row r="35493">
      <c r="A35493" s="1" t="s">
        <v>35492</v>
      </c>
      <c r="B35493" s="2" t="str">
        <f>IFERROR(__xludf.DUMMYFUNCTION("GOOGLETRANSLATE(A35493, ""de"", ""en"")"),"aung")</f>
        <v>aung</v>
      </c>
    </row>
    <row r="35494">
      <c r="A35494" s="1" t="s">
        <v>35493</v>
      </c>
      <c r="B35494" s="2" t="str">
        <f>IFERROR(__xludf.DUMMYFUNCTION("GOOGLETRANSLATE(A35494, ""de"", ""en"")"),"deputies")</f>
        <v>deputies</v>
      </c>
    </row>
    <row r="35495">
      <c r="A35495" s="1" t="s">
        <v>35494</v>
      </c>
      <c r="B35495" s="2" t="str">
        <f>IFERROR(__xludf.DUMMYFUNCTION("GOOGLETRANSLATE(A35495, ""de"", ""en"")"),"uh-uh")</f>
        <v>uh-uh</v>
      </c>
    </row>
    <row r="35496">
      <c r="A35496" s="1" t="s">
        <v>35495</v>
      </c>
      <c r="B35496" s="2" t="str">
        <f>IFERROR(__xludf.DUMMYFUNCTION("GOOGLETRANSLATE(A35496, ""de"", ""en"")"),"invaluable")</f>
        <v>invaluable</v>
      </c>
    </row>
    <row r="35497">
      <c r="A35497" s="1" t="s">
        <v>35496</v>
      </c>
      <c r="B35497" s="2" t="str">
        <f>IFERROR(__xludf.DUMMYFUNCTION("GOOGLETRANSLATE(A35497, ""de"", ""en"")"),"vs.")</f>
        <v>vs.</v>
      </c>
    </row>
    <row r="35498">
      <c r="A35498" s="1" t="s">
        <v>35497</v>
      </c>
      <c r="B35498" s="2" t="str">
        <f>IFERROR(__xludf.DUMMYFUNCTION("GOOGLETRANSLATE(A35498, ""de"", ""en"")"),"bypass")</f>
        <v>bypass</v>
      </c>
    </row>
    <row r="35499">
      <c r="A35499" s="1" t="s">
        <v>35498</v>
      </c>
      <c r="B35499" s="2" t="str">
        <f>IFERROR(__xludf.DUMMYFUNCTION("GOOGLETRANSLATE(A35499, ""de"", ""en"")"),"carm")</f>
        <v>carm</v>
      </c>
    </row>
    <row r="35500">
      <c r="A35500" s="1" t="s">
        <v>35499</v>
      </c>
      <c r="B35500" s="2" t="str">
        <f>IFERROR(__xludf.DUMMYFUNCTION("GOOGLETRANSLATE(A35500, ""de"", ""en"")"),"slim")</f>
        <v>slim</v>
      </c>
    </row>
    <row r="35501">
      <c r="A35501" s="1" t="s">
        <v>35500</v>
      </c>
      <c r="B35501" s="2" t="str">
        <f>IFERROR(__xludf.DUMMYFUNCTION("GOOGLETRANSLATE(A35501, ""de"", ""en"")"),"sixes")</f>
        <v>sixes</v>
      </c>
    </row>
    <row r="35502">
      <c r="A35502" s="1" t="s">
        <v>35501</v>
      </c>
      <c r="B35502" s="2" t="str">
        <f>IFERROR(__xludf.DUMMYFUNCTION("GOOGLETRANSLATE(A35502, ""de"", ""en"")"),"laboratory")</f>
        <v>laboratory</v>
      </c>
    </row>
    <row r="35503">
      <c r="A35503" s="1" t="s">
        <v>35502</v>
      </c>
      <c r="B35503" s="2" t="str">
        <f>IFERROR(__xludf.DUMMYFUNCTION("GOOGLETRANSLATE(A35503, ""de"", ""en"")"),"to be")</f>
        <v>to be</v>
      </c>
    </row>
    <row r="35504">
      <c r="A35504" s="1" t="s">
        <v>35503</v>
      </c>
      <c r="B35504" s="2" t="str">
        <f>IFERROR(__xludf.DUMMYFUNCTION("GOOGLETRANSLATE(A35504, ""de"", ""en"")"),"competitive")</f>
        <v>competitive</v>
      </c>
    </row>
    <row r="35505">
      <c r="A35505" s="1" t="s">
        <v>35504</v>
      </c>
      <c r="B35505" s="2" t="str">
        <f>IFERROR(__xludf.DUMMYFUNCTION("GOOGLETRANSLATE(A35505, ""de"", ""en"")"),"pacemaker")</f>
        <v>pacemaker</v>
      </c>
    </row>
    <row r="35506">
      <c r="A35506" s="1" t="s">
        <v>35505</v>
      </c>
      <c r="B35506" s="2" t="str">
        <f>IFERROR(__xludf.DUMMYFUNCTION("GOOGLETRANSLATE(A35506, ""de"", ""en"")"),"plaque")</f>
        <v>plaque</v>
      </c>
    </row>
    <row r="35507">
      <c r="A35507" s="1" t="s">
        <v>35506</v>
      </c>
      <c r="B35507" s="2" t="str">
        <f>IFERROR(__xludf.DUMMYFUNCTION("GOOGLETRANSLATE(A35507, ""de"", ""en"")"),"dumas")</f>
        <v>dumas</v>
      </c>
    </row>
    <row r="35508">
      <c r="A35508" s="1" t="s">
        <v>35507</v>
      </c>
      <c r="B35508" s="2" t="str">
        <f>IFERROR(__xludf.DUMMYFUNCTION("GOOGLETRANSLATE(A35508, ""de"", ""en"")"),"soundtrack")</f>
        <v>soundtrack</v>
      </c>
    </row>
    <row r="35509">
      <c r="A35509" s="1" t="s">
        <v>35508</v>
      </c>
      <c r="B35509" s="2" t="str">
        <f>IFERROR(__xludf.DUMMYFUNCTION("GOOGLETRANSLATE(A35509, ""de"", ""en"")"),"seclusion")</f>
        <v>seclusion</v>
      </c>
    </row>
    <row r="35510">
      <c r="A35510" s="1" t="s">
        <v>35509</v>
      </c>
      <c r="B35510" s="2" t="str">
        <f>IFERROR(__xludf.DUMMYFUNCTION("GOOGLETRANSLATE(A35510, ""de"", ""en"")"),"horus")</f>
        <v>horus</v>
      </c>
    </row>
    <row r="35511">
      <c r="A35511" s="1" t="s">
        <v>35510</v>
      </c>
      <c r="B35511" s="2" t="str">
        <f>IFERROR(__xludf.DUMMYFUNCTION("GOOGLETRANSLATE(A35511, ""de"", ""en"")"),"virgilia")</f>
        <v>virgilia</v>
      </c>
    </row>
    <row r="35512">
      <c r="A35512" s="1" t="s">
        <v>35511</v>
      </c>
      <c r="B35512" s="2" t="str">
        <f>IFERROR(__xludf.DUMMYFUNCTION("GOOGLETRANSLATE(A35512, ""de"", ""en"")"),"merlotte")</f>
        <v>merlotte</v>
      </c>
    </row>
    <row r="35513">
      <c r="A35513" s="1" t="s">
        <v>35512</v>
      </c>
      <c r="B35513" s="2" t="str">
        <f>IFERROR(__xludf.DUMMYFUNCTION("GOOGLETRANSLATE(A35513, ""de"", ""en"")"),"pose")</f>
        <v>pose</v>
      </c>
    </row>
    <row r="35514">
      <c r="A35514" s="1" t="s">
        <v>35513</v>
      </c>
      <c r="B35514" s="2" t="str">
        <f>IFERROR(__xludf.DUMMYFUNCTION("GOOGLETRANSLATE(A35514, ""de"", ""en"")"),"damage")</f>
        <v>damage</v>
      </c>
    </row>
    <row r="35515">
      <c r="A35515" s="1" t="s">
        <v>35514</v>
      </c>
      <c r="B35515" s="2" t="str">
        <f>IFERROR(__xludf.DUMMYFUNCTION("GOOGLETRANSLATE(A35515, ""de"", ""en"")"),"went up")</f>
        <v>went up</v>
      </c>
    </row>
    <row r="35516">
      <c r="A35516" s="1" t="s">
        <v>35515</v>
      </c>
      <c r="B35516" s="2" t="str">
        <f>IFERROR(__xludf.DUMMYFUNCTION("GOOGLETRANSLATE(A35516, ""de"", ""en"")"),"cleared away")</f>
        <v>cleared away</v>
      </c>
    </row>
    <row r="35517">
      <c r="A35517" s="1" t="s">
        <v>35516</v>
      </c>
      <c r="B35517" s="2" t="str">
        <f>IFERROR(__xludf.DUMMYFUNCTION("GOOGLETRANSLATE(A35517, ""de"", ""en"")"),"Adlers")</f>
        <v>Adlers</v>
      </c>
    </row>
    <row r="35518">
      <c r="A35518" s="1" t="s">
        <v>35517</v>
      </c>
      <c r="B35518" s="2" t="str">
        <f>IFERROR(__xludf.DUMMYFUNCTION("GOOGLETRANSLATE(A35518, ""de"", ""en"")"),"unusual")</f>
        <v>unusual</v>
      </c>
    </row>
    <row r="35519">
      <c r="A35519" s="1" t="s">
        <v>35518</v>
      </c>
      <c r="B35519" s="2" t="str">
        <f>IFERROR(__xludf.DUMMYFUNCTION("GOOGLETRANSLATE(A35519, ""de"", ""en"")"),"geary")</f>
        <v>geary</v>
      </c>
    </row>
    <row r="35520">
      <c r="A35520" s="1" t="s">
        <v>35519</v>
      </c>
      <c r="B35520" s="2" t="str">
        <f>IFERROR(__xludf.DUMMYFUNCTION("GOOGLETRANSLATE(A35520, ""de"", ""en"")"),"pau")</f>
        <v>pau</v>
      </c>
    </row>
    <row r="35521">
      <c r="A35521" s="1" t="s">
        <v>35520</v>
      </c>
      <c r="B35521" s="2" t="str">
        <f>IFERROR(__xludf.DUMMYFUNCTION("GOOGLETRANSLATE(A35521, ""de"", ""en"")"),"grimace")</f>
        <v>grimace</v>
      </c>
    </row>
    <row r="35522">
      <c r="A35522" s="1" t="s">
        <v>35521</v>
      </c>
      <c r="B35522" s="2" t="str">
        <f>IFERROR(__xludf.DUMMYFUNCTION("GOOGLETRANSLATE(A35522, ""de"", ""en"")"),"not for sale")</f>
        <v>not for sale</v>
      </c>
    </row>
    <row r="35523">
      <c r="A35523" s="1" t="s">
        <v>35522</v>
      </c>
      <c r="B35523" s="2" t="str">
        <f>IFERROR(__xludf.DUMMYFUNCTION("GOOGLETRANSLATE(A35523, ""de"", ""en"")"),"photoshoot")</f>
        <v>photoshoot</v>
      </c>
    </row>
    <row r="35524">
      <c r="A35524" s="1" t="s">
        <v>35523</v>
      </c>
      <c r="B35524" s="2" t="str">
        <f>IFERROR(__xludf.DUMMYFUNCTION("GOOGLETRANSLATE(A35524, ""de"", ""en"")"),"explosives")</f>
        <v>explosives</v>
      </c>
    </row>
    <row r="35525">
      <c r="A35525" s="1" t="s">
        <v>35524</v>
      </c>
      <c r="B35525" s="2" t="str">
        <f>IFERROR(__xludf.DUMMYFUNCTION("GOOGLETRANSLATE(A35525, ""de"", ""en"")"),"broken")</f>
        <v>broken</v>
      </c>
    </row>
    <row r="35526">
      <c r="A35526" s="1" t="s">
        <v>35525</v>
      </c>
      <c r="B35526" s="2" t="str">
        <f>IFERROR(__xludf.DUMMYFUNCTION("GOOGLETRANSLATE(A35526, ""de"", ""en"")"),"jacoby")</f>
        <v>jacoby</v>
      </c>
    </row>
    <row r="35527">
      <c r="A35527" s="1" t="s">
        <v>35526</v>
      </c>
      <c r="B35527" s="2" t="str">
        <f>IFERROR(__xludf.DUMMYFUNCTION("GOOGLETRANSLATE(A35527, ""de"", ""en"")"),"lives on")</f>
        <v>lives on</v>
      </c>
    </row>
    <row r="35528">
      <c r="A35528" s="1" t="s">
        <v>35527</v>
      </c>
      <c r="B35528" s="2" t="str">
        <f>IFERROR(__xludf.DUMMYFUNCTION("GOOGLETRANSLATE(A35528, ""de"", ""en"")"),"Margaret")</f>
        <v>Margaret</v>
      </c>
    </row>
    <row r="35529">
      <c r="A35529" s="1" t="s">
        <v>35528</v>
      </c>
      <c r="B35529" s="2" t="str">
        <f>IFERROR(__xludf.DUMMYFUNCTION("GOOGLETRANSLATE(A35529, ""de"", ""en"")"),"relevant")</f>
        <v>relevant</v>
      </c>
    </row>
    <row r="35530">
      <c r="A35530" s="1" t="s">
        <v>35529</v>
      </c>
      <c r="B35530" s="2" t="str">
        <f>IFERROR(__xludf.DUMMYFUNCTION("GOOGLETRANSLATE(A35530, ""de"", ""en"")"),"today")</f>
        <v>today</v>
      </c>
    </row>
    <row r="35531">
      <c r="A35531" s="1" t="s">
        <v>35530</v>
      </c>
      <c r="B35531" s="2" t="str">
        <f>IFERROR(__xludf.DUMMYFUNCTION("GOOGLETRANSLATE(A35531, ""de"", ""en"")"),"eight")</f>
        <v>eight</v>
      </c>
    </row>
    <row r="35532">
      <c r="A35532" s="1" t="s">
        <v>35531</v>
      </c>
      <c r="B35532" s="2" t="str">
        <f>IFERROR(__xludf.DUMMYFUNCTION("GOOGLETRANSLATE(A35532, ""de"", ""en"")"),"wound")</f>
        <v>wound</v>
      </c>
    </row>
    <row r="35533">
      <c r="A35533" s="1" t="s">
        <v>35532</v>
      </c>
      <c r="B35533" s="2" t="str">
        <f>IFERROR(__xludf.DUMMYFUNCTION("GOOGLETRANSLATE(A35533, ""de"", ""en"")"),"emory")</f>
        <v>emory</v>
      </c>
    </row>
    <row r="35534">
      <c r="A35534" s="1" t="s">
        <v>35533</v>
      </c>
      <c r="B35534" s="2" t="str">
        <f>IFERROR(__xludf.DUMMYFUNCTION("GOOGLETRANSLATE(A35534, ""de"", ""en"")"),"gets out")</f>
        <v>gets out</v>
      </c>
    </row>
    <row r="35535">
      <c r="A35535" s="1" t="s">
        <v>35534</v>
      </c>
      <c r="B35535" s="2" t="str">
        <f>IFERROR(__xludf.DUMMYFUNCTION("GOOGLETRANSLATE(A35535, ""de"", ""en"")"),"throws")</f>
        <v>throws</v>
      </c>
    </row>
    <row r="35536">
      <c r="A35536" s="1" t="s">
        <v>35535</v>
      </c>
      <c r="B35536" s="2" t="str">
        <f>IFERROR(__xludf.DUMMYFUNCTION("GOOGLETRANSLATE(A35536, ""de"", ""en"")"),"elapsed")</f>
        <v>elapsed</v>
      </c>
    </row>
    <row r="35537">
      <c r="A35537" s="1" t="s">
        <v>35536</v>
      </c>
      <c r="B35537" s="2" t="str">
        <f>IFERROR(__xludf.DUMMYFUNCTION("GOOGLETRANSLATE(A35537, ""de"", ""en"")"),"acquaintances")</f>
        <v>acquaintances</v>
      </c>
    </row>
    <row r="35538">
      <c r="A35538" s="1" t="s">
        <v>35537</v>
      </c>
      <c r="B35538" s="2" t="str">
        <f>IFERROR(__xludf.DUMMYFUNCTION("GOOGLETRANSLATE(A35538, ""de"", ""en"")"),"turkeys")</f>
        <v>turkeys</v>
      </c>
    </row>
    <row r="35539">
      <c r="A35539" s="1" t="s">
        <v>35538</v>
      </c>
      <c r="B35539" s="2" t="str">
        <f>IFERROR(__xludf.DUMMYFUNCTION("GOOGLETRANSLATE(A35539, ""de"", ""en"")"),"delivered")</f>
        <v>delivered</v>
      </c>
    </row>
    <row r="35540">
      <c r="A35540" s="1" t="s">
        <v>35539</v>
      </c>
      <c r="B35540" s="2" t="str">
        <f>IFERROR(__xludf.DUMMYFUNCTION("GOOGLETRANSLATE(A35540, ""de"", ""en"")"),"lanes")</f>
        <v>lanes</v>
      </c>
    </row>
    <row r="35541">
      <c r="A35541" s="1" t="s">
        <v>35540</v>
      </c>
      <c r="B35541" s="2" t="str">
        <f>IFERROR(__xludf.DUMMYFUNCTION("GOOGLETRANSLATE(A35541, ""de"", ""en"")"),"declare")</f>
        <v>declare</v>
      </c>
    </row>
    <row r="35542">
      <c r="A35542" s="1" t="s">
        <v>35541</v>
      </c>
      <c r="B35542" s="2" t="str">
        <f>IFERROR(__xludf.DUMMYFUNCTION("GOOGLETRANSLATE(A35542, ""de"", ""en"")"),"matts")</f>
        <v>matts</v>
      </c>
    </row>
    <row r="35543">
      <c r="A35543" s="1" t="s">
        <v>35542</v>
      </c>
      <c r="B35543" s="2" t="str">
        <f>IFERROR(__xludf.DUMMYFUNCTION("GOOGLETRANSLATE(A35543, ""de"", ""en"")"),"to doubt")</f>
        <v>to doubt</v>
      </c>
    </row>
    <row r="35544">
      <c r="A35544" s="1" t="s">
        <v>35543</v>
      </c>
      <c r="B35544" s="2" t="str">
        <f>IFERROR(__xludf.DUMMYFUNCTION("GOOGLETRANSLATE(A35544, ""de"", ""en"")"),"nourish")</f>
        <v>nourish</v>
      </c>
    </row>
    <row r="35545">
      <c r="A35545" s="1" t="s">
        <v>35544</v>
      </c>
      <c r="B35545" s="2" t="str">
        <f>IFERROR(__xludf.DUMMYFUNCTION("GOOGLETRANSLATE(A35545, ""de"", ""en"")"),"revere")</f>
        <v>revere</v>
      </c>
    </row>
    <row r="35546">
      <c r="A35546" s="1" t="s">
        <v>35545</v>
      </c>
      <c r="B35546" s="2" t="str">
        <f>IFERROR(__xludf.DUMMYFUNCTION("GOOGLETRANSLATE(A35546, ""de"", ""en"")"),"complained")</f>
        <v>complained</v>
      </c>
    </row>
    <row r="35547">
      <c r="A35547" s="1" t="s">
        <v>35546</v>
      </c>
      <c r="B35547" s="2" t="str">
        <f>IFERROR(__xludf.DUMMYFUNCTION("GOOGLETRANSLATE(A35547, ""de"", ""en"")"),"hallucinate")</f>
        <v>hallucinate</v>
      </c>
    </row>
    <row r="35548">
      <c r="A35548" s="1" t="s">
        <v>35547</v>
      </c>
      <c r="B35548" s="2" t="str">
        <f>IFERROR(__xludf.DUMMYFUNCTION("GOOGLETRANSLATE(A35548, ""de"", ""en"")"),"prejudice")</f>
        <v>prejudice</v>
      </c>
    </row>
    <row r="35549">
      <c r="A35549" s="1" t="s">
        <v>35548</v>
      </c>
      <c r="B35549" s="2" t="str">
        <f>IFERROR(__xludf.DUMMYFUNCTION("GOOGLETRANSLATE(A35549, ""de"", ""en"")"),"glory")</f>
        <v>glory</v>
      </c>
    </row>
    <row r="35550">
      <c r="A35550" s="1" t="s">
        <v>35549</v>
      </c>
      <c r="B35550" s="2" t="str">
        <f>IFERROR(__xludf.DUMMYFUNCTION("GOOGLETRANSLATE(A35550, ""de"", ""en"")"),"Colombian")</f>
        <v>Colombian</v>
      </c>
    </row>
    <row r="35551">
      <c r="A35551" s="1" t="s">
        <v>35550</v>
      </c>
      <c r="B35551" s="2" t="str">
        <f>IFERROR(__xludf.DUMMYFUNCTION("GOOGLETRANSLATE(A35551, ""de"", ""en"")"),"boys")</f>
        <v>boys</v>
      </c>
    </row>
    <row r="35552">
      <c r="A35552" s="1" t="s">
        <v>35551</v>
      </c>
      <c r="B35552" s="2" t="str">
        <f>IFERROR(__xludf.DUMMYFUNCTION("GOOGLETRANSLATE(A35552, ""de"", ""en"")"),"shady")</f>
        <v>shady</v>
      </c>
    </row>
    <row r="35553">
      <c r="A35553" s="1" t="s">
        <v>35552</v>
      </c>
      <c r="B35553" s="2" t="str">
        <f>IFERROR(__xludf.DUMMYFUNCTION("GOOGLETRANSLATE(A35553, ""de"", ""en"")"),"events")</f>
        <v>events</v>
      </c>
    </row>
    <row r="35554">
      <c r="A35554" s="1" t="s">
        <v>35553</v>
      </c>
      <c r="B35554" s="2" t="str">
        <f>IFERROR(__xludf.DUMMYFUNCTION("GOOGLETRANSLATE(A35554, ""de"", ""en"")"),"execute")</f>
        <v>execute</v>
      </c>
    </row>
    <row r="35555">
      <c r="A35555" s="1" t="s">
        <v>35554</v>
      </c>
      <c r="B35555" s="2" t="str">
        <f>IFERROR(__xludf.DUMMYFUNCTION("GOOGLETRANSLATE(A35555, ""de"", ""en"")"),"more insignificant")</f>
        <v>more insignificant</v>
      </c>
    </row>
    <row r="35556">
      <c r="A35556" s="1" t="s">
        <v>35555</v>
      </c>
      <c r="B35556" s="2" t="str">
        <f>IFERROR(__xludf.DUMMYFUNCTION("GOOGLETRANSLATE(A35556, ""de"", ""en"")"),"jump up")</f>
        <v>jump up</v>
      </c>
    </row>
    <row r="35557">
      <c r="A35557" s="1" t="s">
        <v>35556</v>
      </c>
      <c r="B35557" s="2" t="str">
        <f>IFERROR(__xludf.DUMMYFUNCTION("GOOGLETRANSLATE(A35557, ""de"", ""en"")"),"evaporates")</f>
        <v>evaporates</v>
      </c>
    </row>
    <row r="35558">
      <c r="A35558" s="1" t="s">
        <v>35557</v>
      </c>
      <c r="B35558" s="2" t="str">
        <f>IFERROR(__xludf.DUMMYFUNCTION("GOOGLETRANSLATE(A35558, ""de"", ""en"")"),"front seat")</f>
        <v>front seat</v>
      </c>
    </row>
    <row r="35559">
      <c r="A35559" s="1" t="s">
        <v>35558</v>
      </c>
      <c r="B35559" s="2" t="str">
        <f>IFERROR(__xludf.DUMMYFUNCTION("GOOGLETRANSLATE(A35559, ""de"", ""en"")"),"lick")</f>
        <v>lick</v>
      </c>
    </row>
    <row r="35560">
      <c r="A35560" s="1" t="s">
        <v>35559</v>
      </c>
      <c r="B35560" s="2" t="str">
        <f>IFERROR(__xludf.DUMMYFUNCTION("GOOGLETRANSLATE(A35560, ""de"", ""en"")"),"aggressiveness")</f>
        <v>aggressiveness</v>
      </c>
    </row>
    <row r="35561">
      <c r="A35561" s="1" t="s">
        <v>35560</v>
      </c>
      <c r="B35561" s="2" t="str">
        <f>IFERROR(__xludf.DUMMYFUNCTION("GOOGLETRANSLATE(A35561, ""de"", ""en"")"),"wealthy")</f>
        <v>wealthy</v>
      </c>
    </row>
    <row r="35562">
      <c r="A35562" s="1" t="s">
        <v>35561</v>
      </c>
      <c r="B35562" s="2" t="str">
        <f>IFERROR(__xludf.DUMMYFUNCTION("GOOGLETRANSLATE(A35562, ""de"", ""en"")"),"chiropractor")</f>
        <v>chiropractor</v>
      </c>
    </row>
    <row r="35563">
      <c r="A35563" s="1" t="s">
        <v>35562</v>
      </c>
      <c r="B35563" s="2" t="str">
        <f>IFERROR(__xludf.DUMMYFUNCTION("GOOGLETRANSLATE(A35563, ""de"", ""en"")"),"urges")</f>
        <v>urges</v>
      </c>
    </row>
    <row r="35564">
      <c r="A35564" s="1" t="s">
        <v>35563</v>
      </c>
      <c r="B35564" s="2" t="str">
        <f>IFERROR(__xludf.DUMMYFUNCTION("GOOGLETRANSLATE(A35564, ""de"", ""en"")"),"boss around")</f>
        <v>boss around</v>
      </c>
    </row>
    <row r="35565">
      <c r="A35565" s="1" t="s">
        <v>35564</v>
      </c>
      <c r="B35565" s="2" t="str">
        <f>IFERROR(__xludf.DUMMYFUNCTION("GOOGLETRANSLATE(A35565, ""de"", ""en"")"),"pay homage")</f>
        <v>pay homage</v>
      </c>
    </row>
    <row r="35566">
      <c r="A35566" s="1" t="s">
        <v>35565</v>
      </c>
      <c r="B35566" s="2" t="str">
        <f>IFERROR(__xludf.DUMMYFUNCTION("GOOGLETRANSLATE(A35566, ""de"", ""en"")"),"smokes")</f>
        <v>smokes</v>
      </c>
    </row>
    <row r="35567">
      <c r="A35567" s="1" t="s">
        <v>35566</v>
      </c>
      <c r="B35567" s="2" t="str">
        <f>IFERROR(__xludf.DUMMYFUNCTION("GOOGLETRANSLATE(A35567, ""de"", ""en"")"),"gymnastics")</f>
        <v>gymnastics</v>
      </c>
    </row>
    <row r="35568">
      <c r="A35568" s="1" t="s">
        <v>35567</v>
      </c>
      <c r="B35568" s="2" t="str">
        <f>IFERROR(__xludf.DUMMYFUNCTION("GOOGLETRANSLATE(A35568, ""de"", ""en"")"),"bonds")</f>
        <v>bonds</v>
      </c>
    </row>
    <row r="35569">
      <c r="A35569" s="1" t="s">
        <v>35568</v>
      </c>
      <c r="B35569" s="2" t="str">
        <f>IFERROR(__xludf.DUMMYFUNCTION("GOOGLETRANSLATE(A35569, ""de"", ""en"")"),"muscular")</f>
        <v>muscular</v>
      </c>
    </row>
    <row r="35570">
      <c r="A35570" s="1" t="s">
        <v>35569</v>
      </c>
      <c r="B35570" s="2" t="str">
        <f>IFERROR(__xludf.DUMMYFUNCTION("GOOGLETRANSLATE(A35570, ""de"", ""en"")"),"suspiciously")</f>
        <v>suspiciously</v>
      </c>
    </row>
    <row r="35571">
      <c r="A35571" s="1" t="s">
        <v>35570</v>
      </c>
      <c r="B35571" s="2" t="str">
        <f>IFERROR(__xludf.DUMMYFUNCTION("GOOGLETRANSLATE(A35571, ""de"", ""en"")"),"watchmaker")</f>
        <v>watchmaker</v>
      </c>
    </row>
    <row r="35572">
      <c r="A35572" s="1" t="s">
        <v>35571</v>
      </c>
      <c r="B35572" s="2" t="str">
        <f>IFERROR(__xludf.DUMMYFUNCTION("GOOGLETRANSLATE(A35572, ""de"", ""en"")"),"udon")</f>
        <v>udon</v>
      </c>
    </row>
    <row r="35573">
      <c r="A35573" s="1" t="s">
        <v>35572</v>
      </c>
      <c r="B35573" s="2" t="str">
        <f>IFERROR(__xludf.DUMMYFUNCTION("GOOGLETRANSLATE(A35573, ""de"", ""en"")"),"scorpion")</f>
        <v>scorpion</v>
      </c>
    </row>
    <row r="35574">
      <c r="A35574" s="1" t="s">
        <v>35573</v>
      </c>
      <c r="B35574" s="2" t="str">
        <f>IFERROR(__xludf.DUMMYFUNCTION("GOOGLETRANSLATE(A35574, ""de"", ""en"")"),"harve")</f>
        <v>harve</v>
      </c>
    </row>
    <row r="35575">
      <c r="A35575" s="1" t="s">
        <v>35574</v>
      </c>
      <c r="B35575" s="2" t="str">
        <f>IFERROR(__xludf.DUMMYFUNCTION("GOOGLETRANSLATE(A35575, ""de"", ""en"")"),"procession")</f>
        <v>procession</v>
      </c>
    </row>
    <row r="35576">
      <c r="A35576" s="1" t="s">
        <v>35575</v>
      </c>
      <c r="B35576" s="2" t="str">
        <f>IFERROR(__xludf.DUMMYFUNCTION("GOOGLETRANSLATE(A35576, ""de"", ""en"")"),"bandwidth")</f>
        <v>bandwidth</v>
      </c>
    </row>
    <row r="35577">
      <c r="A35577" s="1" t="s">
        <v>35576</v>
      </c>
      <c r="B35577" s="2" t="str">
        <f>IFERROR(__xludf.DUMMYFUNCTION("GOOGLETRANSLATE(A35577, ""de"", ""en"")"),"to let in")</f>
        <v>to let in</v>
      </c>
    </row>
    <row r="35578">
      <c r="A35578" s="1" t="s">
        <v>35577</v>
      </c>
      <c r="B35578" s="2" t="str">
        <f>IFERROR(__xludf.DUMMYFUNCTION("GOOGLETRANSLATE(A35578, ""de"", ""en"")"),"elsbeth")</f>
        <v>elsbeth</v>
      </c>
    </row>
    <row r="35579">
      <c r="A35579" s="1" t="s">
        <v>35578</v>
      </c>
      <c r="B35579" s="2" t="str">
        <f>IFERROR(__xludf.DUMMYFUNCTION("GOOGLETRANSLATE(A35579, ""de"", ""en"")"),"emergency services")</f>
        <v>emergency services</v>
      </c>
    </row>
    <row r="35580">
      <c r="A35580" s="1" t="s">
        <v>35579</v>
      </c>
      <c r="B35580" s="2" t="str">
        <f>IFERROR(__xludf.DUMMYFUNCTION("GOOGLETRANSLATE(A35580, ""de"", ""en"")"),"circle of friends")</f>
        <v>circle of friends</v>
      </c>
    </row>
    <row r="35581">
      <c r="A35581" s="1" t="s">
        <v>35580</v>
      </c>
      <c r="B35581" s="2" t="str">
        <f>IFERROR(__xludf.DUMMYFUNCTION("GOOGLETRANSLATE(A35581, ""de"", ""en"")"),"bellefleur")</f>
        <v>bellefleur</v>
      </c>
    </row>
    <row r="35582">
      <c r="A35582" s="1" t="s">
        <v>35581</v>
      </c>
      <c r="B35582" s="2" t="str">
        <f>IFERROR(__xludf.DUMMYFUNCTION("GOOGLETRANSLATE(A35582, ""de"", ""en"")"),"look around")</f>
        <v>look around</v>
      </c>
    </row>
    <row r="35583">
      <c r="A35583" s="1" t="s">
        <v>35582</v>
      </c>
      <c r="B35583" s="2" t="str">
        <f>IFERROR(__xludf.DUMMYFUNCTION("GOOGLETRANSLATE(A35583, ""de"", ""en"")"),"regeneration")</f>
        <v>regeneration</v>
      </c>
    </row>
    <row r="35584">
      <c r="A35584" s="1" t="s">
        <v>35583</v>
      </c>
      <c r="B35584" s="2" t="str">
        <f>IFERROR(__xludf.DUMMYFUNCTION("GOOGLETRANSLATE(A35584, ""de"", ""en"")"),"regret")</f>
        <v>regret</v>
      </c>
    </row>
    <row r="35585">
      <c r="A35585" s="1" t="s">
        <v>35584</v>
      </c>
      <c r="B35585" s="2" t="str">
        <f>IFERROR(__xludf.DUMMYFUNCTION("GOOGLETRANSLATE(A35585, ""de"", ""en"")"),"financial advisor")</f>
        <v>financial advisor</v>
      </c>
    </row>
    <row r="35586">
      <c r="A35586" s="1" t="s">
        <v>35585</v>
      </c>
      <c r="B35586" s="2" t="str">
        <f>IFERROR(__xludf.DUMMYFUNCTION("GOOGLETRANSLATE(A35586, ""de"", ""en"")"),"singularity")</f>
        <v>singularity</v>
      </c>
    </row>
    <row r="35587">
      <c r="A35587" s="1" t="s">
        <v>35586</v>
      </c>
      <c r="B35587" s="2" t="str">
        <f>IFERROR(__xludf.DUMMYFUNCTION("GOOGLETRANSLATE(A35587, ""de"", ""en"")"),"council")</f>
        <v>council</v>
      </c>
    </row>
    <row r="35588">
      <c r="A35588" s="1" t="s">
        <v>35587</v>
      </c>
      <c r="B35588" s="2" t="str">
        <f>IFERROR(__xludf.DUMMYFUNCTION("GOOGLETRANSLATE(A35588, ""de"", ""en"")"),"memory loss")</f>
        <v>memory loss</v>
      </c>
    </row>
    <row r="35589">
      <c r="A35589" s="1" t="s">
        <v>35588</v>
      </c>
      <c r="B35589" s="2" t="str">
        <f>IFERROR(__xludf.DUMMYFUNCTION("GOOGLETRANSLATE(A35589, ""de"", ""en"")"),"diseases")</f>
        <v>diseases</v>
      </c>
    </row>
    <row r="35590">
      <c r="A35590" s="1" t="s">
        <v>35589</v>
      </c>
      <c r="B35590" s="2" t="str">
        <f>IFERROR(__xludf.DUMMYFUNCTION("GOOGLETRANSLATE(A35590, ""de"", ""en"")"),"traders")</f>
        <v>traders</v>
      </c>
    </row>
    <row r="35591">
      <c r="A35591" s="1" t="s">
        <v>35590</v>
      </c>
      <c r="B35591" s="2" t="str">
        <f>IFERROR(__xludf.DUMMYFUNCTION("GOOGLETRANSLATE(A35591, ""de"", ""en"")"),"sinful")</f>
        <v>sinful</v>
      </c>
    </row>
    <row r="35592">
      <c r="A35592" s="1" t="s">
        <v>35591</v>
      </c>
      <c r="B35592" s="2" t="str">
        <f>IFERROR(__xludf.DUMMYFUNCTION("GOOGLETRANSLATE(A35592, ""de"", ""en"")"),"memory")</f>
        <v>memory</v>
      </c>
    </row>
    <row r="35593">
      <c r="A35593" s="1" t="s">
        <v>35592</v>
      </c>
      <c r="B35593" s="2" t="str">
        <f>IFERROR(__xludf.DUMMYFUNCTION("GOOGLETRANSLATE(A35593, ""de"", ""en"")"),"Epstein")</f>
        <v>Epstein</v>
      </c>
    </row>
    <row r="35594">
      <c r="A35594" s="1" t="s">
        <v>35593</v>
      </c>
      <c r="B35594" s="2" t="str">
        <f>IFERROR(__xludf.DUMMYFUNCTION("GOOGLETRANSLATE(A35594, ""de"", ""en"")"),"childish")</f>
        <v>childish</v>
      </c>
    </row>
    <row r="35595">
      <c r="A35595" s="1" t="s">
        <v>35594</v>
      </c>
      <c r="B35595" s="2" t="str">
        <f>IFERROR(__xludf.DUMMYFUNCTION("GOOGLETRANSLATE(A35595, ""de"", ""en"")"),"night sky")</f>
        <v>night sky</v>
      </c>
    </row>
    <row r="35596">
      <c r="A35596" s="1" t="s">
        <v>35595</v>
      </c>
      <c r="B35596" s="2" t="str">
        <f>IFERROR(__xludf.DUMMYFUNCTION("GOOGLETRANSLATE(A35596, ""de"", ""en"")"),"Kühlwalda")</f>
        <v>Kühlwalda</v>
      </c>
    </row>
    <row r="35597">
      <c r="A35597" s="1" t="s">
        <v>35596</v>
      </c>
      <c r="B35597" s="2" t="str">
        <f>IFERROR(__xludf.DUMMYFUNCTION("GOOGLETRANSLATE(A35597, ""de"", ""en"")"),"Cuban")</f>
        <v>Cuban</v>
      </c>
    </row>
    <row r="35598">
      <c r="A35598" s="1" t="s">
        <v>35597</v>
      </c>
      <c r="B35598" s="2" t="str">
        <f>IFERROR(__xludf.DUMMYFUNCTION("GOOGLETRANSLATE(A35598, ""de"", ""en"")"),"weak-minded")</f>
        <v>weak-minded</v>
      </c>
    </row>
    <row r="35599">
      <c r="A35599" s="1" t="s">
        <v>35598</v>
      </c>
      <c r="B35599" s="2" t="str">
        <f>IFERROR(__xludf.DUMMYFUNCTION("GOOGLETRANSLATE(A35599, ""de"", ""en"")"),"southern states")</f>
        <v>southern states</v>
      </c>
    </row>
    <row r="35600">
      <c r="A35600" s="1" t="s">
        <v>35599</v>
      </c>
      <c r="B35600" s="2" t="str">
        <f>IFERROR(__xludf.DUMMYFUNCTION("GOOGLETRANSLATE(A35600, ""de"", ""en"")"),"counterattack")</f>
        <v>counterattack</v>
      </c>
    </row>
    <row r="35601">
      <c r="A35601" s="1" t="s">
        <v>35600</v>
      </c>
      <c r="B35601" s="2" t="str">
        <f>IFERROR(__xludf.DUMMYFUNCTION("GOOGLETRANSLATE(A35601, ""de"", ""en"")"),"foolish")</f>
        <v>foolish</v>
      </c>
    </row>
    <row r="35602">
      <c r="A35602" s="1" t="s">
        <v>35601</v>
      </c>
      <c r="B35602" s="2" t="str">
        <f>IFERROR(__xludf.DUMMYFUNCTION("GOOGLETRANSLATE(A35602, ""de"", ""en"")"),"copycats")</f>
        <v>copycats</v>
      </c>
    </row>
    <row r="35603">
      <c r="A35603" s="1" t="s">
        <v>35602</v>
      </c>
      <c r="B35603" s="2" t="str">
        <f>IFERROR(__xludf.DUMMYFUNCTION("GOOGLETRANSLATE(A35603, ""de"", ""en"")"),"boaz")</f>
        <v>boaz</v>
      </c>
    </row>
    <row r="35604">
      <c r="A35604" s="1" t="s">
        <v>35603</v>
      </c>
      <c r="B35604" s="2" t="str">
        <f>IFERROR(__xludf.DUMMYFUNCTION("GOOGLETRANSLATE(A35604, ""de"", ""en"")"),"slander")</f>
        <v>slander</v>
      </c>
    </row>
    <row r="35605">
      <c r="A35605" s="1" t="s">
        <v>35604</v>
      </c>
      <c r="B35605" s="2" t="str">
        <f>IFERROR(__xludf.DUMMYFUNCTION("GOOGLETRANSLATE(A35605, ""de"", ""en"")"),"norad")</f>
        <v>norad</v>
      </c>
    </row>
    <row r="35606">
      <c r="A35606" s="1" t="s">
        <v>35605</v>
      </c>
      <c r="B35606" s="2" t="str">
        <f>IFERROR(__xludf.DUMMYFUNCTION("GOOGLETRANSLATE(A35606, ""de"", ""en"")"),"aberration")</f>
        <v>aberration</v>
      </c>
    </row>
    <row r="35607">
      <c r="A35607" s="1" t="s">
        <v>35606</v>
      </c>
      <c r="B35607" s="2" t="str">
        <f>IFERROR(__xludf.DUMMYFUNCTION("GOOGLETRANSLATE(A35607, ""de"", ""en"")"),"shotgun")</f>
        <v>shotgun</v>
      </c>
    </row>
    <row r="35608">
      <c r="A35608" s="1" t="s">
        <v>35607</v>
      </c>
      <c r="B35608" s="2" t="str">
        <f>IFERROR(__xludf.DUMMYFUNCTION("GOOGLETRANSLATE(A35608, ""de"", ""en"")"),"stinger")</f>
        <v>stinger</v>
      </c>
    </row>
    <row r="35609">
      <c r="A35609" s="1" t="s">
        <v>35608</v>
      </c>
      <c r="B35609" s="2" t="str">
        <f>IFERROR(__xludf.DUMMYFUNCTION("GOOGLETRANSLATE(A35609, ""de"", ""en"")"),"starry sky")</f>
        <v>starry sky</v>
      </c>
    </row>
    <row r="35610">
      <c r="A35610" s="1" t="s">
        <v>35609</v>
      </c>
      <c r="B35610" s="2" t="str">
        <f>IFERROR(__xludf.DUMMYFUNCTION("GOOGLETRANSLATE(A35610, ""de"", ""en"")"),"feint")</f>
        <v>feint</v>
      </c>
    </row>
    <row r="35611">
      <c r="A35611" s="1" t="s">
        <v>35610</v>
      </c>
      <c r="B35611" s="2" t="str">
        <f>IFERROR(__xludf.DUMMYFUNCTION("GOOGLETRANSLATE(A35611, ""de"", ""en"")"),"beachamp")</f>
        <v>beachamp</v>
      </c>
    </row>
    <row r="35612">
      <c r="A35612" s="1" t="s">
        <v>35611</v>
      </c>
      <c r="B35612" s="2" t="str">
        <f>IFERROR(__xludf.DUMMYFUNCTION("GOOGLETRANSLATE(A35612, ""de"", ""en"")"),"scrubbed")</f>
        <v>scrubbed</v>
      </c>
    </row>
    <row r="35613">
      <c r="A35613" s="1" t="s">
        <v>35612</v>
      </c>
      <c r="B35613" s="2" t="str">
        <f>IFERROR(__xludf.DUMMYFUNCTION("GOOGLETRANSLATE(A35613, ""de"", ""en"")"),"find back")</f>
        <v>find back</v>
      </c>
    </row>
    <row r="35614">
      <c r="A35614" s="1" t="s">
        <v>35613</v>
      </c>
      <c r="B35614" s="2" t="str">
        <f>IFERROR(__xludf.DUMMYFUNCTION("GOOGLETRANSLATE(A35614, ""de"", ""en"")"),"nguyen")</f>
        <v>nguyen</v>
      </c>
    </row>
    <row r="35615">
      <c r="A35615" s="1" t="s">
        <v>35614</v>
      </c>
      <c r="B35615" s="2" t="str">
        <f>IFERROR(__xludf.DUMMYFUNCTION("GOOGLETRANSLATE(A35615, ""de"", ""en"")"),"omnipresent")</f>
        <v>omnipresent</v>
      </c>
    </row>
    <row r="35616">
      <c r="A35616" s="1" t="s">
        <v>35615</v>
      </c>
      <c r="B35616" s="2" t="str">
        <f>IFERROR(__xludf.DUMMYFUNCTION("GOOGLETRANSLATE(A35616, ""de"", ""en"")"),"Romulan")</f>
        <v>Romulan</v>
      </c>
    </row>
    <row r="35617">
      <c r="A35617" s="1" t="s">
        <v>35616</v>
      </c>
      <c r="B35617" s="2" t="str">
        <f>IFERROR(__xludf.DUMMYFUNCTION("GOOGLETRANSLATE(A35617, ""de"", ""en"")"),"nude photos")</f>
        <v>nude photos</v>
      </c>
    </row>
    <row r="35618">
      <c r="A35618" s="1" t="s">
        <v>35617</v>
      </c>
      <c r="B35618" s="2" t="str">
        <f>IFERROR(__xludf.DUMMYFUNCTION("GOOGLETRANSLATE(A35618, ""de"", ""en"")"),"pee")</f>
        <v>pee</v>
      </c>
    </row>
    <row r="35619">
      <c r="A35619" s="1" t="s">
        <v>35618</v>
      </c>
      <c r="B35619" s="2" t="str">
        <f>IFERROR(__xludf.DUMMYFUNCTION("GOOGLETRANSLATE(A35619, ""de"", ""en"")"),"racer")</f>
        <v>racer</v>
      </c>
    </row>
    <row r="35620">
      <c r="A35620" s="1" t="s">
        <v>35619</v>
      </c>
      <c r="B35620" s="2" t="str">
        <f>IFERROR(__xludf.DUMMYFUNCTION("GOOGLETRANSLATE(A35620, ""de"", ""en"")"),"disappointed")</f>
        <v>disappointed</v>
      </c>
    </row>
    <row r="35621">
      <c r="A35621" s="1" t="s">
        <v>35620</v>
      </c>
      <c r="B35621" s="2" t="str">
        <f>IFERROR(__xludf.DUMMYFUNCTION("GOOGLETRANSLATE(A35621, ""de"", ""en"")"),"Valkyrie")</f>
        <v>Valkyrie</v>
      </c>
    </row>
    <row r="35622">
      <c r="A35622" s="1" t="s">
        <v>35621</v>
      </c>
      <c r="B35622" s="2" t="str">
        <f>IFERROR(__xludf.DUMMYFUNCTION("GOOGLETRANSLATE(A35622, ""de"", ""en"")"),"removed")</f>
        <v>removed</v>
      </c>
    </row>
    <row r="35623">
      <c r="A35623" s="1" t="s">
        <v>35622</v>
      </c>
      <c r="B35623" s="2" t="str">
        <f>IFERROR(__xludf.DUMMYFUNCTION("GOOGLETRANSLATE(A35623, ""de"", ""en"")"),"neurologist")</f>
        <v>neurologist</v>
      </c>
    </row>
    <row r="35624">
      <c r="A35624" s="1" t="s">
        <v>35623</v>
      </c>
      <c r="B35624" s="2" t="str">
        <f>IFERROR(__xludf.DUMMYFUNCTION("GOOGLETRANSLATE(A35624, ""de"", ""en"")"),"garment")</f>
        <v>garment</v>
      </c>
    </row>
    <row r="35625">
      <c r="A35625" s="1" t="s">
        <v>35624</v>
      </c>
      <c r="B35625" s="2" t="str">
        <f>IFERROR(__xludf.DUMMYFUNCTION("GOOGLETRANSLATE(A35625, ""de"", ""en"")"),"gay")</f>
        <v>gay</v>
      </c>
    </row>
    <row r="35626">
      <c r="A35626" s="1" t="s">
        <v>35625</v>
      </c>
      <c r="B35626" s="2" t="str">
        <f>IFERROR(__xludf.DUMMYFUNCTION("GOOGLETRANSLATE(A35626, ""de"", ""en"")"),"keychain")</f>
        <v>keychain</v>
      </c>
    </row>
    <row r="35627">
      <c r="A35627" s="1" t="s">
        <v>35626</v>
      </c>
      <c r="B35627" s="2" t="str">
        <f>IFERROR(__xludf.DUMMYFUNCTION("GOOGLETRANSLATE(A35627, ""de"", ""en"")"),"put on it")</f>
        <v>put on it</v>
      </c>
    </row>
    <row r="35628">
      <c r="A35628" s="1" t="s">
        <v>35627</v>
      </c>
      <c r="B35628" s="2" t="str">
        <f>IFERROR(__xludf.DUMMYFUNCTION("GOOGLETRANSLATE(A35628, ""de"", ""en"")"),"take action")</f>
        <v>take action</v>
      </c>
    </row>
    <row r="35629">
      <c r="A35629" s="1" t="s">
        <v>35628</v>
      </c>
      <c r="B35629" s="2" t="str">
        <f>IFERROR(__xludf.DUMMYFUNCTION("GOOGLETRANSLATE(A35629, ""de"", ""en"")"),"bulldog")</f>
        <v>bulldog</v>
      </c>
    </row>
    <row r="35630">
      <c r="A35630" s="1" t="s">
        <v>35629</v>
      </c>
      <c r="B35630" s="2" t="str">
        <f>IFERROR(__xludf.DUMMYFUNCTION("GOOGLETRANSLATE(A35630, ""de"", ""en"")"),"cough")</f>
        <v>cough</v>
      </c>
    </row>
    <row r="35631">
      <c r="A35631" s="1" t="s">
        <v>35630</v>
      </c>
      <c r="B35631" s="2" t="str">
        <f>IFERROR(__xludf.DUMMYFUNCTION("GOOGLETRANSLATE(A35631, ""de"", ""en"")"),"stuck")</f>
        <v>stuck</v>
      </c>
    </row>
    <row r="35632">
      <c r="A35632" s="1" t="s">
        <v>35631</v>
      </c>
      <c r="B35632" s="2" t="str">
        <f>IFERROR(__xludf.DUMMYFUNCTION("GOOGLETRANSLATE(A35632, ""de"", ""en"")"),"sporty")</f>
        <v>sporty</v>
      </c>
    </row>
    <row r="35633">
      <c r="A35633" s="1" t="s">
        <v>35632</v>
      </c>
      <c r="B35633" s="2" t="str">
        <f>IFERROR(__xludf.DUMMYFUNCTION("GOOGLETRANSLATE(A35633, ""de"", ""en"")"),"milf")</f>
        <v>milf</v>
      </c>
    </row>
    <row r="35634">
      <c r="A35634" s="1" t="s">
        <v>35633</v>
      </c>
      <c r="B35634" s="2" t="str">
        <f>IFERROR(__xludf.DUMMYFUNCTION("GOOGLETRANSLATE(A35634, ""de"", ""en"")"),"cunts")</f>
        <v>cunts</v>
      </c>
    </row>
    <row r="35635">
      <c r="A35635" s="1" t="s">
        <v>35634</v>
      </c>
      <c r="B35635" s="2" t="str">
        <f>IFERROR(__xludf.DUMMYFUNCTION("GOOGLETRANSLATE(A35635, ""de"", ""en"")"),"shoe store")</f>
        <v>shoe store</v>
      </c>
    </row>
    <row r="35636">
      <c r="A35636" s="1" t="s">
        <v>35635</v>
      </c>
      <c r="B35636" s="2" t="str">
        <f>IFERROR(__xludf.DUMMYFUNCTION("GOOGLETRANSLATE(A35636, ""de"", ""en"")"),"yup")</f>
        <v>yup</v>
      </c>
    </row>
    <row r="35637">
      <c r="A35637" s="1" t="s">
        <v>35636</v>
      </c>
      <c r="B35637" s="2" t="str">
        <f>IFERROR(__xludf.DUMMYFUNCTION("GOOGLETRANSLATE(A35637, ""de"", ""en"")"),"brides")</f>
        <v>brides</v>
      </c>
    </row>
    <row r="35638">
      <c r="A35638" s="1" t="s">
        <v>35637</v>
      </c>
      <c r="B35638" s="2" t="str">
        <f>IFERROR(__xludf.DUMMYFUNCTION("GOOGLETRANSLATE(A35638, ""de"", ""en"")"),"potassium")</f>
        <v>potassium</v>
      </c>
    </row>
    <row r="35639">
      <c r="A35639" s="1" t="s">
        <v>35638</v>
      </c>
      <c r="B35639" s="2" t="str">
        <f>IFERROR(__xludf.DUMMYFUNCTION("GOOGLETRANSLATE(A35639, ""de"", ""en"")"),"Delacroix")</f>
        <v>Delacroix</v>
      </c>
    </row>
    <row r="35640">
      <c r="A35640" s="1" t="s">
        <v>35639</v>
      </c>
      <c r="B35640" s="2" t="str">
        <f>IFERROR(__xludf.DUMMYFUNCTION("GOOGLETRANSLATE(A35640, ""de"", ""en"")"),"pembroke")</f>
        <v>pembroke</v>
      </c>
    </row>
    <row r="35641">
      <c r="A35641" s="1" t="s">
        <v>35640</v>
      </c>
      <c r="B35641" s="2" t="str">
        <f>IFERROR(__xludf.DUMMYFUNCTION("GOOGLETRANSLATE(A35641, ""de"", ""en"")"),"drunkard")</f>
        <v>drunkard</v>
      </c>
    </row>
    <row r="35642">
      <c r="A35642" s="1" t="s">
        <v>35641</v>
      </c>
      <c r="B35642" s="2" t="str">
        <f>IFERROR(__xludf.DUMMYFUNCTION("GOOGLETRANSLATE(A35642, ""de"", ""en"")"),"put together")</f>
        <v>put together</v>
      </c>
    </row>
    <row r="35643">
      <c r="A35643" s="1" t="s">
        <v>35642</v>
      </c>
      <c r="B35643" s="2" t="str">
        <f>IFERROR(__xludf.DUMMYFUNCTION("GOOGLETRANSLATE(A35643, ""de"", ""en"")"),"more educated")</f>
        <v>more educated</v>
      </c>
    </row>
    <row r="35644">
      <c r="A35644" s="1" t="s">
        <v>35643</v>
      </c>
      <c r="B35644" s="2" t="str">
        <f>IFERROR(__xludf.DUMMYFUNCTION("GOOGLETRANSLATE(A35644, ""de"", ""en"")"),"cheapest")</f>
        <v>cheapest</v>
      </c>
    </row>
    <row r="35645">
      <c r="A35645" s="1" t="s">
        <v>35644</v>
      </c>
      <c r="B35645" s="2" t="str">
        <f>IFERROR(__xludf.DUMMYFUNCTION("GOOGLETRANSLATE(A35645, ""de"", ""en"")"),"sniffs")</f>
        <v>sniffs</v>
      </c>
    </row>
    <row r="35646">
      <c r="A35646" s="1" t="s">
        <v>35645</v>
      </c>
      <c r="B35646" s="2" t="str">
        <f>IFERROR(__xludf.DUMMYFUNCTION("GOOGLETRANSLATE(A35646, ""de"", ""en"")"),"freeze")</f>
        <v>freeze</v>
      </c>
    </row>
    <row r="35647">
      <c r="A35647" s="1" t="s">
        <v>35646</v>
      </c>
      <c r="B35647" s="2" t="str">
        <f>IFERROR(__xludf.DUMMYFUNCTION("GOOGLETRANSLATE(A35647, ""de"", ""en"")"),"to push off")</f>
        <v>to push off</v>
      </c>
    </row>
    <row r="35648">
      <c r="A35648" s="1" t="s">
        <v>35647</v>
      </c>
      <c r="B35648" s="2" t="str">
        <f>IFERROR(__xludf.DUMMYFUNCTION("GOOGLETRANSLATE(A35648, ""de"", ""en"")"),"decorates")</f>
        <v>decorates</v>
      </c>
    </row>
    <row r="35649">
      <c r="A35649" s="1" t="s">
        <v>35648</v>
      </c>
      <c r="B35649" s="2" t="str">
        <f>IFERROR(__xludf.DUMMYFUNCTION("GOOGLETRANSLATE(A35649, ""de"", ""en"")"),"mixed")</f>
        <v>mixed</v>
      </c>
    </row>
    <row r="35650">
      <c r="A35650" s="1" t="s">
        <v>35649</v>
      </c>
      <c r="B35650" s="2" t="str">
        <f>IFERROR(__xludf.DUMMYFUNCTION("GOOGLETRANSLATE(A35650, ""de"", ""en"")"),"contact person")</f>
        <v>contact person</v>
      </c>
    </row>
    <row r="35651">
      <c r="A35651" s="1" t="s">
        <v>35650</v>
      </c>
      <c r="B35651" s="2" t="str">
        <f>IFERROR(__xludf.DUMMYFUNCTION("GOOGLETRANSLATE(A35651, ""de"", ""en"")"),"kaminski")</f>
        <v>kaminski</v>
      </c>
    </row>
    <row r="35652">
      <c r="A35652" s="1" t="s">
        <v>35651</v>
      </c>
      <c r="B35652" s="2" t="str">
        <f>IFERROR(__xludf.DUMMYFUNCTION("GOOGLETRANSLATE(A35652, ""de"", ""en"")"),"drug addicts")</f>
        <v>drug addicts</v>
      </c>
    </row>
    <row r="35653">
      <c r="A35653" s="1" t="s">
        <v>35652</v>
      </c>
      <c r="B35653" s="2" t="str">
        <f>IFERROR(__xludf.DUMMYFUNCTION("GOOGLETRANSLATE(A35653, ""de"", ""en"")"),"regained")</f>
        <v>regained</v>
      </c>
    </row>
    <row r="35654">
      <c r="A35654" s="1" t="s">
        <v>35653</v>
      </c>
      <c r="B35654" s="2" t="str">
        <f>IFERROR(__xludf.DUMMYFUNCTION("GOOGLETRANSLATE(A35654, ""de"", ""en"")"),"precious")</f>
        <v>precious</v>
      </c>
    </row>
    <row r="35655">
      <c r="A35655" s="1" t="s">
        <v>35654</v>
      </c>
      <c r="B35655" s="2" t="str">
        <f>IFERROR(__xludf.DUMMYFUNCTION("GOOGLETRANSLATE(A35655, ""de"", ""en"")"),"nightshade")</f>
        <v>nightshade</v>
      </c>
    </row>
    <row r="35656">
      <c r="A35656" s="1" t="s">
        <v>35655</v>
      </c>
      <c r="B35656" s="2" t="str">
        <f>IFERROR(__xludf.DUMMYFUNCTION("GOOGLETRANSLATE(A35656, ""de"", ""en"")"),"instance")</f>
        <v>instance</v>
      </c>
    </row>
    <row r="35657">
      <c r="A35657" s="1" t="s">
        <v>35656</v>
      </c>
      <c r="B35657" s="2" t="str">
        <f>IFERROR(__xludf.DUMMYFUNCTION("GOOGLETRANSLATE(A35657, ""de"", ""en"")"),"Indian")</f>
        <v>Indian</v>
      </c>
    </row>
    <row r="35658">
      <c r="A35658" s="1" t="s">
        <v>35657</v>
      </c>
      <c r="B35658" s="2" t="str">
        <f>IFERROR(__xludf.DUMMYFUNCTION("GOOGLETRANSLATE(A35658, ""de"", ""en"")"),"munch")</f>
        <v>munch</v>
      </c>
    </row>
    <row r="35659">
      <c r="A35659" s="1" t="s">
        <v>35658</v>
      </c>
      <c r="B35659" s="2" t="str">
        <f>IFERROR(__xludf.DUMMYFUNCTION("GOOGLETRANSLATE(A35659, ""de"", ""en"")"),"heartbreak")</f>
        <v>heartbreak</v>
      </c>
    </row>
    <row r="35660">
      <c r="A35660" s="1" t="s">
        <v>35659</v>
      </c>
      <c r="B35660" s="2" t="str">
        <f>IFERROR(__xludf.DUMMYFUNCTION("GOOGLETRANSLATE(A35660, ""de"", ""en"")"),"appearance")</f>
        <v>appearance</v>
      </c>
    </row>
    <row r="35661">
      <c r="A35661" s="1" t="s">
        <v>35660</v>
      </c>
      <c r="B35661" s="2" t="str">
        <f>IFERROR(__xludf.DUMMYFUNCTION("GOOGLETRANSLATE(A35661, ""de"", ""en"")"),"spurned")</f>
        <v>spurned</v>
      </c>
    </row>
    <row r="35662">
      <c r="A35662" s="1" t="s">
        <v>35661</v>
      </c>
      <c r="B35662" s="2" t="str">
        <f>IFERROR(__xludf.DUMMYFUNCTION("GOOGLETRANSLATE(A35662, ""de"", ""en"")"),"selby")</f>
        <v>selby</v>
      </c>
    </row>
    <row r="35663">
      <c r="A35663" s="1" t="s">
        <v>35662</v>
      </c>
      <c r="B35663" s="2" t="str">
        <f>IFERROR(__xludf.DUMMYFUNCTION("GOOGLETRANSLATE(A35663, ""de"", ""en"")"),"sense of duty")</f>
        <v>sense of duty</v>
      </c>
    </row>
    <row r="35664">
      <c r="A35664" s="1" t="s">
        <v>35663</v>
      </c>
      <c r="B35664" s="2" t="str">
        <f>IFERROR(__xludf.DUMMYFUNCTION("GOOGLETRANSLATE(A35664, ""de"", ""en"")"),"finds")</f>
        <v>finds</v>
      </c>
    </row>
    <row r="35665">
      <c r="A35665" s="1" t="s">
        <v>35664</v>
      </c>
      <c r="B35665" s="2" t="str">
        <f>IFERROR(__xludf.DUMMYFUNCTION("GOOGLETRANSLATE(A35665, ""de"", ""en"")"),"green")</f>
        <v>green</v>
      </c>
    </row>
    <row r="35666">
      <c r="A35666" s="1" t="s">
        <v>35665</v>
      </c>
      <c r="B35666" s="2" t="str">
        <f>IFERROR(__xludf.DUMMYFUNCTION("GOOGLETRANSLATE(A35666, ""de"", ""en"")"),"torso")</f>
        <v>torso</v>
      </c>
    </row>
    <row r="35667">
      <c r="A35667" s="1" t="s">
        <v>35666</v>
      </c>
      <c r="B35667" s="2" t="str">
        <f>IFERROR(__xludf.DUMMYFUNCTION("GOOGLETRANSLATE(A35667, ""de"", ""en"")"),"import")</f>
        <v>import</v>
      </c>
    </row>
    <row r="35668">
      <c r="A35668" s="1" t="s">
        <v>35667</v>
      </c>
      <c r="B35668" s="2" t="str">
        <f>IFERROR(__xludf.DUMMYFUNCTION("GOOGLETRANSLATE(A35668, ""de"", ""en"")"),"homosexual")</f>
        <v>homosexual</v>
      </c>
    </row>
    <row r="35669">
      <c r="A35669" s="1" t="s">
        <v>35668</v>
      </c>
      <c r="B35669" s="2" t="str">
        <f>IFERROR(__xludf.DUMMYFUNCTION("GOOGLETRANSLATE(A35669, ""de"", ""en"")"),"number")</f>
        <v>number</v>
      </c>
    </row>
    <row r="35670">
      <c r="A35670" s="1" t="s">
        <v>35669</v>
      </c>
      <c r="B35670" s="2" t="str">
        <f>IFERROR(__xludf.DUMMYFUNCTION("GOOGLETRANSLATE(A35670, ""de"", ""en"")"),"monitoring system")</f>
        <v>monitoring system</v>
      </c>
    </row>
    <row r="35671">
      <c r="A35671" s="1" t="s">
        <v>35670</v>
      </c>
      <c r="B35671" s="2" t="str">
        <f>IFERROR(__xludf.DUMMYFUNCTION("GOOGLETRANSLATE(A35671, ""de"", ""en"")"),"spoiled")</f>
        <v>spoiled</v>
      </c>
    </row>
    <row r="35672">
      <c r="A35672" s="1" t="s">
        <v>35671</v>
      </c>
      <c r="B35672" s="2" t="str">
        <f>IFERROR(__xludf.DUMMYFUNCTION("GOOGLETRANSLATE(A35672, ""de"", ""en"")"),"Himalayas")</f>
        <v>Himalayas</v>
      </c>
    </row>
    <row r="35673">
      <c r="A35673" s="1" t="s">
        <v>35672</v>
      </c>
      <c r="B35673" s="2" t="str">
        <f>IFERROR(__xludf.DUMMYFUNCTION("GOOGLETRANSLATE(A35673, ""de"", ""en"")"),"fr")</f>
        <v>fr</v>
      </c>
    </row>
    <row r="35674">
      <c r="A35674" s="1" t="s">
        <v>35673</v>
      </c>
      <c r="B35674" s="2" t="str">
        <f>IFERROR(__xludf.DUMMYFUNCTION("GOOGLETRANSLATE(A35674, ""de"", ""en"")"),"to warm up")</f>
        <v>to warm up</v>
      </c>
    </row>
    <row r="35675">
      <c r="A35675" s="1" t="s">
        <v>35674</v>
      </c>
      <c r="B35675" s="2" t="str">
        <f>IFERROR(__xludf.DUMMYFUNCTION("GOOGLETRANSLATE(A35675, ""de"", ""en"")"),"group leader")</f>
        <v>group leader</v>
      </c>
    </row>
    <row r="35676">
      <c r="A35676" s="1" t="s">
        <v>35675</v>
      </c>
      <c r="B35676" s="2" t="str">
        <f>IFERROR(__xludf.DUMMYFUNCTION("GOOGLETRANSLATE(A35676, ""de"", ""en"")"),"Pontiac")</f>
        <v>Pontiac</v>
      </c>
    </row>
    <row r="35677">
      <c r="A35677" s="1" t="s">
        <v>35676</v>
      </c>
      <c r="B35677" s="2" t="str">
        <f>IFERROR(__xludf.DUMMYFUNCTION("GOOGLETRANSLATE(A35677, ""de"", ""en"")"),"storyteller")</f>
        <v>storyteller</v>
      </c>
    </row>
    <row r="35678">
      <c r="A35678" s="1" t="s">
        <v>35677</v>
      </c>
      <c r="B35678" s="2" t="str">
        <f>IFERROR(__xludf.DUMMYFUNCTION("GOOGLETRANSLATE(A35678, ""de"", ""en"")"),"expired")</f>
        <v>expired</v>
      </c>
    </row>
    <row r="35679">
      <c r="A35679" s="1" t="s">
        <v>35678</v>
      </c>
      <c r="B35679" s="2" t="str">
        <f>IFERROR(__xludf.DUMMYFUNCTION("GOOGLETRANSLATE(A35679, ""de"", ""en"")"),"beaver")</f>
        <v>beaver</v>
      </c>
    </row>
    <row r="35680">
      <c r="A35680" s="1" t="s">
        <v>35679</v>
      </c>
      <c r="B35680" s="2" t="str">
        <f>IFERROR(__xludf.DUMMYFUNCTION("GOOGLETRANSLATE(A35680, ""de"", ""en"")"),"tullius")</f>
        <v>tullius</v>
      </c>
    </row>
    <row r="35681">
      <c r="A35681" s="1" t="s">
        <v>35680</v>
      </c>
      <c r="B35681" s="2" t="str">
        <f>IFERROR(__xludf.DUMMYFUNCTION("GOOGLETRANSLATE(A35681, ""de"", ""en"")"),"releases")</f>
        <v>releases</v>
      </c>
    </row>
    <row r="35682">
      <c r="A35682" s="1" t="s">
        <v>35681</v>
      </c>
      <c r="B35682" s="2" t="str">
        <f>IFERROR(__xludf.DUMMYFUNCTION("GOOGLETRANSLATE(A35682, ""de"", ""en"")"),"mene")</f>
        <v>mene</v>
      </c>
    </row>
    <row r="35683">
      <c r="A35683" s="1" t="s">
        <v>35682</v>
      </c>
      <c r="B35683" s="2" t="str">
        <f>IFERROR(__xludf.DUMMYFUNCTION("GOOGLETRANSLATE(A35683, ""de"", ""en"")"),"little feet")</f>
        <v>little feet</v>
      </c>
    </row>
    <row r="35684">
      <c r="A35684" s="1" t="s">
        <v>35683</v>
      </c>
      <c r="B35684" s="2" t="str">
        <f>IFERROR(__xludf.DUMMYFUNCTION("GOOGLETRANSLATE(A35684, ""de"", ""en"")"),"differ")</f>
        <v>differ</v>
      </c>
    </row>
    <row r="35685">
      <c r="A35685" s="1" t="s">
        <v>35684</v>
      </c>
      <c r="B35685" s="2" t="str">
        <f>IFERROR(__xludf.DUMMYFUNCTION("GOOGLETRANSLATE(A35685, ""de"", ""en"")"),"above")</f>
        <v>above</v>
      </c>
    </row>
    <row r="35686">
      <c r="A35686" s="1" t="s">
        <v>35685</v>
      </c>
      <c r="B35686" s="2" t="str">
        <f>IFERROR(__xludf.DUMMYFUNCTION("GOOGLETRANSLATE(A35686, ""de"", ""en"")"),"buds")</f>
        <v>buds</v>
      </c>
    </row>
    <row r="35687">
      <c r="A35687" s="1" t="s">
        <v>35686</v>
      </c>
      <c r="B35687" s="2" t="str">
        <f>IFERROR(__xludf.DUMMYFUNCTION("GOOGLETRANSLATE(A35687, ""de"", ""en"")"),"hobbit")</f>
        <v>hobbit</v>
      </c>
    </row>
    <row r="35688">
      <c r="A35688" s="1" t="s">
        <v>35687</v>
      </c>
      <c r="B35688" s="2" t="str">
        <f>IFERROR(__xludf.DUMMYFUNCTION("GOOGLETRANSLATE(A35688, ""de"", ""en"")"),"inventive")</f>
        <v>inventive</v>
      </c>
    </row>
    <row r="35689">
      <c r="A35689" s="1" t="s">
        <v>35688</v>
      </c>
      <c r="B35689" s="2" t="str">
        <f>IFERROR(__xludf.DUMMYFUNCTION("GOOGLETRANSLATE(A35689, ""de"", ""en"")"),"boar")</f>
        <v>boar</v>
      </c>
    </row>
    <row r="35690">
      <c r="A35690" s="1" t="s">
        <v>35689</v>
      </c>
      <c r="B35690" s="2" t="str">
        <f>IFERROR(__xludf.DUMMYFUNCTION("GOOGLETRANSLATE(A35690, ""de"", ""en"")"),"tangled")</f>
        <v>tangled</v>
      </c>
    </row>
    <row r="35691">
      <c r="A35691" s="1" t="s">
        <v>35690</v>
      </c>
      <c r="B35691" s="2" t="str">
        <f>IFERROR(__xludf.DUMMYFUNCTION("GOOGLETRANSLATE(A35691, ""de"", ""en"")"),"poughkeepsie")</f>
        <v>poughkeepsie</v>
      </c>
    </row>
    <row r="35692">
      <c r="A35692" s="1" t="s">
        <v>35691</v>
      </c>
      <c r="B35692" s="2" t="str">
        <f>IFERROR(__xludf.DUMMYFUNCTION("GOOGLETRANSLATE(A35692, ""de"", ""en"")"),"consumer")</f>
        <v>consumer</v>
      </c>
    </row>
    <row r="35693">
      <c r="A35693" s="1" t="s">
        <v>35692</v>
      </c>
      <c r="B35693" s="2" t="str">
        <f>IFERROR(__xludf.DUMMYFUNCTION("GOOGLETRANSLATE(A35693, ""de"", ""en"")"),"veiled")</f>
        <v>veiled</v>
      </c>
    </row>
    <row r="35694">
      <c r="A35694" s="1" t="s">
        <v>35693</v>
      </c>
      <c r="B35694" s="2" t="str">
        <f>IFERROR(__xludf.DUMMYFUNCTION("GOOGLETRANSLATE(A35694, ""de"", ""en"")"),"croupier")</f>
        <v>croupier</v>
      </c>
    </row>
    <row r="35695">
      <c r="A35695" s="1" t="s">
        <v>35694</v>
      </c>
      <c r="B35695" s="2" t="str">
        <f>IFERROR(__xludf.DUMMYFUNCTION("GOOGLETRANSLATE(A35695, ""de"", ""en"")"),"house search")</f>
        <v>house search</v>
      </c>
    </row>
    <row r="35696">
      <c r="A35696" s="1" t="s">
        <v>35695</v>
      </c>
      <c r="B35696" s="2" t="str">
        <f>IFERROR(__xludf.DUMMYFUNCTION("GOOGLETRANSLATE(A35696, ""de"", ""en"")"),"howl")</f>
        <v>howl</v>
      </c>
    </row>
    <row r="35697">
      <c r="A35697" s="1" t="s">
        <v>35696</v>
      </c>
      <c r="B35697" s="2" t="str">
        <f>IFERROR(__xludf.DUMMYFUNCTION("GOOGLETRANSLATE(A35697, ""de"", ""en"")"),"immigration")</f>
        <v>immigration</v>
      </c>
    </row>
    <row r="35698">
      <c r="A35698" s="1" t="s">
        <v>35697</v>
      </c>
      <c r="B35698" s="2" t="str">
        <f>IFERROR(__xludf.DUMMYFUNCTION("GOOGLETRANSLATE(A35698, ""de"", ""en"")"),"behead")</f>
        <v>behead</v>
      </c>
    </row>
    <row r="35699">
      <c r="A35699" s="1" t="s">
        <v>35698</v>
      </c>
      <c r="B35699" s="2" t="str">
        <f>IFERROR(__xludf.DUMMYFUNCTION("GOOGLETRANSLATE(A35699, ""de"", ""en"")"),"pugs")</f>
        <v>pugs</v>
      </c>
    </row>
    <row r="35700">
      <c r="A35700" s="1" t="s">
        <v>35699</v>
      </c>
      <c r="B35700" s="2" t="str">
        <f>IFERROR(__xludf.DUMMYFUNCTION("GOOGLETRANSLATE(A35700, ""de"", ""en"")"),"biochemistry")</f>
        <v>biochemistry</v>
      </c>
    </row>
    <row r="35701">
      <c r="A35701" s="1" t="s">
        <v>35700</v>
      </c>
      <c r="B35701" s="2" t="str">
        <f>IFERROR(__xludf.DUMMYFUNCTION("GOOGLETRANSLATE(A35701, ""de"", ""en"")"),"minions")</f>
        <v>minions</v>
      </c>
    </row>
    <row r="35702">
      <c r="A35702" s="1" t="s">
        <v>35701</v>
      </c>
      <c r="B35702" s="2" t="str">
        <f>IFERROR(__xludf.DUMMYFUNCTION("GOOGLETRANSLATE(A35702, ""de"", ""en"")"),"errand boys")</f>
        <v>errand boys</v>
      </c>
    </row>
    <row r="35703">
      <c r="A35703" s="1" t="s">
        <v>35702</v>
      </c>
      <c r="B35703" s="2" t="str">
        <f>IFERROR(__xludf.DUMMYFUNCTION("GOOGLETRANSLATE(A35703, ""de"", ""en"")"),"calvert")</f>
        <v>calvert</v>
      </c>
    </row>
    <row r="35704">
      <c r="A35704" s="1" t="s">
        <v>35703</v>
      </c>
      <c r="B35704" s="2" t="str">
        <f>IFERROR(__xludf.DUMMYFUNCTION("GOOGLETRANSLATE(A35704, ""de"", ""en"")"),"tables")</f>
        <v>tables</v>
      </c>
    </row>
    <row r="35705">
      <c r="A35705" s="1" t="s">
        <v>35704</v>
      </c>
      <c r="B35705" s="2" t="str">
        <f>IFERROR(__xludf.DUMMYFUNCTION("GOOGLETRANSLATE(A35705, ""de"", ""en"")"),"more patient")</f>
        <v>more patient</v>
      </c>
    </row>
    <row r="35706">
      <c r="A35706" s="1" t="s">
        <v>35705</v>
      </c>
      <c r="B35706" s="2" t="str">
        <f>IFERROR(__xludf.DUMMYFUNCTION("GOOGLETRANSLATE(A35706, ""de"", ""en"")"),"married life")</f>
        <v>married life</v>
      </c>
    </row>
    <row r="35707">
      <c r="A35707" s="1" t="s">
        <v>35706</v>
      </c>
      <c r="B35707" s="2" t="str">
        <f>IFERROR(__xludf.DUMMYFUNCTION("GOOGLETRANSLATE(A35707, ""de"", ""en"")"),"dizzy")</f>
        <v>dizzy</v>
      </c>
    </row>
    <row r="35708">
      <c r="A35708" s="1" t="s">
        <v>35707</v>
      </c>
      <c r="B35708" s="2" t="str">
        <f>IFERROR(__xludf.DUMMYFUNCTION("GOOGLETRANSLATE(A35708, ""de"", ""en"")"),"to prove")</f>
        <v>to prove</v>
      </c>
    </row>
    <row r="35709">
      <c r="A35709" s="1" t="s">
        <v>35708</v>
      </c>
      <c r="B35709" s="2" t="str">
        <f>IFERROR(__xludf.DUMMYFUNCTION("GOOGLETRANSLATE(A35709, ""de"", ""en"")"),"uri")</f>
        <v>uri</v>
      </c>
    </row>
    <row r="35710">
      <c r="A35710" s="1" t="s">
        <v>35709</v>
      </c>
      <c r="B35710" s="2" t="str">
        <f>IFERROR(__xludf.DUMMYFUNCTION("GOOGLETRANSLATE(A35710, ""de"", ""en"")"),"scrapped")</f>
        <v>scrapped</v>
      </c>
    </row>
    <row r="35711">
      <c r="A35711" s="1" t="s">
        <v>35710</v>
      </c>
      <c r="B35711" s="2" t="str">
        <f>IFERROR(__xludf.DUMMYFUNCTION("GOOGLETRANSLATE(A35711, ""de"", ""en"")"),"crickett")</f>
        <v>crickett</v>
      </c>
    </row>
    <row r="35712">
      <c r="A35712" s="1" t="s">
        <v>35711</v>
      </c>
      <c r="B35712" s="2" t="str">
        <f>IFERROR(__xludf.DUMMYFUNCTION("GOOGLETRANSLATE(A35712, ""de"", ""en"")"),"more fascinating")</f>
        <v>more fascinating</v>
      </c>
    </row>
    <row r="35713">
      <c r="A35713" s="1" t="s">
        <v>35712</v>
      </c>
      <c r="B35713" s="2" t="str">
        <f>IFERROR(__xludf.DUMMYFUNCTION("GOOGLETRANSLATE(A35713, ""de"", ""en"")"),"charts")</f>
        <v>charts</v>
      </c>
    </row>
    <row r="35714">
      <c r="A35714" s="1" t="s">
        <v>35713</v>
      </c>
      <c r="B35714" s="2" t="str">
        <f>IFERROR(__xludf.DUMMYFUNCTION("GOOGLETRANSLATE(A35714, ""de"", ""en"")"),"collapses")</f>
        <v>collapses</v>
      </c>
    </row>
    <row r="35715">
      <c r="A35715" s="1" t="s">
        <v>35714</v>
      </c>
      <c r="B35715" s="2" t="str">
        <f>IFERROR(__xludf.DUMMYFUNCTION("GOOGLETRANSLATE(A35715, ""de"", ""en"")"),"model")</f>
        <v>model</v>
      </c>
    </row>
    <row r="35716">
      <c r="A35716" s="1" t="s">
        <v>35715</v>
      </c>
      <c r="B35716" s="2" t="str">
        <f>IFERROR(__xludf.DUMMYFUNCTION("GOOGLETRANSLATE(A35716, ""de"", ""en"")"),"kille")</f>
        <v>kille</v>
      </c>
    </row>
    <row r="35717">
      <c r="A35717" s="1" t="s">
        <v>35716</v>
      </c>
      <c r="B35717" s="2" t="str">
        <f>IFERROR(__xludf.DUMMYFUNCTION("GOOGLETRANSLATE(A35717, ""de"", ""en"")"),"allow")</f>
        <v>allow</v>
      </c>
    </row>
    <row r="35718">
      <c r="A35718" s="1" t="s">
        <v>35717</v>
      </c>
      <c r="B35718" s="2" t="str">
        <f>IFERROR(__xludf.DUMMYFUNCTION("GOOGLETRANSLATE(A35718, ""de"", ""en"")"),"cured")</f>
        <v>cured</v>
      </c>
    </row>
    <row r="35719">
      <c r="A35719" s="1" t="s">
        <v>35718</v>
      </c>
      <c r="B35719" s="2" t="str">
        <f>IFERROR(__xludf.DUMMYFUNCTION("GOOGLETRANSLATE(A35719, ""de"", ""en"")"),"felt")</f>
        <v>felt</v>
      </c>
    </row>
    <row r="35720">
      <c r="A35720" s="1" t="s">
        <v>35719</v>
      </c>
      <c r="B35720" s="2" t="str">
        <f>IFERROR(__xludf.DUMMYFUNCTION("GOOGLETRANSLATE(A35720, ""de"", ""en"")"),"other")</f>
        <v>other</v>
      </c>
    </row>
    <row r="35721">
      <c r="A35721" s="1" t="s">
        <v>35720</v>
      </c>
      <c r="B35721" s="2" t="str">
        <f>IFERROR(__xludf.DUMMYFUNCTION("GOOGLETRANSLATE(A35721, ""de"", ""en"")"),"echelon")</f>
        <v>echelon</v>
      </c>
    </row>
    <row r="35722">
      <c r="A35722" s="1" t="s">
        <v>35721</v>
      </c>
      <c r="B35722" s="2" t="str">
        <f>IFERROR(__xludf.DUMMYFUNCTION("GOOGLETRANSLATE(A35722, ""de"", ""en"")"),"brand new")</f>
        <v>brand new</v>
      </c>
    </row>
    <row r="35723">
      <c r="A35723" s="1" t="s">
        <v>35722</v>
      </c>
      <c r="B35723" s="2" t="str">
        <f>IFERROR(__xludf.DUMMYFUNCTION("GOOGLETRANSLATE(A35723, ""de"", ""en"")"),"bolder")</f>
        <v>bolder</v>
      </c>
    </row>
    <row r="35724">
      <c r="A35724" s="1" t="s">
        <v>35723</v>
      </c>
      <c r="B35724" s="2" t="str">
        <f>IFERROR(__xludf.DUMMYFUNCTION("GOOGLETRANSLATE(A35724, ""de"", ""en"")"),"eats up")</f>
        <v>eats up</v>
      </c>
    </row>
    <row r="35725">
      <c r="A35725" s="1" t="s">
        <v>35724</v>
      </c>
      <c r="B35725" s="2" t="str">
        <f>IFERROR(__xludf.DUMMYFUNCTION("GOOGLETRANSLATE(A35725, ""de"", ""en"")"),"peacekeeper")</f>
        <v>peacekeeper</v>
      </c>
    </row>
    <row r="35726">
      <c r="A35726" s="1" t="s">
        <v>35725</v>
      </c>
      <c r="B35726" s="2" t="str">
        <f>IFERROR(__xludf.DUMMYFUNCTION("GOOGLETRANSLATE(A35726, ""de"", ""en"")"),"security protocols")</f>
        <v>security protocols</v>
      </c>
    </row>
    <row r="35727">
      <c r="A35727" s="1" t="s">
        <v>35726</v>
      </c>
      <c r="B35727" s="2" t="str">
        <f>IFERROR(__xludf.DUMMYFUNCTION("GOOGLETRANSLATE(A35727, ""de"", ""en"")"),"ice cream maker")</f>
        <v>ice cream maker</v>
      </c>
    </row>
    <row r="35728">
      <c r="A35728" s="1" t="s">
        <v>35727</v>
      </c>
      <c r="B35728" s="2" t="str">
        <f>IFERROR(__xludf.DUMMYFUNCTION("GOOGLETRANSLATE(A35728, ""de"", ""en"")"),"magnificent specimen")</f>
        <v>magnificent specimen</v>
      </c>
    </row>
    <row r="35729">
      <c r="A35729" s="1" t="s">
        <v>35728</v>
      </c>
      <c r="B35729" s="2" t="str">
        <f>IFERROR(__xludf.DUMMYFUNCTION("GOOGLETRANSLATE(A35729, ""de"", ""en"")"),"rusted")</f>
        <v>rusted</v>
      </c>
    </row>
    <row r="35730">
      <c r="A35730" s="1" t="s">
        <v>35729</v>
      </c>
      <c r="B35730" s="2" t="str">
        <f>IFERROR(__xludf.DUMMYFUNCTION("GOOGLETRANSLATE(A35730, ""de"", ""en"")"),"prime ministers")</f>
        <v>prime ministers</v>
      </c>
    </row>
    <row r="35731">
      <c r="A35731" s="1" t="s">
        <v>35730</v>
      </c>
      <c r="B35731" s="2" t="str">
        <f>IFERROR(__xludf.DUMMYFUNCTION("GOOGLETRANSLATE(A35731, ""de"", ""en"")"),"walk in")</f>
        <v>walk in</v>
      </c>
    </row>
    <row r="35732">
      <c r="A35732" s="1" t="s">
        <v>35731</v>
      </c>
      <c r="B35732" s="2" t="str">
        <f>IFERROR(__xludf.DUMMYFUNCTION("GOOGLETRANSLATE(A35732, ""de"", ""en"")"),"chase after")</f>
        <v>chase after</v>
      </c>
    </row>
    <row r="35733">
      <c r="A35733" s="1" t="s">
        <v>35732</v>
      </c>
      <c r="B35733" s="2" t="str">
        <f>IFERROR(__xludf.DUMMYFUNCTION("GOOGLETRANSLATE(A35733, ""de"", ""en"")"),"robson")</f>
        <v>robson</v>
      </c>
    </row>
    <row r="35734">
      <c r="A35734" s="1" t="s">
        <v>35733</v>
      </c>
      <c r="B35734" s="2" t="str">
        <f>IFERROR(__xludf.DUMMYFUNCTION("GOOGLETRANSLATE(A35734, ""de"", ""en"")"),"cosette")</f>
        <v>cosette</v>
      </c>
    </row>
    <row r="35735">
      <c r="A35735" s="1" t="s">
        <v>35734</v>
      </c>
      <c r="B35735" s="2" t="str">
        <f>IFERROR(__xludf.DUMMYFUNCTION("GOOGLETRANSLATE(A35735, ""de"", ""en"")"),"insufficient")</f>
        <v>insufficient</v>
      </c>
    </row>
    <row r="35736">
      <c r="A35736" s="1" t="s">
        <v>35735</v>
      </c>
      <c r="B35736" s="2" t="str">
        <f>IFERROR(__xludf.DUMMYFUNCTION("GOOGLETRANSLATE(A35736, ""de"", ""en"")"),"packer")</f>
        <v>packer</v>
      </c>
    </row>
    <row r="35737">
      <c r="A35737" s="1" t="s">
        <v>35736</v>
      </c>
      <c r="B35737" s="2" t="str">
        <f>IFERROR(__xludf.DUMMYFUNCTION("GOOGLETRANSLATE(A35737, ""de"", ""en"")"),"missionary")</f>
        <v>missionary</v>
      </c>
    </row>
    <row r="35738">
      <c r="A35738" s="1" t="s">
        <v>35737</v>
      </c>
      <c r="B35738" s="2" t="str">
        <f>IFERROR(__xludf.DUMMYFUNCTION("GOOGLETRANSLATE(A35738, ""de"", ""en"")"),"heylia")</f>
        <v>heylia</v>
      </c>
    </row>
    <row r="35739">
      <c r="A35739" s="1" t="s">
        <v>35738</v>
      </c>
      <c r="B35739" s="2" t="str">
        <f>IFERROR(__xludf.DUMMYFUNCTION("GOOGLETRANSLATE(A35739, ""de"", ""en"")"),"zelig")</f>
        <v>zelig</v>
      </c>
    </row>
    <row r="35740">
      <c r="A35740" s="1" t="s">
        <v>35739</v>
      </c>
      <c r="B35740" s="2" t="str">
        <f>IFERROR(__xludf.DUMMYFUNCTION("GOOGLETRANSLATE(A35740, ""de"", ""en"")"),"gradually")</f>
        <v>gradually</v>
      </c>
    </row>
    <row r="35741">
      <c r="A35741" s="1" t="s">
        <v>35740</v>
      </c>
      <c r="B35741" s="2" t="str">
        <f>IFERROR(__xludf.DUMMYFUNCTION("GOOGLETRANSLATE(A35741, ""de"", ""en"")"),"trappers")</f>
        <v>trappers</v>
      </c>
    </row>
    <row r="35742">
      <c r="A35742" s="1" t="s">
        <v>35741</v>
      </c>
      <c r="B35742" s="2" t="str">
        <f>IFERROR(__xludf.DUMMYFUNCTION("GOOGLETRANSLATE(A35742, ""de"", ""en"")"),"genteel")</f>
        <v>genteel</v>
      </c>
    </row>
    <row r="35743">
      <c r="A35743" s="1" t="s">
        <v>35742</v>
      </c>
      <c r="B35743" s="2" t="str">
        <f>IFERROR(__xludf.DUMMYFUNCTION("GOOGLETRANSLATE(A35743, ""de"", ""en"")"),"tobey")</f>
        <v>tobey</v>
      </c>
    </row>
    <row r="35744">
      <c r="A35744" s="1" t="s">
        <v>35743</v>
      </c>
      <c r="B35744" s="2" t="str">
        <f>IFERROR(__xludf.DUMMYFUNCTION("GOOGLETRANSLATE(A35744, ""de"", ""en"")"),"thorndyke")</f>
        <v>thorndyke</v>
      </c>
    </row>
    <row r="35745">
      <c r="A35745" s="1" t="s">
        <v>35744</v>
      </c>
      <c r="B35745" s="2" t="str">
        <f>IFERROR(__xludf.DUMMYFUNCTION("GOOGLETRANSLATE(A35745, ""de"", ""en"")"),"comtess")</f>
        <v>comtess</v>
      </c>
    </row>
    <row r="35746">
      <c r="A35746" s="1" t="s">
        <v>35745</v>
      </c>
      <c r="B35746" s="2" t="str">
        <f>IFERROR(__xludf.DUMMYFUNCTION("GOOGLETRANSLATE(A35746, ""de"", ""en"")"),"to inaugurate")</f>
        <v>to inaugurate</v>
      </c>
    </row>
    <row r="35747">
      <c r="A35747" s="1" t="s">
        <v>35746</v>
      </c>
      <c r="B35747" s="2" t="str">
        <f>IFERROR(__xludf.DUMMYFUNCTION("GOOGLETRANSLATE(A35747, ""de"", ""en"")"),"admit")</f>
        <v>admit</v>
      </c>
    </row>
    <row r="35748">
      <c r="A35748" s="1" t="s">
        <v>35747</v>
      </c>
      <c r="B35748" s="2" t="str">
        <f>IFERROR(__xludf.DUMMYFUNCTION("GOOGLETRANSLATE(A35748, ""de"", ""en"")"),"triumphs")</f>
        <v>triumphs</v>
      </c>
    </row>
    <row r="35749">
      <c r="A35749" s="1" t="s">
        <v>35748</v>
      </c>
      <c r="B35749" s="2" t="str">
        <f>IFERROR(__xludf.DUMMYFUNCTION("GOOGLETRANSLATE(A35749, ""de"", ""en"")"),"remarkable")</f>
        <v>remarkable</v>
      </c>
    </row>
    <row r="35750">
      <c r="A35750" s="1" t="s">
        <v>35749</v>
      </c>
      <c r="B35750" s="2" t="str">
        <f>IFERROR(__xludf.DUMMYFUNCTION("GOOGLETRANSLATE(A35750, ""de"", ""en"")"),"garbage bag")</f>
        <v>garbage bag</v>
      </c>
    </row>
    <row r="35751">
      <c r="A35751" s="1" t="s">
        <v>35750</v>
      </c>
      <c r="B35751" s="2" t="str">
        <f>IFERROR(__xludf.DUMMYFUNCTION("GOOGLETRANSLATE(A35751, ""de"", ""en"")"),"wi-fi")</f>
        <v>wi-fi</v>
      </c>
    </row>
    <row r="35752">
      <c r="A35752" s="1" t="s">
        <v>35751</v>
      </c>
      <c r="B35752" s="2" t="str">
        <f>IFERROR(__xludf.DUMMYFUNCTION("GOOGLETRANSLATE(A35752, ""de"", ""en"")"),"special feature")</f>
        <v>special feature</v>
      </c>
    </row>
    <row r="35753">
      <c r="A35753" s="1" t="s">
        <v>35752</v>
      </c>
      <c r="B35753" s="2" t="str">
        <f>IFERROR(__xludf.DUMMYFUNCTION("GOOGLETRANSLATE(A35753, ""de"", ""en"")"),"wipe out")</f>
        <v>wipe out</v>
      </c>
    </row>
    <row r="35754">
      <c r="A35754" s="1" t="s">
        <v>35753</v>
      </c>
      <c r="B35754" s="2" t="str">
        <f>IFERROR(__xludf.DUMMYFUNCTION("GOOGLETRANSLATE(A35754, ""de"", ""en"")"),"ronin")</f>
        <v>ronin</v>
      </c>
    </row>
    <row r="35755">
      <c r="A35755" s="1" t="s">
        <v>35754</v>
      </c>
      <c r="B35755" s="2" t="str">
        <f>IFERROR(__xludf.DUMMYFUNCTION("GOOGLETRANSLATE(A35755, ""de"", ""en"")"),"outlaw")</f>
        <v>outlaw</v>
      </c>
    </row>
    <row r="35756">
      <c r="A35756" s="1" t="s">
        <v>35755</v>
      </c>
      <c r="B35756" s="2" t="str">
        <f>IFERROR(__xludf.DUMMYFUNCTION("GOOGLETRANSLATE(A35756, ""de"", ""en"")"),"most modern")</f>
        <v>most modern</v>
      </c>
    </row>
    <row r="35757">
      <c r="A35757" s="1" t="s">
        <v>35756</v>
      </c>
      <c r="B35757" s="2" t="str">
        <f>IFERROR(__xludf.DUMMYFUNCTION("GOOGLETRANSLATE(A35757, ""de"", ""en"")"),"wolfes")</f>
        <v>wolfes</v>
      </c>
    </row>
    <row r="35758">
      <c r="A35758" s="1" t="s">
        <v>35757</v>
      </c>
      <c r="B35758" s="2" t="str">
        <f>IFERROR(__xludf.DUMMYFUNCTION("GOOGLETRANSLATE(A35758, ""de"", ""en"")"),"armin")</f>
        <v>armin</v>
      </c>
    </row>
    <row r="35759">
      <c r="A35759" s="1" t="s">
        <v>35758</v>
      </c>
      <c r="B35759" s="2" t="str">
        <f>IFERROR(__xludf.DUMMYFUNCTION("GOOGLETRANSLATE(A35759, ""de"", ""en"")"),"quarks")</f>
        <v>quarks</v>
      </c>
    </row>
    <row r="35760">
      <c r="A35760" s="1" t="s">
        <v>35759</v>
      </c>
      <c r="B35760" s="2" t="str">
        <f>IFERROR(__xludf.DUMMYFUNCTION("GOOGLETRANSLATE(A35760, ""de"", ""en"")"),"mylene")</f>
        <v>mylene</v>
      </c>
    </row>
    <row r="35761">
      <c r="A35761" s="1" t="s">
        <v>35760</v>
      </c>
      <c r="B35761" s="2" t="str">
        <f>IFERROR(__xludf.DUMMYFUNCTION("GOOGLETRANSLATE(A35761, ""de"", ""en"")"),"assistant")</f>
        <v>assistant</v>
      </c>
    </row>
    <row r="35762">
      <c r="A35762" s="1" t="s">
        <v>35761</v>
      </c>
      <c r="B35762" s="2" t="str">
        <f>IFERROR(__xludf.DUMMYFUNCTION("GOOGLETRANSLATE(A35762, ""de"", ""en"")"),"spoiler")</f>
        <v>spoiler</v>
      </c>
    </row>
    <row r="35763">
      <c r="A35763" s="1" t="s">
        <v>35762</v>
      </c>
      <c r="B35763" s="2" t="str">
        <f>IFERROR(__xludf.DUMMYFUNCTION("GOOGLETRANSLATE(A35763, ""de"", ""en"")"),"advertises")</f>
        <v>advertises</v>
      </c>
    </row>
    <row r="35764">
      <c r="A35764" s="1" t="s">
        <v>35763</v>
      </c>
      <c r="B35764" s="2" t="str">
        <f>IFERROR(__xludf.DUMMYFUNCTION("GOOGLETRANSLATE(A35764, ""de"", ""en"")"),"miners")</f>
        <v>miners</v>
      </c>
    </row>
    <row r="35765">
      <c r="A35765" s="1" t="s">
        <v>35764</v>
      </c>
      <c r="B35765" s="2" t="str">
        <f>IFERROR(__xludf.DUMMYFUNCTION("GOOGLETRANSLATE(A35765, ""de"", ""en"")"),"paddington")</f>
        <v>paddington</v>
      </c>
    </row>
    <row r="35766">
      <c r="A35766" s="1" t="s">
        <v>35765</v>
      </c>
      <c r="B35766" s="2" t="str">
        <f>IFERROR(__xludf.DUMMYFUNCTION("GOOGLETRANSLATE(A35766, ""de"", ""en"")"),"macleod")</f>
        <v>macleod</v>
      </c>
    </row>
    <row r="35767">
      <c r="A35767" s="1" t="s">
        <v>35766</v>
      </c>
      <c r="B35767" s="2" t="str">
        <f>IFERROR(__xludf.DUMMYFUNCTION("GOOGLETRANSLATE(A35767, ""de"", ""en"")"),"quail")</f>
        <v>quail</v>
      </c>
    </row>
    <row r="35768">
      <c r="A35768" s="1" t="s">
        <v>35767</v>
      </c>
      <c r="B35768" s="2" t="str">
        <f>IFERROR(__xludf.DUMMYFUNCTION("GOOGLETRANSLATE(A35768, ""de"", ""en"")"),"misfortune")</f>
        <v>misfortune</v>
      </c>
    </row>
    <row r="35769">
      <c r="A35769" s="1" t="s">
        <v>35768</v>
      </c>
      <c r="B35769" s="2" t="str">
        <f>IFERROR(__xludf.DUMMYFUNCTION("GOOGLETRANSLATE(A35769, ""de"", ""en"")"),"self-righteous")</f>
        <v>self-righteous</v>
      </c>
    </row>
    <row r="35770">
      <c r="A35770" s="1" t="s">
        <v>35769</v>
      </c>
      <c r="B35770" s="2" t="str">
        <f>IFERROR(__xludf.DUMMYFUNCTION("GOOGLETRANSLATE(A35770, ""de"", ""en"")"),"impressed")</f>
        <v>impressed</v>
      </c>
    </row>
    <row r="35771">
      <c r="A35771" s="1" t="s">
        <v>35770</v>
      </c>
      <c r="B35771" s="2" t="str">
        <f>IFERROR(__xludf.DUMMYFUNCTION("GOOGLETRANSLATE(A35771, ""de"", ""en"")"),"rapidly")</f>
        <v>rapidly</v>
      </c>
    </row>
    <row r="35772">
      <c r="A35772" s="1" t="s">
        <v>35771</v>
      </c>
      <c r="B35772" s="2" t="str">
        <f>IFERROR(__xludf.DUMMYFUNCTION("GOOGLETRANSLATE(A35772, ""de"", ""en"")"),"hill")</f>
        <v>hill</v>
      </c>
    </row>
    <row r="35773">
      <c r="A35773" s="1" t="s">
        <v>35772</v>
      </c>
      <c r="B35773" s="2" t="str">
        <f>IFERROR(__xludf.DUMMYFUNCTION("GOOGLETRANSLATE(A35773, ""de"", ""en"")"),"cry out")</f>
        <v>cry out</v>
      </c>
    </row>
    <row r="35774">
      <c r="A35774" s="1" t="s">
        <v>35773</v>
      </c>
      <c r="B35774" s="2" t="str">
        <f>IFERROR(__xludf.DUMMYFUNCTION("GOOGLETRANSLATE(A35774, ""de"", ""en"")"),"court councilor")</f>
        <v>court councilor</v>
      </c>
    </row>
    <row r="35775">
      <c r="A35775" s="1" t="s">
        <v>35774</v>
      </c>
      <c r="B35775" s="2" t="str">
        <f>IFERROR(__xludf.DUMMYFUNCTION("GOOGLETRANSLATE(A35775, ""de"", ""en"")"),"do harm")</f>
        <v>do harm</v>
      </c>
    </row>
    <row r="35776">
      <c r="A35776" s="1" t="s">
        <v>35775</v>
      </c>
      <c r="B35776" s="2" t="str">
        <f>IFERROR(__xludf.DUMMYFUNCTION("GOOGLETRANSLATE(A35776, ""de"", ""en"")"),"work ethic")</f>
        <v>work ethic</v>
      </c>
    </row>
    <row r="35777">
      <c r="A35777" s="1" t="s">
        <v>35776</v>
      </c>
      <c r="B35777" s="2" t="str">
        <f>IFERROR(__xludf.DUMMYFUNCTION("GOOGLETRANSLATE(A35777, ""de"", ""en"")"),"lab rat")</f>
        <v>lab rat</v>
      </c>
    </row>
    <row r="35778">
      <c r="A35778" s="1" t="s">
        <v>35777</v>
      </c>
      <c r="B35778" s="2" t="str">
        <f>IFERROR(__xludf.DUMMYFUNCTION("GOOGLETRANSLATE(A35778, ""de"", ""en"")"),"to receive")</f>
        <v>to receive</v>
      </c>
    </row>
    <row r="35779">
      <c r="A35779" s="1" t="s">
        <v>35778</v>
      </c>
      <c r="B35779" s="2" t="str">
        <f>IFERROR(__xludf.DUMMYFUNCTION("GOOGLETRANSLATE(A35779, ""de"", ""en"")"),"missed")</f>
        <v>missed</v>
      </c>
    </row>
    <row r="35780">
      <c r="A35780" s="1" t="s">
        <v>35779</v>
      </c>
      <c r="B35780" s="2" t="str">
        <f>IFERROR(__xludf.DUMMYFUNCTION("GOOGLETRANSLATE(A35780, ""de"", ""en"")"),"rath")</f>
        <v>rath</v>
      </c>
    </row>
    <row r="35781">
      <c r="A35781" s="1" t="s">
        <v>35780</v>
      </c>
      <c r="B35781" s="2" t="str">
        <f>IFERROR(__xludf.DUMMYFUNCTION("GOOGLETRANSLATE(A35781, ""de"", ""en"")"),"swallow")</f>
        <v>swallow</v>
      </c>
    </row>
    <row r="35782">
      <c r="A35782" s="1" t="s">
        <v>35781</v>
      </c>
      <c r="B35782" s="2" t="str">
        <f>IFERROR(__xludf.DUMMYFUNCTION("GOOGLETRANSLATE(A35782, ""de"", ""en"")"),"praises")</f>
        <v>praises</v>
      </c>
    </row>
    <row r="35783">
      <c r="A35783" s="1" t="s">
        <v>35782</v>
      </c>
      <c r="B35783" s="2" t="str">
        <f>IFERROR(__xludf.DUMMYFUNCTION("GOOGLETRANSLATE(A35783, ""de"", ""en"")"),"man")</f>
        <v>man</v>
      </c>
    </row>
    <row r="35784">
      <c r="A35784" s="1" t="s">
        <v>35783</v>
      </c>
      <c r="B35784" s="2" t="str">
        <f>IFERROR(__xludf.DUMMYFUNCTION("GOOGLETRANSLATE(A35784, ""de"", ""en"")"),"absinthe")</f>
        <v>absinthe</v>
      </c>
    </row>
    <row r="35785">
      <c r="A35785" s="1" t="s">
        <v>35784</v>
      </c>
      <c r="B35785" s="2" t="str">
        <f>IFERROR(__xludf.DUMMYFUNCTION("GOOGLETRANSLATE(A35785, ""de"", ""en"")"),"budgets")</f>
        <v>budgets</v>
      </c>
    </row>
    <row r="35786">
      <c r="A35786" s="1" t="s">
        <v>35785</v>
      </c>
      <c r="B35786" s="2" t="str">
        <f>IFERROR(__xludf.DUMMYFUNCTION("GOOGLETRANSLATE(A35786, ""de"", ""en"")"),"gordy")</f>
        <v>gordy</v>
      </c>
    </row>
    <row r="35787">
      <c r="A35787" s="1" t="s">
        <v>35786</v>
      </c>
      <c r="B35787" s="2" t="str">
        <f>IFERROR(__xludf.DUMMYFUNCTION("GOOGLETRANSLATE(A35787, ""de"", ""en"")"),"lesser")</f>
        <v>lesser</v>
      </c>
    </row>
    <row r="35788">
      <c r="A35788" s="1" t="s">
        <v>35787</v>
      </c>
      <c r="B35788" s="2" t="str">
        <f>IFERROR(__xludf.DUMMYFUNCTION("GOOGLETRANSLATE(A35788, ""de"", ""en"")"),"represented")</f>
        <v>represented</v>
      </c>
    </row>
    <row r="35789">
      <c r="A35789" s="1" t="s">
        <v>35788</v>
      </c>
      <c r="B35789" s="2" t="str">
        <f>IFERROR(__xludf.DUMMYFUNCTION("GOOGLETRANSLATE(A35789, ""de"", ""en"")"),"heroic")</f>
        <v>heroic</v>
      </c>
    </row>
    <row r="35790">
      <c r="A35790" s="1" t="s">
        <v>35789</v>
      </c>
      <c r="B35790" s="2" t="str">
        <f>IFERROR(__xludf.DUMMYFUNCTION("GOOGLETRANSLATE(A35790, ""de"", ""en"")"),"build")</f>
        <v>build</v>
      </c>
    </row>
    <row r="35791">
      <c r="A35791" s="1" t="s">
        <v>35790</v>
      </c>
      <c r="B35791" s="2" t="str">
        <f>IFERROR(__xludf.DUMMYFUNCTION("GOOGLETRANSLATE(A35791, ""de"", ""en"")"),"overwhelm")</f>
        <v>overwhelm</v>
      </c>
    </row>
    <row r="35792">
      <c r="A35792" s="1" t="s">
        <v>35791</v>
      </c>
      <c r="B35792" s="2" t="str">
        <f>IFERROR(__xludf.DUMMYFUNCTION("GOOGLETRANSLATE(A35792, ""de"", ""en"")"),"deaths")</f>
        <v>deaths</v>
      </c>
    </row>
    <row r="35793">
      <c r="A35793" s="1" t="s">
        <v>35792</v>
      </c>
      <c r="B35793" s="2" t="str">
        <f>IFERROR(__xludf.DUMMYFUNCTION("GOOGLETRANSLATE(A35793, ""de"", ""en"")"),"paid")</f>
        <v>paid</v>
      </c>
    </row>
    <row r="35794">
      <c r="A35794" s="1" t="s">
        <v>35793</v>
      </c>
      <c r="B35794" s="2" t="str">
        <f>IFERROR(__xludf.DUMMYFUNCTION("GOOGLETRANSLATE(A35794, ""de"", ""en"")"),"Jerry's")</f>
        <v>Jerry's</v>
      </c>
    </row>
    <row r="35795">
      <c r="A35795" s="1" t="s">
        <v>35794</v>
      </c>
      <c r="B35795" s="2" t="str">
        <f>IFERROR(__xludf.DUMMYFUNCTION("GOOGLETRANSLATE(A35795, ""de"", ""en"")"),"yeung")</f>
        <v>yeung</v>
      </c>
    </row>
    <row r="35796">
      <c r="A35796" s="1" t="s">
        <v>35795</v>
      </c>
      <c r="B35796" s="2" t="str">
        <f>IFERROR(__xludf.DUMMYFUNCTION("GOOGLETRANSLATE(A35796, ""de"", ""en"")"),"self-conscious")</f>
        <v>self-conscious</v>
      </c>
    </row>
    <row r="35797">
      <c r="A35797" s="1" t="s">
        <v>35796</v>
      </c>
      <c r="B35797" s="2" t="str">
        <f>IFERROR(__xludf.DUMMYFUNCTION("GOOGLETRANSLATE(A35797, ""de"", ""en"")"),"cochrane")</f>
        <v>cochrane</v>
      </c>
    </row>
    <row r="35798">
      <c r="A35798" s="1" t="s">
        <v>35797</v>
      </c>
      <c r="B35798" s="2" t="str">
        <f>IFERROR(__xludf.DUMMYFUNCTION("GOOGLETRANSLATE(A35798, ""de"", ""en"")"),"marina")</f>
        <v>marina</v>
      </c>
    </row>
    <row r="35799">
      <c r="A35799" s="1" t="s">
        <v>35798</v>
      </c>
      <c r="B35799" s="2" t="str">
        <f>IFERROR(__xludf.DUMMYFUNCTION("GOOGLETRANSLATE(A35799, ""de"", ""en"")"),"vilma")</f>
        <v>vilma</v>
      </c>
    </row>
    <row r="35800">
      <c r="A35800" s="1" t="s">
        <v>35799</v>
      </c>
      <c r="B35800" s="2" t="str">
        <f>IFERROR(__xludf.DUMMYFUNCTION("GOOGLETRANSLATE(A35800, ""de"", ""en"")"),"claudine")</f>
        <v>claudine</v>
      </c>
    </row>
    <row r="35801">
      <c r="A35801" s="1" t="s">
        <v>35800</v>
      </c>
      <c r="B35801" s="2" t="str">
        <f>IFERROR(__xludf.DUMMYFUNCTION("GOOGLETRANSLATE(A35801, ""de"", ""en"")"),"Platonic")</f>
        <v>Platonic</v>
      </c>
    </row>
    <row r="35802">
      <c r="A35802" s="1" t="s">
        <v>35801</v>
      </c>
      <c r="B35802" s="2" t="str">
        <f>IFERROR(__xludf.DUMMYFUNCTION("GOOGLETRANSLATE(A35802, ""de"", ""en"")"),"hottest")</f>
        <v>hottest</v>
      </c>
    </row>
    <row r="35803">
      <c r="A35803" s="1" t="s">
        <v>35802</v>
      </c>
      <c r="B35803" s="2" t="str">
        <f>IFERROR(__xludf.DUMMYFUNCTION("GOOGLETRANSLATE(A35803, ""de"", ""en"")"),"ritas")</f>
        <v>ritas</v>
      </c>
    </row>
    <row r="35804">
      <c r="A35804" s="1" t="s">
        <v>35803</v>
      </c>
      <c r="B35804" s="2" t="str">
        <f>IFERROR(__xludf.DUMMYFUNCTION("GOOGLETRANSLATE(A35804, ""de"", ""en"")"),"android")</f>
        <v>android</v>
      </c>
    </row>
    <row r="35805">
      <c r="A35805" s="1" t="s">
        <v>35804</v>
      </c>
      <c r="B35805" s="2" t="str">
        <f>IFERROR(__xludf.DUMMYFUNCTION("GOOGLETRANSLATE(A35805, ""de"", ""en"")"),"convent")</f>
        <v>convent</v>
      </c>
    </row>
    <row r="35806">
      <c r="A35806" s="1" t="s">
        <v>35805</v>
      </c>
      <c r="B35806" s="2" t="str">
        <f>IFERROR(__xludf.DUMMYFUNCTION("GOOGLETRANSLATE(A35806, ""de"", ""en"")"),"lakewood")</f>
        <v>lakewood</v>
      </c>
    </row>
    <row r="35807">
      <c r="A35807" s="1" t="s">
        <v>35806</v>
      </c>
      <c r="B35807" s="2" t="str">
        <f>IFERROR(__xludf.DUMMYFUNCTION("GOOGLETRANSLATE(A35807, ""de"", ""en"")"),"yippee")</f>
        <v>yippee</v>
      </c>
    </row>
    <row r="35808">
      <c r="A35808" s="1" t="s">
        <v>35807</v>
      </c>
      <c r="B35808" s="2" t="str">
        <f>IFERROR(__xludf.DUMMYFUNCTION("GOOGLETRANSLATE(A35808, ""de"", ""en"")"),"jacuzzi")</f>
        <v>jacuzzi</v>
      </c>
    </row>
    <row r="35809">
      <c r="A35809" s="1" t="s">
        <v>35808</v>
      </c>
      <c r="B35809" s="2" t="str">
        <f>IFERROR(__xludf.DUMMYFUNCTION("GOOGLETRANSLATE(A35809, ""de"", ""en"")"),"weightlessness")</f>
        <v>weightlessness</v>
      </c>
    </row>
    <row r="35810">
      <c r="A35810" s="1" t="s">
        <v>35809</v>
      </c>
      <c r="B35810" s="2" t="str">
        <f>IFERROR(__xludf.DUMMYFUNCTION("GOOGLETRANSLATE(A35810, ""de"", ""en"")"),"shyness")</f>
        <v>shyness</v>
      </c>
    </row>
    <row r="35811">
      <c r="A35811" s="1" t="s">
        <v>35810</v>
      </c>
      <c r="B35811" s="2" t="str">
        <f>IFERROR(__xludf.DUMMYFUNCTION("GOOGLETRANSLATE(A35811, ""de"", ""en"")"),"lick of sugar")</f>
        <v>lick of sugar</v>
      </c>
    </row>
    <row r="35812">
      <c r="A35812" s="1" t="s">
        <v>35811</v>
      </c>
      <c r="B35812" s="2" t="str">
        <f>IFERROR(__xludf.DUMMYFUNCTION("GOOGLETRANSLATE(A35812, ""de"", ""en"")"),"fickle")</f>
        <v>fickle</v>
      </c>
    </row>
    <row r="35813">
      <c r="A35813" s="1" t="s">
        <v>35812</v>
      </c>
      <c r="B35813" s="2" t="str">
        <f>IFERROR(__xludf.DUMMYFUNCTION("GOOGLETRANSLATE(A35813, ""de"", ""en"")"),"contractual")</f>
        <v>contractual</v>
      </c>
    </row>
    <row r="35814">
      <c r="A35814" s="1" t="s">
        <v>35813</v>
      </c>
      <c r="B35814" s="2" t="str">
        <f>IFERROR(__xludf.DUMMYFUNCTION("GOOGLETRANSLATE(A35814, ""de"", ""en"")"),"lance")</f>
        <v>lance</v>
      </c>
    </row>
    <row r="35815">
      <c r="A35815" s="1" t="s">
        <v>35814</v>
      </c>
      <c r="B35815" s="2" t="str">
        <f>IFERROR(__xludf.DUMMYFUNCTION("GOOGLETRANSLATE(A35815, ""de"", ""en"")"),"berserk")</f>
        <v>berserk</v>
      </c>
    </row>
    <row r="35816">
      <c r="A35816" s="1" t="s">
        <v>35815</v>
      </c>
      <c r="B35816" s="2" t="str">
        <f>IFERROR(__xludf.DUMMYFUNCTION("GOOGLETRANSLATE(A35816, ""de"", ""en"")"),"to hold off")</f>
        <v>to hold off</v>
      </c>
    </row>
    <row r="35817">
      <c r="A35817" s="1" t="s">
        <v>35816</v>
      </c>
      <c r="B35817" s="2" t="str">
        <f>IFERROR(__xludf.DUMMYFUNCTION("GOOGLETRANSLATE(A35817, ""de"", ""en"")"),"possible")</f>
        <v>possible</v>
      </c>
    </row>
    <row r="35818">
      <c r="A35818" s="1" t="s">
        <v>35817</v>
      </c>
      <c r="B35818" s="2" t="str">
        <f>IFERROR(__xludf.DUMMYFUNCTION("GOOGLETRANSLATE(A35818, ""de"", ""en"")"),"postal code")</f>
        <v>postal code</v>
      </c>
    </row>
    <row r="35819">
      <c r="A35819" s="1" t="s">
        <v>35818</v>
      </c>
      <c r="B35819" s="2" t="str">
        <f>IFERROR(__xludf.DUMMYFUNCTION("GOOGLETRANSLATE(A35819, ""de"", ""en"")"),"burning")</f>
        <v>burning</v>
      </c>
    </row>
    <row r="35820">
      <c r="A35820" s="1" t="s">
        <v>35819</v>
      </c>
      <c r="B35820" s="2" t="str">
        <f>IFERROR(__xludf.DUMMYFUNCTION("GOOGLETRANSLATE(A35820, ""de"", ""en"")"),"student association")</f>
        <v>student association</v>
      </c>
    </row>
    <row r="35821">
      <c r="A35821" s="1" t="s">
        <v>35820</v>
      </c>
      <c r="B35821" s="2" t="str">
        <f>IFERROR(__xludf.DUMMYFUNCTION("GOOGLETRANSLATE(A35821, ""de"", ""en"")"),"peanuts")</f>
        <v>peanuts</v>
      </c>
    </row>
    <row r="35822">
      <c r="A35822" s="1" t="s">
        <v>35821</v>
      </c>
      <c r="B35822" s="2" t="str">
        <f>IFERROR(__xludf.DUMMYFUNCTION("GOOGLETRANSLATE(A35822, ""de"", ""en"")"),"invented")</f>
        <v>invented</v>
      </c>
    </row>
    <row r="35823">
      <c r="A35823" s="1" t="s">
        <v>35822</v>
      </c>
      <c r="B35823" s="2" t="str">
        <f>IFERROR(__xludf.DUMMYFUNCTION("GOOGLETRANSLATE(A35823, ""de"", ""en"")"),"pajama party")</f>
        <v>pajama party</v>
      </c>
    </row>
    <row r="35824">
      <c r="A35824" s="1" t="s">
        <v>35823</v>
      </c>
      <c r="B35824" s="2" t="str">
        <f>IFERROR(__xludf.DUMMYFUNCTION("GOOGLETRANSLATE(A35824, ""de"", ""en"")"),"oral")</f>
        <v>oral</v>
      </c>
    </row>
    <row r="35825">
      <c r="A35825" s="1" t="s">
        <v>35824</v>
      </c>
      <c r="B35825" s="2" t="str">
        <f>IFERROR(__xludf.DUMMYFUNCTION("GOOGLETRANSLATE(A35825, ""de"", ""en"")"),"disoriented")</f>
        <v>disoriented</v>
      </c>
    </row>
    <row r="35826">
      <c r="A35826" s="1" t="s">
        <v>35825</v>
      </c>
      <c r="B35826" s="2" t="str">
        <f>IFERROR(__xludf.DUMMYFUNCTION("GOOGLETRANSLATE(A35826, ""de"", ""en"")"),"smack your lips")</f>
        <v>smack your lips</v>
      </c>
    </row>
    <row r="35827">
      <c r="A35827" s="1" t="s">
        <v>35826</v>
      </c>
      <c r="B35827" s="2" t="str">
        <f>IFERROR(__xludf.DUMMYFUNCTION("GOOGLETRANSLATE(A35827, ""de"", ""en"")"),"shied away from")</f>
        <v>shied away from</v>
      </c>
    </row>
    <row r="35828">
      <c r="A35828" s="1" t="s">
        <v>35827</v>
      </c>
      <c r="B35828" s="2" t="str">
        <f>IFERROR(__xludf.DUMMYFUNCTION("GOOGLETRANSLATE(A35828, ""de"", ""en"")"),"pouted")</f>
        <v>pouted</v>
      </c>
    </row>
    <row r="35829">
      <c r="A35829" s="1" t="s">
        <v>35828</v>
      </c>
      <c r="B35829" s="2" t="str">
        <f>IFERROR(__xludf.DUMMYFUNCTION("GOOGLETRANSLATE(A35829, ""de"", ""en"")"),"kenshin")</f>
        <v>kenshin</v>
      </c>
    </row>
    <row r="35830">
      <c r="A35830" s="1" t="s">
        <v>35829</v>
      </c>
      <c r="B35830" s="2" t="str">
        <f>IFERROR(__xludf.DUMMYFUNCTION("GOOGLETRANSLATE(A35830, ""de"", ""en"")"),"sniffer dog")</f>
        <v>sniffer dog</v>
      </c>
    </row>
    <row r="35831">
      <c r="A35831" s="1" t="s">
        <v>35830</v>
      </c>
      <c r="B35831" s="2" t="str">
        <f>IFERROR(__xludf.DUMMYFUNCTION("GOOGLETRANSLATE(A35831, ""de"", ""en"")"),"skills")</f>
        <v>skills</v>
      </c>
    </row>
    <row r="35832">
      <c r="A35832" s="1" t="s">
        <v>35831</v>
      </c>
      <c r="B35832" s="2" t="str">
        <f>IFERROR(__xludf.DUMMYFUNCTION("GOOGLETRANSLATE(A35832, ""de"", ""en"")"),"Hepburn")</f>
        <v>Hepburn</v>
      </c>
    </row>
    <row r="35833">
      <c r="A35833" s="1" t="s">
        <v>35832</v>
      </c>
      <c r="B35833" s="2" t="str">
        <f>IFERROR(__xludf.DUMMYFUNCTION("GOOGLETRANSLATE(A35833, ""de"", ""en"")"),"command")</f>
        <v>command</v>
      </c>
    </row>
    <row r="35834">
      <c r="A35834" s="1" t="s">
        <v>35833</v>
      </c>
      <c r="B35834" s="2" t="str">
        <f>IFERROR(__xludf.DUMMYFUNCTION("GOOGLETRANSLATE(A35834, ""de"", ""en"")"),"confidently")</f>
        <v>confidently</v>
      </c>
    </row>
    <row r="35835">
      <c r="A35835" s="1" t="s">
        <v>35834</v>
      </c>
      <c r="B35835" s="2" t="str">
        <f>IFERROR(__xludf.DUMMYFUNCTION("GOOGLETRANSLATE(A35835, ""de"", ""en"")"),"secrecy")</f>
        <v>secrecy</v>
      </c>
    </row>
    <row r="35836">
      <c r="A35836" s="1" t="s">
        <v>35835</v>
      </c>
      <c r="B35836" s="2" t="str">
        <f>IFERROR(__xludf.DUMMYFUNCTION("GOOGLETRANSLATE(A35836, ""de"", ""en"")"),"paves the way")</f>
        <v>paves the way</v>
      </c>
    </row>
    <row r="35837">
      <c r="A35837" s="1" t="s">
        <v>35836</v>
      </c>
      <c r="B35837" s="2" t="str">
        <f>IFERROR(__xludf.DUMMYFUNCTION("GOOGLETRANSLATE(A35837, ""de"", ""en"")"),"rev up")</f>
        <v>rev up</v>
      </c>
    </row>
    <row r="35838">
      <c r="A35838" s="1" t="s">
        <v>35837</v>
      </c>
      <c r="B35838" s="2" t="str">
        <f>IFERROR(__xludf.DUMMYFUNCTION("GOOGLETRANSLATE(A35838, ""de"", ""en"")"),"everlasting")</f>
        <v>everlasting</v>
      </c>
    </row>
    <row r="35839">
      <c r="A35839" s="1" t="s">
        <v>35838</v>
      </c>
      <c r="B35839" s="2" t="str">
        <f>IFERROR(__xludf.DUMMYFUNCTION("GOOGLETRANSLATE(A35839, ""de"", ""en"")"),"construction sites")</f>
        <v>construction sites</v>
      </c>
    </row>
    <row r="35840">
      <c r="A35840" s="1" t="s">
        <v>35839</v>
      </c>
      <c r="B35840" s="2" t="str">
        <f>IFERROR(__xludf.DUMMYFUNCTION("GOOGLETRANSLATE(A35840, ""de"", ""en"")"),"recruit")</f>
        <v>recruit</v>
      </c>
    </row>
    <row r="35841">
      <c r="A35841" s="1" t="s">
        <v>35840</v>
      </c>
      <c r="B35841" s="2" t="str">
        <f>IFERROR(__xludf.DUMMYFUNCTION("GOOGLETRANSLATE(A35841, ""de"", ""en"")"),"thrown")</f>
        <v>thrown</v>
      </c>
    </row>
    <row r="35842">
      <c r="A35842" s="1" t="s">
        <v>35841</v>
      </c>
      <c r="B35842" s="2" t="str">
        <f>IFERROR(__xludf.DUMMYFUNCTION("GOOGLETRANSLATE(A35842, ""de"", ""en"")"),"aggravation")</f>
        <v>aggravation</v>
      </c>
    </row>
    <row r="35843">
      <c r="A35843" s="1" t="s">
        <v>35842</v>
      </c>
      <c r="B35843" s="2" t="str">
        <f>IFERROR(__xludf.DUMMYFUNCTION("GOOGLETRANSLATE(A35843, ""de"", ""en"")"),"mcgregor")</f>
        <v>mcgregor</v>
      </c>
    </row>
    <row r="35844">
      <c r="A35844" s="1" t="s">
        <v>35843</v>
      </c>
      <c r="B35844" s="2" t="str">
        <f>IFERROR(__xludf.DUMMYFUNCTION("GOOGLETRANSLATE(A35844, ""de"", ""en"")"),"sequences")</f>
        <v>sequences</v>
      </c>
    </row>
    <row r="35845">
      <c r="A35845" s="1" t="s">
        <v>35844</v>
      </c>
      <c r="B35845" s="2" t="str">
        <f>IFERROR(__xludf.DUMMYFUNCTION("GOOGLETRANSLATE(A35845, ""de"", ""en"")"),"wealthy")</f>
        <v>wealthy</v>
      </c>
    </row>
    <row r="35846">
      <c r="A35846" s="1" t="s">
        <v>35845</v>
      </c>
      <c r="B35846" s="2" t="str">
        <f>IFERROR(__xludf.DUMMYFUNCTION("GOOGLETRANSLATE(A35846, ""de"", ""en"")"),"killed off")</f>
        <v>killed off</v>
      </c>
    </row>
    <row r="35847">
      <c r="A35847" s="1" t="s">
        <v>35846</v>
      </c>
      <c r="B35847" s="2" t="str">
        <f>IFERROR(__xludf.DUMMYFUNCTION("GOOGLETRANSLATE(A35847, ""de"", ""en"")"),"followed")</f>
        <v>followed</v>
      </c>
    </row>
    <row r="35848">
      <c r="A35848" s="1" t="s">
        <v>35847</v>
      </c>
      <c r="B35848" s="2" t="str">
        <f>IFERROR(__xludf.DUMMYFUNCTION("GOOGLETRANSLATE(A35848, ""de"", ""en"")"),"mitigate")</f>
        <v>mitigate</v>
      </c>
    </row>
    <row r="35849">
      <c r="A35849" s="1" t="s">
        <v>35848</v>
      </c>
      <c r="B35849" s="2" t="str">
        <f>IFERROR(__xludf.DUMMYFUNCTION("GOOGLETRANSLATE(A35849, ""de"", ""en"")"),"prime")</f>
        <v>prime</v>
      </c>
    </row>
    <row r="35850">
      <c r="A35850" s="1" t="s">
        <v>35849</v>
      </c>
      <c r="B35850" s="2" t="str">
        <f>IFERROR(__xludf.DUMMYFUNCTION("GOOGLETRANSLATE(A35850, ""de"", ""en"")"),"phrase")</f>
        <v>phrase</v>
      </c>
    </row>
    <row r="35851">
      <c r="A35851" s="1" t="s">
        <v>35850</v>
      </c>
      <c r="B35851" s="2" t="str">
        <f>IFERROR(__xludf.DUMMYFUNCTION("GOOGLETRANSLATE(A35851, ""de"", ""en"")"),"crumpled")</f>
        <v>crumpled</v>
      </c>
    </row>
    <row r="35852">
      <c r="A35852" s="1" t="s">
        <v>35851</v>
      </c>
      <c r="B35852" s="2" t="str">
        <f>IFERROR(__xludf.DUMMYFUNCTION("GOOGLETRANSLATE(A35852, ""de"", ""en"")"),"alm")</f>
        <v>alm</v>
      </c>
    </row>
    <row r="35853">
      <c r="A35853" s="1" t="s">
        <v>35852</v>
      </c>
      <c r="B35853" s="2" t="str">
        <f>IFERROR(__xludf.DUMMYFUNCTION("GOOGLETRANSLATE(A35853, ""de"", ""en"")"),"prentice")</f>
        <v>prentice</v>
      </c>
    </row>
    <row r="35854">
      <c r="A35854" s="1" t="s">
        <v>35853</v>
      </c>
      <c r="B35854" s="2" t="str">
        <f>IFERROR(__xludf.DUMMYFUNCTION("GOOGLETRANSLATE(A35854, ""de"", ""en"")"),"Vanya")</f>
        <v>Vanya</v>
      </c>
    </row>
    <row r="35855">
      <c r="A35855" s="1" t="s">
        <v>35854</v>
      </c>
      <c r="B35855" s="2" t="str">
        <f>IFERROR(__xludf.DUMMYFUNCTION("GOOGLETRANSLATE(A35855, ""de"", ""en"")"),"kirkman")</f>
        <v>kirkman</v>
      </c>
    </row>
    <row r="35856">
      <c r="A35856" s="1" t="s">
        <v>35855</v>
      </c>
      <c r="B35856" s="2" t="str">
        <f>IFERROR(__xludf.DUMMYFUNCTION("GOOGLETRANSLATE(A35856, ""de"", ""en"")"),"target area")</f>
        <v>target area</v>
      </c>
    </row>
    <row r="35857">
      <c r="A35857" s="1" t="s">
        <v>35856</v>
      </c>
      <c r="B35857" s="2" t="str">
        <f>IFERROR(__xludf.DUMMYFUNCTION("GOOGLETRANSLATE(A35857, ""de"", ""en"")"),"schadenfreude")</f>
        <v>schadenfreude</v>
      </c>
    </row>
    <row r="35858">
      <c r="A35858" s="1" t="s">
        <v>35857</v>
      </c>
      <c r="B35858" s="2" t="str">
        <f>IFERROR(__xludf.DUMMYFUNCTION("GOOGLETRANSLATE(A35858, ""de"", ""en"")"),"Ronaldo")</f>
        <v>Ronaldo</v>
      </c>
    </row>
    <row r="35859">
      <c r="A35859" s="1" t="s">
        <v>35858</v>
      </c>
      <c r="B35859" s="2" t="str">
        <f>IFERROR(__xludf.DUMMYFUNCTION("GOOGLETRANSLATE(A35859, ""de"", ""en"")"),"blue light")</f>
        <v>blue light</v>
      </c>
    </row>
    <row r="35860">
      <c r="A35860" s="1" t="s">
        <v>35859</v>
      </c>
      <c r="B35860" s="2" t="str">
        <f>IFERROR(__xludf.DUMMYFUNCTION("GOOGLETRANSLATE(A35860, ""de"", ""en"")"),"assigned")</f>
        <v>assigned</v>
      </c>
    </row>
    <row r="35861">
      <c r="A35861" s="1" t="s">
        <v>35860</v>
      </c>
      <c r="B35861" s="2" t="str">
        <f>IFERROR(__xludf.DUMMYFUNCTION("GOOGLETRANSLATE(A35861, ""de"", ""en"")"),"calls")</f>
        <v>calls</v>
      </c>
    </row>
    <row r="35862">
      <c r="A35862" s="1" t="s">
        <v>35861</v>
      </c>
      <c r="B35862" s="2" t="str">
        <f>IFERROR(__xludf.DUMMYFUNCTION("GOOGLETRANSLATE(A35862, ""de"", ""en"")"),"smelled")</f>
        <v>smelled</v>
      </c>
    </row>
    <row r="35863">
      <c r="A35863" s="1" t="s">
        <v>35862</v>
      </c>
      <c r="B35863" s="2" t="str">
        <f>IFERROR(__xludf.DUMMYFUNCTION("GOOGLETRANSLATE(A35863, ""de"", ""en"")"),"awesome")</f>
        <v>awesome</v>
      </c>
    </row>
    <row r="35864">
      <c r="A35864" s="1" t="s">
        <v>35863</v>
      </c>
      <c r="B35864" s="2" t="str">
        <f>IFERROR(__xludf.DUMMYFUNCTION("GOOGLETRANSLATE(A35864, ""de"", ""en"")"),"way of working")</f>
        <v>way of working</v>
      </c>
    </row>
    <row r="35865">
      <c r="A35865" s="1" t="s">
        <v>35864</v>
      </c>
      <c r="B35865" s="2" t="str">
        <f>IFERROR(__xludf.DUMMYFUNCTION("GOOGLETRANSLATE(A35865, ""de"", ""en"")"),"chants")</f>
        <v>chants</v>
      </c>
    </row>
    <row r="35866">
      <c r="A35866" s="1" t="s">
        <v>35865</v>
      </c>
      <c r="B35866" s="2" t="str">
        <f>IFERROR(__xludf.DUMMYFUNCTION("GOOGLETRANSLATE(A35866, ""de"", ""en"")"),"sad")</f>
        <v>sad</v>
      </c>
    </row>
    <row r="35867">
      <c r="A35867" s="1" t="s">
        <v>35866</v>
      </c>
      <c r="B35867" s="2" t="str">
        <f>IFERROR(__xludf.DUMMYFUNCTION("GOOGLETRANSLATE(A35867, ""de"", ""en"")"),"bomb threat")</f>
        <v>bomb threat</v>
      </c>
    </row>
    <row r="35868">
      <c r="A35868" s="1" t="s">
        <v>35867</v>
      </c>
      <c r="B35868" s="2" t="str">
        <f>IFERROR(__xludf.DUMMYFUNCTION("GOOGLETRANSLATE(A35868, ""de"", ""en"")"),"close-up")</f>
        <v>close-up</v>
      </c>
    </row>
    <row r="35869">
      <c r="A35869" s="1" t="s">
        <v>35868</v>
      </c>
      <c r="B35869" s="2" t="str">
        <f>IFERROR(__xludf.DUMMYFUNCTION("GOOGLETRANSLATE(A35869, ""de"", ""en"")"),"tickle")</f>
        <v>tickle</v>
      </c>
    </row>
    <row r="35870">
      <c r="A35870" s="1" t="s">
        <v>35869</v>
      </c>
      <c r="B35870" s="2" t="str">
        <f>IFERROR(__xludf.DUMMYFUNCTION("GOOGLETRANSLATE(A35870, ""de"", ""en"")"),"thin")</f>
        <v>thin</v>
      </c>
    </row>
    <row r="35871">
      <c r="A35871" s="1" t="s">
        <v>35870</v>
      </c>
      <c r="B35871" s="2" t="str">
        <f>IFERROR(__xludf.DUMMYFUNCTION("GOOGLETRANSLATE(A35871, ""de"", ""en"")"),"hallam")</f>
        <v>hallam</v>
      </c>
    </row>
    <row r="35872">
      <c r="A35872" s="1" t="s">
        <v>35871</v>
      </c>
      <c r="B35872" s="2" t="str">
        <f>IFERROR(__xludf.DUMMYFUNCTION("GOOGLETRANSLATE(A35872, ""de"", ""en"")"),"spab")</f>
        <v>spab</v>
      </c>
    </row>
    <row r="35873">
      <c r="A35873" s="1" t="s">
        <v>35872</v>
      </c>
      <c r="B35873" s="2" t="str">
        <f>IFERROR(__xludf.DUMMYFUNCTION("GOOGLETRANSLATE(A35873, ""de"", ""en"")"),"chandelier")</f>
        <v>chandelier</v>
      </c>
    </row>
    <row r="35874">
      <c r="A35874" s="1" t="s">
        <v>35873</v>
      </c>
      <c r="B35874" s="2" t="str">
        <f>IFERROR(__xludf.DUMMYFUNCTION("GOOGLETRANSLATE(A35874, ""de"", ""en"")"),"jun-shik")</f>
        <v>jun-shik</v>
      </c>
    </row>
    <row r="35875">
      <c r="A35875" s="1" t="s">
        <v>35874</v>
      </c>
      <c r="B35875" s="2" t="str">
        <f>IFERROR(__xludf.DUMMYFUNCTION("GOOGLETRANSLATE(A35875, ""de"", ""en"")"),"pentagram")</f>
        <v>pentagram</v>
      </c>
    </row>
    <row r="35876">
      <c r="A35876" s="1" t="s">
        <v>35875</v>
      </c>
      <c r="B35876" s="2" t="str">
        <f>IFERROR(__xludf.DUMMYFUNCTION("GOOGLETRANSLATE(A35876, ""de"", ""en"")"),"shocking")</f>
        <v>shocking</v>
      </c>
    </row>
    <row r="35877">
      <c r="A35877" s="1" t="s">
        <v>35876</v>
      </c>
      <c r="B35877" s="2" t="str">
        <f>IFERROR(__xludf.DUMMYFUNCTION("GOOGLETRANSLATE(A35877, ""de"", ""en"")"),"selects")</f>
        <v>selects</v>
      </c>
    </row>
    <row r="35878">
      <c r="A35878" s="1" t="s">
        <v>35877</v>
      </c>
      <c r="B35878" s="2" t="str">
        <f>IFERROR(__xludf.DUMMYFUNCTION("GOOGLETRANSLATE(A35878, ""de"", ""en"")"),"revered")</f>
        <v>revered</v>
      </c>
    </row>
    <row r="35879">
      <c r="A35879" s="1" t="s">
        <v>35878</v>
      </c>
      <c r="B35879" s="2" t="str">
        <f>IFERROR(__xludf.DUMMYFUNCTION("GOOGLETRANSLATE(A35879, ""de"", ""en"")"),"bud")</f>
        <v>bud</v>
      </c>
    </row>
    <row r="35880">
      <c r="A35880" s="1" t="s">
        <v>35879</v>
      </c>
      <c r="B35880" s="2" t="str">
        <f>IFERROR(__xludf.DUMMYFUNCTION("GOOGLETRANSLATE(A35880, ""de"", ""en"")"),"advance")</f>
        <v>advance</v>
      </c>
    </row>
    <row r="35881">
      <c r="A35881" s="1" t="s">
        <v>35880</v>
      </c>
      <c r="B35881" s="2" t="str">
        <f>IFERROR(__xludf.DUMMYFUNCTION("GOOGLETRANSLATE(A35881, ""de"", ""en"")"),"pint")</f>
        <v>pint</v>
      </c>
    </row>
    <row r="35882">
      <c r="A35882" s="1" t="s">
        <v>35881</v>
      </c>
      <c r="B35882" s="2" t="str">
        <f>IFERROR(__xludf.DUMMYFUNCTION("GOOGLETRANSLATE(A35882, ""de"", ""en"")"),"crushed")</f>
        <v>crushed</v>
      </c>
    </row>
    <row r="35883">
      <c r="A35883" s="1" t="s">
        <v>35882</v>
      </c>
      <c r="B35883" s="2" t="str">
        <f>IFERROR(__xludf.DUMMYFUNCTION("GOOGLETRANSLATE(A35883, ""de"", ""en"")"),"holds back")</f>
        <v>holds back</v>
      </c>
    </row>
    <row r="35884">
      <c r="A35884" s="1" t="s">
        <v>35883</v>
      </c>
      <c r="B35884" s="2" t="str">
        <f>IFERROR(__xludf.DUMMYFUNCTION("GOOGLETRANSLATE(A35884, ""de"", ""en"")"),"carry out")</f>
        <v>carry out</v>
      </c>
    </row>
    <row r="35885">
      <c r="A35885" s="1" t="s">
        <v>35884</v>
      </c>
      <c r="B35885" s="2" t="str">
        <f>IFERROR(__xludf.DUMMYFUNCTION("GOOGLETRANSLATE(A35885, ""de"", ""en"")"),"systolic")</f>
        <v>systolic</v>
      </c>
    </row>
    <row r="35886">
      <c r="A35886" s="1" t="s">
        <v>35885</v>
      </c>
      <c r="B35886" s="2" t="str">
        <f>IFERROR(__xludf.DUMMYFUNCTION("GOOGLETRANSLATE(A35886, ""de"", ""en"")"),"Buddhism")</f>
        <v>Buddhism</v>
      </c>
    </row>
    <row r="35887">
      <c r="A35887" s="1" t="s">
        <v>35886</v>
      </c>
      <c r="B35887" s="2" t="str">
        <f>IFERROR(__xludf.DUMMYFUNCTION("GOOGLETRANSLATE(A35887, ""de"", ""en"")"),"offends")</f>
        <v>offends</v>
      </c>
    </row>
    <row r="35888">
      <c r="A35888" s="1" t="s">
        <v>35887</v>
      </c>
      <c r="B35888" s="2" t="str">
        <f>IFERROR(__xludf.DUMMYFUNCTION("GOOGLETRANSLATE(A35888, ""de"", ""en"")"),"watch")</f>
        <v>watch</v>
      </c>
    </row>
    <row r="35889">
      <c r="A35889" s="1" t="s">
        <v>35888</v>
      </c>
      <c r="B35889" s="2" t="str">
        <f>IFERROR(__xludf.DUMMYFUNCTION("GOOGLETRANSLATE(A35889, ""de"", ""en"")"),"Bostonians")</f>
        <v>Bostonians</v>
      </c>
    </row>
    <row r="35890">
      <c r="A35890" s="1" t="s">
        <v>35889</v>
      </c>
      <c r="B35890" s="2" t="str">
        <f>IFERROR(__xludf.DUMMYFUNCTION("GOOGLETRANSLATE(A35890, ""de"", ""en"")"),"carsten")</f>
        <v>carsten</v>
      </c>
    </row>
    <row r="35891">
      <c r="A35891" s="1" t="s">
        <v>35890</v>
      </c>
      <c r="B35891" s="2" t="str">
        <f>IFERROR(__xludf.DUMMYFUNCTION("GOOGLETRANSLATE(A35891, ""de"", ""en"")"),"marked")</f>
        <v>marked</v>
      </c>
    </row>
    <row r="35892">
      <c r="A35892" s="1" t="s">
        <v>35891</v>
      </c>
      <c r="B35892" s="2" t="str">
        <f>IFERROR(__xludf.DUMMYFUNCTION("GOOGLETRANSLATE(A35892, ""de"", ""en"")"),"pipers")</f>
        <v>pipers</v>
      </c>
    </row>
    <row r="35893">
      <c r="A35893" s="1" t="s">
        <v>35892</v>
      </c>
      <c r="B35893" s="2" t="str">
        <f>IFERROR(__xludf.DUMMYFUNCTION("GOOGLETRANSLATE(A35893, ""de"", ""en"")"),"picked out")</f>
        <v>picked out</v>
      </c>
    </row>
    <row r="35894">
      <c r="A35894" s="1" t="s">
        <v>35893</v>
      </c>
      <c r="B35894" s="2" t="str">
        <f>IFERROR(__xludf.DUMMYFUNCTION("GOOGLETRANSLATE(A35894, ""de"", ""en"")"),"altar boy")</f>
        <v>altar boy</v>
      </c>
    </row>
    <row r="35895">
      <c r="A35895" s="1" t="s">
        <v>35894</v>
      </c>
      <c r="B35895" s="2" t="str">
        <f>IFERROR(__xludf.DUMMYFUNCTION("GOOGLETRANSLATE(A35895, ""de"", ""en"")"),"worthless")</f>
        <v>worthless</v>
      </c>
    </row>
    <row r="35896">
      <c r="A35896" s="1" t="s">
        <v>35895</v>
      </c>
      <c r="B35896" s="2" t="str">
        <f>IFERROR(__xludf.DUMMYFUNCTION("GOOGLETRANSLATE(A35896, ""de"", ""en"")"),"cum")</f>
        <v>cum</v>
      </c>
    </row>
    <row r="35897">
      <c r="A35897" s="1" t="s">
        <v>35896</v>
      </c>
      <c r="B35897" s="2" t="str">
        <f>IFERROR(__xludf.DUMMYFUNCTION("GOOGLETRANSLATE(A35897, ""de"", ""en"")"),"Krakow")</f>
        <v>Krakow</v>
      </c>
    </row>
    <row r="35898">
      <c r="A35898" s="1" t="s">
        <v>35897</v>
      </c>
      <c r="B35898" s="2" t="str">
        <f>IFERROR(__xludf.DUMMYFUNCTION("GOOGLETRANSLATE(A35898, ""de"", ""en"")"),"baby cries")</f>
        <v>baby cries</v>
      </c>
    </row>
    <row r="35899">
      <c r="A35899" s="1" t="s">
        <v>35898</v>
      </c>
      <c r="B35899" s="2" t="str">
        <f>IFERROR(__xludf.DUMMYFUNCTION("GOOGLETRANSLATE(A35899, ""de"", ""en"")"),"election day")</f>
        <v>election day</v>
      </c>
    </row>
    <row r="35900">
      <c r="A35900" s="1" t="s">
        <v>35899</v>
      </c>
      <c r="B35900" s="2" t="str">
        <f>IFERROR(__xludf.DUMMYFUNCTION("GOOGLETRANSLATE(A35900, ""de"", ""en"")"),"more important")</f>
        <v>more important</v>
      </c>
    </row>
    <row r="35901">
      <c r="A35901" s="1" t="s">
        <v>35900</v>
      </c>
      <c r="B35901" s="2" t="str">
        <f>IFERROR(__xludf.DUMMYFUNCTION("GOOGLETRANSLATE(A35901, ""de"", ""en"")"),"poppy")</f>
        <v>poppy</v>
      </c>
    </row>
    <row r="35902">
      <c r="A35902" s="1" t="s">
        <v>35901</v>
      </c>
      <c r="B35902" s="2" t="str">
        <f>IFERROR(__xludf.DUMMYFUNCTION("GOOGLETRANSLATE(A35902, ""de"", ""en"")"),"carry on")</f>
        <v>carry on</v>
      </c>
    </row>
    <row r="35903">
      <c r="A35903" s="1" t="s">
        <v>35902</v>
      </c>
      <c r="B35903" s="2" t="str">
        <f>IFERROR(__xludf.DUMMYFUNCTION("GOOGLETRANSLATE(A35903, ""de"", ""en"")"),"Uganda")</f>
        <v>Uganda</v>
      </c>
    </row>
    <row r="35904">
      <c r="A35904" s="1" t="s">
        <v>35903</v>
      </c>
      <c r="B35904" s="2" t="str">
        <f>IFERROR(__xludf.DUMMYFUNCTION("GOOGLETRANSLATE(A35904, ""de"", ""en"")"),"uncertain")</f>
        <v>uncertain</v>
      </c>
    </row>
    <row r="35905">
      <c r="A35905" s="1" t="s">
        <v>35904</v>
      </c>
      <c r="B35905" s="2" t="str">
        <f>IFERROR(__xludf.DUMMYFUNCTION("GOOGLETRANSLATE(A35905, ""de"", ""en"")"),"so-called")</f>
        <v>so-called</v>
      </c>
    </row>
    <row r="35906">
      <c r="A35906" s="1" t="s">
        <v>35905</v>
      </c>
      <c r="B35906" s="2" t="str">
        <f>IFERROR(__xludf.DUMMYFUNCTION("GOOGLETRANSLATE(A35906, ""de"", ""en"")"),"10k")</f>
        <v>10k</v>
      </c>
    </row>
    <row r="35907">
      <c r="A35907" s="1" t="s">
        <v>35906</v>
      </c>
      <c r="B35907" s="2" t="str">
        <f>IFERROR(__xludf.DUMMYFUNCTION("GOOGLETRANSLATE(A35907, ""de"", ""en"")"),"lowest")</f>
        <v>lowest</v>
      </c>
    </row>
    <row r="35908">
      <c r="A35908" s="1" t="s">
        <v>35907</v>
      </c>
      <c r="B35908" s="2" t="str">
        <f>IFERROR(__xludf.DUMMYFUNCTION("GOOGLETRANSLATE(A35908, ""de"", ""en"")"),"larrabee")</f>
        <v>larrabee</v>
      </c>
    </row>
    <row r="35909">
      <c r="A35909" s="1" t="s">
        <v>35908</v>
      </c>
      <c r="B35909" s="2" t="str">
        <f>IFERROR(__xludf.DUMMYFUNCTION("GOOGLETRANSLATE(A35909, ""de"", ""en"")"),"unemployed")</f>
        <v>unemployed</v>
      </c>
    </row>
    <row r="35910">
      <c r="A35910" s="1" t="s">
        <v>35909</v>
      </c>
      <c r="B35910" s="2" t="str">
        <f>IFERROR(__xludf.DUMMYFUNCTION("GOOGLETRANSLATE(A35910, ""de"", ""en"")"),"rode out")</f>
        <v>rode out</v>
      </c>
    </row>
    <row r="35911">
      <c r="A35911" s="1" t="s">
        <v>35910</v>
      </c>
      <c r="B35911" s="2" t="str">
        <f>IFERROR(__xludf.DUMMYFUNCTION("GOOGLETRANSLATE(A35911, ""de"", ""en"")"),"exclusion")</f>
        <v>exclusion</v>
      </c>
    </row>
    <row r="35912">
      <c r="A35912" s="1" t="s">
        <v>35911</v>
      </c>
      <c r="B35912" s="2" t="str">
        <f>IFERROR(__xludf.DUMMYFUNCTION("GOOGLETRANSLATE(A35912, ""de"", ""en"")"),"derevko")</f>
        <v>derevko</v>
      </c>
    </row>
    <row r="35913">
      <c r="A35913" s="1" t="s">
        <v>35912</v>
      </c>
      <c r="B35913" s="2" t="str">
        <f>IFERROR(__xludf.DUMMYFUNCTION("GOOGLETRANSLATE(A35913, ""de"", ""en"")"),"comedy")</f>
        <v>comedy</v>
      </c>
    </row>
    <row r="35914">
      <c r="A35914" s="1" t="s">
        <v>35913</v>
      </c>
      <c r="B35914" s="2" t="str">
        <f>IFERROR(__xludf.DUMMYFUNCTION("GOOGLETRANSLATE(A35914, ""de"", ""en"")"),"fortune cookie")</f>
        <v>fortune cookie</v>
      </c>
    </row>
    <row r="35915">
      <c r="A35915" s="1" t="s">
        <v>35914</v>
      </c>
      <c r="B35915" s="2" t="str">
        <f>IFERROR(__xludf.DUMMYFUNCTION("GOOGLETRANSLATE(A35915, ""de"", ""en"")"),"planetarium")</f>
        <v>planetarium</v>
      </c>
    </row>
    <row r="35916">
      <c r="A35916" s="1" t="s">
        <v>35915</v>
      </c>
      <c r="B35916" s="2" t="str">
        <f>IFERROR(__xludf.DUMMYFUNCTION("GOOGLETRANSLATE(A35916, ""de"", ""en"")"),"score")</f>
        <v>score</v>
      </c>
    </row>
    <row r="35917">
      <c r="A35917" s="1" t="s">
        <v>35916</v>
      </c>
      <c r="B35917" s="2" t="str">
        <f>IFERROR(__xludf.DUMMYFUNCTION("GOOGLETRANSLATE(A35917, ""de"", ""en"")"),"independence day")</f>
        <v>independence day</v>
      </c>
    </row>
    <row r="35918">
      <c r="A35918" s="1" t="s">
        <v>35917</v>
      </c>
      <c r="B35918" s="2" t="str">
        <f>IFERROR(__xludf.DUMMYFUNCTION("GOOGLETRANSLATE(A35918, ""de"", ""en"")"),"Matthieu")</f>
        <v>Matthieu</v>
      </c>
    </row>
    <row r="35919">
      <c r="A35919" s="1" t="s">
        <v>35918</v>
      </c>
      <c r="B35919" s="2" t="str">
        <f>IFERROR(__xludf.DUMMYFUNCTION("GOOGLETRANSLATE(A35919, ""de"", ""en"")"),"walked around")</f>
        <v>walked around</v>
      </c>
    </row>
    <row r="35920">
      <c r="A35920" s="1" t="s">
        <v>35919</v>
      </c>
      <c r="B35920" s="2" t="str">
        <f>IFERROR(__xludf.DUMMYFUNCTION("GOOGLETRANSLATE(A35920, ""de"", ""en"")"),"sacrilege")</f>
        <v>sacrilege</v>
      </c>
    </row>
    <row r="35921">
      <c r="A35921" s="1" t="s">
        <v>35920</v>
      </c>
      <c r="B35921" s="2" t="str">
        <f>IFERROR(__xludf.DUMMYFUNCTION("GOOGLETRANSLATE(A35921, ""de"", ""en"")"),"Cranston")</f>
        <v>Cranston</v>
      </c>
    </row>
    <row r="35922">
      <c r="A35922" s="1" t="s">
        <v>35921</v>
      </c>
      <c r="B35922" s="2" t="str">
        <f>IFERROR(__xludf.DUMMYFUNCTION("GOOGLETRANSLATE(A35922, ""de"", ""en"")"),"shinji")</f>
        <v>shinji</v>
      </c>
    </row>
    <row r="35923">
      <c r="A35923" s="1" t="s">
        <v>35922</v>
      </c>
      <c r="B35923" s="2" t="str">
        <f>IFERROR(__xludf.DUMMYFUNCTION("GOOGLETRANSLATE(A35923, ""de"", ""en"")"),"provided")</f>
        <v>provided</v>
      </c>
    </row>
    <row r="35924">
      <c r="A35924" s="1" t="s">
        <v>35923</v>
      </c>
      <c r="B35924" s="2" t="str">
        <f>IFERROR(__xludf.DUMMYFUNCTION("GOOGLETRANSLATE(A35924, ""de"", ""en"")"),"car tires")</f>
        <v>car tires</v>
      </c>
    </row>
    <row r="35925">
      <c r="A35925" s="1" t="s">
        <v>35924</v>
      </c>
      <c r="B35925" s="2" t="str">
        <f>IFERROR(__xludf.DUMMYFUNCTION("GOOGLETRANSLATE(A35925, ""de"", ""en"")"),"lanie")</f>
        <v>lanie</v>
      </c>
    </row>
    <row r="35926">
      <c r="A35926" s="1" t="s">
        <v>35925</v>
      </c>
      <c r="B35926" s="2" t="str">
        <f>IFERROR(__xludf.DUMMYFUNCTION("GOOGLETRANSLATE(A35926, ""de"", ""en"")"),"refill")</f>
        <v>refill</v>
      </c>
    </row>
    <row r="35927">
      <c r="A35927" s="1" t="s">
        <v>35926</v>
      </c>
      <c r="B35927" s="2" t="str">
        <f>IFERROR(__xludf.DUMMYFUNCTION("GOOGLETRANSLATE(A35927, ""de"", ""en"")"),"apparently")</f>
        <v>apparently</v>
      </c>
    </row>
    <row r="35928">
      <c r="A35928" s="1" t="s">
        <v>35927</v>
      </c>
      <c r="B35928" s="2" t="str">
        <f>IFERROR(__xludf.DUMMYFUNCTION("GOOGLETRANSLATE(A35928, ""de"", ""en"")"),"sage")</f>
        <v>sage</v>
      </c>
    </row>
    <row r="35929">
      <c r="A35929" s="1" t="s">
        <v>35928</v>
      </c>
      <c r="B35929" s="2" t="str">
        <f>IFERROR(__xludf.DUMMYFUNCTION("GOOGLETRANSLATE(A35929, ""de"", ""en"")"),"Southeast Asia")</f>
        <v>Southeast Asia</v>
      </c>
    </row>
    <row r="35930">
      <c r="A35930" s="1" t="s">
        <v>35929</v>
      </c>
      <c r="B35930" s="2" t="str">
        <f>IFERROR(__xludf.DUMMYFUNCTION("GOOGLETRANSLATE(A35930, ""de"", ""en"")"),"were happy")</f>
        <v>were happy</v>
      </c>
    </row>
    <row r="35931">
      <c r="A35931" s="1" t="s">
        <v>35930</v>
      </c>
      <c r="B35931" s="2" t="str">
        <f>IFERROR(__xludf.DUMMYFUNCTION("GOOGLETRANSLATE(A35931, ""de"", ""en"")"),"regency")</f>
        <v>regency</v>
      </c>
    </row>
    <row r="35932">
      <c r="A35932" s="1" t="s">
        <v>35931</v>
      </c>
      <c r="B35932" s="2" t="str">
        <f>IFERROR(__xludf.DUMMYFUNCTION("GOOGLETRANSLATE(A35932, ""de"", ""en"")"),"jugs")</f>
        <v>jugs</v>
      </c>
    </row>
    <row r="35933">
      <c r="A35933" s="1" t="s">
        <v>35932</v>
      </c>
      <c r="B35933" s="2" t="str">
        <f>IFERROR(__xludf.DUMMYFUNCTION("GOOGLETRANSLATE(A35933, ""de"", ""en"")"),"quiche")</f>
        <v>quiche</v>
      </c>
    </row>
    <row r="35934">
      <c r="A35934" s="1" t="s">
        <v>35933</v>
      </c>
      <c r="B35934" s="2" t="str">
        <f>IFERROR(__xludf.DUMMYFUNCTION("GOOGLETRANSLATE(A35934, ""de"", ""en"")"),"handsome")</f>
        <v>handsome</v>
      </c>
    </row>
    <row r="35935">
      <c r="A35935" s="1" t="s">
        <v>35934</v>
      </c>
      <c r="B35935" s="2" t="str">
        <f>IFERROR(__xludf.DUMMYFUNCTION("GOOGLETRANSLATE(A35935, ""de"", ""en"")"),"resistance")</f>
        <v>resistance</v>
      </c>
    </row>
    <row r="35936">
      <c r="A35936" s="1" t="s">
        <v>35935</v>
      </c>
      <c r="B35936" s="2" t="str">
        <f>IFERROR(__xludf.DUMMYFUNCTION("GOOGLETRANSLATE(A35936, ""de"", ""en"")"),"content")</f>
        <v>content</v>
      </c>
    </row>
    <row r="35937">
      <c r="A35937" s="1" t="s">
        <v>35936</v>
      </c>
      <c r="B35937" s="2" t="str">
        <f>IFERROR(__xludf.DUMMYFUNCTION("GOOGLETRANSLATE(A35937, ""de"", ""en"")"),"chirac")</f>
        <v>chirac</v>
      </c>
    </row>
    <row r="35938">
      <c r="A35938" s="1" t="s">
        <v>35937</v>
      </c>
      <c r="B35938" s="2" t="str">
        <f>IFERROR(__xludf.DUMMYFUNCTION("GOOGLETRANSLATE(A35938, ""de"", ""en"")"),"unbound")</f>
        <v>unbound</v>
      </c>
    </row>
    <row r="35939">
      <c r="A35939" s="1" t="s">
        <v>35938</v>
      </c>
      <c r="B35939" s="2" t="str">
        <f>IFERROR(__xludf.DUMMYFUNCTION("GOOGLETRANSLATE(A35939, ""de"", ""en"")"),"revealed")</f>
        <v>revealed</v>
      </c>
    </row>
    <row r="35940">
      <c r="A35940" s="1" t="s">
        <v>35939</v>
      </c>
      <c r="B35940" s="2" t="str">
        <f>IFERROR(__xludf.DUMMYFUNCTION("GOOGLETRANSLATE(A35940, ""de"", ""en"")"),"overruled")</f>
        <v>overruled</v>
      </c>
    </row>
    <row r="35941">
      <c r="A35941" s="1" t="s">
        <v>35940</v>
      </c>
      <c r="B35941" s="2" t="str">
        <f>IFERROR(__xludf.DUMMYFUNCTION("GOOGLETRANSLATE(A35941, ""de"", ""en"")"),"tin opener")</f>
        <v>tin opener</v>
      </c>
    </row>
    <row r="35942">
      <c r="A35942" s="1" t="s">
        <v>35941</v>
      </c>
      <c r="B35942" s="2" t="str">
        <f>IFERROR(__xludf.DUMMYFUNCTION("GOOGLETRANSLATE(A35942, ""de"", ""en"")"),"lured here")</f>
        <v>lured here</v>
      </c>
    </row>
    <row r="35943">
      <c r="A35943" s="1" t="s">
        <v>35942</v>
      </c>
      <c r="B35943" s="2" t="str">
        <f>IFERROR(__xludf.DUMMYFUNCTION("GOOGLETRANSLATE(A35943, ""de"", ""en"")"),"state security")</f>
        <v>state security</v>
      </c>
    </row>
    <row r="35944">
      <c r="A35944" s="1" t="s">
        <v>35943</v>
      </c>
      <c r="B35944" s="2" t="str">
        <f>IFERROR(__xludf.DUMMYFUNCTION("GOOGLETRANSLATE(A35944, ""de"", ""en"")"),"uh")</f>
        <v>uh</v>
      </c>
    </row>
    <row r="35945">
      <c r="A35945" s="1" t="s">
        <v>35944</v>
      </c>
      <c r="B35945" s="2" t="str">
        <f>IFERROR(__xludf.DUMMYFUNCTION("GOOGLETRANSLATE(A35945, ""de"", ""en"")"),"liver sausage")</f>
        <v>liver sausage</v>
      </c>
    </row>
    <row r="35946">
      <c r="A35946" s="1" t="s">
        <v>35945</v>
      </c>
      <c r="B35946" s="2" t="str">
        <f>IFERROR(__xludf.DUMMYFUNCTION("GOOGLETRANSLATE(A35946, ""de"", ""en"")"),"wanted")</f>
        <v>wanted</v>
      </c>
    </row>
    <row r="35947">
      <c r="A35947" s="1" t="s">
        <v>35946</v>
      </c>
      <c r="B35947" s="2" t="str">
        <f>IFERROR(__xludf.DUMMYFUNCTION("GOOGLETRANSLATE(A35947, ""de"", ""en"")"),"gogo")</f>
        <v>gogo</v>
      </c>
    </row>
    <row r="35948">
      <c r="A35948" s="1" t="s">
        <v>35947</v>
      </c>
      <c r="B35948" s="2" t="str">
        <f>IFERROR(__xludf.DUMMYFUNCTION("GOOGLETRANSLATE(A35948, ""de"", ""en"")"),"disputed")</f>
        <v>disputed</v>
      </c>
    </row>
    <row r="35949">
      <c r="A35949" s="1" t="s">
        <v>35948</v>
      </c>
      <c r="B35949" s="2" t="str">
        <f>IFERROR(__xludf.DUMMYFUNCTION("GOOGLETRANSLATE(A35949, ""de"", ""en"")"),"conflicts")</f>
        <v>conflicts</v>
      </c>
    </row>
    <row r="35950">
      <c r="A35950" s="1" t="s">
        <v>35949</v>
      </c>
      <c r="B35950" s="2" t="str">
        <f>IFERROR(__xludf.DUMMYFUNCTION("GOOGLETRANSLATE(A35950, ""de"", ""en"")"),"investigator")</f>
        <v>investigator</v>
      </c>
    </row>
    <row r="35951">
      <c r="A35951" s="1" t="s">
        <v>35950</v>
      </c>
      <c r="B35951" s="2" t="str">
        <f>IFERROR(__xludf.DUMMYFUNCTION("GOOGLETRANSLATE(A35951, ""de"", ""en"")"),"claim")</f>
        <v>claim</v>
      </c>
    </row>
    <row r="35952">
      <c r="A35952" s="1" t="s">
        <v>35951</v>
      </c>
      <c r="B35952" s="2" t="str">
        <f>IFERROR(__xludf.DUMMYFUNCTION("GOOGLETRANSLATE(A35952, ""de"", ""en"")"),"financed")</f>
        <v>financed</v>
      </c>
    </row>
    <row r="35953">
      <c r="A35953" s="1" t="s">
        <v>35952</v>
      </c>
      <c r="B35953" s="2" t="str">
        <f>IFERROR(__xludf.DUMMYFUNCTION("GOOGLETRANSLATE(A35953, ""de"", ""en"")"),"baking powder")</f>
        <v>baking powder</v>
      </c>
    </row>
    <row r="35954">
      <c r="A35954" s="1" t="s">
        <v>35953</v>
      </c>
      <c r="B35954" s="2" t="str">
        <f>IFERROR(__xludf.DUMMYFUNCTION("GOOGLETRANSLATE(A35954, ""de"", ""en"")"),"Krista")</f>
        <v>Krista</v>
      </c>
    </row>
    <row r="35955">
      <c r="A35955" s="1" t="s">
        <v>35954</v>
      </c>
      <c r="B35955" s="2" t="str">
        <f>IFERROR(__xludf.DUMMYFUNCTION("GOOGLETRANSLATE(A35955, ""de"", ""en"")"),"robot")</f>
        <v>robot</v>
      </c>
    </row>
    <row r="35956">
      <c r="A35956" s="1" t="s">
        <v>35955</v>
      </c>
      <c r="B35956" s="2" t="str">
        <f>IFERROR(__xludf.DUMMYFUNCTION("GOOGLETRANSLATE(A35956, ""de"", ""en"")"),"mart")</f>
        <v>mart</v>
      </c>
    </row>
    <row r="35957">
      <c r="A35957" s="1" t="s">
        <v>35956</v>
      </c>
      <c r="B35957" s="2" t="str">
        <f>IFERROR(__xludf.DUMMYFUNCTION("GOOGLETRANSLATE(A35957, ""de"", ""en"")"),"mate")</f>
        <v>mate</v>
      </c>
    </row>
    <row r="35958">
      <c r="A35958" s="1" t="s">
        <v>35957</v>
      </c>
      <c r="B35958" s="2" t="str">
        <f>IFERROR(__xludf.DUMMYFUNCTION("GOOGLETRANSLATE(A35958, ""de"", ""en"")"),"bagged")</f>
        <v>bagged</v>
      </c>
    </row>
    <row r="35959">
      <c r="A35959" s="1" t="s">
        <v>35958</v>
      </c>
      <c r="B35959" s="2" t="str">
        <f>IFERROR(__xludf.DUMMYFUNCTION("GOOGLETRANSLATE(A35959, ""de"", ""en"")"),"body fluids")</f>
        <v>body fluids</v>
      </c>
    </row>
    <row r="35960">
      <c r="A35960" s="1" t="s">
        <v>35959</v>
      </c>
      <c r="B35960" s="2" t="str">
        <f>IFERROR(__xludf.DUMMYFUNCTION("GOOGLETRANSLATE(A35960, ""de"", ""en"")"),"estimates")</f>
        <v>estimates</v>
      </c>
    </row>
    <row r="35961">
      <c r="A35961" s="1" t="s">
        <v>35960</v>
      </c>
      <c r="B35961" s="2" t="str">
        <f>IFERROR(__xludf.DUMMYFUNCTION("GOOGLETRANSLATE(A35961, ""de"", ""en"")"),"leaked")</f>
        <v>leaked</v>
      </c>
    </row>
    <row r="35962">
      <c r="A35962" s="1" t="s">
        <v>35961</v>
      </c>
      <c r="B35962" s="2" t="str">
        <f>IFERROR(__xludf.DUMMYFUNCTION("GOOGLETRANSLATE(A35962, ""de"", ""en"")"),"rusk")</f>
        <v>rusk</v>
      </c>
    </row>
    <row r="35963">
      <c r="A35963" s="1" t="s">
        <v>35962</v>
      </c>
      <c r="B35963" s="2" t="str">
        <f>IFERROR(__xludf.DUMMYFUNCTION("GOOGLETRANSLATE(A35963, ""de"", ""en"")"),"secrecy")</f>
        <v>secrecy</v>
      </c>
    </row>
    <row r="35964">
      <c r="A35964" s="1" t="s">
        <v>35963</v>
      </c>
      <c r="B35964" s="2" t="str">
        <f>IFERROR(__xludf.DUMMYFUNCTION("GOOGLETRANSLATE(A35964, ""de"", ""en"")"),"would exist")</f>
        <v>would exist</v>
      </c>
    </row>
    <row r="35965">
      <c r="A35965" s="1" t="s">
        <v>35964</v>
      </c>
      <c r="B35965" s="2" t="str">
        <f>IFERROR(__xludf.DUMMYFUNCTION("GOOGLETRANSLATE(A35965, ""de"", ""en"")"),"fancy ones")</f>
        <v>fancy ones</v>
      </c>
    </row>
    <row r="35966">
      <c r="A35966" s="1" t="s">
        <v>35965</v>
      </c>
      <c r="B35966" s="2" t="str">
        <f>IFERROR(__xludf.DUMMYFUNCTION("GOOGLETRANSLATE(A35966, ""de"", ""en"")"),"edible")</f>
        <v>edible</v>
      </c>
    </row>
    <row r="35967">
      <c r="A35967" s="1" t="s">
        <v>35966</v>
      </c>
      <c r="B35967" s="2" t="str">
        <f>IFERROR(__xludf.DUMMYFUNCTION("GOOGLETRANSLATE(A35967, ""de"", ""en"")"),"Romulans")</f>
        <v>Romulans</v>
      </c>
    </row>
    <row r="35968">
      <c r="A35968" s="1" t="s">
        <v>35967</v>
      </c>
      <c r="B35968" s="2" t="str">
        <f>IFERROR(__xludf.DUMMYFUNCTION("GOOGLETRANSLATE(A35968, ""de"", ""en"")"),"without exception")</f>
        <v>without exception</v>
      </c>
    </row>
    <row r="35969">
      <c r="A35969" s="1" t="s">
        <v>35968</v>
      </c>
      <c r="B35969" s="2" t="str">
        <f>IFERROR(__xludf.DUMMYFUNCTION("GOOGLETRANSLATE(A35969, ""de"", ""en"")"),"hopes")</f>
        <v>hopes</v>
      </c>
    </row>
    <row r="35970">
      <c r="A35970" s="1" t="s">
        <v>35969</v>
      </c>
      <c r="B35970" s="2" t="str">
        <f>IFERROR(__xludf.DUMMYFUNCTION("GOOGLETRANSLATE(A35970, ""de"", ""en"")"),"soulmates")</f>
        <v>soulmates</v>
      </c>
    </row>
    <row r="35971">
      <c r="A35971" s="1" t="s">
        <v>35970</v>
      </c>
      <c r="B35971" s="2" t="str">
        <f>IFERROR(__xludf.DUMMYFUNCTION("GOOGLETRANSLATE(A35971, ""de"", ""en"")"),"strictly")</f>
        <v>strictly</v>
      </c>
    </row>
    <row r="35972">
      <c r="A35972" s="1" t="s">
        <v>35971</v>
      </c>
      <c r="B35972" s="2" t="str">
        <f>IFERROR(__xludf.DUMMYFUNCTION("GOOGLETRANSLATE(A35972, ""de"", ""en"")"),"suspicious")</f>
        <v>suspicious</v>
      </c>
    </row>
    <row r="35973">
      <c r="A35973" s="1" t="s">
        <v>35972</v>
      </c>
      <c r="B35973" s="2" t="str">
        <f>IFERROR(__xludf.DUMMYFUNCTION("GOOGLETRANSLATE(A35973, ""de"", ""en"")"),"caused")</f>
        <v>caused</v>
      </c>
    </row>
    <row r="35974">
      <c r="A35974" s="1" t="s">
        <v>35973</v>
      </c>
      <c r="B35974" s="2" t="str">
        <f>IFERROR(__xludf.DUMMYFUNCTION("GOOGLETRANSLATE(A35974, ""de"", ""en"")"),"research department")</f>
        <v>research department</v>
      </c>
    </row>
    <row r="35975">
      <c r="A35975" s="1" t="s">
        <v>35974</v>
      </c>
      <c r="B35975" s="2" t="str">
        <f>IFERROR(__xludf.DUMMYFUNCTION("GOOGLETRANSLATE(A35975, ""de"", ""en"")"),"scary")</f>
        <v>scary</v>
      </c>
    </row>
    <row r="35976">
      <c r="A35976" s="1" t="s">
        <v>35975</v>
      </c>
      <c r="B35976" s="2" t="str">
        <f>IFERROR(__xludf.DUMMYFUNCTION("GOOGLETRANSLATE(A35976, ""de"", ""en"")"),"djs")</f>
        <v>djs</v>
      </c>
    </row>
    <row r="35977">
      <c r="A35977" s="1" t="s">
        <v>35976</v>
      </c>
      <c r="B35977" s="2" t="str">
        <f>IFERROR(__xludf.DUMMYFUNCTION("GOOGLETRANSLATE(A35977, ""de"", ""en"")"),"canning")</f>
        <v>canning</v>
      </c>
    </row>
    <row r="35978">
      <c r="A35978" s="1" t="s">
        <v>35977</v>
      </c>
      <c r="B35978" s="2" t="str">
        <f>IFERROR(__xludf.DUMMYFUNCTION("GOOGLETRANSLATE(A35978, ""de"", ""en"")"),"lydgate")</f>
        <v>lydgate</v>
      </c>
    </row>
    <row r="35979">
      <c r="A35979" s="1" t="s">
        <v>35978</v>
      </c>
      <c r="B35979" s="2" t="str">
        <f>IFERROR(__xludf.DUMMYFUNCTION("GOOGLETRANSLATE(A35979, ""de"", ""en"")"),"half-blood")</f>
        <v>half-blood</v>
      </c>
    </row>
    <row r="35980">
      <c r="A35980" s="1" t="s">
        <v>35979</v>
      </c>
      <c r="B35980" s="2" t="str">
        <f>IFERROR(__xludf.DUMMYFUNCTION("GOOGLETRANSLATE(A35980, ""de"", ""en"")"),"ito")</f>
        <v>ito</v>
      </c>
    </row>
    <row r="35981">
      <c r="A35981" s="1" t="s">
        <v>35980</v>
      </c>
      <c r="B35981" s="2" t="str">
        <f>IFERROR(__xludf.DUMMYFUNCTION("GOOGLETRANSLATE(A35981, ""de"", ""en"")"),"doppelganger")</f>
        <v>doppelganger</v>
      </c>
    </row>
    <row r="35982">
      <c r="A35982" s="1" t="s">
        <v>35981</v>
      </c>
      <c r="B35982" s="2" t="str">
        <f>IFERROR(__xludf.DUMMYFUNCTION("GOOGLETRANSLATE(A35982, ""de"", ""en"")"),"shari")</f>
        <v>shari</v>
      </c>
    </row>
    <row r="35983">
      <c r="A35983" s="1" t="s">
        <v>35982</v>
      </c>
      <c r="B35983" s="2" t="str">
        <f>IFERROR(__xludf.DUMMYFUNCTION("GOOGLETRANSLATE(A35983, ""de"", ""en"")"),"moon landing")</f>
        <v>moon landing</v>
      </c>
    </row>
    <row r="35984">
      <c r="A35984" s="1" t="s">
        <v>35983</v>
      </c>
      <c r="B35984" s="2" t="str">
        <f>IFERROR(__xludf.DUMMYFUNCTION("GOOGLETRANSLATE(A35984, ""de"", ""en"")"),"Wednesday evening")</f>
        <v>Wednesday evening</v>
      </c>
    </row>
    <row r="35985">
      <c r="A35985" s="1" t="s">
        <v>35984</v>
      </c>
      <c r="B35985" s="2" t="str">
        <f>IFERROR(__xludf.DUMMYFUNCTION("GOOGLETRANSLATE(A35985, ""de"", ""en"")"),"cosgrove")</f>
        <v>cosgrove</v>
      </c>
    </row>
    <row r="35986">
      <c r="A35986" s="1" t="s">
        <v>35985</v>
      </c>
      <c r="B35986" s="2" t="str">
        <f>IFERROR(__xludf.DUMMYFUNCTION("GOOGLETRANSLATE(A35986, ""de"", ""en"")"),"emergencies")</f>
        <v>emergencies</v>
      </c>
    </row>
    <row r="35987">
      <c r="A35987" s="1" t="s">
        <v>35986</v>
      </c>
      <c r="B35987" s="2" t="str">
        <f>IFERROR(__xludf.DUMMYFUNCTION("GOOGLETRANSLATE(A35987, ""de"", ""en"")"),"frosty")</f>
        <v>frosty</v>
      </c>
    </row>
    <row r="35988">
      <c r="A35988" s="1" t="s">
        <v>35987</v>
      </c>
      <c r="B35988" s="2" t="str">
        <f>IFERROR(__xludf.DUMMYFUNCTION("GOOGLETRANSLATE(A35988, ""de"", ""en"")"),"allocate")</f>
        <v>allocate</v>
      </c>
    </row>
    <row r="35989">
      <c r="A35989" s="1" t="s">
        <v>35988</v>
      </c>
      <c r="B35989" s="2" t="str">
        <f>IFERROR(__xludf.DUMMYFUNCTION("GOOGLETRANSLATE(A35989, ""de"", ""en"")"),"Jimmy")</f>
        <v>Jimmy</v>
      </c>
    </row>
    <row r="35990">
      <c r="A35990" s="1" t="s">
        <v>35989</v>
      </c>
      <c r="B35990" s="2" t="str">
        <f>IFERROR(__xludf.DUMMYFUNCTION("GOOGLETRANSLATE(A35990, ""de"", ""en"")"),"merged")</f>
        <v>merged</v>
      </c>
    </row>
    <row r="35991">
      <c r="A35991" s="1" t="s">
        <v>35990</v>
      </c>
      <c r="B35991" s="2" t="str">
        <f>IFERROR(__xludf.DUMMYFUNCTION("GOOGLETRANSLATE(A35991, ""de"", ""en"")"),"callum")</f>
        <v>callum</v>
      </c>
    </row>
    <row r="35992">
      <c r="A35992" s="1" t="s">
        <v>35991</v>
      </c>
      <c r="B35992" s="2" t="str">
        <f>IFERROR(__xludf.DUMMYFUNCTION("GOOGLETRANSLATE(A35992, ""de"", ""en"")"),"ground forces")</f>
        <v>ground forces</v>
      </c>
    </row>
    <row r="35993">
      <c r="A35993" s="1" t="s">
        <v>35992</v>
      </c>
      <c r="B35993" s="2" t="str">
        <f>IFERROR(__xludf.DUMMYFUNCTION("GOOGLETRANSLATE(A35993, ""de"", ""en"")"),"helped")</f>
        <v>helped</v>
      </c>
    </row>
    <row r="35994">
      <c r="A35994" s="1" t="s">
        <v>35993</v>
      </c>
      <c r="B35994" s="2" t="str">
        <f>IFERROR(__xludf.DUMMYFUNCTION("GOOGLETRANSLATE(A35994, ""de"", ""en"")"),"alcoholism")</f>
        <v>alcoholism</v>
      </c>
    </row>
    <row r="35995">
      <c r="A35995" s="1" t="s">
        <v>35994</v>
      </c>
      <c r="B35995" s="2" t="str">
        <f>IFERROR(__xludf.DUMMYFUNCTION("GOOGLETRANSLATE(A35995, ""de"", ""en"")"),"shine through")</f>
        <v>shine through</v>
      </c>
    </row>
    <row r="35996">
      <c r="A35996" s="1" t="s">
        <v>35995</v>
      </c>
      <c r="B35996" s="2" t="str">
        <f>IFERROR(__xludf.DUMMYFUNCTION("GOOGLETRANSLATE(A35996, ""de"", ""en"")"),"self-control")</f>
        <v>self-control</v>
      </c>
    </row>
    <row r="35997">
      <c r="A35997" s="1" t="s">
        <v>35996</v>
      </c>
      <c r="B35997" s="2" t="str">
        <f>IFERROR(__xludf.DUMMYFUNCTION("GOOGLETRANSLATE(A35997, ""de"", ""en"")"),"scarface")</f>
        <v>scarface</v>
      </c>
    </row>
    <row r="35998">
      <c r="A35998" s="1" t="s">
        <v>35997</v>
      </c>
      <c r="B35998" s="2" t="str">
        <f>IFERROR(__xludf.DUMMYFUNCTION("GOOGLETRANSLATE(A35998, ""de"", ""en"")"),"more guilty")</f>
        <v>more guilty</v>
      </c>
    </row>
    <row r="35999">
      <c r="A35999" s="1" t="s">
        <v>35998</v>
      </c>
      <c r="B35999" s="2" t="str">
        <f>IFERROR(__xludf.DUMMYFUNCTION("GOOGLETRANSLATE(A35999, ""de"", ""en"")"),"photos")</f>
        <v>photos</v>
      </c>
    </row>
    <row r="36000">
      <c r="A36000" s="1" t="s">
        <v>35999</v>
      </c>
      <c r="B36000" s="2" t="str">
        <f>IFERROR(__xludf.DUMMYFUNCTION("GOOGLETRANSLATE(A36000, ""de"", ""en"")"),"deposit")</f>
        <v>deposit</v>
      </c>
    </row>
    <row r="36001">
      <c r="A36001" s="1" t="s">
        <v>36000</v>
      </c>
      <c r="B36001" s="2" t="str">
        <f>IFERROR(__xludf.DUMMYFUNCTION("GOOGLETRANSLATE(A36001, ""de"", ""en"")"),"musket")</f>
        <v>musket</v>
      </c>
    </row>
    <row r="36002">
      <c r="A36002" s="1" t="s">
        <v>36001</v>
      </c>
      <c r="B36002" s="2" t="str">
        <f>IFERROR(__xludf.DUMMYFUNCTION("GOOGLETRANSLATE(A36002, ""de"", ""en"")"),"miserable")</f>
        <v>miserable</v>
      </c>
    </row>
    <row r="36003">
      <c r="A36003" s="1" t="s">
        <v>36002</v>
      </c>
      <c r="B36003" s="2" t="str">
        <f>IFERROR(__xludf.DUMMYFUNCTION("GOOGLETRANSLATE(A36003, ""de"", ""en"")"),"tracking device")</f>
        <v>tracking device</v>
      </c>
    </row>
    <row r="36004">
      <c r="A36004" s="1" t="s">
        <v>36003</v>
      </c>
      <c r="B36004" s="2" t="str">
        <f>IFERROR(__xludf.DUMMYFUNCTION("GOOGLETRANSLATE(A36004, ""de"", ""en"")"),"ville")</f>
        <v>ville</v>
      </c>
    </row>
    <row r="36005">
      <c r="A36005" s="1" t="s">
        <v>36004</v>
      </c>
      <c r="B36005" s="2" t="str">
        <f>IFERROR(__xludf.DUMMYFUNCTION("GOOGLETRANSLATE(A36005, ""de"", ""en"")"),"mostly")</f>
        <v>mostly</v>
      </c>
    </row>
    <row r="36006">
      <c r="A36006" s="1" t="s">
        <v>36005</v>
      </c>
      <c r="B36006" s="2" t="str">
        <f>IFERROR(__xludf.DUMMYFUNCTION("GOOGLETRANSLATE(A36006, ""de"", ""en"")"),"devoured")</f>
        <v>devoured</v>
      </c>
    </row>
    <row r="36007">
      <c r="A36007" s="1" t="s">
        <v>36006</v>
      </c>
      <c r="B36007" s="2" t="str">
        <f>IFERROR(__xludf.DUMMYFUNCTION("GOOGLETRANSLATE(A36007, ""de"", ""en"")"),"omitted")</f>
        <v>omitted</v>
      </c>
    </row>
    <row r="36008">
      <c r="A36008" s="1" t="s">
        <v>36007</v>
      </c>
      <c r="B36008" s="2" t="str">
        <f>IFERROR(__xludf.DUMMYFUNCTION("GOOGLETRANSLATE(A36008, ""de"", ""en"")"),"apprehension")</f>
        <v>apprehension</v>
      </c>
    </row>
    <row r="36009">
      <c r="A36009" s="1" t="s">
        <v>36008</v>
      </c>
      <c r="B36009" s="2" t="str">
        <f>IFERROR(__xludf.DUMMYFUNCTION("GOOGLETRANSLATE(A36009, ""de"", ""en"")"),"mares")</f>
        <v>mares</v>
      </c>
    </row>
    <row r="36010">
      <c r="A36010" s="1" t="s">
        <v>36009</v>
      </c>
      <c r="B36010" s="2" t="str">
        <f>IFERROR(__xludf.DUMMYFUNCTION("GOOGLETRANSLATE(A36010, ""de"", ""en"")"),"snippy")</f>
        <v>snippy</v>
      </c>
    </row>
    <row r="36011">
      <c r="A36011" s="1" t="s">
        <v>36010</v>
      </c>
      <c r="B36011" s="2" t="str">
        <f>IFERROR(__xludf.DUMMYFUNCTION("GOOGLETRANSLATE(A36011, ""de"", ""en"")"),"retrovirus")</f>
        <v>retrovirus</v>
      </c>
    </row>
    <row r="36012">
      <c r="A36012" s="1" t="s">
        <v>36011</v>
      </c>
      <c r="B36012" s="2" t="str">
        <f>IFERROR(__xludf.DUMMYFUNCTION("GOOGLETRANSLATE(A36012, ""de"", ""en"")"),"curable")</f>
        <v>curable</v>
      </c>
    </row>
    <row r="36013">
      <c r="A36013" s="1" t="s">
        <v>36012</v>
      </c>
      <c r="B36013" s="2" t="str">
        <f>IFERROR(__xludf.DUMMYFUNCTION("GOOGLETRANSLATE(A36013, ""de"", ""en"")"),"dated")</f>
        <v>dated</v>
      </c>
    </row>
    <row r="36014">
      <c r="A36014" s="1" t="s">
        <v>36013</v>
      </c>
      <c r="B36014" s="2" t="str">
        <f>IFERROR(__xludf.DUMMYFUNCTION("GOOGLETRANSLATE(A36014, ""de"", ""en"")"),"horseman")</f>
        <v>horseman</v>
      </c>
    </row>
    <row r="36015">
      <c r="A36015" s="1" t="s">
        <v>36014</v>
      </c>
      <c r="B36015" s="2" t="str">
        <f>IFERROR(__xludf.DUMMYFUNCTION("GOOGLETRANSLATE(A36015, ""de"", ""en"")"),"brain damage")</f>
        <v>brain damage</v>
      </c>
    </row>
    <row r="36016">
      <c r="A36016" s="1" t="s">
        <v>36015</v>
      </c>
      <c r="B36016" s="2" t="str">
        <f>IFERROR(__xludf.DUMMYFUNCTION("GOOGLETRANSLATE(A36016, ""de"", ""en"")"),"angry")</f>
        <v>angry</v>
      </c>
    </row>
    <row r="36017">
      <c r="A36017" s="1" t="s">
        <v>36016</v>
      </c>
      <c r="B36017" s="2" t="str">
        <f>IFERROR(__xludf.DUMMYFUNCTION("GOOGLETRANSLATE(A36017, ""de"", ""en"")"),"meditated")</f>
        <v>meditated</v>
      </c>
    </row>
    <row r="36018">
      <c r="A36018" s="1" t="s">
        <v>36017</v>
      </c>
      <c r="B36018" s="2" t="str">
        <f>IFERROR(__xludf.DUMMYFUNCTION("GOOGLETRANSLATE(A36018, ""de"", ""en"")"),"driven around")</f>
        <v>driven around</v>
      </c>
    </row>
    <row r="36019">
      <c r="A36019" s="1" t="s">
        <v>36018</v>
      </c>
      <c r="B36019" s="2" t="str">
        <f>IFERROR(__xludf.DUMMYFUNCTION("GOOGLETRANSLATE(A36019, ""de"", ""en"")"),"getaway car")</f>
        <v>getaway car</v>
      </c>
    </row>
    <row r="36020">
      <c r="A36020" s="1" t="s">
        <v>36019</v>
      </c>
      <c r="B36020" s="2" t="str">
        <f>IFERROR(__xludf.DUMMYFUNCTION("GOOGLETRANSLATE(A36020, ""de"", ""en"")"),"reference")</f>
        <v>reference</v>
      </c>
    </row>
    <row r="36021">
      <c r="A36021" s="1" t="s">
        <v>36020</v>
      </c>
      <c r="B36021" s="2" t="str">
        <f>IFERROR(__xludf.DUMMYFUNCTION("GOOGLETRANSLATE(A36021, ""de"", ""en"")"),"close-ups")</f>
        <v>close-ups</v>
      </c>
    </row>
    <row r="36022">
      <c r="A36022" s="1" t="s">
        <v>36021</v>
      </c>
      <c r="B36022" s="2" t="str">
        <f>IFERROR(__xludf.DUMMYFUNCTION("GOOGLETRANSLATE(A36022, ""de"", ""en"")"),"struck down")</f>
        <v>struck down</v>
      </c>
    </row>
    <row r="36023">
      <c r="A36023" s="1" t="s">
        <v>36022</v>
      </c>
      <c r="B36023" s="2" t="str">
        <f>IFERROR(__xludf.DUMMYFUNCTION("GOOGLETRANSLATE(A36023, ""de"", ""en"")"),"more bearable")</f>
        <v>more bearable</v>
      </c>
    </row>
    <row r="36024">
      <c r="A36024" s="1" t="s">
        <v>36023</v>
      </c>
      <c r="B36024" s="2" t="str">
        <f>IFERROR(__xludf.DUMMYFUNCTION("GOOGLETRANSLATE(A36024, ""de"", ""en"")"),"run away")</f>
        <v>run away</v>
      </c>
    </row>
    <row r="36025">
      <c r="A36025" s="1" t="s">
        <v>36024</v>
      </c>
      <c r="B36025" s="2" t="str">
        <f>IFERROR(__xludf.DUMMYFUNCTION("GOOGLETRANSLATE(A36025, ""de"", ""en"")"),"moles")</f>
        <v>moles</v>
      </c>
    </row>
    <row r="36026">
      <c r="A36026" s="1" t="s">
        <v>36025</v>
      </c>
      <c r="B36026" s="2" t="str">
        <f>IFERROR(__xludf.DUMMYFUNCTION("GOOGLETRANSLATE(A36026, ""de"", ""en"")"),"gets")</f>
        <v>gets</v>
      </c>
    </row>
    <row r="36027">
      <c r="A36027" s="1" t="s">
        <v>36026</v>
      </c>
      <c r="B36027" s="2" t="str">
        <f>IFERROR(__xludf.DUMMYFUNCTION("GOOGLETRANSLATE(A36027, ""de"", ""en"")"),"to register")</f>
        <v>to register</v>
      </c>
    </row>
    <row r="36028">
      <c r="A36028" s="1" t="s">
        <v>36027</v>
      </c>
      <c r="B36028" s="2" t="str">
        <f>IFERROR(__xludf.DUMMYFUNCTION("GOOGLETRANSLATE(A36028, ""de"", ""en"")"),"defeated")</f>
        <v>defeated</v>
      </c>
    </row>
    <row r="36029">
      <c r="A36029" s="1" t="s">
        <v>36028</v>
      </c>
      <c r="B36029" s="2" t="str">
        <f>IFERROR(__xludf.DUMMYFUNCTION("GOOGLETRANSLATE(A36029, ""de"", ""en"")"),"sinner")</f>
        <v>sinner</v>
      </c>
    </row>
    <row r="36030">
      <c r="A36030" s="1" t="s">
        <v>36029</v>
      </c>
      <c r="B36030" s="2" t="str">
        <f>IFERROR(__xludf.DUMMYFUNCTION("GOOGLETRANSLATE(A36030, ""de"", ""en"")"),"griggs")</f>
        <v>griggs</v>
      </c>
    </row>
    <row r="36031">
      <c r="A36031" s="1" t="s">
        <v>36030</v>
      </c>
      <c r="B36031" s="2" t="str">
        <f>IFERROR(__xludf.DUMMYFUNCTION("GOOGLETRANSLATE(A36031, ""de"", ""en"")"),"Cecilia")</f>
        <v>Cecilia</v>
      </c>
    </row>
    <row r="36032">
      <c r="A36032" s="1" t="s">
        <v>36031</v>
      </c>
      <c r="B36032" s="2" t="str">
        <f>IFERROR(__xludf.DUMMYFUNCTION("GOOGLETRANSLATE(A36032, ""de"", ""en"")"),"waiting")</f>
        <v>waiting</v>
      </c>
    </row>
    <row r="36033">
      <c r="A36033" s="1" t="s">
        <v>36032</v>
      </c>
      <c r="B36033" s="2" t="str">
        <f>IFERROR(__xludf.DUMMYFUNCTION("GOOGLETRANSLATE(A36033, ""de"", ""en"")"),"ray of hope")</f>
        <v>ray of hope</v>
      </c>
    </row>
    <row r="36034">
      <c r="A36034" s="1" t="s">
        <v>36033</v>
      </c>
      <c r="B36034" s="2" t="str">
        <f>IFERROR(__xludf.DUMMYFUNCTION("GOOGLETRANSLATE(A36034, ""de"", ""en"")"),"aubergine")</f>
        <v>aubergine</v>
      </c>
    </row>
    <row r="36035">
      <c r="A36035" s="1" t="s">
        <v>36034</v>
      </c>
      <c r="B36035" s="2" t="str">
        <f>IFERROR(__xludf.DUMMYFUNCTION("GOOGLETRANSLATE(A36035, ""de"", ""en"")"),"cartilage")</f>
        <v>cartilage</v>
      </c>
    </row>
    <row r="36036">
      <c r="A36036" s="1" t="s">
        <v>36035</v>
      </c>
      <c r="B36036" s="2" t="str">
        <f>IFERROR(__xludf.DUMMYFUNCTION("GOOGLETRANSLATE(A36036, ""de"", ""en"")"),"to get around")</f>
        <v>to get around</v>
      </c>
    </row>
    <row r="36037">
      <c r="A36037" s="1" t="s">
        <v>36036</v>
      </c>
      <c r="B36037" s="2" t="str">
        <f>IFERROR(__xludf.DUMMYFUNCTION("GOOGLETRANSLATE(A36037, ""de"", ""en"")"),"crept in")</f>
        <v>crept in</v>
      </c>
    </row>
    <row r="36038">
      <c r="A36038" s="1" t="s">
        <v>36037</v>
      </c>
      <c r="B36038" s="2" t="str">
        <f>IFERROR(__xludf.DUMMYFUNCTION("GOOGLETRANSLATE(A36038, ""de"", ""en"")"),"time traveler")</f>
        <v>time traveler</v>
      </c>
    </row>
    <row r="36039">
      <c r="A36039" s="1" t="s">
        <v>36038</v>
      </c>
      <c r="B36039" s="2" t="str">
        <f>IFERROR(__xludf.DUMMYFUNCTION("GOOGLETRANSLATE(A36039, ""de"", ""en"")"),"gigantic")</f>
        <v>gigantic</v>
      </c>
    </row>
    <row r="36040">
      <c r="A36040" s="1" t="s">
        <v>36039</v>
      </c>
      <c r="B36040" s="2" t="str">
        <f>IFERROR(__xludf.DUMMYFUNCTION("GOOGLETRANSLATE(A36040, ""de"", ""en"")"),"draft")</f>
        <v>draft</v>
      </c>
    </row>
    <row r="36041">
      <c r="A36041" s="1" t="s">
        <v>36040</v>
      </c>
      <c r="B36041" s="2" t="str">
        <f>IFERROR(__xludf.DUMMYFUNCTION("GOOGLETRANSLATE(A36041, ""de"", ""en"")"),"boasted")</f>
        <v>boasted</v>
      </c>
    </row>
    <row r="36042">
      <c r="A36042" s="1" t="s">
        <v>36041</v>
      </c>
      <c r="B36042" s="2" t="str">
        <f>IFERROR(__xludf.DUMMYFUNCTION("GOOGLETRANSLATE(A36042, ""de"", ""en"")"),"cohn")</f>
        <v>cohn</v>
      </c>
    </row>
    <row r="36043">
      <c r="A36043" s="1" t="s">
        <v>36042</v>
      </c>
      <c r="B36043" s="2" t="str">
        <f>IFERROR(__xludf.DUMMYFUNCTION("GOOGLETRANSLATE(A36043, ""de"", ""en"")"),"carnivores")</f>
        <v>carnivores</v>
      </c>
    </row>
    <row r="36044">
      <c r="A36044" s="1" t="s">
        <v>36043</v>
      </c>
      <c r="B36044" s="2" t="str">
        <f>IFERROR(__xludf.DUMMYFUNCTION("GOOGLETRANSLATE(A36044, ""de"", ""en"")"),"auctioneer")</f>
        <v>auctioneer</v>
      </c>
    </row>
    <row r="36045">
      <c r="A36045" s="1" t="s">
        <v>36044</v>
      </c>
      <c r="B36045" s="2" t="str">
        <f>IFERROR(__xludf.DUMMYFUNCTION("GOOGLETRANSLATE(A36045, ""de"", ""en"")"),"blood poisoning")</f>
        <v>blood poisoning</v>
      </c>
    </row>
    <row r="36046">
      <c r="A36046" s="1" t="s">
        <v>36045</v>
      </c>
      <c r="B36046" s="2" t="str">
        <f>IFERROR(__xludf.DUMMYFUNCTION("GOOGLETRANSLATE(A36046, ""de"", ""en"")"),"ashby")</f>
        <v>ashby</v>
      </c>
    </row>
    <row r="36047">
      <c r="A36047" s="1" t="s">
        <v>36046</v>
      </c>
      <c r="B36047" s="2" t="str">
        <f>IFERROR(__xludf.DUMMYFUNCTION("GOOGLETRANSLATE(A36047, ""de"", ""en"")"),"thompsons")</f>
        <v>thompsons</v>
      </c>
    </row>
    <row r="36048">
      <c r="A36048" s="1" t="s">
        <v>36047</v>
      </c>
      <c r="B36048" s="2" t="str">
        <f>IFERROR(__xludf.DUMMYFUNCTION("GOOGLETRANSLATE(A36048, ""de"", ""en"")"),"masao")</f>
        <v>masao</v>
      </c>
    </row>
    <row r="36049">
      <c r="A36049" s="1" t="s">
        <v>36048</v>
      </c>
      <c r="B36049" s="2" t="str">
        <f>IFERROR(__xludf.DUMMYFUNCTION("GOOGLETRANSLATE(A36049, ""de"", ""en"")"),"state power")</f>
        <v>state power</v>
      </c>
    </row>
    <row r="36050">
      <c r="A36050" s="1" t="s">
        <v>36049</v>
      </c>
      <c r="B36050" s="2" t="str">
        <f>IFERROR(__xludf.DUMMYFUNCTION("GOOGLETRANSLATE(A36050, ""de"", ""en"")"),"convention")</f>
        <v>convention</v>
      </c>
    </row>
    <row r="36051">
      <c r="A36051" s="1" t="s">
        <v>36050</v>
      </c>
      <c r="B36051" s="2" t="str">
        <f>IFERROR(__xludf.DUMMYFUNCTION("GOOGLETRANSLATE(A36051, ""de"", ""en"")"),"bored")</f>
        <v>bored</v>
      </c>
    </row>
    <row r="36052">
      <c r="A36052" s="1" t="s">
        <v>36051</v>
      </c>
      <c r="B36052" s="2" t="str">
        <f>IFERROR(__xludf.DUMMYFUNCTION("GOOGLETRANSLATE(A36052, ""de"", ""en"")"),"rips open")</f>
        <v>rips open</v>
      </c>
    </row>
    <row r="36053">
      <c r="A36053" s="1" t="s">
        <v>36052</v>
      </c>
      <c r="B36053" s="2" t="str">
        <f>IFERROR(__xludf.DUMMYFUNCTION("GOOGLETRANSLATE(A36053, ""de"", ""en"")"),"gard")</f>
        <v>gard</v>
      </c>
    </row>
    <row r="36054">
      <c r="A36054" s="1" t="s">
        <v>36053</v>
      </c>
      <c r="B36054" s="2" t="str">
        <f>IFERROR(__xludf.DUMMYFUNCTION("GOOGLETRANSLATE(A36054, ""de"", ""en"")"),"turnbull")</f>
        <v>turnbull</v>
      </c>
    </row>
    <row r="36055">
      <c r="A36055" s="1" t="s">
        <v>36054</v>
      </c>
      <c r="B36055" s="2" t="str">
        <f>IFERROR(__xludf.DUMMYFUNCTION("GOOGLETRANSLATE(A36055, ""de"", ""en"")"),"giggle")</f>
        <v>giggle</v>
      </c>
    </row>
    <row r="36056">
      <c r="A36056" s="1" t="s">
        <v>36055</v>
      </c>
      <c r="B36056" s="2" t="str">
        <f>IFERROR(__xludf.DUMMYFUNCTION("GOOGLETRANSLATE(A36056, ""de"", ""en"")"),"drug money")</f>
        <v>drug money</v>
      </c>
    </row>
    <row r="36057">
      <c r="A36057" s="1" t="s">
        <v>36056</v>
      </c>
      <c r="B36057" s="2" t="str">
        <f>IFERROR(__xludf.DUMMYFUNCTION("GOOGLETRANSLATE(A36057, ""de"", ""en"")"),"dropouts")</f>
        <v>dropouts</v>
      </c>
    </row>
    <row r="36058">
      <c r="A36058" s="1" t="s">
        <v>36057</v>
      </c>
      <c r="B36058" s="2" t="str">
        <f>IFERROR(__xludf.DUMMYFUNCTION("GOOGLETRANSLATE(A36058, ""de"", ""en"")"),"beneficial")</f>
        <v>beneficial</v>
      </c>
    </row>
    <row r="36059">
      <c r="A36059" s="1" t="s">
        <v>36058</v>
      </c>
      <c r="B36059" s="2" t="str">
        <f>IFERROR(__xludf.DUMMYFUNCTION("GOOGLETRANSLATE(A36059, ""de"", ""en"")"),"builder")</f>
        <v>builder</v>
      </c>
    </row>
    <row r="36060">
      <c r="A36060" s="1" t="s">
        <v>36059</v>
      </c>
      <c r="B36060" s="2" t="str">
        <f>IFERROR(__xludf.DUMMYFUNCTION("GOOGLETRANSLATE(A36060, ""de"", ""en"")"),"process")</f>
        <v>process</v>
      </c>
    </row>
    <row r="36061">
      <c r="A36061" s="1" t="s">
        <v>36060</v>
      </c>
      <c r="B36061" s="2" t="str">
        <f>IFERROR(__xludf.DUMMYFUNCTION("GOOGLETRANSLATE(A36061, ""de"", ""en"")"),"Dutch")</f>
        <v>Dutch</v>
      </c>
    </row>
    <row r="36062">
      <c r="A36062" s="1" t="s">
        <v>36061</v>
      </c>
      <c r="B36062" s="2" t="str">
        <f>IFERROR(__xludf.DUMMYFUNCTION("GOOGLETRANSLATE(A36062, ""de"", ""en"")"),"three thousand")</f>
        <v>three thousand</v>
      </c>
    </row>
    <row r="36063">
      <c r="A36063" s="1" t="s">
        <v>36062</v>
      </c>
      <c r="B36063" s="2" t="str">
        <f>IFERROR(__xludf.DUMMYFUNCTION("GOOGLETRANSLATE(A36063, ""de"", ""en"")"),"keychain")</f>
        <v>keychain</v>
      </c>
    </row>
    <row r="36064">
      <c r="A36064" s="1" t="s">
        <v>36063</v>
      </c>
      <c r="B36064" s="2" t="str">
        <f>IFERROR(__xludf.DUMMYFUNCTION("GOOGLETRANSLATE(A36064, ""de"", ""en"")"),"each")</f>
        <v>each</v>
      </c>
    </row>
    <row r="36065">
      <c r="A36065" s="1" t="s">
        <v>36064</v>
      </c>
      <c r="B36065" s="2" t="str">
        <f>IFERROR(__xludf.DUMMYFUNCTION("GOOGLETRANSLATE(A36065, ""de"", ""en"")"),"toxins")</f>
        <v>toxins</v>
      </c>
    </row>
    <row r="36066">
      <c r="A36066" s="1" t="s">
        <v>36065</v>
      </c>
      <c r="B36066" s="2" t="str">
        <f>IFERROR(__xludf.DUMMYFUNCTION("GOOGLETRANSLATE(A36066, ""de"", ""en"")"),"beat out")</f>
        <v>beat out</v>
      </c>
    </row>
    <row r="36067">
      <c r="A36067" s="1" t="s">
        <v>36066</v>
      </c>
      <c r="B36067" s="2" t="str">
        <f>IFERROR(__xludf.DUMMYFUNCTION("GOOGLETRANSLATE(A36067, ""de"", ""en"")"),"wrote")</f>
        <v>wrote</v>
      </c>
    </row>
    <row r="36068">
      <c r="A36068" s="1" t="s">
        <v>36067</v>
      </c>
      <c r="B36068" s="2" t="str">
        <f>IFERROR(__xludf.DUMMYFUNCTION("GOOGLETRANSLATE(A36068, ""de"", ""en"")"),"padme")</f>
        <v>padme</v>
      </c>
    </row>
    <row r="36069">
      <c r="A36069" s="1" t="s">
        <v>36068</v>
      </c>
      <c r="B36069" s="2" t="str">
        <f>IFERROR(__xludf.DUMMYFUNCTION("GOOGLETRANSLATE(A36069, ""de"", ""en"")"),"refund")</f>
        <v>refund</v>
      </c>
    </row>
    <row r="36070">
      <c r="A36070" s="1" t="s">
        <v>36069</v>
      </c>
      <c r="B36070" s="2" t="str">
        <f>IFERROR(__xludf.DUMMYFUNCTION("GOOGLETRANSLATE(A36070, ""de"", ""en"")"),"embedded")</f>
        <v>embedded</v>
      </c>
    </row>
    <row r="36071">
      <c r="A36071" s="1" t="s">
        <v>36070</v>
      </c>
      <c r="B36071" s="2" t="str">
        <f>IFERROR(__xludf.DUMMYFUNCTION("GOOGLETRANSLATE(A36071, ""de"", ""en"")"),"overtaken")</f>
        <v>overtaken</v>
      </c>
    </row>
    <row r="36072">
      <c r="A36072" s="1" t="s">
        <v>36071</v>
      </c>
      <c r="B36072" s="2" t="str">
        <f>IFERROR(__xludf.DUMMYFUNCTION("GOOGLETRANSLATE(A36072, ""de"", ""en"")"),"3d")</f>
        <v>3d</v>
      </c>
    </row>
    <row r="36073">
      <c r="A36073" s="1" t="s">
        <v>36072</v>
      </c>
      <c r="B36073" s="2" t="str">
        <f>IFERROR(__xludf.DUMMYFUNCTION("GOOGLETRANSLATE(A36073, ""de"", ""en"")"),"Thais")</f>
        <v>Thais</v>
      </c>
    </row>
    <row r="36074">
      <c r="A36074" s="1" t="s">
        <v>36073</v>
      </c>
      <c r="B36074" s="2" t="str">
        <f>IFERROR(__xludf.DUMMYFUNCTION("GOOGLETRANSLATE(A36074, ""de"", ""en"")"),"vomited")</f>
        <v>vomited</v>
      </c>
    </row>
    <row r="36075">
      <c r="A36075" s="1" t="s">
        <v>36074</v>
      </c>
      <c r="B36075" s="2" t="str">
        <f>IFERROR(__xludf.DUMMYFUNCTION("GOOGLETRANSLATE(A36075, ""de"", ""en"")"),"bringer")</f>
        <v>bringer</v>
      </c>
    </row>
    <row r="36076">
      <c r="A36076" s="1" t="s">
        <v>36075</v>
      </c>
      <c r="B36076" s="2" t="str">
        <f>IFERROR(__xludf.DUMMYFUNCTION("GOOGLETRANSLATE(A36076, ""de"", ""en"")"),"gave")</f>
        <v>gave</v>
      </c>
    </row>
    <row r="36077">
      <c r="A36077" s="1" t="s">
        <v>36076</v>
      </c>
      <c r="B36077" s="2" t="str">
        <f>IFERROR(__xludf.DUMMYFUNCTION("GOOGLETRANSLATE(A36077, ""de"", ""en"")"),"sawdust")</f>
        <v>sawdust</v>
      </c>
    </row>
    <row r="36078">
      <c r="A36078" s="1" t="s">
        <v>36077</v>
      </c>
      <c r="B36078" s="2" t="str">
        <f>IFERROR(__xludf.DUMMYFUNCTION("GOOGLETRANSLATE(A36078, ""de"", ""en"")"),"cheat")</f>
        <v>cheat</v>
      </c>
    </row>
    <row r="36079">
      <c r="A36079" s="1" t="s">
        <v>36078</v>
      </c>
      <c r="B36079" s="2" t="str">
        <f>IFERROR(__xludf.DUMMYFUNCTION("GOOGLETRANSLATE(A36079, ""de"", ""en"")"),"bellini")</f>
        <v>bellini</v>
      </c>
    </row>
    <row r="36080">
      <c r="A36080" s="1" t="s">
        <v>36079</v>
      </c>
      <c r="B36080" s="2" t="str">
        <f>IFERROR(__xludf.DUMMYFUNCTION("GOOGLETRANSLATE(A36080, ""de"", ""en"")"),"besiege")</f>
        <v>besiege</v>
      </c>
    </row>
    <row r="36081">
      <c r="A36081" s="1" t="s">
        <v>36080</v>
      </c>
      <c r="B36081" s="2" t="str">
        <f>IFERROR(__xludf.DUMMYFUNCTION("GOOGLETRANSLATE(A36081, ""de"", ""en"")"),"telephone conversations")</f>
        <v>telephone conversations</v>
      </c>
    </row>
    <row r="36082">
      <c r="A36082" s="1" t="s">
        <v>36081</v>
      </c>
      <c r="B36082" s="2" t="str">
        <f>IFERROR(__xludf.DUMMYFUNCTION("GOOGLETRANSLATE(A36082, ""de"", ""en"")"),"shopping centers")</f>
        <v>shopping centers</v>
      </c>
    </row>
    <row r="36083">
      <c r="A36083" s="1" t="s">
        <v>36082</v>
      </c>
      <c r="B36083" s="2" t="str">
        <f>IFERROR(__xludf.DUMMYFUNCTION("GOOGLETRANSLATE(A36083, ""de"", ""en"")"),"criticize")</f>
        <v>criticize</v>
      </c>
    </row>
    <row r="36084">
      <c r="A36084" s="1" t="s">
        <v>36083</v>
      </c>
      <c r="B36084" s="2" t="str">
        <f>IFERROR(__xludf.DUMMYFUNCTION("GOOGLETRANSLATE(A36084, ""de"", ""en"")"),"V-belt")</f>
        <v>V-belt</v>
      </c>
    </row>
    <row r="36085">
      <c r="A36085" s="1" t="s">
        <v>36084</v>
      </c>
      <c r="B36085" s="2" t="str">
        <f>IFERROR(__xludf.DUMMYFUNCTION("GOOGLETRANSLATE(A36085, ""de"", ""en"")"),"majestic")</f>
        <v>majestic</v>
      </c>
    </row>
    <row r="36086">
      <c r="A36086" s="1" t="s">
        <v>36085</v>
      </c>
      <c r="B36086" s="2" t="str">
        <f>IFERROR(__xludf.DUMMYFUNCTION("GOOGLETRANSLATE(A36086, ""de"", ""en"")"),"services")</f>
        <v>services</v>
      </c>
    </row>
    <row r="36087">
      <c r="A36087" s="1" t="s">
        <v>36086</v>
      </c>
      <c r="B36087" s="2" t="str">
        <f>IFERROR(__xludf.DUMMYFUNCTION("GOOGLETRANSLATE(A36087, ""de"", ""en"")"),"Barack")</f>
        <v>Barack</v>
      </c>
    </row>
    <row r="36088">
      <c r="A36088" s="1" t="s">
        <v>36087</v>
      </c>
      <c r="B36088" s="2" t="str">
        <f>IFERROR(__xludf.DUMMYFUNCTION("GOOGLETRANSLATE(A36088, ""de"", ""en"")"),"bother")</f>
        <v>bother</v>
      </c>
    </row>
    <row r="36089">
      <c r="A36089" s="1" t="s">
        <v>36088</v>
      </c>
      <c r="B36089" s="2" t="str">
        <f>IFERROR(__xludf.DUMMYFUNCTION("GOOGLETRANSLATE(A36089, ""de"", ""en"")"),"sorbonne")</f>
        <v>sorbonne</v>
      </c>
    </row>
    <row r="36090">
      <c r="A36090" s="1" t="s">
        <v>36089</v>
      </c>
      <c r="B36090" s="2" t="str">
        <f>IFERROR(__xludf.DUMMYFUNCTION("GOOGLETRANSLATE(A36090, ""de"", ""en"")"),"projectile")</f>
        <v>projectile</v>
      </c>
    </row>
    <row r="36091">
      <c r="A36091" s="1" t="s">
        <v>36090</v>
      </c>
      <c r="B36091" s="2" t="str">
        <f>IFERROR(__xludf.DUMMYFUNCTION("GOOGLETRANSLATE(A36091, ""de"", ""en"")"),"vans")</f>
        <v>vans</v>
      </c>
    </row>
    <row r="36092">
      <c r="A36092" s="1" t="s">
        <v>36091</v>
      </c>
      <c r="B36092" s="2" t="str">
        <f>IFERROR(__xludf.DUMMYFUNCTION("GOOGLETRANSLATE(A36092, ""de"", ""en"")"),"crypt")</f>
        <v>crypt</v>
      </c>
    </row>
    <row r="36093">
      <c r="A36093" s="1" t="s">
        <v>36092</v>
      </c>
      <c r="B36093" s="2" t="str">
        <f>IFERROR(__xludf.DUMMYFUNCTION("GOOGLETRANSLATE(A36093, ""de"", ""en"")"),"thrace")</f>
        <v>thrace</v>
      </c>
    </row>
    <row r="36094">
      <c r="A36094" s="1" t="s">
        <v>36093</v>
      </c>
      <c r="B36094" s="2" t="str">
        <f>IFERROR(__xludf.DUMMYFUNCTION("GOOGLETRANSLATE(A36094, ""de"", ""en"")"),"sleepless")</f>
        <v>sleepless</v>
      </c>
    </row>
    <row r="36095">
      <c r="A36095" s="1" t="s">
        <v>36094</v>
      </c>
      <c r="B36095" s="2" t="str">
        <f>IFERROR(__xludf.DUMMYFUNCTION("GOOGLETRANSLATE(A36095, ""de"", ""en"")"),"streaked")</f>
        <v>streaked</v>
      </c>
    </row>
    <row r="36096">
      <c r="A36096" s="1" t="s">
        <v>36095</v>
      </c>
      <c r="B36096" s="2" t="str">
        <f>IFERROR(__xludf.DUMMYFUNCTION("GOOGLETRANSLATE(A36096, ""de"", ""en"")"),"roys")</f>
        <v>roys</v>
      </c>
    </row>
    <row r="36097">
      <c r="A36097" s="1" t="s">
        <v>36096</v>
      </c>
      <c r="B36097" s="2" t="str">
        <f>IFERROR(__xludf.DUMMYFUNCTION("GOOGLETRANSLATE(A36097, ""de"", ""en"")"),"infantine")</f>
        <v>infantine</v>
      </c>
    </row>
    <row r="36098">
      <c r="A36098" s="1" t="s">
        <v>36097</v>
      </c>
      <c r="B36098" s="2" t="str">
        <f>IFERROR(__xludf.DUMMYFUNCTION("GOOGLETRANSLATE(A36098, ""de"", ""en"")"),"sofas")</f>
        <v>sofas</v>
      </c>
    </row>
    <row r="36099">
      <c r="A36099" s="1" t="s">
        <v>36098</v>
      </c>
      <c r="B36099" s="2" t="str">
        <f>IFERROR(__xludf.DUMMYFUNCTION("GOOGLETRANSLATE(A36099, ""de"", ""en"")"),"dietz")</f>
        <v>dietz</v>
      </c>
    </row>
    <row r="36100">
      <c r="A36100" s="1" t="s">
        <v>36099</v>
      </c>
      <c r="B36100" s="2" t="str">
        <f>IFERROR(__xludf.DUMMYFUNCTION("GOOGLETRANSLATE(A36100, ""de"", ""en"")"),"tied")</f>
        <v>tied</v>
      </c>
    </row>
    <row r="36101">
      <c r="A36101" s="1" t="s">
        <v>36100</v>
      </c>
      <c r="B36101" s="2" t="str">
        <f>IFERROR(__xludf.DUMMYFUNCTION("GOOGLETRANSLATE(A36101, ""de"", ""en"")"),"eph")</f>
        <v>eph</v>
      </c>
    </row>
    <row r="36102">
      <c r="A36102" s="1" t="s">
        <v>36101</v>
      </c>
      <c r="B36102" s="2" t="str">
        <f>IFERROR(__xludf.DUMMYFUNCTION("GOOGLETRANSLATE(A36102, ""de"", ""en"")"),"buried")</f>
        <v>buried</v>
      </c>
    </row>
    <row r="36103">
      <c r="A36103" s="1" t="s">
        <v>36102</v>
      </c>
      <c r="B36103" s="2" t="str">
        <f>IFERROR(__xludf.DUMMYFUNCTION("GOOGLETRANSLATE(A36103, ""de"", ""en"")"),"crime scene")</f>
        <v>crime scene</v>
      </c>
    </row>
    <row r="36104">
      <c r="A36104" s="1" t="s">
        <v>36103</v>
      </c>
      <c r="B36104" s="2" t="str">
        <f>IFERROR(__xludf.DUMMYFUNCTION("GOOGLETRANSLATE(A36104, ""de"", ""en"")"),"bossy")</f>
        <v>bossy</v>
      </c>
    </row>
    <row r="36105">
      <c r="A36105" s="1" t="s">
        <v>36104</v>
      </c>
      <c r="B36105" s="2" t="str">
        <f>IFERROR(__xludf.DUMMYFUNCTION("GOOGLETRANSLATE(A36105, ""de"", ""en"")"),"Jakey")</f>
        <v>Jakey</v>
      </c>
    </row>
    <row r="36106">
      <c r="A36106" s="1" t="s">
        <v>36105</v>
      </c>
      <c r="B36106" s="2" t="str">
        <f>IFERROR(__xludf.DUMMYFUNCTION("GOOGLETRANSLATE(A36106, ""de"", ""en"")"),"influence")</f>
        <v>influence</v>
      </c>
    </row>
    <row r="36107">
      <c r="A36107" s="1" t="s">
        <v>36106</v>
      </c>
      <c r="B36107" s="2" t="str">
        <f>IFERROR(__xludf.DUMMYFUNCTION("GOOGLETRANSLATE(A36107, ""de"", ""en"")"),"individually")</f>
        <v>individually</v>
      </c>
    </row>
    <row r="36108">
      <c r="A36108" s="1" t="s">
        <v>36107</v>
      </c>
      <c r="B36108" s="2" t="str">
        <f>IFERROR(__xludf.DUMMYFUNCTION("GOOGLETRANSLATE(A36108, ""de"", ""en"")"),"styles")</f>
        <v>styles</v>
      </c>
    </row>
    <row r="36109">
      <c r="A36109" s="1" t="s">
        <v>36108</v>
      </c>
      <c r="B36109" s="2" t="str">
        <f>IFERROR(__xludf.DUMMYFUNCTION("GOOGLETRANSLATE(A36109, ""de"", ""en"")"),"world bank")</f>
        <v>world bank</v>
      </c>
    </row>
    <row r="36110">
      <c r="A36110" s="1" t="s">
        <v>36109</v>
      </c>
      <c r="B36110" s="2" t="str">
        <f>IFERROR(__xludf.DUMMYFUNCTION("GOOGLETRANSLATE(A36110, ""de"", ""en"")"),"curator")</f>
        <v>curator</v>
      </c>
    </row>
    <row r="36111">
      <c r="A36111" s="1" t="s">
        <v>36110</v>
      </c>
      <c r="B36111" s="2" t="str">
        <f>IFERROR(__xludf.DUMMYFUNCTION("GOOGLETRANSLATE(A36111, ""de"", ""en"")"),"mules")</f>
        <v>mules</v>
      </c>
    </row>
    <row r="36112">
      <c r="A36112" s="1" t="s">
        <v>36111</v>
      </c>
      <c r="B36112" s="2" t="str">
        <f>IFERROR(__xludf.DUMMYFUNCTION("GOOGLETRANSLATE(A36112, ""de"", ""en"")"),"masaki")</f>
        <v>masaki</v>
      </c>
    </row>
    <row r="36113">
      <c r="A36113" s="1" t="s">
        <v>36112</v>
      </c>
      <c r="B36113" s="2" t="str">
        <f>IFERROR(__xludf.DUMMYFUNCTION("GOOGLETRANSLATE(A36113, ""de"", ""en"")"),"top class")</f>
        <v>top class</v>
      </c>
    </row>
    <row r="36114">
      <c r="A36114" s="1" t="s">
        <v>36113</v>
      </c>
      <c r="B36114" s="2" t="str">
        <f>IFERROR(__xludf.DUMMYFUNCTION("GOOGLETRANSLATE(A36114, ""de"", ""en"")"),"occurred")</f>
        <v>occurred</v>
      </c>
    </row>
    <row r="36115">
      <c r="A36115" s="1" t="s">
        <v>36114</v>
      </c>
      <c r="B36115" s="2" t="str">
        <f>IFERROR(__xludf.DUMMYFUNCTION("GOOGLETRANSLATE(A36115, ""de"", ""en"")"),"nesbitt")</f>
        <v>nesbitt</v>
      </c>
    </row>
    <row r="36116">
      <c r="A36116" s="1" t="s">
        <v>36115</v>
      </c>
      <c r="B36116" s="2" t="str">
        <f>IFERROR(__xludf.DUMMYFUNCTION("GOOGLETRANSLATE(A36116, ""de"", ""en"")"),"swelling")</f>
        <v>swelling</v>
      </c>
    </row>
    <row r="36117">
      <c r="A36117" s="1" t="s">
        <v>36116</v>
      </c>
      <c r="B36117" s="2" t="str">
        <f>IFERROR(__xludf.DUMMYFUNCTION("GOOGLETRANSLATE(A36117, ""de"", ""en"")"),"wartime")</f>
        <v>wartime</v>
      </c>
    </row>
    <row r="36118">
      <c r="A36118" s="1" t="s">
        <v>36117</v>
      </c>
      <c r="B36118" s="2" t="str">
        <f>IFERROR(__xludf.DUMMYFUNCTION("GOOGLETRANSLATE(A36118, ""de"", ""en"")"),"atomic")</f>
        <v>atomic</v>
      </c>
    </row>
    <row r="36119">
      <c r="A36119" s="1" t="s">
        <v>36118</v>
      </c>
      <c r="B36119" s="2" t="str">
        <f>IFERROR(__xludf.DUMMYFUNCTION("GOOGLETRANSLATE(A36119, ""de"", ""en"")"),"crossed")</f>
        <v>crossed</v>
      </c>
    </row>
    <row r="36120">
      <c r="A36120" s="1" t="s">
        <v>36119</v>
      </c>
      <c r="B36120" s="2" t="str">
        <f>IFERROR(__xludf.DUMMYFUNCTION("GOOGLETRANSLATE(A36120, ""de"", ""en"")"),"McDonald's")</f>
        <v>McDonald's</v>
      </c>
    </row>
    <row r="36121">
      <c r="A36121" s="1" t="s">
        <v>36120</v>
      </c>
      <c r="B36121" s="2" t="str">
        <f>IFERROR(__xludf.DUMMYFUNCTION("GOOGLETRANSLATE(A36121, ""de"", ""en"")"),"regular")</f>
        <v>regular</v>
      </c>
    </row>
    <row r="36122">
      <c r="A36122" s="1" t="s">
        <v>36121</v>
      </c>
      <c r="B36122" s="2" t="str">
        <f>IFERROR(__xludf.DUMMYFUNCTION("GOOGLETRANSLATE(A36122, ""de"", ""en"")"),"owner")</f>
        <v>owner</v>
      </c>
    </row>
    <row r="36123">
      <c r="A36123" s="1" t="s">
        <v>36122</v>
      </c>
      <c r="B36123" s="2" t="str">
        <f>IFERROR(__xludf.DUMMYFUNCTION("GOOGLETRANSLATE(A36123, ""de"", ""en"")"),"ventures")</f>
        <v>ventures</v>
      </c>
    </row>
    <row r="36124">
      <c r="A36124" s="1" t="s">
        <v>36123</v>
      </c>
      <c r="B36124" s="2" t="str">
        <f>IFERROR(__xludf.DUMMYFUNCTION("GOOGLETRANSLATE(A36124, ""de"", ""en"")"),"Dutch")</f>
        <v>Dutch</v>
      </c>
    </row>
    <row r="36125">
      <c r="A36125" s="1" t="s">
        <v>36124</v>
      </c>
      <c r="B36125" s="2" t="str">
        <f>IFERROR(__xludf.DUMMYFUNCTION("GOOGLETRANSLATE(A36125, ""de"", ""en"")"),"lieutenants")</f>
        <v>lieutenants</v>
      </c>
    </row>
    <row r="36126">
      <c r="A36126" s="1" t="s">
        <v>36125</v>
      </c>
      <c r="B36126" s="2" t="str">
        <f>IFERROR(__xludf.DUMMYFUNCTION("GOOGLETRANSLATE(A36126, ""de"", ""en"")"),"nod")</f>
        <v>nod</v>
      </c>
    </row>
    <row r="36127">
      <c r="A36127" s="1" t="s">
        <v>36126</v>
      </c>
      <c r="B36127" s="2" t="str">
        <f>IFERROR(__xludf.DUMMYFUNCTION("GOOGLETRANSLATE(A36127, ""de"", ""en"")"),"Daria")</f>
        <v>Daria</v>
      </c>
    </row>
    <row r="36128">
      <c r="A36128" s="1" t="s">
        <v>36127</v>
      </c>
      <c r="B36128" s="2" t="str">
        <f>IFERROR(__xludf.DUMMYFUNCTION("GOOGLETRANSLATE(A36128, ""de"", ""en"")"),"mock")</f>
        <v>mock</v>
      </c>
    </row>
    <row r="36129">
      <c r="A36129" s="1" t="s">
        <v>36128</v>
      </c>
      <c r="B36129" s="2" t="str">
        <f>IFERROR(__xludf.DUMMYFUNCTION("GOOGLETRANSLATE(A36129, ""de"", ""en"")"),"conceal")</f>
        <v>conceal</v>
      </c>
    </row>
    <row r="36130">
      <c r="A36130" s="1" t="s">
        <v>36129</v>
      </c>
      <c r="B36130" s="2" t="str">
        <f>IFERROR(__xludf.DUMMYFUNCTION("GOOGLETRANSLATE(A36130, ""de"", ""en"")"),"switchboard")</f>
        <v>switchboard</v>
      </c>
    </row>
    <row r="36131">
      <c r="A36131" s="1" t="s">
        <v>36130</v>
      </c>
      <c r="B36131" s="2" t="str">
        <f>IFERROR(__xludf.DUMMYFUNCTION("GOOGLETRANSLATE(A36131, ""de"", ""en"")"),"start")</f>
        <v>start</v>
      </c>
    </row>
    <row r="36132">
      <c r="A36132" s="1" t="s">
        <v>36131</v>
      </c>
      <c r="B36132" s="2" t="str">
        <f>IFERROR(__xludf.DUMMYFUNCTION("GOOGLETRANSLATE(A36132, ""de"", ""en"")"),"sonman")</f>
        <v>sonman</v>
      </c>
    </row>
    <row r="36133">
      <c r="A36133" s="1" t="s">
        <v>36132</v>
      </c>
      <c r="B36133" s="2" t="str">
        <f>IFERROR(__xludf.DUMMYFUNCTION("GOOGLETRANSLATE(A36133, ""de"", ""en"")"),"caris")</f>
        <v>caris</v>
      </c>
    </row>
    <row r="36134">
      <c r="A36134" s="1" t="s">
        <v>36133</v>
      </c>
      <c r="B36134" s="2" t="str">
        <f>IFERROR(__xludf.DUMMYFUNCTION("GOOGLETRANSLATE(A36134, ""de"", ""en"")"),"Tanny")</f>
        <v>Tanny</v>
      </c>
    </row>
    <row r="36135">
      <c r="A36135" s="1" t="s">
        <v>36134</v>
      </c>
      <c r="B36135" s="2" t="str">
        <f>IFERROR(__xludf.DUMMYFUNCTION("GOOGLETRANSLATE(A36135, ""de"", ""en"")"),"epinephrine")</f>
        <v>epinephrine</v>
      </c>
    </row>
    <row r="36136">
      <c r="A36136" s="1" t="s">
        <v>36135</v>
      </c>
      <c r="B36136" s="2" t="str">
        <f>IFERROR(__xludf.DUMMYFUNCTION("GOOGLETRANSLATE(A36136, ""de"", ""en"")"),"death blow")</f>
        <v>death blow</v>
      </c>
    </row>
    <row r="36137">
      <c r="A36137" s="1" t="s">
        <v>36136</v>
      </c>
      <c r="B36137" s="2" t="str">
        <f>IFERROR(__xludf.DUMMYFUNCTION("GOOGLETRANSLATE(A36137, ""de"", ""en"")"),"Grete")</f>
        <v>Grete</v>
      </c>
    </row>
    <row r="36138">
      <c r="A36138" s="1" t="s">
        <v>36137</v>
      </c>
      <c r="B36138" s="2" t="str">
        <f>IFERROR(__xludf.DUMMYFUNCTION("GOOGLETRANSLATE(A36138, ""de"", ""en"")"),"company car")</f>
        <v>company car</v>
      </c>
    </row>
    <row r="36139">
      <c r="A36139" s="1" t="s">
        <v>36138</v>
      </c>
      <c r="B36139" s="2" t="str">
        <f>IFERROR(__xludf.DUMMYFUNCTION("GOOGLETRANSLATE(A36139, ""de"", ""en"")"),"dauphin")</f>
        <v>dauphin</v>
      </c>
    </row>
    <row r="36140">
      <c r="A36140" s="1" t="s">
        <v>36139</v>
      </c>
      <c r="B36140" s="2" t="str">
        <f>IFERROR(__xludf.DUMMYFUNCTION("GOOGLETRANSLATE(A36140, ""de"", ""en"")"),"plastered")</f>
        <v>plastered</v>
      </c>
    </row>
    <row r="36141">
      <c r="A36141" s="1" t="s">
        <v>36140</v>
      </c>
      <c r="B36141" s="2" t="str">
        <f>IFERROR(__xludf.DUMMYFUNCTION("GOOGLETRANSLATE(A36141, ""de"", ""en"")"),"uncertain")</f>
        <v>uncertain</v>
      </c>
    </row>
    <row r="36142">
      <c r="A36142" s="1" t="s">
        <v>36141</v>
      </c>
      <c r="B36142" s="2" t="str">
        <f>IFERROR(__xludf.DUMMYFUNCTION("GOOGLETRANSLATE(A36142, ""de"", ""en"")"),"more grateful")</f>
        <v>more grateful</v>
      </c>
    </row>
    <row r="36143">
      <c r="A36143" s="1" t="s">
        <v>36142</v>
      </c>
      <c r="B36143" s="2" t="str">
        <f>IFERROR(__xludf.DUMMYFUNCTION("GOOGLETRANSLATE(A36143, ""de"", ""en"")"),"best in class")</f>
        <v>best in class</v>
      </c>
    </row>
    <row r="36144">
      <c r="A36144" s="1" t="s">
        <v>36143</v>
      </c>
      <c r="B36144" s="2" t="str">
        <f>IFERROR(__xludf.DUMMYFUNCTION("GOOGLETRANSLATE(A36144, ""de"", ""en"")"),"newt")</f>
        <v>newt</v>
      </c>
    </row>
    <row r="36145">
      <c r="A36145" s="1" t="s">
        <v>36144</v>
      </c>
      <c r="B36145" s="2" t="str">
        <f>IFERROR(__xludf.DUMMYFUNCTION("GOOGLETRANSLATE(A36145, ""de"", ""en"")"),"dominant")</f>
        <v>dominant</v>
      </c>
    </row>
    <row r="36146">
      <c r="A36146" s="1" t="s">
        <v>36145</v>
      </c>
      <c r="B36146" s="2" t="str">
        <f>IFERROR(__xludf.DUMMYFUNCTION("GOOGLETRANSLATE(A36146, ""de"", ""en"")"),"until")</f>
        <v>until</v>
      </c>
    </row>
    <row r="36147">
      <c r="A36147" s="1" t="s">
        <v>36146</v>
      </c>
      <c r="B36147" s="2" t="str">
        <f>IFERROR(__xludf.DUMMYFUNCTION("GOOGLETRANSLATE(A36147, ""de"", ""en"")"),"joke")</f>
        <v>joke</v>
      </c>
    </row>
    <row r="36148">
      <c r="A36148" s="1" t="s">
        <v>36147</v>
      </c>
      <c r="B36148" s="2" t="str">
        <f>IFERROR(__xludf.DUMMYFUNCTION("GOOGLETRANSLATE(A36148, ""de"", ""en"")"),"morbid")</f>
        <v>morbid</v>
      </c>
    </row>
    <row r="36149">
      <c r="A36149" s="1" t="s">
        <v>36148</v>
      </c>
      <c r="B36149" s="2" t="str">
        <f>IFERROR(__xludf.DUMMYFUNCTION("GOOGLETRANSLATE(A36149, ""de"", ""en"")"),"veal")</f>
        <v>veal</v>
      </c>
    </row>
    <row r="36150">
      <c r="A36150" s="1" t="s">
        <v>36149</v>
      </c>
      <c r="B36150" s="2" t="str">
        <f>IFERROR(__xludf.DUMMYFUNCTION("GOOGLETRANSLATE(A36150, ""de"", ""en"")"),"landlord")</f>
        <v>landlord</v>
      </c>
    </row>
    <row r="36151">
      <c r="A36151" s="1" t="s">
        <v>36150</v>
      </c>
      <c r="B36151" s="2" t="str">
        <f>IFERROR(__xludf.DUMMYFUNCTION("GOOGLETRANSLATE(A36151, ""de"", ""en"")"),"hanger")</f>
        <v>hanger</v>
      </c>
    </row>
    <row r="36152">
      <c r="A36152" s="1" t="s">
        <v>36151</v>
      </c>
      <c r="B36152" s="2" t="str">
        <f>IFERROR(__xludf.DUMMYFUNCTION("GOOGLETRANSLATE(A36152, ""de"", ""en"")"),"constellation")</f>
        <v>constellation</v>
      </c>
    </row>
    <row r="36153">
      <c r="A36153" s="1" t="s">
        <v>36152</v>
      </c>
      <c r="B36153" s="2" t="str">
        <f>IFERROR(__xludf.DUMMYFUNCTION("GOOGLETRANSLATE(A36153, ""de"", ""en"")"),"cindi")</f>
        <v>cindi</v>
      </c>
    </row>
    <row r="36154">
      <c r="A36154" s="1" t="s">
        <v>36153</v>
      </c>
      <c r="B36154" s="2" t="str">
        <f>IFERROR(__xludf.DUMMYFUNCTION("GOOGLETRANSLATE(A36154, ""de"", ""en"")"),"momentary")</f>
        <v>momentary</v>
      </c>
    </row>
    <row r="36155">
      <c r="A36155" s="1" t="s">
        <v>36154</v>
      </c>
      <c r="B36155" s="2" t="str">
        <f>IFERROR(__xludf.DUMMYFUNCTION("GOOGLETRANSLATE(A36155, ""de"", ""en"")"),"kant")</f>
        <v>kant</v>
      </c>
    </row>
    <row r="36156">
      <c r="A36156" s="1" t="s">
        <v>36155</v>
      </c>
      <c r="B36156" s="2" t="str">
        <f>IFERROR(__xludf.DUMMYFUNCTION("GOOGLETRANSLATE(A36156, ""de"", ""en"")"),"theon")</f>
        <v>theon</v>
      </c>
    </row>
    <row r="36157">
      <c r="A36157" s="1" t="s">
        <v>36156</v>
      </c>
      <c r="B36157" s="2" t="str">
        <f>IFERROR(__xludf.DUMMYFUNCTION("GOOGLETRANSLATE(A36157, ""de"", ""en"")"),"geography")</f>
        <v>geography</v>
      </c>
    </row>
    <row r="36158">
      <c r="A36158" s="1" t="s">
        <v>36157</v>
      </c>
      <c r="B36158" s="2" t="str">
        <f>IFERROR(__xludf.DUMMYFUNCTION("GOOGLETRANSLATE(A36158, ""de"", ""en"")"),"broken bones")</f>
        <v>broken bones</v>
      </c>
    </row>
    <row r="36159">
      <c r="A36159" s="1" t="s">
        <v>36158</v>
      </c>
      <c r="B36159" s="2" t="str">
        <f>IFERROR(__xludf.DUMMYFUNCTION("GOOGLETRANSLATE(A36159, ""de"", ""en"")"),"exits")</f>
        <v>exits</v>
      </c>
    </row>
    <row r="36160">
      <c r="A36160" s="1" t="s">
        <v>36159</v>
      </c>
      <c r="B36160" s="2" t="str">
        <f>IFERROR(__xludf.DUMMYFUNCTION("GOOGLETRANSLATE(A36160, ""de"", ""en"")"),"heintje")</f>
        <v>heintje</v>
      </c>
    </row>
    <row r="36161">
      <c r="A36161" s="1" t="s">
        <v>36160</v>
      </c>
      <c r="B36161" s="2" t="str">
        <f>IFERROR(__xludf.DUMMYFUNCTION("GOOGLETRANSLATE(A36161, ""de"", ""en"")"),"excavate")</f>
        <v>excavate</v>
      </c>
    </row>
    <row r="36162">
      <c r="A36162" s="1" t="s">
        <v>36161</v>
      </c>
      <c r="B36162" s="2" t="str">
        <f>IFERROR(__xludf.DUMMYFUNCTION("GOOGLETRANSLATE(A36162, ""de"", ""en"")"),"hoss")</f>
        <v>hoss</v>
      </c>
    </row>
    <row r="36163">
      <c r="A36163" s="1" t="s">
        <v>36162</v>
      </c>
      <c r="B36163" s="2" t="str">
        <f>IFERROR(__xludf.DUMMYFUNCTION("GOOGLETRANSLATE(A36163, ""de"", ""en"")"),"merciful")</f>
        <v>merciful</v>
      </c>
    </row>
    <row r="36164">
      <c r="A36164" s="1" t="s">
        <v>36163</v>
      </c>
      <c r="B36164" s="2" t="str">
        <f>IFERROR(__xludf.DUMMYFUNCTION("GOOGLETRANSLATE(A36164, ""de"", ""en"")"),"user")</f>
        <v>user</v>
      </c>
    </row>
    <row r="36165">
      <c r="A36165" s="1" t="s">
        <v>36164</v>
      </c>
      <c r="B36165" s="2" t="str">
        <f>IFERROR(__xludf.DUMMYFUNCTION("GOOGLETRANSLATE(A36165, ""de"", ""en"")"),"private detectives")</f>
        <v>private detectives</v>
      </c>
    </row>
    <row r="36166">
      <c r="A36166" s="1" t="s">
        <v>36165</v>
      </c>
      <c r="B36166" s="2" t="str">
        <f>IFERROR(__xludf.DUMMYFUNCTION("GOOGLETRANSLATE(A36166, ""de"", ""en"")"),"county")</f>
        <v>county</v>
      </c>
    </row>
    <row r="36167">
      <c r="A36167" s="1" t="s">
        <v>36166</v>
      </c>
      <c r="B36167" s="2" t="str">
        <f>IFERROR(__xludf.DUMMYFUNCTION("GOOGLETRANSLATE(A36167, ""de"", ""en"")"),"first edition")</f>
        <v>first edition</v>
      </c>
    </row>
    <row r="36168">
      <c r="A36168" s="1" t="s">
        <v>36167</v>
      </c>
      <c r="B36168" s="2" t="str">
        <f>IFERROR(__xludf.DUMMYFUNCTION("GOOGLETRANSLATE(A36168, ""de"", ""en"")"),"romances")</f>
        <v>romances</v>
      </c>
    </row>
    <row r="36169">
      <c r="A36169" s="1" t="s">
        <v>36168</v>
      </c>
      <c r="B36169" s="2" t="str">
        <f>IFERROR(__xludf.DUMMYFUNCTION("GOOGLETRANSLATE(A36169, ""de"", ""en"")"),"drove up")</f>
        <v>drove up</v>
      </c>
    </row>
    <row r="36170">
      <c r="A36170" s="1" t="s">
        <v>36169</v>
      </c>
      <c r="B36170" s="2" t="str">
        <f>IFERROR(__xludf.DUMMYFUNCTION("GOOGLETRANSLATE(A36170, ""de"", ""en"")"),"simcoe")</f>
        <v>simcoe</v>
      </c>
    </row>
    <row r="36171">
      <c r="A36171" s="1" t="s">
        <v>36170</v>
      </c>
      <c r="B36171" s="2" t="str">
        <f>IFERROR(__xludf.DUMMYFUNCTION("GOOGLETRANSLATE(A36171, ""de"", ""en"")"),"victoire")</f>
        <v>victoire</v>
      </c>
    </row>
    <row r="36172">
      <c r="A36172" s="1" t="s">
        <v>36171</v>
      </c>
      <c r="B36172" s="2" t="str">
        <f>IFERROR(__xludf.DUMMYFUNCTION("GOOGLETRANSLATE(A36172, ""de"", ""en"")"),"euthanized")</f>
        <v>euthanized</v>
      </c>
    </row>
    <row r="36173">
      <c r="A36173" s="1" t="s">
        <v>36172</v>
      </c>
      <c r="B36173" s="2" t="str">
        <f>IFERROR(__xludf.DUMMYFUNCTION("GOOGLETRANSLATE(A36173, ""de"", ""en"")"),"ch6122c0")</f>
        <v>ch6122c0</v>
      </c>
    </row>
    <row r="36174">
      <c r="A36174" s="1" t="s">
        <v>36173</v>
      </c>
      <c r="B36174" s="2" t="str">
        <f>IFERROR(__xludf.DUMMYFUNCTION("GOOGLETRANSLATE(A36174, ""de"", ""en"")"),"tear")</f>
        <v>tear</v>
      </c>
    </row>
    <row r="36175">
      <c r="A36175" s="1" t="s">
        <v>36174</v>
      </c>
      <c r="B36175" s="2" t="str">
        <f>IFERROR(__xludf.DUMMYFUNCTION("GOOGLETRANSLATE(A36175, ""de"", ""en"")"),"to lock away")</f>
        <v>to lock away</v>
      </c>
    </row>
    <row r="36176">
      <c r="A36176" s="1" t="s">
        <v>36175</v>
      </c>
      <c r="B36176" s="2" t="str">
        <f>IFERROR(__xludf.DUMMYFUNCTION("GOOGLETRANSLATE(A36176, ""de"", ""en"")"),"enjoy")</f>
        <v>enjoy</v>
      </c>
    </row>
    <row r="36177">
      <c r="A36177" s="1" t="s">
        <v>36176</v>
      </c>
      <c r="B36177" s="2" t="str">
        <f>IFERROR(__xludf.DUMMYFUNCTION("GOOGLETRANSLATE(A36177, ""de"", ""en"")"),"strip")</f>
        <v>strip</v>
      </c>
    </row>
    <row r="36178">
      <c r="A36178" s="1" t="s">
        <v>36177</v>
      </c>
      <c r="B36178" s="2" t="str">
        <f>IFERROR(__xludf.DUMMYFUNCTION("GOOGLETRANSLATE(A36178, ""de"", ""en"")"),"prozac")</f>
        <v>prozac</v>
      </c>
    </row>
    <row r="36179">
      <c r="A36179" s="1" t="s">
        <v>36178</v>
      </c>
      <c r="B36179" s="2" t="str">
        <f>IFERROR(__xludf.DUMMYFUNCTION("GOOGLETRANSLATE(A36179, ""de"", ""en"")"),"exempt")</f>
        <v>exempt</v>
      </c>
    </row>
    <row r="36180">
      <c r="A36180" s="1" t="s">
        <v>36179</v>
      </c>
      <c r="B36180" s="2" t="str">
        <f>IFERROR(__xludf.DUMMYFUNCTION("GOOGLETRANSLATE(A36180, ""de"", ""en"")"),"exeter")</f>
        <v>exeter</v>
      </c>
    </row>
    <row r="36181">
      <c r="A36181" s="1" t="s">
        <v>36180</v>
      </c>
      <c r="B36181" s="2" t="str">
        <f>IFERROR(__xludf.DUMMYFUNCTION("GOOGLETRANSLATE(A36181, ""de"", ""en"")"),"cube")</f>
        <v>cube</v>
      </c>
    </row>
    <row r="36182">
      <c r="A36182" s="1" t="s">
        <v>36181</v>
      </c>
      <c r="B36182" s="2" t="str">
        <f>IFERROR(__xludf.DUMMYFUNCTION("GOOGLETRANSLATE(A36182, ""de"", ""en"")"),"Toothless")</f>
        <v>Toothless</v>
      </c>
    </row>
    <row r="36183">
      <c r="A36183" s="1" t="s">
        <v>36182</v>
      </c>
      <c r="B36183" s="2" t="str">
        <f>IFERROR(__xludf.DUMMYFUNCTION("GOOGLETRANSLATE(A36183, ""de"", ""en"")"),"you deny")</f>
        <v>you deny</v>
      </c>
    </row>
    <row r="36184">
      <c r="A36184" s="1" t="s">
        <v>36183</v>
      </c>
      <c r="B36184" s="2" t="str">
        <f>IFERROR(__xludf.DUMMYFUNCTION("GOOGLETRANSLATE(A36184, ""de"", ""en"")"),"acquired")</f>
        <v>acquired</v>
      </c>
    </row>
    <row r="36185">
      <c r="A36185" s="1" t="s">
        <v>36184</v>
      </c>
      <c r="B36185" s="2" t="str">
        <f>IFERROR(__xludf.DUMMYFUNCTION("GOOGLETRANSLATE(A36185, ""de"", ""en"")"),"event")</f>
        <v>event</v>
      </c>
    </row>
    <row r="36186">
      <c r="A36186" s="1" t="s">
        <v>36185</v>
      </c>
      <c r="B36186" s="2" t="str">
        <f>IFERROR(__xludf.DUMMYFUNCTION("GOOGLETRANSLATE(A36186, ""de"", ""en"")"),"creative")</f>
        <v>creative</v>
      </c>
    </row>
    <row r="36187">
      <c r="A36187" s="1" t="s">
        <v>36186</v>
      </c>
      <c r="B36187" s="2" t="str">
        <f>IFERROR(__xludf.DUMMYFUNCTION("GOOGLETRANSLATE(A36187, ""de"", ""en"")"),"include")</f>
        <v>include</v>
      </c>
    </row>
    <row r="36188">
      <c r="A36188" s="1" t="s">
        <v>36187</v>
      </c>
      <c r="B36188" s="2" t="str">
        <f>IFERROR(__xludf.DUMMYFUNCTION("GOOGLETRANSLATE(A36188, ""de"", ""en"")"),"saves")</f>
        <v>saves</v>
      </c>
    </row>
    <row r="36189">
      <c r="A36189" s="1" t="s">
        <v>36188</v>
      </c>
      <c r="B36189" s="2" t="str">
        <f>IFERROR(__xludf.DUMMYFUNCTION("GOOGLETRANSLATE(A36189, ""de"", ""en"")"),"recording device")</f>
        <v>recording device</v>
      </c>
    </row>
    <row r="36190">
      <c r="A36190" s="1" t="s">
        <v>36189</v>
      </c>
      <c r="B36190" s="2" t="str">
        <f>IFERROR(__xludf.DUMMYFUNCTION("GOOGLETRANSLATE(A36190, ""de"", ""en"")"),"leann")</f>
        <v>leann</v>
      </c>
    </row>
    <row r="36191">
      <c r="A36191" s="1" t="s">
        <v>36190</v>
      </c>
      <c r="B36191" s="2" t="str">
        <f>IFERROR(__xludf.DUMMYFUNCTION("GOOGLETRANSLATE(A36191, ""de"", ""en"")"),"apple tree")</f>
        <v>apple tree</v>
      </c>
    </row>
    <row r="36192">
      <c r="A36192" s="1" t="s">
        <v>36191</v>
      </c>
      <c r="B36192" s="2" t="str">
        <f>IFERROR(__xludf.DUMMYFUNCTION("GOOGLETRANSLATE(A36192, ""de"", ""en"")"),"in it")</f>
        <v>in it</v>
      </c>
    </row>
    <row r="36193">
      <c r="A36193" s="1" t="s">
        <v>36192</v>
      </c>
      <c r="B36193" s="2" t="str">
        <f>IFERROR(__xludf.DUMMYFUNCTION("GOOGLETRANSLATE(A36193, ""de"", ""en"")"),"objectivity")</f>
        <v>objectivity</v>
      </c>
    </row>
    <row r="36194">
      <c r="A36194" s="1" t="s">
        <v>36193</v>
      </c>
      <c r="B36194" s="2" t="str">
        <f>IFERROR(__xludf.DUMMYFUNCTION("GOOGLETRANSLATE(A36194, ""de"", ""en"")"),"sensible")</f>
        <v>sensible</v>
      </c>
    </row>
    <row r="36195">
      <c r="A36195" s="1" t="s">
        <v>36194</v>
      </c>
      <c r="B36195" s="2" t="str">
        <f>IFERROR(__xludf.DUMMYFUNCTION("GOOGLETRANSLATE(A36195, ""de"", ""en"")"),"running around")</f>
        <v>running around</v>
      </c>
    </row>
    <row r="36196">
      <c r="A36196" s="1" t="s">
        <v>36195</v>
      </c>
      <c r="B36196" s="2" t="str">
        <f>IFERROR(__xludf.DUMMYFUNCTION("GOOGLETRANSLATE(A36196, ""de"", ""en"")"),"more carefully")</f>
        <v>more carefully</v>
      </c>
    </row>
    <row r="36197">
      <c r="A36197" s="1" t="s">
        <v>36196</v>
      </c>
      <c r="B36197" s="2" t="str">
        <f>IFERROR(__xludf.DUMMYFUNCTION("GOOGLETRANSLATE(A36197, ""de"", ""en"")"),"töle")</f>
        <v>töle</v>
      </c>
    </row>
    <row r="36198">
      <c r="A36198" s="1" t="s">
        <v>36197</v>
      </c>
      <c r="B36198" s="2" t="str">
        <f>IFERROR(__xludf.DUMMYFUNCTION("GOOGLETRANSLATE(A36198, ""de"", ""en"")"),"muchachos")</f>
        <v>muchachos</v>
      </c>
    </row>
    <row r="36199">
      <c r="A36199" s="1" t="s">
        <v>36198</v>
      </c>
      <c r="B36199" s="2" t="str">
        <f>IFERROR(__xludf.DUMMYFUNCTION("GOOGLETRANSLATE(A36199, ""de"", ""en"")"),"tantrums")</f>
        <v>tantrums</v>
      </c>
    </row>
    <row r="36200">
      <c r="A36200" s="1" t="s">
        <v>36199</v>
      </c>
      <c r="B36200" s="2" t="str">
        <f>IFERROR(__xludf.DUMMYFUNCTION("GOOGLETRANSLATE(A36200, ""de"", ""en"")"),"has breakfast")</f>
        <v>has breakfast</v>
      </c>
    </row>
    <row r="36201">
      <c r="A36201" s="1" t="s">
        <v>36200</v>
      </c>
      <c r="B36201" s="2" t="str">
        <f>IFERROR(__xludf.DUMMYFUNCTION("GOOGLETRANSLATE(A36201, ""de"", ""en"")"),"harcourt")</f>
        <v>harcourt</v>
      </c>
    </row>
    <row r="36202">
      <c r="A36202" s="1" t="s">
        <v>36201</v>
      </c>
      <c r="B36202" s="2" t="str">
        <f>IFERROR(__xludf.DUMMYFUNCTION("GOOGLETRANSLATE(A36202, ""de"", ""en"")"),"most interesting")</f>
        <v>most interesting</v>
      </c>
    </row>
    <row r="36203">
      <c r="A36203" s="1" t="s">
        <v>36202</v>
      </c>
      <c r="B36203" s="2" t="str">
        <f>IFERROR(__xludf.DUMMYFUNCTION("GOOGLETRANSLATE(A36203, ""de"", ""en"")"),"mental hospital")</f>
        <v>mental hospital</v>
      </c>
    </row>
    <row r="36204">
      <c r="A36204" s="1" t="s">
        <v>36203</v>
      </c>
      <c r="B36204" s="2" t="str">
        <f>IFERROR(__xludf.DUMMYFUNCTION("GOOGLETRANSLATE(A36204, ""de"", ""en"")"),"contracted")</f>
        <v>contracted</v>
      </c>
    </row>
    <row r="36205">
      <c r="A36205" s="1" t="s">
        <v>36204</v>
      </c>
      <c r="B36205" s="2" t="str">
        <f>IFERROR(__xludf.DUMMYFUNCTION("GOOGLETRANSLATE(A36205, ""de"", ""en"")"),"forefathers")</f>
        <v>forefathers</v>
      </c>
    </row>
    <row r="36206">
      <c r="A36206" s="1" t="s">
        <v>36205</v>
      </c>
      <c r="B36206" s="2" t="str">
        <f>IFERROR(__xludf.DUMMYFUNCTION("GOOGLETRANSLATE(A36206, ""de"", ""en"")"),"appointed")</f>
        <v>appointed</v>
      </c>
    </row>
    <row r="36207">
      <c r="A36207" s="1" t="s">
        <v>36206</v>
      </c>
      <c r="B36207" s="2" t="str">
        <f>IFERROR(__xludf.DUMMYFUNCTION("GOOGLETRANSLATE(A36207, ""de"", ""en"")"),"yip")</f>
        <v>yip</v>
      </c>
    </row>
    <row r="36208">
      <c r="A36208" s="1" t="s">
        <v>36207</v>
      </c>
      <c r="B36208" s="2" t="str">
        <f>IFERROR(__xludf.DUMMYFUNCTION("GOOGLETRANSLATE(A36208, ""de"", ""en"")"),"hasty")</f>
        <v>hasty</v>
      </c>
    </row>
    <row r="36209">
      <c r="A36209" s="1" t="s">
        <v>36208</v>
      </c>
      <c r="B36209" s="2" t="str">
        <f>IFERROR(__xludf.DUMMYFUNCTION("GOOGLETRANSLATE(A36209, ""de"", ""en"")"),"fen")</f>
        <v>fen</v>
      </c>
    </row>
    <row r="36210">
      <c r="A36210" s="1" t="s">
        <v>36209</v>
      </c>
      <c r="B36210" s="2" t="str">
        <f>IFERROR(__xludf.DUMMYFUNCTION("GOOGLETRANSLATE(A36210, ""de"", ""en"")"),"seok")</f>
        <v>seok</v>
      </c>
    </row>
    <row r="36211">
      <c r="A36211" s="1" t="s">
        <v>36210</v>
      </c>
      <c r="B36211" s="2" t="str">
        <f>IFERROR(__xludf.DUMMYFUNCTION("GOOGLETRANSLATE(A36211, ""de"", ""en"")"),"frigid")</f>
        <v>frigid</v>
      </c>
    </row>
    <row r="36212">
      <c r="A36212" s="1" t="s">
        <v>36211</v>
      </c>
      <c r="B36212" s="2" t="str">
        <f>IFERROR(__xludf.DUMMYFUNCTION("GOOGLETRANSLATE(A36212, ""de"", ""en"")"),"maternity")</f>
        <v>maternity</v>
      </c>
    </row>
    <row r="36213">
      <c r="A36213" s="1" t="s">
        <v>36212</v>
      </c>
      <c r="B36213" s="2" t="str">
        <f>IFERROR(__xludf.DUMMYFUNCTION("GOOGLETRANSLATE(A36213, ""de"", ""en"")"),"chatterbox")</f>
        <v>chatterbox</v>
      </c>
    </row>
    <row r="36214">
      <c r="A36214" s="1" t="s">
        <v>36213</v>
      </c>
      <c r="B36214" s="2" t="str">
        <f>IFERROR(__xludf.DUMMYFUNCTION("GOOGLETRANSLATE(A36214, ""de"", ""en"")"),"muddy")</f>
        <v>muddy</v>
      </c>
    </row>
    <row r="36215">
      <c r="A36215" s="1" t="s">
        <v>36214</v>
      </c>
      <c r="B36215" s="2" t="str">
        <f>IFERROR(__xludf.DUMMYFUNCTION("GOOGLETRANSLATE(A36215, ""de"", ""en"")"),"claustrophobia")</f>
        <v>claustrophobia</v>
      </c>
    </row>
    <row r="36216">
      <c r="A36216" s="1" t="s">
        <v>36215</v>
      </c>
      <c r="B36216" s="2" t="str">
        <f>IFERROR(__xludf.DUMMYFUNCTION("GOOGLETRANSLATE(A36216, ""de"", ""en"")"),"send")</f>
        <v>send</v>
      </c>
    </row>
    <row r="36217">
      <c r="A36217" s="1" t="s">
        <v>36216</v>
      </c>
      <c r="B36217" s="2" t="str">
        <f>IFERROR(__xludf.DUMMYFUNCTION("GOOGLETRANSLATE(A36217, ""de"", ""en"")"),"rya")</f>
        <v>rya</v>
      </c>
    </row>
    <row r="36218">
      <c r="A36218" s="1" t="s">
        <v>36217</v>
      </c>
      <c r="B36218" s="2" t="str">
        <f>IFERROR(__xludf.DUMMYFUNCTION("GOOGLETRANSLATE(A36218, ""de"", ""en"")"),"flowerpot")</f>
        <v>flowerpot</v>
      </c>
    </row>
    <row r="36219">
      <c r="A36219" s="1" t="s">
        <v>36218</v>
      </c>
      <c r="B36219" s="2" t="str">
        <f>IFERROR(__xludf.DUMMYFUNCTION("GOOGLETRANSLATE(A36219, ""de"", ""en"")"),"lifeless")</f>
        <v>lifeless</v>
      </c>
    </row>
    <row r="36220">
      <c r="A36220" s="1" t="s">
        <v>36219</v>
      </c>
      <c r="B36220" s="2" t="str">
        <f>IFERROR(__xludf.DUMMYFUNCTION("GOOGLETRANSLATE(A36220, ""de"", ""en"")"),"promising")</f>
        <v>promising</v>
      </c>
    </row>
    <row r="36221">
      <c r="A36221" s="1" t="s">
        <v>36220</v>
      </c>
      <c r="B36221" s="2" t="str">
        <f>IFERROR(__xludf.DUMMYFUNCTION("GOOGLETRANSLATE(A36221, ""de"", ""en"")"),"manuscripts")</f>
        <v>manuscripts</v>
      </c>
    </row>
    <row r="36222">
      <c r="A36222" s="1" t="s">
        <v>36221</v>
      </c>
      <c r="B36222" s="2" t="str">
        <f>IFERROR(__xludf.DUMMYFUNCTION("GOOGLETRANSLATE(A36222, ""de"", ""en"")"),"emergency calls")</f>
        <v>emergency calls</v>
      </c>
    </row>
    <row r="36223">
      <c r="A36223" s="1" t="s">
        <v>36222</v>
      </c>
      <c r="B36223" s="2" t="str">
        <f>IFERROR(__xludf.DUMMYFUNCTION("GOOGLETRANSLATE(A36223, ""de"", ""en"")"),"more discreet")</f>
        <v>more discreet</v>
      </c>
    </row>
    <row r="36224">
      <c r="A36224" s="1" t="s">
        <v>36223</v>
      </c>
      <c r="B36224" s="2" t="str">
        <f>IFERROR(__xludf.DUMMYFUNCTION("GOOGLETRANSLATE(A36224, ""de"", ""en"")"),"cissy")</f>
        <v>cissy</v>
      </c>
    </row>
    <row r="36225">
      <c r="A36225" s="1" t="s">
        <v>36224</v>
      </c>
      <c r="B36225" s="2" t="str">
        <f>IFERROR(__xludf.DUMMYFUNCTION("GOOGLETRANSLATE(A36225, ""de"", ""en"")"),"back")</f>
        <v>back</v>
      </c>
    </row>
    <row r="36226">
      <c r="A36226" s="1" t="s">
        <v>36225</v>
      </c>
      <c r="B36226" s="2" t="str">
        <f>IFERROR(__xludf.DUMMYFUNCTION("GOOGLETRANSLATE(A36226, ""de"", ""en"")"),"osbourne")</f>
        <v>osbourne</v>
      </c>
    </row>
    <row r="36227">
      <c r="A36227" s="1" t="s">
        <v>36226</v>
      </c>
      <c r="B36227" s="2" t="str">
        <f>IFERROR(__xludf.DUMMYFUNCTION("GOOGLETRANSLATE(A36227, ""de"", ""en"")"),"ripper")</f>
        <v>ripper</v>
      </c>
    </row>
    <row r="36228">
      <c r="A36228" s="1" t="s">
        <v>36227</v>
      </c>
      <c r="B36228" s="2" t="str">
        <f>IFERROR(__xludf.DUMMYFUNCTION("GOOGLETRANSLATE(A36228, ""de"", ""en"")"),"bruna")</f>
        <v>bruna</v>
      </c>
    </row>
    <row r="36229">
      <c r="A36229" s="1" t="s">
        <v>36228</v>
      </c>
      <c r="B36229" s="2" t="str">
        <f>IFERROR(__xludf.DUMMYFUNCTION("GOOGLETRANSLATE(A36229, ""de"", ""en"")"),"early morning")</f>
        <v>early morning</v>
      </c>
    </row>
    <row r="36230">
      <c r="A36230" s="1" t="s">
        <v>36229</v>
      </c>
      <c r="B36230" s="2" t="str">
        <f>IFERROR(__xludf.DUMMYFUNCTION("GOOGLETRANSLATE(A36230, ""de"", ""en"")"),"cartier")</f>
        <v>cartier</v>
      </c>
    </row>
    <row r="36231">
      <c r="A36231" s="1" t="s">
        <v>36230</v>
      </c>
      <c r="B36231" s="2" t="str">
        <f>IFERROR(__xludf.DUMMYFUNCTION("GOOGLETRANSLATE(A36231, ""de"", ""en"")"),"viking")</f>
        <v>viking</v>
      </c>
    </row>
    <row r="36232">
      <c r="A36232" s="1" t="s">
        <v>36231</v>
      </c>
      <c r="B36232" s="2" t="str">
        <f>IFERROR(__xludf.DUMMYFUNCTION("GOOGLETRANSLATE(A36232, ""de"", ""en"")"),"heroic")</f>
        <v>heroic</v>
      </c>
    </row>
    <row r="36233">
      <c r="A36233" s="1" t="s">
        <v>36232</v>
      </c>
      <c r="B36233" s="2" t="str">
        <f>IFERROR(__xludf.DUMMYFUNCTION("GOOGLETRANSLATE(A36233, ""de"", ""en"")"),"evaluate")</f>
        <v>evaluate</v>
      </c>
    </row>
    <row r="36234">
      <c r="A36234" s="1" t="s">
        <v>36233</v>
      </c>
      <c r="B36234" s="2" t="str">
        <f>IFERROR(__xludf.DUMMYFUNCTION("GOOGLETRANSLATE(A36234, ""de"", ""en"")"),"waved")</f>
        <v>waved</v>
      </c>
    </row>
    <row r="36235">
      <c r="A36235" s="1" t="s">
        <v>36234</v>
      </c>
      <c r="B36235" s="2" t="str">
        <f>IFERROR(__xludf.DUMMYFUNCTION("GOOGLETRANSLATE(A36235, ""de"", ""en"")"),"hein")</f>
        <v>hein</v>
      </c>
    </row>
    <row r="36236">
      <c r="A36236" s="1" t="s">
        <v>36235</v>
      </c>
      <c r="B36236" s="2" t="str">
        <f>IFERROR(__xludf.DUMMYFUNCTION("GOOGLETRANSLATE(A36236, ""de"", ""en"")"),"text")</f>
        <v>text</v>
      </c>
    </row>
    <row r="36237">
      <c r="A36237" s="1" t="s">
        <v>36236</v>
      </c>
      <c r="B36237" s="2" t="str">
        <f>IFERROR(__xludf.DUMMYFUNCTION("GOOGLETRANSLATE(A36237, ""de"", ""en"")"),"refreshed")</f>
        <v>refreshed</v>
      </c>
    </row>
    <row r="36238">
      <c r="A36238" s="1" t="s">
        <v>36237</v>
      </c>
      <c r="B36238" s="2" t="str">
        <f>IFERROR(__xludf.DUMMYFUNCTION("GOOGLETRANSLATE(A36238, ""de"", ""en"")"),"sovereign")</f>
        <v>sovereign</v>
      </c>
    </row>
    <row r="36239">
      <c r="A36239" s="1" t="s">
        <v>36238</v>
      </c>
      <c r="B36239" s="2" t="str">
        <f>IFERROR(__xludf.DUMMYFUNCTION("GOOGLETRANSLATE(A36239, ""de"", ""en"")"),"getaway car")</f>
        <v>getaway car</v>
      </c>
    </row>
    <row r="36240">
      <c r="A36240" s="1" t="s">
        <v>36239</v>
      </c>
      <c r="B36240" s="2" t="str">
        <f>IFERROR(__xludf.DUMMYFUNCTION("GOOGLETRANSLATE(A36240, ""de"", ""en"")"),"heart problems")</f>
        <v>heart problems</v>
      </c>
    </row>
    <row r="36241">
      <c r="A36241" s="1" t="s">
        <v>36240</v>
      </c>
      <c r="B36241" s="2" t="str">
        <f>IFERROR(__xludf.DUMMYFUNCTION("GOOGLETRANSLATE(A36241, ""de"", ""en"")"),"double layer")</f>
        <v>double layer</v>
      </c>
    </row>
    <row r="36242">
      <c r="A36242" s="1" t="s">
        <v>36241</v>
      </c>
      <c r="B36242" s="2" t="str">
        <f>IFERROR(__xludf.DUMMYFUNCTION("GOOGLETRANSLATE(A36242, ""de"", ""en"")"),"implementation")</f>
        <v>implementation</v>
      </c>
    </row>
    <row r="36243">
      <c r="A36243" s="1" t="s">
        <v>36242</v>
      </c>
      <c r="B36243" s="2" t="str">
        <f>IFERROR(__xludf.DUMMYFUNCTION("GOOGLETRANSLATE(A36243, ""de"", ""en"")"),"zajac")</f>
        <v>zajac</v>
      </c>
    </row>
    <row r="36244">
      <c r="A36244" s="1" t="s">
        <v>36243</v>
      </c>
      <c r="B36244" s="2" t="str">
        <f>IFERROR(__xludf.DUMMYFUNCTION("GOOGLETRANSLATE(A36244, ""de"", ""en"")"),"wayward")</f>
        <v>wayward</v>
      </c>
    </row>
    <row r="36245">
      <c r="A36245" s="1" t="s">
        <v>36244</v>
      </c>
      <c r="B36245" s="2" t="str">
        <f>IFERROR(__xludf.DUMMYFUNCTION("GOOGLETRANSLATE(A36245, ""de"", ""en"")"),"more crazy")</f>
        <v>more crazy</v>
      </c>
    </row>
    <row r="36246">
      <c r="A36246" s="1" t="s">
        <v>36245</v>
      </c>
      <c r="B36246" s="2" t="str">
        <f>IFERROR(__xludf.DUMMYFUNCTION("GOOGLETRANSLATE(A36246, ""de"", ""en"")"),"baguette")</f>
        <v>baguette</v>
      </c>
    </row>
    <row r="36247">
      <c r="A36247" s="1" t="s">
        <v>36246</v>
      </c>
      <c r="B36247" s="2" t="str">
        <f>IFERROR(__xludf.DUMMYFUNCTION("GOOGLETRANSLATE(A36247, ""de"", ""en"")"),"bilbo")</f>
        <v>bilbo</v>
      </c>
    </row>
    <row r="36248">
      <c r="A36248" s="1" t="s">
        <v>36247</v>
      </c>
      <c r="B36248" s="2" t="str">
        <f>IFERROR(__xludf.DUMMYFUNCTION("GOOGLETRANSLATE(A36248, ""de"", ""en"")"),"provence")</f>
        <v>provence</v>
      </c>
    </row>
    <row r="36249">
      <c r="A36249" s="1" t="s">
        <v>36248</v>
      </c>
      <c r="B36249" s="2" t="str">
        <f>IFERROR(__xludf.DUMMYFUNCTION("GOOGLETRANSLATE(A36249, ""de"", ""en"")"),"feces")</f>
        <v>feces</v>
      </c>
    </row>
    <row r="36250">
      <c r="A36250" s="1" t="s">
        <v>36249</v>
      </c>
      <c r="B36250" s="2" t="str">
        <f>IFERROR(__xludf.DUMMYFUNCTION("GOOGLETRANSLATE(A36250, ""de"", ""en"")"),"musty")</f>
        <v>musty</v>
      </c>
    </row>
    <row r="36251">
      <c r="A36251" s="1" t="s">
        <v>36250</v>
      </c>
      <c r="B36251" s="2" t="str">
        <f>IFERROR(__xludf.DUMMYFUNCTION("GOOGLETRANSLATE(A36251, ""de"", ""en"")"),"tnt")</f>
        <v>tnt</v>
      </c>
    </row>
    <row r="36252">
      <c r="A36252" s="1" t="s">
        <v>36251</v>
      </c>
      <c r="B36252" s="2" t="str">
        <f>IFERROR(__xludf.DUMMYFUNCTION("GOOGLETRANSLATE(A36252, ""de"", ""en"")"),"circuit")</f>
        <v>circuit</v>
      </c>
    </row>
    <row r="36253">
      <c r="A36253" s="1" t="s">
        <v>36252</v>
      </c>
      <c r="B36253" s="2" t="str">
        <f>IFERROR(__xludf.DUMMYFUNCTION("GOOGLETRANSLATE(A36253, ""de"", ""en"")"),"lattimer")</f>
        <v>lattimer</v>
      </c>
    </row>
    <row r="36254">
      <c r="A36254" s="1" t="s">
        <v>36253</v>
      </c>
      <c r="B36254" s="2" t="str">
        <f>IFERROR(__xludf.DUMMYFUNCTION("GOOGLETRANSLATE(A36254, ""de"", ""en"")"),"phone calls")</f>
        <v>phone calls</v>
      </c>
    </row>
    <row r="36255">
      <c r="A36255" s="1" t="s">
        <v>36254</v>
      </c>
      <c r="B36255" s="2" t="str">
        <f>IFERROR(__xludf.DUMMYFUNCTION("GOOGLETRANSLATE(A36255, ""de"", ""en"")"),"eunuchs")</f>
        <v>eunuchs</v>
      </c>
    </row>
    <row r="36256">
      <c r="A36256" s="1" t="s">
        <v>36255</v>
      </c>
      <c r="B36256" s="2" t="str">
        <f>IFERROR(__xludf.DUMMYFUNCTION("GOOGLETRANSLATE(A36256, ""de"", ""en"")"),"contradict")</f>
        <v>contradict</v>
      </c>
    </row>
    <row r="36257">
      <c r="A36257" s="1" t="s">
        <v>36256</v>
      </c>
      <c r="B36257" s="2" t="str">
        <f>IFERROR(__xludf.DUMMYFUNCTION("GOOGLETRANSLATE(A36257, ""de"", ""en"")"),"gym")</f>
        <v>gym</v>
      </c>
    </row>
    <row r="36258">
      <c r="A36258" s="1" t="s">
        <v>36257</v>
      </c>
      <c r="B36258" s="2" t="str">
        <f>IFERROR(__xludf.DUMMYFUNCTION("GOOGLETRANSLATE(A36258, ""de"", ""en"")"),"mania")</f>
        <v>mania</v>
      </c>
    </row>
    <row r="36259">
      <c r="A36259" s="1" t="s">
        <v>36258</v>
      </c>
      <c r="B36259" s="2" t="str">
        <f>IFERROR(__xludf.DUMMYFUNCTION("GOOGLETRANSLATE(A36259, ""de"", ""en"")"),"tidal wave")</f>
        <v>tidal wave</v>
      </c>
    </row>
    <row r="36260">
      <c r="A36260" s="1" t="s">
        <v>36259</v>
      </c>
      <c r="B36260" s="2" t="str">
        <f>IFERROR(__xludf.DUMMYFUNCTION("GOOGLETRANSLATE(A36260, ""de"", ""en"")"),"cherry pie")</f>
        <v>cherry pie</v>
      </c>
    </row>
    <row r="36261">
      <c r="A36261" s="1" t="s">
        <v>36260</v>
      </c>
      <c r="B36261" s="2" t="str">
        <f>IFERROR(__xludf.DUMMYFUNCTION("GOOGLETRANSLATE(A36261, ""de"", ""en"")"),"dahl")</f>
        <v>dahl</v>
      </c>
    </row>
    <row r="36262">
      <c r="A36262" s="1" t="s">
        <v>36261</v>
      </c>
      <c r="B36262" s="2" t="str">
        <f>IFERROR(__xludf.DUMMYFUNCTION("GOOGLETRANSLATE(A36262, ""de"", ""en"")"),"beautiful")</f>
        <v>beautiful</v>
      </c>
    </row>
    <row r="36263">
      <c r="A36263" s="1" t="s">
        <v>36262</v>
      </c>
      <c r="B36263" s="2" t="str">
        <f>IFERROR(__xludf.DUMMYFUNCTION("GOOGLETRANSLATE(A36263, ""de"", ""en"")"),"snap")</f>
        <v>snap</v>
      </c>
    </row>
    <row r="36264">
      <c r="A36264" s="1" t="s">
        <v>36263</v>
      </c>
      <c r="B36264" s="2" t="str">
        <f>IFERROR(__xludf.DUMMYFUNCTION("GOOGLETRANSLATE(A36264, ""de"", ""en"")"),"denial")</f>
        <v>denial</v>
      </c>
    </row>
    <row r="36265">
      <c r="A36265" s="1" t="s">
        <v>36264</v>
      </c>
      <c r="B36265" s="2" t="str">
        <f>IFERROR(__xludf.DUMMYFUNCTION("GOOGLETRANSLATE(A36265, ""de"", ""en"")"),"climb")</f>
        <v>climb</v>
      </c>
    </row>
    <row r="36266">
      <c r="A36266" s="1" t="s">
        <v>36265</v>
      </c>
      <c r="B36266" s="2" t="str">
        <f>IFERROR(__xludf.DUMMYFUNCTION("GOOGLETRANSLATE(A36266, ""de"", ""en"")"),"tutor")</f>
        <v>tutor</v>
      </c>
    </row>
    <row r="36267">
      <c r="A36267" s="1" t="s">
        <v>36266</v>
      </c>
      <c r="B36267" s="2" t="str">
        <f>IFERROR(__xludf.DUMMYFUNCTION("GOOGLETRANSLATE(A36267, ""de"", ""en"")"),"preached")</f>
        <v>preached</v>
      </c>
    </row>
    <row r="36268">
      <c r="A36268" s="1" t="s">
        <v>36267</v>
      </c>
      <c r="B36268" s="2" t="str">
        <f>IFERROR(__xludf.DUMMYFUNCTION("GOOGLETRANSLATE(A36268, ""de"", ""en"")"),"fondue")</f>
        <v>fondue</v>
      </c>
    </row>
    <row r="36269">
      <c r="A36269" s="1" t="s">
        <v>36268</v>
      </c>
      <c r="B36269" s="2" t="str">
        <f>IFERROR(__xludf.DUMMYFUNCTION("GOOGLETRANSLATE(A36269, ""de"", ""en"")"),"nimah")</f>
        <v>nimah</v>
      </c>
    </row>
    <row r="36270">
      <c r="A36270" s="1" t="s">
        <v>36269</v>
      </c>
      <c r="B36270" s="2" t="str">
        <f>IFERROR(__xludf.DUMMYFUNCTION("GOOGLETRANSLATE(A36270, ""de"", ""en"")"),"melli")</f>
        <v>melli</v>
      </c>
    </row>
    <row r="36271">
      <c r="A36271" s="1" t="s">
        <v>36270</v>
      </c>
      <c r="B36271" s="2" t="str">
        <f>IFERROR(__xludf.DUMMYFUNCTION("GOOGLETRANSLATE(A36271, ""de"", ""en"")"),"refrain")</f>
        <v>refrain</v>
      </c>
    </row>
    <row r="36272">
      <c r="A36272" s="1" t="s">
        <v>36271</v>
      </c>
      <c r="B36272" s="2" t="str">
        <f>IFERROR(__xludf.DUMMYFUNCTION("GOOGLETRANSLATE(A36272, ""de"", ""en"")"),"resin")</f>
        <v>resin</v>
      </c>
    </row>
    <row r="36273">
      <c r="A36273" s="1" t="s">
        <v>36272</v>
      </c>
      <c r="B36273" s="2" t="str">
        <f>IFERROR(__xludf.DUMMYFUNCTION("GOOGLETRANSLATE(A36273, ""de"", ""en"")"),"promised")</f>
        <v>promised</v>
      </c>
    </row>
    <row r="36274">
      <c r="A36274" s="1" t="s">
        <v>36273</v>
      </c>
      <c r="B36274" s="2" t="str">
        <f>IFERROR(__xludf.DUMMYFUNCTION("GOOGLETRANSLATE(A36274, ""de"", ""en"")"),"bishops")</f>
        <v>bishops</v>
      </c>
    </row>
    <row r="36275">
      <c r="A36275" s="1" t="s">
        <v>36274</v>
      </c>
      <c r="B36275" s="2" t="str">
        <f>IFERROR(__xludf.DUMMYFUNCTION("GOOGLETRANSLATE(A36275, ""de"", ""en"")"),"gut")</f>
        <v>gut</v>
      </c>
    </row>
    <row r="36276">
      <c r="A36276" s="1" t="s">
        <v>36275</v>
      </c>
      <c r="B36276" s="2" t="str">
        <f>IFERROR(__xludf.DUMMYFUNCTION("GOOGLETRANSLATE(A36276, ""de"", ""en"")"),"Athena")</f>
        <v>Athena</v>
      </c>
    </row>
    <row r="36277">
      <c r="A36277" s="1" t="s">
        <v>36276</v>
      </c>
      <c r="B36277" s="2" t="str">
        <f>IFERROR(__xludf.DUMMYFUNCTION("GOOGLETRANSLATE(A36277, ""de"", ""en"")"),"moos")</f>
        <v>moos</v>
      </c>
    </row>
    <row r="36278">
      <c r="A36278" s="1" t="s">
        <v>36277</v>
      </c>
      <c r="B36278" s="2" t="str">
        <f>IFERROR(__xludf.DUMMYFUNCTION("GOOGLETRANSLATE(A36278, ""de"", ""en"")"),"patrol")</f>
        <v>patrol</v>
      </c>
    </row>
    <row r="36279">
      <c r="A36279" s="1" t="s">
        <v>36278</v>
      </c>
      <c r="B36279" s="2" t="str">
        <f>IFERROR(__xludf.DUMMYFUNCTION("GOOGLETRANSLATE(A36279, ""de"", ""en"")"),"Mandrake")</f>
        <v>Mandrake</v>
      </c>
    </row>
    <row r="36280">
      <c r="A36280" s="1" t="s">
        <v>36279</v>
      </c>
      <c r="B36280" s="2" t="str">
        <f>IFERROR(__xludf.DUMMYFUNCTION("GOOGLETRANSLATE(A36280, ""de"", ""en"")"),"fighters")</f>
        <v>fighters</v>
      </c>
    </row>
    <row r="36281">
      <c r="A36281" s="1" t="s">
        <v>36280</v>
      </c>
      <c r="B36281" s="2" t="str">
        <f>IFERROR(__xludf.DUMMYFUNCTION("GOOGLETRANSLATE(A36281, ""de"", ""en"")"),"guapo")</f>
        <v>guapo</v>
      </c>
    </row>
    <row r="36282">
      <c r="A36282" s="1" t="s">
        <v>36281</v>
      </c>
      <c r="B36282" s="2" t="str">
        <f>IFERROR(__xludf.DUMMYFUNCTION("GOOGLETRANSLATE(A36282, ""de"", ""en"")"),"lived together")</f>
        <v>lived together</v>
      </c>
    </row>
    <row r="36283">
      <c r="A36283" s="1" t="s">
        <v>36282</v>
      </c>
      <c r="B36283" s="2" t="str">
        <f>IFERROR(__xludf.DUMMYFUNCTION("GOOGLETRANSLATE(A36283, ""de"", ""en"")"),"hourly")</f>
        <v>hourly</v>
      </c>
    </row>
    <row r="36284">
      <c r="A36284" s="1" t="s">
        <v>36283</v>
      </c>
      <c r="B36284" s="2" t="str">
        <f>IFERROR(__xludf.DUMMYFUNCTION("GOOGLETRANSLATE(A36284, ""de"", ""en"")"),"spiritual")</f>
        <v>spiritual</v>
      </c>
    </row>
    <row r="36285">
      <c r="A36285" s="1" t="s">
        <v>36284</v>
      </c>
      <c r="B36285" s="2" t="str">
        <f>IFERROR(__xludf.DUMMYFUNCTION("GOOGLETRANSLATE(A36285, ""de"", ""en"")"),"daggers")</f>
        <v>daggers</v>
      </c>
    </row>
    <row r="36286">
      <c r="A36286" s="1" t="s">
        <v>36285</v>
      </c>
      <c r="B36286" s="2" t="str">
        <f>IFERROR(__xludf.DUMMYFUNCTION("GOOGLETRANSLATE(A36286, ""de"", ""en"")"),"garden")</f>
        <v>garden</v>
      </c>
    </row>
    <row r="36287">
      <c r="A36287" s="1" t="s">
        <v>36286</v>
      </c>
      <c r="B36287" s="2" t="str">
        <f>IFERROR(__xludf.DUMMYFUNCTION("GOOGLETRANSLATE(A36287, ""de"", ""en"")"),"course")</f>
        <v>course</v>
      </c>
    </row>
    <row r="36288">
      <c r="A36288" s="1" t="s">
        <v>36287</v>
      </c>
      <c r="B36288" s="2" t="str">
        <f>IFERROR(__xludf.DUMMYFUNCTION("GOOGLETRANSLATE(A36288, ""de"", ""en"")"),"decrease")</f>
        <v>decrease</v>
      </c>
    </row>
    <row r="36289">
      <c r="A36289" s="1" t="s">
        <v>36288</v>
      </c>
      <c r="B36289" s="2" t="str">
        <f>IFERROR(__xludf.DUMMYFUNCTION("GOOGLETRANSLATE(A36289, ""de"", ""en"")"),"final")</f>
        <v>final</v>
      </c>
    </row>
    <row r="36290">
      <c r="A36290" s="1" t="s">
        <v>36289</v>
      </c>
      <c r="B36290" s="2" t="str">
        <f>IFERROR(__xludf.DUMMYFUNCTION("GOOGLETRANSLATE(A36290, ""de"", ""en"")"),"shoes")</f>
        <v>shoes</v>
      </c>
    </row>
    <row r="36291">
      <c r="A36291" s="1" t="s">
        <v>36290</v>
      </c>
      <c r="B36291" s="2" t="str">
        <f>IFERROR(__xludf.DUMMYFUNCTION("GOOGLETRANSLATE(A36291, ""de"", ""en"")"),"behind")</f>
        <v>behind</v>
      </c>
    </row>
    <row r="36292">
      <c r="A36292" s="1" t="s">
        <v>36291</v>
      </c>
      <c r="B36292" s="2" t="str">
        <f>IFERROR(__xludf.DUMMYFUNCTION("GOOGLETRANSLATE(A36292, ""de"", ""en"")"),"stingray")</f>
        <v>stingray</v>
      </c>
    </row>
    <row r="36293">
      <c r="A36293" s="1" t="s">
        <v>36292</v>
      </c>
      <c r="B36293" s="2" t="str">
        <f>IFERROR(__xludf.DUMMYFUNCTION("GOOGLETRANSLATE(A36293, ""de"", ""en"")"),"paralyze")</f>
        <v>paralyze</v>
      </c>
    </row>
    <row r="36294">
      <c r="A36294" s="1" t="s">
        <v>36293</v>
      </c>
      <c r="B36294" s="2" t="str">
        <f>IFERROR(__xludf.DUMMYFUNCTION("GOOGLETRANSLATE(A36294, ""de"", ""en"")"),"ground")</f>
        <v>ground</v>
      </c>
    </row>
    <row r="36295">
      <c r="A36295" s="1" t="s">
        <v>36294</v>
      </c>
      <c r="B36295" s="2" t="str">
        <f>IFERROR(__xludf.DUMMYFUNCTION("GOOGLETRANSLATE(A36295, ""de"", ""en"")"),"sparrow brain")</f>
        <v>sparrow brain</v>
      </c>
    </row>
    <row r="36296">
      <c r="A36296" s="1" t="s">
        <v>36295</v>
      </c>
      <c r="B36296" s="2" t="str">
        <f>IFERROR(__xludf.DUMMYFUNCTION("GOOGLETRANSLATE(A36296, ""de"", ""en"")"),"suki")</f>
        <v>suki</v>
      </c>
    </row>
    <row r="36297">
      <c r="A36297" s="1" t="s">
        <v>36296</v>
      </c>
      <c r="B36297" s="2" t="str">
        <f>IFERROR(__xludf.DUMMYFUNCTION("GOOGLETRANSLATE(A36297, ""de"", ""en"")"),"variable")</f>
        <v>variable</v>
      </c>
    </row>
    <row r="36298">
      <c r="A36298" s="1" t="s">
        <v>36297</v>
      </c>
      <c r="B36298" s="2" t="str">
        <f>IFERROR(__xludf.DUMMYFUNCTION("GOOGLETRANSLATE(A36298, ""de"", ""en"")"),"Kristine")</f>
        <v>Kristine</v>
      </c>
    </row>
    <row r="36299">
      <c r="A36299" s="1" t="s">
        <v>36298</v>
      </c>
      <c r="B36299" s="2" t="str">
        <f>IFERROR(__xludf.DUMMYFUNCTION("GOOGLETRANSLATE(A36299, ""de"", ""en"")"),"petz")</f>
        <v>petz</v>
      </c>
    </row>
    <row r="36300">
      <c r="A36300" s="1" t="s">
        <v>36299</v>
      </c>
      <c r="B36300" s="2" t="str">
        <f>IFERROR(__xludf.DUMMYFUNCTION("GOOGLETRANSLATE(A36300, ""de"", ""en"")"),"janek")</f>
        <v>janek</v>
      </c>
    </row>
    <row r="36301">
      <c r="A36301" s="1" t="s">
        <v>36300</v>
      </c>
      <c r="B36301" s="2" t="str">
        <f>IFERROR(__xludf.DUMMYFUNCTION("GOOGLETRANSLATE(A36301, ""de"", ""en"")"),"raees")</f>
        <v>raees</v>
      </c>
    </row>
    <row r="36302">
      <c r="A36302" s="1" t="s">
        <v>36301</v>
      </c>
      <c r="B36302" s="2" t="str">
        <f>IFERROR(__xludf.DUMMYFUNCTION("GOOGLETRANSLATE(A36302, ""de"", ""en"")"),"accession")</f>
        <v>accession</v>
      </c>
    </row>
    <row r="36303">
      <c r="A36303" s="1" t="s">
        <v>36302</v>
      </c>
      <c r="B36303" s="2" t="str">
        <f>IFERROR(__xludf.DUMMYFUNCTION("GOOGLETRANSLATE(A36303, ""de"", ""en"")"),"scout")</f>
        <v>scout</v>
      </c>
    </row>
    <row r="36304">
      <c r="A36304" s="1" t="s">
        <v>36303</v>
      </c>
      <c r="B36304" s="2" t="str">
        <f>IFERROR(__xludf.DUMMYFUNCTION("GOOGLETRANSLATE(A36304, ""de"", ""en"")"),"to go away")</f>
        <v>to go away</v>
      </c>
    </row>
    <row r="36305">
      <c r="A36305" s="1" t="s">
        <v>36304</v>
      </c>
      <c r="B36305" s="2" t="str">
        <f>IFERROR(__xludf.DUMMYFUNCTION("GOOGLETRANSLATE(A36305, ""de"", ""en"")"),"documents")</f>
        <v>documents</v>
      </c>
    </row>
    <row r="36306">
      <c r="A36306" s="1" t="s">
        <v>36305</v>
      </c>
      <c r="B36306" s="2" t="str">
        <f>IFERROR(__xludf.DUMMYFUNCTION("GOOGLETRANSLATE(A36306, ""de"", ""en"")"),"returned")</f>
        <v>returned</v>
      </c>
    </row>
    <row r="36307">
      <c r="A36307" s="1" t="s">
        <v>36306</v>
      </c>
      <c r="B36307" s="2" t="str">
        <f>IFERROR(__xludf.DUMMYFUNCTION("GOOGLETRANSLATE(A36307, ""de"", ""en"")"),"play away")</f>
        <v>play away</v>
      </c>
    </row>
    <row r="36308">
      <c r="A36308" s="1" t="s">
        <v>36307</v>
      </c>
      <c r="B36308" s="2" t="str">
        <f>IFERROR(__xludf.DUMMYFUNCTION("GOOGLETRANSLATE(A36308, ""de"", ""en"")"),"scourge")</f>
        <v>scourge</v>
      </c>
    </row>
    <row r="36309">
      <c r="A36309" s="1" t="s">
        <v>36308</v>
      </c>
      <c r="B36309" s="2" t="str">
        <f>IFERROR(__xludf.DUMMYFUNCTION("GOOGLETRANSLATE(A36309, ""de"", ""en"")"),"oda")</f>
        <v>oda</v>
      </c>
    </row>
    <row r="36310">
      <c r="A36310" s="1" t="s">
        <v>36309</v>
      </c>
      <c r="B36310" s="2" t="str">
        <f>IFERROR(__xludf.DUMMYFUNCTION("GOOGLETRANSLATE(A36310, ""de"", ""en"")"),"mongoose")</f>
        <v>mongoose</v>
      </c>
    </row>
    <row r="36311">
      <c r="A36311" s="1" t="s">
        <v>36310</v>
      </c>
      <c r="B36311" s="2" t="str">
        <f>IFERROR(__xludf.DUMMYFUNCTION("GOOGLETRANSLATE(A36311, ""de"", ""en"")"),"arrogant")</f>
        <v>arrogant</v>
      </c>
    </row>
    <row r="36312">
      <c r="A36312" s="1" t="s">
        <v>36311</v>
      </c>
      <c r="B36312" s="2" t="str">
        <f>IFERROR(__xludf.DUMMYFUNCTION("GOOGLETRANSLATE(A36312, ""de"", ""en"")"),"separate")</f>
        <v>separate</v>
      </c>
    </row>
    <row r="36313">
      <c r="A36313" s="1" t="s">
        <v>36312</v>
      </c>
      <c r="B36313" s="2" t="str">
        <f>IFERROR(__xludf.DUMMYFUNCTION("GOOGLETRANSLATE(A36313, ""de"", ""en"")"),"starts")</f>
        <v>starts</v>
      </c>
    </row>
    <row r="36314">
      <c r="A36314" s="1" t="s">
        <v>36313</v>
      </c>
      <c r="B36314" s="2" t="str">
        <f>IFERROR(__xludf.DUMMYFUNCTION("GOOGLETRANSLATE(A36314, ""de"", ""en"")"),"record")</f>
        <v>record</v>
      </c>
    </row>
    <row r="36315">
      <c r="A36315" s="1" t="s">
        <v>36314</v>
      </c>
      <c r="B36315" s="2" t="str">
        <f>IFERROR(__xludf.DUMMYFUNCTION("GOOGLETRANSLATE(A36315, ""de"", ""en"")"),"twisted")</f>
        <v>twisted</v>
      </c>
    </row>
    <row r="36316">
      <c r="A36316" s="1" t="s">
        <v>36315</v>
      </c>
      <c r="B36316" s="2" t="str">
        <f>IFERROR(__xludf.DUMMYFUNCTION("GOOGLETRANSLATE(A36316, ""de"", ""en"")"),"reef")</f>
        <v>reef</v>
      </c>
    </row>
    <row r="36317">
      <c r="A36317" s="1" t="s">
        <v>36316</v>
      </c>
      <c r="B36317" s="2" t="str">
        <f>IFERROR(__xludf.DUMMYFUNCTION("GOOGLETRANSLATE(A36317, ""de"", ""en"")"),"war crimes")</f>
        <v>war crimes</v>
      </c>
    </row>
    <row r="36318">
      <c r="A36318" s="1" t="s">
        <v>36317</v>
      </c>
      <c r="B36318" s="2" t="str">
        <f>IFERROR(__xludf.DUMMYFUNCTION("GOOGLETRANSLATE(A36318, ""de"", ""en"")"),"homepage")</f>
        <v>homepage</v>
      </c>
    </row>
    <row r="36319">
      <c r="A36319" s="1" t="s">
        <v>36318</v>
      </c>
      <c r="B36319" s="2" t="str">
        <f>IFERROR(__xludf.DUMMYFUNCTION("GOOGLETRANSLATE(A36319, ""de"", ""en"")"),"platoon")</f>
        <v>platoon</v>
      </c>
    </row>
    <row r="36320">
      <c r="A36320" s="1" t="s">
        <v>36319</v>
      </c>
      <c r="B36320" s="2" t="str">
        <f>IFERROR(__xludf.DUMMYFUNCTION("GOOGLETRANSLATE(A36320, ""de"", ""en"")"),"bachelor")</f>
        <v>bachelor</v>
      </c>
    </row>
    <row r="36321">
      <c r="A36321" s="1" t="s">
        <v>36320</v>
      </c>
      <c r="B36321" s="2" t="str">
        <f>IFERROR(__xludf.DUMMYFUNCTION("GOOGLETRANSLATE(A36321, ""de"", ""en"")"),"thrash around")</f>
        <v>thrash around</v>
      </c>
    </row>
    <row r="36322">
      <c r="A36322" s="1" t="s">
        <v>36321</v>
      </c>
      <c r="B36322" s="2" t="str">
        <f>IFERROR(__xludf.DUMMYFUNCTION("GOOGLETRANSLATE(A36322, ""de"", ""en"")"),"5 times")</f>
        <v>5 times</v>
      </c>
    </row>
    <row r="36323">
      <c r="A36323" s="1" t="s">
        <v>36322</v>
      </c>
      <c r="B36323" s="2" t="str">
        <f>IFERROR(__xludf.DUMMYFUNCTION("GOOGLETRANSLATE(A36323, ""de"", ""en"")"),"playful")</f>
        <v>playful</v>
      </c>
    </row>
    <row r="36324">
      <c r="A36324" s="1" t="s">
        <v>36323</v>
      </c>
      <c r="B36324" s="2" t="str">
        <f>IFERROR(__xludf.DUMMYFUNCTION("GOOGLETRANSLATE(A36324, ""de"", ""en"")"),"bravest")</f>
        <v>bravest</v>
      </c>
    </row>
    <row r="36325">
      <c r="A36325" s="1" t="s">
        <v>36324</v>
      </c>
      <c r="B36325" s="2" t="str">
        <f>IFERROR(__xludf.DUMMYFUNCTION("GOOGLETRANSLATE(A36325, ""de"", ""en"")"),"more critical")</f>
        <v>more critical</v>
      </c>
    </row>
    <row r="36326">
      <c r="A36326" s="1" t="s">
        <v>36325</v>
      </c>
      <c r="B36326" s="2" t="str">
        <f>IFERROR(__xludf.DUMMYFUNCTION("GOOGLETRANSLATE(A36326, ""de"", ""en"")"),"blowjobs")</f>
        <v>blowjobs</v>
      </c>
    </row>
    <row r="36327">
      <c r="A36327" s="1" t="s">
        <v>36326</v>
      </c>
      <c r="B36327" s="2" t="str">
        <f>IFERROR(__xludf.DUMMYFUNCTION("GOOGLETRANSLATE(A36327, ""de"", ""en"")"),"press on it")</f>
        <v>press on it</v>
      </c>
    </row>
    <row r="36328">
      <c r="A36328" s="1" t="s">
        <v>36327</v>
      </c>
      <c r="B36328" s="2" t="str">
        <f>IFERROR(__xludf.DUMMYFUNCTION("GOOGLETRANSLATE(A36328, ""de"", ""en"")"),"inquisitor")</f>
        <v>inquisitor</v>
      </c>
    </row>
    <row r="36329">
      <c r="A36329" s="1" t="s">
        <v>36328</v>
      </c>
      <c r="B36329" s="2" t="str">
        <f>IFERROR(__xludf.DUMMYFUNCTION("GOOGLETRANSLATE(A36329, ""de"", ""en"")"),"repeated")</f>
        <v>repeated</v>
      </c>
    </row>
    <row r="36330">
      <c r="A36330" s="1" t="s">
        <v>36329</v>
      </c>
      <c r="B36330" s="2" t="str">
        <f>IFERROR(__xludf.DUMMYFUNCTION("GOOGLETRANSLATE(A36330, ""de"", ""en"")"),"requiem")</f>
        <v>requiem</v>
      </c>
    </row>
    <row r="36331">
      <c r="A36331" s="1" t="s">
        <v>36330</v>
      </c>
      <c r="B36331" s="2" t="str">
        <f>IFERROR(__xludf.DUMMYFUNCTION("GOOGLETRANSLATE(A36331, ""de"", ""en"")"),"Fordwick")</f>
        <v>Fordwick</v>
      </c>
    </row>
    <row r="36332">
      <c r="A36332" s="1" t="s">
        <v>36331</v>
      </c>
      <c r="B36332" s="2" t="str">
        <f>IFERROR(__xludf.DUMMYFUNCTION("GOOGLETRANSLATE(A36332, ""de"", ""en"")"),"gallbladder")</f>
        <v>gallbladder</v>
      </c>
    </row>
    <row r="36333">
      <c r="A36333" s="1" t="s">
        <v>36332</v>
      </c>
      <c r="B36333" s="2" t="str">
        <f>IFERROR(__xludf.DUMMYFUNCTION("GOOGLETRANSLATE(A36333, ""de"", ""en"")"),"spectacular")</f>
        <v>spectacular</v>
      </c>
    </row>
    <row r="36334">
      <c r="A36334" s="1" t="s">
        <v>36333</v>
      </c>
      <c r="B36334" s="2" t="str">
        <f>IFERROR(__xludf.DUMMYFUNCTION("GOOGLETRANSLATE(A36334, ""de"", ""en"")"),"deluge")</f>
        <v>deluge</v>
      </c>
    </row>
    <row r="36335">
      <c r="A36335" s="1" t="s">
        <v>36334</v>
      </c>
      <c r="B36335" s="2" t="str">
        <f>IFERROR(__xludf.DUMMYFUNCTION("GOOGLETRANSLATE(A36335, ""de"", ""en"")"),"touchdowns")</f>
        <v>touchdowns</v>
      </c>
    </row>
    <row r="36336">
      <c r="A36336" s="1" t="s">
        <v>36335</v>
      </c>
      <c r="B36336" s="2" t="str">
        <f>IFERROR(__xludf.DUMMYFUNCTION("GOOGLETRANSLATE(A36336, ""de"", ""en"")"),"freak show")</f>
        <v>freak show</v>
      </c>
    </row>
    <row r="36337">
      <c r="A36337" s="1" t="s">
        <v>36336</v>
      </c>
      <c r="B36337" s="2" t="str">
        <f>IFERROR(__xludf.DUMMYFUNCTION("GOOGLETRANSLATE(A36337, ""de"", ""en"")"),"suddenly")</f>
        <v>suddenly</v>
      </c>
    </row>
    <row r="36338">
      <c r="A36338" s="1" t="s">
        <v>36337</v>
      </c>
      <c r="B36338" s="2" t="str">
        <f>IFERROR(__xludf.DUMMYFUNCTION("GOOGLETRANSLATE(A36338, ""de"", ""en"")"),"will")</f>
        <v>will</v>
      </c>
    </row>
    <row r="36339">
      <c r="A36339" s="1" t="s">
        <v>36338</v>
      </c>
      <c r="B36339" s="2" t="str">
        <f>IFERROR(__xludf.DUMMYFUNCTION("GOOGLETRANSLATE(A36339, ""de"", ""en"")"),"aldous")</f>
        <v>aldous</v>
      </c>
    </row>
    <row r="36340">
      <c r="A36340" s="1" t="s">
        <v>36339</v>
      </c>
      <c r="B36340" s="2" t="str">
        <f>IFERROR(__xludf.DUMMYFUNCTION("GOOGLETRANSLATE(A36340, ""de"", ""en"")"),"research laboratory")</f>
        <v>research laboratory</v>
      </c>
    </row>
    <row r="36341">
      <c r="A36341" s="1" t="s">
        <v>36340</v>
      </c>
      <c r="B36341" s="2" t="str">
        <f>IFERROR(__xludf.DUMMYFUNCTION("GOOGLETRANSLATE(A36341, ""de"", ""en"")"),"export")</f>
        <v>export</v>
      </c>
    </row>
    <row r="36342">
      <c r="A36342" s="1" t="s">
        <v>36341</v>
      </c>
      <c r="B36342" s="2" t="str">
        <f>IFERROR(__xludf.DUMMYFUNCTION("GOOGLETRANSLATE(A36342, ""de"", ""en"")"),"banished")</f>
        <v>banished</v>
      </c>
    </row>
    <row r="36343">
      <c r="A36343" s="1" t="s">
        <v>36342</v>
      </c>
      <c r="B36343" s="2" t="str">
        <f>IFERROR(__xludf.DUMMYFUNCTION("GOOGLETRANSLATE(A36343, ""de"", ""en"")"),"royals")</f>
        <v>royals</v>
      </c>
    </row>
    <row r="36344">
      <c r="A36344" s="1" t="s">
        <v>36343</v>
      </c>
      <c r="B36344" s="2" t="str">
        <f>IFERROR(__xludf.DUMMYFUNCTION("GOOGLETRANSLATE(A36344, ""de"", ""en"")"),"valentines")</f>
        <v>valentines</v>
      </c>
    </row>
    <row r="36345">
      <c r="A36345" s="1" t="s">
        <v>36344</v>
      </c>
      <c r="B36345" s="2" t="str">
        <f>IFERROR(__xludf.DUMMYFUNCTION("GOOGLETRANSLATE(A36345, ""de"", ""en"")"),"easter bunny")</f>
        <v>easter bunny</v>
      </c>
    </row>
    <row r="36346">
      <c r="A36346" s="1" t="s">
        <v>36345</v>
      </c>
      <c r="B36346" s="2" t="str">
        <f>IFERROR(__xludf.DUMMYFUNCTION("GOOGLETRANSLATE(A36346, ""de"", ""en"")"),"mead")</f>
        <v>mead</v>
      </c>
    </row>
    <row r="36347">
      <c r="A36347" s="1" t="s">
        <v>36346</v>
      </c>
      <c r="B36347" s="2" t="str">
        <f>IFERROR(__xludf.DUMMYFUNCTION("GOOGLETRANSLATE(A36347, ""de"", ""en"")"),"col")</f>
        <v>col</v>
      </c>
    </row>
    <row r="36348">
      <c r="A36348" s="1" t="s">
        <v>36347</v>
      </c>
      <c r="B36348" s="2" t="str">
        <f>IFERROR(__xludf.DUMMYFUNCTION("GOOGLETRANSLATE(A36348, ""de"", ""en"")"),"more hardworking")</f>
        <v>more hardworking</v>
      </c>
    </row>
    <row r="36349">
      <c r="A36349" s="1" t="s">
        <v>36348</v>
      </c>
      <c r="B36349" s="2" t="str">
        <f>IFERROR(__xludf.DUMMYFUNCTION("GOOGLETRANSLATE(A36349, ""de"", ""en"")"),"popularity")</f>
        <v>popularity</v>
      </c>
    </row>
    <row r="36350">
      <c r="A36350" s="1" t="s">
        <v>36349</v>
      </c>
      <c r="B36350" s="2" t="str">
        <f>IFERROR(__xludf.DUMMYFUNCTION("GOOGLETRANSLATE(A36350, ""de"", ""en"")"),"chipping")</f>
        <v>chipping</v>
      </c>
    </row>
    <row r="36351">
      <c r="A36351" s="1" t="s">
        <v>36350</v>
      </c>
      <c r="B36351" s="2" t="str">
        <f>IFERROR(__xludf.DUMMYFUNCTION("GOOGLETRANSLATE(A36351, ""de"", ""en"")"),"emigrate")</f>
        <v>emigrate</v>
      </c>
    </row>
    <row r="36352">
      <c r="A36352" s="1" t="s">
        <v>36351</v>
      </c>
      <c r="B36352" s="2" t="str">
        <f>IFERROR(__xludf.DUMMYFUNCTION("GOOGLETRANSLATE(A36352, ""de"", ""en"")"),"resoundingly")</f>
        <v>resoundingly</v>
      </c>
    </row>
    <row r="36353">
      <c r="A36353" s="1" t="s">
        <v>36352</v>
      </c>
      <c r="B36353" s="2" t="str">
        <f>IFERROR(__xludf.DUMMYFUNCTION("GOOGLETRANSLATE(A36353, ""de"", ""en"")"),"night's rest")</f>
        <v>night's rest</v>
      </c>
    </row>
    <row r="36354">
      <c r="A36354" s="1" t="s">
        <v>36353</v>
      </c>
      <c r="B36354" s="2" t="str">
        <f>IFERROR(__xludf.DUMMYFUNCTION("GOOGLETRANSLATE(A36354, ""de"", ""en"")"),"assisted")</f>
        <v>assisted</v>
      </c>
    </row>
    <row r="36355">
      <c r="A36355" s="1" t="s">
        <v>36354</v>
      </c>
      <c r="B36355" s="2" t="str">
        <f>IFERROR(__xludf.DUMMYFUNCTION("GOOGLETRANSLATE(A36355, ""de"", ""en"")"),"row")</f>
        <v>row</v>
      </c>
    </row>
    <row r="36356">
      <c r="A36356" s="1" t="s">
        <v>36355</v>
      </c>
      <c r="B36356" s="2" t="str">
        <f>IFERROR(__xludf.DUMMYFUNCTION("GOOGLETRANSLATE(A36356, ""de"", ""en"")"),"association")</f>
        <v>association</v>
      </c>
    </row>
    <row r="36357">
      <c r="A36357" s="1" t="s">
        <v>36356</v>
      </c>
      <c r="B36357" s="2" t="str">
        <f>IFERROR(__xludf.DUMMYFUNCTION("GOOGLETRANSLATE(A36357, ""de"", ""en"")"),"egghead")</f>
        <v>egghead</v>
      </c>
    </row>
    <row r="36358">
      <c r="A36358" s="1" t="s">
        <v>36357</v>
      </c>
      <c r="B36358" s="2" t="str">
        <f>IFERROR(__xludf.DUMMYFUNCTION("GOOGLETRANSLATE(A36358, ""de"", ""en"")"),"snitch")</f>
        <v>snitch</v>
      </c>
    </row>
    <row r="36359">
      <c r="A36359" s="1" t="s">
        <v>36358</v>
      </c>
      <c r="B36359" s="2" t="str">
        <f>IFERROR(__xludf.DUMMYFUNCTION("GOOGLETRANSLATE(A36359, ""de"", ""en"")"),"warriors")</f>
        <v>warriors</v>
      </c>
    </row>
    <row r="36360">
      <c r="A36360" s="1" t="s">
        <v>36359</v>
      </c>
      <c r="B36360" s="2" t="str">
        <f>IFERROR(__xludf.DUMMYFUNCTION("GOOGLETRANSLATE(A36360, ""de"", ""en"")"),"unofficial")</f>
        <v>unofficial</v>
      </c>
    </row>
    <row r="36361">
      <c r="A36361" s="1" t="s">
        <v>36360</v>
      </c>
      <c r="B36361" s="2" t="str">
        <f>IFERROR(__xludf.DUMMYFUNCTION("GOOGLETRANSLATE(A36361, ""de"", ""en"")"),"shaved")</f>
        <v>shaved</v>
      </c>
    </row>
    <row r="36362">
      <c r="A36362" s="1" t="s">
        <v>36361</v>
      </c>
      <c r="B36362" s="2" t="str">
        <f>IFERROR(__xludf.DUMMYFUNCTION("GOOGLETRANSLATE(A36362, ""de"", ""en"")"),"coliseum")</f>
        <v>coliseum</v>
      </c>
    </row>
    <row r="36363">
      <c r="A36363" s="1" t="s">
        <v>36362</v>
      </c>
      <c r="B36363" s="2" t="str">
        <f>IFERROR(__xludf.DUMMYFUNCTION("GOOGLETRANSLATE(A36363, ""de"", ""en"")"),"facing")</f>
        <v>facing</v>
      </c>
    </row>
    <row r="36364">
      <c r="A36364" s="1" t="s">
        <v>36363</v>
      </c>
      <c r="B36364" s="2" t="str">
        <f>IFERROR(__xludf.DUMMYFUNCTION("GOOGLETRANSLATE(A36364, ""de"", ""en"")"),"outstanding")</f>
        <v>outstanding</v>
      </c>
    </row>
    <row r="36365">
      <c r="A36365" s="1" t="s">
        <v>36364</v>
      </c>
      <c r="B36365" s="2" t="str">
        <f>IFERROR(__xludf.DUMMYFUNCTION("GOOGLETRANSLATE(A36365, ""de"", ""en"")"),"tranquilizer gun")</f>
        <v>tranquilizer gun</v>
      </c>
    </row>
    <row r="36366">
      <c r="A36366" s="1" t="s">
        <v>36365</v>
      </c>
      <c r="B36366" s="2" t="str">
        <f>IFERROR(__xludf.DUMMYFUNCTION("GOOGLETRANSLATE(A36366, ""de"", ""en"")"),"lotti")</f>
        <v>lotti</v>
      </c>
    </row>
    <row r="36367">
      <c r="A36367" s="1" t="s">
        <v>36366</v>
      </c>
      <c r="B36367" s="2" t="str">
        <f>IFERROR(__xludf.DUMMYFUNCTION("GOOGLETRANSLATE(A36367, ""de"", ""en"")"),"approached")</f>
        <v>approached</v>
      </c>
    </row>
    <row r="36368">
      <c r="A36368" s="1" t="s">
        <v>36367</v>
      </c>
      <c r="B36368" s="2" t="str">
        <f>IFERROR(__xludf.DUMMYFUNCTION("GOOGLETRANSLATE(A36368, ""de"", ""en"")"),"favorite dish")</f>
        <v>favorite dish</v>
      </c>
    </row>
    <row r="36369">
      <c r="A36369" s="1" t="s">
        <v>36368</v>
      </c>
      <c r="B36369" s="2" t="str">
        <f>IFERROR(__xludf.DUMMYFUNCTION("GOOGLETRANSLATE(A36369, ""de"", ""en"")"),"recruiter")</f>
        <v>recruiter</v>
      </c>
    </row>
    <row r="36370">
      <c r="A36370" s="1" t="s">
        <v>36369</v>
      </c>
      <c r="B36370" s="2" t="str">
        <f>IFERROR(__xludf.DUMMYFUNCTION("GOOGLETRANSLATE(A36370, ""de"", ""en"")"),"nd")</f>
        <v>nd</v>
      </c>
    </row>
    <row r="36371">
      <c r="A36371" s="1" t="s">
        <v>36370</v>
      </c>
      <c r="B36371" s="2" t="str">
        <f>IFERROR(__xludf.DUMMYFUNCTION("GOOGLETRANSLATE(A36371, ""de"", ""en"")"),"long-standing")</f>
        <v>long-standing</v>
      </c>
    </row>
    <row r="36372">
      <c r="A36372" s="1" t="s">
        <v>36371</v>
      </c>
      <c r="B36372" s="2" t="str">
        <f>IFERROR(__xludf.DUMMYFUNCTION("GOOGLETRANSLATE(A36372, ""de"", ""en"")"),"car ride")</f>
        <v>car ride</v>
      </c>
    </row>
    <row r="36373">
      <c r="A36373" s="1" t="s">
        <v>36372</v>
      </c>
      <c r="B36373" s="2" t="str">
        <f>IFERROR(__xludf.DUMMYFUNCTION("GOOGLETRANSLATE(A36373, ""de"", ""en"")"),"continents")</f>
        <v>continents</v>
      </c>
    </row>
    <row r="36374">
      <c r="A36374" s="1" t="s">
        <v>36373</v>
      </c>
      <c r="B36374" s="2" t="str">
        <f>IFERROR(__xludf.DUMMYFUNCTION("GOOGLETRANSLATE(A36374, ""de"", ""en"")"),"spat")</f>
        <v>spat</v>
      </c>
    </row>
    <row r="36375">
      <c r="A36375" s="1" t="s">
        <v>36374</v>
      </c>
      <c r="B36375" s="2" t="str">
        <f>IFERROR(__xludf.DUMMYFUNCTION("GOOGLETRANSLATE(A36375, ""de"", ""en"")"),"darned")</f>
        <v>darned</v>
      </c>
    </row>
    <row r="36376">
      <c r="A36376" s="1" t="s">
        <v>36375</v>
      </c>
      <c r="B36376" s="2" t="str">
        <f>IFERROR(__xludf.DUMMYFUNCTION("GOOGLETRANSLATE(A36376, ""de"", ""en"")"),"smartphone")</f>
        <v>smartphone</v>
      </c>
    </row>
    <row r="36377">
      <c r="A36377" s="1" t="s">
        <v>36376</v>
      </c>
      <c r="B36377" s="2" t="str">
        <f>IFERROR(__xludf.DUMMYFUNCTION("GOOGLETRANSLATE(A36377, ""de"", ""en"")"),"main building")</f>
        <v>main building</v>
      </c>
    </row>
    <row r="36378">
      <c r="A36378" s="1" t="s">
        <v>36377</v>
      </c>
      <c r="B36378" s="2" t="str">
        <f>IFERROR(__xludf.DUMMYFUNCTION("GOOGLETRANSLATE(A36378, ""de"", ""en"")"),"fitzpatrick")</f>
        <v>fitzpatrick</v>
      </c>
    </row>
    <row r="36379">
      <c r="A36379" s="1" t="s">
        <v>36378</v>
      </c>
      <c r="B36379" s="2" t="str">
        <f>IFERROR(__xludf.DUMMYFUNCTION("GOOGLETRANSLATE(A36379, ""de"", ""en"")"),"lasting")</f>
        <v>lasting</v>
      </c>
    </row>
    <row r="36380">
      <c r="A36380" s="1" t="s">
        <v>36379</v>
      </c>
      <c r="B36380" s="2" t="str">
        <f>IFERROR(__xludf.DUMMYFUNCTION("GOOGLETRANSLATE(A36380, ""de"", ""en"")"),"close")</f>
        <v>close</v>
      </c>
    </row>
    <row r="36381">
      <c r="A36381" s="1" t="s">
        <v>36380</v>
      </c>
      <c r="B36381" s="2" t="str">
        <f>IFERROR(__xludf.DUMMYFUNCTION("GOOGLETRANSLATE(A36381, ""de"", ""en"")"),"aluminum foil")</f>
        <v>aluminum foil</v>
      </c>
    </row>
    <row r="36382">
      <c r="A36382" s="1" t="s">
        <v>36381</v>
      </c>
      <c r="B36382" s="2" t="str">
        <f>IFERROR(__xludf.DUMMYFUNCTION("GOOGLETRANSLATE(A36382, ""de"", ""en"")"),"cha-cha")</f>
        <v>cha-cha</v>
      </c>
    </row>
    <row r="36383">
      <c r="A36383" s="1" t="s">
        <v>36382</v>
      </c>
      <c r="B36383" s="2" t="str">
        <f>IFERROR(__xludf.DUMMYFUNCTION("GOOGLETRANSLATE(A36383, ""de"", ""en"")"),"scan")</f>
        <v>scan</v>
      </c>
    </row>
    <row r="36384">
      <c r="A36384" s="1" t="s">
        <v>36383</v>
      </c>
      <c r="B36384" s="2" t="str">
        <f>IFERROR(__xludf.DUMMYFUNCTION("GOOGLETRANSLATE(A36384, ""de"", ""en"")"),"owners")</f>
        <v>owners</v>
      </c>
    </row>
    <row r="36385">
      <c r="A36385" s="1" t="s">
        <v>36384</v>
      </c>
      <c r="B36385" s="2" t="str">
        <f>IFERROR(__xludf.DUMMYFUNCTION("GOOGLETRANSLATE(A36385, ""de"", ""en"")"),"robbe")</f>
        <v>robbe</v>
      </c>
    </row>
    <row r="36386">
      <c r="A36386" s="1" t="s">
        <v>36385</v>
      </c>
      <c r="B36386" s="2" t="str">
        <f>IFERROR(__xludf.DUMMYFUNCTION("GOOGLETRANSLATE(A36386, ""de"", ""en"")"),"zarek")</f>
        <v>zarek</v>
      </c>
    </row>
    <row r="36387">
      <c r="A36387" s="1" t="s">
        <v>36386</v>
      </c>
      <c r="B36387" s="2" t="str">
        <f>IFERROR(__xludf.DUMMYFUNCTION("GOOGLETRANSLATE(A36387, ""de"", ""en"")"),"realist")</f>
        <v>realist</v>
      </c>
    </row>
    <row r="36388">
      <c r="A36388" s="1" t="s">
        <v>36387</v>
      </c>
      <c r="B36388" s="2" t="str">
        <f>IFERROR(__xludf.DUMMYFUNCTION("GOOGLETRANSLATE(A36388, ""de"", ""en"")"),"priest")</f>
        <v>priest</v>
      </c>
    </row>
    <row r="36389">
      <c r="A36389" s="1" t="s">
        <v>36388</v>
      </c>
      <c r="B36389" s="2" t="str">
        <f>IFERROR(__xludf.DUMMYFUNCTION("GOOGLETRANSLATE(A36389, ""de"", ""en"")"),"transfers")</f>
        <v>transfers</v>
      </c>
    </row>
    <row r="36390">
      <c r="A36390" s="1" t="s">
        <v>36389</v>
      </c>
      <c r="B36390" s="2" t="str">
        <f>IFERROR(__xludf.DUMMYFUNCTION("GOOGLETRANSLATE(A36390, ""de"", ""en"")"),"amato")</f>
        <v>amato</v>
      </c>
    </row>
    <row r="36391">
      <c r="A36391" s="1" t="s">
        <v>36390</v>
      </c>
      <c r="B36391" s="2" t="str">
        <f>IFERROR(__xludf.DUMMYFUNCTION("GOOGLETRANSLATE(A36391, ""de"", ""en"")"),"to advance")</f>
        <v>to advance</v>
      </c>
    </row>
    <row r="36392">
      <c r="A36392" s="1" t="s">
        <v>36391</v>
      </c>
      <c r="B36392" s="2" t="str">
        <f>IFERROR(__xludf.DUMMYFUNCTION("GOOGLETRANSLATE(A36392, ""de"", ""en"")"),"treadmill")</f>
        <v>treadmill</v>
      </c>
    </row>
    <row r="36393">
      <c r="A36393" s="1" t="s">
        <v>36392</v>
      </c>
      <c r="B36393" s="2" t="str">
        <f>IFERROR(__xludf.DUMMYFUNCTION("GOOGLETRANSLATE(A36393, ""de"", ""en"")"),"merciful")</f>
        <v>merciful</v>
      </c>
    </row>
    <row r="36394">
      <c r="A36394" s="1" t="s">
        <v>36393</v>
      </c>
      <c r="B36394" s="2" t="str">
        <f>IFERROR(__xludf.DUMMYFUNCTION("GOOGLETRANSLATE(A36394, ""de"", ""en"")"),"anecdote")</f>
        <v>anecdote</v>
      </c>
    </row>
    <row r="36395">
      <c r="A36395" s="1" t="s">
        <v>36394</v>
      </c>
      <c r="B36395" s="2" t="str">
        <f>IFERROR(__xludf.DUMMYFUNCTION("GOOGLETRANSLATE(A36395, ""de"", ""en"")"),"alienated")</f>
        <v>alienated</v>
      </c>
    </row>
    <row r="36396">
      <c r="A36396" s="1" t="s">
        <v>36395</v>
      </c>
      <c r="B36396" s="2" t="str">
        <f>IFERROR(__xludf.DUMMYFUNCTION("GOOGLETRANSLATE(A36396, ""de"", ""en"")"),"commonwealth")</f>
        <v>commonwealth</v>
      </c>
    </row>
    <row r="36397">
      <c r="A36397" s="1" t="s">
        <v>36396</v>
      </c>
      <c r="B36397" s="2" t="str">
        <f>IFERROR(__xludf.DUMMYFUNCTION("GOOGLETRANSLATE(A36397, ""de"", ""en"")"),"landmines")</f>
        <v>landmines</v>
      </c>
    </row>
    <row r="36398">
      <c r="A36398" s="1" t="s">
        <v>36397</v>
      </c>
      <c r="B36398" s="2" t="str">
        <f>IFERROR(__xludf.DUMMYFUNCTION("GOOGLETRANSLATE(A36398, ""de"", ""en"")"),"travolta")</f>
        <v>travolta</v>
      </c>
    </row>
    <row r="36399">
      <c r="A36399" s="1" t="s">
        <v>36398</v>
      </c>
      <c r="B36399" s="2" t="str">
        <f>IFERROR(__xludf.DUMMYFUNCTION("GOOGLETRANSLATE(A36399, ""de"", ""en"")"),"starter")</f>
        <v>starter</v>
      </c>
    </row>
    <row r="36400">
      <c r="A36400" s="1" t="s">
        <v>36399</v>
      </c>
      <c r="B36400" s="2" t="str">
        <f>IFERROR(__xludf.DUMMYFUNCTION("GOOGLETRANSLATE(A36400, ""de"", ""en"")"),"existed")</f>
        <v>existed</v>
      </c>
    </row>
    <row r="36401">
      <c r="A36401" s="1" t="s">
        <v>36400</v>
      </c>
      <c r="B36401" s="2" t="str">
        <f>IFERROR(__xludf.DUMMYFUNCTION("GOOGLETRANSLATE(A36401, ""de"", ""en"")"),"immeasurable")</f>
        <v>immeasurable</v>
      </c>
    </row>
    <row r="36402">
      <c r="A36402" s="1" t="s">
        <v>36401</v>
      </c>
      <c r="B36402" s="2" t="str">
        <f>IFERROR(__xludf.DUMMYFUNCTION("GOOGLETRANSLATE(A36402, ""de"", ""en"")"),"seat belts")</f>
        <v>seat belts</v>
      </c>
    </row>
    <row r="36403">
      <c r="A36403" s="1" t="s">
        <v>36402</v>
      </c>
      <c r="B36403" s="2" t="str">
        <f>IFERROR(__xludf.DUMMYFUNCTION("GOOGLETRANSLATE(A36403, ""de"", ""en"")"),"longmire")</f>
        <v>longmire</v>
      </c>
    </row>
    <row r="36404">
      <c r="A36404" s="1" t="s">
        <v>36403</v>
      </c>
      <c r="B36404" s="2" t="str">
        <f>IFERROR(__xludf.DUMMYFUNCTION("GOOGLETRANSLATE(A36404, ""de"", ""en"")"),"Kristi")</f>
        <v>Kristi</v>
      </c>
    </row>
    <row r="36405">
      <c r="A36405" s="1" t="s">
        <v>36404</v>
      </c>
      <c r="B36405" s="2" t="str">
        <f>IFERROR(__xludf.DUMMYFUNCTION("GOOGLETRANSLATE(A36405, ""de"", ""en"")"),"friendly")</f>
        <v>friendly</v>
      </c>
    </row>
    <row r="36406">
      <c r="A36406" s="1" t="s">
        <v>36405</v>
      </c>
      <c r="B36406" s="2" t="str">
        <f>IFERROR(__xludf.DUMMYFUNCTION("GOOGLETRANSLATE(A36406, ""de"", ""en"")"),"frieze")</f>
        <v>frieze</v>
      </c>
    </row>
    <row r="36407">
      <c r="A36407" s="1" t="s">
        <v>36406</v>
      </c>
      <c r="B36407" s="2" t="str">
        <f>IFERROR(__xludf.DUMMYFUNCTION("GOOGLETRANSLATE(A36407, ""de"", ""en"")"),"chat")</f>
        <v>chat</v>
      </c>
    </row>
    <row r="36408">
      <c r="A36408" s="1" t="s">
        <v>36407</v>
      </c>
      <c r="B36408" s="2" t="str">
        <f>IFERROR(__xludf.DUMMYFUNCTION("GOOGLETRANSLATE(A36408, ""de"", ""en"")"),"menopause")</f>
        <v>menopause</v>
      </c>
    </row>
    <row r="36409">
      <c r="A36409" s="1" t="s">
        <v>36408</v>
      </c>
      <c r="B36409" s="2" t="str">
        <f>IFERROR(__xludf.DUMMYFUNCTION("GOOGLETRANSLATE(A36409, ""de"", ""en"")"),"more northern")</f>
        <v>more northern</v>
      </c>
    </row>
    <row r="36410">
      <c r="A36410" s="1" t="s">
        <v>36409</v>
      </c>
      <c r="B36410" s="2" t="str">
        <f>IFERROR(__xludf.DUMMYFUNCTION("GOOGLETRANSLATE(A36410, ""de"", ""en"")"),"crumb")</f>
        <v>crumb</v>
      </c>
    </row>
    <row r="36411">
      <c r="A36411" s="1" t="s">
        <v>36410</v>
      </c>
      <c r="B36411" s="2" t="str">
        <f>IFERROR(__xludf.DUMMYFUNCTION("GOOGLETRANSLATE(A36411, ""de"", ""en"")"),"conjures")</f>
        <v>conjures</v>
      </c>
    </row>
    <row r="36412">
      <c r="A36412" s="1" t="s">
        <v>36411</v>
      </c>
      <c r="B36412" s="2" t="str">
        <f>IFERROR(__xludf.DUMMYFUNCTION("GOOGLETRANSLATE(A36412, ""de"", ""en"")"),"veum")</f>
        <v>veum</v>
      </c>
    </row>
    <row r="36413">
      <c r="A36413" s="1" t="s">
        <v>36412</v>
      </c>
      <c r="B36413" s="2" t="str">
        <f>IFERROR(__xludf.DUMMYFUNCTION("GOOGLETRANSLATE(A36413, ""de"", ""en"")"),"restored")</f>
        <v>restored</v>
      </c>
    </row>
    <row r="36414">
      <c r="A36414" s="1" t="s">
        <v>36413</v>
      </c>
      <c r="B36414" s="2" t="str">
        <f>IFERROR(__xludf.DUMMYFUNCTION("GOOGLETRANSLATE(A36414, ""de"", ""en"")"),"distribute")</f>
        <v>distribute</v>
      </c>
    </row>
    <row r="36415">
      <c r="A36415" s="1" t="s">
        <v>36414</v>
      </c>
      <c r="B36415" s="2" t="str">
        <f>IFERROR(__xludf.DUMMYFUNCTION("GOOGLETRANSLATE(A36415, ""de"", ""en"")"),"professional")</f>
        <v>professional</v>
      </c>
    </row>
    <row r="36416">
      <c r="A36416" s="1" t="s">
        <v>36415</v>
      </c>
      <c r="B36416" s="2" t="str">
        <f>IFERROR(__xludf.DUMMYFUNCTION("GOOGLETRANSLATE(A36416, ""de"", ""en"")"),"married couples")</f>
        <v>married couples</v>
      </c>
    </row>
    <row r="36417">
      <c r="A36417" s="1" t="s">
        <v>36416</v>
      </c>
      <c r="B36417" s="2" t="str">
        <f>IFERROR(__xludf.DUMMYFUNCTION("GOOGLETRANSLATE(A36417, ""de"", ""en"")"),"crossed")</f>
        <v>crossed</v>
      </c>
    </row>
    <row r="36418">
      <c r="A36418" s="1" t="s">
        <v>36417</v>
      </c>
      <c r="B36418" s="2" t="str">
        <f>IFERROR(__xludf.DUMMYFUNCTION("GOOGLETRANSLATE(A36418, ""de"", ""en"")"),"gunslingers")</f>
        <v>gunslingers</v>
      </c>
    </row>
    <row r="36419">
      <c r="A36419" s="1" t="s">
        <v>36418</v>
      </c>
      <c r="B36419" s="2" t="str">
        <f>IFERROR(__xludf.DUMMYFUNCTION("GOOGLETRANSLATE(A36419, ""de"", ""en"")"),"savings account")</f>
        <v>savings account</v>
      </c>
    </row>
    <row r="36420">
      <c r="A36420" s="1" t="s">
        <v>36419</v>
      </c>
      <c r="B36420" s="2" t="str">
        <f>IFERROR(__xludf.DUMMYFUNCTION("GOOGLETRANSLATE(A36420, ""de"", ""en"")"),"escorted")</f>
        <v>escorted</v>
      </c>
    </row>
    <row r="36421">
      <c r="A36421" s="1" t="s">
        <v>36420</v>
      </c>
      <c r="B36421" s="2" t="str">
        <f>IFERROR(__xludf.DUMMYFUNCTION("GOOGLETRANSLATE(A36421, ""de"", ""en"")"),"falling")</f>
        <v>falling</v>
      </c>
    </row>
    <row r="36422">
      <c r="A36422" s="1" t="s">
        <v>36421</v>
      </c>
      <c r="B36422" s="2" t="str">
        <f>IFERROR(__xludf.DUMMYFUNCTION("GOOGLETRANSLATE(A36422, ""de"", ""en"")"),"vietnam war")</f>
        <v>vietnam war</v>
      </c>
    </row>
    <row r="36423">
      <c r="A36423" s="1" t="s">
        <v>36422</v>
      </c>
      <c r="B36423" s="2" t="str">
        <f>IFERROR(__xludf.DUMMYFUNCTION("GOOGLETRANSLATE(A36423, ""de"", ""en"")"),"unlimited")</f>
        <v>unlimited</v>
      </c>
    </row>
    <row r="36424">
      <c r="A36424" s="1" t="s">
        <v>36423</v>
      </c>
      <c r="B36424" s="2" t="str">
        <f>IFERROR(__xludf.DUMMYFUNCTION("GOOGLETRANSLATE(A36424, ""de"", ""en"")"),"distances")</f>
        <v>distances</v>
      </c>
    </row>
    <row r="36425">
      <c r="A36425" s="1" t="s">
        <v>36424</v>
      </c>
      <c r="B36425" s="2" t="str">
        <f>IFERROR(__xludf.DUMMYFUNCTION("GOOGLETRANSLATE(A36425, ""de"", ""en"")"),"heartbreaker")</f>
        <v>heartbreaker</v>
      </c>
    </row>
    <row r="36426">
      <c r="A36426" s="1" t="s">
        <v>36425</v>
      </c>
      <c r="B36426" s="2" t="str">
        <f>IFERROR(__xludf.DUMMYFUNCTION("GOOGLETRANSLATE(A36426, ""de"", ""en"")"),"to record")</f>
        <v>to record</v>
      </c>
    </row>
    <row r="36427">
      <c r="A36427" s="1" t="s">
        <v>36426</v>
      </c>
      <c r="B36427" s="2" t="str">
        <f>IFERROR(__xludf.DUMMYFUNCTION("GOOGLETRANSLATE(A36427, ""de"", ""en"")"),"mumps")</f>
        <v>mumps</v>
      </c>
    </row>
    <row r="36428">
      <c r="A36428" s="1" t="s">
        <v>36427</v>
      </c>
      <c r="B36428" s="2" t="str">
        <f>IFERROR(__xludf.DUMMYFUNCTION("GOOGLETRANSLATE(A36428, ""de"", ""en"")"),"papa")</f>
        <v>papa</v>
      </c>
    </row>
    <row r="36429">
      <c r="A36429" s="1" t="s">
        <v>36428</v>
      </c>
      <c r="B36429" s="2" t="str">
        <f>IFERROR(__xludf.DUMMYFUNCTION("GOOGLETRANSLATE(A36429, ""de"", ""en"")"),"spinal")</f>
        <v>spinal</v>
      </c>
    </row>
    <row r="36430">
      <c r="A36430" s="1" t="s">
        <v>36429</v>
      </c>
      <c r="B36430" s="2" t="str">
        <f>IFERROR(__xludf.DUMMYFUNCTION("GOOGLETRANSLATE(A36430, ""de"", ""en"")"),"comrades-in-arms")</f>
        <v>comrades-in-arms</v>
      </c>
    </row>
    <row r="36431">
      <c r="A36431" s="1" t="s">
        <v>36430</v>
      </c>
      <c r="B36431" s="2" t="str">
        <f>IFERROR(__xludf.DUMMYFUNCTION("GOOGLETRANSLATE(A36431, ""de"", ""en"")"),"stickers")</f>
        <v>stickers</v>
      </c>
    </row>
    <row r="36432">
      <c r="A36432" s="1" t="s">
        <v>36431</v>
      </c>
      <c r="B36432" s="2" t="str">
        <f>IFERROR(__xludf.DUMMYFUNCTION("GOOGLETRANSLATE(A36432, ""de"", ""en"")"),"conchita")</f>
        <v>conchita</v>
      </c>
    </row>
    <row r="36433">
      <c r="A36433" s="1" t="s">
        <v>36432</v>
      </c>
      <c r="B36433" s="2" t="str">
        <f>IFERROR(__xludf.DUMMYFUNCTION("GOOGLETRANSLATE(A36433, ""de"", ""en"")"),"pet")</f>
        <v>pet</v>
      </c>
    </row>
    <row r="36434">
      <c r="A36434" s="1" t="s">
        <v>36433</v>
      </c>
      <c r="B36434" s="2" t="str">
        <f>IFERROR(__xludf.DUMMYFUNCTION("GOOGLETRANSLATE(A36434, ""de"", ""en"")"),"planted")</f>
        <v>planted</v>
      </c>
    </row>
    <row r="36435">
      <c r="A36435" s="1" t="s">
        <v>36434</v>
      </c>
      <c r="B36435" s="2" t="str">
        <f>IFERROR(__xludf.DUMMYFUNCTION("GOOGLETRANSLATE(A36435, ""de"", ""en"")"),"atones")</f>
        <v>atones</v>
      </c>
    </row>
    <row r="36436">
      <c r="A36436" s="1" t="s">
        <v>36435</v>
      </c>
      <c r="B36436" s="2" t="str">
        <f>IFERROR(__xludf.DUMMYFUNCTION("GOOGLETRANSLATE(A36436, ""de"", ""en"")"),"functioning")</f>
        <v>functioning</v>
      </c>
    </row>
    <row r="36437">
      <c r="A36437" s="1" t="s">
        <v>36436</v>
      </c>
      <c r="B36437" s="2" t="str">
        <f>IFERROR(__xludf.DUMMYFUNCTION("GOOGLETRANSLATE(A36437, ""de"", ""en"")"),"tilda")</f>
        <v>tilda</v>
      </c>
    </row>
    <row r="36438">
      <c r="A36438" s="1" t="s">
        <v>36437</v>
      </c>
      <c r="B36438" s="2" t="str">
        <f>IFERROR(__xludf.DUMMYFUNCTION("GOOGLETRANSLATE(A36438, ""de"", ""en"")"),"appease")</f>
        <v>appease</v>
      </c>
    </row>
    <row r="36439">
      <c r="A36439" s="1" t="s">
        <v>36438</v>
      </c>
      <c r="B36439" s="2" t="str">
        <f>IFERROR(__xludf.DUMMYFUNCTION("GOOGLETRANSLATE(A36439, ""de"", ""en"")"),"tran")</f>
        <v>tran</v>
      </c>
    </row>
    <row r="36440">
      <c r="A36440" s="1" t="s">
        <v>36439</v>
      </c>
      <c r="B36440" s="2" t="str">
        <f>IFERROR(__xludf.DUMMYFUNCTION("GOOGLETRANSLATE(A36440, ""de"", ""en"")"),"sensation")</f>
        <v>sensation</v>
      </c>
    </row>
    <row r="36441">
      <c r="A36441" s="1" t="s">
        <v>36440</v>
      </c>
      <c r="B36441" s="2" t="str">
        <f>IFERROR(__xludf.DUMMYFUNCTION("GOOGLETRANSLATE(A36441, ""de"", ""en"")"),"it's coming")</f>
        <v>it's coming</v>
      </c>
    </row>
    <row r="36442">
      <c r="A36442" s="1" t="s">
        <v>36441</v>
      </c>
      <c r="B36442" s="2" t="str">
        <f>IFERROR(__xludf.DUMMYFUNCTION("GOOGLETRANSLATE(A36442, ""de"", ""en"")"),"lecture")</f>
        <v>lecture</v>
      </c>
    </row>
    <row r="36443">
      <c r="A36443" s="1" t="s">
        <v>36442</v>
      </c>
      <c r="B36443" s="2" t="str">
        <f>IFERROR(__xludf.DUMMYFUNCTION("GOOGLETRANSLATE(A36443, ""de"", ""en"")"),"on sick leave")</f>
        <v>on sick leave</v>
      </c>
    </row>
    <row r="36444">
      <c r="A36444" s="1" t="s">
        <v>36443</v>
      </c>
      <c r="B36444" s="2" t="str">
        <f>IFERROR(__xludf.DUMMYFUNCTION("GOOGLETRANSLATE(A36444, ""de"", ""en"")"),"dull")</f>
        <v>dull</v>
      </c>
    </row>
    <row r="36445">
      <c r="A36445" s="1" t="s">
        <v>36444</v>
      </c>
      <c r="B36445" s="2" t="str">
        <f>IFERROR(__xludf.DUMMYFUNCTION("GOOGLETRANSLATE(A36445, ""de"", ""en"")"),"amaze")</f>
        <v>amaze</v>
      </c>
    </row>
    <row r="36446">
      <c r="A36446" s="1" t="s">
        <v>36445</v>
      </c>
      <c r="B36446" s="2" t="str">
        <f>IFERROR(__xludf.DUMMYFUNCTION("GOOGLETRANSLATE(A36446, ""de"", ""en"")"),"enchanté")</f>
        <v>enchanté</v>
      </c>
    </row>
    <row r="36447">
      <c r="A36447" s="1" t="s">
        <v>36446</v>
      </c>
      <c r="B36447" s="2" t="str">
        <f>IFERROR(__xludf.DUMMYFUNCTION("GOOGLETRANSLATE(A36447, ""de"", ""en"")"),"transform back")</f>
        <v>transform back</v>
      </c>
    </row>
    <row r="36448">
      <c r="A36448" s="1" t="s">
        <v>36447</v>
      </c>
      <c r="B36448" s="2" t="str">
        <f>IFERROR(__xludf.DUMMYFUNCTION("GOOGLETRANSLATE(A36448, ""de"", ""en"")"),"physical education")</f>
        <v>physical education</v>
      </c>
    </row>
    <row r="36449">
      <c r="A36449" s="1" t="s">
        <v>36448</v>
      </c>
      <c r="B36449" s="2" t="str">
        <f>IFERROR(__xludf.DUMMYFUNCTION("GOOGLETRANSLATE(A36449, ""de"", ""en"")"),"treacherous")</f>
        <v>treacherous</v>
      </c>
    </row>
    <row r="36450">
      <c r="A36450" s="1" t="s">
        <v>36449</v>
      </c>
      <c r="B36450" s="2" t="str">
        <f>IFERROR(__xludf.DUMMYFUNCTION("GOOGLETRANSLATE(A36450, ""de"", ""en"")"),"preserved")</f>
        <v>preserved</v>
      </c>
    </row>
    <row r="36451">
      <c r="A36451" s="1" t="s">
        <v>36450</v>
      </c>
      <c r="B36451" s="2" t="str">
        <f>IFERROR(__xludf.DUMMYFUNCTION("GOOGLETRANSLATE(A36451, ""de"", ""en"")"),"hey")</f>
        <v>hey</v>
      </c>
    </row>
    <row r="36452">
      <c r="A36452" s="1" t="s">
        <v>36451</v>
      </c>
      <c r="B36452" s="2" t="str">
        <f>IFERROR(__xludf.DUMMYFUNCTION("GOOGLETRANSLATE(A36452, ""de"", ""en"")"),"telemetry")</f>
        <v>telemetry</v>
      </c>
    </row>
    <row r="36453">
      <c r="A36453" s="1" t="s">
        <v>36452</v>
      </c>
      <c r="B36453" s="2" t="str">
        <f>IFERROR(__xludf.DUMMYFUNCTION("GOOGLETRANSLATE(A36453, ""de"", ""en"")"),"greedier")</f>
        <v>greedier</v>
      </c>
    </row>
    <row r="36454">
      <c r="A36454" s="1" t="s">
        <v>36453</v>
      </c>
      <c r="B36454" s="2" t="str">
        <f>IFERROR(__xludf.DUMMYFUNCTION("GOOGLETRANSLATE(A36454, ""de"", ""en"")"),"crying")</f>
        <v>crying</v>
      </c>
    </row>
    <row r="36455">
      <c r="A36455" s="1" t="s">
        <v>36454</v>
      </c>
      <c r="B36455" s="2" t="str">
        <f>IFERROR(__xludf.DUMMYFUNCTION("GOOGLETRANSLATE(A36455, ""de"", ""en"")"),"oh well")</f>
        <v>oh well</v>
      </c>
    </row>
    <row r="36456">
      <c r="A36456" s="1" t="s">
        <v>36455</v>
      </c>
      <c r="B36456" s="2" t="str">
        <f>IFERROR(__xludf.DUMMYFUNCTION("GOOGLETRANSLATE(A36456, ""de"", ""en"")"),"mutilation")</f>
        <v>mutilation</v>
      </c>
    </row>
    <row r="36457">
      <c r="A36457" s="1" t="s">
        <v>36456</v>
      </c>
      <c r="B36457" s="2" t="str">
        <f>IFERROR(__xludf.DUMMYFUNCTION("GOOGLETRANSLATE(A36457, ""de"", ""en"")"),"to leave out")</f>
        <v>to leave out</v>
      </c>
    </row>
    <row r="36458">
      <c r="A36458" s="1" t="s">
        <v>36457</v>
      </c>
      <c r="B36458" s="2" t="str">
        <f>IFERROR(__xludf.DUMMYFUNCTION("GOOGLETRANSLATE(A36458, ""de"", ""en"")"),"division")</f>
        <v>division</v>
      </c>
    </row>
    <row r="36459">
      <c r="A36459" s="1" t="s">
        <v>36458</v>
      </c>
      <c r="B36459" s="2" t="str">
        <f>IFERROR(__xludf.DUMMYFUNCTION("GOOGLETRANSLATE(A36459, ""de"", ""en"")"),"Beardsley")</f>
        <v>Beardsley</v>
      </c>
    </row>
    <row r="36460">
      <c r="A36460" s="1" t="s">
        <v>36459</v>
      </c>
      <c r="B36460" s="2" t="str">
        <f>IFERROR(__xludf.DUMMYFUNCTION("GOOGLETRANSLATE(A36460, ""de"", ""en"")"),"guinness")</f>
        <v>guinness</v>
      </c>
    </row>
    <row r="36461">
      <c r="A36461" s="1" t="s">
        <v>36460</v>
      </c>
      <c r="B36461" s="2" t="str">
        <f>IFERROR(__xludf.DUMMYFUNCTION("GOOGLETRANSLATE(A36461, ""de"", ""en"")"),"most beautiful")</f>
        <v>most beautiful</v>
      </c>
    </row>
    <row r="36462">
      <c r="A36462" s="1" t="s">
        <v>36461</v>
      </c>
      <c r="B36462" s="2" t="str">
        <f>IFERROR(__xludf.DUMMYFUNCTION("GOOGLETRANSLATE(A36462, ""de"", ""en"")"),"paws")</f>
        <v>paws</v>
      </c>
    </row>
    <row r="36463">
      <c r="A36463" s="1" t="s">
        <v>36462</v>
      </c>
      <c r="B36463" s="2" t="str">
        <f>IFERROR(__xludf.DUMMYFUNCTION("GOOGLETRANSLATE(A36463, ""de"", ""en"")"),"teleporter")</f>
        <v>teleporter</v>
      </c>
    </row>
    <row r="36464">
      <c r="A36464" s="1" t="s">
        <v>36463</v>
      </c>
      <c r="B36464" s="2" t="str">
        <f>IFERROR(__xludf.DUMMYFUNCTION("GOOGLETRANSLATE(A36464, ""de"", ""en"")"),"gun ownership")</f>
        <v>gun ownership</v>
      </c>
    </row>
    <row r="36465">
      <c r="A36465" s="1" t="s">
        <v>36464</v>
      </c>
      <c r="B36465" s="2" t="str">
        <f>IFERROR(__xludf.DUMMYFUNCTION("GOOGLETRANSLATE(A36465, ""de"", ""en"")"),"Tzu")</f>
        <v>Tzu</v>
      </c>
    </row>
    <row r="36466">
      <c r="A36466" s="1" t="s">
        <v>36465</v>
      </c>
      <c r="B36466" s="2" t="str">
        <f>IFERROR(__xludf.DUMMYFUNCTION("GOOGLETRANSLATE(A36466, ""de"", ""en"")"),"sternum")</f>
        <v>sternum</v>
      </c>
    </row>
    <row r="36467">
      <c r="A36467" s="1" t="s">
        <v>36466</v>
      </c>
      <c r="B36467" s="2" t="str">
        <f>IFERROR(__xludf.DUMMYFUNCTION("GOOGLETRANSLATE(A36467, ""de"", ""en"")"),"connection")</f>
        <v>connection</v>
      </c>
    </row>
    <row r="36468">
      <c r="A36468" s="1" t="s">
        <v>36467</v>
      </c>
      <c r="B36468" s="2" t="str">
        <f>IFERROR(__xludf.DUMMYFUNCTION("GOOGLETRANSLATE(A36468, ""de"", ""en"")"),"brads")</f>
        <v>brads</v>
      </c>
    </row>
    <row r="36469">
      <c r="A36469" s="1" t="s">
        <v>36468</v>
      </c>
      <c r="B36469" s="2" t="str">
        <f>IFERROR(__xludf.DUMMYFUNCTION("GOOGLETRANSLATE(A36469, ""de"", ""en"")"),"mitzvah")</f>
        <v>mitzvah</v>
      </c>
    </row>
    <row r="36470">
      <c r="A36470" s="1" t="s">
        <v>36469</v>
      </c>
      <c r="B36470" s="2" t="str">
        <f>IFERROR(__xludf.DUMMYFUNCTION("GOOGLETRANSLATE(A36470, ""de"", ""en"")"),"airport")</f>
        <v>airport</v>
      </c>
    </row>
    <row r="36471">
      <c r="A36471" s="1" t="s">
        <v>36470</v>
      </c>
      <c r="B36471" s="2" t="str">
        <f>IFERROR(__xludf.DUMMYFUNCTION("GOOGLETRANSLATE(A36471, ""de"", ""en"")"),"dinar")</f>
        <v>dinar</v>
      </c>
    </row>
    <row r="36472">
      <c r="A36472" s="1" t="s">
        <v>36471</v>
      </c>
      <c r="B36472" s="2" t="str">
        <f>IFERROR(__xludf.DUMMYFUNCTION("GOOGLETRANSLATE(A36472, ""de"", ""en"")"),"express train")</f>
        <v>express train</v>
      </c>
    </row>
    <row r="36473">
      <c r="A36473" s="1" t="s">
        <v>36472</v>
      </c>
      <c r="B36473" s="2" t="str">
        <f>IFERROR(__xludf.DUMMYFUNCTION("GOOGLETRANSLATE(A36473, ""de"", ""en"")"),"jour")</f>
        <v>jour</v>
      </c>
    </row>
    <row r="36474">
      <c r="A36474" s="1" t="s">
        <v>36473</v>
      </c>
      <c r="B36474" s="2" t="str">
        <f>IFERROR(__xludf.DUMMYFUNCTION("GOOGLETRANSLATE(A36474, ""de"", ""en"")"),"res")</f>
        <v>res</v>
      </c>
    </row>
    <row r="36475">
      <c r="A36475" s="1" t="s">
        <v>36474</v>
      </c>
      <c r="B36475" s="2" t="str">
        <f>IFERROR(__xludf.DUMMYFUNCTION("GOOGLETRANSLATE(A36475, ""de"", ""en"")"),"solar system")</f>
        <v>solar system</v>
      </c>
    </row>
    <row r="36476">
      <c r="A36476" s="1" t="s">
        <v>36475</v>
      </c>
      <c r="B36476" s="2" t="str">
        <f>IFERROR(__xludf.DUMMYFUNCTION("GOOGLETRANSLATE(A36476, ""de"", ""en"")"),"engagement party")</f>
        <v>engagement party</v>
      </c>
    </row>
    <row r="36477">
      <c r="A36477" s="1" t="s">
        <v>36476</v>
      </c>
      <c r="B36477" s="2" t="str">
        <f>IFERROR(__xludf.DUMMYFUNCTION("GOOGLETRANSLATE(A36477, ""de"", ""en"")"),"legends")</f>
        <v>legends</v>
      </c>
    </row>
    <row r="36478">
      <c r="A36478" s="1" t="s">
        <v>36477</v>
      </c>
      <c r="B36478" s="2" t="str">
        <f>IFERROR(__xludf.DUMMYFUNCTION("GOOGLETRANSLATE(A36478, ""de"", ""en"")"),"mp")</f>
        <v>mp</v>
      </c>
    </row>
    <row r="36479">
      <c r="A36479" s="1" t="s">
        <v>36478</v>
      </c>
      <c r="B36479" s="2" t="str">
        <f>IFERROR(__xludf.DUMMYFUNCTION("GOOGLETRANSLATE(A36479, ""de"", ""en"")"),"affront")</f>
        <v>affront</v>
      </c>
    </row>
    <row r="36480">
      <c r="A36480" s="1" t="s">
        <v>36479</v>
      </c>
      <c r="B36480" s="2" t="str">
        <f>IFERROR(__xludf.DUMMYFUNCTION("GOOGLETRANSLATE(A36480, ""de"", ""en"")"),"scared away")</f>
        <v>scared away</v>
      </c>
    </row>
    <row r="36481">
      <c r="A36481" s="1" t="s">
        <v>36480</v>
      </c>
      <c r="B36481" s="2" t="str">
        <f>IFERROR(__xludf.DUMMYFUNCTION("GOOGLETRANSLATE(A36481, ""de"", ""en"")"),"more average")</f>
        <v>more average</v>
      </c>
    </row>
    <row r="36482">
      <c r="A36482" s="1" t="s">
        <v>36481</v>
      </c>
      <c r="B36482" s="2" t="str">
        <f>IFERROR(__xludf.DUMMYFUNCTION("GOOGLETRANSLATE(A36482, ""de"", ""en"")"),"zs")</f>
        <v>zs</v>
      </c>
    </row>
    <row r="36483">
      <c r="A36483" s="1" t="s">
        <v>36482</v>
      </c>
      <c r="B36483" s="2" t="str">
        <f>IFERROR(__xludf.DUMMYFUNCTION("GOOGLETRANSLATE(A36483, ""de"", ""en"")"),"shy")</f>
        <v>shy</v>
      </c>
    </row>
    <row r="36484">
      <c r="A36484" s="1" t="s">
        <v>36483</v>
      </c>
      <c r="B36484" s="2" t="str">
        <f>IFERROR(__xludf.DUMMYFUNCTION("GOOGLETRANSLATE(A36484, ""de"", ""en"")"),"Olympus")</f>
        <v>Olympus</v>
      </c>
    </row>
    <row r="36485">
      <c r="A36485" s="1" t="s">
        <v>36484</v>
      </c>
      <c r="B36485" s="2" t="str">
        <f>IFERROR(__xludf.DUMMYFUNCTION("GOOGLETRANSLATE(A36485, ""de"", ""en"")"),"outside")</f>
        <v>outside</v>
      </c>
    </row>
    <row r="36486">
      <c r="A36486" s="1" t="s">
        <v>36485</v>
      </c>
      <c r="B36486" s="2" t="str">
        <f>IFERROR(__xludf.DUMMYFUNCTION("GOOGLETRANSLATE(A36486, ""de"", ""en"")"),"progressive")</f>
        <v>progressive</v>
      </c>
    </row>
    <row r="36487">
      <c r="A36487" s="1" t="s">
        <v>36486</v>
      </c>
      <c r="B36487" s="2" t="str">
        <f>IFERROR(__xludf.DUMMYFUNCTION("GOOGLETRANSLATE(A36487, ""de"", ""en"")"),"file")</f>
        <v>file</v>
      </c>
    </row>
    <row r="36488">
      <c r="A36488" s="1" t="s">
        <v>36487</v>
      </c>
      <c r="B36488" s="2" t="str">
        <f>IFERROR(__xludf.DUMMYFUNCTION("GOOGLETRANSLATE(A36488, ""de"", ""en"")"),"decree")</f>
        <v>decree</v>
      </c>
    </row>
    <row r="36489">
      <c r="A36489" s="1" t="s">
        <v>36488</v>
      </c>
      <c r="B36489" s="2" t="str">
        <f>IFERROR(__xludf.DUMMYFUNCTION("GOOGLETRANSLATE(A36489, ""de"", ""en"")"),"myriam")</f>
        <v>myriam</v>
      </c>
    </row>
    <row r="36490">
      <c r="A36490" s="1" t="s">
        <v>36489</v>
      </c>
      <c r="B36490" s="2" t="str">
        <f>IFERROR(__xludf.DUMMYFUNCTION("GOOGLETRANSLATE(A36490, ""de"", ""en"")"),"mayweather")</f>
        <v>mayweather</v>
      </c>
    </row>
    <row r="36491">
      <c r="A36491" s="1" t="s">
        <v>36490</v>
      </c>
      <c r="B36491" s="2" t="str">
        <f>IFERROR(__xludf.DUMMYFUNCTION("GOOGLETRANSLATE(A36491, ""de"", ""en"")"),"Guam")</f>
        <v>Guam</v>
      </c>
    </row>
    <row r="36492">
      <c r="A36492" s="1" t="s">
        <v>36491</v>
      </c>
      <c r="B36492" s="2" t="str">
        <f>IFERROR(__xludf.DUMMYFUNCTION("GOOGLETRANSLATE(A36492, ""de"", ""en"")"),"detective work")</f>
        <v>detective work</v>
      </c>
    </row>
    <row r="36493">
      <c r="A36493" s="1" t="s">
        <v>36492</v>
      </c>
      <c r="B36493" s="2" t="str">
        <f>IFERROR(__xludf.DUMMYFUNCTION("GOOGLETRANSLATE(A36493, ""de"", ""en"")"),"forensic pathologist")</f>
        <v>forensic pathologist</v>
      </c>
    </row>
    <row r="36494">
      <c r="A36494" s="1" t="s">
        <v>36493</v>
      </c>
      <c r="B36494" s="2" t="str">
        <f>IFERROR(__xludf.DUMMYFUNCTION("GOOGLETRANSLATE(A36494, ""de"", ""en"")"),"dealers")</f>
        <v>dealers</v>
      </c>
    </row>
    <row r="36495">
      <c r="A36495" s="1" t="s">
        <v>36494</v>
      </c>
      <c r="B36495" s="2" t="str">
        <f>IFERROR(__xludf.DUMMYFUNCTION("GOOGLETRANSLATE(A36495, ""de"", ""en"")"),"cram")</f>
        <v>cram</v>
      </c>
    </row>
    <row r="36496">
      <c r="A36496" s="1" t="s">
        <v>36495</v>
      </c>
      <c r="B36496" s="2" t="str">
        <f>IFERROR(__xludf.DUMMYFUNCTION("GOOGLETRANSLATE(A36496, ""de"", ""en"")"),"murder investigation")</f>
        <v>murder investigation</v>
      </c>
    </row>
    <row r="36497">
      <c r="A36497" s="1" t="s">
        <v>36496</v>
      </c>
      <c r="B36497" s="2" t="str">
        <f>IFERROR(__xludf.DUMMYFUNCTION("GOOGLETRANSLATE(A36497, ""de"", ""en"")"),"imaginable")</f>
        <v>imaginable</v>
      </c>
    </row>
    <row r="36498">
      <c r="A36498" s="1" t="s">
        <v>36497</v>
      </c>
      <c r="B36498" s="2" t="str">
        <f>IFERROR(__xludf.DUMMYFUNCTION("GOOGLETRANSLATE(A36498, ""de"", ""en"")"),"legal")</f>
        <v>legal</v>
      </c>
    </row>
    <row r="36499">
      <c r="A36499" s="1" t="s">
        <v>36498</v>
      </c>
      <c r="B36499" s="2" t="str">
        <f>IFERROR(__xludf.DUMMYFUNCTION("GOOGLETRANSLATE(A36499, ""de"", ""en"")"),"shades")</f>
        <v>shades</v>
      </c>
    </row>
    <row r="36500">
      <c r="A36500" s="1" t="s">
        <v>36499</v>
      </c>
      <c r="B36500" s="2" t="str">
        <f>IFERROR(__xludf.DUMMYFUNCTION("GOOGLETRANSLATE(A36500, ""de"", ""en"")"),"fatma")</f>
        <v>fatma</v>
      </c>
    </row>
    <row r="36501">
      <c r="A36501" s="1" t="s">
        <v>36500</v>
      </c>
      <c r="B36501" s="2" t="str">
        <f>IFERROR(__xludf.DUMMYFUNCTION("GOOGLETRANSLATE(A36501, ""de"", ""en"")"),"Lindberg")</f>
        <v>Lindberg</v>
      </c>
    </row>
    <row r="36502">
      <c r="A36502" s="1" t="s">
        <v>36501</v>
      </c>
      <c r="B36502" s="2" t="str">
        <f>IFERROR(__xludf.DUMMYFUNCTION("GOOGLETRANSLATE(A36502, ""de"", ""en"")"),"incumbency")</f>
        <v>incumbency</v>
      </c>
    </row>
    <row r="36503">
      <c r="A36503" s="1" t="s">
        <v>36502</v>
      </c>
      <c r="B36503" s="2" t="str">
        <f>IFERROR(__xludf.DUMMYFUNCTION("GOOGLETRANSLATE(A36503, ""de"", ""en"")"),"stake")</f>
        <v>stake</v>
      </c>
    </row>
    <row r="36504">
      <c r="A36504" s="1" t="s">
        <v>36503</v>
      </c>
      <c r="B36504" s="2" t="str">
        <f>IFERROR(__xludf.DUMMYFUNCTION("GOOGLETRANSLATE(A36504, ""de"", ""en"")"),"tb")</f>
        <v>tb</v>
      </c>
    </row>
    <row r="36505">
      <c r="A36505" s="1" t="s">
        <v>36504</v>
      </c>
      <c r="B36505" s="2" t="str">
        <f>IFERROR(__xludf.DUMMYFUNCTION("GOOGLETRANSLATE(A36505, ""de"", ""en"")"),"stupidest")</f>
        <v>stupidest</v>
      </c>
    </row>
    <row r="36506">
      <c r="A36506" s="1" t="s">
        <v>36505</v>
      </c>
      <c r="B36506" s="2" t="str">
        <f>IFERROR(__xludf.DUMMYFUNCTION("GOOGLETRANSLATE(A36506, ""de"", ""en"")"),"strangled")</f>
        <v>strangled</v>
      </c>
    </row>
    <row r="36507">
      <c r="A36507" s="1" t="s">
        <v>36506</v>
      </c>
      <c r="B36507" s="2" t="str">
        <f>IFERROR(__xludf.DUMMYFUNCTION("GOOGLETRANSLATE(A36507, ""de"", ""en"")"),"dobson")</f>
        <v>dobson</v>
      </c>
    </row>
    <row r="36508">
      <c r="A36508" s="1" t="s">
        <v>36507</v>
      </c>
      <c r="B36508" s="2" t="str">
        <f>IFERROR(__xludf.DUMMYFUNCTION("GOOGLETRANSLATE(A36508, ""de"", ""en"")"),"sprat")</f>
        <v>sprat</v>
      </c>
    </row>
    <row r="36509">
      <c r="A36509" s="1" t="s">
        <v>36508</v>
      </c>
      <c r="B36509" s="2" t="str">
        <f>IFERROR(__xludf.DUMMYFUNCTION("GOOGLETRANSLATE(A36509, ""de"", ""en"")"),"asami")</f>
        <v>asami</v>
      </c>
    </row>
    <row r="36510">
      <c r="A36510" s="1" t="s">
        <v>36509</v>
      </c>
      <c r="B36510" s="2" t="str">
        <f>IFERROR(__xludf.DUMMYFUNCTION("GOOGLETRANSLATE(A36510, ""de"", ""en"")"),"to help out")</f>
        <v>to help out</v>
      </c>
    </row>
    <row r="36511">
      <c r="A36511" s="1" t="s">
        <v>36510</v>
      </c>
      <c r="B36511" s="2" t="str">
        <f>IFERROR(__xludf.DUMMYFUNCTION("GOOGLETRANSLATE(A36511, ""de"", ""en"")"),"seven times")</f>
        <v>seven times</v>
      </c>
    </row>
    <row r="36512">
      <c r="A36512" s="1" t="s">
        <v>36511</v>
      </c>
      <c r="B36512" s="2" t="str">
        <f>IFERROR(__xludf.DUMMYFUNCTION("GOOGLETRANSLATE(A36512, ""de"", ""en"")"),"tornadoes")</f>
        <v>tornadoes</v>
      </c>
    </row>
    <row r="36513">
      <c r="A36513" s="1" t="s">
        <v>36512</v>
      </c>
      <c r="B36513" s="2" t="str">
        <f>IFERROR(__xludf.DUMMYFUNCTION("GOOGLETRANSLATE(A36513, ""de"", ""en"")"),"chivalry")</f>
        <v>chivalry</v>
      </c>
    </row>
    <row r="36514">
      <c r="A36514" s="1" t="s">
        <v>36513</v>
      </c>
      <c r="B36514" s="2" t="str">
        <f>IFERROR(__xludf.DUMMYFUNCTION("GOOGLETRANSLATE(A36514, ""de"", ""en"")"),"contradict")</f>
        <v>contradict</v>
      </c>
    </row>
    <row r="36515">
      <c r="A36515" s="1" t="s">
        <v>36514</v>
      </c>
      <c r="B36515" s="2" t="str">
        <f>IFERROR(__xludf.DUMMYFUNCTION("GOOGLETRANSLATE(A36515, ""de"", ""en"")"),"trump")</f>
        <v>trump</v>
      </c>
    </row>
    <row r="36516">
      <c r="A36516" s="1" t="s">
        <v>36515</v>
      </c>
      <c r="B36516" s="2" t="str">
        <f>IFERROR(__xludf.DUMMYFUNCTION("GOOGLETRANSLATE(A36516, ""de"", ""en"")"),"undertakes")</f>
        <v>undertakes</v>
      </c>
    </row>
    <row r="36517">
      <c r="A36517" s="1" t="s">
        <v>36516</v>
      </c>
      <c r="B36517" s="2" t="str">
        <f>IFERROR(__xludf.DUMMYFUNCTION("GOOGLETRANSLATE(A36517, ""de"", ""en"")"),"out of hand")</f>
        <v>out of hand</v>
      </c>
    </row>
    <row r="36518">
      <c r="A36518" s="1" t="s">
        <v>36517</v>
      </c>
      <c r="B36518" s="2" t="str">
        <f>IFERROR(__xludf.DUMMYFUNCTION("GOOGLETRANSLATE(A36518, ""de"", ""en"")"),"complain")</f>
        <v>complain</v>
      </c>
    </row>
    <row r="36519">
      <c r="A36519" s="1" t="s">
        <v>36518</v>
      </c>
      <c r="B36519" s="2" t="str">
        <f>IFERROR(__xludf.DUMMYFUNCTION("GOOGLETRANSLATE(A36519, ""de"", ""en"")"),"barley")</f>
        <v>barley</v>
      </c>
    </row>
    <row r="36520">
      <c r="A36520" s="1" t="s">
        <v>36519</v>
      </c>
      <c r="B36520" s="2" t="str">
        <f>IFERROR(__xludf.DUMMYFUNCTION("GOOGLETRANSLATE(A36520, ""de"", ""en"")"),"room key")</f>
        <v>room key</v>
      </c>
    </row>
    <row r="36521">
      <c r="A36521" s="1" t="s">
        <v>36520</v>
      </c>
      <c r="B36521" s="2" t="str">
        <f>IFERROR(__xludf.DUMMYFUNCTION("GOOGLETRANSLATE(A36521, ""de"", ""en"")"),"cardassians")</f>
        <v>cardassians</v>
      </c>
    </row>
    <row r="36522">
      <c r="A36522" s="1" t="s">
        <v>36521</v>
      </c>
      <c r="B36522" s="2" t="str">
        <f>IFERROR(__xludf.DUMMYFUNCTION("GOOGLETRANSLATE(A36522, ""de"", ""en"")"),"fried")</f>
        <v>fried</v>
      </c>
    </row>
    <row r="36523">
      <c r="A36523" s="1" t="s">
        <v>36522</v>
      </c>
      <c r="B36523" s="2" t="str">
        <f>IFERROR(__xludf.DUMMYFUNCTION("GOOGLETRANSLATE(A36523, ""de"", ""en"")"),"encouragement")</f>
        <v>encouragement</v>
      </c>
    </row>
    <row r="36524">
      <c r="A36524" s="1" t="s">
        <v>36523</v>
      </c>
      <c r="B36524" s="2" t="str">
        <f>IFERROR(__xludf.DUMMYFUNCTION("GOOGLETRANSLATE(A36524, ""de"", ""en"")"),"roommate")</f>
        <v>roommate</v>
      </c>
    </row>
    <row r="36525">
      <c r="A36525" s="1" t="s">
        <v>36524</v>
      </c>
      <c r="B36525" s="2" t="str">
        <f>IFERROR(__xludf.DUMMYFUNCTION("GOOGLETRANSLATE(A36525, ""de"", ""en"")"),"michelles")</f>
        <v>michelles</v>
      </c>
    </row>
    <row r="36526">
      <c r="A36526" s="1" t="s">
        <v>36525</v>
      </c>
      <c r="B36526" s="2" t="str">
        <f>IFERROR(__xludf.DUMMYFUNCTION("GOOGLETRANSLATE(A36526, ""de"", ""en"")"),"preferable")</f>
        <v>preferable</v>
      </c>
    </row>
    <row r="36527">
      <c r="A36527" s="1" t="s">
        <v>36526</v>
      </c>
      <c r="B36527" s="2" t="str">
        <f>IFERROR(__xludf.DUMMYFUNCTION("GOOGLETRANSLATE(A36527, ""de"", ""en"")"),"starting capital")</f>
        <v>starting capital</v>
      </c>
    </row>
    <row r="36528">
      <c r="A36528" s="1" t="s">
        <v>36527</v>
      </c>
      <c r="B36528" s="2" t="str">
        <f>IFERROR(__xludf.DUMMYFUNCTION("GOOGLETRANSLATE(A36528, ""de"", ""en"")"),"backhand")</f>
        <v>backhand</v>
      </c>
    </row>
    <row r="36529">
      <c r="A36529" s="1" t="s">
        <v>36528</v>
      </c>
      <c r="B36529" s="2" t="str">
        <f>IFERROR(__xludf.DUMMYFUNCTION("GOOGLETRANSLATE(A36529, ""de"", ""en"")"),"assistant doctor")</f>
        <v>assistant doctor</v>
      </c>
    </row>
    <row r="36530">
      <c r="A36530" s="1" t="s">
        <v>36529</v>
      </c>
      <c r="B36530" s="2" t="str">
        <f>IFERROR(__xludf.DUMMYFUNCTION("GOOGLETRANSLATE(A36530, ""de"", ""en"")"),"harbor")</f>
        <v>harbor</v>
      </c>
    </row>
    <row r="36531">
      <c r="A36531" s="1" t="s">
        <v>36530</v>
      </c>
      <c r="B36531" s="2" t="str">
        <f>IFERROR(__xludf.DUMMYFUNCTION("GOOGLETRANSLATE(A36531, ""de"", ""en"")"),"grant")</f>
        <v>grant</v>
      </c>
    </row>
    <row r="36532">
      <c r="A36532" s="1" t="s">
        <v>36531</v>
      </c>
      <c r="B36532" s="2" t="str">
        <f>IFERROR(__xludf.DUMMYFUNCTION("GOOGLETRANSLATE(A36532, ""de"", ""en"")"),"lilo")</f>
        <v>lilo</v>
      </c>
    </row>
    <row r="36533">
      <c r="A36533" s="1" t="s">
        <v>36532</v>
      </c>
      <c r="B36533" s="2" t="str">
        <f>IFERROR(__xludf.DUMMYFUNCTION("GOOGLETRANSLATE(A36533, ""de"", ""en"")"),"cable")</f>
        <v>cable</v>
      </c>
    </row>
    <row r="36534">
      <c r="A36534" s="1" t="s">
        <v>36533</v>
      </c>
      <c r="B36534" s="2" t="str">
        <f>IFERROR(__xludf.DUMMYFUNCTION("GOOGLETRANSLATE(A36534, ""de"", ""en"")"),"cocktail party")</f>
        <v>cocktail party</v>
      </c>
    </row>
    <row r="36535">
      <c r="A36535" s="1" t="s">
        <v>36534</v>
      </c>
      <c r="B36535" s="2" t="str">
        <f>IFERROR(__xludf.DUMMYFUNCTION("GOOGLETRANSLATE(A36535, ""de"", ""en"")"),"chlamydia")</f>
        <v>chlamydia</v>
      </c>
    </row>
    <row r="36536">
      <c r="A36536" s="1" t="s">
        <v>36535</v>
      </c>
      <c r="B36536" s="2" t="str">
        <f>IFERROR(__xludf.DUMMYFUNCTION("GOOGLETRANSLATE(A36536, ""de"", ""en"")"),"fought")</f>
        <v>fought</v>
      </c>
    </row>
    <row r="36537">
      <c r="A36537" s="1" t="s">
        <v>36536</v>
      </c>
      <c r="B36537" s="2" t="str">
        <f>IFERROR(__xludf.DUMMYFUNCTION("GOOGLETRANSLATE(A36537, ""de"", ""en"")"),"toenails")</f>
        <v>toenails</v>
      </c>
    </row>
    <row r="36538">
      <c r="A36538" s="1" t="s">
        <v>36537</v>
      </c>
      <c r="B36538" s="2" t="str">
        <f>IFERROR(__xludf.DUMMYFUNCTION("GOOGLETRANSLATE(A36538, ""de"", ""en"")"),"figurehead")</f>
        <v>figurehead</v>
      </c>
    </row>
    <row r="36539">
      <c r="A36539" s="1" t="s">
        <v>36538</v>
      </c>
      <c r="B36539" s="2" t="str">
        <f>IFERROR(__xludf.DUMMYFUNCTION("GOOGLETRANSLATE(A36539, ""de"", ""en"")"),"case files")</f>
        <v>case files</v>
      </c>
    </row>
    <row r="36540">
      <c r="A36540" s="1" t="s">
        <v>36539</v>
      </c>
      <c r="B36540" s="2" t="str">
        <f>IFERROR(__xludf.DUMMYFUNCTION("GOOGLETRANSLATE(A36540, ""de"", ""en"")"),"storage room")</f>
        <v>storage room</v>
      </c>
    </row>
    <row r="36541">
      <c r="A36541" s="1" t="s">
        <v>36540</v>
      </c>
      <c r="B36541" s="2" t="str">
        <f>IFERROR(__xludf.DUMMYFUNCTION("GOOGLETRANSLATE(A36541, ""de"", ""en"")"),"sasori")</f>
        <v>sasori</v>
      </c>
    </row>
    <row r="36542">
      <c r="A36542" s="1" t="s">
        <v>36541</v>
      </c>
      <c r="B36542" s="2" t="str">
        <f>IFERROR(__xludf.DUMMYFUNCTION("GOOGLETRANSLATE(A36542, ""de"", ""en"")"),"cogs")</f>
        <v>cogs</v>
      </c>
    </row>
    <row r="36543">
      <c r="A36543" s="1" t="s">
        <v>36542</v>
      </c>
      <c r="B36543" s="2" t="str">
        <f>IFERROR(__xludf.DUMMYFUNCTION("GOOGLETRANSLATE(A36543, ""de"", ""en"")"),"goes out")</f>
        <v>goes out</v>
      </c>
    </row>
    <row r="36544">
      <c r="A36544" s="1" t="s">
        <v>36543</v>
      </c>
      <c r="B36544" s="2" t="str">
        <f>IFERROR(__xludf.DUMMYFUNCTION("GOOGLETRANSLATE(A36544, ""de"", ""en"")"),"sects")</f>
        <v>sects</v>
      </c>
    </row>
    <row r="36545">
      <c r="A36545" s="1" t="s">
        <v>36544</v>
      </c>
      <c r="B36545" s="2" t="str">
        <f>IFERROR(__xludf.DUMMYFUNCTION("GOOGLETRANSLATE(A36545, ""de"", ""en"")"),"logans")</f>
        <v>logans</v>
      </c>
    </row>
    <row r="36546">
      <c r="A36546" s="1" t="s">
        <v>36545</v>
      </c>
      <c r="B36546" s="2" t="str">
        <f>IFERROR(__xludf.DUMMYFUNCTION("GOOGLETRANSLATE(A36546, ""de"", ""en"")"),"hand luggage")</f>
        <v>hand luggage</v>
      </c>
    </row>
    <row r="36547">
      <c r="A36547" s="1" t="s">
        <v>36546</v>
      </c>
      <c r="B36547" s="2" t="str">
        <f>IFERROR(__xludf.DUMMYFUNCTION("GOOGLETRANSLATE(A36547, ""de"", ""en"")"),"portable")</f>
        <v>portable</v>
      </c>
    </row>
    <row r="36548">
      <c r="A36548" s="1" t="s">
        <v>36547</v>
      </c>
      <c r="B36548" s="2" t="str">
        <f>IFERROR(__xludf.DUMMYFUNCTION("GOOGLETRANSLATE(A36548, ""de"", ""en"")"),"religious")</f>
        <v>religious</v>
      </c>
    </row>
    <row r="36549">
      <c r="A36549" s="1" t="s">
        <v>36548</v>
      </c>
      <c r="B36549" s="2" t="str">
        <f>IFERROR(__xludf.DUMMYFUNCTION("GOOGLETRANSLATE(A36549, ""de"", ""en"")"),"Cobain")</f>
        <v>Cobain</v>
      </c>
    </row>
    <row r="36550">
      <c r="A36550" s="1" t="s">
        <v>36549</v>
      </c>
      <c r="B36550" s="2" t="str">
        <f>IFERROR(__xludf.DUMMYFUNCTION("GOOGLETRANSLATE(A36550, ""de"", ""en"")"),"negotiated")</f>
        <v>negotiated</v>
      </c>
    </row>
    <row r="36551">
      <c r="A36551" s="1" t="s">
        <v>36550</v>
      </c>
      <c r="B36551" s="2" t="str">
        <f>IFERROR(__xludf.DUMMYFUNCTION("GOOGLETRANSLATE(A36551, ""de"", ""en"")"),"expertise")</f>
        <v>expertise</v>
      </c>
    </row>
    <row r="36552">
      <c r="A36552" s="1" t="s">
        <v>36551</v>
      </c>
      <c r="B36552" s="2" t="str">
        <f>IFERROR(__xludf.DUMMYFUNCTION("GOOGLETRANSLATE(A36552, ""de"", ""en"")"),"dessert")</f>
        <v>dessert</v>
      </c>
    </row>
    <row r="36553">
      <c r="A36553" s="1" t="s">
        <v>36552</v>
      </c>
      <c r="B36553" s="2" t="str">
        <f>IFERROR(__xludf.DUMMYFUNCTION("GOOGLETRANSLATE(A36553, ""de"", ""en"")"),"table tennis")</f>
        <v>table tennis</v>
      </c>
    </row>
    <row r="36554">
      <c r="A36554" s="1" t="s">
        <v>36553</v>
      </c>
      <c r="B36554" s="2" t="str">
        <f>IFERROR(__xludf.DUMMYFUNCTION("GOOGLETRANSLATE(A36554, ""de"", ""en"")"),"ap")</f>
        <v>ap</v>
      </c>
    </row>
    <row r="36555">
      <c r="A36555" s="1" t="s">
        <v>36554</v>
      </c>
      <c r="B36555" s="2" t="str">
        <f>IFERROR(__xludf.DUMMYFUNCTION("GOOGLETRANSLATE(A36555, ""de"", ""en"")"),"broken glass")</f>
        <v>broken glass</v>
      </c>
    </row>
    <row r="36556">
      <c r="A36556" s="1" t="s">
        <v>36555</v>
      </c>
      <c r="B36556" s="2" t="str">
        <f>IFERROR(__xludf.DUMMYFUNCTION("GOOGLETRANSLATE(A36556, ""de"", ""en"")"),"man-eaters")</f>
        <v>man-eaters</v>
      </c>
    </row>
    <row r="36557">
      <c r="A36557" s="1" t="s">
        <v>36556</v>
      </c>
      <c r="B36557" s="2" t="str">
        <f>IFERROR(__xludf.DUMMYFUNCTION("GOOGLETRANSLATE(A36557, ""de"", ""en"")"),"deputies")</f>
        <v>deputies</v>
      </c>
    </row>
    <row r="36558">
      <c r="A36558" s="1" t="s">
        <v>36557</v>
      </c>
      <c r="B36558" s="2" t="str">
        <f>IFERROR(__xludf.DUMMYFUNCTION("GOOGLETRANSLATE(A36558, ""de"", ""en"")"),"disinfected")</f>
        <v>disinfected</v>
      </c>
    </row>
    <row r="36559">
      <c r="A36559" s="1" t="s">
        <v>36558</v>
      </c>
      <c r="B36559" s="2" t="str">
        <f>IFERROR(__xludf.DUMMYFUNCTION("GOOGLETRANSLATE(A36559, ""de"", ""en"")"),"carry")</f>
        <v>carry</v>
      </c>
    </row>
    <row r="36560">
      <c r="A36560" s="1" t="s">
        <v>36559</v>
      </c>
      <c r="B36560" s="2" t="str">
        <f>IFERROR(__xludf.DUMMYFUNCTION("GOOGLETRANSLATE(A36560, ""de"", ""en"")"),"HBO")</f>
        <v>HBO</v>
      </c>
    </row>
    <row r="36561">
      <c r="A36561" s="1" t="s">
        <v>36560</v>
      </c>
      <c r="B36561" s="2" t="str">
        <f>IFERROR(__xludf.DUMMYFUNCTION("GOOGLETRANSLATE(A36561, ""de"", ""en"")"),"anarchist")</f>
        <v>anarchist</v>
      </c>
    </row>
    <row r="36562">
      <c r="A36562" s="1" t="s">
        <v>36561</v>
      </c>
      <c r="B36562" s="2" t="str">
        <f>IFERROR(__xludf.DUMMYFUNCTION("GOOGLETRANSLATE(A36562, ""de"", ""en"")"),"listens")</f>
        <v>listens</v>
      </c>
    </row>
    <row r="36563">
      <c r="A36563" s="1" t="s">
        <v>36562</v>
      </c>
      <c r="B36563" s="2" t="str">
        <f>IFERROR(__xludf.DUMMYFUNCTION("GOOGLETRANSLATE(A36563, ""de"", ""en"")"),"violate")</f>
        <v>violate</v>
      </c>
    </row>
    <row r="36564">
      <c r="A36564" s="1" t="s">
        <v>36563</v>
      </c>
      <c r="B36564" s="2" t="str">
        <f>IFERROR(__xludf.DUMMYFUNCTION("GOOGLETRANSLATE(A36564, ""de"", ""en"")"),"niro")</f>
        <v>niro</v>
      </c>
    </row>
    <row r="36565">
      <c r="A36565" s="1" t="s">
        <v>36564</v>
      </c>
      <c r="B36565" s="2" t="str">
        <f>IFERROR(__xludf.DUMMYFUNCTION("GOOGLETRANSLATE(A36565, ""de"", ""en"")"),"tacoma")</f>
        <v>tacoma</v>
      </c>
    </row>
    <row r="36566">
      <c r="A36566" s="1" t="s">
        <v>36565</v>
      </c>
      <c r="B36566" s="2" t="str">
        <f>IFERROR(__xludf.DUMMYFUNCTION("GOOGLETRANSLATE(A36566, ""de"", ""en"")"),"choose")</f>
        <v>choose</v>
      </c>
    </row>
    <row r="36567">
      <c r="A36567" s="1" t="s">
        <v>36566</v>
      </c>
      <c r="B36567" s="2" t="str">
        <f>IFERROR(__xludf.DUMMYFUNCTION("GOOGLETRANSLATE(A36567, ""de"", ""en"")"),"loverboy")</f>
        <v>loverboy</v>
      </c>
    </row>
    <row r="36568">
      <c r="A36568" s="1" t="s">
        <v>36567</v>
      </c>
      <c r="B36568" s="2" t="str">
        <f>IFERROR(__xludf.DUMMYFUNCTION("GOOGLETRANSLATE(A36568, ""de"", ""en"")"),"crime rate")</f>
        <v>crime rate</v>
      </c>
    </row>
    <row r="36569">
      <c r="A36569" s="1" t="s">
        <v>36568</v>
      </c>
      <c r="B36569" s="2" t="str">
        <f>IFERROR(__xludf.DUMMYFUNCTION("GOOGLETRANSLATE(A36569, ""de"", ""en"")"),"classic")</f>
        <v>classic</v>
      </c>
    </row>
    <row r="36570">
      <c r="A36570" s="1" t="s">
        <v>36569</v>
      </c>
      <c r="B36570" s="2" t="str">
        <f>IFERROR(__xludf.DUMMYFUNCTION("GOOGLETRANSLATE(A36570, ""de"", ""en"")"),"take it")</f>
        <v>take it</v>
      </c>
    </row>
    <row r="36571">
      <c r="A36571" s="1" t="s">
        <v>36570</v>
      </c>
      <c r="B36571" s="2" t="str">
        <f>IFERROR(__xludf.DUMMYFUNCTION("GOOGLETRANSLATE(A36571, ""de"", ""en"")"),"eggplant")</f>
        <v>eggplant</v>
      </c>
    </row>
    <row r="36572">
      <c r="A36572" s="1" t="s">
        <v>36571</v>
      </c>
      <c r="B36572" s="2" t="str">
        <f>IFERROR(__xludf.DUMMYFUNCTION("GOOGLETRANSLATE(A36572, ""de"", ""en"")"),"fudge")</f>
        <v>fudge</v>
      </c>
    </row>
    <row r="36573">
      <c r="A36573" s="1" t="s">
        <v>36572</v>
      </c>
      <c r="B36573" s="2" t="str">
        <f>IFERROR(__xludf.DUMMYFUNCTION("GOOGLETRANSLATE(A36573, ""de"", ""en"")"),"tarik")</f>
        <v>tarik</v>
      </c>
    </row>
    <row r="36574">
      <c r="A36574" s="1" t="s">
        <v>36573</v>
      </c>
      <c r="B36574" s="2" t="str">
        <f>IFERROR(__xludf.DUMMYFUNCTION("GOOGLETRANSLATE(A36574, ""de"", ""en"")"),"garys")</f>
        <v>garys</v>
      </c>
    </row>
    <row r="36575">
      <c r="A36575" s="1" t="s">
        <v>36574</v>
      </c>
      <c r="B36575" s="2" t="str">
        <f>IFERROR(__xludf.DUMMYFUNCTION("GOOGLETRANSLATE(A36575, ""de"", ""en"")"),"subjective")</f>
        <v>subjective</v>
      </c>
    </row>
    <row r="36576">
      <c r="A36576" s="1" t="s">
        <v>36575</v>
      </c>
      <c r="B36576" s="2" t="str">
        <f>IFERROR(__xludf.DUMMYFUNCTION("GOOGLETRANSLATE(A36576, ""de"", ""en"")"),"begging")</f>
        <v>begging</v>
      </c>
    </row>
    <row r="36577">
      <c r="A36577" s="1" t="s">
        <v>36576</v>
      </c>
      <c r="B36577" s="2" t="str">
        <f>IFERROR(__xludf.DUMMYFUNCTION("GOOGLETRANSLATE(A36577, ""de"", ""en"")"),"courtesies")</f>
        <v>courtesies</v>
      </c>
    </row>
    <row r="36578">
      <c r="A36578" s="1" t="s">
        <v>36577</v>
      </c>
      <c r="B36578" s="2" t="str">
        <f>IFERROR(__xludf.DUMMYFUNCTION("GOOGLETRANSLATE(A36578, ""de"", ""en"")"),"abseiling")</f>
        <v>abseiling</v>
      </c>
    </row>
    <row r="36579">
      <c r="A36579" s="1" t="s">
        <v>36578</v>
      </c>
      <c r="B36579" s="2" t="str">
        <f>IFERROR(__xludf.DUMMYFUNCTION("GOOGLETRANSLATE(A36579, ""de"", ""en"")"),"unyielding")</f>
        <v>unyielding</v>
      </c>
    </row>
    <row r="36580">
      <c r="A36580" s="1" t="s">
        <v>36579</v>
      </c>
      <c r="B36580" s="2" t="str">
        <f>IFERROR(__xludf.DUMMYFUNCTION("GOOGLETRANSLATE(A36580, ""de"", ""en"")"),"wiretapping")</f>
        <v>wiretapping</v>
      </c>
    </row>
    <row r="36581">
      <c r="A36581" s="1" t="s">
        <v>36580</v>
      </c>
      <c r="B36581" s="2" t="str">
        <f>IFERROR(__xludf.DUMMYFUNCTION("GOOGLETRANSLATE(A36581, ""de"", ""en"")"),"bingham")</f>
        <v>bingham</v>
      </c>
    </row>
    <row r="36582">
      <c r="A36582" s="1" t="s">
        <v>36581</v>
      </c>
      <c r="B36582" s="2" t="str">
        <f>IFERROR(__xludf.DUMMYFUNCTION("GOOGLETRANSLATE(A36582, ""de"", ""en"")"),"zhu")</f>
        <v>zhu</v>
      </c>
    </row>
    <row r="36583">
      <c r="A36583" s="1" t="s">
        <v>36582</v>
      </c>
      <c r="B36583" s="2" t="str">
        <f>IFERROR(__xludf.DUMMYFUNCTION("GOOGLETRANSLATE(A36583, ""de"", ""en"")"),"undermined")</f>
        <v>undermined</v>
      </c>
    </row>
    <row r="36584">
      <c r="A36584" s="1" t="s">
        <v>36583</v>
      </c>
      <c r="B36584" s="2" t="str">
        <f>IFERROR(__xludf.DUMMYFUNCTION("GOOGLETRANSLATE(A36584, ""de"", ""en"")"),"pace.pace")</f>
        <v>pace.pace</v>
      </c>
    </row>
    <row r="36585">
      <c r="A36585" s="1" t="s">
        <v>36584</v>
      </c>
      <c r="B36585" s="2" t="str">
        <f>IFERROR(__xludf.DUMMYFUNCTION("GOOGLETRANSLATE(A36585, ""de"", ""en"")"),"magic book")</f>
        <v>magic book</v>
      </c>
    </row>
    <row r="36586">
      <c r="A36586" s="1" t="s">
        <v>36585</v>
      </c>
      <c r="B36586" s="2" t="str">
        <f>IFERROR(__xludf.DUMMYFUNCTION("GOOGLETRANSLATE(A36586, ""de"", ""en"")"),"rc")</f>
        <v>rc</v>
      </c>
    </row>
    <row r="36587">
      <c r="A36587" s="1" t="s">
        <v>36586</v>
      </c>
      <c r="B36587" s="2" t="str">
        <f>IFERROR(__xludf.DUMMYFUNCTION("GOOGLETRANSLATE(A36587, ""de"", ""en"")"),"molina")</f>
        <v>molina</v>
      </c>
    </row>
    <row r="36588">
      <c r="A36588" s="1" t="s">
        <v>36587</v>
      </c>
      <c r="B36588" s="2" t="str">
        <f>IFERROR(__xludf.DUMMYFUNCTION("GOOGLETRANSLATE(A36588, ""de"", ""en"")"),"star system")</f>
        <v>star system</v>
      </c>
    </row>
    <row r="36589">
      <c r="A36589" s="1" t="s">
        <v>36588</v>
      </c>
      <c r="B36589" s="2" t="str">
        <f>IFERROR(__xludf.DUMMYFUNCTION("GOOGLETRANSLATE(A36589, ""de"", ""en"")"),"unexplained")</f>
        <v>unexplained</v>
      </c>
    </row>
    <row r="36590">
      <c r="A36590" s="1" t="s">
        <v>36589</v>
      </c>
      <c r="B36590" s="2" t="str">
        <f>IFERROR(__xludf.DUMMYFUNCTION("GOOGLETRANSLATE(A36590, ""de"", ""en"")"),"brag")</f>
        <v>brag</v>
      </c>
    </row>
    <row r="36591">
      <c r="A36591" s="1" t="s">
        <v>36590</v>
      </c>
      <c r="B36591" s="2" t="str">
        <f>IFERROR(__xludf.DUMMYFUNCTION("GOOGLETRANSLATE(A36591, ""de"", ""en"")"),"runs out")</f>
        <v>runs out</v>
      </c>
    </row>
    <row r="36592">
      <c r="A36592" s="1" t="s">
        <v>36591</v>
      </c>
      <c r="B36592" s="2" t="str">
        <f>IFERROR(__xludf.DUMMYFUNCTION("GOOGLETRANSLATE(A36592, ""de"", ""en"")"),"supervisor")</f>
        <v>supervisor</v>
      </c>
    </row>
    <row r="36593">
      <c r="A36593" s="1" t="s">
        <v>36592</v>
      </c>
      <c r="B36593" s="2" t="str">
        <f>IFERROR(__xludf.DUMMYFUNCTION("GOOGLETRANSLATE(A36593, ""de"", ""en"")"),"spruced up")</f>
        <v>spruced up</v>
      </c>
    </row>
    <row r="36594">
      <c r="A36594" s="1" t="s">
        <v>36593</v>
      </c>
      <c r="B36594" s="2" t="str">
        <f>IFERROR(__xludf.DUMMYFUNCTION("GOOGLETRANSLATE(A36594, ""de"", ""en"")"),"unmolested")</f>
        <v>unmolested</v>
      </c>
    </row>
    <row r="36595">
      <c r="A36595" s="1" t="s">
        <v>36594</v>
      </c>
      <c r="B36595" s="2" t="str">
        <f>IFERROR(__xludf.DUMMYFUNCTION("GOOGLETRANSLATE(A36595, ""de"", ""en"")"),"diagnoses")</f>
        <v>diagnoses</v>
      </c>
    </row>
    <row r="36596">
      <c r="A36596" s="1" t="s">
        <v>36595</v>
      </c>
      <c r="B36596" s="2" t="str">
        <f>IFERROR(__xludf.DUMMYFUNCTION("GOOGLETRANSLATE(A36596, ""de"", ""en"")"),"freckles")</f>
        <v>freckles</v>
      </c>
    </row>
    <row r="36597">
      <c r="A36597" s="1" t="s">
        <v>36596</v>
      </c>
      <c r="B36597" s="2" t="str">
        <f>IFERROR(__xludf.DUMMYFUNCTION("GOOGLETRANSLATE(A36597, ""de"", ""en"")"),"manners")</f>
        <v>manners</v>
      </c>
    </row>
    <row r="36598">
      <c r="A36598" s="1" t="s">
        <v>36597</v>
      </c>
      <c r="B36598" s="2" t="str">
        <f>IFERROR(__xludf.DUMMYFUNCTION("GOOGLETRANSLATE(A36598, ""de"", ""en"")"),"keep")</f>
        <v>keep</v>
      </c>
    </row>
    <row r="36599">
      <c r="A36599" s="1" t="s">
        <v>36598</v>
      </c>
      <c r="B36599" s="2" t="str">
        <f>IFERROR(__xludf.DUMMYFUNCTION("GOOGLETRANSLATE(A36599, ""de"", ""en"")"),"take a look")</f>
        <v>take a look</v>
      </c>
    </row>
    <row r="36600">
      <c r="A36600" s="1" t="s">
        <v>36599</v>
      </c>
      <c r="B36600" s="2" t="str">
        <f>IFERROR(__xludf.DUMMYFUNCTION("GOOGLETRANSLATE(A36600, ""de"", ""en"")"),"pisa")</f>
        <v>pisa</v>
      </c>
    </row>
    <row r="36601">
      <c r="A36601" s="1" t="s">
        <v>36600</v>
      </c>
      <c r="B36601" s="2" t="str">
        <f>IFERROR(__xludf.DUMMYFUNCTION("GOOGLETRANSLATE(A36601, ""de"", ""en"")"),"might")</f>
        <v>might</v>
      </c>
    </row>
    <row r="36602">
      <c r="A36602" s="1" t="s">
        <v>36601</v>
      </c>
      <c r="B36602" s="2" t="str">
        <f>IFERROR(__xludf.DUMMYFUNCTION("GOOGLETRANSLATE(A36602, ""de"", ""en"")"),"larvae")</f>
        <v>larvae</v>
      </c>
    </row>
    <row r="36603">
      <c r="A36603" s="1" t="s">
        <v>36602</v>
      </c>
      <c r="B36603" s="2" t="str">
        <f>IFERROR(__xludf.DUMMYFUNCTION("GOOGLETRANSLATE(A36603, ""de"", ""en"")"),"goin")</f>
        <v>goin</v>
      </c>
    </row>
    <row r="36604">
      <c r="A36604" s="1" t="s">
        <v>36603</v>
      </c>
      <c r="B36604" s="2" t="str">
        <f>IFERROR(__xludf.DUMMYFUNCTION("GOOGLETRANSLATE(A36604, ""de"", ""en"")"),"havre")</f>
        <v>havre</v>
      </c>
    </row>
    <row r="36605">
      <c r="A36605" s="1" t="s">
        <v>36604</v>
      </c>
      <c r="B36605" s="2" t="str">
        <f>IFERROR(__xludf.DUMMYFUNCTION("GOOGLETRANSLATE(A36605, ""de"", ""en"")"),"radio show")</f>
        <v>radio show</v>
      </c>
    </row>
    <row r="36606">
      <c r="A36606" s="1" t="s">
        <v>36605</v>
      </c>
      <c r="B36606" s="2" t="str">
        <f>IFERROR(__xludf.DUMMYFUNCTION("GOOGLETRANSLATE(A36606, ""de"", ""en"")"),"paola")</f>
        <v>paola</v>
      </c>
    </row>
    <row r="36607">
      <c r="A36607" s="1" t="s">
        <v>36606</v>
      </c>
      <c r="B36607" s="2" t="str">
        <f>IFERROR(__xludf.DUMMYFUNCTION("GOOGLETRANSLATE(A36607, ""de"", ""en"")"),"Asian")</f>
        <v>Asian</v>
      </c>
    </row>
    <row r="36608">
      <c r="A36608" s="1" t="s">
        <v>36607</v>
      </c>
      <c r="B36608" s="2" t="str">
        <f>IFERROR(__xludf.DUMMYFUNCTION("GOOGLETRANSLATE(A36608, ""de"", ""en"")"),"loeb")</f>
        <v>loeb</v>
      </c>
    </row>
    <row r="36609">
      <c r="A36609" s="1" t="s">
        <v>36608</v>
      </c>
      <c r="B36609" s="2" t="str">
        <f>IFERROR(__xludf.DUMMYFUNCTION("GOOGLETRANSLATE(A36609, ""de"", ""en"")"),"necessarily")</f>
        <v>necessarily</v>
      </c>
    </row>
    <row r="36610">
      <c r="A36610" s="1" t="s">
        <v>36609</v>
      </c>
      <c r="B36610" s="2" t="str">
        <f>IFERROR(__xludf.DUMMYFUNCTION("GOOGLETRANSLATE(A36610, ""de"", ""en"")"),"ansel")</f>
        <v>ansel</v>
      </c>
    </row>
    <row r="36611">
      <c r="A36611" s="1" t="s">
        <v>36610</v>
      </c>
      <c r="B36611" s="2" t="str">
        <f>IFERROR(__xludf.DUMMYFUNCTION("GOOGLETRANSLATE(A36611, ""de"", ""en"")"),"distortion")</f>
        <v>distortion</v>
      </c>
    </row>
    <row r="36612">
      <c r="A36612" s="1" t="s">
        <v>36611</v>
      </c>
      <c r="B36612" s="2" t="str">
        <f>IFERROR(__xludf.DUMMYFUNCTION("GOOGLETRANSLATE(A36612, ""de"", ""en"")"),"carefree")</f>
        <v>carefree</v>
      </c>
    </row>
    <row r="36613">
      <c r="A36613" s="1" t="s">
        <v>36612</v>
      </c>
      <c r="B36613" s="2" t="str">
        <f>IFERROR(__xludf.DUMMYFUNCTION("GOOGLETRANSLATE(A36613, ""de"", ""en"")"),"bring about")</f>
        <v>bring about</v>
      </c>
    </row>
    <row r="36614">
      <c r="A36614" s="1" t="s">
        <v>36613</v>
      </c>
      <c r="B36614" s="2" t="str">
        <f>IFERROR(__xludf.DUMMYFUNCTION("GOOGLETRANSLATE(A36614, ""de"", ""en"")"),"keefe")</f>
        <v>keefe</v>
      </c>
    </row>
    <row r="36615">
      <c r="A36615" s="1" t="s">
        <v>36614</v>
      </c>
      <c r="B36615" s="2" t="str">
        <f>IFERROR(__xludf.DUMMYFUNCTION("GOOGLETRANSLATE(A36615, ""de"", ""en"")"),"trapp")</f>
        <v>trapp</v>
      </c>
    </row>
    <row r="36616">
      <c r="A36616" s="1" t="s">
        <v>36615</v>
      </c>
      <c r="B36616" s="2" t="str">
        <f>IFERROR(__xludf.DUMMYFUNCTION("GOOGLETRANSLATE(A36616, ""de"", ""en"")"),"ode")</f>
        <v>ode</v>
      </c>
    </row>
    <row r="36617">
      <c r="A36617" s="1" t="s">
        <v>36616</v>
      </c>
      <c r="B36617" s="2" t="str">
        <f>IFERROR(__xludf.DUMMYFUNCTION("GOOGLETRANSLATE(A36617, ""de"", ""en"")"),"blessed")</f>
        <v>blessed</v>
      </c>
    </row>
    <row r="36618">
      <c r="A36618" s="1" t="s">
        <v>36617</v>
      </c>
      <c r="B36618" s="2" t="str">
        <f>IFERROR(__xludf.DUMMYFUNCTION("GOOGLETRANSLATE(A36618, ""de"", ""en"")"),"sylvain")</f>
        <v>sylvain</v>
      </c>
    </row>
    <row r="36619">
      <c r="A36619" s="1" t="s">
        <v>36618</v>
      </c>
      <c r="B36619" s="2" t="str">
        <f>IFERROR(__xludf.DUMMYFUNCTION("GOOGLETRANSLATE(A36619, ""de"", ""en"")"),"borge")</f>
        <v>borge</v>
      </c>
    </row>
    <row r="36620">
      <c r="A36620" s="1" t="s">
        <v>36619</v>
      </c>
      <c r="B36620" s="2" t="str">
        <f>IFERROR(__xludf.DUMMYFUNCTION("GOOGLETRANSLATE(A36620, ""de"", ""en"")"),"more closed")</f>
        <v>more closed</v>
      </c>
    </row>
    <row r="36621">
      <c r="A36621" s="1" t="s">
        <v>36620</v>
      </c>
      <c r="B36621" s="2" t="str">
        <f>IFERROR(__xludf.DUMMYFUNCTION("GOOGLETRANSLATE(A36621, ""de"", ""en"")"),"glitters")</f>
        <v>glitters</v>
      </c>
    </row>
    <row r="36622">
      <c r="A36622" s="1" t="s">
        <v>36621</v>
      </c>
      <c r="B36622" s="2" t="str">
        <f>IFERROR(__xludf.DUMMYFUNCTION("GOOGLETRANSLATE(A36622, ""de"", ""en"")"),"muscle hunk")</f>
        <v>muscle hunk</v>
      </c>
    </row>
    <row r="36623">
      <c r="A36623" s="1" t="s">
        <v>36622</v>
      </c>
      <c r="B36623" s="2" t="str">
        <f>IFERROR(__xludf.DUMMYFUNCTION("GOOGLETRANSLATE(A36623, ""de"", ""en"")"),"argumentation")</f>
        <v>argumentation</v>
      </c>
    </row>
    <row r="36624">
      <c r="A36624" s="1" t="s">
        <v>36623</v>
      </c>
      <c r="B36624" s="2" t="str">
        <f>IFERROR(__xludf.DUMMYFUNCTION("GOOGLETRANSLATE(A36624, ""de"", ""en"")"),"juana")</f>
        <v>juana</v>
      </c>
    </row>
    <row r="36625">
      <c r="A36625" s="1" t="s">
        <v>36624</v>
      </c>
      <c r="B36625" s="2" t="str">
        <f>IFERROR(__xludf.DUMMYFUNCTION("GOOGLETRANSLATE(A36625, ""de"", ""en"")"),"lasts")</f>
        <v>lasts</v>
      </c>
    </row>
    <row r="36626">
      <c r="A36626" s="1" t="s">
        <v>36625</v>
      </c>
      <c r="B36626" s="2" t="str">
        <f>IFERROR(__xludf.DUMMYFUNCTION("GOOGLETRANSLATE(A36626, ""de"", ""en"")"),"suspected")</f>
        <v>suspected</v>
      </c>
    </row>
    <row r="36627">
      <c r="A36627" s="1" t="s">
        <v>36626</v>
      </c>
      <c r="B36627" s="2" t="str">
        <f>IFERROR(__xludf.DUMMYFUNCTION("GOOGLETRANSLATE(A36627, ""de"", ""en"")"),"symbols")</f>
        <v>symbols</v>
      </c>
    </row>
    <row r="36628">
      <c r="A36628" s="1" t="s">
        <v>36627</v>
      </c>
      <c r="B36628" s="2" t="str">
        <f>IFERROR(__xludf.DUMMYFUNCTION("GOOGLETRANSLATE(A36628, ""de"", ""en"")"),"absolutely")</f>
        <v>absolutely</v>
      </c>
    </row>
    <row r="36629">
      <c r="A36629" s="1" t="s">
        <v>36628</v>
      </c>
      <c r="B36629" s="2" t="str">
        <f>IFERROR(__xludf.DUMMYFUNCTION("GOOGLETRANSLATE(A36629, ""de"", ""en"")"),"harmonious")</f>
        <v>harmonious</v>
      </c>
    </row>
    <row r="36630">
      <c r="A36630" s="1" t="s">
        <v>36629</v>
      </c>
      <c r="B36630" s="2" t="str">
        <f>IFERROR(__xludf.DUMMYFUNCTION("GOOGLETRANSLATE(A36630, ""de"", ""en"")"),"taken apart")</f>
        <v>taken apart</v>
      </c>
    </row>
    <row r="36631">
      <c r="A36631" s="1" t="s">
        <v>36630</v>
      </c>
      <c r="B36631" s="2" t="str">
        <f>IFERROR(__xludf.DUMMYFUNCTION("GOOGLETRANSLATE(A36631, ""de"", ""en"")"),"grape")</f>
        <v>grape</v>
      </c>
    </row>
    <row r="36632">
      <c r="A36632" s="1" t="s">
        <v>36631</v>
      </c>
      <c r="B36632" s="2" t="str">
        <f>IFERROR(__xludf.DUMMYFUNCTION("GOOGLETRANSLATE(A36632, ""de"", ""en"")"),"helo")</f>
        <v>helo</v>
      </c>
    </row>
    <row r="36633">
      <c r="A36633" s="1" t="s">
        <v>36632</v>
      </c>
      <c r="B36633" s="2" t="str">
        <f>IFERROR(__xludf.DUMMYFUNCTION("GOOGLETRANSLATE(A36633, ""de"", ""en"")"),"zeynep")</f>
        <v>zeynep</v>
      </c>
    </row>
    <row r="36634">
      <c r="A36634" s="1" t="s">
        <v>36633</v>
      </c>
      <c r="B36634" s="2" t="str">
        <f>IFERROR(__xludf.DUMMYFUNCTION("GOOGLETRANSLATE(A36634, ""de"", ""en"")"),"receiver")</f>
        <v>receiver</v>
      </c>
    </row>
    <row r="36635">
      <c r="A36635" s="1" t="s">
        <v>36634</v>
      </c>
      <c r="B36635" s="2" t="str">
        <f>IFERROR(__xludf.DUMMYFUNCTION("GOOGLETRANSLATE(A36635, ""de"", ""en"")"),"need")</f>
        <v>need</v>
      </c>
    </row>
    <row r="36636">
      <c r="A36636" s="1" t="s">
        <v>36635</v>
      </c>
      <c r="B36636" s="2" t="str">
        <f>IFERROR(__xludf.DUMMYFUNCTION("GOOGLETRANSLATE(A36636, ""de"", ""en"")"),"crab")</f>
        <v>crab</v>
      </c>
    </row>
    <row r="36637">
      <c r="A36637" s="1" t="s">
        <v>36636</v>
      </c>
      <c r="B36637" s="2" t="str">
        <f>IFERROR(__xludf.DUMMYFUNCTION("GOOGLETRANSLATE(A36637, ""de"", ""en"")"),"wetter")</f>
        <v>wetter</v>
      </c>
    </row>
    <row r="36638">
      <c r="A36638" s="1" t="s">
        <v>36637</v>
      </c>
      <c r="B36638" s="2" t="str">
        <f>IFERROR(__xludf.DUMMYFUNCTION("GOOGLETRANSLATE(A36638, ""de"", ""en"")"),"inferior ones")</f>
        <v>inferior ones</v>
      </c>
    </row>
    <row r="36639">
      <c r="A36639" s="1" t="s">
        <v>36638</v>
      </c>
      <c r="B36639" s="2" t="str">
        <f>IFERROR(__xludf.DUMMYFUNCTION("GOOGLETRANSLATE(A36639, ""de"", ""en"")"),"lost property office")</f>
        <v>lost property office</v>
      </c>
    </row>
    <row r="36640">
      <c r="A36640" s="1" t="s">
        <v>36639</v>
      </c>
      <c r="B36640" s="2" t="str">
        <f>IFERROR(__xludf.DUMMYFUNCTION("GOOGLETRANSLATE(A36640, ""de"", ""en"")"),"favored")</f>
        <v>favored</v>
      </c>
    </row>
    <row r="36641">
      <c r="A36641" s="1" t="s">
        <v>36640</v>
      </c>
      <c r="B36641" s="2" t="str">
        <f>IFERROR(__xludf.DUMMYFUNCTION("GOOGLETRANSLATE(A36641, ""de"", ""en"")"),"hur")</f>
        <v>hur</v>
      </c>
    </row>
    <row r="36642">
      <c r="A36642" s="1" t="s">
        <v>36641</v>
      </c>
      <c r="B36642" s="2" t="str">
        <f>IFERROR(__xludf.DUMMYFUNCTION("GOOGLETRANSLATE(A36642, ""de"", ""en"")"),"death threats")</f>
        <v>death threats</v>
      </c>
    </row>
    <row r="36643">
      <c r="A36643" s="1" t="s">
        <v>36642</v>
      </c>
      <c r="B36643" s="2" t="str">
        <f>IFERROR(__xludf.DUMMYFUNCTION("GOOGLETRANSLATE(A36643, ""de"", ""en"")"),"switches off")</f>
        <v>switches off</v>
      </c>
    </row>
    <row r="36644">
      <c r="A36644" s="1" t="s">
        <v>36643</v>
      </c>
      <c r="B36644" s="2" t="str">
        <f>IFERROR(__xludf.DUMMYFUNCTION("GOOGLETRANSLATE(A36644, ""de"", ""en"")"),"Bonn")</f>
        <v>Bonn</v>
      </c>
    </row>
    <row r="36645">
      <c r="A36645" s="1" t="s">
        <v>36644</v>
      </c>
      <c r="B36645" s="2" t="str">
        <f>IFERROR(__xludf.DUMMYFUNCTION("GOOGLETRANSLATE(A36645, ""de"", ""en"")"),"upset stomach")</f>
        <v>upset stomach</v>
      </c>
    </row>
    <row r="36646">
      <c r="A36646" s="1" t="s">
        <v>36645</v>
      </c>
      <c r="B36646" s="2" t="str">
        <f>IFERROR(__xludf.DUMMYFUNCTION("GOOGLETRANSLATE(A36646, ""de"", ""en"")"),"screaming")</f>
        <v>screaming</v>
      </c>
    </row>
    <row r="36647">
      <c r="A36647" s="1" t="s">
        <v>36646</v>
      </c>
      <c r="B36647" s="2" t="str">
        <f>IFERROR(__xludf.DUMMYFUNCTION("GOOGLETRANSLATE(A36647, ""de"", ""en"")"),"influential")</f>
        <v>influential</v>
      </c>
    </row>
    <row r="36648">
      <c r="A36648" s="1" t="s">
        <v>36647</v>
      </c>
      <c r="B36648" s="2" t="str">
        <f>IFERROR(__xludf.DUMMYFUNCTION("GOOGLETRANSLATE(A36648, ""de"", ""en"")"),"wasps")</f>
        <v>wasps</v>
      </c>
    </row>
    <row r="36649">
      <c r="A36649" s="1" t="s">
        <v>36648</v>
      </c>
      <c r="B36649" s="2" t="str">
        <f>IFERROR(__xludf.DUMMYFUNCTION("GOOGLETRANSLATE(A36649, ""de"", ""en"")"),"suggestion")</f>
        <v>suggestion</v>
      </c>
    </row>
    <row r="36650">
      <c r="A36650" s="1" t="s">
        <v>36649</v>
      </c>
      <c r="B36650" s="2" t="str">
        <f>IFERROR(__xludf.DUMMYFUNCTION("GOOGLETRANSLATE(A36650, ""de"", ""en"")"),"occupied")</f>
        <v>occupied</v>
      </c>
    </row>
    <row r="36651">
      <c r="A36651" s="1" t="s">
        <v>36650</v>
      </c>
      <c r="B36651" s="2" t="str">
        <f>IFERROR(__xludf.DUMMYFUNCTION("GOOGLETRANSLATE(A36651, ""de"", ""en"")"),"heart's desire")</f>
        <v>heart's desire</v>
      </c>
    </row>
    <row r="36652">
      <c r="A36652" s="1" t="s">
        <v>36651</v>
      </c>
      <c r="B36652" s="2" t="str">
        <f>IFERROR(__xludf.DUMMYFUNCTION("GOOGLETRANSLATE(A36652, ""de"", ""en"")"),"to shake off")</f>
        <v>to shake off</v>
      </c>
    </row>
    <row r="36653">
      <c r="A36653" s="1" t="s">
        <v>36652</v>
      </c>
      <c r="B36653" s="2" t="str">
        <f>IFERROR(__xludf.DUMMYFUNCTION("GOOGLETRANSLATE(A36653, ""de"", ""en"")"),"stottlemeyer")</f>
        <v>stottlemeyer</v>
      </c>
    </row>
    <row r="36654">
      <c r="A36654" s="1" t="s">
        <v>36653</v>
      </c>
      <c r="B36654" s="2" t="str">
        <f>IFERROR(__xludf.DUMMYFUNCTION("GOOGLETRANSLATE(A36654, ""de"", ""en"")"),"blackbeard")</f>
        <v>blackbeard</v>
      </c>
    </row>
    <row r="36655">
      <c r="A36655" s="1" t="s">
        <v>36654</v>
      </c>
      <c r="B36655" s="2" t="str">
        <f>IFERROR(__xludf.DUMMYFUNCTION("GOOGLETRANSLATE(A36655, ""de"", ""en"")"),"millers")</f>
        <v>millers</v>
      </c>
    </row>
    <row r="36656">
      <c r="A36656" s="1" t="s">
        <v>36655</v>
      </c>
      <c r="B36656" s="2" t="str">
        <f>IFERROR(__xludf.DUMMYFUNCTION("GOOGLETRANSLATE(A36656, ""de"", ""en"")"),"latex")</f>
        <v>latex</v>
      </c>
    </row>
    <row r="36657">
      <c r="A36657" s="1" t="s">
        <v>36656</v>
      </c>
      <c r="B36657" s="2" t="str">
        <f>IFERROR(__xludf.DUMMYFUNCTION("GOOGLETRANSLATE(A36657, ""de"", ""en"")"),"proton")</f>
        <v>proton</v>
      </c>
    </row>
    <row r="36658">
      <c r="A36658" s="1" t="s">
        <v>36657</v>
      </c>
      <c r="B36658" s="2" t="str">
        <f>IFERROR(__xludf.DUMMYFUNCTION("GOOGLETRANSLATE(A36658, ""de"", ""en"")"),"remained silent")</f>
        <v>remained silent</v>
      </c>
    </row>
    <row r="36659">
      <c r="A36659" s="1" t="s">
        <v>36658</v>
      </c>
      <c r="B36659" s="2" t="str">
        <f>IFERROR(__xludf.DUMMYFUNCTION("GOOGLETRANSLATE(A36659, ""de"", ""en"")"),"Barely")</f>
        <v>Barely</v>
      </c>
    </row>
    <row r="36660">
      <c r="A36660" s="1" t="s">
        <v>36659</v>
      </c>
      <c r="B36660" s="2" t="str">
        <f>IFERROR(__xludf.DUMMYFUNCTION("GOOGLETRANSLATE(A36660, ""de"", ""en"")"),"glider")</f>
        <v>glider</v>
      </c>
    </row>
    <row r="36661">
      <c r="A36661" s="1" t="s">
        <v>36660</v>
      </c>
      <c r="B36661" s="2" t="str">
        <f>IFERROR(__xludf.DUMMYFUNCTION("GOOGLETRANSLATE(A36661, ""de"", ""en"")"),"interestingly")</f>
        <v>interestingly</v>
      </c>
    </row>
    <row r="36662">
      <c r="A36662" s="1" t="s">
        <v>36661</v>
      </c>
      <c r="B36662" s="2" t="str">
        <f>IFERROR(__xludf.DUMMYFUNCTION("GOOGLETRANSLATE(A36662, ""de"", ""en"")"),"Taylor")</f>
        <v>Taylor</v>
      </c>
    </row>
    <row r="36663">
      <c r="A36663" s="1" t="s">
        <v>36662</v>
      </c>
      <c r="B36663" s="2" t="str">
        <f>IFERROR(__xludf.DUMMYFUNCTION("GOOGLETRANSLATE(A36663, ""de"", ""en"")"),"shockley")</f>
        <v>shockley</v>
      </c>
    </row>
    <row r="36664">
      <c r="A36664" s="1" t="s">
        <v>36663</v>
      </c>
      <c r="B36664" s="2" t="str">
        <f>IFERROR(__xludf.DUMMYFUNCTION("GOOGLETRANSLATE(A36664, ""de"", ""en"")"),"degradation")</f>
        <v>degradation</v>
      </c>
    </row>
    <row r="36665">
      <c r="A36665" s="1" t="s">
        <v>36664</v>
      </c>
      <c r="B36665" s="2" t="str">
        <f>IFERROR(__xludf.DUMMYFUNCTION("GOOGLETRANSLATE(A36665, ""de"", ""en"")"),"theory")</f>
        <v>theory</v>
      </c>
    </row>
    <row r="36666">
      <c r="A36666" s="1" t="s">
        <v>36665</v>
      </c>
      <c r="B36666" s="2" t="str">
        <f>IFERROR(__xludf.DUMMYFUNCTION("GOOGLETRANSLATE(A36666, ""de"", ""en"")"),"etta")</f>
        <v>etta</v>
      </c>
    </row>
    <row r="36667">
      <c r="A36667" s="1" t="s">
        <v>36666</v>
      </c>
      <c r="B36667" s="2" t="str">
        <f>IFERROR(__xludf.DUMMYFUNCTION("GOOGLETRANSLATE(A36667, ""de"", ""en"")"),"since")</f>
        <v>since</v>
      </c>
    </row>
    <row r="36668">
      <c r="A36668" s="1" t="s">
        <v>36667</v>
      </c>
      <c r="B36668" s="2" t="str">
        <f>IFERROR(__xludf.DUMMYFUNCTION("GOOGLETRANSLATE(A36668, ""de"", ""en"")"),"centurion")</f>
        <v>centurion</v>
      </c>
    </row>
    <row r="36669">
      <c r="A36669" s="1" t="s">
        <v>36668</v>
      </c>
      <c r="B36669" s="2" t="str">
        <f>IFERROR(__xludf.DUMMYFUNCTION("GOOGLETRANSLATE(A36669, ""de"", ""en"")"),"highest ranking")</f>
        <v>highest ranking</v>
      </c>
    </row>
    <row r="36670">
      <c r="A36670" s="1" t="s">
        <v>36669</v>
      </c>
      <c r="B36670" s="2" t="str">
        <f>IFERROR(__xludf.DUMMYFUNCTION("GOOGLETRANSLATE(A36670, ""de"", ""en"")"),"chaperone")</f>
        <v>chaperone</v>
      </c>
    </row>
    <row r="36671">
      <c r="A36671" s="1" t="s">
        <v>36670</v>
      </c>
      <c r="B36671" s="2" t="str">
        <f>IFERROR(__xludf.DUMMYFUNCTION("GOOGLETRANSLATE(A36671, ""de"", ""en"")"),"to live together")</f>
        <v>to live together</v>
      </c>
    </row>
    <row r="36672">
      <c r="A36672" s="1" t="s">
        <v>36671</v>
      </c>
      <c r="B36672" s="2" t="str">
        <f>IFERROR(__xludf.DUMMYFUNCTION("GOOGLETRANSLATE(A36672, ""de"", ""en"")"),"hitch")</f>
        <v>hitch</v>
      </c>
    </row>
    <row r="36673">
      <c r="A36673" s="1" t="s">
        <v>36672</v>
      </c>
      <c r="B36673" s="2" t="str">
        <f>IFERROR(__xludf.DUMMYFUNCTION("GOOGLETRANSLATE(A36673, ""de"", ""en"")"),"Brannigan")</f>
        <v>Brannigan</v>
      </c>
    </row>
    <row r="36674">
      <c r="A36674" s="1" t="s">
        <v>36673</v>
      </c>
      <c r="B36674" s="2" t="str">
        <f>IFERROR(__xludf.DUMMYFUNCTION("GOOGLETRANSLATE(A36674, ""de"", ""en"")"),"filled")</f>
        <v>filled</v>
      </c>
    </row>
    <row r="36675">
      <c r="A36675" s="1" t="s">
        <v>36674</v>
      </c>
      <c r="B36675" s="2" t="str">
        <f>IFERROR(__xludf.DUMMYFUNCTION("GOOGLETRANSLATE(A36675, ""de"", ""en"")"),"required")</f>
        <v>required</v>
      </c>
    </row>
    <row r="36676">
      <c r="A36676" s="1" t="s">
        <v>36675</v>
      </c>
      <c r="B36676" s="2" t="str">
        <f>IFERROR(__xludf.DUMMYFUNCTION("GOOGLETRANSLATE(A36676, ""de"", ""en"")"),"tear down")</f>
        <v>tear down</v>
      </c>
    </row>
    <row r="36677">
      <c r="A36677" s="1" t="s">
        <v>36676</v>
      </c>
      <c r="B36677" s="2" t="str">
        <f>IFERROR(__xludf.DUMMYFUNCTION("GOOGLETRANSLATE(A36677, ""de"", ""en"")"),"reveal")</f>
        <v>reveal</v>
      </c>
    </row>
    <row r="36678">
      <c r="A36678" s="1" t="s">
        <v>36677</v>
      </c>
      <c r="B36678" s="2" t="str">
        <f>IFERROR(__xludf.DUMMYFUNCTION("GOOGLETRANSLATE(A36678, ""de"", ""en"")"),"particle accelerator")</f>
        <v>particle accelerator</v>
      </c>
    </row>
    <row r="36679">
      <c r="A36679" s="1" t="s">
        <v>36678</v>
      </c>
      <c r="B36679" s="2" t="str">
        <f>IFERROR(__xludf.DUMMYFUNCTION("GOOGLETRANSLATE(A36679, ""de"", ""en"")"),"masterly")</f>
        <v>masterly</v>
      </c>
    </row>
    <row r="36680">
      <c r="A36680" s="1" t="s">
        <v>36679</v>
      </c>
      <c r="B36680" s="2" t="str">
        <f>IFERROR(__xludf.DUMMYFUNCTION("GOOGLETRANSLATE(A36680, ""de"", ""en"")"),"octopus")</f>
        <v>octopus</v>
      </c>
    </row>
    <row r="36681">
      <c r="A36681" s="1" t="s">
        <v>36680</v>
      </c>
      <c r="B36681" s="2" t="str">
        <f>IFERROR(__xludf.DUMMYFUNCTION("GOOGLETRANSLATE(A36681, ""de"", ""en"")"),"tweet")</f>
        <v>tweet</v>
      </c>
    </row>
    <row r="36682">
      <c r="A36682" s="1" t="s">
        <v>36681</v>
      </c>
      <c r="B36682" s="2" t="str">
        <f>IFERROR(__xludf.DUMMYFUNCTION("GOOGLETRANSLATE(A36682, ""de"", ""en"")"),"right of way")</f>
        <v>right of way</v>
      </c>
    </row>
    <row r="36683">
      <c r="A36683" s="1" t="s">
        <v>36682</v>
      </c>
      <c r="B36683" s="2" t="str">
        <f>IFERROR(__xludf.DUMMYFUNCTION("GOOGLETRANSLATE(A36683, ""de"", ""en"")"),"Nantes")</f>
        <v>Nantes</v>
      </c>
    </row>
    <row r="36684">
      <c r="A36684" s="1" t="s">
        <v>36683</v>
      </c>
      <c r="B36684" s="2" t="str">
        <f>IFERROR(__xludf.DUMMYFUNCTION("GOOGLETRANSLATE(A36684, ""de"", ""en"")"),"enveloped")</f>
        <v>enveloped</v>
      </c>
    </row>
    <row r="36685">
      <c r="A36685" s="1" t="s">
        <v>36684</v>
      </c>
      <c r="B36685" s="2" t="str">
        <f>IFERROR(__xludf.DUMMYFUNCTION("GOOGLETRANSLATE(A36685, ""de"", ""en"")"),"Iranian")</f>
        <v>Iranian</v>
      </c>
    </row>
    <row r="36686">
      <c r="A36686" s="1" t="s">
        <v>36685</v>
      </c>
      <c r="B36686" s="2" t="str">
        <f>IFERROR(__xludf.DUMMYFUNCTION("GOOGLETRANSLATE(A36686, ""de"", ""en"")"),"gt")</f>
        <v>gt</v>
      </c>
    </row>
    <row r="36687">
      <c r="A36687" s="1" t="s">
        <v>36686</v>
      </c>
      <c r="B36687" s="2" t="str">
        <f>IFERROR(__xludf.DUMMYFUNCTION("GOOGLETRANSLATE(A36687, ""de"", ""en"")"),"escapades")</f>
        <v>escapades</v>
      </c>
    </row>
    <row r="36688">
      <c r="A36688" s="1" t="s">
        <v>36687</v>
      </c>
      <c r="B36688" s="2" t="str">
        <f>IFERROR(__xludf.DUMMYFUNCTION("GOOGLETRANSLATE(A36688, ""de"", ""en"")"),"reprehensible")</f>
        <v>reprehensible</v>
      </c>
    </row>
    <row r="36689">
      <c r="A36689" s="1" t="s">
        <v>36688</v>
      </c>
      <c r="B36689" s="2" t="str">
        <f>IFERROR(__xludf.DUMMYFUNCTION("GOOGLETRANSLATE(A36689, ""de"", ""en"")"),"former")</f>
        <v>former</v>
      </c>
    </row>
    <row r="36690">
      <c r="A36690" s="1" t="s">
        <v>36689</v>
      </c>
      <c r="B36690" s="2" t="str">
        <f>IFERROR(__xludf.DUMMYFUNCTION("GOOGLETRANSLATE(A36690, ""de"", ""en"")"),"pants")</f>
        <v>pants</v>
      </c>
    </row>
    <row r="36691">
      <c r="A36691" s="1" t="s">
        <v>36690</v>
      </c>
      <c r="B36691" s="2" t="str">
        <f>IFERROR(__xludf.DUMMYFUNCTION("GOOGLETRANSLATE(A36691, ""de"", ""en"")"),"sneezed")</f>
        <v>sneezed</v>
      </c>
    </row>
    <row r="36692">
      <c r="A36692" s="1" t="s">
        <v>36691</v>
      </c>
      <c r="B36692" s="2" t="str">
        <f>IFERROR(__xludf.DUMMYFUNCTION("GOOGLETRANSLATE(A36692, ""de"", ""en"")"),"sympathies")</f>
        <v>sympathies</v>
      </c>
    </row>
    <row r="36693">
      <c r="A36693" s="1" t="s">
        <v>36692</v>
      </c>
      <c r="B36693" s="2" t="str">
        <f>IFERROR(__xludf.DUMMYFUNCTION("GOOGLETRANSLATE(A36693, ""de"", ""en"")"),"catch")</f>
        <v>catch</v>
      </c>
    </row>
    <row r="36694">
      <c r="A36694" s="1" t="s">
        <v>36693</v>
      </c>
      <c r="B36694" s="2" t="str">
        <f>IFERROR(__xludf.DUMMYFUNCTION("GOOGLETRANSLATE(A36694, ""de"", ""en"")"),"minor")</f>
        <v>minor</v>
      </c>
    </row>
    <row r="36695">
      <c r="A36695" s="1" t="s">
        <v>36694</v>
      </c>
      <c r="B36695" s="2" t="str">
        <f>IFERROR(__xludf.DUMMYFUNCTION("GOOGLETRANSLATE(A36695, ""de"", ""en"")"),"malp")</f>
        <v>malp</v>
      </c>
    </row>
    <row r="36696">
      <c r="A36696" s="1" t="s">
        <v>36695</v>
      </c>
      <c r="B36696" s="2" t="str">
        <f>IFERROR(__xludf.DUMMYFUNCTION("GOOGLETRANSLATE(A36696, ""de"", ""en"")"),"maze")</f>
        <v>maze</v>
      </c>
    </row>
    <row r="36697">
      <c r="A36697" s="1" t="s">
        <v>36696</v>
      </c>
      <c r="B36697" s="2" t="str">
        <f>IFERROR(__xludf.DUMMYFUNCTION("GOOGLETRANSLATE(A36697, ""de"", ""en"")"),"mascara")</f>
        <v>mascara</v>
      </c>
    </row>
    <row r="36698">
      <c r="A36698" s="1" t="s">
        <v>36697</v>
      </c>
      <c r="B36698" s="2" t="str">
        <f>IFERROR(__xludf.DUMMYFUNCTION("GOOGLETRANSLATE(A36698, ""de"", ""en"")"),"main problem")</f>
        <v>main problem</v>
      </c>
    </row>
    <row r="36699">
      <c r="A36699" s="1" t="s">
        <v>36698</v>
      </c>
      <c r="B36699" s="2" t="str">
        <f>IFERROR(__xludf.DUMMYFUNCTION("GOOGLETRANSLATE(A36699, ""de"", ""en"")"),"appropriate")</f>
        <v>appropriate</v>
      </c>
    </row>
    <row r="36700">
      <c r="A36700" s="1" t="s">
        <v>36699</v>
      </c>
      <c r="B36700" s="2" t="str">
        <f>IFERROR(__xludf.DUMMYFUNCTION("GOOGLETRANSLATE(A36700, ""de"", ""en"")"),"pedophiles")</f>
        <v>pedophiles</v>
      </c>
    </row>
    <row r="36701">
      <c r="A36701" s="1" t="s">
        <v>36700</v>
      </c>
      <c r="B36701" s="2" t="str">
        <f>IFERROR(__xludf.DUMMYFUNCTION("GOOGLETRANSLATE(A36701, ""de"", ""en"")"),"Navajo")</f>
        <v>Navajo</v>
      </c>
    </row>
    <row r="36702">
      <c r="A36702" s="1" t="s">
        <v>36701</v>
      </c>
      <c r="B36702" s="2" t="str">
        <f>IFERROR(__xludf.DUMMYFUNCTION("GOOGLETRANSLATE(A36702, ""de"", ""en"")"),"pink")</f>
        <v>pink</v>
      </c>
    </row>
    <row r="36703">
      <c r="A36703" s="1" t="s">
        <v>36702</v>
      </c>
      <c r="B36703" s="2" t="str">
        <f>IFERROR(__xludf.DUMMYFUNCTION("GOOGLETRANSLATE(A36703, ""de"", ""en"")"),"rituals")</f>
        <v>rituals</v>
      </c>
    </row>
    <row r="36704">
      <c r="A36704" s="1" t="s">
        <v>36703</v>
      </c>
      <c r="B36704" s="2" t="str">
        <f>IFERROR(__xludf.DUMMYFUNCTION("GOOGLETRANSLATE(A36704, ""de"", ""en"")"),"somersault")</f>
        <v>somersault</v>
      </c>
    </row>
    <row r="36705">
      <c r="A36705" s="1" t="s">
        <v>36704</v>
      </c>
      <c r="B36705" s="2" t="str">
        <f>IFERROR(__xludf.DUMMYFUNCTION("GOOGLETRANSLATE(A36705, ""de"", ""en"")"),"pumps")</f>
        <v>pumps</v>
      </c>
    </row>
    <row r="36706">
      <c r="A36706" s="1" t="s">
        <v>36705</v>
      </c>
      <c r="B36706" s="2" t="str">
        <f>IFERROR(__xludf.DUMMYFUNCTION("GOOGLETRANSLATE(A36706, ""de"", ""en"")"),"unauthorized")</f>
        <v>unauthorized</v>
      </c>
    </row>
    <row r="36707">
      <c r="A36707" s="1" t="s">
        <v>36706</v>
      </c>
      <c r="B36707" s="2" t="str">
        <f>IFERROR(__xludf.DUMMYFUNCTION("GOOGLETRANSLATE(A36707, ""de"", ""en"")"),"speedster")</f>
        <v>speedster</v>
      </c>
    </row>
    <row r="36708">
      <c r="A36708" s="1" t="s">
        <v>36707</v>
      </c>
      <c r="B36708" s="2" t="str">
        <f>IFERROR(__xludf.DUMMYFUNCTION("GOOGLETRANSLATE(A36708, ""de"", ""en"")"),"molecular")</f>
        <v>molecular</v>
      </c>
    </row>
    <row r="36709">
      <c r="A36709" s="1" t="s">
        <v>36708</v>
      </c>
      <c r="B36709" s="2" t="str">
        <f>IFERROR(__xludf.DUMMYFUNCTION("GOOGLETRANSLATE(A36709, ""de"", ""en"")"),"velvet")</f>
        <v>velvet</v>
      </c>
    </row>
    <row r="36710">
      <c r="A36710" s="1" t="s">
        <v>36709</v>
      </c>
      <c r="B36710" s="2" t="str">
        <f>IFERROR(__xludf.DUMMYFUNCTION("GOOGLETRANSLATE(A36710, ""de"", ""en"")"),"casual")</f>
        <v>casual</v>
      </c>
    </row>
    <row r="36711">
      <c r="A36711" s="1" t="s">
        <v>36710</v>
      </c>
      <c r="B36711" s="2" t="str">
        <f>IFERROR(__xludf.DUMMYFUNCTION("GOOGLETRANSLATE(A36711, ""de"", ""en"")"),"brutal")</f>
        <v>brutal</v>
      </c>
    </row>
    <row r="36712">
      <c r="A36712" s="1" t="s">
        <v>36711</v>
      </c>
      <c r="B36712" s="2" t="str">
        <f>IFERROR(__xludf.DUMMYFUNCTION("GOOGLETRANSLATE(A36712, ""de"", ""en"")"),"transit")</f>
        <v>transit</v>
      </c>
    </row>
    <row r="36713">
      <c r="A36713" s="1" t="s">
        <v>36712</v>
      </c>
      <c r="B36713" s="2" t="str">
        <f>IFERROR(__xludf.DUMMYFUNCTION("GOOGLETRANSLATE(A36713, ""de"", ""en"")"),"to install")</f>
        <v>to install</v>
      </c>
    </row>
    <row r="36714">
      <c r="A36714" s="1" t="s">
        <v>36713</v>
      </c>
      <c r="B36714" s="2" t="str">
        <f>IFERROR(__xludf.DUMMYFUNCTION("GOOGLETRANSLATE(A36714, ""de"", ""en"")"),"be behind it")</f>
        <v>be behind it</v>
      </c>
    </row>
    <row r="36715">
      <c r="A36715" s="1" t="s">
        <v>36714</v>
      </c>
      <c r="B36715" s="2" t="str">
        <f>IFERROR(__xludf.DUMMYFUNCTION("GOOGLETRANSLATE(A36715, ""de"", ""en"")"),"look")</f>
        <v>look</v>
      </c>
    </row>
    <row r="36716">
      <c r="A36716" s="1" t="s">
        <v>36715</v>
      </c>
      <c r="B36716" s="2" t="str">
        <f>IFERROR(__xludf.DUMMYFUNCTION("GOOGLETRANSLATE(A36716, ""de"", ""en"")"),"rachid")</f>
        <v>rachid</v>
      </c>
    </row>
    <row r="36717">
      <c r="A36717" s="1" t="s">
        <v>36716</v>
      </c>
      <c r="B36717" s="2" t="str">
        <f>IFERROR(__xludf.DUMMYFUNCTION("GOOGLETRANSLATE(A36717, ""de"", ""en"")"),"pleasures")</f>
        <v>pleasures</v>
      </c>
    </row>
    <row r="36718">
      <c r="A36718" s="1" t="s">
        <v>36717</v>
      </c>
      <c r="B36718" s="2" t="str">
        <f>IFERROR(__xludf.DUMMYFUNCTION("GOOGLETRANSLATE(A36718, ""de"", ""en"")"),"ice cold")</f>
        <v>ice cold</v>
      </c>
    </row>
    <row r="36719">
      <c r="A36719" s="1" t="s">
        <v>36718</v>
      </c>
      <c r="B36719" s="2" t="str">
        <f>IFERROR(__xludf.DUMMYFUNCTION("GOOGLETRANSLATE(A36719, ""de"", ""en"")"),"naturally")</f>
        <v>naturally</v>
      </c>
    </row>
    <row r="36720">
      <c r="A36720" s="1" t="s">
        <v>36719</v>
      </c>
      <c r="B36720" s="2" t="str">
        <f>IFERROR(__xludf.DUMMYFUNCTION("GOOGLETRANSLATE(A36720, ""de"", ""en"")"),"chaim")</f>
        <v>chaim</v>
      </c>
    </row>
    <row r="36721">
      <c r="A36721" s="1" t="s">
        <v>36720</v>
      </c>
      <c r="B36721" s="2" t="str">
        <f>IFERROR(__xludf.DUMMYFUNCTION("GOOGLETRANSLATE(A36721, ""de"", ""en"")"),"car dealer")</f>
        <v>car dealer</v>
      </c>
    </row>
    <row r="36722">
      <c r="A36722" s="1" t="s">
        <v>36721</v>
      </c>
      <c r="B36722" s="2" t="str">
        <f>IFERROR(__xludf.DUMMYFUNCTION("GOOGLETRANSLATE(A36722, ""de"", ""en"")"),"circulate")</f>
        <v>circulate</v>
      </c>
    </row>
    <row r="36723">
      <c r="A36723" s="1" t="s">
        <v>36722</v>
      </c>
      <c r="B36723" s="2" t="str">
        <f>IFERROR(__xludf.DUMMYFUNCTION("GOOGLETRANSLATE(A36723, ""de"", ""en"")"),"mentality")</f>
        <v>mentality</v>
      </c>
    </row>
    <row r="36724">
      <c r="A36724" s="1" t="s">
        <v>36723</v>
      </c>
      <c r="B36724" s="2" t="str">
        <f>IFERROR(__xludf.DUMMYFUNCTION("GOOGLETRANSLATE(A36724, ""de"", ""en"")"),"juicy")</f>
        <v>juicy</v>
      </c>
    </row>
    <row r="36725">
      <c r="A36725" s="1" t="s">
        <v>36724</v>
      </c>
      <c r="B36725" s="2" t="str">
        <f>IFERROR(__xludf.DUMMYFUNCTION("GOOGLETRANSLATE(A36725, ""de"", ""en"")"),"military school")</f>
        <v>military school</v>
      </c>
    </row>
    <row r="36726">
      <c r="A36726" s="1" t="s">
        <v>36725</v>
      </c>
      <c r="B36726" s="2" t="str">
        <f>IFERROR(__xludf.DUMMYFUNCTION("GOOGLETRANSLATE(A36726, ""de"", ""en"")"),"bend")</f>
        <v>bend</v>
      </c>
    </row>
    <row r="36727">
      <c r="A36727" s="1" t="s">
        <v>36726</v>
      </c>
      <c r="B36727" s="2" t="str">
        <f>IFERROR(__xludf.DUMMYFUNCTION("GOOGLETRANSLATE(A36727, ""de"", ""en"")"),"to step in")</f>
        <v>to step in</v>
      </c>
    </row>
    <row r="36728">
      <c r="A36728" s="1" t="s">
        <v>36727</v>
      </c>
      <c r="B36728" s="2" t="str">
        <f>IFERROR(__xludf.DUMMYFUNCTION("GOOGLETRANSLATE(A36728, ""de"", ""en"")"),"maw")</f>
        <v>maw</v>
      </c>
    </row>
    <row r="36729">
      <c r="A36729" s="1" t="s">
        <v>36728</v>
      </c>
      <c r="B36729" s="2" t="str">
        <f>IFERROR(__xludf.DUMMYFUNCTION("GOOGLETRANSLATE(A36729, ""de"", ""en"")"),"tomas")</f>
        <v>tomas</v>
      </c>
    </row>
    <row r="36730">
      <c r="A36730" s="1" t="s">
        <v>36729</v>
      </c>
      <c r="B36730" s="2" t="str">
        <f>IFERROR(__xludf.DUMMYFUNCTION("GOOGLETRANSLATE(A36730, ""de"", ""en"")"),"mahidevran")</f>
        <v>mahidevran</v>
      </c>
    </row>
    <row r="36731">
      <c r="A36731" s="1" t="s">
        <v>36730</v>
      </c>
      <c r="B36731" s="2" t="str">
        <f>IFERROR(__xludf.DUMMYFUNCTION("GOOGLETRANSLATE(A36731, ""de"", ""en"")"),"gargamel")</f>
        <v>gargamel</v>
      </c>
    </row>
    <row r="36732">
      <c r="A36732" s="1" t="s">
        <v>36731</v>
      </c>
      <c r="B36732" s="2" t="str">
        <f>IFERROR(__xludf.DUMMYFUNCTION("GOOGLETRANSLATE(A36732, ""de"", ""en"")"),"troublemaker")</f>
        <v>troublemaker</v>
      </c>
    </row>
    <row r="36733">
      <c r="A36733" s="1" t="s">
        <v>36732</v>
      </c>
      <c r="B36733" s="2" t="str">
        <f>IFERROR(__xludf.DUMMYFUNCTION("GOOGLETRANSLATE(A36733, ""de"", ""en"")"),"harpo")</f>
        <v>harpo</v>
      </c>
    </row>
    <row r="36734">
      <c r="A36734" s="1" t="s">
        <v>36733</v>
      </c>
      <c r="B36734" s="2" t="str">
        <f>IFERROR(__xludf.DUMMYFUNCTION("GOOGLETRANSLATE(A36734, ""de"", ""en"")"),"rustier")</f>
        <v>rustier</v>
      </c>
    </row>
    <row r="36735">
      <c r="A36735" s="1" t="s">
        <v>36734</v>
      </c>
      <c r="B36735" s="2" t="str">
        <f>IFERROR(__xludf.DUMMYFUNCTION("GOOGLETRANSLATE(A36735, ""de"", ""en"")"),"loan")</f>
        <v>loan</v>
      </c>
    </row>
    <row r="36736">
      <c r="A36736" s="1" t="s">
        <v>36735</v>
      </c>
      <c r="B36736" s="2" t="str">
        <f>IFERROR(__xludf.DUMMYFUNCTION("GOOGLETRANSLATE(A36736, ""de"", ""en"")"),"house trained")</f>
        <v>house trained</v>
      </c>
    </row>
    <row r="36737">
      <c r="A36737" s="1" t="s">
        <v>36736</v>
      </c>
      <c r="B36737" s="2" t="str">
        <f>IFERROR(__xludf.DUMMYFUNCTION("GOOGLETRANSLATE(A36737, ""de"", ""en"")"),"xin")</f>
        <v>xin</v>
      </c>
    </row>
    <row r="36738">
      <c r="A36738" s="1" t="s">
        <v>36737</v>
      </c>
      <c r="B36738" s="2" t="str">
        <f>IFERROR(__xludf.DUMMYFUNCTION("GOOGLETRANSLATE(A36738, ""de"", ""en"")"),"sprout")</f>
        <v>sprout</v>
      </c>
    </row>
    <row r="36739">
      <c r="A36739" s="1" t="s">
        <v>36738</v>
      </c>
      <c r="B36739" s="2" t="str">
        <f>IFERROR(__xludf.DUMMYFUNCTION("GOOGLETRANSLATE(A36739, ""de"", ""en"")"),"halo")</f>
        <v>halo</v>
      </c>
    </row>
    <row r="36740">
      <c r="A36740" s="1" t="s">
        <v>36739</v>
      </c>
      <c r="B36740" s="2" t="str">
        <f>IFERROR(__xludf.DUMMYFUNCTION("GOOGLETRANSLATE(A36740, ""de"", ""en"")"),"uncertain")</f>
        <v>uncertain</v>
      </c>
    </row>
    <row r="36741">
      <c r="A36741" s="1" t="s">
        <v>36740</v>
      </c>
      <c r="B36741" s="2" t="str">
        <f>IFERROR(__xludf.DUMMYFUNCTION("GOOGLETRANSLATE(A36741, ""de"", ""en"")"),"stay here")</f>
        <v>stay here</v>
      </c>
    </row>
    <row r="36742">
      <c r="A36742" s="1" t="s">
        <v>36741</v>
      </c>
      <c r="B36742" s="2" t="str">
        <f>IFERROR(__xludf.DUMMYFUNCTION("GOOGLETRANSLATE(A36742, ""de"", ""en"")"),"kenshiro")</f>
        <v>kenshiro</v>
      </c>
    </row>
    <row r="36743">
      <c r="A36743" s="1" t="s">
        <v>36742</v>
      </c>
      <c r="B36743" s="2" t="str">
        <f>IFERROR(__xludf.DUMMYFUNCTION("GOOGLETRANSLATE(A36743, ""de"", ""en"")"),"kawasaki")</f>
        <v>kawasaki</v>
      </c>
    </row>
    <row r="36744">
      <c r="A36744" s="1" t="s">
        <v>36743</v>
      </c>
      <c r="B36744" s="2" t="str">
        <f>IFERROR(__xludf.DUMMYFUNCTION("GOOGLETRANSLATE(A36744, ""de"", ""en"")"),"majestic")</f>
        <v>majestic</v>
      </c>
    </row>
    <row r="36745">
      <c r="A36745" s="1" t="s">
        <v>36744</v>
      </c>
      <c r="B36745" s="2" t="str">
        <f>IFERROR(__xludf.DUMMYFUNCTION("GOOGLETRANSLATE(A36745, ""de"", ""en"")"),"leased")</f>
        <v>leased</v>
      </c>
    </row>
    <row r="36746">
      <c r="A36746" s="1" t="s">
        <v>36745</v>
      </c>
      <c r="B36746" s="2" t="str">
        <f>IFERROR(__xludf.DUMMYFUNCTION("GOOGLETRANSLATE(A36746, ""de"", ""en"")"),"excludes")</f>
        <v>excludes</v>
      </c>
    </row>
    <row r="36747">
      <c r="A36747" s="1" t="s">
        <v>36746</v>
      </c>
      <c r="B36747" s="2" t="str">
        <f>IFERROR(__xludf.DUMMYFUNCTION("GOOGLETRANSLATE(A36747, ""de"", ""en"")"),"liable")</f>
        <v>liable</v>
      </c>
    </row>
    <row r="36748">
      <c r="A36748" s="1" t="s">
        <v>36747</v>
      </c>
      <c r="B36748" s="2" t="str">
        <f>IFERROR(__xludf.DUMMYFUNCTION("GOOGLETRANSLATE(A36748, ""de"", ""en"")"),"Eton")</f>
        <v>Eton</v>
      </c>
    </row>
    <row r="36749">
      <c r="A36749" s="1" t="s">
        <v>36748</v>
      </c>
      <c r="B36749" s="2" t="str">
        <f>IFERROR(__xludf.DUMMYFUNCTION("GOOGLETRANSLATE(A36749, ""de"", ""en"")"),"tax free")</f>
        <v>tax free</v>
      </c>
    </row>
    <row r="36750">
      <c r="A36750" s="1" t="s">
        <v>36749</v>
      </c>
      <c r="B36750" s="2" t="str">
        <f>IFERROR(__xludf.DUMMYFUNCTION("GOOGLETRANSLATE(A36750, ""de"", ""en"")"),"west wing")</f>
        <v>west wing</v>
      </c>
    </row>
    <row r="36751">
      <c r="A36751" s="1" t="s">
        <v>36750</v>
      </c>
      <c r="B36751" s="2" t="str">
        <f>IFERROR(__xludf.DUMMYFUNCTION("GOOGLETRANSLATE(A36751, ""de"", ""en"")"),"earls")</f>
        <v>earls</v>
      </c>
    </row>
    <row r="36752">
      <c r="A36752" s="1" t="s">
        <v>36751</v>
      </c>
      <c r="B36752" s="2" t="str">
        <f>IFERROR(__xludf.DUMMYFUNCTION("GOOGLETRANSLATE(A36752, ""de"", ""en"")"),"end of year")</f>
        <v>end of year</v>
      </c>
    </row>
    <row r="36753">
      <c r="A36753" s="1" t="s">
        <v>36752</v>
      </c>
      <c r="B36753" s="2" t="str">
        <f>IFERROR(__xludf.DUMMYFUNCTION("GOOGLETRANSLATE(A36753, ""de"", ""en"")"),"Absalon")</f>
        <v>Absalon</v>
      </c>
    </row>
    <row r="36754">
      <c r="A36754" s="1" t="s">
        <v>36753</v>
      </c>
      <c r="B36754" s="2" t="str">
        <f>IFERROR(__xludf.DUMMYFUNCTION("GOOGLETRANSLATE(A36754, ""de"", ""en"")"),"whine")</f>
        <v>whine</v>
      </c>
    </row>
    <row r="36755">
      <c r="A36755" s="1" t="s">
        <v>36754</v>
      </c>
      <c r="B36755" s="2" t="str">
        <f>IFERROR(__xludf.DUMMYFUNCTION("GOOGLETRANSLATE(A36755, ""de"", ""en"")"),"lightest")</f>
        <v>lightest</v>
      </c>
    </row>
    <row r="36756">
      <c r="A36756" s="1" t="s">
        <v>36755</v>
      </c>
      <c r="B36756" s="2" t="str">
        <f>IFERROR(__xludf.DUMMYFUNCTION("GOOGLETRANSLATE(A36756, ""de"", ""en"")"),"lap dog")</f>
        <v>lap dog</v>
      </c>
    </row>
    <row r="36757">
      <c r="A36757" s="1" t="s">
        <v>36756</v>
      </c>
      <c r="B36757" s="2" t="str">
        <f>IFERROR(__xludf.DUMMYFUNCTION("GOOGLETRANSLATE(A36757, ""de"", ""en"")"),"for kilometers")</f>
        <v>for kilometers</v>
      </c>
    </row>
    <row r="36758">
      <c r="A36758" s="1" t="s">
        <v>36757</v>
      </c>
      <c r="B36758" s="2" t="str">
        <f>IFERROR(__xludf.DUMMYFUNCTION("GOOGLETRANSLATE(A36758, ""de"", ""en"")"),"credible")</f>
        <v>credible</v>
      </c>
    </row>
    <row r="36759">
      <c r="A36759" s="1" t="s">
        <v>36758</v>
      </c>
      <c r="B36759" s="2" t="str">
        <f>IFERROR(__xludf.DUMMYFUNCTION("GOOGLETRANSLATE(A36759, ""de"", ""en"")"),"labeled")</f>
        <v>labeled</v>
      </c>
    </row>
    <row r="36760">
      <c r="A36760" s="1" t="s">
        <v>36759</v>
      </c>
      <c r="B36760" s="2" t="str">
        <f>IFERROR(__xludf.DUMMYFUNCTION("GOOGLETRANSLATE(A36760, ""de"", ""en"")"),"cervantes")</f>
        <v>cervantes</v>
      </c>
    </row>
    <row r="36761">
      <c r="A36761" s="1" t="s">
        <v>36760</v>
      </c>
      <c r="B36761" s="2" t="str">
        <f>IFERROR(__xludf.DUMMYFUNCTION("GOOGLETRANSLATE(A36761, ""de"", ""en"")"),"loker")</f>
        <v>loker</v>
      </c>
    </row>
    <row r="36762">
      <c r="A36762" s="1" t="s">
        <v>36761</v>
      </c>
      <c r="B36762" s="2" t="str">
        <f>IFERROR(__xludf.DUMMYFUNCTION("GOOGLETRANSLATE(A36762, ""de"", ""en"")"),"oral sex")</f>
        <v>oral sex</v>
      </c>
    </row>
    <row r="36763">
      <c r="A36763" s="1" t="s">
        <v>36762</v>
      </c>
      <c r="B36763" s="2" t="str">
        <f>IFERROR(__xludf.DUMMYFUNCTION("GOOGLETRANSLATE(A36763, ""de"", ""en"")"),"chariot")</f>
        <v>chariot</v>
      </c>
    </row>
    <row r="36764">
      <c r="A36764" s="1" t="s">
        <v>36763</v>
      </c>
      <c r="B36764" s="2" t="str">
        <f>IFERROR(__xludf.DUMMYFUNCTION("GOOGLETRANSLATE(A36764, ""de"", ""en"")"),"operational briefing")</f>
        <v>operational briefing</v>
      </c>
    </row>
    <row r="36765">
      <c r="A36765" s="1" t="s">
        <v>36764</v>
      </c>
      <c r="B36765" s="2" t="str">
        <f>IFERROR(__xludf.DUMMYFUNCTION("GOOGLETRANSLATE(A36765, ""de"", ""en"")"),"inflation")</f>
        <v>inflation</v>
      </c>
    </row>
    <row r="36766">
      <c r="A36766" s="1" t="s">
        <v>36765</v>
      </c>
      <c r="B36766" s="2" t="str">
        <f>IFERROR(__xludf.DUMMYFUNCTION("GOOGLETRANSLATE(A36766, ""de"", ""en"")"),"return message")</f>
        <v>return message</v>
      </c>
    </row>
    <row r="36767">
      <c r="A36767" s="1" t="s">
        <v>36766</v>
      </c>
      <c r="B36767" s="2" t="str">
        <f>IFERROR(__xludf.DUMMYFUNCTION("GOOGLETRANSLATE(A36767, ""de"", ""en"")"),"piano sounds")</f>
        <v>piano sounds</v>
      </c>
    </row>
    <row r="36768">
      <c r="A36768" s="1" t="s">
        <v>36767</v>
      </c>
      <c r="B36768" s="2" t="str">
        <f>IFERROR(__xludf.DUMMYFUNCTION("GOOGLETRANSLATE(A36768, ""de"", ""en"")"),"beats")</f>
        <v>beats</v>
      </c>
    </row>
    <row r="36769">
      <c r="A36769" s="1" t="s">
        <v>36768</v>
      </c>
      <c r="B36769" s="2" t="str">
        <f>IFERROR(__xludf.DUMMYFUNCTION("GOOGLETRANSLATE(A36769, ""de"", ""en"")"),"beaten")</f>
        <v>beaten</v>
      </c>
    </row>
    <row r="36770">
      <c r="A36770" s="1" t="s">
        <v>36769</v>
      </c>
      <c r="B36770" s="2" t="str">
        <f>IFERROR(__xludf.DUMMYFUNCTION("GOOGLETRANSLATE(A36770, ""de"", ""en"")"),"sit in")</f>
        <v>sit in</v>
      </c>
    </row>
    <row r="36771">
      <c r="A36771" s="1" t="s">
        <v>36770</v>
      </c>
      <c r="B36771" s="2" t="str">
        <f>IFERROR(__xludf.DUMMYFUNCTION("GOOGLETRANSLATE(A36771, ""de"", ""en"")"),"caramba")</f>
        <v>caramba</v>
      </c>
    </row>
    <row r="36772">
      <c r="A36772" s="1" t="s">
        <v>36771</v>
      </c>
      <c r="B36772" s="2" t="str">
        <f>IFERROR(__xludf.DUMMYFUNCTION("GOOGLETRANSLATE(A36772, ""de"", ""en"")"),"salvation")</f>
        <v>salvation</v>
      </c>
    </row>
    <row r="36773">
      <c r="A36773" s="1" t="s">
        <v>36772</v>
      </c>
      <c r="B36773" s="2" t="str">
        <f>IFERROR(__xludf.DUMMYFUNCTION("GOOGLETRANSLATE(A36773, ""de"", ""en"")"),"byrd")</f>
        <v>byrd</v>
      </c>
    </row>
    <row r="36774">
      <c r="A36774" s="1" t="s">
        <v>36773</v>
      </c>
      <c r="B36774" s="2" t="str">
        <f>IFERROR(__xludf.DUMMYFUNCTION("GOOGLETRANSLATE(A36774, ""de"", ""en"")"),"waiting")</f>
        <v>waiting</v>
      </c>
    </row>
    <row r="36775">
      <c r="A36775" s="1" t="s">
        <v>36774</v>
      </c>
      <c r="B36775" s="2" t="str">
        <f>IFERROR(__xludf.DUMMYFUNCTION("GOOGLETRANSLATE(A36775, ""de"", ""en"")"),"frightening")</f>
        <v>frightening</v>
      </c>
    </row>
    <row r="36776">
      <c r="A36776" s="1" t="s">
        <v>36775</v>
      </c>
      <c r="B36776" s="2" t="str">
        <f>IFERROR(__xludf.DUMMYFUNCTION("GOOGLETRANSLATE(A36776, ""de"", ""en"")"),"boulder")</f>
        <v>boulder</v>
      </c>
    </row>
    <row r="36777">
      <c r="A36777" s="1" t="s">
        <v>36776</v>
      </c>
      <c r="B36777" s="2" t="str">
        <f>IFERROR(__xludf.DUMMYFUNCTION("GOOGLETRANSLATE(A36777, ""de"", ""en"")"),"foreign")</f>
        <v>foreign</v>
      </c>
    </row>
    <row r="36778">
      <c r="A36778" s="1" t="s">
        <v>36777</v>
      </c>
      <c r="B36778" s="2" t="str">
        <f>IFERROR(__xludf.DUMMYFUNCTION("GOOGLETRANSLATE(A36778, ""de"", ""en"")"),"contradictory")</f>
        <v>contradictory</v>
      </c>
    </row>
    <row r="36779">
      <c r="A36779" s="1" t="s">
        <v>36778</v>
      </c>
      <c r="B36779" s="2" t="str">
        <f>IFERROR(__xludf.DUMMYFUNCTION("GOOGLETRANSLATE(A36779, ""de"", ""en"")"),"arlena")</f>
        <v>arlena</v>
      </c>
    </row>
    <row r="36780">
      <c r="A36780" s="1" t="s">
        <v>36779</v>
      </c>
      <c r="B36780" s="2" t="str">
        <f>IFERROR(__xludf.DUMMYFUNCTION("GOOGLETRANSLATE(A36780, ""de"", ""en"")"),"Colombian")</f>
        <v>Colombian</v>
      </c>
    </row>
    <row r="36781">
      <c r="A36781" s="1" t="s">
        <v>36780</v>
      </c>
      <c r="B36781" s="2" t="str">
        <f>IFERROR(__xludf.DUMMYFUNCTION("GOOGLETRANSLATE(A36781, ""de"", ""en"")"),"animal behavior")</f>
        <v>animal behavior</v>
      </c>
    </row>
    <row r="36782">
      <c r="A36782" s="1" t="s">
        <v>36781</v>
      </c>
      <c r="B36782" s="2" t="str">
        <f>IFERROR(__xludf.DUMMYFUNCTION("GOOGLETRANSLATE(A36782, ""de"", ""en"")"),"wasteland")</f>
        <v>wasteland</v>
      </c>
    </row>
    <row r="36783">
      <c r="A36783" s="1" t="s">
        <v>36782</v>
      </c>
      <c r="B36783" s="2" t="str">
        <f>IFERROR(__xludf.DUMMYFUNCTION("GOOGLETRANSLATE(A36783, ""de"", ""en"")"),"piranhas")</f>
        <v>piranhas</v>
      </c>
    </row>
    <row r="36784">
      <c r="A36784" s="1" t="s">
        <v>36783</v>
      </c>
      <c r="B36784" s="2" t="str">
        <f>IFERROR(__xludf.DUMMYFUNCTION("GOOGLETRANSLATE(A36784, ""de"", ""en"")"),"mohawk")</f>
        <v>mohawk</v>
      </c>
    </row>
    <row r="36785">
      <c r="A36785" s="1" t="s">
        <v>36784</v>
      </c>
      <c r="B36785" s="2" t="str">
        <f>IFERROR(__xludf.DUMMYFUNCTION("GOOGLETRANSLATE(A36785, ""de"", ""en"")"),"buried")</f>
        <v>buried</v>
      </c>
    </row>
    <row r="36786">
      <c r="A36786" s="1" t="s">
        <v>36785</v>
      </c>
      <c r="B36786" s="2" t="str">
        <f>IFERROR(__xludf.DUMMYFUNCTION("GOOGLETRANSLATE(A36786, ""de"", ""en"")"),"esperanza")</f>
        <v>esperanza</v>
      </c>
    </row>
    <row r="36787">
      <c r="A36787" s="1" t="s">
        <v>36786</v>
      </c>
      <c r="B36787" s="2" t="str">
        <f>IFERROR(__xludf.DUMMYFUNCTION("GOOGLETRANSLATE(A36787, ""de"", ""en"")"),"hortense")</f>
        <v>hortense</v>
      </c>
    </row>
    <row r="36788">
      <c r="A36788" s="1" t="s">
        <v>36787</v>
      </c>
      <c r="B36788" s="2" t="str">
        <f>IFERROR(__xludf.DUMMYFUNCTION("GOOGLETRANSLATE(A36788, ""de"", ""en"")"),"ish")</f>
        <v>ish</v>
      </c>
    </row>
    <row r="36789">
      <c r="A36789" s="1" t="s">
        <v>36788</v>
      </c>
      <c r="B36789" s="2" t="str">
        <f>IFERROR(__xludf.DUMMYFUNCTION("GOOGLETRANSLATE(A36789, ""de"", ""en"")"),"shrimp")</f>
        <v>shrimp</v>
      </c>
    </row>
    <row r="36790">
      <c r="A36790" s="1" t="s">
        <v>36789</v>
      </c>
      <c r="B36790" s="2" t="str">
        <f>IFERROR(__xludf.DUMMYFUNCTION("GOOGLETRANSLATE(A36790, ""de"", ""en"")"),"Aberdeen")</f>
        <v>Aberdeen</v>
      </c>
    </row>
    <row r="36791">
      <c r="A36791" s="1" t="s">
        <v>36790</v>
      </c>
      <c r="B36791" s="2" t="str">
        <f>IFERROR(__xludf.DUMMYFUNCTION("GOOGLETRANSLATE(A36791, ""de"", ""en"")"),"chronicle")</f>
        <v>chronicle</v>
      </c>
    </row>
    <row r="36792">
      <c r="A36792" s="1" t="s">
        <v>36791</v>
      </c>
      <c r="B36792" s="2" t="str">
        <f>IFERROR(__xludf.DUMMYFUNCTION("GOOGLETRANSLATE(A36792, ""de"", ""en"")"),"impersonal")</f>
        <v>impersonal</v>
      </c>
    </row>
    <row r="36793">
      <c r="A36793" s="1" t="s">
        <v>36792</v>
      </c>
      <c r="B36793" s="2" t="str">
        <f>IFERROR(__xludf.DUMMYFUNCTION("GOOGLETRANSLATE(A36793, ""de"", ""en"")"),"tramp")</f>
        <v>tramp</v>
      </c>
    </row>
    <row r="36794">
      <c r="A36794" s="1" t="s">
        <v>36793</v>
      </c>
      <c r="B36794" s="2" t="str">
        <f>IFERROR(__xludf.DUMMYFUNCTION("GOOGLETRANSLATE(A36794, ""de"", ""en"")"),"gunderson")</f>
        <v>gunderson</v>
      </c>
    </row>
    <row r="36795">
      <c r="A36795" s="1" t="s">
        <v>36794</v>
      </c>
      <c r="B36795" s="2" t="str">
        <f>IFERROR(__xludf.DUMMYFUNCTION("GOOGLETRANSLATE(A36795, ""de"", ""en"")"),"regional")</f>
        <v>regional</v>
      </c>
    </row>
    <row r="36796">
      <c r="A36796" s="1" t="s">
        <v>36795</v>
      </c>
      <c r="B36796" s="2" t="str">
        <f>IFERROR(__xludf.DUMMYFUNCTION("GOOGLETRANSLATE(A36796, ""de"", ""en"")"),"teacher")</f>
        <v>teacher</v>
      </c>
    </row>
    <row r="36797">
      <c r="A36797" s="1" t="s">
        <v>36796</v>
      </c>
      <c r="B36797" s="2" t="str">
        <f>IFERROR(__xludf.DUMMYFUNCTION("GOOGLETRANSLATE(A36797, ""de"", ""en"")"),"interpreter")</f>
        <v>interpreter</v>
      </c>
    </row>
    <row r="36798">
      <c r="A36798" s="1" t="s">
        <v>36797</v>
      </c>
      <c r="B36798" s="2" t="str">
        <f>IFERROR(__xludf.DUMMYFUNCTION("GOOGLETRANSLATE(A36798, ""de"", ""en"")"),"legal")</f>
        <v>legal</v>
      </c>
    </row>
    <row r="36799">
      <c r="A36799" s="1" t="s">
        <v>36798</v>
      </c>
      <c r="B36799" s="2" t="str">
        <f>IFERROR(__xludf.DUMMYFUNCTION("GOOGLETRANSLATE(A36799, ""de"", ""en"")"),"peculiar")</f>
        <v>peculiar</v>
      </c>
    </row>
    <row r="36800">
      <c r="A36800" s="1" t="s">
        <v>36799</v>
      </c>
      <c r="B36800" s="2" t="str">
        <f>IFERROR(__xludf.DUMMYFUNCTION("GOOGLETRANSLATE(A36800, ""de"", ""en"")"),"mark")</f>
        <v>mark</v>
      </c>
    </row>
    <row r="36801">
      <c r="A36801" s="1" t="s">
        <v>36800</v>
      </c>
      <c r="B36801" s="2" t="str">
        <f>IFERROR(__xludf.DUMMYFUNCTION("GOOGLETRANSLATE(A36801, ""de"", ""en"")"),"destroy")</f>
        <v>destroy</v>
      </c>
    </row>
    <row r="36802">
      <c r="A36802" s="1" t="s">
        <v>36801</v>
      </c>
      <c r="B36802" s="2" t="str">
        <f>IFERROR(__xludf.DUMMYFUNCTION("GOOGLETRANSLATE(A36802, ""de"", ""en"")"),"bang")</f>
        <v>bang</v>
      </c>
    </row>
    <row r="36803">
      <c r="A36803" s="1" t="s">
        <v>36802</v>
      </c>
      <c r="B36803" s="2" t="str">
        <f>IFERROR(__xludf.DUMMYFUNCTION("GOOGLETRANSLATE(A36803, ""de"", ""en"")"),"northman")</f>
        <v>northman</v>
      </c>
    </row>
    <row r="36804">
      <c r="A36804" s="1" t="s">
        <v>36803</v>
      </c>
      <c r="B36804" s="2" t="str">
        <f>IFERROR(__xludf.DUMMYFUNCTION("GOOGLETRANSLATE(A36804, ""de"", ""en"")"),"assimilate")</f>
        <v>assimilate</v>
      </c>
    </row>
    <row r="36805">
      <c r="A36805" s="1" t="s">
        <v>36804</v>
      </c>
      <c r="B36805" s="2" t="str">
        <f>IFERROR(__xludf.DUMMYFUNCTION("GOOGLETRANSLATE(A36805, ""de"", ""en"")"),"tamsin")</f>
        <v>tamsin</v>
      </c>
    </row>
    <row r="36806">
      <c r="A36806" s="1" t="s">
        <v>36805</v>
      </c>
      <c r="B36806" s="2" t="str">
        <f>IFERROR(__xludf.DUMMYFUNCTION("GOOGLETRANSLATE(A36806, ""de"", ""en"")"),"rinaldo")</f>
        <v>rinaldo</v>
      </c>
    </row>
    <row r="36807">
      <c r="A36807" s="1" t="s">
        <v>36806</v>
      </c>
      <c r="B36807" s="2" t="str">
        <f>IFERROR(__xludf.DUMMYFUNCTION("GOOGLETRANSLATE(A36807, ""de"", ""en"")"),"tet")</f>
        <v>tet</v>
      </c>
    </row>
    <row r="36808">
      <c r="A36808" s="1" t="s">
        <v>36807</v>
      </c>
      <c r="B36808" s="2" t="str">
        <f>IFERROR(__xludf.DUMMYFUNCTION("GOOGLETRANSLATE(A36808, ""de"", ""en"")"),"crashed")</f>
        <v>crashed</v>
      </c>
    </row>
    <row r="36809">
      <c r="A36809" s="1" t="s">
        <v>36808</v>
      </c>
      <c r="B36809" s="2" t="str">
        <f>IFERROR(__xludf.DUMMYFUNCTION("GOOGLETRANSLATE(A36809, ""de"", ""en"")"),"Krantz")</f>
        <v>Krantz</v>
      </c>
    </row>
    <row r="36810">
      <c r="A36810" s="1" t="s">
        <v>36809</v>
      </c>
      <c r="B36810" s="2" t="str">
        <f>IFERROR(__xludf.DUMMYFUNCTION("GOOGLETRANSLATE(A36810, ""de"", ""en"")"),"how many")</f>
        <v>how many</v>
      </c>
    </row>
    <row r="36811">
      <c r="A36811" s="1" t="s">
        <v>36810</v>
      </c>
      <c r="B36811" s="2" t="str">
        <f>IFERROR(__xludf.DUMMYFUNCTION("GOOGLETRANSLATE(A36811, ""de"", ""en"")"),"messed up")</f>
        <v>messed up</v>
      </c>
    </row>
    <row r="36812">
      <c r="A36812" s="1" t="s">
        <v>36811</v>
      </c>
      <c r="B36812" s="2" t="str">
        <f>IFERROR(__xludf.DUMMYFUNCTION("GOOGLETRANSLATE(A36812, ""de"", ""en"")"),"finals")</f>
        <v>finals</v>
      </c>
    </row>
    <row r="36813">
      <c r="A36813" s="1" t="s">
        <v>36812</v>
      </c>
      <c r="B36813" s="2" t="str">
        <f>IFERROR(__xludf.DUMMYFUNCTION("GOOGLETRANSLATE(A36813, ""de"", ""en"")"),"correctional facility")</f>
        <v>correctional facility</v>
      </c>
    </row>
    <row r="36814">
      <c r="A36814" s="1" t="s">
        <v>36813</v>
      </c>
      <c r="B36814" s="2" t="str">
        <f>IFERROR(__xludf.DUMMYFUNCTION("GOOGLETRANSLATE(A36814, ""de"", ""en"")"),"Jayne")</f>
        <v>Jayne</v>
      </c>
    </row>
    <row r="36815">
      <c r="A36815" s="1" t="s">
        <v>36814</v>
      </c>
      <c r="B36815" s="2" t="str">
        <f>IFERROR(__xludf.DUMMYFUNCTION("GOOGLETRANSLATE(A36815, ""de"", ""en"")"),"healer")</f>
        <v>healer</v>
      </c>
    </row>
    <row r="36816">
      <c r="A36816" s="1" t="s">
        <v>36815</v>
      </c>
      <c r="B36816" s="2" t="str">
        <f>IFERROR(__xludf.DUMMYFUNCTION("GOOGLETRANSLATE(A36816, ""de"", ""en"")"),"overlooked")</f>
        <v>overlooked</v>
      </c>
    </row>
    <row r="36817">
      <c r="A36817" s="1" t="s">
        <v>36816</v>
      </c>
      <c r="B36817" s="2" t="str">
        <f>IFERROR(__xludf.DUMMYFUNCTION("GOOGLETRANSLATE(A36817, ""de"", ""en"")"),"giraffes")</f>
        <v>giraffes</v>
      </c>
    </row>
    <row r="36818">
      <c r="A36818" s="1" t="s">
        <v>36817</v>
      </c>
      <c r="B36818" s="2" t="str">
        <f>IFERROR(__xludf.DUMMYFUNCTION("GOOGLETRANSLATE(A36818, ""de"", ""en"")"),"esta")</f>
        <v>esta</v>
      </c>
    </row>
    <row r="36819">
      <c r="A36819" s="1" t="s">
        <v>36818</v>
      </c>
      <c r="B36819" s="2" t="str">
        <f>IFERROR(__xludf.DUMMYFUNCTION("GOOGLETRANSLATE(A36819, ""de"", ""en"")"),"false statement")</f>
        <v>false statement</v>
      </c>
    </row>
    <row r="36820">
      <c r="A36820" s="1" t="s">
        <v>36819</v>
      </c>
      <c r="B36820" s="2" t="str">
        <f>IFERROR(__xludf.DUMMYFUNCTION("GOOGLETRANSLATE(A36820, ""de"", ""en"")"),"new beginning")</f>
        <v>new beginning</v>
      </c>
    </row>
    <row r="36821">
      <c r="A36821" s="1" t="s">
        <v>36820</v>
      </c>
      <c r="B36821" s="2" t="str">
        <f>IFERROR(__xludf.DUMMYFUNCTION("GOOGLETRANSLATE(A36821, ""de"", ""en"")"),"Nuremberg")</f>
        <v>Nuremberg</v>
      </c>
    </row>
    <row r="36822">
      <c r="A36822" s="1" t="s">
        <v>36821</v>
      </c>
      <c r="B36822" s="2" t="str">
        <f>IFERROR(__xludf.DUMMYFUNCTION("GOOGLETRANSLATE(A36822, ""de"", ""en"")"),"sackface")</f>
        <v>sackface</v>
      </c>
    </row>
    <row r="36823">
      <c r="A36823" s="1" t="s">
        <v>36822</v>
      </c>
      <c r="B36823" s="2" t="str">
        <f>IFERROR(__xludf.DUMMYFUNCTION("GOOGLETRANSLATE(A36823, ""de"", ""en"")"),"gender reassignment")</f>
        <v>gender reassignment</v>
      </c>
    </row>
    <row r="36824">
      <c r="A36824" s="1" t="s">
        <v>36823</v>
      </c>
      <c r="B36824" s="2" t="str">
        <f>IFERROR(__xludf.DUMMYFUNCTION("GOOGLETRANSLATE(A36824, ""de"", ""en"")"),"is inside")</f>
        <v>is inside</v>
      </c>
    </row>
    <row r="36825">
      <c r="A36825" s="1" t="s">
        <v>36824</v>
      </c>
      <c r="B36825" s="2" t="str">
        <f>IFERROR(__xludf.DUMMYFUNCTION("GOOGLETRANSLATE(A36825, ""de"", ""en"")"),"withdrawal treatment")</f>
        <v>withdrawal treatment</v>
      </c>
    </row>
    <row r="36826">
      <c r="A36826" s="1" t="s">
        <v>36825</v>
      </c>
      <c r="B36826" s="2" t="str">
        <f>IFERROR(__xludf.DUMMYFUNCTION("GOOGLETRANSLATE(A36826, ""de"", ""en"")"),"abuse")</f>
        <v>abuse</v>
      </c>
    </row>
    <row r="36827">
      <c r="A36827" s="1" t="s">
        <v>36826</v>
      </c>
      <c r="B36827" s="2" t="str">
        <f>IFERROR(__xludf.DUMMYFUNCTION("GOOGLETRANSLATE(A36827, ""de"", ""en"")"),"eustace")</f>
        <v>eustace</v>
      </c>
    </row>
    <row r="36828">
      <c r="A36828" s="1" t="s">
        <v>36827</v>
      </c>
      <c r="B36828" s="2" t="str">
        <f>IFERROR(__xludf.DUMMYFUNCTION("GOOGLETRANSLATE(A36828, ""de"", ""en"")"),"gagged")</f>
        <v>gagged</v>
      </c>
    </row>
    <row r="36829">
      <c r="A36829" s="1" t="s">
        <v>36828</v>
      </c>
      <c r="B36829" s="2" t="str">
        <f>IFERROR(__xludf.DUMMYFUNCTION("GOOGLETRANSLATE(A36829, ""de"", ""en"")"),"came over")</f>
        <v>came over</v>
      </c>
    </row>
    <row r="36830">
      <c r="A36830" s="1" t="s">
        <v>36829</v>
      </c>
      <c r="B36830" s="2" t="str">
        <f>IFERROR(__xludf.DUMMYFUNCTION("GOOGLETRANSLATE(A36830, ""de"", ""en"")"),"bodega")</f>
        <v>bodega</v>
      </c>
    </row>
    <row r="36831">
      <c r="A36831" s="1" t="s">
        <v>36830</v>
      </c>
      <c r="B36831" s="2" t="str">
        <f>IFERROR(__xludf.DUMMYFUNCTION("GOOGLETRANSLATE(A36831, ""de"", ""en"")"),"vegetable garden")</f>
        <v>vegetable garden</v>
      </c>
    </row>
    <row r="36832">
      <c r="A36832" s="1" t="s">
        <v>36831</v>
      </c>
      <c r="B36832" s="2" t="str">
        <f>IFERROR(__xludf.DUMMYFUNCTION("GOOGLETRANSLATE(A36832, ""de"", ""en"")"),"crewman")</f>
        <v>crewman</v>
      </c>
    </row>
    <row r="36833">
      <c r="A36833" s="1" t="s">
        <v>36832</v>
      </c>
      <c r="B36833" s="2" t="str">
        <f>IFERROR(__xludf.DUMMYFUNCTION("GOOGLETRANSLATE(A36833, ""de"", ""en"")"),"watergate")</f>
        <v>watergate</v>
      </c>
    </row>
    <row r="36834">
      <c r="A36834" s="1" t="s">
        <v>36833</v>
      </c>
      <c r="B36834" s="2" t="str">
        <f>IFERROR(__xludf.DUMMYFUNCTION("GOOGLETRANSLATE(A36834, ""de"", ""en"")"),"divine food")</f>
        <v>divine food</v>
      </c>
    </row>
    <row r="36835">
      <c r="A36835" s="1" t="s">
        <v>36834</v>
      </c>
      <c r="B36835" s="2" t="str">
        <f>IFERROR(__xludf.DUMMYFUNCTION("GOOGLETRANSLATE(A36835, ""de"", ""en"")"),"sloth")</f>
        <v>sloth</v>
      </c>
    </row>
    <row r="36836">
      <c r="A36836" s="1" t="s">
        <v>36835</v>
      </c>
      <c r="B36836" s="2" t="str">
        <f>IFERROR(__xludf.DUMMYFUNCTION("GOOGLETRANSLATE(A36836, ""de"", ""en"")"),"weekday")</f>
        <v>weekday</v>
      </c>
    </row>
    <row r="36837">
      <c r="A36837" s="1" t="s">
        <v>36836</v>
      </c>
      <c r="B36837" s="2" t="str">
        <f>IFERROR(__xludf.DUMMYFUNCTION("GOOGLETRANSLATE(A36837, ""de"", ""en"")"),"lp")</f>
        <v>lp</v>
      </c>
    </row>
    <row r="36838">
      <c r="A36838" s="1" t="s">
        <v>36837</v>
      </c>
      <c r="B36838" s="2" t="str">
        <f>IFERROR(__xludf.DUMMYFUNCTION("GOOGLETRANSLATE(A36838, ""de"", ""en"")"),"bland")</f>
        <v>bland</v>
      </c>
    </row>
    <row r="36839">
      <c r="A36839" s="1" t="s">
        <v>36838</v>
      </c>
      <c r="B36839" s="2" t="str">
        <f>IFERROR(__xludf.DUMMYFUNCTION("GOOGLETRANSLATE(A36839, ""de"", ""en"")"),"tuition fees")</f>
        <v>tuition fees</v>
      </c>
    </row>
    <row r="36840">
      <c r="A36840" s="1" t="s">
        <v>36839</v>
      </c>
      <c r="B36840" s="2" t="str">
        <f>IFERROR(__xludf.DUMMYFUNCTION("GOOGLETRANSLATE(A36840, ""de"", ""en"")"),"bank statements")</f>
        <v>bank statements</v>
      </c>
    </row>
    <row r="36841">
      <c r="A36841" s="1" t="s">
        <v>36840</v>
      </c>
      <c r="B36841" s="2" t="str">
        <f>IFERROR(__xludf.DUMMYFUNCTION("GOOGLETRANSLATE(A36841, ""de"", ""en"")"),"combat")</f>
        <v>combat</v>
      </c>
    </row>
    <row r="36842">
      <c r="A36842" s="1" t="s">
        <v>36841</v>
      </c>
      <c r="B36842" s="2" t="str">
        <f>IFERROR(__xludf.DUMMYFUNCTION("GOOGLETRANSLATE(A36842, ""de"", ""en"")"),"unsuitable")</f>
        <v>unsuitable</v>
      </c>
    </row>
    <row r="36843">
      <c r="A36843" s="1" t="s">
        <v>36842</v>
      </c>
      <c r="B36843" s="2" t="str">
        <f>IFERROR(__xludf.DUMMYFUNCTION("GOOGLETRANSLATE(A36843, ""de"", ""en"")"),"ungodly")</f>
        <v>ungodly</v>
      </c>
    </row>
    <row r="36844">
      <c r="A36844" s="1" t="s">
        <v>36843</v>
      </c>
      <c r="B36844" s="2" t="str">
        <f>IFERROR(__xludf.DUMMYFUNCTION("GOOGLETRANSLATE(A36844, ""de"", ""en"")"),"westward")</f>
        <v>westward</v>
      </c>
    </row>
    <row r="36845">
      <c r="A36845" s="1" t="s">
        <v>36844</v>
      </c>
      <c r="B36845" s="2" t="str">
        <f>IFERROR(__xludf.DUMMYFUNCTION("GOOGLETRANSLATE(A36845, ""de"", ""en"")"),"horse thief")</f>
        <v>horse thief</v>
      </c>
    </row>
    <row r="36846">
      <c r="A36846" s="1" t="s">
        <v>36845</v>
      </c>
      <c r="B36846" s="2" t="str">
        <f>IFERROR(__xludf.DUMMYFUNCTION("GOOGLETRANSLATE(A36846, ""de"", ""en"")"),"appendicitis")</f>
        <v>appendicitis</v>
      </c>
    </row>
    <row r="36847">
      <c r="A36847" s="1" t="s">
        <v>36846</v>
      </c>
      <c r="B36847" s="2" t="str">
        <f>IFERROR(__xludf.DUMMYFUNCTION("GOOGLETRANSLATE(A36847, ""de"", ""en"")"),"spilled")</f>
        <v>spilled</v>
      </c>
    </row>
    <row r="36848">
      <c r="A36848" s="1" t="s">
        <v>36847</v>
      </c>
      <c r="B36848" s="2" t="str">
        <f>IFERROR(__xludf.DUMMYFUNCTION("GOOGLETRANSLATE(A36848, ""de"", ""en"")"),"Laos")</f>
        <v>Laos</v>
      </c>
    </row>
    <row r="36849">
      <c r="A36849" s="1" t="s">
        <v>36848</v>
      </c>
      <c r="B36849" s="2" t="str">
        <f>IFERROR(__xludf.DUMMYFUNCTION("GOOGLETRANSLATE(A36849, ""de"", ""en"")"),"toothbrushes")</f>
        <v>toothbrushes</v>
      </c>
    </row>
    <row r="36850">
      <c r="A36850" s="1" t="s">
        <v>36849</v>
      </c>
      <c r="B36850" s="2" t="str">
        <f>IFERROR(__xludf.DUMMYFUNCTION("GOOGLETRANSLATE(A36850, ""de"", ""en"")"),"shift change")</f>
        <v>shift change</v>
      </c>
    </row>
    <row r="36851">
      <c r="A36851" s="1" t="s">
        <v>36850</v>
      </c>
      <c r="B36851" s="2" t="str">
        <f>IFERROR(__xludf.DUMMYFUNCTION("GOOGLETRANSLATE(A36851, ""de"", ""en"")"),"Hungarian")</f>
        <v>Hungarian</v>
      </c>
    </row>
    <row r="36852">
      <c r="A36852" s="1" t="s">
        <v>36851</v>
      </c>
      <c r="B36852" s="2" t="str">
        <f>IFERROR(__xludf.DUMMYFUNCTION("GOOGLETRANSLATE(A36852, ""de"", ""en"")"),"francoise")</f>
        <v>francoise</v>
      </c>
    </row>
    <row r="36853">
      <c r="A36853" s="1" t="s">
        <v>36852</v>
      </c>
      <c r="B36853" s="2" t="str">
        <f>IFERROR(__xludf.DUMMYFUNCTION("GOOGLETRANSLATE(A36853, ""de"", ""en"")"),"more endless")</f>
        <v>more endless</v>
      </c>
    </row>
    <row r="36854">
      <c r="A36854" s="1" t="s">
        <v>36853</v>
      </c>
      <c r="B36854" s="2" t="str">
        <f>IFERROR(__xludf.DUMMYFUNCTION("GOOGLETRANSLATE(A36854, ""de"", ""en"")"),"biblical")</f>
        <v>biblical</v>
      </c>
    </row>
    <row r="36855">
      <c r="A36855" s="1" t="s">
        <v>36854</v>
      </c>
      <c r="B36855" s="2" t="str">
        <f>IFERROR(__xludf.DUMMYFUNCTION("GOOGLETRANSLATE(A36855, ""de"", ""en"")"),"crack")</f>
        <v>crack</v>
      </c>
    </row>
    <row r="36856">
      <c r="A36856" s="1" t="s">
        <v>36855</v>
      </c>
      <c r="B36856" s="2" t="str">
        <f>IFERROR(__xludf.DUMMYFUNCTION("GOOGLETRANSLATE(A36856, ""de"", ""en"")"),"abdomen")</f>
        <v>abdomen</v>
      </c>
    </row>
    <row r="36857">
      <c r="A36857" s="1" t="s">
        <v>36856</v>
      </c>
      <c r="B36857" s="2" t="str">
        <f>IFERROR(__xludf.DUMMYFUNCTION("GOOGLETRANSLATE(A36857, ""de"", ""en"")"),"normal")</f>
        <v>normal</v>
      </c>
    </row>
    <row r="36858">
      <c r="A36858" s="1" t="s">
        <v>36857</v>
      </c>
      <c r="B36858" s="2" t="str">
        <f>IFERROR(__xludf.DUMMYFUNCTION("GOOGLETRANSLATE(A36858, ""de"", ""en"")"),"hobart")</f>
        <v>hobart</v>
      </c>
    </row>
    <row r="36859">
      <c r="A36859" s="1" t="s">
        <v>36858</v>
      </c>
      <c r="B36859" s="2" t="str">
        <f>IFERROR(__xludf.DUMMYFUNCTION("GOOGLETRANSLATE(A36859, ""de"", ""en"")"),"loukauskis")</f>
        <v>loukauskis</v>
      </c>
    </row>
    <row r="36860">
      <c r="A36860" s="1" t="s">
        <v>36859</v>
      </c>
      <c r="B36860" s="2" t="str">
        <f>IFERROR(__xludf.DUMMYFUNCTION("GOOGLETRANSLATE(A36860, ""de"", ""en"")"),"familiar")</f>
        <v>familiar</v>
      </c>
    </row>
    <row r="36861">
      <c r="A36861" s="1" t="s">
        <v>36860</v>
      </c>
      <c r="B36861" s="2" t="str">
        <f>IFERROR(__xludf.DUMMYFUNCTION("GOOGLETRANSLATE(A36861, ""de"", ""en"")"),"parkman")</f>
        <v>parkman</v>
      </c>
    </row>
    <row r="36862">
      <c r="A36862" s="1" t="s">
        <v>36861</v>
      </c>
      <c r="B36862" s="2" t="str">
        <f>IFERROR(__xludf.DUMMYFUNCTION("GOOGLETRANSLATE(A36862, ""de"", ""en"")"),"wilkinson")</f>
        <v>wilkinson</v>
      </c>
    </row>
    <row r="36863">
      <c r="A36863" s="1" t="s">
        <v>36862</v>
      </c>
      <c r="B36863" s="2" t="str">
        <f>IFERROR(__xludf.DUMMYFUNCTION("GOOGLETRANSLATE(A36863, ""de"", ""en"")"),"cleaned out")</f>
        <v>cleaned out</v>
      </c>
    </row>
    <row r="36864">
      <c r="A36864" s="1" t="s">
        <v>36863</v>
      </c>
      <c r="B36864" s="2" t="str">
        <f>IFERROR(__xludf.DUMMYFUNCTION("GOOGLETRANSLATE(A36864, ""de"", ""en"")"),"more murderous")</f>
        <v>more murderous</v>
      </c>
    </row>
    <row r="36865">
      <c r="A36865" s="1" t="s">
        <v>36864</v>
      </c>
      <c r="B36865" s="2" t="str">
        <f>IFERROR(__xludf.DUMMYFUNCTION("GOOGLETRANSLATE(A36865, ""de"", ""en"")"),"fits in")</f>
        <v>fits in</v>
      </c>
    </row>
    <row r="36866">
      <c r="A36866" s="1" t="s">
        <v>36865</v>
      </c>
      <c r="B36866" s="2" t="str">
        <f>IFERROR(__xludf.DUMMYFUNCTION("GOOGLETRANSLATE(A36866, ""de"", ""en"")"),"hemp")</f>
        <v>hemp</v>
      </c>
    </row>
    <row r="36867">
      <c r="A36867" s="1" t="s">
        <v>36866</v>
      </c>
      <c r="B36867" s="2" t="str">
        <f>IFERROR(__xludf.DUMMYFUNCTION("GOOGLETRANSLATE(A36867, ""de"", ""en"")"),"insights")</f>
        <v>insights</v>
      </c>
    </row>
    <row r="36868">
      <c r="A36868" s="1" t="s">
        <v>36867</v>
      </c>
      <c r="B36868" s="2" t="str">
        <f>IFERROR(__xludf.DUMMYFUNCTION("GOOGLETRANSLATE(A36868, ""de"", ""en"")"),"swirls")</f>
        <v>swirls</v>
      </c>
    </row>
    <row r="36869">
      <c r="A36869" s="1" t="s">
        <v>36868</v>
      </c>
      <c r="B36869" s="2" t="str">
        <f>IFERROR(__xludf.DUMMYFUNCTION("GOOGLETRANSLATE(A36869, ""de"", ""en"")"),"toots")</f>
        <v>toots</v>
      </c>
    </row>
    <row r="36870">
      <c r="A36870" s="1" t="s">
        <v>36869</v>
      </c>
      <c r="B36870" s="2" t="str">
        <f>IFERROR(__xludf.DUMMYFUNCTION("GOOGLETRANSLATE(A36870, ""de"", ""en"")"),"Californian")</f>
        <v>Californian</v>
      </c>
    </row>
    <row r="36871">
      <c r="A36871" s="1" t="s">
        <v>36870</v>
      </c>
      <c r="B36871" s="2" t="str">
        <f>IFERROR(__xludf.DUMMYFUNCTION("GOOGLETRANSLATE(A36871, ""de"", ""en"")"),"vice president")</f>
        <v>vice president</v>
      </c>
    </row>
    <row r="36872">
      <c r="A36872" s="1" t="s">
        <v>36871</v>
      </c>
      <c r="B36872" s="2" t="str">
        <f>IFERROR(__xludf.DUMMYFUNCTION("GOOGLETRANSLATE(A36872, ""de"", ""en"")"),"cast on")</f>
        <v>cast on</v>
      </c>
    </row>
    <row r="36873">
      <c r="A36873" s="1" t="s">
        <v>36872</v>
      </c>
      <c r="B36873" s="2" t="str">
        <f>IFERROR(__xludf.DUMMYFUNCTION("GOOGLETRANSLATE(A36873, ""de"", ""en"")"),"whirlwind")</f>
        <v>whirlwind</v>
      </c>
    </row>
    <row r="36874">
      <c r="A36874" s="1" t="s">
        <v>36873</v>
      </c>
      <c r="B36874" s="2" t="str">
        <f>IFERROR(__xludf.DUMMYFUNCTION("GOOGLETRANSLATE(A36874, ""de"", ""en"")"),"babble")</f>
        <v>babble</v>
      </c>
    </row>
    <row r="36875">
      <c r="A36875" s="1" t="s">
        <v>36874</v>
      </c>
      <c r="B36875" s="2" t="str">
        <f>IFERROR(__xludf.DUMMYFUNCTION("GOOGLETRANSLATE(A36875, ""de"", ""en"")"),"vane")</f>
        <v>vane</v>
      </c>
    </row>
    <row r="36876">
      <c r="A36876" s="1" t="s">
        <v>36875</v>
      </c>
      <c r="B36876" s="2" t="str">
        <f>IFERROR(__xludf.DUMMYFUNCTION("GOOGLETRANSLATE(A36876, ""de"", ""en"")"),"illicit")</f>
        <v>illicit</v>
      </c>
    </row>
    <row r="36877">
      <c r="A36877" s="1" t="s">
        <v>36876</v>
      </c>
      <c r="B36877" s="2" t="str">
        <f>IFERROR(__xludf.DUMMYFUNCTION("GOOGLETRANSLATE(A36877, ""de"", ""en"")"),"to have it back")</f>
        <v>to have it back</v>
      </c>
    </row>
    <row r="36878">
      <c r="A36878" s="1" t="s">
        <v>36877</v>
      </c>
      <c r="B36878" s="2" t="str">
        <f>IFERROR(__xludf.DUMMYFUNCTION("GOOGLETRANSLATE(A36878, ""de"", ""en"")"),"unborn")</f>
        <v>unborn</v>
      </c>
    </row>
    <row r="36879">
      <c r="A36879" s="1" t="s">
        <v>36878</v>
      </c>
      <c r="B36879" s="2" t="str">
        <f>IFERROR(__xludf.DUMMYFUNCTION("GOOGLETRANSLATE(A36879, ""de"", ""en"")"),"luck")</f>
        <v>luck</v>
      </c>
    </row>
    <row r="36880">
      <c r="A36880" s="1" t="s">
        <v>36879</v>
      </c>
      <c r="B36880" s="2" t="str">
        <f>IFERROR(__xludf.DUMMYFUNCTION("GOOGLETRANSLATE(A36880, ""de"", ""en"")"),"regulars")</f>
        <v>regulars</v>
      </c>
    </row>
    <row r="36881">
      <c r="A36881" s="1" t="s">
        <v>36880</v>
      </c>
      <c r="B36881" s="2" t="str">
        <f>IFERROR(__xludf.DUMMYFUNCTION("GOOGLETRANSLATE(A36881, ""de"", ""en"")"),"ladybug")</f>
        <v>ladybug</v>
      </c>
    </row>
    <row r="36882">
      <c r="A36882" s="1" t="s">
        <v>36881</v>
      </c>
      <c r="B36882" s="2" t="str">
        <f>IFERROR(__xludf.DUMMYFUNCTION("GOOGLETRANSLATE(A36882, ""de"", ""en"")"),"siesta")</f>
        <v>siesta</v>
      </c>
    </row>
    <row r="36883">
      <c r="A36883" s="1" t="s">
        <v>36882</v>
      </c>
      <c r="B36883" s="2" t="str">
        <f>IFERROR(__xludf.DUMMYFUNCTION("GOOGLETRANSLATE(A36883, ""de"", ""en"")"),"yousef")</f>
        <v>yousef</v>
      </c>
    </row>
    <row r="36884">
      <c r="A36884" s="1" t="s">
        <v>36883</v>
      </c>
      <c r="B36884" s="2" t="str">
        <f>IFERROR(__xludf.DUMMYFUNCTION("GOOGLETRANSLATE(A36884, ""de"", ""en"")"),"Elspeth")</f>
        <v>Elspeth</v>
      </c>
    </row>
    <row r="36885">
      <c r="A36885" s="1" t="s">
        <v>36884</v>
      </c>
      <c r="B36885" s="2" t="str">
        <f>IFERROR(__xludf.DUMMYFUNCTION("GOOGLETRANSLATE(A36885, ""de"", ""en"")"),"Gerti")</f>
        <v>Gerti</v>
      </c>
    </row>
    <row r="36886">
      <c r="A36886" s="1" t="s">
        <v>36885</v>
      </c>
      <c r="B36886" s="2" t="str">
        <f>IFERROR(__xludf.DUMMYFUNCTION("GOOGLETRANSLATE(A36886, ""de"", ""en"")"),"addressed")</f>
        <v>addressed</v>
      </c>
    </row>
    <row r="36887">
      <c r="A36887" s="1" t="s">
        <v>36886</v>
      </c>
      <c r="B36887" s="2" t="str">
        <f>IFERROR(__xludf.DUMMYFUNCTION("GOOGLETRANSLATE(A36887, ""de"", ""en"")"),"supported")</f>
        <v>supported</v>
      </c>
    </row>
    <row r="36888">
      <c r="A36888" s="1" t="s">
        <v>36887</v>
      </c>
      <c r="B36888" s="2" t="str">
        <f>IFERROR(__xludf.DUMMYFUNCTION("GOOGLETRANSLATE(A36888, ""de"", ""en"")"),"fried")</f>
        <v>fried</v>
      </c>
    </row>
    <row r="36889">
      <c r="A36889" s="1" t="s">
        <v>36888</v>
      </c>
      <c r="B36889" s="2" t="str">
        <f>IFERROR(__xludf.DUMMYFUNCTION("GOOGLETRANSLATE(A36889, ""de"", ""en"")"),"sewer")</f>
        <v>sewer</v>
      </c>
    </row>
    <row r="36890">
      <c r="A36890" s="1" t="s">
        <v>36889</v>
      </c>
      <c r="B36890" s="2" t="str">
        <f>IFERROR(__xludf.DUMMYFUNCTION("GOOGLETRANSLATE(A36890, ""de"", ""en"")"),"Minsk")</f>
        <v>Minsk</v>
      </c>
    </row>
    <row r="36891">
      <c r="A36891" s="1" t="s">
        <v>36890</v>
      </c>
      <c r="B36891" s="2" t="str">
        <f>IFERROR(__xludf.DUMMYFUNCTION("GOOGLETRANSLATE(A36891, ""de"", ""en"")"),"finance")</f>
        <v>finance</v>
      </c>
    </row>
    <row r="36892">
      <c r="A36892" s="1" t="s">
        <v>36891</v>
      </c>
      <c r="B36892" s="2" t="str">
        <f>IFERROR(__xludf.DUMMYFUNCTION("GOOGLETRANSLATE(A36892, ""de"", ""en"")"),"enough")</f>
        <v>enough</v>
      </c>
    </row>
    <row r="36893">
      <c r="A36893" s="1" t="s">
        <v>36892</v>
      </c>
      <c r="B36893" s="2" t="str">
        <f>IFERROR(__xludf.DUMMYFUNCTION("GOOGLETRANSLATE(A36893, ""de"", ""en"")"),"dry")</f>
        <v>dry</v>
      </c>
    </row>
    <row r="36894">
      <c r="A36894" s="1" t="s">
        <v>36893</v>
      </c>
      <c r="B36894" s="2" t="str">
        <f>IFERROR(__xludf.DUMMYFUNCTION("GOOGLETRANSLATE(A36894, ""de"", ""en"")"),"delivered")</f>
        <v>delivered</v>
      </c>
    </row>
    <row r="36895">
      <c r="A36895" s="1" t="s">
        <v>36894</v>
      </c>
      <c r="B36895" s="2" t="str">
        <f>IFERROR(__xludf.DUMMYFUNCTION("GOOGLETRANSLATE(A36895, ""de"", ""en"")"),"Chesterfield")</f>
        <v>Chesterfield</v>
      </c>
    </row>
    <row r="36896">
      <c r="A36896" s="1" t="s">
        <v>36895</v>
      </c>
      <c r="B36896" s="2" t="str">
        <f>IFERROR(__xludf.DUMMYFUNCTION("GOOGLETRANSLATE(A36896, ""de"", ""en"")"),"subjects")</f>
        <v>subjects</v>
      </c>
    </row>
    <row r="36897">
      <c r="A36897" s="1" t="s">
        <v>36896</v>
      </c>
      <c r="B36897" s="2" t="str">
        <f>IFERROR(__xludf.DUMMYFUNCTION("GOOGLETRANSLATE(A36897, ""de"", ""en"")"),"nipple")</f>
        <v>nipple</v>
      </c>
    </row>
    <row r="36898">
      <c r="A36898" s="1" t="s">
        <v>36897</v>
      </c>
      <c r="B36898" s="2" t="str">
        <f>IFERROR(__xludf.DUMMYFUNCTION("GOOGLETRANSLATE(A36898, ""de"", ""en"")"),"hate")</f>
        <v>hate</v>
      </c>
    </row>
    <row r="36899">
      <c r="A36899" s="1" t="s">
        <v>36898</v>
      </c>
      <c r="B36899" s="2" t="str">
        <f>IFERROR(__xludf.DUMMYFUNCTION("GOOGLETRANSLATE(A36899, ""de"", ""en"")"),"embezzled")</f>
        <v>embezzled</v>
      </c>
    </row>
    <row r="36900">
      <c r="A36900" s="1" t="s">
        <v>36899</v>
      </c>
      <c r="B36900" s="2" t="str">
        <f>IFERROR(__xludf.DUMMYFUNCTION("GOOGLETRANSLATE(A36900, ""de"", ""en"")"),"Zion")</f>
        <v>Zion</v>
      </c>
    </row>
    <row r="36901">
      <c r="A36901" s="1" t="s">
        <v>36900</v>
      </c>
      <c r="B36901" s="2" t="str">
        <f>IFERROR(__xludf.DUMMYFUNCTION("GOOGLETRANSLATE(A36901, ""de"", ""en"")"),"amazon")</f>
        <v>amazon</v>
      </c>
    </row>
    <row r="36902">
      <c r="A36902" s="1" t="s">
        <v>36901</v>
      </c>
      <c r="B36902" s="2" t="str">
        <f>IFERROR(__xludf.DUMMYFUNCTION("GOOGLETRANSLATE(A36902, ""de"", ""en"")"),"Carlsen")</f>
        <v>Carlsen</v>
      </c>
    </row>
    <row r="36903">
      <c r="A36903" s="1" t="s">
        <v>36902</v>
      </c>
      <c r="B36903" s="2" t="str">
        <f>IFERROR(__xludf.DUMMYFUNCTION("GOOGLETRANSLATE(A36903, ""de"", ""en"")"),"werewolves")</f>
        <v>werewolves</v>
      </c>
    </row>
    <row r="36904">
      <c r="A36904" s="1" t="s">
        <v>36903</v>
      </c>
      <c r="B36904" s="2" t="str">
        <f>IFERROR(__xludf.DUMMYFUNCTION("GOOGLETRANSLATE(A36904, ""de"", ""en"")"),"lip gloss")</f>
        <v>lip gloss</v>
      </c>
    </row>
    <row r="36905">
      <c r="A36905" s="1" t="s">
        <v>36904</v>
      </c>
      <c r="B36905" s="2" t="str">
        <f>IFERROR(__xludf.DUMMYFUNCTION("GOOGLETRANSLATE(A36905, ""de"", ""en"")"),"touching")</f>
        <v>touching</v>
      </c>
    </row>
    <row r="36906">
      <c r="A36906" s="1" t="s">
        <v>36905</v>
      </c>
      <c r="B36906" s="2" t="str">
        <f>IFERROR(__xludf.DUMMYFUNCTION("GOOGLETRANSLATE(A36906, ""de"", ""en"")"),"less")</f>
        <v>less</v>
      </c>
    </row>
    <row r="36907">
      <c r="A36907" s="1" t="s">
        <v>36906</v>
      </c>
      <c r="B36907" s="2" t="str">
        <f>IFERROR(__xludf.DUMMYFUNCTION("GOOGLETRANSLATE(A36907, ""de"", ""en"")"),"forget")</f>
        <v>forget</v>
      </c>
    </row>
    <row r="36908">
      <c r="A36908" s="1" t="s">
        <v>36907</v>
      </c>
      <c r="B36908" s="2" t="str">
        <f>IFERROR(__xludf.DUMMYFUNCTION("GOOGLETRANSLATE(A36908, ""de"", ""en"")"),"devoured")</f>
        <v>devoured</v>
      </c>
    </row>
    <row r="36909">
      <c r="A36909" s="1" t="s">
        <v>36908</v>
      </c>
      <c r="B36909" s="2" t="str">
        <f>IFERROR(__xludf.DUMMYFUNCTION("GOOGLETRANSLATE(A36909, ""de"", ""en"")"),"weeks")</f>
        <v>weeks</v>
      </c>
    </row>
    <row r="36910">
      <c r="A36910" s="1" t="s">
        <v>36909</v>
      </c>
      <c r="B36910" s="2" t="str">
        <f>IFERROR(__xludf.DUMMYFUNCTION("GOOGLETRANSLATE(A36910, ""de"", ""en"")"),"clamped")</f>
        <v>clamped</v>
      </c>
    </row>
    <row r="36911">
      <c r="A36911" s="1" t="s">
        <v>36910</v>
      </c>
      <c r="B36911" s="2" t="str">
        <f>IFERROR(__xludf.DUMMYFUNCTION("GOOGLETRANSLATE(A36911, ""de"", ""en"")"),"cracked")</f>
        <v>cracked</v>
      </c>
    </row>
    <row r="36912">
      <c r="A36912" s="1" t="s">
        <v>36911</v>
      </c>
      <c r="B36912" s="2" t="str">
        <f>IFERROR(__xludf.DUMMYFUNCTION("GOOGLETRANSLATE(A36912, ""de"", ""en"")"),"circuit")</f>
        <v>circuit</v>
      </c>
    </row>
    <row r="36913">
      <c r="A36913" s="1" t="s">
        <v>36912</v>
      </c>
      <c r="B36913" s="2" t="str">
        <f>IFERROR(__xludf.DUMMYFUNCTION("GOOGLETRANSLATE(A36913, ""de"", ""en"")"),"koothrappali")</f>
        <v>koothrappali</v>
      </c>
    </row>
    <row r="36914">
      <c r="A36914" s="1" t="s">
        <v>36913</v>
      </c>
      <c r="B36914" s="2" t="str">
        <f>IFERROR(__xludf.DUMMYFUNCTION("GOOGLETRANSLATE(A36914, ""de"", ""en"")"),"shower")</f>
        <v>shower</v>
      </c>
    </row>
    <row r="36915">
      <c r="A36915" s="1" t="s">
        <v>36914</v>
      </c>
      <c r="B36915" s="2" t="str">
        <f>IFERROR(__xludf.DUMMYFUNCTION("GOOGLETRANSLATE(A36915, ""de"", ""en"")"),"journeyman")</f>
        <v>journeyman</v>
      </c>
    </row>
    <row r="36916">
      <c r="A36916" s="1" t="s">
        <v>36915</v>
      </c>
      <c r="B36916" s="2" t="str">
        <f>IFERROR(__xludf.DUMMYFUNCTION("GOOGLETRANSLATE(A36916, ""de"", ""en"")"),"reverse side")</f>
        <v>reverse side</v>
      </c>
    </row>
    <row r="36917">
      <c r="A36917" s="1" t="s">
        <v>36916</v>
      </c>
      <c r="B36917" s="2" t="str">
        <f>IFERROR(__xludf.DUMMYFUNCTION("GOOGLETRANSLATE(A36917, ""de"", ""en"")"),"bypassed")</f>
        <v>bypassed</v>
      </c>
    </row>
    <row r="36918">
      <c r="A36918" s="1" t="s">
        <v>36917</v>
      </c>
      <c r="B36918" s="2" t="str">
        <f>IFERROR(__xludf.DUMMYFUNCTION("GOOGLETRANSLATE(A36918, ""de"", ""en"")"),"scary")</f>
        <v>scary</v>
      </c>
    </row>
    <row r="36919">
      <c r="A36919" s="1" t="s">
        <v>36918</v>
      </c>
      <c r="B36919" s="2" t="str">
        <f>IFERROR(__xludf.DUMMYFUNCTION("GOOGLETRANSLATE(A36919, ""de"", ""en"")"),"dreyfuss")</f>
        <v>dreyfuss</v>
      </c>
    </row>
    <row r="36920">
      <c r="A36920" s="1" t="s">
        <v>36919</v>
      </c>
      <c r="B36920" s="2" t="str">
        <f>IFERROR(__xludf.DUMMYFUNCTION("GOOGLETRANSLATE(A36920, ""de"", ""en"")"),"personality disorder")</f>
        <v>personality disorder</v>
      </c>
    </row>
    <row r="36921">
      <c r="A36921" s="1" t="s">
        <v>36920</v>
      </c>
      <c r="B36921" s="2" t="str">
        <f>IFERROR(__xludf.DUMMYFUNCTION("GOOGLETRANSLATE(A36921, ""de"", ""en"")"),"stuffed")</f>
        <v>stuffed</v>
      </c>
    </row>
    <row r="36922">
      <c r="A36922" s="1" t="s">
        <v>36921</v>
      </c>
      <c r="B36922" s="2" t="str">
        <f>IFERROR(__xludf.DUMMYFUNCTION("GOOGLETRANSLATE(A36922, ""de"", ""en"")"),"shillings")</f>
        <v>shillings</v>
      </c>
    </row>
    <row r="36923">
      <c r="A36923" s="1" t="s">
        <v>36922</v>
      </c>
      <c r="B36923" s="2" t="str">
        <f>IFERROR(__xludf.DUMMYFUNCTION("GOOGLETRANSLATE(A36923, ""de"", ""en"")"),"subtle")</f>
        <v>subtle</v>
      </c>
    </row>
    <row r="36924">
      <c r="A36924" s="1" t="s">
        <v>36923</v>
      </c>
      <c r="B36924" s="2" t="str">
        <f>IFERROR(__xludf.DUMMYFUNCTION("GOOGLETRANSLATE(A36924, ""de"", ""en"")"),"savonarola")</f>
        <v>savonarola</v>
      </c>
    </row>
    <row r="36925">
      <c r="A36925" s="1" t="s">
        <v>36924</v>
      </c>
      <c r="B36925" s="2" t="str">
        <f>IFERROR(__xludf.DUMMYFUNCTION("GOOGLETRANSLATE(A36925, ""de"", ""en"")"),"husbands")</f>
        <v>husbands</v>
      </c>
    </row>
    <row r="36926">
      <c r="A36926" s="1" t="s">
        <v>36925</v>
      </c>
      <c r="B36926" s="2" t="str">
        <f>IFERROR(__xludf.DUMMYFUNCTION("GOOGLETRANSLATE(A36926, ""de"", ""en"")"),"satisfy")</f>
        <v>satisfy</v>
      </c>
    </row>
    <row r="36927">
      <c r="A36927" s="1" t="s">
        <v>36926</v>
      </c>
      <c r="B36927" s="2" t="str">
        <f>IFERROR(__xludf.DUMMYFUNCTION("GOOGLETRANSLATE(A36927, ""de"", ""en"")"),"bray")</f>
        <v>bray</v>
      </c>
    </row>
    <row r="36928">
      <c r="A36928" s="1" t="s">
        <v>36927</v>
      </c>
      <c r="B36928" s="2" t="str">
        <f>IFERROR(__xludf.DUMMYFUNCTION("GOOGLETRANSLATE(A36928, ""de"", ""en"")"),"drinking spree")</f>
        <v>drinking spree</v>
      </c>
    </row>
    <row r="36929">
      <c r="A36929" s="1" t="s">
        <v>36928</v>
      </c>
      <c r="B36929" s="2" t="str">
        <f>IFERROR(__xludf.DUMMYFUNCTION("GOOGLETRANSLATE(A36929, ""de"", ""en"")"),"sweetie")</f>
        <v>sweetie</v>
      </c>
    </row>
    <row r="36930">
      <c r="A36930" s="1" t="s">
        <v>36929</v>
      </c>
      <c r="B36930" s="2" t="str">
        <f>IFERROR(__xludf.DUMMYFUNCTION("GOOGLETRANSLATE(A36930, ""de"", ""en"")"),"swollen")</f>
        <v>swollen</v>
      </c>
    </row>
    <row r="36931">
      <c r="A36931" s="1" t="s">
        <v>36930</v>
      </c>
      <c r="B36931" s="2" t="str">
        <f>IFERROR(__xludf.DUMMYFUNCTION("GOOGLETRANSLATE(A36931, ""de"", ""en"")"),"Ashford")</f>
        <v>Ashford</v>
      </c>
    </row>
    <row r="36932">
      <c r="A36932" s="1" t="s">
        <v>36931</v>
      </c>
      <c r="B36932" s="2" t="str">
        <f>IFERROR(__xludf.DUMMYFUNCTION("GOOGLETRANSLATE(A36932, ""de"", ""en"")"),"six and a half")</f>
        <v>six and a half</v>
      </c>
    </row>
    <row r="36933">
      <c r="A36933" s="1" t="s">
        <v>36932</v>
      </c>
      <c r="B36933" s="2" t="str">
        <f>IFERROR(__xludf.DUMMYFUNCTION("GOOGLETRANSLATE(A36933, ""de"", ""en"")"),"history teacher")</f>
        <v>history teacher</v>
      </c>
    </row>
    <row r="36934">
      <c r="A36934" s="1" t="s">
        <v>36933</v>
      </c>
      <c r="B36934" s="2" t="str">
        <f>IFERROR(__xludf.DUMMYFUNCTION("GOOGLETRANSLATE(A36934, ""de"", ""en"")"),"trash can")</f>
        <v>trash can</v>
      </c>
    </row>
    <row r="36935">
      <c r="A36935" s="1" t="s">
        <v>36934</v>
      </c>
      <c r="B36935" s="2" t="str">
        <f>IFERROR(__xludf.DUMMYFUNCTION("GOOGLETRANSLATE(A36935, ""de"", ""en"")"),"committed")</f>
        <v>committed</v>
      </c>
    </row>
    <row r="36936">
      <c r="A36936" s="1" t="s">
        <v>36935</v>
      </c>
      <c r="B36936" s="2" t="str">
        <f>IFERROR(__xludf.DUMMYFUNCTION("GOOGLETRANSLATE(A36936, ""de"", ""en"")"),"bagchi")</f>
        <v>bagchi</v>
      </c>
    </row>
    <row r="36937">
      <c r="A36937" s="1" t="s">
        <v>36936</v>
      </c>
      <c r="B36937" s="2" t="str">
        <f>IFERROR(__xludf.DUMMYFUNCTION("GOOGLETRANSLATE(A36937, ""de"", ""en"")"),"spam")</f>
        <v>spam</v>
      </c>
    </row>
    <row r="36938">
      <c r="A36938" s="1" t="s">
        <v>36937</v>
      </c>
      <c r="B36938" s="2" t="str">
        <f>IFERROR(__xludf.DUMMYFUNCTION("GOOGLETRANSLATE(A36938, ""de"", ""en"")"),"history")</f>
        <v>history</v>
      </c>
    </row>
    <row r="36939">
      <c r="A36939" s="1" t="s">
        <v>36938</v>
      </c>
      <c r="B36939" s="2" t="str">
        <f>IFERROR(__xludf.DUMMYFUNCTION("GOOGLETRANSLATE(A36939, ""de"", ""en"")"),"psychopath")</f>
        <v>psychopath</v>
      </c>
    </row>
    <row r="36940">
      <c r="A36940" s="1" t="s">
        <v>36939</v>
      </c>
      <c r="B36940" s="2" t="str">
        <f>IFERROR(__xludf.DUMMYFUNCTION("GOOGLETRANSLATE(A36940, ""de"", ""en"")"),"scurry")</f>
        <v>scurry</v>
      </c>
    </row>
    <row r="36941">
      <c r="A36941" s="1" t="s">
        <v>36940</v>
      </c>
      <c r="B36941" s="2" t="str">
        <f>IFERROR(__xludf.DUMMYFUNCTION("GOOGLETRANSLATE(A36941, ""de"", ""en"")"),"rainbow")</f>
        <v>rainbow</v>
      </c>
    </row>
    <row r="36942">
      <c r="A36942" s="1" t="s">
        <v>36941</v>
      </c>
      <c r="B36942" s="2" t="str">
        <f>IFERROR(__xludf.DUMMYFUNCTION("GOOGLETRANSLATE(A36942, ""de"", ""en"")"),"kick")</f>
        <v>kick</v>
      </c>
    </row>
    <row r="36943">
      <c r="A36943" s="1" t="s">
        <v>36942</v>
      </c>
      <c r="B36943" s="2" t="str">
        <f>IFERROR(__xludf.DUMMYFUNCTION("GOOGLETRANSLATE(A36943, ""de"", ""en"")"),"riccardo")</f>
        <v>riccardo</v>
      </c>
    </row>
    <row r="36944">
      <c r="A36944" s="1" t="s">
        <v>36943</v>
      </c>
      <c r="B36944" s="2" t="str">
        <f>IFERROR(__xludf.DUMMYFUNCTION("GOOGLETRANSLATE(A36944, ""de"", ""en"")"),"search parties")</f>
        <v>search parties</v>
      </c>
    </row>
    <row r="36945">
      <c r="A36945" s="1" t="s">
        <v>36944</v>
      </c>
      <c r="B36945" s="2" t="str">
        <f>IFERROR(__xludf.DUMMYFUNCTION("GOOGLETRANSLATE(A36945, ""de"", ""en"")"),"reverence")</f>
        <v>reverence</v>
      </c>
    </row>
    <row r="36946">
      <c r="A36946" s="1" t="s">
        <v>36945</v>
      </c>
      <c r="B36946" s="2" t="str">
        <f>IFERROR(__xludf.DUMMYFUNCTION("GOOGLETRANSLATE(A36946, ""de"", ""en"")"),"awakened")</f>
        <v>awakened</v>
      </c>
    </row>
    <row r="36947">
      <c r="A36947" s="1" t="s">
        <v>36946</v>
      </c>
      <c r="B36947" s="2" t="str">
        <f>IFERROR(__xludf.DUMMYFUNCTION("GOOGLETRANSLATE(A36947, ""de"", ""en"")"),"theater group")</f>
        <v>theater group</v>
      </c>
    </row>
    <row r="36948">
      <c r="A36948" s="1" t="s">
        <v>36947</v>
      </c>
      <c r="B36948" s="2" t="str">
        <f>IFERROR(__xludf.DUMMYFUNCTION("GOOGLETRANSLATE(A36948, ""de"", ""en"")"),"fifth")</f>
        <v>fifth</v>
      </c>
    </row>
    <row r="36949">
      <c r="A36949" s="1" t="s">
        <v>36948</v>
      </c>
      <c r="B36949" s="2" t="str">
        <f>IFERROR(__xludf.DUMMYFUNCTION("GOOGLETRANSLATE(A36949, ""de"", ""en"")"),"iz")</f>
        <v>iz</v>
      </c>
    </row>
    <row r="36950">
      <c r="A36950" s="1" t="s">
        <v>36949</v>
      </c>
      <c r="B36950" s="2" t="str">
        <f>IFERROR(__xludf.DUMMYFUNCTION("GOOGLETRANSLATE(A36950, ""de"", ""en"")"),"mcfly")</f>
        <v>mcfly</v>
      </c>
    </row>
    <row r="36951">
      <c r="A36951" s="1" t="s">
        <v>36950</v>
      </c>
      <c r="B36951" s="2" t="str">
        <f>IFERROR(__xludf.DUMMYFUNCTION("GOOGLETRANSLATE(A36951, ""de"", ""en"")"),"carrolls")</f>
        <v>carrolls</v>
      </c>
    </row>
    <row r="36952">
      <c r="A36952" s="1" t="s">
        <v>36951</v>
      </c>
      <c r="B36952" s="2" t="str">
        <f>IFERROR(__xludf.DUMMYFUNCTION("GOOGLETRANSLATE(A36952, ""de"", ""en"")"),"herald")</f>
        <v>herald</v>
      </c>
    </row>
    <row r="36953">
      <c r="A36953" s="1" t="s">
        <v>36952</v>
      </c>
      <c r="B36953" s="2" t="str">
        <f>IFERROR(__xludf.DUMMYFUNCTION("GOOGLETRANSLATE(A36953, ""de"", ""en"")"),"reactivated")</f>
        <v>reactivated</v>
      </c>
    </row>
    <row r="36954">
      <c r="A36954" s="1" t="s">
        <v>36953</v>
      </c>
      <c r="B36954" s="2" t="str">
        <f>IFERROR(__xludf.DUMMYFUNCTION("GOOGLETRANSLATE(A36954, ""de"", ""en"")"),"plank")</f>
        <v>plank</v>
      </c>
    </row>
    <row r="36955">
      <c r="A36955" s="1" t="s">
        <v>36954</v>
      </c>
      <c r="B36955" s="2" t="str">
        <f>IFERROR(__xludf.DUMMYFUNCTION("GOOGLETRANSLATE(A36955, ""de"", ""en"")"),"file")</f>
        <v>file</v>
      </c>
    </row>
    <row r="36956">
      <c r="A36956" s="1" t="s">
        <v>36955</v>
      </c>
      <c r="B36956" s="2" t="str">
        <f>IFERROR(__xludf.DUMMYFUNCTION("GOOGLETRANSLATE(A36956, ""de"", ""en"")"),"admit")</f>
        <v>admit</v>
      </c>
    </row>
    <row r="36957">
      <c r="A36957" s="1" t="s">
        <v>36956</v>
      </c>
      <c r="B36957" s="2" t="str">
        <f>IFERROR(__xludf.DUMMYFUNCTION("GOOGLETRANSLATE(A36957, ""de"", ""en"")"),"defenseless")</f>
        <v>defenseless</v>
      </c>
    </row>
    <row r="36958">
      <c r="A36958" s="1" t="s">
        <v>36957</v>
      </c>
      <c r="B36958" s="2" t="str">
        <f>IFERROR(__xludf.DUMMYFUNCTION("GOOGLETRANSLATE(A36958, ""de"", ""en"")"),"Lucian")</f>
        <v>Lucian</v>
      </c>
    </row>
    <row r="36959">
      <c r="A36959" s="1" t="s">
        <v>36958</v>
      </c>
      <c r="B36959" s="2" t="str">
        <f>IFERROR(__xludf.DUMMYFUNCTION("GOOGLETRANSLATE(A36959, ""de"", ""en"")"),"minne")</f>
        <v>minne</v>
      </c>
    </row>
    <row r="36960">
      <c r="A36960" s="1" t="s">
        <v>36959</v>
      </c>
      <c r="B36960" s="2" t="str">
        <f>IFERROR(__xludf.DUMMYFUNCTION("GOOGLETRANSLATE(A36960, ""de"", ""en"")"),"putnam")</f>
        <v>putnam</v>
      </c>
    </row>
    <row r="36961">
      <c r="A36961" s="1" t="s">
        <v>36960</v>
      </c>
      <c r="B36961" s="2" t="str">
        <f>IFERROR(__xludf.DUMMYFUNCTION("GOOGLETRANSLATE(A36961, ""de"", ""en"")"),"subdued")</f>
        <v>subdued</v>
      </c>
    </row>
    <row r="36962">
      <c r="A36962" s="1" t="s">
        <v>36961</v>
      </c>
      <c r="B36962" s="2" t="str">
        <f>IFERROR(__xludf.DUMMYFUNCTION("GOOGLETRANSLATE(A36962, ""de"", ""en"")"),"California")</f>
        <v>California</v>
      </c>
    </row>
    <row r="36963">
      <c r="A36963" s="1" t="s">
        <v>36962</v>
      </c>
      <c r="B36963" s="2" t="str">
        <f>IFERROR(__xludf.DUMMYFUNCTION("GOOGLETRANSLATE(A36963, ""de"", ""en"")"),"drexler")</f>
        <v>drexler</v>
      </c>
    </row>
    <row r="36964">
      <c r="A36964" s="1" t="s">
        <v>36963</v>
      </c>
      <c r="B36964" s="2" t="str">
        <f>IFERROR(__xludf.DUMMYFUNCTION("GOOGLETRANSLATE(A36964, ""de"", ""en"")"),"remain")</f>
        <v>remain</v>
      </c>
    </row>
    <row r="36965">
      <c r="A36965" s="1" t="s">
        <v>36964</v>
      </c>
      <c r="B36965" s="2" t="str">
        <f>IFERROR(__xludf.DUMMYFUNCTION("GOOGLETRANSLATE(A36965, ""de"", ""en"")"),"turpentine")</f>
        <v>turpentine</v>
      </c>
    </row>
    <row r="36966">
      <c r="A36966" s="1" t="s">
        <v>36965</v>
      </c>
      <c r="B36966" s="2" t="str">
        <f>IFERROR(__xludf.DUMMYFUNCTION("GOOGLETRANSLATE(A36966, ""de"", ""en"")"),"ghost train")</f>
        <v>ghost train</v>
      </c>
    </row>
    <row r="36967">
      <c r="A36967" s="1" t="s">
        <v>36966</v>
      </c>
      <c r="B36967" s="2" t="str">
        <f>IFERROR(__xludf.DUMMYFUNCTION("GOOGLETRANSLATE(A36967, ""de"", ""en"")"),"k-a-k-man")</f>
        <v>k-a-k-man</v>
      </c>
    </row>
    <row r="36968">
      <c r="A36968" s="1" t="s">
        <v>36967</v>
      </c>
      <c r="B36968" s="2" t="str">
        <f>IFERROR(__xludf.DUMMYFUNCTION("GOOGLETRANSLATE(A36968, ""de"", ""en"")"),"pay")</f>
        <v>pay</v>
      </c>
    </row>
    <row r="36969">
      <c r="A36969" s="1" t="s">
        <v>36968</v>
      </c>
      <c r="B36969" s="2" t="str">
        <f>IFERROR(__xludf.DUMMYFUNCTION("GOOGLETRANSLATE(A36969, ""de"", ""en"")"),"family photo")</f>
        <v>family photo</v>
      </c>
    </row>
    <row r="36970">
      <c r="A36970" s="1" t="s">
        <v>36969</v>
      </c>
      <c r="B36970" s="2" t="str">
        <f>IFERROR(__xludf.DUMMYFUNCTION("GOOGLETRANSLATE(A36970, ""de"", ""en"")"),"embarked")</f>
        <v>embarked</v>
      </c>
    </row>
    <row r="36971">
      <c r="A36971" s="1" t="s">
        <v>36970</v>
      </c>
      <c r="B36971" s="2" t="str">
        <f>IFERROR(__xludf.DUMMYFUNCTION("GOOGLETRANSLATE(A36971, ""de"", ""en"")"),"miraculix")</f>
        <v>miraculix</v>
      </c>
    </row>
    <row r="36972">
      <c r="A36972" s="1" t="s">
        <v>36971</v>
      </c>
      <c r="B36972" s="2" t="str">
        <f>IFERROR(__xludf.DUMMYFUNCTION("GOOGLETRANSLATE(A36972, ""de"", ""en"")"),"trash")</f>
        <v>trash</v>
      </c>
    </row>
    <row r="36973">
      <c r="A36973" s="1" t="s">
        <v>36972</v>
      </c>
      <c r="B36973" s="2" t="str">
        <f>IFERROR(__xludf.DUMMYFUNCTION("GOOGLETRANSLATE(A36973, ""de"", ""en"")"),"knocked")</f>
        <v>knocked</v>
      </c>
    </row>
    <row r="36974">
      <c r="A36974" s="1" t="s">
        <v>36973</v>
      </c>
      <c r="B36974" s="2" t="str">
        <f>IFERROR(__xludf.DUMMYFUNCTION("GOOGLETRANSLATE(A36974, ""de"", ""en"")"),"magnetic")</f>
        <v>magnetic</v>
      </c>
    </row>
    <row r="36975">
      <c r="A36975" s="1" t="s">
        <v>36974</v>
      </c>
      <c r="B36975" s="2" t="str">
        <f>IFERROR(__xludf.DUMMYFUNCTION("GOOGLETRANSLATE(A36975, ""de"", ""en"")"),"wedding")</f>
        <v>wedding</v>
      </c>
    </row>
    <row r="36976">
      <c r="A36976" s="1" t="s">
        <v>36975</v>
      </c>
      <c r="B36976" s="2" t="str">
        <f>IFERROR(__xludf.DUMMYFUNCTION("GOOGLETRANSLATE(A36976, ""de"", ""en"")"),"extended")</f>
        <v>extended</v>
      </c>
    </row>
    <row r="36977">
      <c r="A36977" s="1" t="s">
        <v>36976</v>
      </c>
      <c r="B36977" s="2" t="str">
        <f>IFERROR(__xludf.DUMMYFUNCTION("GOOGLETRANSLATE(A36977, ""de"", ""en"")"),"consideration")</f>
        <v>consideration</v>
      </c>
    </row>
    <row r="36978">
      <c r="A36978" s="1" t="s">
        <v>36977</v>
      </c>
      <c r="B36978" s="2" t="str">
        <f>IFERROR(__xludf.DUMMYFUNCTION("GOOGLETRANSLATE(A36978, ""de"", ""en"")"),"vendetta")</f>
        <v>vendetta</v>
      </c>
    </row>
    <row r="36979">
      <c r="A36979" s="1" t="s">
        <v>36978</v>
      </c>
      <c r="B36979" s="2" t="str">
        <f>IFERROR(__xludf.DUMMYFUNCTION("GOOGLETRANSLATE(A36979, ""de"", ""en"")"),"buses")</f>
        <v>buses</v>
      </c>
    </row>
    <row r="36980">
      <c r="A36980" s="1" t="s">
        <v>36979</v>
      </c>
      <c r="B36980" s="2" t="str">
        <f>IFERROR(__xludf.DUMMYFUNCTION("GOOGLETRANSLATE(A36980, ""de"", ""en"")"),"got around")</f>
        <v>got around</v>
      </c>
    </row>
    <row r="36981">
      <c r="A36981" s="1" t="s">
        <v>36980</v>
      </c>
      <c r="B36981" s="2" t="str">
        <f>IFERROR(__xludf.DUMMYFUNCTION("GOOGLETRANSLATE(A36981, ""de"", ""en"")"),"rhinos")</f>
        <v>rhinos</v>
      </c>
    </row>
    <row r="36982">
      <c r="A36982" s="1" t="s">
        <v>36981</v>
      </c>
      <c r="B36982" s="2" t="str">
        <f>IFERROR(__xludf.DUMMYFUNCTION("GOOGLETRANSLATE(A36982, ""de"", ""en"")"),"perform")</f>
        <v>perform</v>
      </c>
    </row>
    <row r="36983">
      <c r="A36983" s="1" t="s">
        <v>36982</v>
      </c>
      <c r="B36983" s="2" t="str">
        <f>IFERROR(__xludf.DUMMYFUNCTION("GOOGLETRANSLATE(A36983, ""de"", ""en"")"),"slipper")</f>
        <v>slipper</v>
      </c>
    </row>
    <row r="36984">
      <c r="A36984" s="1" t="s">
        <v>36983</v>
      </c>
      <c r="B36984" s="2" t="str">
        <f>IFERROR(__xludf.DUMMYFUNCTION("GOOGLETRANSLATE(A36984, ""de"", ""en"")"),"barn")</f>
        <v>barn</v>
      </c>
    </row>
    <row r="36985">
      <c r="A36985" s="1" t="s">
        <v>36984</v>
      </c>
      <c r="B36985" s="2" t="str">
        <f>IFERROR(__xludf.DUMMYFUNCTION("GOOGLETRANSLATE(A36985, ""de"", ""en"")"),"toshio")</f>
        <v>toshio</v>
      </c>
    </row>
    <row r="36986">
      <c r="A36986" s="1" t="s">
        <v>36985</v>
      </c>
      <c r="B36986" s="2" t="str">
        <f>IFERROR(__xludf.DUMMYFUNCTION("GOOGLETRANSLATE(A36986, ""de"", ""en"")"),"sosuke")</f>
        <v>sosuke</v>
      </c>
    </row>
    <row r="36987">
      <c r="A36987" s="1" t="s">
        <v>36986</v>
      </c>
      <c r="B36987" s="2" t="str">
        <f>IFERROR(__xludf.DUMMYFUNCTION("GOOGLETRANSLATE(A36987, ""de"", ""en"")"),"baptist")</f>
        <v>baptist</v>
      </c>
    </row>
    <row r="36988">
      <c r="A36988" s="1" t="s">
        <v>36987</v>
      </c>
      <c r="B36988" s="2" t="str">
        <f>IFERROR(__xludf.DUMMYFUNCTION("GOOGLETRANSLATE(A36988, ""de"", ""en"")"),"countermeasures")</f>
        <v>countermeasures</v>
      </c>
    </row>
    <row r="36989">
      <c r="A36989" s="1" t="s">
        <v>36988</v>
      </c>
      <c r="B36989" s="2" t="str">
        <f>IFERROR(__xludf.DUMMYFUNCTION("GOOGLETRANSLATE(A36989, ""de"", ""en"")"),"elsewhere")</f>
        <v>elsewhere</v>
      </c>
    </row>
    <row r="36990">
      <c r="A36990" s="1" t="s">
        <v>36989</v>
      </c>
      <c r="B36990" s="2" t="str">
        <f>IFERROR(__xludf.DUMMYFUNCTION("GOOGLETRANSLATE(A36990, ""de"", ""en"")"),"pac man")</f>
        <v>pac man</v>
      </c>
    </row>
    <row r="36991">
      <c r="A36991" s="1" t="s">
        <v>36990</v>
      </c>
      <c r="B36991" s="2" t="str">
        <f>IFERROR(__xludf.DUMMYFUNCTION("GOOGLETRANSLATE(A36991, ""de"", ""en"")"),"glitter")</f>
        <v>glitter</v>
      </c>
    </row>
    <row r="36992">
      <c r="A36992" s="1" t="s">
        <v>36991</v>
      </c>
      <c r="B36992" s="2" t="str">
        <f>IFERROR(__xludf.DUMMYFUNCTION("GOOGLETRANSLATE(A36992, ""de"", ""en"")"),"maitland")</f>
        <v>maitland</v>
      </c>
    </row>
    <row r="36993">
      <c r="A36993" s="1" t="s">
        <v>36992</v>
      </c>
      <c r="B36993" s="2" t="str">
        <f>IFERROR(__xludf.DUMMYFUNCTION("GOOGLETRANSLATE(A36993, ""de"", ""en"")"),"satellite dish")</f>
        <v>satellite dish</v>
      </c>
    </row>
    <row r="36994">
      <c r="A36994" s="1" t="s">
        <v>36993</v>
      </c>
      <c r="B36994" s="2" t="str">
        <f>IFERROR(__xludf.DUMMYFUNCTION("GOOGLETRANSLATE(A36994, ""de"", ""en"")"),"limited")</f>
        <v>limited</v>
      </c>
    </row>
    <row r="36995">
      <c r="A36995" s="1" t="s">
        <v>36994</v>
      </c>
      <c r="B36995" s="2" t="str">
        <f>IFERROR(__xludf.DUMMYFUNCTION("GOOGLETRANSLATE(A36995, ""de"", ""en"")"),"executive")</f>
        <v>executive</v>
      </c>
    </row>
    <row r="36996">
      <c r="A36996" s="1" t="s">
        <v>36995</v>
      </c>
      <c r="B36996" s="2" t="str">
        <f>IFERROR(__xludf.DUMMYFUNCTION("GOOGLETRANSLATE(A36996, ""de"", ""en"")"),"anecdotes")</f>
        <v>anecdotes</v>
      </c>
    </row>
    <row r="36997">
      <c r="A36997" s="1" t="s">
        <v>36996</v>
      </c>
      <c r="B36997" s="2" t="str">
        <f>IFERROR(__xludf.DUMMYFUNCTION("GOOGLETRANSLATE(A36997, ""de"", ""en"")"),"escher")</f>
        <v>escher</v>
      </c>
    </row>
    <row r="36998">
      <c r="A36998" s="1" t="s">
        <v>36997</v>
      </c>
      <c r="B36998" s="2" t="str">
        <f>IFERROR(__xludf.DUMMYFUNCTION("GOOGLETRANSLATE(A36998, ""de"", ""en"")"),"sita")</f>
        <v>sita</v>
      </c>
    </row>
    <row r="36999">
      <c r="A36999" s="1" t="s">
        <v>36998</v>
      </c>
      <c r="B36999" s="2" t="str">
        <f>IFERROR(__xludf.DUMMYFUNCTION("GOOGLETRANSLATE(A36999, ""de"", ""en"")"),"amo")</f>
        <v>amo</v>
      </c>
    </row>
    <row r="37000">
      <c r="A37000" s="1" t="s">
        <v>36999</v>
      </c>
      <c r="B37000" s="2" t="str">
        <f>IFERROR(__xludf.DUMMYFUNCTION("GOOGLETRANSLATE(A37000, ""de"", ""en"")"),"uniformed")</f>
        <v>uniformed</v>
      </c>
    </row>
    <row r="37001">
      <c r="A37001" s="1" t="s">
        <v>37000</v>
      </c>
      <c r="B37001" s="2" t="str">
        <f>IFERROR(__xludf.DUMMYFUNCTION("GOOGLETRANSLATE(A37001, ""de"", ""en"")"),"consider")</f>
        <v>consider</v>
      </c>
    </row>
    <row r="37002">
      <c r="A37002" s="1" t="s">
        <v>37001</v>
      </c>
      <c r="B37002" s="2" t="str">
        <f>IFERROR(__xludf.DUMMYFUNCTION("GOOGLETRANSLATE(A37002, ""de"", ""en"")"),"clog")</f>
        <v>clog</v>
      </c>
    </row>
    <row r="37003">
      <c r="A37003" s="1" t="s">
        <v>37002</v>
      </c>
      <c r="B37003" s="2" t="str">
        <f>IFERROR(__xludf.DUMMYFUNCTION("GOOGLETRANSLATE(A37003, ""de"", ""en"")"),"summoned")</f>
        <v>summoned</v>
      </c>
    </row>
    <row r="37004">
      <c r="A37004" s="1" t="s">
        <v>37003</v>
      </c>
      <c r="B37004" s="2" t="str">
        <f>IFERROR(__xludf.DUMMYFUNCTION("GOOGLETRANSLATE(A37004, ""de"", ""en"")"),"swing")</f>
        <v>swing</v>
      </c>
    </row>
    <row r="37005">
      <c r="A37005" s="1" t="s">
        <v>37004</v>
      </c>
      <c r="B37005" s="2" t="str">
        <f>IFERROR(__xludf.DUMMYFUNCTION("GOOGLETRANSLATE(A37005, ""de"", ""en"")"),"Kaylie")</f>
        <v>Kaylie</v>
      </c>
    </row>
    <row r="37006">
      <c r="A37006" s="1" t="s">
        <v>37005</v>
      </c>
      <c r="B37006" s="2" t="str">
        <f>IFERROR(__xludf.DUMMYFUNCTION("GOOGLETRANSLATE(A37006, ""de"", ""en"")"),"most successful")</f>
        <v>most successful</v>
      </c>
    </row>
    <row r="37007">
      <c r="A37007" s="1" t="s">
        <v>37006</v>
      </c>
      <c r="B37007" s="2" t="str">
        <f>IFERROR(__xludf.DUMMYFUNCTION("GOOGLETRANSLATE(A37007, ""de"", ""en"")"),"goodson")</f>
        <v>goodson</v>
      </c>
    </row>
    <row r="37008">
      <c r="A37008" s="1" t="s">
        <v>37007</v>
      </c>
      <c r="B37008" s="2" t="str">
        <f>IFERROR(__xludf.DUMMYFUNCTION("GOOGLETRANSLATE(A37008, ""de"", ""en"")"),"family heirloom")</f>
        <v>family heirloom</v>
      </c>
    </row>
    <row r="37009">
      <c r="A37009" s="1" t="s">
        <v>37008</v>
      </c>
      <c r="B37009" s="2" t="str">
        <f>IFERROR(__xludf.DUMMYFUNCTION("GOOGLETRANSLATE(A37009, ""de"", ""en"")"),"Marcella")</f>
        <v>Marcella</v>
      </c>
    </row>
    <row r="37010">
      <c r="A37010" s="1" t="s">
        <v>37009</v>
      </c>
      <c r="B37010" s="2" t="str">
        <f>IFERROR(__xludf.DUMMYFUNCTION("GOOGLETRANSLATE(A37010, ""de"", ""en"")"),"customers")</f>
        <v>customers</v>
      </c>
    </row>
    <row r="37011">
      <c r="A37011" s="1" t="s">
        <v>37010</v>
      </c>
      <c r="B37011" s="2" t="str">
        <f>IFERROR(__xludf.DUMMYFUNCTION("GOOGLETRANSLATE(A37011, ""de"", ""en"")"),"captured")</f>
        <v>captured</v>
      </c>
    </row>
    <row r="37012">
      <c r="A37012" s="1" t="s">
        <v>37011</v>
      </c>
      <c r="B37012" s="2" t="str">
        <f>IFERROR(__xludf.DUMMYFUNCTION("GOOGLETRANSLATE(A37012, ""de"", ""en"")"),"pathetic")</f>
        <v>pathetic</v>
      </c>
    </row>
    <row r="37013">
      <c r="A37013" s="1" t="s">
        <v>37012</v>
      </c>
      <c r="B37013" s="2" t="str">
        <f>IFERROR(__xludf.DUMMYFUNCTION("GOOGLETRANSLATE(A37013, ""de"", ""en"")"),"recoil")</f>
        <v>recoil</v>
      </c>
    </row>
    <row r="37014">
      <c r="A37014" s="1" t="s">
        <v>37013</v>
      </c>
      <c r="B37014" s="2" t="str">
        <f>IFERROR(__xludf.DUMMYFUNCTION("GOOGLETRANSLATE(A37014, ""de"", ""en"")"),"rush")</f>
        <v>rush</v>
      </c>
    </row>
    <row r="37015">
      <c r="A37015" s="1" t="s">
        <v>37014</v>
      </c>
      <c r="B37015" s="2" t="str">
        <f>IFERROR(__xludf.DUMMYFUNCTION("GOOGLETRANSLATE(A37015, ""de"", ""en"")"),"wicked")</f>
        <v>wicked</v>
      </c>
    </row>
    <row r="37016">
      <c r="A37016" s="1" t="s">
        <v>37015</v>
      </c>
      <c r="B37016" s="2" t="str">
        <f>IFERROR(__xludf.DUMMYFUNCTION("GOOGLETRANSLATE(A37016, ""de"", ""en"")"),"milliliters")</f>
        <v>milliliters</v>
      </c>
    </row>
    <row r="37017">
      <c r="A37017" s="1" t="s">
        <v>37016</v>
      </c>
      <c r="B37017" s="2" t="str">
        <f>IFERROR(__xludf.DUMMYFUNCTION("GOOGLETRANSLATE(A37017, ""de"", ""en"")"),"yield")</f>
        <v>yield</v>
      </c>
    </row>
    <row r="37018">
      <c r="A37018" s="1" t="s">
        <v>37017</v>
      </c>
      <c r="B37018" s="2" t="str">
        <f>IFERROR(__xludf.DUMMYFUNCTION("GOOGLETRANSLATE(A37018, ""de"", ""en"")"),"provided")</f>
        <v>provided</v>
      </c>
    </row>
    <row r="37019">
      <c r="A37019" s="1" t="s">
        <v>37018</v>
      </c>
      <c r="B37019" s="2" t="str">
        <f>IFERROR(__xludf.DUMMYFUNCTION("GOOGLETRANSLATE(A37019, ""de"", ""en"")"),"fortresses")</f>
        <v>fortresses</v>
      </c>
    </row>
    <row r="37020">
      <c r="A37020" s="1" t="s">
        <v>37019</v>
      </c>
      <c r="B37020" s="2" t="str">
        <f>IFERROR(__xludf.DUMMYFUNCTION("GOOGLETRANSLATE(A37020, ""de"", ""en"")"),"indignant")</f>
        <v>indignant</v>
      </c>
    </row>
    <row r="37021">
      <c r="A37021" s="1" t="s">
        <v>37020</v>
      </c>
      <c r="B37021" s="2" t="str">
        <f>IFERROR(__xludf.DUMMYFUNCTION("GOOGLETRANSLATE(A37021, ""de"", ""en"")"),"average")</f>
        <v>average</v>
      </c>
    </row>
    <row r="37022">
      <c r="A37022" s="1" t="s">
        <v>37021</v>
      </c>
      <c r="B37022" s="2" t="str">
        <f>IFERROR(__xludf.DUMMYFUNCTION("GOOGLETRANSLATE(A37022, ""de"", ""en"")"),"ready room")</f>
        <v>ready room</v>
      </c>
    </row>
    <row r="37023">
      <c r="A37023" s="1" t="s">
        <v>37022</v>
      </c>
      <c r="B37023" s="2" t="str">
        <f>IFERROR(__xludf.DUMMYFUNCTION("GOOGLETRANSLATE(A37023, ""de"", ""en"")"),"morbid")</f>
        <v>morbid</v>
      </c>
    </row>
    <row r="37024">
      <c r="A37024" s="1" t="s">
        <v>37023</v>
      </c>
      <c r="B37024" s="2" t="str">
        <f>IFERROR(__xludf.DUMMYFUNCTION("GOOGLETRANSLATE(A37024, ""de"", ""en"")"),"crafts")</f>
        <v>crafts</v>
      </c>
    </row>
    <row r="37025">
      <c r="A37025" s="1" t="s">
        <v>37024</v>
      </c>
      <c r="B37025" s="2" t="str">
        <f>IFERROR(__xludf.DUMMYFUNCTION("GOOGLETRANSLATE(A37025, ""de"", ""en"")"),"conquered")</f>
        <v>conquered</v>
      </c>
    </row>
    <row r="37026">
      <c r="A37026" s="1" t="s">
        <v>37025</v>
      </c>
      <c r="B37026" s="2" t="str">
        <f>IFERROR(__xludf.DUMMYFUNCTION("GOOGLETRANSLATE(A37026, ""de"", ""en"")"),"analyzed")</f>
        <v>analyzed</v>
      </c>
    </row>
    <row r="37027">
      <c r="A37027" s="1" t="s">
        <v>37026</v>
      </c>
      <c r="B37027" s="2" t="str">
        <f>IFERROR(__xludf.DUMMYFUNCTION("GOOGLETRANSLATE(A37027, ""de"", ""en"")"),"undertaker")</f>
        <v>undertaker</v>
      </c>
    </row>
    <row r="37028">
      <c r="A37028" s="1" t="s">
        <v>37027</v>
      </c>
      <c r="B37028" s="2" t="str">
        <f>IFERROR(__xludf.DUMMYFUNCTION("GOOGLETRANSLATE(A37028, ""de"", ""en"")"),"catch")</f>
        <v>catch</v>
      </c>
    </row>
    <row r="37029">
      <c r="A37029" s="1" t="s">
        <v>37028</v>
      </c>
      <c r="B37029" s="2" t="str">
        <f>IFERROR(__xludf.DUMMYFUNCTION("GOOGLETRANSLATE(A37029, ""de"", ""en"")"),"colon")</f>
        <v>colon</v>
      </c>
    </row>
    <row r="37030">
      <c r="A37030" s="1" t="s">
        <v>37029</v>
      </c>
      <c r="B37030" s="2" t="str">
        <f>IFERROR(__xludf.DUMMYFUNCTION("GOOGLETRANSLATE(A37030, ""de"", ""en"")"),"pressed")</f>
        <v>pressed</v>
      </c>
    </row>
    <row r="37031">
      <c r="A37031" s="1" t="s">
        <v>37030</v>
      </c>
      <c r="B37031" s="2" t="str">
        <f>IFERROR(__xludf.DUMMYFUNCTION("GOOGLETRANSLATE(A37031, ""de"", ""en"")"),"corned")</f>
        <v>corned</v>
      </c>
    </row>
    <row r="37032">
      <c r="A37032" s="1" t="s">
        <v>37031</v>
      </c>
      <c r="B37032" s="2" t="str">
        <f>IFERROR(__xludf.DUMMYFUNCTION("GOOGLETRANSLATE(A37032, ""de"", ""en"")"),"indecent")</f>
        <v>indecent</v>
      </c>
    </row>
    <row r="37033">
      <c r="A37033" s="1" t="s">
        <v>37032</v>
      </c>
      <c r="B37033" s="2" t="str">
        <f>IFERROR(__xludf.DUMMYFUNCTION("GOOGLETRANSLATE(A37033, ""de"", ""en"")"),"kururugi")</f>
        <v>kururugi</v>
      </c>
    </row>
    <row r="37034">
      <c r="A37034" s="1" t="s">
        <v>37033</v>
      </c>
      <c r="B37034" s="2" t="str">
        <f>IFERROR(__xludf.DUMMYFUNCTION("GOOGLETRANSLATE(A37034, ""de"", ""en"")"),"wordsworth")</f>
        <v>wordsworth</v>
      </c>
    </row>
    <row r="37035">
      <c r="A37035" s="1" t="s">
        <v>37034</v>
      </c>
      <c r="B37035" s="2" t="str">
        <f>IFERROR(__xludf.DUMMYFUNCTION("GOOGLETRANSLATE(A37035, ""de"", ""en"")"),"samira")</f>
        <v>samira</v>
      </c>
    </row>
    <row r="37036">
      <c r="A37036" s="1" t="s">
        <v>37035</v>
      </c>
      <c r="B37036" s="2" t="str">
        <f>IFERROR(__xludf.DUMMYFUNCTION("GOOGLETRANSLATE(A37036, ""de"", ""en"")"),"Prague")</f>
        <v>Prague</v>
      </c>
    </row>
    <row r="37037">
      <c r="A37037" s="1" t="s">
        <v>37036</v>
      </c>
      <c r="B37037" s="2" t="str">
        <f>IFERROR(__xludf.DUMMYFUNCTION("GOOGLETRANSLATE(A37037, ""de"", ""en"")"),"helped out")</f>
        <v>helped out</v>
      </c>
    </row>
    <row r="37038">
      <c r="A37038" s="1" t="s">
        <v>37037</v>
      </c>
      <c r="B37038" s="2" t="str">
        <f>IFERROR(__xludf.DUMMYFUNCTION("GOOGLETRANSLATE(A37038, ""de"", ""en"")"),"drug")</f>
        <v>drug</v>
      </c>
    </row>
    <row r="37039">
      <c r="A37039" s="1" t="s">
        <v>37038</v>
      </c>
      <c r="B37039" s="2" t="str">
        <f>IFERROR(__xludf.DUMMYFUNCTION("GOOGLETRANSLATE(A37039, ""de"", ""en"")"),"followers")</f>
        <v>followers</v>
      </c>
    </row>
    <row r="37040">
      <c r="A37040" s="1" t="s">
        <v>37039</v>
      </c>
      <c r="B37040" s="2" t="str">
        <f>IFERROR(__xludf.DUMMYFUNCTION("GOOGLETRANSLATE(A37040, ""de"", ""en"")"),"mcleods")</f>
        <v>mcleods</v>
      </c>
    </row>
    <row r="37041">
      <c r="A37041" s="1" t="s">
        <v>37040</v>
      </c>
      <c r="B37041" s="2" t="str">
        <f>IFERROR(__xludf.DUMMYFUNCTION("GOOGLETRANSLATE(A37041, ""de"", ""en"")"),"kipling")</f>
        <v>kipling</v>
      </c>
    </row>
    <row r="37042">
      <c r="A37042" s="1" t="s">
        <v>37041</v>
      </c>
      <c r="B37042" s="2" t="str">
        <f>IFERROR(__xludf.DUMMYFUNCTION("GOOGLETRANSLATE(A37042, ""de"", ""en"")"),"announce")</f>
        <v>announce</v>
      </c>
    </row>
    <row r="37043">
      <c r="A37043" s="1" t="s">
        <v>37042</v>
      </c>
      <c r="B37043" s="2" t="str">
        <f>IFERROR(__xludf.DUMMYFUNCTION("GOOGLETRANSLATE(A37043, ""de"", ""en"")"),"mills")</f>
        <v>mills</v>
      </c>
    </row>
    <row r="37044">
      <c r="A37044" s="1" t="s">
        <v>37043</v>
      </c>
      <c r="B37044" s="2" t="str">
        <f>IFERROR(__xludf.DUMMYFUNCTION("GOOGLETRANSLATE(A37044, ""de"", ""en"")"),"dutton")</f>
        <v>dutton</v>
      </c>
    </row>
    <row r="37045">
      <c r="A37045" s="1" t="s">
        <v>37044</v>
      </c>
      <c r="B37045" s="2" t="str">
        <f>IFERROR(__xludf.DUMMYFUNCTION("GOOGLETRANSLATE(A37045, ""de"", ""en"")"),"champagne")</f>
        <v>champagne</v>
      </c>
    </row>
    <row r="37046">
      <c r="A37046" s="1" t="s">
        <v>37045</v>
      </c>
      <c r="B37046" s="2" t="str">
        <f>IFERROR(__xludf.DUMMYFUNCTION("GOOGLETRANSLATE(A37046, ""de"", ""en"")"),"whipper")</f>
        <v>whipper</v>
      </c>
    </row>
    <row r="37047">
      <c r="A37047" s="1" t="s">
        <v>37046</v>
      </c>
      <c r="B37047" s="2" t="str">
        <f>IFERROR(__xludf.DUMMYFUNCTION("GOOGLETRANSLATE(A37047, ""de"", ""en"")"),"carver")</f>
        <v>carver</v>
      </c>
    </row>
    <row r="37048">
      <c r="A37048" s="1" t="s">
        <v>37047</v>
      </c>
      <c r="B37048" s="2" t="str">
        <f>IFERROR(__xludf.DUMMYFUNCTION("GOOGLETRANSLATE(A37048, ""de"", ""en"")"),"thrown back")</f>
        <v>thrown back</v>
      </c>
    </row>
    <row r="37049">
      <c r="A37049" s="1" t="s">
        <v>37048</v>
      </c>
      <c r="B37049" s="2" t="str">
        <f>IFERROR(__xludf.DUMMYFUNCTION("GOOGLETRANSLATE(A37049, ""de"", ""en"")"),"clap")</f>
        <v>clap</v>
      </c>
    </row>
    <row r="37050">
      <c r="A37050" s="1" t="s">
        <v>37049</v>
      </c>
      <c r="B37050" s="2" t="str">
        <f>IFERROR(__xludf.DUMMYFUNCTION("GOOGLETRANSLATE(A37050, ""de"", ""en"")"),"lovers")</f>
        <v>lovers</v>
      </c>
    </row>
    <row r="37051">
      <c r="A37051" s="1" t="s">
        <v>37050</v>
      </c>
      <c r="B37051" s="2" t="str">
        <f>IFERROR(__xludf.DUMMYFUNCTION("GOOGLETRANSLATE(A37051, ""de"", ""en"")"),"hike")</f>
        <v>hike</v>
      </c>
    </row>
    <row r="37052">
      <c r="A37052" s="1" t="s">
        <v>37051</v>
      </c>
      <c r="B37052" s="2" t="str">
        <f>IFERROR(__xludf.DUMMYFUNCTION("GOOGLETRANSLATE(A37052, ""de"", ""en"")"),"basil")</f>
        <v>basil</v>
      </c>
    </row>
    <row r="37053">
      <c r="A37053" s="1" t="s">
        <v>37052</v>
      </c>
      <c r="B37053" s="2" t="str">
        <f>IFERROR(__xludf.DUMMYFUNCTION("GOOGLETRANSLATE(A37053, ""de"", ""en"")"),"welcome")</f>
        <v>welcome</v>
      </c>
    </row>
    <row r="37054">
      <c r="A37054" s="1" t="s">
        <v>37053</v>
      </c>
      <c r="B37054" s="2" t="str">
        <f>IFERROR(__xludf.DUMMYFUNCTION("GOOGLETRANSLATE(A37054, ""de"", ""en"")"),"mistreat")</f>
        <v>mistreat</v>
      </c>
    </row>
    <row r="37055">
      <c r="A37055" s="1" t="s">
        <v>37054</v>
      </c>
      <c r="B37055" s="2" t="str">
        <f>IFERROR(__xludf.DUMMYFUNCTION("GOOGLETRANSLATE(A37055, ""de"", ""en"")"),"is difficult")</f>
        <v>is difficult</v>
      </c>
    </row>
    <row r="37056">
      <c r="A37056" s="1" t="s">
        <v>37055</v>
      </c>
      <c r="B37056" s="2" t="str">
        <f>IFERROR(__xludf.DUMMYFUNCTION("GOOGLETRANSLATE(A37056, ""de"", ""en"")"),"Starfleet Command")</f>
        <v>Starfleet Command</v>
      </c>
    </row>
    <row r="37057">
      <c r="A37057" s="1" t="s">
        <v>37056</v>
      </c>
      <c r="B37057" s="2" t="str">
        <f>IFERROR(__xludf.DUMMYFUNCTION("GOOGLETRANSLATE(A37057, ""de"", ""en"")"),"crosswise")</f>
        <v>crosswise</v>
      </c>
    </row>
    <row r="37058">
      <c r="A37058" s="1" t="s">
        <v>37057</v>
      </c>
      <c r="B37058" s="2" t="str">
        <f>IFERROR(__xludf.DUMMYFUNCTION("GOOGLETRANSLATE(A37058, ""de"", ""en"")"),"twelfth")</f>
        <v>twelfth</v>
      </c>
    </row>
    <row r="37059">
      <c r="A37059" s="1" t="s">
        <v>37058</v>
      </c>
      <c r="B37059" s="2" t="str">
        <f>IFERROR(__xludf.DUMMYFUNCTION("GOOGLETRANSLATE(A37059, ""de"", ""en"")"),"chrome")</f>
        <v>chrome</v>
      </c>
    </row>
    <row r="37060">
      <c r="A37060" s="1" t="s">
        <v>37059</v>
      </c>
      <c r="B37060" s="2" t="str">
        <f>IFERROR(__xludf.DUMMYFUNCTION("GOOGLETRANSLATE(A37060, ""de"", ""en"")"),"krycek")</f>
        <v>krycek</v>
      </c>
    </row>
    <row r="37061">
      <c r="A37061" s="1" t="s">
        <v>37060</v>
      </c>
      <c r="B37061" s="2" t="str">
        <f>IFERROR(__xludf.DUMMYFUNCTION("GOOGLETRANSLATE(A37061, ""de"", ""en"")"),"coasters")</f>
        <v>coasters</v>
      </c>
    </row>
    <row r="37062">
      <c r="A37062" s="1" t="s">
        <v>37061</v>
      </c>
      <c r="B37062" s="2" t="str">
        <f>IFERROR(__xludf.DUMMYFUNCTION("GOOGLETRANSLATE(A37062, ""de"", ""en"")"),"shumway")</f>
        <v>shumway</v>
      </c>
    </row>
    <row r="37063">
      <c r="A37063" s="1" t="s">
        <v>37062</v>
      </c>
      <c r="B37063" s="2" t="str">
        <f>IFERROR(__xludf.DUMMYFUNCTION("GOOGLETRANSLATE(A37063, ""de"", ""en"")"),"ferryman")</f>
        <v>ferryman</v>
      </c>
    </row>
    <row r="37064">
      <c r="A37064" s="1" t="s">
        <v>37063</v>
      </c>
      <c r="B37064" s="2" t="str">
        <f>IFERROR(__xludf.DUMMYFUNCTION("GOOGLETRANSLATE(A37064, ""de"", ""en"")"),"collect")</f>
        <v>collect</v>
      </c>
    </row>
    <row r="37065">
      <c r="A37065" s="1" t="s">
        <v>37064</v>
      </c>
      <c r="B37065" s="2" t="str">
        <f>IFERROR(__xludf.DUMMYFUNCTION("GOOGLETRANSLATE(A37065, ""de"", ""en"")"),"explosives")</f>
        <v>explosives</v>
      </c>
    </row>
    <row r="37066">
      <c r="A37066" s="1" t="s">
        <v>37065</v>
      </c>
      <c r="B37066" s="2" t="str">
        <f>IFERROR(__xludf.DUMMYFUNCTION("GOOGLETRANSLATE(A37066, ""de"", ""en"")"),"good")</f>
        <v>good</v>
      </c>
    </row>
    <row r="37067">
      <c r="A37067" s="1" t="s">
        <v>37066</v>
      </c>
      <c r="B37067" s="2" t="str">
        <f>IFERROR(__xludf.DUMMYFUNCTION("GOOGLETRANSLATE(A37067, ""de"", ""en"")"),"zelena")</f>
        <v>zelena</v>
      </c>
    </row>
    <row r="37068">
      <c r="A37068" s="1" t="s">
        <v>37067</v>
      </c>
      <c r="B37068" s="2" t="str">
        <f>IFERROR(__xludf.DUMMYFUNCTION("GOOGLETRANSLATE(A37068, ""de"", ""en"")"),"walking")</f>
        <v>walking</v>
      </c>
    </row>
    <row r="37069">
      <c r="A37069" s="1" t="s">
        <v>37068</v>
      </c>
      <c r="B37069" s="2" t="str">
        <f>IFERROR(__xludf.DUMMYFUNCTION("GOOGLETRANSLATE(A37069, ""de"", ""en"")"),"distraction")</f>
        <v>distraction</v>
      </c>
    </row>
    <row r="37070">
      <c r="A37070" s="1" t="s">
        <v>37069</v>
      </c>
      <c r="B37070" s="2" t="str">
        <f>IFERROR(__xludf.DUMMYFUNCTION("GOOGLETRANSLATE(A37070, ""de"", ""en"")"),"expiry date")</f>
        <v>expiry date</v>
      </c>
    </row>
    <row r="37071">
      <c r="A37071" s="1" t="s">
        <v>37070</v>
      </c>
      <c r="B37071" s="2" t="str">
        <f>IFERROR(__xludf.DUMMYFUNCTION("GOOGLETRANSLATE(A37071, ""de"", ""en"")"),"high priest")</f>
        <v>high priest</v>
      </c>
    </row>
    <row r="37072">
      <c r="A37072" s="1" t="s">
        <v>37071</v>
      </c>
      <c r="B37072" s="2" t="str">
        <f>IFERROR(__xludf.DUMMYFUNCTION("GOOGLETRANSLATE(A37072, ""de"", ""en"")"),"pilgrimage")</f>
        <v>pilgrimage</v>
      </c>
    </row>
    <row r="37073">
      <c r="A37073" s="1" t="s">
        <v>37072</v>
      </c>
      <c r="B37073" s="2" t="str">
        <f>IFERROR(__xludf.DUMMYFUNCTION("GOOGLETRANSLATE(A37073, ""de"", ""en"")"),"zankou")</f>
        <v>zankou</v>
      </c>
    </row>
    <row r="37074">
      <c r="A37074" s="1" t="s">
        <v>37073</v>
      </c>
      <c r="B37074" s="2" t="str">
        <f>IFERROR(__xludf.DUMMYFUNCTION("GOOGLETRANSLATE(A37074, ""de"", ""en"")"),"appetite")</f>
        <v>appetite</v>
      </c>
    </row>
    <row r="37075">
      <c r="A37075" s="1" t="s">
        <v>37074</v>
      </c>
      <c r="B37075" s="2" t="str">
        <f>IFERROR(__xludf.DUMMYFUNCTION("GOOGLETRANSLATE(A37075, ""de"", ""en"")"),"grim")</f>
        <v>grim</v>
      </c>
    </row>
    <row r="37076">
      <c r="A37076" s="1" t="s">
        <v>37075</v>
      </c>
      <c r="B37076" s="2" t="str">
        <f>IFERROR(__xludf.DUMMYFUNCTION("GOOGLETRANSLATE(A37076, ""de"", ""en"")"),"spoil")</f>
        <v>spoil</v>
      </c>
    </row>
    <row r="37077">
      <c r="A37077" s="1" t="s">
        <v>37076</v>
      </c>
      <c r="B37077" s="2" t="str">
        <f>IFERROR(__xludf.DUMMYFUNCTION("GOOGLETRANSLATE(A37077, ""de"", ""en"")"),"enforced")</f>
        <v>enforced</v>
      </c>
    </row>
    <row r="37078">
      <c r="A37078" s="1" t="s">
        <v>37077</v>
      </c>
      <c r="B37078" s="2" t="str">
        <f>IFERROR(__xludf.DUMMYFUNCTION("GOOGLETRANSLATE(A37078, ""de"", ""en"")"),"makes")</f>
        <v>makes</v>
      </c>
    </row>
    <row r="37079">
      <c r="A37079" s="1" t="s">
        <v>37078</v>
      </c>
      <c r="B37079" s="2" t="str">
        <f>IFERROR(__xludf.DUMMYFUNCTION("GOOGLETRANSLATE(A37079, ""de"", ""en"")"),"sting")</f>
        <v>sting</v>
      </c>
    </row>
    <row r="37080">
      <c r="A37080" s="1" t="s">
        <v>37079</v>
      </c>
      <c r="B37080" s="2" t="str">
        <f>IFERROR(__xludf.DUMMYFUNCTION("GOOGLETRANSLATE(A37080, ""de"", ""en"")"),"bartender")</f>
        <v>bartender</v>
      </c>
    </row>
    <row r="37081">
      <c r="A37081" s="1" t="s">
        <v>37080</v>
      </c>
      <c r="B37081" s="2" t="str">
        <f>IFERROR(__xludf.DUMMYFUNCTION("GOOGLETRANSLATE(A37081, ""de"", ""en"")"),"legal")</f>
        <v>legal</v>
      </c>
    </row>
    <row r="37082">
      <c r="A37082" s="1" t="s">
        <v>37081</v>
      </c>
      <c r="B37082" s="2" t="str">
        <f>IFERROR(__xludf.DUMMYFUNCTION("GOOGLETRANSLATE(A37082, ""de"", ""en"")"),"Christmas presents")</f>
        <v>Christmas presents</v>
      </c>
    </row>
    <row r="37083">
      <c r="A37083" s="1" t="s">
        <v>37082</v>
      </c>
      <c r="B37083" s="2" t="str">
        <f>IFERROR(__xludf.DUMMYFUNCTION("GOOGLETRANSLATE(A37083, ""de"", ""en"")"),"evaporated")</f>
        <v>evaporated</v>
      </c>
    </row>
    <row r="37084">
      <c r="A37084" s="1" t="s">
        <v>37083</v>
      </c>
      <c r="B37084" s="2" t="str">
        <f>IFERROR(__xludf.DUMMYFUNCTION("GOOGLETRANSLATE(A37084, ""de"", ""en"")"),"to come down")</f>
        <v>to come down</v>
      </c>
    </row>
    <row r="37085">
      <c r="A37085" s="1" t="s">
        <v>37084</v>
      </c>
      <c r="B37085" s="2" t="str">
        <f>IFERROR(__xludf.DUMMYFUNCTION("GOOGLETRANSLATE(A37085, ""de"", ""en"")"),"alpacas")</f>
        <v>alpacas</v>
      </c>
    </row>
    <row r="37086">
      <c r="A37086" s="1" t="s">
        <v>37085</v>
      </c>
      <c r="B37086" s="2" t="str">
        <f>IFERROR(__xludf.DUMMYFUNCTION("GOOGLETRANSLATE(A37086, ""de"", ""en"")"),"skate")</f>
        <v>skate</v>
      </c>
    </row>
    <row r="37087">
      <c r="A37087" s="1" t="s">
        <v>37086</v>
      </c>
      <c r="B37087" s="2" t="str">
        <f>IFERROR(__xludf.DUMMYFUNCTION("GOOGLETRANSLATE(A37087, ""de"", ""en"")"),"guineas")</f>
        <v>guineas</v>
      </c>
    </row>
    <row r="37088">
      <c r="A37088" s="1" t="s">
        <v>37087</v>
      </c>
      <c r="B37088" s="2" t="str">
        <f>IFERROR(__xludf.DUMMYFUNCTION("GOOGLETRANSLATE(A37088, ""de"", ""en"")"),"stable")</f>
        <v>stable</v>
      </c>
    </row>
    <row r="37089">
      <c r="A37089" s="1" t="s">
        <v>37088</v>
      </c>
      <c r="B37089" s="2" t="str">
        <f>IFERROR(__xludf.DUMMYFUNCTION("GOOGLETRANSLATE(A37089, ""de"", ""en"")"),"block")</f>
        <v>block</v>
      </c>
    </row>
    <row r="37090">
      <c r="A37090" s="1" t="s">
        <v>37089</v>
      </c>
      <c r="B37090" s="2" t="str">
        <f>IFERROR(__xludf.DUMMYFUNCTION("GOOGLETRANSLATE(A37090, ""de"", ""en"")"),"thriller")</f>
        <v>thriller</v>
      </c>
    </row>
    <row r="37091">
      <c r="A37091" s="1" t="s">
        <v>37090</v>
      </c>
      <c r="B37091" s="2" t="str">
        <f>IFERROR(__xludf.DUMMYFUNCTION("GOOGLETRANSLATE(A37091, ""de"", ""en"")"),"drive up")</f>
        <v>drive up</v>
      </c>
    </row>
    <row r="37092">
      <c r="A37092" s="1" t="s">
        <v>37091</v>
      </c>
      <c r="B37092" s="2" t="str">
        <f>IFERROR(__xludf.DUMMYFUNCTION("GOOGLETRANSLATE(A37092, ""de"", ""en"")"),"rocked")</f>
        <v>rocked</v>
      </c>
    </row>
    <row r="37093">
      <c r="A37093" s="1" t="s">
        <v>37092</v>
      </c>
      <c r="B37093" s="2" t="str">
        <f>IFERROR(__xludf.DUMMYFUNCTION("GOOGLETRANSLATE(A37093, ""de"", ""en"")"),"pim")</f>
        <v>pim</v>
      </c>
    </row>
    <row r="37094">
      <c r="A37094" s="1" t="s">
        <v>37093</v>
      </c>
      <c r="B37094" s="2" t="str">
        <f>IFERROR(__xludf.DUMMYFUNCTION("GOOGLETRANSLATE(A37094, ""de"", ""en"")"),"careless")</f>
        <v>careless</v>
      </c>
    </row>
    <row r="37095">
      <c r="A37095" s="1" t="s">
        <v>37094</v>
      </c>
      <c r="B37095" s="2" t="str">
        <f>IFERROR(__xludf.DUMMYFUNCTION("GOOGLETRANSLATE(A37095, ""de"", ""en"")"),"somewhere")</f>
        <v>somewhere</v>
      </c>
    </row>
    <row r="37096">
      <c r="A37096" s="1" t="s">
        <v>37095</v>
      </c>
      <c r="B37096" s="2" t="str">
        <f>IFERROR(__xludf.DUMMYFUNCTION("GOOGLETRANSLATE(A37096, ""de"", ""en"")"),"Eros")</f>
        <v>Eros</v>
      </c>
    </row>
    <row r="37097">
      <c r="A37097" s="1" t="s">
        <v>37096</v>
      </c>
      <c r="B37097" s="2" t="str">
        <f>IFERROR(__xludf.DUMMYFUNCTION("GOOGLETRANSLATE(A37097, ""de"", ""en"")"),"oppressor")</f>
        <v>oppressor</v>
      </c>
    </row>
    <row r="37098">
      <c r="A37098" s="1" t="s">
        <v>37097</v>
      </c>
      <c r="B37098" s="2" t="str">
        <f>IFERROR(__xludf.DUMMYFUNCTION("GOOGLETRANSLATE(A37098, ""de"", ""en"")"),"hardcastles")</f>
        <v>hardcastles</v>
      </c>
    </row>
    <row r="37099">
      <c r="A37099" s="1" t="s">
        <v>37098</v>
      </c>
      <c r="B37099" s="2" t="str">
        <f>IFERROR(__xludf.DUMMYFUNCTION("GOOGLETRANSLATE(A37099, ""de"", ""en"")"),"making out")</f>
        <v>making out</v>
      </c>
    </row>
    <row r="37100">
      <c r="A37100" s="1" t="s">
        <v>37099</v>
      </c>
      <c r="B37100" s="2" t="str">
        <f>IFERROR(__xludf.DUMMYFUNCTION("GOOGLETRANSLATE(A37100, ""de"", ""en"")"),"faux pas")</f>
        <v>faux pas</v>
      </c>
    </row>
    <row r="37101">
      <c r="A37101" s="1" t="s">
        <v>37100</v>
      </c>
      <c r="B37101" s="2" t="str">
        <f>IFERROR(__xludf.DUMMYFUNCTION("GOOGLETRANSLATE(A37101, ""de"", ""en"")"),"t bag")</f>
        <v>t bag</v>
      </c>
    </row>
    <row r="37102">
      <c r="A37102" s="1" t="s">
        <v>37101</v>
      </c>
      <c r="B37102" s="2" t="str">
        <f>IFERROR(__xludf.DUMMYFUNCTION("GOOGLETRANSLATE(A37102, ""de"", ""en"")"),"chazz")</f>
        <v>chazz</v>
      </c>
    </row>
    <row r="37103">
      <c r="A37103" s="1" t="s">
        <v>37102</v>
      </c>
      <c r="B37103" s="2" t="str">
        <f>IFERROR(__xludf.DUMMYFUNCTION("GOOGLETRANSLATE(A37103, ""de"", ""en"")"),"shroud")</f>
        <v>shroud</v>
      </c>
    </row>
    <row r="37104">
      <c r="A37104" s="1" t="s">
        <v>37103</v>
      </c>
      <c r="B37104" s="2" t="str">
        <f>IFERROR(__xludf.DUMMYFUNCTION("GOOGLETRANSLATE(A37104, ""de"", ""en"")"),"exponentially")</f>
        <v>exponentially</v>
      </c>
    </row>
    <row r="37105">
      <c r="A37105" s="1" t="s">
        <v>37104</v>
      </c>
      <c r="B37105" s="2" t="str">
        <f>IFERROR(__xludf.DUMMYFUNCTION("GOOGLETRANSLATE(A37105, ""de"", ""en"")"),"fall asleep")</f>
        <v>fall asleep</v>
      </c>
    </row>
    <row r="37106">
      <c r="A37106" s="1" t="s">
        <v>37105</v>
      </c>
      <c r="B37106" s="2" t="str">
        <f>IFERROR(__xludf.DUMMYFUNCTION("GOOGLETRANSLATE(A37106, ""de"", ""en"")"),"clarify")</f>
        <v>clarify</v>
      </c>
    </row>
    <row r="37107">
      <c r="A37107" s="1" t="s">
        <v>37106</v>
      </c>
      <c r="B37107" s="2" t="str">
        <f>IFERROR(__xludf.DUMMYFUNCTION("GOOGLETRANSLATE(A37107, ""de"", ""en"")"),"engagement party")</f>
        <v>engagement party</v>
      </c>
    </row>
    <row r="37108">
      <c r="A37108" s="1" t="s">
        <v>37107</v>
      </c>
      <c r="B37108" s="2" t="str">
        <f>IFERROR(__xludf.DUMMYFUNCTION("GOOGLETRANSLATE(A37108, ""de"", ""en"")"),"time travelers")</f>
        <v>time travelers</v>
      </c>
    </row>
    <row r="37109">
      <c r="A37109" s="1" t="s">
        <v>37108</v>
      </c>
      <c r="B37109" s="2" t="str">
        <f>IFERROR(__xludf.DUMMYFUNCTION("GOOGLETRANSLATE(A37109, ""de"", ""en"")"),"Beethoven's")</f>
        <v>Beethoven's</v>
      </c>
    </row>
    <row r="37110">
      <c r="A37110" s="1" t="s">
        <v>37109</v>
      </c>
      <c r="B37110" s="2" t="str">
        <f>IFERROR(__xludf.DUMMYFUNCTION("GOOGLETRANSLATE(A37110, ""de"", ""en"")"),"zin")</f>
        <v>zin</v>
      </c>
    </row>
    <row r="37111">
      <c r="A37111" s="1" t="s">
        <v>37110</v>
      </c>
      <c r="B37111" s="2" t="str">
        <f>IFERROR(__xludf.DUMMYFUNCTION("GOOGLETRANSLATE(A37111, ""de"", ""en"")"),"ordered")</f>
        <v>ordered</v>
      </c>
    </row>
    <row r="37112">
      <c r="A37112" s="1" t="s">
        <v>37111</v>
      </c>
      <c r="B37112" s="2" t="str">
        <f>IFERROR(__xludf.DUMMYFUNCTION("GOOGLETRANSLATE(A37112, ""de"", ""en"")"),"merrill")</f>
        <v>merrill</v>
      </c>
    </row>
    <row r="37113">
      <c r="A37113" s="1" t="s">
        <v>37112</v>
      </c>
      <c r="B37113" s="2" t="str">
        <f>IFERROR(__xludf.DUMMYFUNCTION("GOOGLETRANSLATE(A37113, ""de"", ""en"")"),"Tommaso")</f>
        <v>Tommaso</v>
      </c>
    </row>
    <row r="37114">
      <c r="A37114" s="1" t="s">
        <v>37113</v>
      </c>
      <c r="B37114" s="2" t="str">
        <f>IFERROR(__xludf.DUMMYFUNCTION("GOOGLETRANSLATE(A37114, ""de"", ""en"")"),"head wound")</f>
        <v>head wound</v>
      </c>
    </row>
    <row r="37115">
      <c r="A37115" s="1" t="s">
        <v>37114</v>
      </c>
      <c r="B37115" s="2" t="str">
        <f>IFERROR(__xludf.DUMMYFUNCTION("GOOGLETRANSLATE(A37115, ""de"", ""en"")"),"tablecloth")</f>
        <v>tablecloth</v>
      </c>
    </row>
    <row r="37116">
      <c r="A37116" s="1" t="s">
        <v>37115</v>
      </c>
      <c r="B37116" s="2" t="str">
        <f>IFERROR(__xludf.DUMMYFUNCTION("GOOGLETRANSLATE(A37116, ""de"", ""en"")"),"change")</f>
        <v>change</v>
      </c>
    </row>
    <row r="37117">
      <c r="A37117" s="1" t="s">
        <v>37116</v>
      </c>
      <c r="B37117" s="2" t="str">
        <f>IFERROR(__xludf.DUMMYFUNCTION("GOOGLETRANSLATE(A37117, ""de"", ""en"")"),"florists")</f>
        <v>florists</v>
      </c>
    </row>
    <row r="37118">
      <c r="A37118" s="1" t="s">
        <v>37117</v>
      </c>
      <c r="B37118" s="2" t="str">
        <f>IFERROR(__xludf.DUMMYFUNCTION("GOOGLETRANSLATE(A37118, ""de"", ""en"")"),"freaked out")</f>
        <v>freaked out</v>
      </c>
    </row>
    <row r="37119">
      <c r="A37119" s="1" t="s">
        <v>37118</v>
      </c>
      <c r="B37119" s="2" t="str">
        <f>IFERROR(__xludf.DUMMYFUNCTION("GOOGLETRANSLATE(A37119, ""de"", ""en"")"),"dune")</f>
        <v>dune</v>
      </c>
    </row>
    <row r="37120">
      <c r="A37120" s="1" t="s">
        <v>37119</v>
      </c>
      <c r="B37120" s="2" t="str">
        <f>IFERROR(__xludf.DUMMYFUNCTION("GOOGLETRANSLATE(A37120, ""de"", ""en"")"),"investigative committee")</f>
        <v>investigative committee</v>
      </c>
    </row>
    <row r="37121">
      <c r="A37121" s="1" t="s">
        <v>37120</v>
      </c>
      <c r="B37121" s="2" t="str">
        <f>IFERROR(__xludf.DUMMYFUNCTION("GOOGLETRANSLATE(A37121, ""de"", ""en"")"),"to send")</f>
        <v>to send</v>
      </c>
    </row>
    <row r="37122">
      <c r="A37122" s="1" t="s">
        <v>37121</v>
      </c>
      <c r="B37122" s="2" t="str">
        <f>IFERROR(__xludf.DUMMYFUNCTION("GOOGLETRANSLATE(A37122, ""de"", ""en"")"),"glorious")</f>
        <v>glorious</v>
      </c>
    </row>
    <row r="37123">
      <c r="A37123" s="1" t="s">
        <v>37122</v>
      </c>
      <c r="B37123" s="2" t="str">
        <f>IFERROR(__xludf.DUMMYFUNCTION("GOOGLETRANSLATE(A37123, ""de"", ""en"")"),"matador")</f>
        <v>matador</v>
      </c>
    </row>
    <row r="37124">
      <c r="A37124" s="1" t="s">
        <v>37123</v>
      </c>
      <c r="B37124" s="2" t="str">
        <f>IFERROR(__xludf.DUMMYFUNCTION("GOOGLETRANSLATE(A37124, ""de"", ""en"")"),"Orwell")</f>
        <v>Orwell</v>
      </c>
    </row>
    <row r="37125">
      <c r="A37125" s="1" t="s">
        <v>37124</v>
      </c>
      <c r="B37125" s="2" t="str">
        <f>IFERROR(__xludf.DUMMYFUNCTION("GOOGLETRANSLATE(A37125, ""de"", ""en"")"),"belvedere")</f>
        <v>belvedere</v>
      </c>
    </row>
    <row r="37126">
      <c r="A37126" s="1" t="s">
        <v>37125</v>
      </c>
      <c r="B37126" s="2" t="str">
        <f>IFERROR(__xludf.DUMMYFUNCTION("GOOGLETRANSLATE(A37126, ""de"", ""en"")"),"family photos")</f>
        <v>family photos</v>
      </c>
    </row>
    <row r="37127">
      <c r="A37127" s="1" t="s">
        <v>37126</v>
      </c>
      <c r="B37127" s="2" t="str">
        <f>IFERROR(__xludf.DUMMYFUNCTION("GOOGLETRANSLATE(A37127, ""de"", ""en"")"),"shalloway")</f>
        <v>shalloway</v>
      </c>
    </row>
    <row r="37128">
      <c r="A37128" s="1" t="s">
        <v>37127</v>
      </c>
      <c r="B37128" s="2" t="str">
        <f>IFERROR(__xludf.DUMMYFUNCTION("GOOGLETRANSLATE(A37128, ""de"", ""en"")"),"feminist")</f>
        <v>feminist</v>
      </c>
    </row>
    <row r="37129">
      <c r="A37129" s="1" t="s">
        <v>37128</v>
      </c>
      <c r="B37129" s="2" t="str">
        <f>IFERROR(__xludf.DUMMYFUNCTION("GOOGLETRANSLATE(A37129, ""de"", ""en"")"),"objective")</f>
        <v>objective</v>
      </c>
    </row>
    <row r="37130">
      <c r="A37130" s="1" t="s">
        <v>37129</v>
      </c>
      <c r="B37130" s="2" t="str">
        <f>IFERROR(__xludf.DUMMYFUNCTION("GOOGLETRANSLATE(A37130, ""de"", ""en"")"),"resumes")</f>
        <v>resumes</v>
      </c>
    </row>
    <row r="37131">
      <c r="A37131" s="1" t="s">
        <v>37130</v>
      </c>
      <c r="B37131" s="2" t="str">
        <f>IFERROR(__xludf.DUMMYFUNCTION("GOOGLETRANSLATE(A37131, ""de"", ""en"")"),"wiggle")</f>
        <v>wiggle</v>
      </c>
    </row>
    <row r="37132">
      <c r="A37132" s="1" t="s">
        <v>37131</v>
      </c>
      <c r="B37132" s="2" t="str">
        <f>IFERROR(__xludf.DUMMYFUNCTION("GOOGLETRANSLATE(A37132, ""de"", ""en"")"),"designer")</f>
        <v>designer</v>
      </c>
    </row>
    <row r="37133">
      <c r="A37133" s="1" t="s">
        <v>37132</v>
      </c>
      <c r="B37133" s="2" t="str">
        <f>IFERROR(__xludf.DUMMYFUNCTION("GOOGLETRANSLATE(A37133, ""de"", ""en"")"),"muses")</f>
        <v>muses</v>
      </c>
    </row>
    <row r="37134">
      <c r="A37134" s="1" t="s">
        <v>37133</v>
      </c>
      <c r="B37134" s="2" t="str">
        <f>IFERROR(__xludf.DUMMYFUNCTION("GOOGLETRANSLATE(A37134, ""de"", ""en"")"),"pollux")</f>
        <v>pollux</v>
      </c>
    </row>
    <row r="37135">
      <c r="A37135" s="1" t="s">
        <v>37134</v>
      </c>
      <c r="B37135" s="2" t="str">
        <f>IFERROR(__xludf.DUMMYFUNCTION("GOOGLETRANSLATE(A37135, ""de"", ""en"")"),"highly")</f>
        <v>highly</v>
      </c>
    </row>
    <row r="37136">
      <c r="A37136" s="1" t="s">
        <v>37135</v>
      </c>
      <c r="B37136" s="2" t="str">
        <f>IFERROR(__xludf.DUMMYFUNCTION("GOOGLETRANSLATE(A37136, ""de"", ""en"")"),"purchase contract")</f>
        <v>purchase contract</v>
      </c>
    </row>
    <row r="37137">
      <c r="A37137" s="1" t="s">
        <v>37136</v>
      </c>
      <c r="B37137" s="2" t="str">
        <f>IFERROR(__xludf.DUMMYFUNCTION("GOOGLETRANSLATE(A37137, ""de"", ""en"")"),"more acute")</f>
        <v>more acute</v>
      </c>
    </row>
    <row r="37138">
      <c r="A37138" s="1" t="s">
        <v>37137</v>
      </c>
      <c r="B37138" s="2" t="str">
        <f>IFERROR(__xludf.DUMMYFUNCTION("GOOGLETRANSLATE(A37138, ""de"", ""en"")"),"silk")</f>
        <v>silk</v>
      </c>
    </row>
    <row r="37139">
      <c r="A37139" s="1" t="s">
        <v>37138</v>
      </c>
      <c r="B37139" s="2" t="str">
        <f>IFERROR(__xludf.DUMMYFUNCTION("GOOGLETRANSLATE(A37139, ""de"", ""en"")"),"molto")</f>
        <v>molto</v>
      </c>
    </row>
    <row r="37140">
      <c r="A37140" s="1" t="s">
        <v>37139</v>
      </c>
      <c r="B37140" s="2" t="str">
        <f>IFERROR(__xludf.DUMMYFUNCTION("GOOGLETRANSLATE(A37140, ""de"", ""en"")"),"falls off")</f>
        <v>falls off</v>
      </c>
    </row>
    <row r="37141">
      <c r="A37141" s="1" t="s">
        <v>37140</v>
      </c>
      <c r="B37141" s="2" t="str">
        <f>IFERROR(__xludf.DUMMYFUNCTION("GOOGLETRANSLATE(A37141, ""de"", ""en"")"),"hawes")</f>
        <v>hawes</v>
      </c>
    </row>
    <row r="37142">
      <c r="A37142" s="1" t="s">
        <v>37141</v>
      </c>
      <c r="B37142" s="2" t="str">
        <f>IFERROR(__xludf.DUMMYFUNCTION("GOOGLETRANSLATE(A37142, ""de"", ""en"")"),"electrons")</f>
        <v>electrons</v>
      </c>
    </row>
    <row r="37143">
      <c r="A37143" s="1" t="s">
        <v>37142</v>
      </c>
      <c r="B37143" s="2" t="str">
        <f>IFERROR(__xludf.DUMMYFUNCTION("GOOGLETRANSLATE(A37143, ""de"", ""en"")"),"catco")</f>
        <v>catco</v>
      </c>
    </row>
    <row r="37144">
      <c r="A37144" s="1" t="s">
        <v>37143</v>
      </c>
      <c r="B37144" s="2" t="str">
        <f>IFERROR(__xludf.DUMMYFUNCTION("GOOGLETRANSLATE(A37144, ""de"", ""en"")"),"ramble")</f>
        <v>ramble</v>
      </c>
    </row>
    <row r="37145">
      <c r="A37145" s="1" t="s">
        <v>37144</v>
      </c>
      <c r="B37145" s="2" t="str">
        <f>IFERROR(__xludf.DUMMYFUNCTION("GOOGLETRANSLATE(A37145, ""de"", ""en"")"),"hickok")</f>
        <v>hickok</v>
      </c>
    </row>
    <row r="37146">
      <c r="A37146" s="1" t="s">
        <v>37145</v>
      </c>
      <c r="B37146" s="2" t="str">
        <f>IFERROR(__xludf.DUMMYFUNCTION("GOOGLETRANSLATE(A37146, ""de"", ""en"")"),"oversight")</f>
        <v>oversight</v>
      </c>
    </row>
    <row r="37147">
      <c r="A37147" s="1" t="s">
        <v>37146</v>
      </c>
      <c r="B37147" s="2" t="str">
        <f>IFERROR(__xludf.DUMMYFUNCTION("GOOGLETRANSLATE(A37147, ""de"", ""en"")"),"bottling")</f>
        <v>bottling</v>
      </c>
    </row>
    <row r="37148">
      <c r="A37148" s="1" t="s">
        <v>37147</v>
      </c>
      <c r="B37148" s="2" t="str">
        <f>IFERROR(__xludf.DUMMYFUNCTION("GOOGLETRANSLATE(A37148, ""de"", ""en"")"),"mankato")</f>
        <v>mankato</v>
      </c>
    </row>
    <row r="37149">
      <c r="A37149" s="1" t="s">
        <v>37148</v>
      </c>
      <c r="B37149" s="2" t="str">
        <f>IFERROR(__xludf.DUMMYFUNCTION("GOOGLETRANSLATE(A37149, ""de"", ""en"")"),"ir")</f>
        <v>ir</v>
      </c>
    </row>
    <row r="37150">
      <c r="A37150" s="1" t="s">
        <v>37149</v>
      </c>
      <c r="B37150" s="2" t="str">
        <f>IFERROR(__xludf.DUMMYFUNCTION("GOOGLETRANSLATE(A37150, ""de"", ""en"")"),"odum")</f>
        <v>odum</v>
      </c>
    </row>
    <row r="37151">
      <c r="A37151" s="1" t="s">
        <v>37150</v>
      </c>
      <c r="B37151" s="2" t="str">
        <f>IFERROR(__xludf.DUMMYFUNCTION("GOOGLETRANSLATE(A37151, ""de"", ""en"")"),"middle class")</f>
        <v>middle class</v>
      </c>
    </row>
    <row r="37152">
      <c r="A37152" s="1" t="s">
        <v>37151</v>
      </c>
      <c r="B37152" s="2" t="str">
        <f>IFERROR(__xludf.DUMMYFUNCTION("GOOGLETRANSLATE(A37152, ""de"", ""en"")"),"fda")</f>
        <v>fda</v>
      </c>
    </row>
    <row r="37153">
      <c r="A37153" s="1" t="s">
        <v>37152</v>
      </c>
      <c r="B37153" s="2" t="str">
        <f>IFERROR(__xludf.DUMMYFUNCTION("GOOGLETRANSLATE(A37153, ""de"", ""en"")"),"suck")</f>
        <v>suck</v>
      </c>
    </row>
    <row r="37154">
      <c r="A37154" s="1" t="s">
        <v>37153</v>
      </c>
      <c r="B37154" s="2" t="str">
        <f>IFERROR(__xludf.DUMMYFUNCTION("GOOGLETRANSLATE(A37154, ""de"", ""en"")"),"created")</f>
        <v>created</v>
      </c>
    </row>
    <row r="37155">
      <c r="A37155" s="1" t="s">
        <v>37154</v>
      </c>
      <c r="B37155" s="2" t="str">
        <f>IFERROR(__xludf.DUMMYFUNCTION("GOOGLETRANSLATE(A37155, ""de"", ""en"")"),"vida")</f>
        <v>vida</v>
      </c>
    </row>
    <row r="37156">
      <c r="A37156" s="1" t="s">
        <v>37155</v>
      </c>
      <c r="B37156" s="2" t="str">
        <f>IFERROR(__xludf.DUMMYFUNCTION("GOOGLETRANSLATE(A37156, ""de"", ""en"")"),"Barrows")</f>
        <v>Barrows</v>
      </c>
    </row>
    <row r="37157">
      <c r="A37157" s="1" t="s">
        <v>37156</v>
      </c>
      <c r="B37157" s="2" t="str">
        <f>IFERROR(__xludf.DUMMYFUNCTION("GOOGLETRANSLATE(A37157, ""de"", ""en"")"),"Sardinia")</f>
        <v>Sardinia</v>
      </c>
    </row>
    <row r="37158">
      <c r="A37158" s="1" t="s">
        <v>37157</v>
      </c>
      <c r="B37158" s="2" t="str">
        <f>IFERROR(__xludf.DUMMYFUNCTION("GOOGLETRANSLATE(A37158, ""de"", ""en"")"),"zerocl")</f>
        <v>zerocl</v>
      </c>
    </row>
    <row r="37159">
      <c r="A37159" s="1" t="s">
        <v>37158</v>
      </c>
      <c r="B37159" s="2" t="str">
        <f>IFERROR(__xludf.DUMMYFUNCTION("GOOGLETRANSLATE(A37159, ""de"", ""en"")"),"written")</f>
        <v>written</v>
      </c>
    </row>
    <row r="37160">
      <c r="A37160" s="1" t="s">
        <v>37159</v>
      </c>
      <c r="B37160" s="2" t="str">
        <f>IFERROR(__xludf.DUMMYFUNCTION("GOOGLETRANSLATE(A37160, ""de"", ""en"")"),"bottom")</f>
        <v>bottom</v>
      </c>
    </row>
    <row r="37161">
      <c r="A37161" s="1" t="s">
        <v>37160</v>
      </c>
      <c r="B37161" s="2" t="str">
        <f>IFERROR(__xludf.DUMMYFUNCTION("GOOGLETRANSLATE(A37161, ""de"", ""en"")"),"evidence")</f>
        <v>evidence</v>
      </c>
    </row>
    <row r="37162">
      <c r="A37162" s="1" t="s">
        <v>37161</v>
      </c>
      <c r="B37162" s="2" t="str">
        <f>IFERROR(__xludf.DUMMYFUNCTION("GOOGLETRANSLATE(A37162, ""de"", ""en"")"),"defeat")</f>
        <v>defeat</v>
      </c>
    </row>
    <row r="37163">
      <c r="A37163" s="1" t="s">
        <v>37162</v>
      </c>
      <c r="B37163" s="2" t="str">
        <f>IFERROR(__xludf.DUMMYFUNCTION("GOOGLETRANSLATE(A37163, ""de"", ""en"")"),"yung")</f>
        <v>yung</v>
      </c>
    </row>
    <row r="37164">
      <c r="A37164" s="1" t="s">
        <v>37163</v>
      </c>
      <c r="B37164" s="2" t="str">
        <f>IFERROR(__xludf.DUMMYFUNCTION("GOOGLETRANSLATE(A37164, ""de"", ""en"")"),"shamans")</f>
        <v>shamans</v>
      </c>
    </row>
    <row r="37165">
      <c r="A37165" s="1" t="s">
        <v>37164</v>
      </c>
      <c r="B37165" s="2" t="str">
        <f>IFERROR(__xludf.DUMMYFUNCTION("GOOGLETRANSLATE(A37165, ""de"", ""en"")"),"breathless")</f>
        <v>breathless</v>
      </c>
    </row>
    <row r="37166">
      <c r="A37166" s="1" t="s">
        <v>37165</v>
      </c>
      <c r="B37166" s="2" t="str">
        <f>IFERROR(__xludf.DUMMYFUNCTION("GOOGLETRANSLATE(A37166, ""de"", ""en"")"),"lar")</f>
        <v>lar</v>
      </c>
    </row>
    <row r="37167">
      <c r="A37167" s="1" t="s">
        <v>37166</v>
      </c>
      <c r="B37167" s="2" t="str">
        <f>IFERROR(__xludf.DUMMYFUNCTION("GOOGLETRANSLATE(A37167, ""de"", ""en"")"),"scrounge")</f>
        <v>scrounge</v>
      </c>
    </row>
    <row r="37168">
      <c r="A37168" s="1" t="s">
        <v>37167</v>
      </c>
      <c r="B37168" s="2" t="str">
        <f>IFERROR(__xludf.DUMMYFUNCTION("GOOGLETRANSLATE(A37168, ""de"", ""en"")"),"matches")</f>
        <v>matches</v>
      </c>
    </row>
    <row r="37169">
      <c r="A37169" s="1" t="s">
        <v>37168</v>
      </c>
      <c r="B37169" s="2" t="str">
        <f>IFERROR(__xludf.DUMMYFUNCTION("GOOGLETRANSLATE(A37169, ""de"", ""en"")"),"zoom")</f>
        <v>zoom</v>
      </c>
    </row>
    <row r="37170">
      <c r="A37170" s="1" t="s">
        <v>37169</v>
      </c>
      <c r="B37170" s="2" t="str">
        <f>IFERROR(__xludf.DUMMYFUNCTION("GOOGLETRANSLATE(A37170, ""de"", ""en"")"),"gi")</f>
        <v>gi</v>
      </c>
    </row>
    <row r="37171">
      <c r="A37171" s="1" t="s">
        <v>37170</v>
      </c>
      <c r="B37171" s="2" t="str">
        <f>IFERROR(__xludf.DUMMYFUNCTION("GOOGLETRANSLATE(A37171, ""de"", ""en"")"),"meshugge")</f>
        <v>meshugge</v>
      </c>
    </row>
    <row r="37172">
      <c r="A37172" s="1" t="s">
        <v>37171</v>
      </c>
      <c r="B37172" s="2" t="str">
        <f>IFERROR(__xludf.DUMMYFUNCTION("GOOGLETRANSLATE(A37172, ""de"", ""en"")"),"Rodolfo")</f>
        <v>Rodolfo</v>
      </c>
    </row>
    <row r="37173">
      <c r="A37173" s="1" t="s">
        <v>37172</v>
      </c>
      <c r="B37173" s="2" t="str">
        <f>IFERROR(__xludf.DUMMYFUNCTION("GOOGLETRANSLATE(A37173, ""de"", ""en"")"),"optimal")</f>
        <v>optimal</v>
      </c>
    </row>
    <row r="37174">
      <c r="A37174" s="1" t="s">
        <v>37173</v>
      </c>
      <c r="B37174" s="2" t="str">
        <f>IFERROR(__xludf.DUMMYFUNCTION("GOOGLETRANSLATE(A37174, ""de"", ""en"")"),"miley")</f>
        <v>miley</v>
      </c>
    </row>
    <row r="37175">
      <c r="A37175" s="1" t="s">
        <v>37174</v>
      </c>
      <c r="B37175" s="2" t="str">
        <f>IFERROR(__xludf.DUMMYFUNCTION("GOOGLETRANSLATE(A37175, ""de"", ""en"")"),"monkey theater")</f>
        <v>monkey theater</v>
      </c>
    </row>
    <row r="37176">
      <c r="A37176" s="1" t="s">
        <v>37175</v>
      </c>
      <c r="B37176" s="2" t="str">
        <f>IFERROR(__xludf.DUMMYFUNCTION("GOOGLETRANSLATE(A37176, ""de"", ""en"")"),"implied")</f>
        <v>implied</v>
      </c>
    </row>
    <row r="37177">
      <c r="A37177" s="1" t="s">
        <v>37176</v>
      </c>
      <c r="B37177" s="2" t="str">
        <f>IFERROR(__xludf.DUMMYFUNCTION("GOOGLETRANSLATE(A37177, ""de"", ""en"")"),"beerko")</f>
        <v>beerko</v>
      </c>
    </row>
    <row r="37178">
      <c r="A37178" s="1" t="s">
        <v>37177</v>
      </c>
      <c r="B37178" s="2" t="str">
        <f>IFERROR(__xludf.DUMMYFUNCTION("GOOGLETRANSLATE(A37178, ""de"", ""en"")"),"Dickson")</f>
        <v>Dickson</v>
      </c>
    </row>
    <row r="37179">
      <c r="A37179" s="1" t="s">
        <v>37178</v>
      </c>
      <c r="B37179" s="2" t="str">
        <f>IFERROR(__xludf.DUMMYFUNCTION("GOOGLETRANSLATE(A37179, ""de"", ""en"")"),"ass cheeks")</f>
        <v>ass cheeks</v>
      </c>
    </row>
    <row r="37180">
      <c r="A37180" s="1" t="s">
        <v>37179</v>
      </c>
      <c r="B37180" s="2" t="str">
        <f>IFERROR(__xludf.DUMMYFUNCTION("GOOGLETRANSLATE(A37180, ""de"", ""en"")"),"got along")</f>
        <v>got along</v>
      </c>
    </row>
    <row r="37181">
      <c r="A37181" s="1" t="s">
        <v>37180</v>
      </c>
      <c r="B37181" s="2" t="str">
        <f>IFERROR(__xludf.DUMMYFUNCTION("GOOGLETRANSLATE(A37181, ""de"", ""en"")"),"banish")</f>
        <v>banish</v>
      </c>
    </row>
    <row r="37182">
      <c r="A37182" s="1" t="s">
        <v>37181</v>
      </c>
      <c r="B37182" s="2" t="str">
        <f>IFERROR(__xludf.DUMMYFUNCTION("GOOGLETRANSLATE(A37182, ""de"", ""en"")"),"coffee cup")</f>
        <v>coffee cup</v>
      </c>
    </row>
    <row r="37183">
      <c r="A37183" s="1" t="s">
        <v>37182</v>
      </c>
      <c r="B37183" s="2" t="str">
        <f>IFERROR(__xludf.DUMMYFUNCTION("GOOGLETRANSLATE(A37183, ""de"", ""en"")"),"last")</f>
        <v>last</v>
      </c>
    </row>
    <row r="37184">
      <c r="A37184" s="1" t="s">
        <v>37183</v>
      </c>
      <c r="B37184" s="2" t="str">
        <f>IFERROR(__xludf.DUMMYFUNCTION("GOOGLETRANSLATE(A37184, ""de"", ""en"")"),"find")</f>
        <v>find</v>
      </c>
    </row>
    <row r="37185">
      <c r="A37185" s="1" t="s">
        <v>37184</v>
      </c>
      <c r="B37185" s="2" t="str">
        <f>IFERROR(__xludf.DUMMYFUNCTION("GOOGLETRANSLATE(A37185, ""de"", ""en"")"),"misfire")</f>
        <v>misfire</v>
      </c>
    </row>
    <row r="37186">
      <c r="A37186" s="1" t="s">
        <v>37185</v>
      </c>
      <c r="B37186" s="2" t="str">
        <f>IFERROR(__xludf.DUMMYFUNCTION("GOOGLETRANSLATE(A37186, ""de"", ""en"")"),"mystery")</f>
        <v>mystery</v>
      </c>
    </row>
    <row r="37187">
      <c r="A37187" s="1" t="s">
        <v>37186</v>
      </c>
      <c r="B37187" s="2" t="str">
        <f>IFERROR(__xludf.DUMMYFUNCTION("GOOGLETRANSLATE(A37187, ""de"", ""en"")"),"mitzvah")</f>
        <v>mitzvah</v>
      </c>
    </row>
    <row r="37188">
      <c r="A37188" s="1" t="s">
        <v>37187</v>
      </c>
      <c r="B37188" s="2" t="str">
        <f>IFERROR(__xludf.DUMMYFUNCTION("GOOGLETRANSLATE(A37188, ""de"", ""en"")"),"Bremen")</f>
        <v>Bremen</v>
      </c>
    </row>
    <row r="37189">
      <c r="A37189" s="1" t="s">
        <v>37188</v>
      </c>
      <c r="B37189" s="2" t="str">
        <f>IFERROR(__xludf.DUMMYFUNCTION("GOOGLETRANSLATE(A37189, ""de"", ""en"")"),"goofy")</f>
        <v>goofy</v>
      </c>
    </row>
    <row r="37190">
      <c r="A37190" s="1" t="s">
        <v>37189</v>
      </c>
      <c r="B37190" s="2" t="str">
        <f>IFERROR(__xludf.DUMMYFUNCTION("GOOGLETRANSLATE(A37190, ""de"", ""en"")"),"goetz")</f>
        <v>goetz</v>
      </c>
    </row>
    <row r="37191">
      <c r="A37191" s="1" t="s">
        <v>37190</v>
      </c>
      <c r="B37191" s="2" t="str">
        <f>IFERROR(__xludf.DUMMYFUNCTION("GOOGLETRANSLATE(A37191, ""de"", ""en"")"),"limp")</f>
        <v>limp</v>
      </c>
    </row>
    <row r="37192">
      <c r="A37192" s="1" t="s">
        <v>37191</v>
      </c>
      <c r="B37192" s="2" t="str">
        <f>IFERROR(__xludf.DUMMYFUNCTION("GOOGLETRANSLATE(A37192, ""de"", ""en"")"),"niyazi")</f>
        <v>niyazi</v>
      </c>
    </row>
    <row r="37193">
      <c r="A37193" s="1" t="s">
        <v>37192</v>
      </c>
      <c r="B37193" s="2" t="str">
        <f>IFERROR(__xludf.DUMMYFUNCTION("GOOGLETRANSLATE(A37193, ""de"", ""en"")"),"conspire")</f>
        <v>conspire</v>
      </c>
    </row>
    <row r="37194">
      <c r="A37194" s="1" t="s">
        <v>37193</v>
      </c>
      <c r="B37194" s="2" t="str">
        <f>IFERROR(__xludf.DUMMYFUNCTION("GOOGLETRANSLATE(A37194, ""de"", ""en"")"),"rims")</f>
        <v>rims</v>
      </c>
    </row>
    <row r="37195">
      <c r="A37195" s="1" t="s">
        <v>37194</v>
      </c>
      <c r="B37195" s="2" t="str">
        <f>IFERROR(__xludf.DUMMYFUNCTION("GOOGLETRANSLATE(A37195, ""de"", ""en"")"),"glands")</f>
        <v>glands</v>
      </c>
    </row>
    <row r="37196">
      <c r="A37196" s="1" t="s">
        <v>37195</v>
      </c>
      <c r="B37196" s="2" t="str">
        <f>IFERROR(__xludf.DUMMYFUNCTION("GOOGLETRANSLATE(A37196, ""de"", ""en"")"),"aft")</f>
        <v>aft</v>
      </c>
    </row>
    <row r="37197">
      <c r="A37197" s="1" t="s">
        <v>37196</v>
      </c>
      <c r="B37197" s="2" t="str">
        <f>IFERROR(__xludf.DUMMYFUNCTION("GOOGLETRANSLATE(A37197, ""de"", ""en"")"),"hum")</f>
        <v>hum</v>
      </c>
    </row>
    <row r="37198">
      <c r="A37198" s="1" t="s">
        <v>37197</v>
      </c>
      <c r="B37198" s="2" t="str">
        <f>IFERROR(__xludf.DUMMYFUNCTION("GOOGLETRANSLATE(A37198, ""de"", ""en"")"),"font")</f>
        <v>font</v>
      </c>
    </row>
    <row r="37199">
      <c r="A37199" s="1" t="s">
        <v>37198</v>
      </c>
      <c r="B37199" s="2" t="str">
        <f>IFERROR(__xludf.DUMMYFUNCTION("GOOGLETRANSLATE(A37199, ""de"", ""en"")"),"loiter around")</f>
        <v>loiter around</v>
      </c>
    </row>
    <row r="37200">
      <c r="A37200" s="1" t="s">
        <v>37199</v>
      </c>
      <c r="B37200" s="2" t="str">
        <f>IFERROR(__xludf.DUMMYFUNCTION("GOOGLETRANSLATE(A37200, ""de"", ""en"")"),"crimson")</f>
        <v>crimson</v>
      </c>
    </row>
    <row r="37201">
      <c r="A37201" s="1" t="s">
        <v>37200</v>
      </c>
      <c r="B37201" s="2" t="str">
        <f>IFERROR(__xludf.DUMMYFUNCTION("GOOGLETRANSLATE(A37201, ""de"", ""en"")"),"block")</f>
        <v>block</v>
      </c>
    </row>
    <row r="37202">
      <c r="A37202" s="1" t="s">
        <v>37201</v>
      </c>
      <c r="B37202" s="2" t="str">
        <f>IFERROR(__xludf.DUMMYFUNCTION("GOOGLETRANSLATE(A37202, ""de"", ""en"")"),"marietta")</f>
        <v>marietta</v>
      </c>
    </row>
    <row r="37203">
      <c r="A37203" s="1" t="s">
        <v>37202</v>
      </c>
      <c r="B37203" s="2" t="str">
        <f>IFERROR(__xludf.DUMMYFUNCTION("GOOGLETRANSLATE(A37203, ""de"", ""en"")"),"Bellevue")</f>
        <v>Bellevue</v>
      </c>
    </row>
    <row r="37204">
      <c r="A37204" s="1" t="s">
        <v>37203</v>
      </c>
      <c r="B37204" s="2" t="str">
        <f>IFERROR(__xludf.DUMMYFUNCTION("GOOGLETRANSLATE(A37204, ""de"", ""en"")"),"cardinal")</f>
        <v>cardinal</v>
      </c>
    </row>
    <row r="37205">
      <c r="A37205" s="1" t="s">
        <v>37204</v>
      </c>
      <c r="B37205" s="2" t="str">
        <f>IFERROR(__xludf.DUMMYFUNCTION("GOOGLETRANSLATE(A37205, ""de"", ""en"")"),"swam")</f>
        <v>swam</v>
      </c>
    </row>
    <row r="37206">
      <c r="A37206" s="1" t="s">
        <v>37205</v>
      </c>
      <c r="B37206" s="2" t="str">
        <f>IFERROR(__xludf.DUMMYFUNCTION("GOOGLETRANSLATE(A37206, ""de"", ""en"")"),"bullfighter")</f>
        <v>bullfighter</v>
      </c>
    </row>
    <row r="37207">
      <c r="A37207" s="1" t="s">
        <v>37206</v>
      </c>
      <c r="B37207" s="2" t="str">
        <f>IFERROR(__xludf.DUMMYFUNCTION("GOOGLETRANSLATE(A37207, ""de"", ""en"")"),"exploded")</f>
        <v>exploded</v>
      </c>
    </row>
    <row r="37208">
      <c r="A37208" s="1" t="s">
        <v>37207</v>
      </c>
      <c r="B37208" s="2" t="str">
        <f>IFERROR(__xludf.DUMMYFUNCTION("GOOGLETRANSLATE(A37208, ""de"", ""en"")"),"muchas")</f>
        <v>muchas</v>
      </c>
    </row>
    <row r="37209">
      <c r="A37209" s="1" t="s">
        <v>37208</v>
      </c>
      <c r="B37209" s="2" t="str">
        <f>IFERROR(__xludf.DUMMYFUNCTION("GOOGLETRANSLATE(A37209, ""de"", ""en"")"),"Dutch")</f>
        <v>Dutch</v>
      </c>
    </row>
    <row r="37210">
      <c r="A37210" s="1" t="s">
        <v>37209</v>
      </c>
      <c r="B37210" s="2" t="str">
        <f>IFERROR(__xludf.DUMMYFUNCTION("GOOGLETRANSLATE(A37210, ""de"", ""en"")"),"quacks")</f>
        <v>quacks</v>
      </c>
    </row>
    <row r="37211">
      <c r="A37211" s="1" t="s">
        <v>37210</v>
      </c>
      <c r="B37211" s="2" t="str">
        <f>IFERROR(__xludf.DUMMYFUNCTION("GOOGLETRANSLATE(A37211, ""de"", ""en"")"),"military service")</f>
        <v>military service</v>
      </c>
    </row>
    <row r="37212">
      <c r="A37212" s="1" t="s">
        <v>37211</v>
      </c>
      <c r="B37212" s="2" t="str">
        <f>IFERROR(__xludf.DUMMYFUNCTION("GOOGLETRANSLATE(A37212, ""de"", ""en"")"),"picked up")</f>
        <v>picked up</v>
      </c>
    </row>
    <row r="37213">
      <c r="A37213" s="1" t="s">
        <v>37212</v>
      </c>
      <c r="B37213" s="2" t="str">
        <f>IFERROR(__xludf.DUMMYFUNCTION("GOOGLETRANSLATE(A37213, ""de"", ""en"")"),"checklist")</f>
        <v>checklist</v>
      </c>
    </row>
    <row r="37214">
      <c r="A37214" s="1" t="s">
        <v>37213</v>
      </c>
      <c r="B37214" s="2" t="str">
        <f>IFERROR(__xludf.DUMMYFUNCTION("GOOGLETRANSLATE(A37214, ""de"", ""en"")"),"along")</f>
        <v>along</v>
      </c>
    </row>
    <row r="37215">
      <c r="A37215" s="1" t="s">
        <v>37214</v>
      </c>
      <c r="B37215" s="2" t="str">
        <f>IFERROR(__xludf.DUMMYFUNCTION("GOOGLETRANSLATE(A37215, ""de"", ""en"")"),"brava")</f>
        <v>brava</v>
      </c>
    </row>
    <row r="37216">
      <c r="A37216" s="1" t="s">
        <v>37215</v>
      </c>
      <c r="B37216" s="2" t="str">
        <f>IFERROR(__xludf.DUMMYFUNCTION("GOOGLETRANSLATE(A37216, ""de"", ""en"")"),"shaved off")</f>
        <v>shaved off</v>
      </c>
    </row>
    <row r="37217">
      <c r="A37217" s="1" t="s">
        <v>37216</v>
      </c>
      <c r="B37217" s="2" t="str">
        <f>IFERROR(__xludf.DUMMYFUNCTION("GOOGLETRANSLATE(A37217, ""de"", ""en"")"),"darmody")</f>
        <v>darmody</v>
      </c>
    </row>
    <row r="37218">
      <c r="A37218" s="1" t="s">
        <v>37217</v>
      </c>
      <c r="B37218" s="2" t="str">
        <f>IFERROR(__xludf.DUMMYFUNCTION("GOOGLETRANSLATE(A37218, ""de"", ""en"")"),"world's best")</f>
        <v>world's best</v>
      </c>
    </row>
    <row r="37219">
      <c r="A37219" s="1" t="s">
        <v>37218</v>
      </c>
      <c r="B37219" s="2" t="str">
        <f>IFERROR(__xludf.DUMMYFUNCTION("GOOGLETRANSLATE(A37219, ""de"", ""en"")"),"bruises")</f>
        <v>bruises</v>
      </c>
    </row>
    <row r="37220">
      <c r="A37220" s="1" t="s">
        <v>37219</v>
      </c>
      <c r="B37220" s="2" t="str">
        <f>IFERROR(__xludf.DUMMYFUNCTION("GOOGLETRANSLATE(A37220, ""de"", ""en"")"),"tougher")</f>
        <v>tougher</v>
      </c>
    </row>
    <row r="37221">
      <c r="A37221" s="1" t="s">
        <v>37220</v>
      </c>
      <c r="B37221" s="2" t="str">
        <f>IFERROR(__xludf.DUMMYFUNCTION("GOOGLETRANSLATE(A37221, ""de"", ""en"")"),"Muslim")</f>
        <v>Muslim</v>
      </c>
    </row>
    <row r="37222">
      <c r="A37222" s="1" t="s">
        <v>37221</v>
      </c>
      <c r="B37222" s="2" t="str">
        <f>IFERROR(__xludf.DUMMYFUNCTION("GOOGLETRANSLATE(A37222, ""de"", ""en"")"),"muhammed")</f>
        <v>muhammed</v>
      </c>
    </row>
    <row r="37223">
      <c r="A37223" s="1" t="s">
        <v>37222</v>
      </c>
      <c r="B37223" s="2" t="str">
        <f>IFERROR(__xludf.DUMMYFUNCTION("GOOGLETRANSLATE(A37223, ""de"", ""en"")"),"helps")</f>
        <v>helps</v>
      </c>
    </row>
    <row r="37224">
      <c r="A37224" s="1" t="s">
        <v>37223</v>
      </c>
      <c r="B37224" s="2" t="str">
        <f>IFERROR(__xludf.DUMMYFUNCTION("GOOGLETRANSLATE(A37224, ""de"", ""en"")"),"Zoe")</f>
        <v>Zoe</v>
      </c>
    </row>
    <row r="37225">
      <c r="A37225" s="1" t="s">
        <v>37224</v>
      </c>
      <c r="B37225" s="2" t="str">
        <f>IFERROR(__xludf.DUMMYFUNCTION("GOOGLETRANSLATE(A37225, ""de"", ""en"")"),"willing")</f>
        <v>willing</v>
      </c>
    </row>
    <row r="37226">
      <c r="A37226" s="1" t="s">
        <v>37225</v>
      </c>
      <c r="B37226" s="2" t="str">
        <f>IFERROR(__xludf.DUMMYFUNCTION("GOOGLETRANSLATE(A37226, ""de"", ""en"")"),"chica")</f>
        <v>chica</v>
      </c>
    </row>
    <row r="37227">
      <c r="A37227" s="1" t="s">
        <v>37226</v>
      </c>
      <c r="B37227" s="2" t="str">
        <f>IFERROR(__xludf.DUMMYFUNCTION("GOOGLETRANSLATE(A37227, ""de"", ""en"")"),"grow up")</f>
        <v>grow up</v>
      </c>
    </row>
    <row r="37228">
      <c r="A37228" s="1" t="s">
        <v>37227</v>
      </c>
      <c r="B37228" s="2" t="str">
        <f>IFERROR(__xludf.DUMMYFUNCTION("GOOGLETRANSLATE(A37228, ""de"", ""en"")"),"sanctifies")</f>
        <v>sanctifies</v>
      </c>
    </row>
    <row r="37229">
      <c r="A37229" s="1" t="s">
        <v>37228</v>
      </c>
      <c r="B37229" s="2" t="str">
        <f>IFERROR(__xludf.DUMMYFUNCTION("GOOGLETRANSLATE(A37229, ""de"", ""en"")"),"impartial")</f>
        <v>impartial</v>
      </c>
    </row>
    <row r="37230">
      <c r="A37230" s="1" t="s">
        <v>37229</v>
      </c>
      <c r="B37230" s="2" t="str">
        <f>IFERROR(__xludf.DUMMYFUNCTION("GOOGLETRANSLATE(A37230, ""de"", ""en"")"),"falco")</f>
        <v>falco</v>
      </c>
    </row>
    <row r="37231">
      <c r="A37231" s="1" t="s">
        <v>37230</v>
      </c>
      <c r="B37231" s="2" t="str">
        <f>IFERROR(__xludf.DUMMYFUNCTION("GOOGLETRANSLATE(A37231, ""de"", ""en"")"),"freds")</f>
        <v>freds</v>
      </c>
    </row>
    <row r="37232">
      <c r="A37232" s="1" t="s">
        <v>37231</v>
      </c>
      <c r="B37232" s="2" t="str">
        <f>IFERROR(__xludf.DUMMYFUNCTION("GOOGLETRANSLATE(A37232, ""de"", ""en"")"),"economic situation")</f>
        <v>economic situation</v>
      </c>
    </row>
    <row r="37233">
      <c r="A37233" s="1" t="s">
        <v>37232</v>
      </c>
      <c r="B37233" s="2" t="str">
        <f>IFERROR(__xludf.DUMMYFUNCTION("GOOGLETRANSLATE(A37233, ""de"", ""en"")"),"astronomers")</f>
        <v>astronomers</v>
      </c>
    </row>
    <row r="37234">
      <c r="A37234" s="1" t="s">
        <v>37233</v>
      </c>
      <c r="B37234" s="2" t="str">
        <f>IFERROR(__xludf.DUMMYFUNCTION("GOOGLETRANSLATE(A37234, ""de"", ""en"")"),"continental")</f>
        <v>continental</v>
      </c>
    </row>
    <row r="37235">
      <c r="A37235" s="1" t="s">
        <v>37234</v>
      </c>
      <c r="B37235" s="2" t="str">
        <f>IFERROR(__xludf.DUMMYFUNCTION("GOOGLETRANSLATE(A37235, ""de"", ""en"")"),"nutritious")</f>
        <v>nutritious</v>
      </c>
    </row>
    <row r="37236">
      <c r="A37236" s="1" t="s">
        <v>37235</v>
      </c>
      <c r="B37236" s="2" t="str">
        <f>IFERROR(__xludf.DUMMYFUNCTION("GOOGLETRANSLATE(A37236, ""de"", ""en"")"),"laila")</f>
        <v>laila</v>
      </c>
    </row>
    <row r="37237">
      <c r="A37237" s="1" t="s">
        <v>37236</v>
      </c>
      <c r="B37237" s="2" t="str">
        <f>IFERROR(__xludf.DUMMYFUNCTION("GOOGLETRANSLATE(A37237, ""de"", ""en"")"),"escaped")</f>
        <v>escaped</v>
      </c>
    </row>
    <row r="37238">
      <c r="A37238" s="1" t="s">
        <v>37237</v>
      </c>
      <c r="B37238" s="2" t="str">
        <f>IFERROR(__xludf.DUMMYFUNCTION("GOOGLETRANSLATE(A37238, ""de"", ""en"")"),"slits")</f>
        <v>slits</v>
      </c>
    </row>
    <row r="37239">
      <c r="A37239" s="1" t="s">
        <v>37238</v>
      </c>
      <c r="B37239" s="2" t="str">
        <f>IFERROR(__xludf.DUMMYFUNCTION("GOOGLETRANSLATE(A37239, ""de"", ""en"")"),"festive")</f>
        <v>festive</v>
      </c>
    </row>
    <row r="37240">
      <c r="A37240" s="1" t="s">
        <v>37239</v>
      </c>
      <c r="B37240" s="2" t="str">
        <f>IFERROR(__xludf.DUMMYFUNCTION("GOOGLETRANSLATE(A37240, ""de"", ""en"")"),"wire")</f>
        <v>wire</v>
      </c>
    </row>
    <row r="37241">
      <c r="A37241" s="1" t="s">
        <v>37240</v>
      </c>
      <c r="B37241" s="2" t="str">
        <f>IFERROR(__xludf.DUMMYFUNCTION("GOOGLETRANSLATE(A37241, ""de"", ""en"")"),"montauk")</f>
        <v>montauk</v>
      </c>
    </row>
    <row r="37242">
      <c r="A37242" s="1" t="s">
        <v>37241</v>
      </c>
      <c r="B37242" s="2" t="str">
        <f>IFERROR(__xludf.DUMMYFUNCTION("GOOGLETRANSLATE(A37242, ""de"", ""en"")"),"west side")</f>
        <v>west side</v>
      </c>
    </row>
    <row r="37243">
      <c r="A37243" s="1" t="s">
        <v>37242</v>
      </c>
      <c r="B37243" s="2" t="str">
        <f>IFERROR(__xludf.DUMMYFUNCTION("GOOGLETRANSLATE(A37243, ""de"", ""en"")"),"manfredi")</f>
        <v>manfredi</v>
      </c>
    </row>
    <row r="37244">
      <c r="A37244" s="1" t="s">
        <v>37243</v>
      </c>
      <c r="B37244" s="2" t="str">
        <f>IFERROR(__xludf.DUMMYFUNCTION("GOOGLETRANSLATE(A37244, ""de"", ""en"")"),"anvil")</f>
        <v>anvil</v>
      </c>
    </row>
    <row r="37245">
      <c r="A37245" s="1" t="s">
        <v>37244</v>
      </c>
      <c r="B37245" s="2" t="str">
        <f>IFERROR(__xludf.DUMMYFUNCTION("GOOGLETRANSLATE(A37245, ""de"", ""en"")"),"to divide")</f>
        <v>to divide</v>
      </c>
    </row>
    <row r="37246">
      <c r="A37246" s="1" t="s">
        <v>37245</v>
      </c>
      <c r="B37246" s="2" t="str">
        <f>IFERROR(__xludf.DUMMYFUNCTION("GOOGLETRANSLATE(A37246, ""de"", ""en"")"),"yep")</f>
        <v>yep</v>
      </c>
    </row>
    <row r="37247">
      <c r="A37247" s="1" t="s">
        <v>37246</v>
      </c>
      <c r="B37247" s="2" t="str">
        <f>IFERROR(__xludf.DUMMYFUNCTION("GOOGLETRANSLATE(A37247, ""de"", ""en"")"),"beaufort")</f>
        <v>beaufort</v>
      </c>
    </row>
    <row r="37248">
      <c r="A37248" s="1" t="s">
        <v>37247</v>
      </c>
      <c r="B37248" s="2" t="str">
        <f>IFERROR(__xludf.DUMMYFUNCTION("GOOGLETRANSLATE(A37248, ""de"", ""en"")"),"lorena")</f>
        <v>lorena</v>
      </c>
    </row>
    <row r="37249">
      <c r="A37249" s="1" t="s">
        <v>37248</v>
      </c>
      <c r="B37249" s="2" t="str">
        <f>IFERROR(__xludf.DUMMYFUNCTION("GOOGLETRANSLATE(A37249, ""de"", ""en"")"),"recently")</f>
        <v>recently</v>
      </c>
    </row>
    <row r="37250">
      <c r="A37250" s="1" t="s">
        <v>37249</v>
      </c>
      <c r="B37250" s="2" t="str">
        <f>IFERROR(__xludf.DUMMYFUNCTION("GOOGLETRANSLATE(A37250, ""de"", ""en"")"),"research work")</f>
        <v>research work</v>
      </c>
    </row>
    <row r="37251">
      <c r="A37251" s="1" t="s">
        <v>37250</v>
      </c>
      <c r="B37251" s="2" t="str">
        <f>IFERROR(__xludf.DUMMYFUNCTION("GOOGLETRANSLATE(A37251, ""de"", ""en"")"),"markov")</f>
        <v>markov</v>
      </c>
    </row>
    <row r="37252">
      <c r="A37252" s="1" t="s">
        <v>37251</v>
      </c>
      <c r="B37252" s="2" t="str">
        <f>IFERROR(__xludf.DUMMYFUNCTION("GOOGLETRANSLATE(A37252, ""de"", ""en"")"),"Roddy")</f>
        <v>Roddy</v>
      </c>
    </row>
    <row r="37253">
      <c r="A37253" s="1" t="s">
        <v>37252</v>
      </c>
      <c r="B37253" s="2" t="str">
        <f>IFERROR(__xludf.DUMMYFUNCTION("GOOGLETRANSLATE(A37253, ""de"", ""en"")"),"lamborghini")</f>
        <v>lamborghini</v>
      </c>
    </row>
    <row r="37254">
      <c r="A37254" s="1" t="s">
        <v>37253</v>
      </c>
      <c r="B37254" s="2" t="str">
        <f>IFERROR(__xludf.DUMMYFUNCTION("GOOGLETRANSLATE(A37254, ""de"", ""en"")"),"separated")</f>
        <v>separated</v>
      </c>
    </row>
    <row r="37255">
      <c r="A37255" s="1" t="s">
        <v>37254</v>
      </c>
      <c r="B37255" s="2" t="str">
        <f>IFERROR(__xludf.DUMMYFUNCTION("GOOGLETRANSLATE(A37255, ""de"", ""en"")"),"sixes")</f>
        <v>sixes</v>
      </c>
    </row>
    <row r="37256">
      <c r="A37256" s="1" t="s">
        <v>37255</v>
      </c>
      <c r="B37256" s="2" t="str">
        <f>IFERROR(__xludf.DUMMYFUNCTION("GOOGLETRANSLATE(A37256, ""de"", ""en"")"),"sunsets")</f>
        <v>sunsets</v>
      </c>
    </row>
    <row r="37257">
      <c r="A37257" s="1" t="s">
        <v>37256</v>
      </c>
      <c r="B37257" s="2" t="str">
        <f>IFERROR(__xludf.DUMMYFUNCTION("GOOGLETRANSLATE(A37257, ""de"", ""en"")"),"strive")</f>
        <v>strive</v>
      </c>
    </row>
    <row r="37258">
      <c r="A37258" s="1" t="s">
        <v>37257</v>
      </c>
      <c r="B37258" s="2" t="str">
        <f>IFERROR(__xludf.DUMMYFUNCTION("GOOGLETRANSLATE(A37258, ""de"", ""en"")"),"absolutely")</f>
        <v>absolutely</v>
      </c>
    </row>
    <row r="37259">
      <c r="A37259" s="1" t="s">
        <v>37258</v>
      </c>
      <c r="B37259" s="2" t="str">
        <f>IFERROR(__xludf.DUMMYFUNCTION("GOOGLETRANSLATE(A37259, ""de"", ""en"")"),"telescope")</f>
        <v>telescope</v>
      </c>
    </row>
    <row r="37260">
      <c r="A37260" s="1" t="s">
        <v>37259</v>
      </c>
      <c r="B37260" s="2" t="str">
        <f>IFERROR(__xludf.DUMMYFUNCTION("GOOGLETRANSLATE(A37260, ""de"", ""en"")"),"maximum punishment")</f>
        <v>maximum punishment</v>
      </c>
    </row>
    <row r="37261">
      <c r="A37261" s="1" t="s">
        <v>37260</v>
      </c>
      <c r="B37261" s="2" t="str">
        <f>IFERROR(__xludf.DUMMYFUNCTION("GOOGLETRANSLATE(A37261, ""de"", ""en"")"),"fellow")</f>
        <v>fellow</v>
      </c>
    </row>
    <row r="37262">
      <c r="A37262" s="1" t="s">
        <v>37261</v>
      </c>
      <c r="B37262" s="2" t="str">
        <f>IFERROR(__xludf.DUMMYFUNCTION("GOOGLETRANSLATE(A37262, ""de"", ""en"")"),"acne")</f>
        <v>acne</v>
      </c>
    </row>
    <row r="37263">
      <c r="A37263" s="1" t="s">
        <v>37262</v>
      </c>
      <c r="B37263" s="2" t="str">
        <f>IFERROR(__xludf.DUMMYFUNCTION("GOOGLETRANSLATE(A37263, ""de"", ""en"")"),"worn")</f>
        <v>worn</v>
      </c>
    </row>
    <row r="37264">
      <c r="A37264" s="1" t="s">
        <v>37263</v>
      </c>
      <c r="B37264" s="2" t="str">
        <f>IFERROR(__xludf.DUMMYFUNCTION("GOOGLETRANSLATE(A37264, ""de"", ""en"")"),"yar")</f>
        <v>yar</v>
      </c>
    </row>
    <row r="37265">
      <c r="A37265" s="1" t="s">
        <v>37264</v>
      </c>
      <c r="B37265" s="2" t="str">
        <f>IFERROR(__xludf.DUMMYFUNCTION("GOOGLETRANSLATE(A37265, ""de"", ""en"")"),"rohypnol")</f>
        <v>rohypnol</v>
      </c>
    </row>
    <row r="37266">
      <c r="A37266" s="1" t="s">
        <v>37265</v>
      </c>
      <c r="B37266" s="2" t="str">
        <f>IFERROR(__xludf.DUMMYFUNCTION("GOOGLETRANSLATE(A37266, ""de"", ""en"")"),"got around")</f>
        <v>got around</v>
      </c>
    </row>
    <row r="37267">
      <c r="A37267" s="1" t="s">
        <v>37266</v>
      </c>
      <c r="B37267" s="2" t="str">
        <f>IFERROR(__xludf.DUMMYFUNCTION("GOOGLETRANSLATE(A37267, ""de"", ""en"")"),"do")</f>
        <v>do</v>
      </c>
    </row>
    <row r="37268">
      <c r="A37268" s="1" t="s">
        <v>37267</v>
      </c>
      <c r="B37268" s="2" t="str">
        <f>IFERROR(__xludf.DUMMYFUNCTION("GOOGLETRANSLATE(A37268, ""de"", ""en"")"),"perpetrators")</f>
        <v>perpetrators</v>
      </c>
    </row>
    <row r="37269">
      <c r="A37269" s="1" t="s">
        <v>37268</v>
      </c>
      <c r="B37269" s="2" t="str">
        <f>IFERROR(__xludf.DUMMYFUNCTION("GOOGLETRANSLATE(A37269, ""de"", ""en"")"),"challenges")</f>
        <v>challenges</v>
      </c>
    </row>
    <row r="37270">
      <c r="A37270" s="1" t="s">
        <v>37269</v>
      </c>
      <c r="B37270" s="2" t="str">
        <f>IFERROR(__xludf.DUMMYFUNCTION("GOOGLETRANSLATE(A37270, ""de"", ""en"")"),"pharaohs")</f>
        <v>pharaohs</v>
      </c>
    </row>
    <row r="37271">
      <c r="A37271" s="1" t="s">
        <v>37270</v>
      </c>
      <c r="B37271" s="2" t="str">
        <f>IFERROR(__xludf.DUMMYFUNCTION("GOOGLETRANSLATE(A37271, ""de"", ""en"")"),"Earth's atmosphere")</f>
        <v>Earth's atmosphere</v>
      </c>
    </row>
    <row r="37272">
      <c r="A37272" s="1" t="s">
        <v>37271</v>
      </c>
      <c r="B37272" s="2" t="str">
        <f>IFERROR(__xludf.DUMMYFUNCTION("GOOGLETRANSLATE(A37272, ""de"", ""en"")"),"mamba")</f>
        <v>mamba</v>
      </c>
    </row>
    <row r="37273">
      <c r="A37273" s="1" t="s">
        <v>37272</v>
      </c>
      <c r="B37273" s="2" t="str">
        <f>IFERROR(__xludf.DUMMYFUNCTION("GOOGLETRANSLATE(A37273, ""de"", ""en"")"),"shocks")</f>
        <v>shocks</v>
      </c>
    </row>
    <row r="37274">
      <c r="A37274" s="1" t="s">
        <v>37273</v>
      </c>
      <c r="B37274" s="2" t="str">
        <f>IFERROR(__xludf.DUMMYFUNCTION("GOOGLETRANSLATE(A37274, ""de"", ""en"")"),"belly")</f>
        <v>belly</v>
      </c>
    </row>
    <row r="37275">
      <c r="A37275" s="1" t="s">
        <v>37274</v>
      </c>
      <c r="B37275" s="2" t="str">
        <f>IFERROR(__xludf.DUMMYFUNCTION("GOOGLETRANSLATE(A37275, ""de"", ""en"")"),"nba")</f>
        <v>nba</v>
      </c>
    </row>
    <row r="37276">
      <c r="A37276" s="1" t="s">
        <v>37275</v>
      </c>
      <c r="B37276" s="2" t="str">
        <f>IFERROR(__xludf.DUMMYFUNCTION("GOOGLETRANSLATE(A37276, ""de"", ""en"")"),"cilly")</f>
        <v>cilly</v>
      </c>
    </row>
    <row r="37277">
      <c r="A37277" s="1" t="s">
        <v>37276</v>
      </c>
      <c r="B37277" s="2" t="str">
        <f>IFERROR(__xludf.DUMMYFUNCTION("GOOGLETRANSLATE(A37277, ""de"", ""en"")"),"yumi")</f>
        <v>yumi</v>
      </c>
    </row>
    <row r="37278">
      <c r="A37278" s="1" t="s">
        <v>37277</v>
      </c>
      <c r="B37278" s="2" t="str">
        <f>IFERROR(__xludf.DUMMYFUNCTION("GOOGLETRANSLATE(A37278, ""de"", ""en"")"),"sticky")</f>
        <v>sticky</v>
      </c>
    </row>
    <row r="37279">
      <c r="A37279" s="1" t="s">
        <v>37278</v>
      </c>
      <c r="B37279" s="2" t="str">
        <f>IFERROR(__xludf.DUMMYFUNCTION("GOOGLETRANSLATE(A37279, ""de"", ""en"")"),"jean marc")</f>
        <v>jean marc</v>
      </c>
    </row>
    <row r="37280">
      <c r="A37280" s="1" t="s">
        <v>37279</v>
      </c>
      <c r="B37280" s="2" t="str">
        <f>IFERROR(__xludf.DUMMYFUNCTION("GOOGLETRANSLATE(A37280, ""de"", ""en"")"),"jeannette")</f>
        <v>jeannette</v>
      </c>
    </row>
    <row r="37281">
      <c r="A37281" s="1" t="s">
        <v>37280</v>
      </c>
      <c r="B37281" s="2" t="str">
        <f>IFERROR(__xludf.DUMMYFUNCTION("GOOGLETRANSLATE(A37281, ""de"", ""en"")"),"charm")</f>
        <v>charm</v>
      </c>
    </row>
    <row r="37282">
      <c r="A37282" s="1" t="s">
        <v>37281</v>
      </c>
      <c r="B37282" s="2" t="str">
        <f>IFERROR(__xludf.DUMMYFUNCTION("GOOGLETRANSLATE(A37282, ""de"", ""en"")"),"chew")</f>
        <v>chew</v>
      </c>
    </row>
    <row r="37283">
      <c r="A37283" s="1" t="s">
        <v>37282</v>
      </c>
      <c r="B37283" s="2" t="str">
        <f>IFERROR(__xludf.DUMMYFUNCTION("GOOGLETRANSLATE(A37283, ""de"", ""en"")"),"opus")</f>
        <v>opus</v>
      </c>
    </row>
    <row r="37284">
      <c r="A37284" s="1" t="s">
        <v>37283</v>
      </c>
      <c r="B37284" s="2" t="str">
        <f>IFERROR(__xludf.DUMMYFUNCTION("GOOGLETRANSLATE(A37284, ""de"", ""en"")"),"to introduce")</f>
        <v>to introduce</v>
      </c>
    </row>
    <row r="37285">
      <c r="A37285" s="1" t="s">
        <v>37284</v>
      </c>
      <c r="B37285" s="2" t="str">
        <f>IFERROR(__xludf.DUMMYFUNCTION("GOOGLETRANSLATE(A37285, ""de"", ""en"")"),"commander")</f>
        <v>commander</v>
      </c>
    </row>
    <row r="37286">
      <c r="A37286" s="1" t="s">
        <v>37285</v>
      </c>
      <c r="B37286" s="2" t="str">
        <f>IFERROR(__xludf.DUMMYFUNCTION("GOOGLETRANSLATE(A37286, ""de"", ""en"")"),"emergency vehicle")</f>
        <v>emergency vehicle</v>
      </c>
    </row>
    <row r="37287">
      <c r="A37287" s="1" t="s">
        <v>37286</v>
      </c>
      <c r="B37287" s="2" t="str">
        <f>IFERROR(__xludf.DUMMYFUNCTION("GOOGLETRANSLATE(A37287, ""de"", ""en"")"),"most famous")</f>
        <v>most famous</v>
      </c>
    </row>
    <row r="37288">
      <c r="A37288" s="1" t="s">
        <v>37287</v>
      </c>
      <c r="B37288" s="2" t="str">
        <f>IFERROR(__xludf.DUMMYFUNCTION("GOOGLETRANSLATE(A37288, ""de"", ""en"")"),"curie")</f>
        <v>curie</v>
      </c>
    </row>
    <row r="37289">
      <c r="A37289" s="1" t="s">
        <v>37288</v>
      </c>
      <c r="B37289" s="2" t="str">
        <f>IFERROR(__xludf.DUMMYFUNCTION("GOOGLETRANSLATE(A37289, ""de"", ""en"")"),"cuts off")</f>
        <v>cuts off</v>
      </c>
    </row>
    <row r="37290">
      <c r="A37290" s="1" t="s">
        <v>37289</v>
      </c>
      <c r="B37290" s="2" t="str">
        <f>IFERROR(__xludf.DUMMYFUNCTION("GOOGLETRANSLATE(A37290, ""de"", ""en"")"),"took")</f>
        <v>took</v>
      </c>
    </row>
    <row r="37291">
      <c r="A37291" s="1" t="s">
        <v>37290</v>
      </c>
      <c r="B37291" s="2" t="str">
        <f>IFERROR(__xludf.DUMMYFUNCTION("GOOGLETRANSLATE(A37291, ""de"", ""en"")"),"superior")</f>
        <v>superior</v>
      </c>
    </row>
    <row r="37292">
      <c r="A37292" s="1" t="s">
        <v>37291</v>
      </c>
      <c r="B37292" s="2" t="str">
        <f>IFERROR(__xludf.DUMMYFUNCTION("GOOGLETRANSLATE(A37292, ""de"", ""en"")"),"goody")</f>
        <v>goody</v>
      </c>
    </row>
    <row r="37293">
      <c r="A37293" s="1" t="s">
        <v>37292</v>
      </c>
      <c r="B37293" s="2" t="str">
        <f>IFERROR(__xludf.DUMMYFUNCTION("GOOGLETRANSLATE(A37293, ""de"", ""en"")"),"plastic")</f>
        <v>plastic</v>
      </c>
    </row>
    <row r="37294">
      <c r="A37294" s="1" t="s">
        <v>37293</v>
      </c>
      <c r="B37294" s="2" t="str">
        <f>IFERROR(__xludf.DUMMYFUNCTION("GOOGLETRANSLATE(A37294, ""de"", ""en"")"),"relics")</f>
        <v>relics</v>
      </c>
    </row>
    <row r="37295">
      <c r="A37295" s="1" t="s">
        <v>37294</v>
      </c>
      <c r="B37295" s="2" t="str">
        <f>IFERROR(__xludf.DUMMYFUNCTION("GOOGLETRANSLATE(A37295, ""de"", ""en"")"),"buttoned up")</f>
        <v>buttoned up</v>
      </c>
    </row>
    <row r="37296">
      <c r="A37296" s="1" t="s">
        <v>37295</v>
      </c>
      <c r="B37296" s="2" t="str">
        <f>IFERROR(__xludf.DUMMYFUNCTION("GOOGLETRANSLATE(A37296, ""de"", ""en"")"),"kamal")</f>
        <v>kamal</v>
      </c>
    </row>
    <row r="37297">
      <c r="A37297" s="1" t="s">
        <v>37296</v>
      </c>
      <c r="B37297" s="2" t="str">
        <f>IFERROR(__xludf.DUMMYFUNCTION("GOOGLETRANSLATE(A37297, ""de"", ""en"")"),"interdicted")</f>
        <v>interdicted</v>
      </c>
    </row>
    <row r="37298">
      <c r="A37298" s="1" t="s">
        <v>37297</v>
      </c>
      <c r="B37298" s="2" t="str">
        <f>IFERROR(__xludf.DUMMYFUNCTION("GOOGLETRANSLATE(A37298, ""de"", ""en"")"),"avenue")</f>
        <v>avenue</v>
      </c>
    </row>
    <row r="37299">
      <c r="A37299" s="1" t="s">
        <v>37298</v>
      </c>
      <c r="B37299" s="2" t="str">
        <f>IFERROR(__xludf.DUMMYFUNCTION("GOOGLETRANSLATE(A37299, ""de"", ""en"")"),"inspired")</f>
        <v>inspired</v>
      </c>
    </row>
    <row r="37300">
      <c r="A37300" s="1" t="s">
        <v>37299</v>
      </c>
      <c r="B37300" s="2" t="str">
        <f>IFERROR(__xludf.DUMMYFUNCTION("GOOGLETRANSLATE(A37300, ""de"", ""en"")"),"sociable")</f>
        <v>sociable</v>
      </c>
    </row>
    <row r="37301">
      <c r="A37301" s="1" t="s">
        <v>37300</v>
      </c>
      <c r="B37301" s="2" t="str">
        <f>IFERROR(__xludf.DUMMYFUNCTION("GOOGLETRANSLATE(A37301, ""de"", ""en"")"),"stand by")</f>
        <v>stand by</v>
      </c>
    </row>
    <row r="37302">
      <c r="A37302" s="1" t="s">
        <v>37301</v>
      </c>
      <c r="B37302" s="2" t="str">
        <f>IFERROR(__xludf.DUMMYFUNCTION("GOOGLETRANSLATE(A37302, ""de"", ""en"")"),"Indian")</f>
        <v>Indian</v>
      </c>
    </row>
    <row r="37303">
      <c r="A37303" s="1" t="s">
        <v>37302</v>
      </c>
      <c r="B37303" s="2" t="str">
        <f>IFERROR(__xludf.DUMMYFUNCTION("GOOGLETRANSLATE(A37303, ""de"", ""en"")"),"integrated")</f>
        <v>integrated</v>
      </c>
    </row>
    <row r="37304">
      <c r="A37304" s="1" t="s">
        <v>37303</v>
      </c>
      <c r="B37304" s="2" t="str">
        <f>IFERROR(__xludf.DUMMYFUNCTION("GOOGLETRANSLATE(A37304, ""de"", ""en"")"),"reconstructed")</f>
        <v>reconstructed</v>
      </c>
    </row>
    <row r="37305">
      <c r="A37305" s="1" t="s">
        <v>37304</v>
      </c>
      <c r="B37305" s="2" t="str">
        <f>IFERROR(__xludf.DUMMYFUNCTION("GOOGLETRANSLATE(A37305, ""de"", ""en"")"),"ridges")</f>
        <v>ridges</v>
      </c>
    </row>
    <row r="37306">
      <c r="A37306" s="1" t="s">
        <v>37305</v>
      </c>
      <c r="B37306" s="2" t="str">
        <f>IFERROR(__xludf.DUMMYFUNCTION("GOOGLETRANSLATE(A37306, ""de"", ""en"")"),"concubines")</f>
        <v>concubines</v>
      </c>
    </row>
    <row r="37307">
      <c r="A37307" s="1" t="s">
        <v>37306</v>
      </c>
      <c r="B37307" s="2" t="str">
        <f>IFERROR(__xludf.DUMMYFUNCTION("GOOGLETRANSLATE(A37307, ""de"", ""en"")"),"restrictions")</f>
        <v>restrictions</v>
      </c>
    </row>
    <row r="37308">
      <c r="A37308" s="1" t="s">
        <v>37307</v>
      </c>
      <c r="B37308" s="2" t="str">
        <f>IFERROR(__xludf.DUMMYFUNCTION("GOOGLETRANSLATE(A37308, ""de"", ""en"")"),"to light")</f>
        <v>to light</v>
      </c>
    </row>
    <row r="37309">
      <c r="A37309" s="1" t="s">
        <v>37308</v>
      </c>
      <c r="B37309" s="2" t="str">
        <f>IFERROR(__xludf.DUMMYFUNCTION("GOOGLETRANSLATE(A37309, ""de"", ""en"")"),"drinks")</f>
        <v>drinks</v>
      </c>
    </row>
    <row r="37310">
      <c r="A37310" s="1" t="s">
        <v>37309</v>
      </c>
      <c r="B37310" s="2" t="str">
        <f>IFERROR(__xludf.DUMMYFUNCTION("GOOGLETRANSLATE(A37310, ""de"", ""en"")"),"research")</f>
        <v>research</v>
      </c>
    </row>
    <row r="37311">
      <c r="A37311" s="1" t="s">
        <v>37310</v>
      </c>
      <c r="B37311" s="2" t="str">
        <f>IFERROR(__xludf.DUMMYFUNCTION("GOOGLETRANSLATE(A37311, ""de"", ""en"")"),"rosemarie")</f>
        <v>rosemarie</v>
      </c>
    </row>
    <row r="37312">
      <c r="A37312" s="1" t="s">
        <v>37311</v>
      </c>
      <c r="B37312" s="2" t="str">
        <f>IFERROR(__xludf.DUMMYFUNCTION("GOOGLETRANSLATE(A37312, ""de"", ""en"")"),"aristocrats")</f>
        <v>aristocrats</v>
      </c>
    </row>
    <row r="37313">
      <c r="A37313" s="1" t="s">
        <v>37312</v>
      </c>
      <c r="B37313" s="2" t="str">
        <f>IFERROR(__xludf.DUMMYFUNCTION("GOOGLETRANSLATE(A37313, ""de"", ""en"")"),"grounder")</f>
        <v>grounder</v>
      </c>
    </row>
    <row r="37314">
      <c r="A37314" s="1" t="s">
        <v>37313</v>
      </c>
      <c r="B37314" s="2" t="str">
        <f>IFERROR(__xludf.DUMMYFUNCTION("GOOGLETRANSLATE(A37314, ""de"", ""en"")"),"pritchett")</f>
        <v>pritchett</v>
      </c>
    </row>
    <row r="37315">
      <c r="A37315" s="1" t="s">
        <v>37314</v>
      </c>
      <c r="B37315" s="2" t="str">
        <f>IFERROR(__xludf.DUMMYFUNCTION("GOOGLETRANSLATE(A37315, ""de"", ""en"")"),"Clarisse")</f>
        <v>Clarisse</v>
      </c>
    </row>
    <row r="37316">
      <c r="A37316" s="1" t="s">
        <v>37315</v>
      </c>
      <c r="B37316" s="2" t="str">
        <f>IFERROR(__xludf.DUMMYFUNCTION("GOOGLETRANSLATE(A37316, ""de"", ""en"")"),"central")</f>
        <v>central</v>
      </c>
    </row>
    <row r="37317">
      <c r="A37317" s="1" t="s">
        <v>37316</v>
      </c>
      <c r="B37317" s="2" t="str">
        <f>IFERROR(__xludf.DUMMYFUNCTION("GOOGLETRANSLATE(A37317, ""de"", ""en"")"),"riverbed")</f>
        <v>riverbed</v>
      </c>
    </row>
    <row r="37318">
      <c r="A37318" s="1" t="s">
        <v>37317</v>
      </c>
      <c r="B37318" s="2" t="str">
        <f>IFERROR(__xludf.DUMMYFUNCTION("GOOGLETRANSLATE(A37318, ""de"", ""en"")"),"stress")</f>
        <v>stress</v>
      </c>
    </row>
    <row r="37319">
      <c r="A37319" s="1" t="s">
        <v>37318</v>
      </c>
      <c r="B37319" s="2" t="str">
        <f>IFERROR(__xludf.DUMMYFUNCTION("GOOGLETRANSLATE(A37319, ""de"", ""en"")"),"symbolic")</f>
        <v>symbolic</v>
      </c>
    </row>
    <row r="37320">
      <c r="A37320" s="1" t="s">
        <v>37319</v>
      </c>
      <c r="B37320" s="2" t="str">
        <f>IFERROR(__xludf.DUMMYFUNCTION("GOOGLETRANSLATE(A37320, ""de"", ""en"")"),"aris")</f>
        <v>aris</v>
      </c>
    </row>
    <row r="37321">
      <c r="A37321" s="1" t="s">
        <v>37320</v>
      </c>
      <c r="B37321" s="2" t="str">
        <f>IFERROR(__xludf.DUMMYFUNCTION("GOOGLETRANSLATE(A37321, ""de"", ""en"")"),"metal detector")</f>
        <v>metal detector</v>
      </c>
    </row>
    <row r="37322">
      <c r="A37322" s="1" t="s">
        <v>37321</v>
      </c>
      <c r="B37322" s="2" t="str">
        <f>IFERROR(__xludf.DUMMYFUNCTION("GOOGLETRANSLATE(A37322, ""de"", ""en"")"),"peace treaty")</f>
        <v>peace treaty</v>
      </c>
    </row>
    <row r="37323">
      <c r="A37323" s="1" t="s">
        <v>37322</v>
      </c>
      <c r="B37323" s="2" t="str">
        <f>IFERROR(__xludf.DUMMYFUNCTION("GOOGLETRANSLATE(A37323, ""de"", ""en"")"),"farmer")</f>
        <v>farmer</v>
      </c>
    </row>
    <row r="37324">
      <c r="A37324" s="1" t="s">
        <v>37323</v>
      </c>
      <c r="B37324" s="2" t="str">
        <f>IFERROR(__xludf.DUMMYFUNCTION("GOOGLETRANSLATE(A37324, ""de"", ""en"")"),"dartmouth")</f>
        <v>dartmouth</v>
      </c>
    </row>
    <row r="37325">
      <c r="A37325" s="1" t="s">
        <v>37324</v>
      </c>
      <c r="B37325" s="2" t="str">
        <f>IFERROR(__xludf.DUMMYFUNCTION("GOOGLETRANSLATE(A37325, ""de"", ""en"")"),"iso")</f>
        <v>iso</v>
      </c>
    </row>
    <row r="37326">
      <c r="A37326" s="1" t="s">
        <v>37325</v>
      </c>
      <c r="B37326" s="2" t="str">
        <f>IFERROR(__xludf.DUMMYFUNCTION("GOOGLETRANSLATE(A37326, ""de"", ""en"")"),"Hokkaido")</f>
        <v>Hokkaido</v>
      </c>
    </row>
    <row r="37327">
      <c r="A37327" s="1" t="s">
        <v>37326</v>
      </c>
      <c r="B37327" s="2" t="str">
        <f>IFERROR(__xludf.DUMMYFUNCTION("GOOGLETRANSLATE(A37327, ""de"", ""en"")"),"more impossible")</f>
        <v>more impossible</v>
      </c>
    </row>
    <row r="37328">
      <c r="A37328" s="1" t="s">
        <v>37327</v>
      </c>
      <c r="B37328" s="2" t="str">
        <f>IFERROR(__xludf.DUMMYFUNCTION("GOOGLETRANSLATE(A37328, ""de"", ""en"")"),"South Pacific")</f>
        <v>South Pacific</v>
      </c>
    </row>
    <row r="37329">
      <c r="A37329" s="1" t="s">
        <v>37328</v>
      </c>
      <c r="B37329" s="2" t="str">
        <f>IFERROR(__xludf.DUMMYFUNCTION("GOOGLETRANSLATE(A37329, ""de"", ""en"")"),"depended")</f>
        <v>depended</v>
      </c>
    </row>
    <row r="37330">
      <c r="A37330" s="1" t="s">
        <v>37329</v>
      </c>
      <c r="B37330" s="2" t="str">
        <f>IFERROR(__xludf.DUMMYFUNCTION("GOOGLETRANSLATE(A37330, ""de"", ""en"")"),"sensitive")</f>
        <v>sensitive</v>
      </c>
    </row>
    <row r="37331">
      <c r="A37331" s="1" t="s">
        <v>37330</v>
      </c>
      <c r="B37331" s="2" t="str">
        <f>IFERROR(__xludf.DUMMYFUNCTION("GOOGLETRANSLATE(A37331, ""de"", ""en"")"),"athelstan")</f>
        <v>athelstan</v>
      </c>
    </row>
    <row r="37332">
      <c r="A37332" s="1" t="s">
        <v>37331</v>
      </c>
      <c r="B37332" s="2" t="str">
        <f>IFERROR(__xludf.DUMMYFUNCTION("GOOGLETRANSLATE(A37332, ""de"", ""en"")"),"familiarity")</f>
        <v>familiarity</v>
      </c>
    </row>
    <row r="37333">
      <c r="A37333" s="1" t="s">
        <v>37332</v>
      </c>
      <c r="B37333" s="2" t="str">
        <f>IFERROR(__xludf.DUMMYFUNCTION("GOOGLETRANSLATE(A37333, ""de"", ""en"")"),"gouged out")</f>
        <v>gouged out</v>
      </c>
    </row>
    <row r="37334">
      <c r="A37334" s="1" t="s">
        <v>37333</v>
      </c>
      <c r="B37334" s="2" t="str">
        <f>IFERROR(__xludf.DUMMYFUNCTION("GOOGLETRANSLATE(A37334, ""de"", ""en"")"),"targaryen")</f>
        <v>targaryen</v>
      </c>
    </row>
    <row r="37335">
      <c r="A37335" s="1" t="s">
        <v>37334</v>
      </c>
      <c r="B37335" s="2" t="str">
        <f>IFERROR(__xludf.DUMMYFUNCTION("GOOGLETRANSLATE(A37335, ""de"", ""en"")"),"fed")</f>
        <v>fed</v>
      </c>
    </row>
    <row r="37336">
      <c r="A37336" s="1" t="s">
        <v>37335</v>
      </c>
      <c r="B37336" s="2" t="str">
        <f>IFERROR(__xludf.DUMMYFUNCTION("GOOGLETRANSLATE(A37336, ""de"", ""en"")"),"gelula")</f>
        <v>gelula</v>
      </c>
    </row>
    <row r="37337">
      <c r="A37337" s="1" t="s">
        <v>37336</v>
      </c>
      <c r="B37337" s="2" t="str">
        <f>IFERROR(__xludf.DUMMYFUNCTION("GOOGLETRANSLATE(A37337, ""de"", ""en"")"),"deigned")</f>
        <v>deigned</v>
      </c>
    </row>
    <row r="37338">
      <c r="A37338" s="1" t="s">
        <v>37337</v>
      </c>
      <c r="B37338" s="2" t="str">
        <f>IFERROR(__xludf.DUMMYFUNCTION("GOOGLETRANSLATE(A37338, ""de"", ""en"")"),"2o")</f>
        <v>2o</v>
      </c>
    </row>
    <row r="37339">
      <c r="A37339" s="1" t="s">
        <v>37338</v>
      </c>
      <c r="B37339" s="2" t="str">
        <f>IFERROR(__xludf.DUMMYFUNCTION("GOOGLETRANSLATE(A37339, ""de"", ""en"")"),"mental")</f>
        <v>mental</v>
      </c>
    </row>
    <row r="37340">
      <c r="A37340" s="1" t="s">
        <v>37339</v>
      </c>
      <c r="B37340" s="2" t="str">
        <f>IFERROR(__xludf.DUMMYFUNCTION("GOOGLETRANSLATE(A37340, ""de"", ""en"")"),"vijay")</f>
        <v>vijay</v>
      </c>
    </row>
    <row r="37341">
      <c r="A37341" s="1" t="s">
        <v>37340</v>
      </c>
      <c r="B37341" s="2" t="str">
        <f>IFERROR(__xludf.DUMMYFUNCTION("GOOGLETRANSLATE(A37341, ""de"", ""en"")"),"house high")</f>
        <v>house high</v>
      </c>
    </row>
    <row r="37342">
      <c r="A37342" s="1" t="s">
        <v>37341</v>
      </c>
      <c r="B37342" s="2" t="str">
        <f>IFERROR(__xludf.DUMMYFUNCTION("GOOGLETRANSLATE(A37342, ""de"", ""en"")"),"hear")</f>
        <v>hear</v>
      </c>
    </row>
    <row r="37343">
      <c r="A37343" s="1" t="s">
        <v>37342</v>
      </c>
      <c r="B37343" s="2" t="str">
        <f>IFERROR(__xludf.DUMMYFUNCTION("GOOGLETRANSLATE(A37343, ""de"", ""en"")"),"abscess")</f>
        <v>abscess</v>
      </c>
    </row>
    <row r="37344">
      <c r="A37344" s="1" t="s">
        <v>37343</v>
      </c>
      <c r="B37344" s="2" t="str">
        <f>IFERROR(__xludf.DUMMYFUNCTION("GOOGLETRANSLATE(A37344, ""de"", ""en"")"),"punctures")</f>
        <v>punctures</v>
      </c>
    </row>
    <row r="37345">
      <c r="A37345" s="1" t="s">
        <v>37344</v>
      </c>
      <c r="B37345" s="2" t="str">
        <f>IFERROR(__xludf.DUMMYFUNCTION("GOOGLETRANSLATE(A37345, ""de"", ""en"")"),"barbarism")</f>
        <v>barbarism</v>
      </c>
    </row>
    <row r="37346">
      <c r="A37346" s="1" t="s">
        <v>37345</v>
      </c>
      <c r="B37346" s="2" t="str">
        <f>IFERROR(__xludf.DUMMYFUNCTION("GOOGLETRANSLATE(A37346, ""de"", ""en"")"),"cork")</f>
        <v>cork</v>
      </c>
    </row>
    <row r="37347">
      <c r="A37347" s="1" t="s">
        <v>37346</v>
      </c>
      <c r="B37347" s="2" t="str">
        <f>IFERROR(__xludf.DUMMYFUNCTION("GOOGLETRANSLATE(A37347, ""de"", ""en"")"),"orin")</f>
        <v>orin</v>
      </c>
    </row>
    <row r="37348">
      <c r="A37348" s="1" t="s">
        <v>37347</v>
      </c>
      <c r="B37348" s="2" t="str">
        <f>IFERROR(__xludf.DUMMYFUNCTION("GOOGLETRANSLATE(A37348, ""de"", ""en"")"),"runs")</f>
        <v>runs</v>
      </c>
    </row>
    <row r="37349">
      <c r="A37349" s="1" t="s">
        <v>37348</v>
      </c>
      <c r="B37349" s="2" t="str">
        <f>IFERROR(__xludf.DUMMYFUNCTION("GOOGLETRANSLATE(A37349, ""de"", ""en"")"),"in this country")</f>
        <v>in this country</v>
      </c>
    </row>
    <row r="37350">
      <c r="A37350" s="1" t="s">
        <v>37349</v>
      </c>
      <c r="B37350" s="2" t="str">
        <f>IFERROR(__xludf.DUMMYFUNCTION("GOOGLETRANSLATE(A37350, ""de"", ""en"")"),"nameless")</f>
        <v>nameless</v>
      </c>
    </row>
    <row r="37351">
      <c r="A37351" s="1" t="s">
        <v>37350</v>
      </c>
      <c r="B37351" s="2" t="str">
        <f>IFERROR(__xludf.DUMMYFUNCTION("GOOGLETRANSLATE(A37351, ""de"", ""en"")"),"distribute")</f>
        <v>distribute</v>
      </c>
    </row>
    <row r="37352">
      <c r="A37352" s="1" t="s">
        <v>37351</v>
      </c>
      <c r="B37352" s="2" t="str">
        <f>IFERROR(__xludf.DUMMYFUNCTION("GOOGLETRANSLATE(A37352, ""de"", ""en"")"),"wrecks")</f>
        <v>wrecks</v>
      </c>
    </row>
    <row r="37353">
      <c r="A37353" s="1" t="s">
        <v>37352</v>
      </c>
      <c r="B37353" s="2" t="str">
        <f>IFERROR(__xludf.DUMMYFUNCTION("GOOGLETRANSLATE(A37353, ""de"", ""en"")"),"pouted")</f>
        <v>pouted</v>
      </c>
    </row>
    <row r="37354">
      <c r="A37354" s="1" t="s">
        <v>37353</v>
      </c>
      <c r="B37354" s="2" t="str">
        <f>IFERROR(__xludf.DUMMYFUNCTION("GOOGLETRANSLATE(A37354, ""de"", ""en"")"),"like")</f>
        <v>like</v>
      </c>
    </row>
    <row r="37355">
      <c r="A37355" s="1" t="s">
        <v>37354</v>
      </c>
      <c r="B37355" s="2" t="str">
        <f>IFERROR(__xludf.DUMMYFUNCTION("GOOGLETRANSLATE(A37355, ""de"", ""en"")"),"tuhan")</f>
        <v>tuhan</v>
      </c>
    </row>
    <row r="37356">
      <c r="A37356" s="1" t="s">
        <v>37355</v>
      </c>
      <c r="B37356" s="2" t="str">
        <f>IFERROR(__xludf.DUMMYFUNCTION("GOOGLETRANSLATE(A37356, ""de"", ""en"")"),"illegitimate")</f>
        <v>illegitimate</v>
      </c>
    </row>
    <row r="37357">
      <c r="A37357" s="1" t="s">
        <v>37356</v>
      </c>
      <c r="B37357" s="2" t="str">
        <f>IFERROR(__xludf.DUMMYFUNCTION("GOOGLETRANSLATE(A37357, ""de"", ""en"")"),"pig")</f>
        <v>pig</v>
      </c>
    </row>
    <row r="37358">
      <c r="A37358" s="1" t="s">
        <v>37357</v>
      </c>
      <c r="B37358" s="2" t="str">
        <f>IFERROR(__xludf.DUMMYFUNCTION("GOOGLETRANSLATE(A37358, ""de"", ""en"")"),"assets")</f>
        <v>assets</v>
      </c>
    </row>
    <row r="37359">
      <c r="A37359" s="1" t="s">
        <v>37358</v>
      </c>
      <c r="B37359" s="2" t="str">
        <f>IFERROR(__xludf.DUMMYFUNCTION("GOOGLETRANSLATE(A37359, ""de"", ""en"")"),"more immortal")</f>
        <v>more immortal</v>
      </c>
    </row>
    <row r="37360">
      <c r="A37360" s="1" t="s">
        <v>37359</v>
      </c>
      <c r="B37360" s="2" t="str">
        <f>IFERROR(__xludf.DUMMYFUNCTION("GOOGLETRANSLATE(A37360, ""de"", ""en"")"),"chfbfa34")</f>
        <v>chfbfa34</v>
      </c>
    </row>
    <row r="37361">
      <c r="A37361" s="1" t="s">
        <v>37360</v>
      </c>
      <c r="B37361" s="2" t="str">
        <f>IFERROR(__xludf.DUMMYFUNCTION("GOOGLETRANSLATE(A37361, ""de"", ""en"")"),"oğuz")</f>
        <v>oğuz</v>
      </c>
    </row>
    <row r="37362">
      <c r="A37362" s="1" t="s">
        <v>37361</v>
      </c>
      <c r="B37362" s="2" t="str">
        <f>IFERROR(__xludf.DUMMYFUNCTION("GOOGLETRANSLATE(A37362, ""de"", ""en"")"),"more conceited")</f>
        <v>more conceited</v>
      </c>
    </row>
    <row r="37363">
      <c r="A37363" s="1" t="s">
        <v>37362</v>
      </c>
      <c r="B37363" s="2" t="str">
        <f>IFERROR(__xludf.DUMMYFUNCTION("GOOGLETRANSLATE(A37363, ""de"", ""en"")"),"prosecutors")</f>
        <v>prosecutors</v>
      </c>
    </row>
    <row r="37364">
      <c r="A37364" s="1" t="s">
        <v>37363</v>
      </c>
      <c r="B37364" s="2" t="str">
        <f>IFERROR(__xludf.DUMMYFUNCTION("GOOGLETRANSLATE(A37364, ""de"", ""en"")"),"embryo")</f>
        <v>embryo</v>
      </c>
    </row>
    <row r="37365">
      <c r="A37365" s="1" t="s">
        <v>37364</v>
      </c>
      <c r="B37365" s="2" t="str">
        <f>IFERROR(__xludf.DUMMYFUNCTION("GOOGLETRANSLATE(A37365, ""de"", ""en"")"),"acorn")</f>
        <v>acorn</v>
      </c>
    </row>
    <row r="37366">
      <c r="A37366" s="1" t="s">
        <v>37365</v>
      </c>
      <c r="B37366" s="2" t="str">
        <f>IFERROR(__xludf.DUMMYFUNCTION("GOOGLETRANSLATE(A37366, ""de"", ""en"")"),"thoughtlessly")</f>
        <v>thoughtlessly</v>
      </c>
    </row>
    <row r="37367">
      <c r="A37367" s="1" t="s">
        <v>37366</v>
      </c>
      <c r="B37367" s="2" t="str">
        <f>IFERROR(__xludf.DUMMYFUNCTION("GOOGLETRANSLATE(A37367, ""de"", ""en"")"),"junk")</f>
        <v>junk</v>
      </c>
    </row>
    <row r="37368">
      <c r="A37368" s="1" t="s">
        <v>37367</v>
      </c>
      <c r="B37368" s="2" t="str">
        <f>IFERROR(__xludf.DUMMYFUNCTION("GOOGLETRANSLATE(A37368, ""de"", ""en"")"),"metastases")</f>
        <v>metastases</v>
      </c>
    </row>
    <row r="37369">
      <c r="A37369" s="1" t="s">
        <v>37368</v>
      </c>
      <c r="B37369" s="2" t="str">
        <f>IFERROR(__xludf.DUMMYFUNCTION("GOOGLETRANSLATE(A37369, ""de"", ""en"")"),"lebron")</f>
        <v>lebron</v>
      </c>
    </row>
    <row r="37370">
      <c r="A37370" s="1" t="s">
        <v>37369</v>
      </c>
      <c r="B37370" s="2" t="str">
        <f>IFERROR(__xludf.DUMMYFUNCTION("GOOGLETRANSLATE(A37370, ""de"", ""en"")"),"Caroline")</f>
        <v>Caroline</v>
      </c>
    </row>
    <row r="37371">
      <c r="A37371" s="1" t="s">
        <v>37370</v>
      </c>
      <c r="B37371" s="2" t="str">
        <f>IFERROR(__xludf.DUMMYFUNCTION("GOOGLETRANSLATE(A37371, ""de"", ""en"")"),"dairy products")</f>
        <v>dairy products</v>
      </c>
    </row>
    <row r="37372">
      <c r="A37372" s="1" t="s">
        <v>37371</v>
      </c>
      <c r="B37372" s="2" t="str">
        <f>IFERROR(__xludf.DUMMYFUNCTION("GOOGLETRANSLATE(A37372, ""de"", ""en"")"),"error-free")</f>
        <v>error-free</v>
      </c>
    </row>
    <row r="37373">
      <c r="A37373" s="1" t="s">
        <v>37372</v>
      </c>
      <c r="B37373" s="2" t="str">
        <f>IFERROR(__xludf.DUMMYFUNCTION("GOOGLETRANSLATE(A37373, ""de"", ""en"")"),"greasier")</f>
        <v>greasier</v>
      </c>
    </row>
    <row r="37374">
      <c r="A37374" s="1" t="s">
        <v>37373</v>
      </c>
      <c r="B37374" s="2" t="str">
        <f>IFERROR(__xludf.DUMMYFUNCTION("GOOGLETRANSLATE(A37374, ""de"", ""en"")"),"timberlake")</f>
        <v>timberlake</v>
      </c>
    </row>
    <row r="37375">
      <c r="A37375" s="1" t="s">
        <v>37374</v>
      </c>
      <c r="B37375" s="2" t="str">
        <f>IFERROR(__xludf.DUMMYFUNCTION("GOOGLETRANSLATE(A37375, ""de"", ""en"")"),"packed")</f>
        <v>packed</v>
      </c>
    </row>
    <row r="37376">
      <c r="A37376" s="1" t="s">
        <v>37375</v>
      </c>
      <c r="B37376" s="2" t="str">
        <f>IFERROR(__xludf.DUMMYFUNCTION("GOOGLETRANSLATE(A37376, ""de"", ""en"")"),"calmed down")</f>
        <v>calmed down</v>
      </c>
    </row>
    <row r="37377">
      <c r="A37377" s="1" t="s">
        <v>37376</v>
      </c>
      <c r="B37377" s="2" t="str">
        <f>IFERROR(__xludf.DUMMYFUNCTION("GOOGLETRANSLATE(A37377, ""de"", ""en"")"),"superfluous")</f>
        <v>superfluous</v>
      </c>
    </row>
    <row r="37378">
      <c r="A37378" s="1" t="s">
        <v>37377</v>
      </c>
      <c r="B37378" s="2" t="str">
        <f>IFERROR(__xludf.DUMMYFUNCTION("GOOGLETRANSLATE(A37378, ""de"", ""en"")"),"ely")</f>
        <v>ely</v>
      </c>
    </row>
    <row r="37379">
      <c r="A37379" s="1" t="s">
        <v>37378</v>
      </c>
      <c r="B37379" s="2" t="str">
        <f>IFERROR(__xludf.DUMMYFUNCTION("GOOGLETRANSLATE(A37379, ""de"", ""en"")"),"claypool")</f>
        <v>claypool</v>
      </c>
    </row>
    <row r="37380">
      <c r="A37380" s="1" t="s">
        <v>37379</v>
      </c>
      <c r="B37380" s="2" t="str">
        <f>IFERROR(__xludf.DUMMYFUNCTION("GOOGLETRANSLATE(A37380, ""de"", ""en"")"),"most wonderful")</f>
        <v>most wonderful</v>
      </c>
    </row>
    <row r="37381">
      <c r="A37381" s="1" t="s">
        <v>37380</v>
      </c>
      <c r="B37381" s="2" t="str">
        <f>IFERROR(__xludf.DUMMYFUNCTION("GOOGLETRANSLATE(A37381, ""de"", ""en"")"),"cozy")</f>
        <v>cozy</v>
      </c>
    </row>
    <row r="37382">
      <c r="A37382" s="1" t="s">
        <v>37381</v>
      </c>
      <c r="B37382" s="2" t="str">
        <f>IFERROR(__xludf.DUMMYFUNCTION("GOOGLETRANSLATE(A37382, ""de"", ""en"")"),"stromberg")</f>
        <v>stromberg</v>
      </c>
    </row>
    <row r="37383">
      <c r="A37383" s="1" t="s">
        <v>37382</v>
      </c>
      <c r="B37383" s="2" t="str">
        <f>IFERROR(__xludf.DUMMYFUNCTION("GOOGLETRANSLATE(A37383, ""de"", ""en"")"),"sharper")</f>
        <v>sharper</v>
      </c>
    </row>
    <row r="37384">
      <c r="A37384" s="1" t="s">
        <v>37383</v>
      </c>
      <c r="B37384" s="2" t="str">
        <f>IFERROR(__xludf.DUMMYFUNCTION("GOOGLETRANSLATE(A37384, ""de"", ""en"")"),"containment field")</f>
        <v>containment field</v>
      </c>
    </row>
    <row r="37385">
      <c r="A37385" s="1" t="s">
        <v>37384</v>
      </c>
      <c r="B37385" s="2" t="str">
        <f>IFERROR(__xludf.DUMMYFUNCTION("GOOGLETRANSLATE(A37385, ""de"", ""en"")"),"vegetarian")</f>
        <v>vegetarian</v>
      </c>
    </row>
    <row r="37386">
      <c r="A37386" s="1" t="s">
        <v>37385</v>
      </c>
      <c r="B37386" s="2" t="str">
        <f>IFERROR(__xludf.DUMMYFUNCTION("GOOGLETRANSLATE(A37386, ""de"", ""en"")"),"long-term")</f>
        <v>long-term</v>
      </c>
    </row>
    <row r="37387">
      <c r="A37387" s="1" t="s">
        <v>37386</v>
      </c>
      <c r="B37387" s="2" t="str">
        <f>IFERROR(__xludf.DUMMYFUNCTION("GOOGLETRANSLATE(A37387, ""de"", ""en"")"),"fulci")</f>
        <v>fulci</v>
      </c>
    </row>
    <row r="37388">
      <c r="A37388" s="1" t="s">
        <v>37387</v>
      </c>
      <c r="B37388" s="2" t="str">
        <f>IFERROR(__xludf.DUMMYFUNCTION("GOOGLETRANSLATE(A37388, ""de"", ""en"")"),"s01e04")</f>
        <v>s01e04</v>
      </c>
    </row>
    <row r="37389">
      <c r="A37389" s="1" t="s">
        <v>37388</v>
      </c>
      <c r="B37389" s="2" t="str">
        <f>IFERROR(__xludf.DUMMYFUNCTION("GOOGLETRANSLATE(A37389, ""de"", ""en"")"),"scary")</f>
        <v>scary</v>
      </c>
    </row>
    <row r="37390">
      <c r="A37390" s="1" t="s">
        <v>37389</v>
      </c>
      <c r="B37390" s="2" t="str">
        <f>IFERROR(__xludf.DUMMYFUNCTION("GOOGLETRANSLATE(A37390, ""de"", ""en"")"),"train stations")</f>
        <v>train stations</v>
      </c>
    </row>
    <row r="37391">
      <c r="A37391" s="1" t="s">
        <v>37390</v>
      </c>
      <c r="B37391" s="2" t="str">
        <f>IFERROR(__xludf.DUMMYFUNCTION("GOOGLETRANSLATE(A37391, ""de"", ""en"")"),"welcome")</f>
        <v>welcome</v>
      </c>
    </row>
    <row r="37392">
      <c r="A37392" s="1" t="s">
        <v>37391</v>
      </c>
      <c r="B37392" s="2" t="str">
        <f>IFERROR(__xludf.DUMMYFUNCTION("GOOGLETRANSLATE(A37392, ""de"", ""en"")"),"worship")</f>
        <v>worship</v>
      </c>
    </row>
    <row r="37393">
      <c r="A37393" s="1" t="s">
        <v>37392</v>
      </c>
      <c r="B37393" s="2" t="str">
        <f>IFERROR(__xludf.DUMMYFUNCTION("GOOGLETRANSLATE(A37393, ""de"", ""en"")"),"simulator")</f>
        <v>simulator</v>
      </c>
    </row>
    <row r="37394">
      <c r="A37394" s="1" t="s">
        <v>37393</v>
      </c>
      <c r="B37394" s="2" t="str">
        <f>IFERROR(__xludf.DUMMYFUNCTION("GOOGLETRANSLATE(A37394, ""de"", ""en"")"),"to send back")</f>
        <v>to send back</v>
      </c>
    </row>
    <row r="37395">
      <c r="A37395" s="1" t="s">
        <v>37394</v>
      </c>
      <c r="B37395" s="2" t="str">
        <f>IFERROR(__xludf.DUMMYFUNCTION("GOOGLETRANSLATE(A37395, ""de"", ""en"")"),"midfield")</f>
        <v>midfield</v>
      </c>
    </row>
    <row r="37396">
      <c r="A37396" s="1" t="s">
        <v>37395</v>
      </c>
      <c r="B37396" s="2" t="str">
        <f>IFERROR(__xludf.DUMMYFUNCTION("GOOGLETRANSLATE(A37396, ""de"", ""en"")"),"to pay out")</f>
        <v>to pay out</v>
      </c>
    </row>
    <row r="37397">
      <c r="A37397" s="1" t="s">
        <v>37396</v>
      </c>
      <c r="B37397" s="2" t="str">
        <f>IFERROR(__xludf.DUMMYFUNCTION("GOOGLETRANSLATE(A37397, ""de"", ""en"")"),"leadership qualities")</f>
        <v>leadership qualities</v>
      </c>
    </row>
    <row r="37398">
      <c r="A37398" s="1" t="s">
        <v>37397</v>
      </c>
      <c r="B37398" s="2" t="str">
        <f>IFERROR(__xludf.DUMMYFUNCTION("GOOGLETRANSLATE(A37398, ""de"", ""en"")"),"take out")</f>
        <v>take out</v>
      </c>
    </row>
    <row r="37399">
      <c r="A37399" s="1" t="s">
        <v>37398</v>
      </c>
      <c r="B37399" s="2" t="str">
        <f>IFERROR(__xludf.DUMMYFUNCTION("GOOGLETRANSLATE(A37399, ""de"", ""en"")"),"turned around")</f>
        <v>turned around</v>
      </c>
    </row>
    <row r="37400">
      <c r="A37400" s="1" t="s">
        <v>37399</v>
      </c>
      <c r="B37400" s="2" t="str">
        <f>IFERROR(__xludf.DUMMYFUNCTION("GOOGLETRANSLATE(A37400, ""de"", ""en"")"),"kink")</f>
        <v>kink</v>
      </c>
    </row>
    <row r="37401">
      <c r="A37401" s="1" t="s">
        <v>37400</v>
      </c>
      <c r="B37401" s="2" t="str">
        <f>IFERROR(__xludf.DUMMYFUNCTION("GOOGLETRANSLATE(A37401, ""de"", ""en"")"),"Saukerl")</f>
        <v>Saukerl</v>
      </c>
    </row>
    <row r="37402">
      <c r="A37402" s="1" t="s">
        <v>37401</v>
      </c>
      <c r="B37402" s="2" t="str">
        <f>IFERROR(__xludf.DUMMYFUNCTION("GOOGLETRANSLATE(A37402, ""de"", ""en"")"),"base ship")</f>
        <v>base ship</v>
      </c>
    </row>
    <row r="37403">
      <c r="A37403" s="1" t="s">
        <v>37402</v>
      </c>
      <c r="B37403" s="2" t="str">
        <f>IFERROR(__xludf.DUMMYFUNCTION("GOOGLETRANSLATE(A37403, ""de"", ""en"")"),"sakura")</f>
        <v>sakura</v>
      </c>
    </row>
    <row r="37404">
      <c r="A37404" s="1" t="s">
        <v>37403</v>
      </c>
      <c r="B37404" s="2" t="str">
        <f>IFERROR(__xludf.DUMMYFUNCTION("GOOGLETRANSLATE(A37404, ""de"", ""en"")"),"chronos")</f>
        <v>chronos</v>
      </c>
    </row>
    <row r="37405">
      <c r="A37405" s="1" t="s">
        <v>37404</v>
      </c>
      <c r="B37405" s="2" t="str">
        <f>IFERROR(__xludf.DUMMYFUNCTION("GOOGLETRANSLATE(A37405, ""de"", ""en"")"),"halloran")</f>
        <v>halloran</v>
      </c>
    </row>
    <row r="37406">
      <c r="A37406" s="1" t="s">
        <v>37405</v>
      </c>
      <c r="B37406" s="2" t="str">
        <f>IFERROR(__xludf.DUMMYFUNCTION("GOOGLETRANSLATE(A37406, ""de"", ""en"")"),"Finny")</f>
        <v>Finny</v>
      </c>
    </row>
    <row r="37407">
      <c r="A37407" s="1" t="s">
        <v>37406</v>
      </c>
      <c r="B37407" s="2" t="str">
        <f>IFERROR(__xludf.DUMMYFUNCTION("GOOGLETRANSLATE(A37407, ""de"", ""en"")"),"sokar")</f>
        <v>sokar</v>
      </c>
    </row>
    <row r="37408">
      <c r="A37408" s="1" t="s">
        <v>37407</v>
      </c>
      <c r="B37408" s="2" t="str">
        <f>IFERROR(__xludf.DUMMYFUNCTION("GOOGLETRANSLATE(A37408, ""de"", ""en"")"),"display")</f>
        <v>display</v>
      </c>
    </row>
    <row r="37409">
      <c r="A37409" s="1" t="s">
        <v>37408</v>
      </c>
      <c r="B37409" s="2" t="str">
        <f>IFERROR(__xludf.DUMMYFUNCTION("GOOGLETRANSLATE(A37409, ""de"", ""en"")"),"special broadcast")</f>
        <v>special broadcast</v>
      </c>
    </row>
    <row r="37410">
      <c r="A37410" s="1" t="s">
        <v>37409</v>
      </c>
      <c r="B37410" s="2" t="str">
        <f>IFERROR(__xludf.DUMMYFUNCTION("GOOGLETRANSLATE(A37410, ""de"", ""en"")"),"unimportant")</f>
        <v>unimportant</v>
      </c>
    </row>
    <row r="37411">
      <c r="A37411" s="1" t="s">
        <v>37410</v>
      </c>
      <c r="B37411" s="2" t="str">
        <f>IFERROR(__xludf.DUMMYFUNCTION("GOOGLETRANSLATE(A37411, ""de"", ""en"")"),"small print")</f>
        <v>small print</v>
      </c>
    </row>
    <row r="37412">
      <c r="A37412" s="1" t="s">
        <v>37411</v>
      </c>
      <c r="B37412" s="2" t="str">
        <f>IFERROR(__xludf.DUMMYFUNCTION("GOOGLETRANSLATE(A37412, ""de"", ""en"")"),"vandals")</f>
        <v>vandals</v>
      </c>
    </row>
    <row r="37413">
      <c r="A37413" s="1" t="s">
        <v>37412</v>
      </c>
      <c r="B37413" s="2" t="str">
        <f>IFERROR(__xludf.DUMMYFUNCTION("GOOGLETRANSLATE(A37413, ""de"", ""en"")"),"licked")</f>
        <v>licked</v>
      </c>
    </row>
    <row r="37414">
      <c r="A37414" s="1" t="s">
        <v>37413</v>
      </c>
      <c r="B37414" s="2" t="str">
        <f>IFERROR(__xludf.DUMMYFUNCTION("GOOGLETRANSLATE(A37414, ""de"", ""en"")"),"time of death")</f>
        <v>time of death</v>
      </c>
    </row>
    <row r="37415">
      <c r="A37415" s="1" t="s">
        <v>37414</v>
      </c>
      <c r="B37415" s="2" t="str">
        <f>IFERROR(__xludf.DUMMYFUNCTION("GOOGLETRANSLATE(A37415, ""de"", ""en"")"),"royalties")</f>
        <v>royalties</v>
      </c>
    </row>
    <row r="37416">
      <c r="A37416" s="1" t="s">
        <v>37415</v>
      </c>
      <c r="B37416" s="2" t="str">
        <f>IFERROR(__xludf.DUMMYFUNCTION("GOOGLETRANSLATE(A37416, ""de"", ""en"")"),"viviane")</f>
        <v>viviane</v>
      </c>
    </row>
    <row r="37417">
      <c r="A37417" s="1" t="s">
        <v>37416</v>
      </c>
      <c r="B37417" s="2" t="str">
        <f>IFERROR(__xludf.DUMMYFUNCTION("GOOGLETRANSLATE(A37417, ""de"", ""en"")"),"lying")</f>
        <v>lying</v>
      </c>
    </row>
    <row r="37418">
      <c r="A37418" s="1" t="s">
        <v>37417</v>
      </c>
      <c r="B37418" s="2" t="str">
        <f>IFERROR(__xludf.DUMMYFUNCTION("GOOGLETRANSLATE(A37418, ""de"", ""en"")"),"building")</f>
        <v>building</v>
      </c>
    </row>
    <row r="37419">
      <c r="A37419" s="1" t="s">
        <v>37418</v>
      </c>
      <c r="B37419" s="2" t="str">
        <f>IFERROR(__xludf.DUMMYFUNCTION("GOOGLETRANSLATE(A37419, ""de"", ""en"")"),"kindness")</f>
        <v>kindness</v>
      </c>
    </row>
    <row r="37420">
      <c r="A37420" s="1" t="s">
        <v>37419</v>
      </c>
      <c r="B37420" s="2" t="str">
        <f>IFERROR(__xludf.DUMMYFUNCTION("GOOGLETRANSLATE(A37420, ""de"", ""en"")"),"lithium")</f>
        <v>lithium</v>
      </c>
    </row>
    <row r="37421">
      <c r="A37421" s="1" t="s">
        <v>37420</v>
      </c>
      <c r="B37421" s="2" t="str">
        <f>IFERROR(__xludf.DUMMYFUNCTION("GOOGLETRANSLATE(A37421, ""de"", ""en"")"),"sarina")</f>
        <v>sarina</v>
      </c>
    </row>
    <row r="37422">
      <c r="A37422" s="1" t="s">
        <v>37421</v>
      </c>
      <c r="B37422" s="2" t="str">
        <f>IFERROR(__xludf.DUMMYFUNCTION("GOOGLETRANSLATE(A37422, ""de"", ""en"")"),"seaweed")</f>
        <v>seaweed</v>
      </c>
    </row>
    <row r="37423">
      <c r="A37423" s="1" t="s">
        <v>37422</v>
      </c>
      <c r="B37423" s="2" t="str">
        <f>IFERROR(__xludf.DUMMYFUNCTION("GOOGLETRANSLATE(A37423, ""de"", ""en"")"),"sissy")</f>
        <v>sissy</v>
      </c>
    </row>
    <row r="37424">
      <c r="A37424" s="1" t="s">
        <v>37423</v>
      </c>
      <c r="B37424" s="2" t="str">
        <f>IFERROR(__xludf.DUMMYFUNCTION("GOOGLETRANSLATE(A37424, ""de"", ""en"")"),"listen")</f>
        <v>listen</v>
      </c>
    </row>
    <row r="37425">
      <c r="A37425" s="1" t="s">
        <v>37424</v>
      </c>
      <c r="B37425" s="2" t="str">
        <f>IFERROR(__xludf.DUMMYFUNCTION("GOOGLETRANSLATE(A37425, ""de"", ""en"")"),"doubtful")</f>
        <v>doubtful</v>
      </c>
    </row>
    <row r="37426">
      <c r="A37426" s="1" t="s">
        <v>37425</v>
      </c>
      <c r="B37426" s="2" t="str">
        <f>IFERROR(__xludf.DUMMYFUNCTION("GOOGLETRANSLATE(A37426, ""de"", ""en"")"),"timeline")</f>
        <v>timeline</v>
      </c>
    </row>
    <row r="37427">
      <c r="A37427" s="1" t="s">
        <v>37426</v>
      </c>
      <c r="B37427" s="2" t="str">
        <f>IFERROR(__xludf.DUMMYFUNCTION("GOOGLETRANSLATE(A37427, ""de"", ""en"")"),"cleavage")</f>
        <v>cleavage</v>
      </c>
    </row>
    <row r="37428">
      <c r="A37428" s="1" t="s">
        <v>37427</v>
      </c>
      <c r="B37428" s="2" t="str">
        <f>IFERROR(__xludf.DUMMYFUNCTION("GOOGLETRANSLATE(A37428, ""de"", ""en"")"),"expression")</f>
        <v>expression</v>
      </c>
    </row>
    <row r="37429">
      <c r="A37429" s="1" t="s">
        <v>37428</v>
      </c>
      <c r="B37429" s="2" t="str">
        <f>IFERROR(__xludf.DUMMYFUNCTION("GOOGLETRANSLATE(A37429, ""de"", ""en"")"),"lied to")</f>
        <v>lied to</v>
      </c>
    </row>
    <row r="37430">
      <c r="A37430" s="1" t="s">
        <v>37429</v>
      </c>
      <c r="B37430" s="2" t="str">
        <f>IFERROR(__xludf.DUMMYFUNCTION("GOOGLETRANSLATE(A37430, ""de"", ""en"")"),"difficult")</f>
        <v>difficult</v>
      </c>
    </row>
    <row r="37431">
      <c r="A37431" s="1" t="s">
        <v>37430</v>
      </c>
      <c r="B37431" s="2" t="str">
        <f>IFERROR(__xludf.DUMMYFUNCTION("GOOGLETRANSLATE(A37431, ""de"", ""en"")"),"fry")</f>
        <v>fry</v>
      </c>
    </row>
    <row r="37432">
      <c r="A37432" s="1" t="s">
        <v>37431</v>
      </c>
      <c r="B37432" s="2" t="str">
        <f>IFERROR(__xludf.DUMMYFUNCTION("GOOGLETRANSLATE(A37432, ""de"", ""en"")"),"honor")</f>
        <v>honor</v>
      </c>
    </row>
    <row r="37433">
      <c r="A37433" s="1" t="s">
        <v>37432</v>
      </c>
      <c r="B37433" s="2" t="str">
        <f>IFERROR(__xludf.DUMMYFUNCTION("GOOGLETRANSLATE(A37433, ""de"", ""en"")"),"test run")</f>
        <v>test run</v>
      </c>
    </row>
    <row r="37434">
      <c r="A37434" s="1" t="s">
        <v>37433</v>
      </c>
      <c r="B37434" s="2" t="str">
        <f>IFERROR(__xludf.DUMMYFUNCTION("GOOGLETRANSLATE(A37434, ""de"", ""en"")"),"gables")</f>
        <v>gables</v>
      </c>
    </row>
    <row r="37435">
      <c r="A37435" s="1" t="s">
        <v>37434</v>
      </c>
      <c r="B37435" s="2" t="str">
        <f>IFERROR(__xludf.DUMMYFUNCTION("GOOGLETRANSLATE(A37435, ""de"", ""en"")"),"polyps")</f>
        <v>polyps</v>
      </c>
    </row>
    <row r="37436">
      <c r="A37436" s="1" t="s">
        <v>37435</v>
      </c>
      <c r="B37436" s="2" t="str">
        <f>IFERROR(__xludf.DUMMYFUNCTION("GOOGLETRANSLATE(A37436, ""de"", ""en"")"),"unhygienic")</f>
        <v>unhygienic</v>
      </c>
    </row>
    <row r="37437">
      <c r="A37437" s="1" t="s">
        <v>37436</v>
      </c>
      <c r="B37437" s="2" t="str">
        <f>IFERROR(__xludf.DUMMYFUNCTION("GOOGLETRANSLATE(A37437, ""de"", ""en"")"),"train signal")</f>
        <v>train signal</v>
      </c>
    </row>
    <row r="37438">
      <c r="A37438" s="1" t="s">
        <v>37437</v>
      </c>
      <c r="B37438" s="2" t="str">
        <f>IFERROR(__xludf.DUMMYFUNCTION("GOOGLETRANSLATE(A37438, ""de"", ""en"")"),"inexpensive")</f>
        <v>inexpensive</v>
      </c>
    </row>
    <row r="37439">
      <c r="A37439" s="1" t="s">
        <v>37438</v>
      </c>
      <c r="B37439" s="2" t="str">
        <f>IFERROR(__xludf.DUMMYFUNCTION("GOOGLETRANSLATE(A37439, ""de"", ""en"")"),"missing")</f>
        <v>missing</v>
      </c>
    </row>
    <row r="37440">
      <c r="A37440" s="1" t="s">
        <v>37439</v>
      </c>
      <c r="B37440" s="2" t="str">
        <f>IFERROR(__xludf.DUMMYFUNCTION("GOOGLETRANSLATE(A37440, ""de"", ""en"")"),"wanted to go")</f>
        <v>wanted to go</v>
      </c>
    </row>
    <row r="37441">
      <c r="A37441" s="1" t="s">
        <v>37440</v>
      </c>
      <c r="B37441" s="2" t="str">
        <f>IFERROR(__xludf.DUMMYFUNCTION("GOOGLETRANSLATE(A37441, ""de"", ""en"")"),"Bratton")</f>
        <v>Bratton</v>
      </c>
    </row>
    <row r="37442">
      <c r="A37442" s="1" t="s">
        <v>37441</v>
      </c>
      <c r="B37442" s="2" t="str">
        <f>IFERROR(__xludf.DUMMYFUNCTION("GOOGLETRANSLATE(A37442, ""de"", ""en"")"),"pure")</f>
        <v>pure</v>
      </c>
    </row>
    <row r="37443">
      <c r="A37443" s="1" t="s">
        <v>37442</v>
      </c>
      <c r="B37443" s="2" t="str">
        <f>IFERROR(__xludf.DUMMYFUNCTION("GOOGLETRANSLATE(A37443, ""de"", ""en"")"),"darker")</f>
        <v>darker</v>
      </c>
    </row>
    <row r="37444">
      <c r="A37444" s="1" t="s">
        <v>37443</v>
      </c>
      <c r="B37444" s="2" t="str">
        <f>IFERROR(__xludf.DUMMYFUNCTION("GOOGLETRANSLATE(A37444, ""de"", ""en"")"),"hostage taker")</f>
        <v>hostage taker</v>
      </c>
    </row>
    <row r="37445">
      <c r="A37445" s="1" t="s">
        <v>37444</v>
      </c>
      <c r="B37445" s="2" t="str">
        <f>IFERROR(__xludf.DUMMYFUNCTION("GOOGLETRANSLATE(A37445, ""de"", ""en"")"),"raiders")</f>
        <v>raiders</v>
      </c>
    </row>
    <row r="37446">
      <c r="A37446" s="1" t="s">
        <v>37445</v>
      </c>
      <c r="B37446" s="2" t="str">
        <f>IFERROR(__xludf.DUMMYFUNCTION("GOOGLETRANSLATE(A37446, ""de"", ""en"")"),"palace")</f>
        <v>palace</v>
      </c>
    </row>
    <row r="37447">
      <c r="A37447" s="1" t="s">
        <v>37446</v>
      </c>
      <c r="B37447" s="2" t="str">
        <f>IFERROR(__xludf.DUMMYFUNCTION("GOOGLETRANSLATE(A37447, ""de"", ""en"")"),"serve")</f>
        <v>serve</v>
      </c>
    </row>
    <row r="37448">
      <c r="A37448" s="1" t="s">
        <v>37447</v>
      </c>
      <c r="B37448" s="2" t="str">
        <f>IFERROR(__xludf.DUMMYFUNCTION("GOOGLETRANSLATE(A37448, ""de"", ""en"")"),"unfocused")</f>
        <v>unfocused</v>
      </c>
    </row>
    <row r="37449">
      <c r="A37449" s="1" t="s">
        <v>37448</v>
      </c>
      <c r="B37449" s="2" t="str">
        <f>IFERROR(__xludf.DUMMYFUNCTION("GOOGLETRANSLATE(A37449, ""de"", ""en"")"),"alois")</f>
        <v>alois</v>
      </c>
    </row>
    <row r="37450">
      <c r="A37450" s="1" t="s">
        <v>37449</v>
      </c>
      <c r="B37450" s="2" t="str">
        <f>IFERROR(__xludf.DUMMYFUNCTION("GOOGLETRANSLATE(A37450, ""de"", ""en"")"),"old-fashioned")</f>
        <v>old-fashioned</v>
      </c>
    </row>
    <row r="37451">
      <c r="A37451" s="1" t="s">
        <v>37450</v>
      </c>
      <c r="B37451" s="2" t="str">
        <f>IFERROR(__xludf.DUMMYFUNCTION("GOOGLETRANSLATE(A37451, ""de"", ""en"")"),"portsmouth")</f>
        <v>portsmouth</v>
      </c>
    </row>
    <row r="37452">
      <c r="A37452" s="1" t="s">
        <v>37451</v>
      </c>
      <c r="B37452" s="2" t="str">
        <f>IFERROR(__xludf.DUMMYFUNCTION("GOOGLETRANSLATE(A37452, ""de"", ""en"")"),"ancient")</f>
        <v>ancient</v>
      </c>
    </row>
    <row r="37453">
      <c r="A37453" s="1" t="s">
        <v>37452</v>
      </c>
      <c r="B37453" s="2" t="str">
        <f>IFERROR(__xludf.DUMMYFUNCTION("GOOGLETRANSLATE(A37453, ""de"", ""en"")"),"kilometers per hour")</f>
        <v>kilometers per hour</v>
      </c>
    </row>
    <row r="37454">
      <c r="A37454" s="1" t="s">
        <v>37453</v>
      </c>
      <c r="B37454" s="2" t="str">
        <f>IFERROR(__xludf.DUMMYFUNCTION("GOOGLETRANSLATE(A37454, ""de"", ""en"")"),"capitalists")</f>
        <v>capitalists</v>
      </c>
    </row>
    <row r="37455">
      <c r="A37455" s="1" t="s">
        <v>37454</v>
      </c>
      <c r="B37455" s="2" t="str">
        <f>IFERROR(__xludf.DUMMYFUNCTION("GOOGLETRANSLATE(A37455, ""de"", ""en"")"),"took with you")</f>
        <v>took with you</v>
      </c>
    </row>
    <row r="37456">
      <c r="A37456" s="1" t="s">
        <v>37455</v>
      </c>
      <c r="B37456" s="2" t="str">
        <f>IFERROR(__xludf.DUMMYFUNCTION("GOOGLETRANSLATE(A37456, ""de"", ""en"")"),"Communist")</f>
        <v>Communist</v>
      </c>
    </row>
    <row r="37457">
      <c r="A37457" s="1" t="s">
        <v>37456</v>
      </c>
      <c r="B37457" s="2" t="str">
        <f>IFERROR(__xludf.DUMMYFUNCTION("GOOGLETRANSLATE(A37457, ""de"", ""en"")"),"locked up")</f>
        <v>locked up</v>
      </c>
    </row>
    <row r="37458">
      <c r="A37458" s="1" t="s">
        <v>37457</v>
      </c>
      <c r="B37458" s="2" t="str">
        <f>IFERROR(__xludf.DUMMYFUNCTION("GOOGLETRANSLATE(A37458, ""de"", ""en"")"),"hogue")</f>
        <v>hogue</v>
      </c>
    </row>
    <row r="37459">
      <c r="A37459" s="1" t="s">
        <v>37458</v>
      </c>
      <c r="B37459" s="2" t="str">
        <f>IFERROR(__xludf.DUMMYFUNCTION("GOOGLETRANSLATE(A37459, ""de"", ""en"")"),"confess")</f>
        <v>confess</v>
      </c>
    </row>
    <row r="37460">
      <c r="A37460" s="1" t="s">
        <v>37459</v>
      </c>
      <c r="B37460" s="2" t="str">
        <f>IFERROR(__xludf.DUMMYFUNCTION("GOOGLETRANSLATE(A37460, ""de"", ""en"")"),"emotional")</f>
        <v>emotional</v>
      </c>
    </row>
    <row r="37461">
      <c r="A37461" s="1" t="s">
        <v>37460</v>
      </c>
      <c r="B37461" s="2" t="str">
        <f>IFERROR(__xludf.DUMMYFUNCTION("GOOGLETRANSLATE(A37461, ""de"", ""en"")"),"cash in")</f>
        <v>cash in</v>
      </c>
    </row>
    <row r="37462">
      <c r="A37462" s="1" t="s">
        <v>37461</v>
      </c>
      <c r="B37462" s="2" t="str">
        <f>IFERROR(__xludf.DUMMYFUNCTION("GOOGLETRANSLATE(A37462, ""de"", ""en"")"),"lifelong")</f>
        <v>lifelong</v>
      </c>
    </row>
    <row r="37463">
      <c r="A37463" s="1" t="s">
        <v>37462</v>
      </c>
      <c r="B37463" s="2" t="str">
        <f>IFERROR(__xludf.DUMMYFUNCTION("GOOGLETRANSLATE(A37463, ""de"", ""en"")"),"nickie")</f>
        <v>nickie</v>
      </c>
    </row>
    <row r="37464">
      <c r="A37464" s="1" t="s">
        <v>37463</v>
      </c>
      <c r="B37464" s="2" t="str">
        <f>IFERROR(__xludf.DUMMYFUNCTION("GOOGLETRANSLATE(A37464, ""de"", ""en"")"),"viscount")</f>
        <v>viscount</v>
      </c>
    </row>
    <row r="37465">
      <c r="A37465" s="1" t="s">
        <v>37464</v>
      </c>
      <c r="B37465" s="2" t="str">
        <f>IFERROR(__xludf.DUMMYFUNCTION("GOOGLETRANSLATE(A37465, ""de"", ""en"")"),"shelves")</f>
        <v>shelves</v>
      </c>
    </row>
    <row r="37466">
      <c r="A37466" s="1" t="s">
        <v>37465</v>
      </c>
      <c r="B37466" s="2" t="str">
        <f>IFERROR(__xludf.DUMMYFUNCTION("GOOGLETRANSLATE(A37466, ""de"", ""en"")"),"pus")</f>
        <v>pus</v>
      </c>
    </row>
    <row r="37467">
      <c r="A37467" s="1" t="s">
        <v>37466</v>
      </c>
      <c r="B37467" s="2" t="str">
        <f>IFERROR(__xludf.DUMMYFUNCTION("GOOGLETRANSLATE(A37467, ""de"", ""en"")"),"lives")</f>
        <v>lives</v>
      </c>
    </row>
    <row r="37468">
      <c r="A37468" s="1" t="s">
        <v>37467</v>
      </c>
      <c r="B37468" s="2" t="str">
        <f>IFERROR(__xludf.DUMMYFUNCTION("GOOGLETRANSLATE(A37468, ""de"", ""en"")"),"solid")</f>
        <v>solid</v>
      </c>
    </row>
    <row r="37469">
      <c r="A37469" s="1" t="s">
        <v>37468</v>
      </c>
      <c r="B37469" s="2" t="str">
        <f>IFERROR(__xludf.DUMMYFUNCTION("GOOGLETRANSLATE(A37469, ""de"", ""en"")"),"obituary")</f>
        <v>obituary</v>
      </c>
    </row>
    <row r="37470">
      <c r="A37470" s="1" t="s">
        <v>37469</v>
      </c>
      <c r="B37470" s="2" t="str">
        <f>IFERROR(__xludf.DUMMYFUNCTION("GOOGLETRANSLATE(A37470, ""de"", ""en"")"),"amusement park")</f>
        <v>amusement park</v>
      </c>
    </row>
    <row r="37471">
      <c r="A37471" s="1" t="s">
        <v>37470</v>
      </c>
      <c r="B37471" s="2" t="str">
        <f>IFERROR(__xludf.DUMMYFUNCTION("GOOGLETRANSLATE(A37471, ""de"", ""en"")"),"snape")</f>
        <v>snape</v>
      </c>
    </row>
    <row r="37472">
      <c r="A37472" s="1" t="s">
        <v>37471</v>
      </c>
      <c r="B37472" s="2" t="str">
        <f>IFERROR(__xludf.DUMMYFUNCTION("GOOGLETRANSLATE(A37472, ""de"", ""en"")"),"Mexican")</f>
        <v>Mexican</v>
      </c>
    </row>
    <row r="37473">
      <c r="A37473" s="1" t="s">
        <v>37472</v>
      </c>
      <c r="B37473" s="2" t="str">
        <f>IFERROR(__xludf.DUMMYFUNCTION("GOOGLETRANSLATE(A37473, ""de"", ""en"")"),"planes")</f>
        <v>planes</v>
      </c>
    </row>
    <row r="37474">
      <c r="A37474" s="1" t="s">
        <v>37473</v>
      </c>
      <c r="B37474" s="2" t="str">
        <f>IFERROR(__xludf.DUMMYFUNCTION("GOOGLETRANSLATE(A37474, ""de"", ""en"")"),"serious")</f>
        <v>serious</v>
      </c>
    </row>
    <row r="37475">
      <c r="A37475" s="1" t="s">
        <v>37474</v>
      </c>
      <c r="B37475" s="2" t="str">
        <f>IFERROR(__xludf.DUMMYFUNCTION("GOOGLETRANSLATE(A37475, ""de"", ""en"")"),"leblanc")</f>
        <v>leblanc</v>
      </c>
    </row>
    <row r="37476">
      <c r="A37476" s="1" t="s">
        <v>37475</v>
      </c>
      <c r="B37476" s="2" t="str">
        <f>IFERROR(__xludf.DUMMYFUNCTION("GOOGLETRANSLATE(A37476, ""de"", ""en"")"),"useless")</f>
        <v>useless</v>
      </c>
    </row>
    <row r="37477">
      <c r="A37477" s="1" t="s">
        <v>37476</v>
      </c>
      <c r="B37477" s="2" t="str">
        <f>IFERROR(__xludf.DUMMYFUNCTION("GOOGLETRANSLATE(A37477, ""de"", ""en"")"),"listen")</f>
        <v>listen</v>
      </c>
    </row>
    <row r="37478">
      <c r="A37478" s="1" t="s">
        <v>37477</v>
      </c>
      <c r="B37478" s="2" t="str">
        <f>IFERROR(__xludf.DUMMYFUNCTION("GOOGLETRANSLATE(A37478, ""de"", ""en"")"),"urs")</f>
        <v>urs</v>
      </c>
    </row>
    <row r="37479">
      <c r="A37479" s="1" t="s">
        <v>37478</v>
      </c>
      <c r="B37479" s="2" t="str">
        <f>IFERROR(__xludf.DUMMYFUNCTION("GOOGLETRANSLATE(A37479, ""de"", ""en"")"),"circuit")</f>
        <v>circuit</v>
      </c>
    </row>
    <row r="37480">
      <c r="A37480" s="1" t="s">
        <v>37479</v>
      </c>
      <c r="B37480" s="2" t="str">
        <f>IFERROR(__xludf.DUMMYFUNCTION("GOOGLETRANSLATE(A37480, ""de"", ""en"")"),"sudden")</f>
        <v>sudden</v>
      </c>
    </row>
    <row r="37481">
      <c r="A37481" s="1" t="s">
        <v>37480</v>
      </c>
      <c r="B37481" s="2" t="str">
        <f>IFERROR(__xludf.DUMMYFUNCTION("GOOGLETRANSLATE(A37481, ""de"", ""en"")"),"mather")</f>
        <v>mather</v>
      </c>
    </row>
    <row r="37482">
      <c r="A37482" s="1" t="s">
        <v>37481</v>
      </c>
      <c r="B37482" s="2" t="str">
        <f>IFERROR(__xludf.DUMMYFUNCTION("GOOGLETRANSLATE(A37482, ""de"", ""en"")"),"costume party")</f>
        <v>costume party</v>
      </c>
    </row>
    <row r="37483">
      <c r="A37483" s="1" t="s">
        <v>37482</v>
      </c>
      <c r="B37483" s="2" t="str">
        <f>IFERROR(__xludf.DUMMYFUNCTION("GOOGLETRANSLATE(A37483, ""de"", ""en"")"),"blow out")</f>
        <v>blow out</v>
      </c>
    </row>
    <row r="37484">
      <c r="A37484" s="1" t="s">
        <v>37483</v>
      </c>
      <c r="B37484" s="2" t="str">
        <f>IFERROR(__xludf.DUMMYFUNCTION("GOOGLETRANSLATE(A37484, ""de"", ""en"")"),"renault")</f>
        <v>renault</v>
      </c>
    </row>
    <row r="37485">
      <c r="A37485" s="1" t="s">
        <v>37484</v>
      </c>
      <c r="B37485" s="2" t="str">
        <f>IFERROR(__xludf.DUMMYFUNCTION("GOOGLETRANSLATE(A37485, ""de"", ""en"")"),"disobeying orders")</f>
        <v>disobeying orders</v>
      </c>
    </row>
    <row r="37486">
      <c r="A37486" s="1" t="s">
        <v>37485</v>
      </c>
      <c r="B37486" s="2" t="str">
        <f>IFERROR(__xludf.DUMMYFUNCTION("GOOGLETRANSLATE(A37486, ""de"", ""en"")"),"fast forward")</f>
        <v>fast forward</v>
      </c>
    </row>
    <row r="37487">
      <c r="A37487" s="1" t="s">
        <v>37486</v>
      </c>
      <c r="B37487" s="2" t="str">
        <f>IFERROR(__xludf.DUMMYFUNCTION("GOOGLETRANSLATE(A37487, ""de"", ""en"")"),"abernathy")</f>
        <v>abernathy</v>
      </c>
    </row>
    <row r="37488">
      <c r="A37488" s="1" t="s">
        <v>37487</v>
      </c>
      <c r="B37488" s="2" t="str">
        <f>IFERROR(__xludf.DUMMYFUNCTION("GOOGLETRANSLATE(A37488, ""de"", ""en"")"),"preparation")</f>
        <v>preparation</v>
      </c>
    </row>
    <row r="37489">
      <c r="A37489" s="1" t="s">
        <v>37488</v>
      </c>
      <c r="B37489" s="2" t="str">
        <f>IFERROR(__xludf.DUMMYFUNCTION("GOOGLETRANSLATE(A37489, ""de"", ""en"")"),"sits down")</f>
        <v>sits down</v>
      </c>
    </row>
    <row r="37490">
      <c r="A37490" s="1" t="s">
        <v>37489</v>
      </c>
      <c r="B37490" s="2" t="str">
        <f>IFERROR(__xludf.DUMMYFUNCTION("GOOGLETRANSLATE(A37490, ""de"", ""en"")"),"semak")</f>
        <v>semak</v>
      </c>
    </row>
    <row r="37491">
      <c r="A37491" s="1" t="s">
        <v>37490</v>
      </c>
      <c r="B37491" s="2" t="str">
        <f>IFERROR(__xludf.DUMMYFUNCTION("GOOGLETRANSLATE(A37491, ""de"", ""en"")"),"to vote")</f>
        <v>to vote</v>
      </c>
    </row>
    <row r="37492">
      <c r="A37492" s="1" t="s">
        <v>37491</v>
      </c>
      <c r="B37492" s="2" t="str">
        <f>IFERROR(__xludf.DUMMYFUNCTION("GOOGLETRANSLATE(A37492, ""de"", ""en"")"),"ritual")</f>
        <v>ritual</v>
      </c>
    </row>
    <row r="37493">
      <c r="A37493" s="1" t="s">
        <v>37492</v>
      </c>
      <c r="B37493" s="2" t="str">
        <f>IFERROR(__xludf.DUMMYFUNCTION("GOOGLETRANSLATE(A37493, ""de"", ""en"")"),"fury")</f>
        <v>fury</v>
      </c>
    </row>
    <row r="37494">
      <c r="A37494" s="1" t="s">
        <v>37493</v>
      </c>
      <c r="B37494" s="2" t="str">
        <f>IFERROR(__xludf.DUMMYFUNCTION("GOOGLETRANSLATE(A37494, ""de"", ""en"")"),"irrational")</f>
        <v>irrational</v>
      </c>
    </row>
    <row r="37495">
      <c r="A37495" s="1" t="s">
        <v>37494</v>
      </c>
      <c r="B37495" s="2" t="str">
        <f>IFERROR(__xludf.DUMMYFUNCTION("GOOGLETRANSLATE(A37495, ""de"", ""en"")"),"tink")</f>
        <v>tink</v>
      </c>
    </row>
    <row r="37496">
      <c r="A37496" s="1" t="s">
        <v>37495</v>
      </c>
      <c r="B37496" s="2" t="str">
        <f>IFERROR(__xludf.DUMMYFUNCTION("GOOGLETRANSLATE(A37496, ""de"", ""en"")"),"transparent")</f>
        <v>transparent</v>
      </c>
    </row>
    <row r="37497">
      <c r="A37497" s="1" t="s">
        <v>37496</v>
      </c>
      <c r="B37497" s="2" t="str">
        <f>IFERROR(__xludf.DUMMYFUNCTION("GOOGLETRANSLATE(A37497, ""de"", ""en"")"),"anteroom")</f>
        <v>anteroom</v>
      </c>
    </row>
    <row r="37498">
      <c r="A37498" s="1" t="s">
        <v>37497</v>
      </c>
      <c r="B37498" s="2" t="str">
        <f>IFERROR(__xludf.DUMMYFUNCTION("GOOGLETRANSLATE(A37498, ""de"", ""en"")"),"abbess")</f>
        <v>abbess</v>
      </c>
    </row>
    <row r="37499">
      <c r="A37499" s="1" t="s">
        <v>37498</v>
      </c>
      <c r="B37499" s="2" t="str">
        <f>IFERROR(__xludf.DUMMYFUNCTION("GOOGLETRANSLATE(A37499, ""de"", ""en"")"),"eddington")</f>
        <v>eddington</v>
      </c>
    </row>
    <row r="37500">
      <c r="A37500" s="1" t="s">
        <v>37499</v>
      </c>
      <c r="B37500" s="2" t="str">
        <f>IFERROR(__xludf.DUMMYFUNCTION("GOOGLETRANSLATE(A37500, ""de"", ""en"")"),"acquired")</f>
        <v>acquired</v>
      </c>
    </row>
    <row r="37501">
      <c r="A37501" s="1" t="s">
        <v>37500</v>
      </c>
      <c r="B37501" s="2" t="str">
        <f>IFERROR(__xludf.DUMMYFUNCTION("GOOGLETRANSLATE(A37501, ""de"", ""en"")"),"invite in")</f>
        <v>invite in</v>
      </c>
    </row>
    <row r="37502">
      <c r="A37502" s="1" t="s">
        <v>37501</v>
      </c>
      <c r="B37502" s="2" t="str">
        <f>IFERROR(__xludf.DUMMYFUNCTION("GOOGLETRANSLATE(A37502, ""de"", ""en"")"),"buy out")</f>
        <v>buy out</v>
      </c>
    </row>
    <row r="37503">
      <c r="A37503" s="1" t="s">
        <v>37502</v>
      </c>
      <c r="B37503" s="2" t="str">
        <f>IFERROR(__xludf.DUMMYFUNCTION("GOOGLETRANSLATE(A37503, ""de"", ""en"")"),"use")</f>
        <v>use</v>
      </c>
    </row>
    <row r="37504">
      <c r="A37504" s="1" t="s">
        <v>37503</v>
      </c>
      <c r="B37504" s="2" t="str">
        <f>IFERROR(__xludf.DUMMYFUNCTION("GOOGLETRANSLATE(A37504, ""de"", ""en"")"),"carried out")</f>
        <v>carried out</v>
      </c>
    </row>
    <row r="37505">
      <c r="A37505" s="1" t="s">
        <v>37504</v>
      </c>
      <c r="B37505" s="2" t="str">
        <f>IFERROR(__xludf.DUMMYFUNCTION("GOOGLETRANSLATE(A37505, ""de"", ""en"")"),"driver")</f>
        <v>driver</v>
      </c>
    </row>
    <row r="37506">
      <c r="A37506" s="1" t="s">
        <v>37505</v>
      </c>
      <c r="B37506" s="2" t="str">
        <f>IFERROR(__xludf.DUMMYFUNCTION("GOOGLETRANSLATE(A37506, ""de"", ""en"")"),"more potential")</f>
        <v>more potential</v>
      </c>
    </row>
    <row r="37507">
      <c r="A37507" s="1" t="s">
        <v>37506</v>
      </c>
      <c r="B37507" s="2" t="str">
        <f>IFERROR(__xludf.DUMMYFUNCTION("GOOGLETRANSLATE(A37507, ""de"", ""en"")"),"Indians")</f>
        <v>Indians</v>
      </c>
    </row>
    <row r="37508">
      <c r="A37508" s="1" t="s">
        <v>37507</v>
      </c>
      <c r="B37508" s="2" t="str">
        <f>IFERROR(__xludf.DUMMYFUNCTION("GOOGLETRANSLATE(A37508, ""de"", ""en"")"),"deposits")</f>
        <v>deposits</v>
      </c>
    </row>
    <row r="37509">
      <c r="A37509" s="1" t="s">
        <v>37508</v>
      </c>
      <c r="B37509" s="2" t="str">
        <f>IFERROR(__xludf.DUMMYFUNCTION("GOOGLETRANSLATE(A37509, ""de"", ""en"")"),"roast pork")</f>
        <v>roast pork</v>
      </c>
    </row>
    <row r="37510">
      <c r="A37510" s="1" t="s">
        <v>37509</v>
      </c>
      <c r="B37510" s="2" t="str">
        <f>IFERROR(__xludf.DUMMYFUNCTION("GOOGLETRANSLATE(A37510, ""de"", ""en"")"),"rudeness")</f>
        <v>rudeness</v>
      </c>
    </row>
    <row r="37511">
      <c r="A37511" s="1" t="s">
        <v>37510</v>
      </c>
      <c r="B37511" s="2" t="str">
        <f>IFERROR(__xludf.DUMMYFUNCTION("GOOGLETRANSLATE(A37511, ""de"", ""en"")"),"navarre")</f>
        <v>navarre</v>
      </c>
    </row>
    <row r="37512">
      <c r="A37512" s="1" t="s">
        <v>37511</v>
      </c>
      <c r="B37512" s="2" t="str">
        <f>IFERROR(__xludf.DUMMYFUNCTION("GOOGLETRANSLATE(A37512, ""de"", ""en"")"),"californication")</f>
        <v>californication</v>
      </c>
    </row>
    <row r="37513">
      <c r="A37513" s="1" t="s">
        <v>37512</v>
      </c>
      <c r="B37513" s="2" t="str">
        <f>IFERROR(__xludf.DUMMYFUNCTION("GOOGLETRANSLATE(A37513, ""de"", ""en"")"),"rotation")</f>
        <v>rotation</v>
      </c>
    </row>
    <row r="37514">
      <c r="A37514" s="1" t="s">
        <v>37513</v>
      </c>
      <c r="B37514" s="2" t="str">
        <f>IFERROR(__xludf.DUMMYFUNCTION("GOOGLETRANSLATE(A37514, ""de"", ""en"")"),"lottie")</f>
        <v>lottie</v>
      </c>
    </row>
    <row r="37515">
      <c r="A37515" s="1" t="s">
        <v>37514</v>
      </c>
      <c r="B37515" s="2" t="str">
        <f>IFERROR(__xludf.DUMMYFUNCTION("GOOGLETRANSLATE(A37515, ""de"", ""en"")"),"jeffs")</f>
        <v>jeffs</v>
      </c>
    </row>
    <row r="37516">
      <c r="A37516" s="1" t="s">
        <v>37515</v>
      </c>
      <c r="B37516" s="2" t="str">
        <f>IFERROR(__xludf.DUMMYFUNCTION("GOOGLETRANSLATE(A37516, ""de"", ""en"")"),"limitless")</f>
        <v>limitless</v>
      </c>
    </row>
    <row r="37517">
      <c r="A37517" s="1" t="s">
        <v>37516</v>
      </c>
      <c r="B37517" s="2" t="str">
        <f>IFERROR(__xludf.DUMMYFUNCTION("GOOGLETRANSLATE(A37517, ""de"", ""en"")"),"edda")</f>
        <v>edda</v>
      </c>
    </row>
    <row r="37518">
      <c r="A37518" s="1" t="s">
        <v>37517</v>
      </c>
      <c r="B37518" s="2" t="str">
        <f>IFERROR(__xludf.DUMMYFUNCTION("GOOGLETRANSLATE(A37518, ""de"", ""en"")"),"unfortunate")</f>
        <v>unfortunate</v>
      </c>
    </row>
    <row r="37519">
      <c r="A37519" s="1" t="s">
        <v>37518</v>
      </c>
      <c r="B37519" s="2" t="str">
        <f>IFERROR(__xludf.DUMMYFUNCTION("GOOGLETRANSLATE(A37519, ""de"", ""en"")"),"mouth movements")</f>
        <v>mouth movements</v>
      </c>
    </row>
    <row r="37520">
      <c r="A37520" s="1" t="s">
        <v>37519</v>
      </c>
      <c r="B37520" s="2" t="str">
        <f>IFERROR(__xludf.DUMMYFUNCTION("GOOGLETRANSLATE(A37520, ""de"", ""en"")"),"streak")</f>
        <v>streak</v>
      </c>
    </row>
    <row r="37521">
      <c r="A37521" s="1" t="s">
        <v>37520</v>
      </c>
      <c r="B37521" s="2" t="str">
        <f>IFERROR(__xludf.DUMMYFUNCTION("GOOGLETRANSLATE(A37521, ""de"", ""en"")"),"charges")</f>
        <v>charges</v>
      </c>
    </row>
    <row r="37522">
      <c r="A37522" s="1" t="s">
        <v>37521</v>
      </c>
      <c r="B37522" s="2" t="str">
        <f>IFERROR(__xludf.DUMMYFUNCTION("GOOGLETRANSLATE(A37522, ""de"", ""en"")"),"wrapped")</f>
        <v>wrapped</v>
      </c>
    </row>
    <row r="37523">
      <c r="A37523" s="1" t="s">
        <v>37522</v>
      </c>
      <c r="B37523" s="2" t="str">
        <f>IFERROR(__xludf.DUMMYFUNCTION("GOOGLETRANSLATE(A37523, ""de"", ""en"")"),"stiffness")</f>
        <v>stiffness</v>
      </c>
    </row>
    <row r="37524">
      <c r="A37524" s="1" t="s">
        <v>37523</v>
      </c>
      <c r="B37524" s="2" t="str">
        <f>IFERROR(__xludf.DUMMYFUNCTION("GOOGLETRANSLATE(A37524, ""de"", ""en"")"),"crass")</f>
        <v>crass</v>
      </c>
    </row>
    <row r="37525">
      <c r="A37525" s="1" t="s">
        <v>37524</v>
      </c>
      <c r="B37525" s="2" t="str">
        <f>IFERROR(__xludf.DUMMYFUNCTION("GOOGLETRANSLATE(A37525, ""de"", ""en"")"),"certificate")</f>
        <v>certificate</v>
      </c>
    </row>
    <row r="37526">
      <c r="A37526" s="1" t="s">
        <v>37525</v>
      </c>
      <c r="B37526" s="2" t="str">
        <f>IFERROR(__xludf.DUMMYFUNCTION("GOOGLETRANSLATE(A37526, ""de"", ""en"")"),"farm girl")</f>
        <v>farm girl</v>
      </c>
    </row>
    <row r="37527">
      <c r="A37527" s="1" t="s">
        <v>37526</v>
      </c>
      <c r="B37527" s="2" t="str">
        <f>IFERROR(__xludf.DUMMYFUNCTION("GOOGLETRANSLATE(A37527, ""de"", ""en"")"),"weave")</f>
        <v>weave</v>
      </c>
    </row>
    <row r="37528">
      <c r="A37528" s="1" t="s">
        <v>37527</v>
      </c>
      <c r="B37528" s="2" t="str">
        <f>IFERROR(__xludf.DUMMYFUNCTION("GOOGLETRANSLATE(A37528, ""de"", ""en"")"),"ragu")</f>
        <v>ragu</v>
      </c>
    </row>
    <row r="37529">
      <c r="A37529" s="1" t="s">
        <v>37528</v>
      </c>
      <c r="B37529" s="2" t="str">
        <f>IFERROR(__xludf.DUMMYFUNCTION("GOOGLETRANSLATE(A37529, ""de"", ""en"")"),"Manchuria")</f>
        <v>Manchuria</v>
      </c>
    </row>
    <row r="37530">
      <c r="A37530" s="1" t="s">
        <v>37529</v>
      </c>
      <c r="B37530" s="2" t="str">
        <f>IFERROR(__xludf.DUMMYFUNCTION("GOOGLETRANSLATE(A37530, ""de"", ""en"")"),"muskets")</f>
        <v>muskets</v>
      </c>
    </row>
    <row r="37531">
      <c r="A37531" s="1" t="s">
        <v>37530</v>
      </c>
      <c r="B37531" s="2" t="str">
        <f>IFERROR(__xludf.DUMMYFUNCTION("GOOGLETRANSLATE(A37531, ""de"", ""en"")"),"salutes")</f>
        <v>salutes</v>
      </c>
    </row>
    <row r="37532">
      <c r="A37532" s="1" t="s">
        <v>37531</v>
      </c>
      <c r="B37532" s="2" t="str">
        <f>IFERROR(__xludf.DUMMYFUNCTION("GOOGLETRANSLATE(A37532, ""de"", ""en"")"),"is close")</f>
        <v>is close</v>
      </c>
    </row>
    <row r="37533">
      <c r="A37533" s="1" t="s">
        <v>37532</v>
      </c>
      <c r="B37533" s="2" t="str">
        <f>IFERROR(__xludf.DUMMYFUNCTION("GOOGLETRANSLATE(A37533, ""de"", ""en"")"),"kikeriki")</f>
        <v>kikeriki</v>
      </c>
    </row>
    <row r="37534">
      <c r="A37534" s="1" t="s">
        <v>37533</v>
      </c>
      <c r="B37534" s="2" t="str">
        <f>IFERROR(__xludf.DUMMYFUNCTION("GOOGLETRANSLATE(A37534, ""de"", ""en"")"),"bugsy")</f>
        <v>bugsy</v>
      </c>
    </row>
    <row r="37535">
      <c r="A37535" s="1" t="s">
        <v>37534</v>
      </c>
      <c r="B37535" s="2" t="str">
        <f>IFERROR(__xludf.DUMMYFUNCTION("GOOGLETRANSLATE(A37535, ""de"", ""en"")"),"scare away")</f>
        <v>scare away</v>
      </c>
    </row>
    <row r="37536">
      <c r="A37536" s="1" t="s">
        <v>37535</v>
      </c>
      <c r="B37536" s="2" t="str">
        <f>IFERROR(__xludf.DUMMYFUNCTION("GOOGLETRANSLATE(A37536, ""de"", ""en"")"),"sikes")</f>
        <v>sikes</v>
      </c>
    </row>
    <row r="37537">
      <c r="A37537" s="1" t="s">
        <v>37536</v>
      </c>
      <c r="B37537" s="2" t="str">
        <f>IFERROR(__xludf.DUMMYFUNCTION("GOOGLETRANSLATE(A37537, ""de"", ""en"")"),"playing")</f>
        <v>playing</v>
      </c>
    </row>
    <row r="37538">
      <c r="A37538" s="1" t="s">
        <v>37537</v>
      </c>
      <c r="B37538" s="2" t="str">
        <f>IFERROR(__xludf.DUMMYFUNCTION("GOOGLETRANSLATE(A37538, ""de"", ""en"")"),"guarded")</f>
        <v>guarded</v>
      </c>
    </row>
    <row r="37539">
      <c r="A37539" s="1" t="s">
        <v>37538</v>
      </c>
      <c r="B37539" s="2" t="str">
        <f>IFERROR(__xludf.DUMMYFUNCTION("GOOGLETRANSLATE(A37539, ""de"", ""en"")"),"bad")</f>
        <v>bad</v>
      </c>
    </row>
    <row r="37540">
      <c r="A37540" s="1" t="s">
        <v>37539</v>
      </c>
      <c r="B37540" s="2" t="str">
        <f>IFERROR(__xludf.DUMMYFUNCTION("GOOGLETRANSLATE(A37540, ""de"", ""en"")"),"Sean")</f>
        <v>Sean</v>
      </c>
    </row>
    <row r="37541">
      <c r="A37541" s="1" t="s">
        <v>37540</v>
      </c>
      <c r="B37541" s="2" t="str">
        <f>IFERROR(__xludf.DUMMYFUNCTION("GOOGLETRANSLATE(A37541, ""de"", ""en"")"),"pronounced")</f>
        <v>pronounced</v>
      </c>
    </row>
    <row r="37542">
      <c r="A37542" s="1" t="s">
        <v>37541</v>
      </c>
      <c r="B37542" s="2" t="str">
        <f>IFERROR(__xludf.DUMMYFUNCTION("GOOGLETRANSLATE(A37542, ""de"", ""en"")"),"fire escape")</f>
        <v>fire escape</v>
      </c>
    </row>
    <row r="37543">
      <c r="A37543" s="1" t="s">
        <v>37542</v>
      </c>
      <c r="B37543" s="2" t="str">
        <f>IFERROR(__xludf.DUMMYFUNCTION("GOOGLETRANSLATE(A37543, ""de"", ""en"")"),"telephone")</f>
        <v>telephone</v>
      </c>
    </row>
    <row r="37544">
      <c r="A37544" s="1" t="s">
        <v>37543</v>
      </c>
      <c r="B37544" s="2" t="str">
        <f>IFERROR(__xludf.DUMMYFUNCTION("GOOGLETRANSLATE(A37544, ""de"", ""en"")"),"lack of oxygen")</f>
        <v>lack of oxygen</v>
      </c>
    </row>
    <row r="37545">
      <c r="A37545" s="1" t="s">
        <v>37544</v>
      </c>
      <c r="B37545" s="2" t="str">
        <f>IFERROR(__xludf.DUMMYFUNCTION("GOOGLETRANSLATE(A37545, ""de"", ""en"")"),"gas leak")</f>
        <v>gas leak</v>
      </c>
    </row>
    <row r="37546">
      <c r="A37546" s="1" t="s">
        <v>37545</v>
      </c>
      <c r="B37546" s="2" t="str">
        <f>IFERROR(__xludf.DUMMYFUNCTION("GOOGLETRANSLATE(A37546, ""de"", ""en"")"),"well-disposed")</f>
        <v>well-disposed</v>
      </c>
    </row>
    <row r="37547">
      <c r="A37547" s="1" t="s">
        <v>37546</v>
      </c>
      <c r="B37547" s="2" t="str">
        <f>IFERROR(__xludf.DUMMYFUNCTION("GOOGLETRANSLATE(A37547, ""de"", ""en"")"),"special price")</f>
        <v>special price</v>
      </c>
    </row>
    <row r="37548">
      <c r="A37548" s="1" t="s">
        <v>37547</v>
      </c>
      <c r="B37548" s="2" t="str">
        <f>IFERROR(__xludf.DUMMYFUNCTION("GOOGLETRANSLATE(A37548, ""de"", ""en"")"),"lean on")</f>
        <v>lean on</v>
      </c>
    </row>
    <row r="37549">
      <c r="A37549" s="1" t="s">
        <v>37548</v>
      </c>
      <c r="B37549" s="2" t="str">
        <f>IFERROR(__xludf.DUMMYFUNCTION("GOOGLETRANSLATE(A37549, ""de"", ""en"")"),"Cally")</f>
        <v>Cally</v>
      </c>
    </row>
    <row r="37550">
      <c r="A37550" s="1" t="s">
        <v>37549</v>
      </c>
      <c r="B37550" s="2" t="str">
        <f>IFERROR(__xludf.DUMMYFUNCTION("GOOGLETRANSLATE(A37550, ""de"", ""en"")"),"admitted")</f>
        <v>admitted</v>
      </c>
    </row>
    <row r="37551">
      <c r="A37551" s="1" t="s">
        <v>37550</v>
      </c>
      <c r="B37551" s="2" t="str">
        <f>IFERROR(__xludf.DUMMYFUNCTION("GOOGLETRANSLATE(A37551, ""de"", ""en"")"),"sovereignty")</f>
        <v>sovereignty</v>
      </c>
    </row>
    <row r="37552">
      <c r="A37552" s="1" t="s">
        <v>37551</v>
      </c>
      <c r="B37552" s="2" t="str">
        <f>IFERROR(__xludf.DUMMYFUNCTION("GOOGLETRANSLATE(A37552, ""de"", ""en"")"),"mailboxes")</f>
        <v>mailboxes</v>
      </c>
    </row>
    <row r="37553">
      <c r="A37553" s="1" t="s">
        <v>37552</v>
      </c>
      <c r="B37553" s="2" t="str">
        <f>IFERROR(__xludf.DUMMYFUNCTION("GOOGLETRANSLATE(A37553, ""de"", ""en"")"),"dory")</f>
        <v>dory</v>
      </c>
    </row>
    <row r="37554">
      <c r="A37554" s="1" t="s">
        <v>37553</v>
      </c>
      <c r="B37554" s="2" t="str">
        <f>IFERROR(__xludf.DUMMYFUNCTION("GOOGLETRANSLATE(A37554, ""de"", ""en"")"),"Carol")</f>
        <v>Carol</v>
      </c>
    </row>
    <row r="37555">
      <c r="A37555" s="1" t="s">
        <v>37554</v>
      </c>
      <c r="B37555" s="2" t="str">
        <f>IFERROR(__xludf.DUMMYFUNCTION("GOOGLETRANSLATE(A37555, ""de"", ""en"")"),"drunk")</f>
        <v>drunk</v>
      </c>
    </row>
    <row r="37556">
      <c r="A37556" s="1" t="s">
        <v>37555</v>
      </c>
      <c r="B37556" s="2" t="str">
        <f>IFERROR(__xludf.DUMMYFUNCTION("GOOGLETRANSLATE(A37556, ""de"", ""en"")"),"stylus")</f>
        <v>stylus</v>
      </c>
    </row>
    <row r="37557">
      <c r="A37557" s="1" t="s">
        <v>37556</v>
      </c>
      <c r="B37557" s="2" t="str">
        <f>IFERROR(__xludf.DUMMYFUNCTION("GOOGLETRANSLATE(A37557, ""de"", ""en"")"),"cheri")</f>
        <v>cheri</v>
      </c>
    </row>
    <row r="37558">
      <c r="A37558" s="1" t="s">
        <v>37557</v>
      </c>
      <c r="B37558" s="2" t="str">
        <f>IFERROR(__xludf.DUMMYFUNCTION("GOOGLETRANSLATE(A37558, ""de"", ""en"")"),"heritage")</f>
        <v>heritage</v>
      </c>
    </row>
    <row r="37559">
      <c r="A37559" s="1" t="s">
        <v>37558</v>
      </c>
      <c r="B37559" s="2" t="str">
        <f>IFERROR(__xludf.DUMMYFUNCTION("GOOGLETRANSLATE(A37559, ""de"", ""en"")"),"rumba")</f>
        <v>rumba</v>
      </c>
    </row>
    <row r="37560">
      <c r="A37560" s="1" t="s">
        <v>37559</v>
      </c>
      <c r="B37560" s="2" t="str">
        <f>IFERROR(__xludf.DUMMYFUNCTION("GOOGLETRANSLATE(A37560, ""de"", ""en"")"),"pussycat")</f>
        <v>pussycat</v>
      </c>
    </row>
    <row r="37561">
      <c r="A37561" s="1" t="s">
        <v>37560</v>
      </c>
      <c r="B37561" s="2" t="str">
        <f>IFERROR(__xludf.DUMMYFUNCTION("GOOGLETRANSLATE(A37561, ""de"", ""en"")"),"Vick")</f>
        <v>Vick</v>
      </c>
    </row>
    <row r="37562">
      <c r="A37562" s="1" t="s">
        <v>37561</v>
      </c>
      <c r="B37562" s="2" t="str">
        <f>IFERROR(__xludf.DUMMYFUNCTION("GOOGLETRANSLATE(A37562, ""de"", ""en"")"),"drove")</f>
        <v>drove</v>
      </c>
    </row>
    <row r="37563">
      <c r="A37563" s="1" t="s">
        <v>37562</v>
      </c>
      <c r="B37563" s="2" t="str">
        <f>IFERROR(__xludf.DUMMYFUNCTION("GOOGLETRANSLATE(A37563, ""de"", ""en"")"),"video recordings")</f>
        <v>video recordings</v>
      </c>
    </row>
    <row r="37564">
      <c r="A37564" s="1" t="s">
        <v>37563</v>
      </c>
      <c r="B37564" s="2" t="str">
        <f>IFERROR(__xludf.DUMMYFUNCTION("GOOGLETRANSLATE(A37564, ""de"", ""en"")"),"biggest")</f>
        <v>biggest</v>
      </c>
    </row>
    <row r="37565">
      <c r="A37565" s="1" t="s">
        <v>37564</v>
      </c>
      <c r="B37565" s="2" t="str">
        <f>IFERROR(__xludf.DUMMYFUNCTION("GOOGLETRANSLATE(A37565, ""de"", ""en"")"),"hogarth")</f>
        <v>hogarth</v>
      </c>
    </row>
    <row r="37566">
      <c r="A37566" s="1" t="s">
        <v>37565</v>
      </c>
      <c r="B37566" s="2" t="str">
        <f>IFERROR(__xludf.DUMMYFUNCTION("GOOGLETRANSLATE(A37566, ""de"", ""en"")"),"hanging around")</f>
        <v>hanging around</v>
      </c>
    </row>
    <row r="37567">
      <c r="A37567" s="1" t="s">
        <v>37566</v>
      </c>
      <c r="B37567" s="2" t="str">
        <f>IFERROR(__xludf.DUMMYFUNCTION("GOOGLETRANSLATE(A37567, ""de"", ""en"")"),"derogatory")</f>
        <v>derogatory</v>
      </c>
    </row>
    <row r="37568">
      <c r="A37568" s="1" t="s">
        <v>37567</v>
      </c>
      <c r="B37568" s="2" t="str">
        <f>IFERROR(__xludf.DUMMYFUNCTION("GOOGLETRANSLATE(A37568, ""de"", ""en"")"),"lockers")</f>
        <v>lockers</v>
      </c>
    </row>
    <row r="37569">
      <c r="A37569" s="1" t="s">
        <v>37568</v>
      </c>
      <c r="B37569" s="2" t="str">
        <f>IFERROR(__xludf.DUMMYFUNCTION("GOOGLETRANSLATE(A37569, ""de"", ""en"")"),"disguises")</f>
        <v>disguises</v>
      </c>
    </row>
    <row r="37570">
      <c r="A37570" s="1" t="s">
        <v>37569</v>
      </c>
      <c r="B37570" s="2" t="str">
        <f>IFERROR(__xludf.DUMMYFUNCTION("GOOGLETRANSLATE(A37570, ""de"", ""en"")"),"sent")</f>
        <v>sent</v>
      </c>
    </row>
    <row r="37571">
      <c r="A37571" s="1" t="s">
        <v>37570</v>
      </c>
      <c r="B37571" s="2" t="str">
        <f>IFERROR(__xludf.DUMMYFUNCTION("GOOGLETRANSLATE(A37571, ""de"", ""en"")"),"dime")</f>
        <v>dime</v>
      </c>
    </row>
    <row r="37572">
      <c r="A37572" s="1" t="s">
        <v>37571</v>
      </c>
      <c r="B37572" s="2" t="str">
        <f>IFERROR(__xludf.DUMMYFUNCTION("GOOGLETRANSLATE(A37572, ""de"", ""en"")"),"continue sleeping")</f>
        <v>continue sleeping</v>
      </c>
    </row>
    <row r="37573">
      <c r="A37573" s="1" t="s">
        <v>37572</v>
      </c>
      <c r="B37573" s="2" t="str">
        <f>IFERROR(__xludf.DUMMYFUNCTION("GOOGLETRANSLATE(A37573, ""de"", ""en"")"),"mexx79")</f>
        <v>mexx79</v>
      </c>
    </row>
    <row r="37574">
      <c r="A37574" s="1" t="s">
        <v>37573</v>
      </c>
      <c r="B37574" s="2" t="str">
        <f>IFERROR(__xludf.DUMMYFUNCTION("GOOGLETRANSLATE(A37574, ""de"", ""en"")"),"yuen")</f>
        <v>yuen</v>
      </c>
    </row>
    <row r="37575">
      <c r="A37575" s="1" t="s">
        <v>37574</v>
      </c>
      <c r="B37575" s="2" t="str">
        <f>IFERROR(__xludf.DUMMYFUNCTION("GOOGLETRANSLATE(A37575, ""de"", ""en"")"),"rude")</f>
        <v>rude</v>
      </c>
    </row>
    <row r="37576">
      <c r="A37576" s="1" t="s">
        <v>37575</v>
      </c>
      <c r="B37576" s="2" t="str">
        <f>IFERROR(__xludf.DUMMYFUNCTION("GOOGLETRANSLATE(A37576, ""de"", ""en"")"),"mangy")</f>
        <v>mangy</v>
      </c>
    </row>
    <row r="37577">
      <c r="A37577" s="1" t="s">
        <v>37576</v>
      </c>
      <c r="B37577" s="2" t="str">
        <f>IFERROR(__xludf.DUMMYFUNCTION("GOOGLETRANSLATE(A37577, ""de"", ""en"")"),"advertised")</f>
        <v>advertised</v>
      </c>
    </row>
    <row r="37578">
      <c r="A37578" s="1" t="s">
        <v>37577</v>
      </c>
      <c r="B37578" s="2" t="str">
        <f>IFERROR(__xludf.DUMMYFUNCTION("GOOGLETRANSLATE(A37578, ""de"", ""en"")"),"blink")</f>
        <v>blink</v>
      </c>
    </row>
    <row r="37579">
      <c r="A37579" s="1" t="s">
        <v>37578</v>
      </c>
      <c r="B37579" s="2" t="str">
        <f>IFERROR(__xludf.DUMMYFUNCTION("GOOGLETRANSLATE(A37579, ""de"", ""en"")"),"a matter of honor")</f>
        <v>a matter of honor</v>
      </c>
    </row>
    <row r="37580">
      <c r="A37580" s="1" t="s">
        <v>37579</v>
      </c>
      <c r="B37580" s="2" t="str">
        <f>IFERROR(__xludf.DUMMYFUNCTION("GOOGLETRANSLATE(A37580, ""de"", ""en"")"),"courts")</f>
        <v>courts</v>
      </c>
    </row>
    <row r="37581">
      <c r="A37581" s="1" t="s">
        <v>37580</v>
      </c>
      <c r="B37581" s="2" t="str">
        <f>IFERROR(__xludf.DUMMYFUNCTION("GOOGLETRANSLATE(A37581, ""de"", ""en"")"),"pretended")</f>
        <v>pretended</v>
      </c>
    </row>
    <row r="37582">
      <c r="A37582" s="1" t="s">
        <v>37581</v>
      </c>
      <c r="B37582" s="2" t="str">
        <f>IFERROR(__xludf.DUMMYFUNCTION("GOOGLETRANSLATE(A37582, ""de"", ""en"")"),"tight ass")</f>
        <v>tight ass</v>
      </c>
    </row>
    <row r="37583">
      <c r="A37583" s="1" t="s">
        <v>37582</v>
      </c>
      <c r="B37583" s="2" t="str">
        <f>IFERROR(__xludf.DUMMYFUNCTION("GOOGLETRANSLATE(A37583, ""de"", ""en"")"),"scratched up")</f>
        <v>scratched up</v>
      </c>
    </row>
    <row r="37584">
      <c r="A37584" s="1" t="s">
        <v>37583</v>
      </c>
      <c r="B37584" s="2" t="str">
        <f>IFERROR(__xludf.DUMMYFUNCTION("GOOGLETRANSLATE(A37584, ""de"", ""en"")"),"suburbs")</f>
        <v>suburbs</v>
      </c>
    </row>
    <row r="37585">
      <c r="A37585" s="1" t="s">
        <v>37584</v>
      </c>
      <c r="B37585" s="2" t="str">
        <f>IFERROR(__xludf.DUMMYFUNCTION("GOOGLETRANSLATE(A37585, ""de"", ""en"")"),"combat station")</f>
        <v>combat station</v>
      </c>
    </row>
    <row r="37586">
      <c r="A37586" s="1" t="s">
        <v>37585</v>
      </c>
      <c r="B37586" s="2" t="str">
        <f>IFERROR(__xludf.DUMMYFUNCTION("GOOGLETRANSLATE(A37586, ""de"", ""en"")"),"producer")</f>
        <v>producer</v>
      </c>
    </row>
    <row r="37587">
      <c r="A37587" s="1" t="s">
        <v>37586</v>
      </c>
      <c r="B37587" s="2" t="str">
        <f>IFERROR(__xludf.DUMMYFUNCTION("GOOGLETRANSLATE(A37587, ""de"", ""en"")"),"vegetation")</f>
        <v>vegetation</v>
      </c>
    </row>
    <row r="37588">
      <c r="A37588" s="1" t="s">
        <v>37587</v>
      </c>
      <c r="B37588" s="2" t="str">
        <f>IFERROR(__xludf.DUMMYFUNCTION("GOOGLETRANSLATE(A37588, ""de"", ""en"")"),"researched")</f>
        <v>researched</v>
      </c>
    </row>
    <row r="37589">
      <c r="A37589" s="1" t="s">
        <v>37588</v>
      </c>
      <c r="B37589" s="2" t="str">
        <f>IFERROR(__xludf.DUMMYFUNCTION("GOOGLETRANSLATE(A37589, ""de"", ""en"")"),"mistaken")</f>
        <v>mistaken</v>
      </c>
    </row>
    <row r="37590">
      <c r="A37590" s="1" t="s">
        <v>37589</v>
      </c>
      <c r="B37590" s="2" t="str">
        <f>IFERROR(__xludf.DUMMYFUNCTION("GOOGLETRANSLATE(A37590, ""de"", ""en"")"),"engine noise")</f>
        <v>engine noise</v>
      </c>
    </row>
    <row r="37591">
      <c r="A37591" s="1" t="s">
        <v>37590</v>
      </c>
      <c r="B37591" s="2" t="str">
        <f>IFERROR(__xludf.DUMMYFUNCTION("GOOGLETRANSLATE(A37591, ""de"", ""en"")"),"treacherous")</f>
        <v>treacherous</v>
      </c>
    </row>
    <row r="37592">
      <c r="A37592" s="1" t="s">
        <v>37591</v>
      </c>
      <c r="B37592" s="2" t="str">
        <f>IFERROR(__xludf.DUMMYFUNCTION("GOOGLETRANSLATE(A37592, ""de"", ""en"")"),"Bethesda")</f>
        <v>Bethesda</v>
      </c>
    </row>
    <row r="37593">
      <c r="A37593" s="1" t="s">
        <v>37592</v>
      </c>
      <c r="B37593" s="2" t="str">
        <f>IFERROR(__xludf.DUMMYFUNCTION("GOOGLETRANSLATE(A37593, ""de"", ""en"")"),"boring as hell")</f>
        <v>boring as hell</v>
      </c>
    </row>
    <row r="37594">
      <c r="A37594" s="1" t="s">
        <v>37593</v>
      </c>
      <c r="B37594" s="2" t="str">
        <f>IFERROR(__xludf.DUMMYFUNCTION("GOOGLETRANSLATE(A37594, ""de"", ""en"")"),"light years")</f>
        <v>light years</v>
      </c>
    </row>
    <row r="37595">
      <c r="A37595" s="1" t="s">
        <v>37594</v>
      </c>
      <c r="B37595" s="2" t="str">
        <f>IFERROR(__xludf.DUMMYFUNCTION("GOOGLETRANSLATE(A37595, ""de"", ""en"")"),"cut")</f>
        <v>cut</v>
      </c>
    </row>
    <row r="37596">
      <c r="A37596" s="1" t="s">
        <v>37595</v>
      </c>
      <c r="B37596" s="2" t="str">
        <f>IFERROR(__xludf.DUMMYFUNCTION("GOOGLETRANSLATE(A37596, ""de"", ""en"")"),"error")</f>
        <v>error</v>
      </c>
    </row>
    <row r="37597">
      <c r="A37597" s="1" t="s">
        <v>37596</v>
      </c>
      <c r="B37597" s="2" t="str">
        <f>IFERROR(__xludf.DUMMYFUNCTION("GOOGLETRANSLATE(A37597, ""de"", ""en"")"),"anyone")</f>
        <v>anyone</v>
      </c>
    </row>
    <row r="37598">
      <c r="A37598" s="1" t="s">
        <v>37597</v>
      </c>
      <c r="B37598" s="2" t="str">
        <f>IFERROR(__xludf.DUMMYFUNCTION("GOOGLETRANSLATE(A37598, ""de"", ""en"")"),"cuba")</f>
        <v>cuba</v>
      </c>
    </row>
    <row r="37599">
      <c r="A37599" s="1" t="s">
        <v>37598</v>
      </c>
      <c r="B37599" s="2" t="str">
        <f>IFERROR(__xludf.DUMMYFUNCTION("GOOGLETRANSLATE(A37599, ""de"", ""en"")"),"professionals")</f>
        <v>professionals</v>
      </c>
    </row>
    <row r="37600">
      <c r="A37600" s="1" t="s">
        <v>37599</v>
      </c>
      <c r="B37600" s="2" t="str">
        <f>IFERROR(__xludf.DUMMYFUNCTION("GOOGLETRANSLATE(A37600, ""de"", ""en"")"),"Arkady")</f>
        <v>Arkady</v>
      </c>
    </row>
    <row r="37601">
      <c r="A37601" s="1" t="s">
        <v>37600</v>
      </c>
      <c r="B37601" s="2" t="str">
        <f>IFERROR(__xludf.DUMMYFUNCTION("GOOGLETRANSLATE(A37601, ""de"", ""en"")"),"shing")</f>
        <v>shing</v>
      </c>
    </row>
    <row r="37602">
      <c r="A37602" s="1" t="s">
        <v>37601</v>
      </c>
      <c r="B37602" s="2" t="str">
        <f>IFERROR(__xludf.DUMMYFUNCTION("GOOGLETRANSLATE(A37602, ""de"", ""en"")"),"team leader")</f>
        <v>team leader</v>
      </c>
    </row>
    <row r="37603">
      <c r="A37603" s="1" t="s">
        <v>37602</v>
      </c>
      <c r="B37603" s="2" t="str">
        <f>IFERROR(__xludf.DUMMYFUNCTION("GOOGLETRANSLATE(A37603, ""de"", ""en"")"),"pl")</f>
        <v>pl</v>
      </c>
    </row>
    <row r="37604">
      <c r="A37604" s="1" t="s">
        <v>37603</v>
      </c>
      <c r="B37604" s="2" t="str">
        <f>IFERROR(__xludf.DUMMYFUNCTION("GOOGLETRANSLATE(A37604, ""de"", ""en"")"),"apostate")</f>
        <v>apostate</v>
      </c>
    </row>
    <row r="37605">
      <c r="A37605" s="1" t="s">
        <v>37604</v>
      </c>
      <c r="B37605" s="2" t="str">
        <f>IFERROR(__xludf.DUMMYFUNCTION("GOOGLETRANSLATE(A37605, ""de"", ""en"")"),"year old")</f>
        <v>year old</v>
      </c>
    </row>
    <row r="37606">
      <c r="A37606" s="1" t="s">
        <v>37605</v>
      </c>
      <c r="B37606" s="2" t="str">
        <f>IFERROR(__xludf.DUMMYFUNCTION("GOOGLETRANSLATE(A37606, ""de"", ""en"")"),"return")</f>
        <v>return</v>
      </c>
    </row>
    <row r="37607">
      <c r="A37607" s="1" t="s">
        <v>37606</v>
      </c>
      <c r="B37607" s="2" t="str">
        <f>IFERROR(__xludf.DUMMYFUNCTION("GOOGLETRANSLATE(A37607, ""de"", ""en"")"),"bites")</f>
        <v>bites</v>
      </c>
    </row>
    <row r="37608">
      <c r="A37608" s="1" t="s">
        <v>37607</v>
      </c>
      <c r="B37608" s="2" t="str">
        <f>IFERROR(__xludf.DUMMYFUNCTION("GOOGLETRANSLATE(A37608, ""de"", ""en"")"),"battering ram")</f>
        <v>battering ram</v>
      </c>
    </row>
    <row r="37609">
      <c r="A37609" s="1" t="s">
        <v>37608</v>
      </c>
      <c r="B37609" s="2" t="str">
        <f>IFERROR(__xludf.DUMMYFUNCTION("GOOGLETRANSLATE(A37609, ""de"", ""en"")"),"virginal")</f>
        <v>virginal</v>
      </c>
    </row>
    <row r="37610">
      <c r="A37610" s="1" t="s">
        <v>37609</v>
      </c>
      <c r="B37610" s="2" t="str">
        <f>IFERROR(__xludf.DUMMYFUNCTION("GOOGLETRANSLATE(A37610, ""de"", ""en"")"),"group therapy")</f>
        <v>group therapy</v>
      </c>
    </row>
    <row r="37611">
      <c r="A37611" s="1" t="s">
        <v>37610</v>
      </c>
      <c r="B37611" s="2" t="str">
        <f>IFERROR(__xludf.DUMMYFUNCTION("GOOGLETRANSLATE(A37611, ""de"", ""en"")"),"rubies")</f>
        <v>rubies</v>
      </c>
    </row>
    <row r="37612">
      <c r="A37612" s="1" t="s">
        <v>37611</v>
      </c>
      <c r="B37612" s="2" t="str">
        <f>IFERROR(__xludf.DUMMYFUNCTION("GOOGLETRANSLATE(A37612, ""de"", ""en"")"),"decay")</f>
        <v>decay</v>
      </c>
    </row>
    <row r="37613">
      <c r="A37613" s="1" t="s">
        <v>37612</v>
      </c>
      <c r="B37613" s="2" t="str">
        <f>IFERROR(__xludf.DUMMYFUNCTION("GOOGLETRANSLATE(A37613, ""de"", ""en"")"),"missionaries")</f>
        <v>missionaries</v>
      </c>
    </row>
    <row r="37614">
      <c r="A37614" s="1" t="s">
        <v>37613</v>
      </c>
      <c r="B37614" s="2" t="str">
        <f>IFERROR(__xludf.DUMMYFUNCTION("GOOGLETRANSLATE(A37614, ""de"", ""en"")"),"sprayed")</f>
        <v>sprayed</v>
      </c>
    </row>
    <row r="37615">
      <c r="A37615" s="1" t="s">
        <v>37614</v>
      </c>
      <c r="B37615" s="2" t="str">
        <f>IFERROR(__xludf.DUMMYFUNCTION("GOOGLETRANSLATE(A37615, ""de"", ""en"")"),"cochise")</f>
        <v>cochise</v>
      </c>
    </row>
    <row r="37616">
      <c r="A37616" s="1" t="s">
        <v>37615</v>
      </c>
      <c r="B37616" s="2" t="str">
        <f>IFERROR(__xludf.DUMMYFUNCTION("GOOGLETRANSLATE(A37616, ""de"", ""en"")"),"kublai")</f>
        <v>kublai</v>
      </c>
    </row>
    <row r="37617">
      <c r="A37617" s="1" t="s">
        <v>37616</v>
      </c>
      <c r="B37617" s="2" t="str">
        <f>IFERROR(__xludf.DUMMYFUNCTION("GOOGLETRANSLATE(A37617, ""de"", ""en"")"),"lyn")</f>
        <v>lyn</v>
      </c>
    </row>
    <row r="37618">
      <c r="A37618" s="1" t="s">
        <v>37617</v>
      </c>
      <c r="B37618" s="2" t="str">
        <f>IFERROR(__xludf.DUMMYFUNCTION("GOOGLETRANSLATE(A37618, ""de"", ""en"")"),"to release")</f>
        <v>to release</v>
      </c>
    </row>
    <row r="37619">
      <c r="A37619" s="1" t="s">
        <v>37618</v>
      </c>
      <c r="B37619" s="2" t="str">
        <f>IFERROR(__xludf.DUMMYFUNCTION("GOOGLETRANSLATE(A37619, ""de"", ""en"")"),"five and a half")</f>
        <v>five and a half</v>
      </c>
    </row>
    <row r="37620">
      <c r="A37620" s="1" t="s">
        <v>37619</v>
      </c>
      <c r="B37620" s="2" t="str">
        <f>IFERROR(__xludf.DUMMYFUNCTION("GOOGLETRANSLATE(A37620, ""de"", ""en"")"),"mommy")</f>
        <v>mommy</v>
      </c>
    </row>
    <row r="37621">
      <c r="A37621" s="1" t="s">
        <v>37620</v>
      </c>
      <c r="B37621" s="2" t="str">
        <f>IFERROR(__xludf.DUMMYFUNCTION("GOOGLETRANSLATE(A37621, ""de"", ""en"")"),"shorter")</f>
        <v>shorter</v>
      </c>
    </row>
    <row r="37622">
      <c r="A37622" s="1" t="s">
        <v>37621</v>
      </c>
      <c r="B37622" s="2" t="str">
        <f>IFERROR(__xludf.DUMMYFUNCTION("GOOGLETRANSLATE(A37622, ""de"", ""en"")"),"avanti")</f>
        <v>avanti</v>
      </c>
    </row>
    <row r="37623">
      <c r="A37623" s="1" t="s">
        <v>37622</v>
      </c>
      <c r="B37623" s="2" t="str">
        <f>IFERROR(__xludf.DUMMYFUNCTION("GOOGLETRANSLATE(A37623, ""de"", ""en"")"),"sloth")</f>
        <v>sloth</v>
      </c>
    </row>
    <row r="37624">
      <c r="A37624" s="1" t="s">
        <v>37623</v>
      </c>
      <c r="B37624" s="2" t="str">
        <f>IFERROR(__xludf.DUMMYFUNCTION("GOOGLETRANSLATE(A37624, ""de"", ""en"")"),"nigar")</f>
        <v>nigar</v>
      </c>
    </row>
    <row r="37625">
      <c r="A37625" s="1" t="s">
        <v>37624</v>
      </c>
      <c r="B37625" s="2" t="str">
        <f>IFERROR(__xludf.DUMMYFUNCTION("GOOGLETRANSLATE(A37625, ""de"", ""en"")"),"handed over")</f>
        <v>handed over</v>
      </c>
    </row>
    <row r="37626">
      <c r="A37626" s="1" t="s">
        <v>37625</v>
      </c>
      <c r="B37626" s="2" t="str">
        <f>IFERROR(__xludf.DUMMYFUNCTION("GOOGLETRANSLATE(A37626, ""de"", ""en"")"),"to play out")</f>
        <v>to play out</v>
      </c>
    </row>
    <row r="37627">
      <c r="A37627" s="1" t="s">
        <v>37626</v>
      </c>
      <c r="B37627" s="2" t="str">
        <f>IFERROR(__xludf.DUMMYFUNCTION("GOOGLETRANSLATE(A37627, ""de"", ""en"")"),"nasty")</f>
        <v>nasty</v>
      </c>
    </row>
    <row r="37628">
      <c r="A37628" s="1" t="s">
        <v>37627</v>
      </c>
      <c r="B37628" s="2" t="str">
        <f>IFERROR(__xludf.DUMMYFUNCTION("GOOGLETRANSLATE(A37628, ""de"", ""en"")"),"insight")</f>
        <v>insight</v>
      </c>
    </row>
    <row r="37629">
      <c r="A37629" s="1" t="s">
        <v>37628</v>
      </c>
      <c r="B37629" s="2" t="str">
        <f>IFERROR(__xludf.DUMMYFUNCTION("GOOGLETRANSLATE(A37629, ""de"", ""en"")"),"seer")</f>
        <v>seer</v>
      </c>
    </row>
    <row r="37630">
      <c r="A37630" s="1" t="s">
        <v>37629</v>
      </c>
      <c r="B37630" s="2" t="str">
        <f>IFERROR(__xludf.DUMMYFUNCTION("GOOGLETRANSLATE(A37630, ""de"", ""en"")"),"Greco")</f>
        <v>Greco</v>
      </c>
    </row>
    <row r="37631">
      <c r="A37631" s="1" t="s">
        <v>37630</v>
      </c>
      <c r="B37631" s="2" t="str">
        <f>IFERROR(__xludf.DUMMYFUNCTION("GOOGLETRANSLATE(A37631, ""de"", ""en"")"),"same")</f>
        <v>same</v>
      </c>
    </row>
    <row r="37632">
      <c r="A37632" s="1" t="s">
        <v>37631</v>
      </c>
      <c r="B37632" s="2" t="str">
        <f>IFERROR(__xludf.DUMMYFUNCTION("GOOGLETRANSLATE(A37632, ""de"", ""en"")"),"conventional")</f>
        <v>conventional</v>
      </c>
    </row>
    <row r="37633">
      <c r="A37633" s="1" t="s">
        <v>37632</v>
      </c>
      <c r="B37633" s="2" t="str">
        <f>IFERROR(__xludf.DUMMYFUNCTION("GOOGLETRANSLATE(A37633, ""de"", ""en"")"),"moved in")</f>
        <v>moved in</v>
      </c>
    </row>
    <row r="37634">
      <c r="A37634" s="1" t="s">
        <v>37633</v>
      </c>
      <c r="B37634" s="2" t="str">
        <f>IFERROR(__xludf.DUMMYFUNCTION("GOOGLETRANSLATE(A37634, ""de"", ""en"")"),"heroism")</f>
        <v>heroism</v>
      </c>
    </row>
    <row r="37635">
      <c r="A37635" s="1" t="s">
        <v>37634</v>
      </c>
      <c r="B37635" s="2" t="str">
        <f>IFERROR(__xludf.DUMMYFUNCTION("GOOGLETRANSLATE(A37635, ""de"", ""en"")"),"dunning")</f>
        <v>dunning</v>
      </c>
    </row>
    <row r="37636">
      <c r="A37636" s="1" t="s">
        <v>37635</v>
      </c>
      <c r="B37636" s="2" t="str">
        <f>IFERROR(__xludf.DUMMYFUNCTION("GOOGLETRANSLATE(A37636, ""de"", ""en"")"),"welding")</f>
        <v>welding</v>
      </c>
    </row>
    <row r="37637">
      <c r="A37637" s="1" t="s">
        <v>37636</v>
      </c>
      <c r="B37637" s="2" t="str">
        <f>IFERROR(__xludf.DUMMYFUNCTION("GOOGLETRANSLATE(A37637, ""de"", ""en"")"),"unfinished business")</f>
        <v>unfinished business</v>
      </c>
    </row>
    <row r="37638">
      <c r="A37638" s="1" t="s">
        <v>37637</v>
      </c>
      <c r="B37638" s="2" t="str">
        <f>IFERROR(__xludf.DUMMYFUNCTION("GOOGLETRANSLATE(A37638, ""de"", ""en"")"),"fan mail")</f>
        <v>fan mail</v>
      </c>
    </row>
    <row r="37639">
      <c r="A37639" s="1" t="s">
        <v>37638</v>
      </c>
      <c r="B37639" s="2" t="str">
        <f>IFERROR(__xludf.DUMMYFUNCTION("GOOGLETRANSLATE(A37639, ""de"", ""en"")"),"survivors")</f>
        <v>survivors</v>
      </c>
    </row>
    <row r="37640">
      <c r="A37640" s="1" t="s">
        <v>37639</v>
      </c>
      <c r="B37640" s="2" t="str">
        <f>IFERROR(__xludf.DUMMYFUNCTION("GOOGLETRANSLATE(A37640, ""de"", ""en"")"),"enclosed")</f>
        <v>enclosed</v>
      </c>
    </row>
    <row r="37641">
      <c r="A37641" s="1" t="s">
        <v>37640</v>
      </c>
      <c r="B37641" s="2" t="str">
        <f>IFERROR(__xludf.DUMMYFUNCTION("GOOGLETRANSLATE(A37641, ""de"", ""en"")"),"tactical")</f>
        <v>tactical</v>
      </c>
    </row>
    <row r="37642">
      <c r="A37642" s="1" t="s">
        <v>37641</v>
      </c>
      <c r="B37642" s="2" t="str">
        <f>IFERROR(__xludf.DUMMYFUNCTION("GOOGLETRANSLATE(A37642, ""de"", ""en"")"),"bastards")</f>
        <v>bastards</v>
      </c>
    </row>
    <row r="37643">
      <c r="A37643" s="1" t="s">
        <v>37642</v>
      </c>
      <c r="B37643" s="2" t="str">
        <f>IFERROR(__xludf.DUMMYFUNCTION("GOOGLETRANSLATE(A37643, ""de"", ""en"")"),"hostilities")</f>
        <v>hostilities</v>
      </c>
    </row>
    <row r="37644">
      <c r="A37644" s="1" t="s">
        <v>37643</v>
      </c>
      <c r="B37644" s="2" t="str">
        <f>IFERROR(__xludf.DUMMYFUNCTION("GOOGLETRANSLATE(A37644, ""de"", ""en"")"),"doctors")</f>
        <v>doctors</v>
      </c>
    </row>
    <row r="37645">
      <c r="A37645" s="1" t="s">
        <v>37644</v>
      </c>
      <c r="B37645" s="2" t="str">
        <f>IFERROR(__xludf.DUMMYFUNCTION("GOOGLETRANSLATE(A37645, ""de"", ""en"")"),"damme")</f>
        <v>damme</v>
      </c>
    </row>
    <row r="37646">
      <c r="A37646" s="1" t="s">
        <v>37645</v>
      </c>
      <c r="B37646" s="2" t="str">
        <f>IFERROR(__xludf.DUMMYFUNCTION("GOOGLETRANSLATE(A37646, ""de"", ""en"")"),"adjust")</f>
        <v>adjust</v>
      </c>
    </row>
    <row r="37647">
      <c r="A37647" s="1" t="s">
        <v>37646</v>
      </c>
      <c r="B37647" s="2" t="str">
        <f>IFERROR(__xludf.DUMMYFUNCTION("GOOGLETRANSLATE(A37647, ""de"", ""en"")"),"frighten")</f>
        <v>frighten</v>
      </c>
    </row>
    <row r="37648">
      <c r="A37648" s="1" t="s">
        <v>37647</v>
      </c>
      <c r="B37648" s="2" t="str">
        <f>IFERROR(__xludf.DUMMYFUNCTION("GOOGLETRANSLATE(A37648, ""de"", ""en"")"),"imitated")</f>
        <v>imitated</v>
      </c>
    </row>
    <row r="37649">
      <c r="A37649" s="1" t="s">
        <v>37648</v>
      </c>
      <c r="B37649" s="2" t="str">
        <f>IFERROR(__xludf.DUMMYFUNCTION("GOOGLETRANSLATE(A37649, ""de"", ""en"")"),"church tower")</f>
        <v>church tower</v>
      </c>
    </row>
    <row r="37650">
      <c r="A37650" s="1" t="s">
        <v>37649</v>
      </c>
      <c r="B37650" s="2" t="str">
        <f>IFERROR(__xludf.DUMMYFUNCTION("GOOGLETRANSLATE(A37650, ""de"", ""en"")"),"to redeem")</f>
        <v>to redeem</v>
      </c>
    </row>
    <row r="37651">
      <c r="A37651" s="1" t="s">
        <v>37650</v>
      </c>
      <c r="B37651" s="2" t="str">
        <f>IFERROR(__xludf.DUMMYFUNCTION("GOOGLETRANSLATE(A37651, ""de"", ""en"")"),"blank")</f>
        <v>blank</v>
      </c>
    </row>
    <row r="37652">
      <c r="A37652" s="1" t="s">
        <v>37651</v>
      </c>
      <c r="B37652" s="2" t="str">
        <f>IFERROR(__xludf.DUMMYFUNCTION("GOOGLETRANSLATE(A37652, ""de"", ""en"")"),"juices")</f>
        <v>juices</v>
      </c>
    </row>
    <row r="37653">
      <c r="A37653" s="1" t="s">
        <v>37652</v>
      </c>
      <c r="B37653" s="2" t="str">
        <f>IFERROR(__xludf.DUMMYFUNCTION("GOOGLETRANSLATE(A37653, ""de"", ""en"")"),"finito")</f>
        <v>finito</v>
      </c>
    </row>
    <row r="37654">
      <c r="A37654" s="1" t="s">
        <v>37653</v>
      </c>
      <c r="B37654" s="2" t="str">
        <f>IFERROR(__xludf.DUMMYFUNCTION("GOOGLETRANSLATE(A37654, ""de"", ""en"")"),"urgent")</f>
        <v>urgent</v>
      </c>
    </row>
    <row r="37655">
      <c r="A37655" s="1" t="s">
        <v>37654</v>
      </c>
      <c r="B37655" s="2" t="str">
        <f>IFERROR(__xludf.DUMMYFUNCTION("GOOGLETRANSLATE(A37655, ""de"", ""en"")"),"Yao")</f>
        <v>Yao</v>
      </c>
    </row>
    <row r="37656">
      <c r="A37656" s="1" t="s">
        <v>37655</v>
      </c>
      <c r="B37656" s="2" t="str">
        <f>IFERROR(__xludf.DUMMYFUNCTION("GOOGLETRANSLATE(A37656, ""de"", ""en"")"),"postage")</f>
        <v>postage</v>
      </c>
    </row>
    <row r="37657">
      <c r="A37657" s="1" t="s">
        <v>37656</v>
      </c>
      <c r="B37657" s="2" t="str">
        <f>IFERROR(__xludf.DUMMYFUNCTION("GOOGLETRANSLATE(A37657, ""de"", ""en"")"),"paintball")</f>
        <v>paintball</v>
      </c>
    </row>
    <row r="37658">
      <c r="A37658" s="1" t="s">
        <v>37657</v>
      </c>
      <c r="B37658" s="2" t="str">
        <f>IFERROR(__xludf.DUMMYFUNCTION("GOOGLETRANSLATE(A37658, ""de"", ""en"")"),"bulldog")</f>
        <v>bulldog</v>
      </c>
    </row>
    <row r="37659">
      <c r="A37659" s="1" t="s">
        <v>37658</v>
      </c>
      <c r="B37659" s="2" t="str">
        <f>IFERROR(__xludf.DUMMYFUNCTION("GOOGLETRANSLATE(A37659, ""de"", ""en"")"),"wet")</f>
        <v>wet</v>
      </c>
    </row>
    <row r="37660">
      <c r="A37660" s="1" t="s">
        <v>37659</v>
      </c>
      <c r="B37660" s="2" t="str">
        <f>IFERROR(__xludf.DUMMYFUNCTION("GOOGLETRANSLATE(A37660, ""de"", ""en"")"),"gan")</f>
        <v>gan</v>
      </c>
    </row>
    <row r="37661">
      <c r="A37661" s="1" t="s">
        <v>37660</v>
      </c>
      <c r="B37661" s="2" t="str">
        <f>IFERROR(__xludf.DUMMYFUNCTION("GOOGLETRANSLATE(A37661, ""de"", ""en"")"),"deng")</f>
        <v>deng</v>
      </c>
    </row>
    <row r="37662">
      <c r="A37662" s="1" t="s">
        <v>37661</v>
      </c>
      <c r="B37662" s="2" t="str">
        <f>IFERROR(__xludf.DUMMYFUNCTION("GOOGLETRANSLATE(A37662, ""de"", ""en"")"),"oss")</f>
        <v>oss</v>
      </c>
    </row>
    <row r="37663">
      <c r="A37663" s="1" t="s">
        <v>37662</v>
      </c>
      <c r="B37663" s="2" t="str">
        <f>IFERROR(__xludf.DUMMYFUNCTION("GOOGLETRANSLATE(A37663, ""de"", ""en"")"),"kroger")</f>
        <v>kroger</v>
      </c>
    </row>
    <row r="37664">
      <c r="A37664" s="1" t="s">
        <v>37663</v>
      </c>
      <c r="B37664" s="2" t="str">
        <f>IFERROR(__xludf.DUMMYFUNCTION("GOOGLETRANSLATE(A37664, ""de"", ""en"")"),"resistance")</f>
        <v>resistance</v>
      </c>
    </row>
    <row r="37665">
      <c r="A37665" s="1" t="s">
        <v>37664</v>
      </c>
      <c r="B37665" s="2" t="str">
        <f>IFERROR(__xludf.DUMMYFUNCTION("GOOGLETRANSLATE(A37665, ""de"", ""en"")"),"shaky")</f>
        <v>shaky</v>
      </c>
    </row>
    <row r="37666">
      <c r="A37666" s="1" t="s">
        <v>37665</v>
      </c>
      <c r="B37666" s="2" t="str">
        <f>IFERROR(__xludf.DUMMYFUNCTION("GOOGLETRANSLATE(A37666, ""de"", ""en"")"),"night shifts")</f>
        <v>night shifts</v>
      </c>
    </row>
    <row r="37667">
      <c r="A37667" s="1" t="s">
        <v>37666</v>
      </c>
      <c r="B37667" s="2" t="str">
        <f>IFERROR(__xludf.DUMMYFUNCTION("GOOGLETRANSLATE(A37667, ""de"", ""en"")"),"deadline")</f>
        <v>deadline</v>
      </c>
    </row>
    <row r="37668">
      <c r="A37668" s="1" t="s">
        <v>37667</v>
      </c>
      <c r="B37668" s="2" t="str">
        <f>IFERROR(__xludf.DUMMYFUNCTION("GOOGLETRANSLATE(A37668, ""de"", ""en"")"),"robin")</f>
        <v>robin</v>
      </c>
    </row>
    <row r="37669">
      <c r="A37669" s="1" t="s">
        <v>37668</v>
      </c>
      <c r="B37669" s="2" t="str">
        <f>IFERROR(__xludf.DUMMYFUNCTION("GOOGLETRANSLATE(A37669, ""de"", ""en"")"),"grind")</f>
        <v>grind</v>
      </c>
    </row>
    <row r="37670">
      <c r="A37670" s="1" t="s">
        <v>37669</v>
      </c>
      <c r="B37670" s="2" t="str">
        <f>IFERROR(__xludf.DUMMYFUNCTION("GOOGLETRANSLATE(A37670, ""de"", ""en"")"),"awarded")</f>
        <v>awarded</v>
      </c>
    </row>
    <row r="37671">
      <c r="A37671" s="1" t="s">
        <v>37670</v>
      </c>
      <c r="B37671" s="2" t="str">
        <f>IFERROR(__xludf.DUMMYFUNCTION("GOOGLETRANSLATE(A37671, ""de"", ""en"")"),"penetrated")</f>
        <v>penetrated</v>
      </c>
    </row>
    <row r="37672">
      <c r="A37672" s="1" t="s">
        <v>37671</v>
      </c>
      <c r="B37672" s="2" t="str">
        <f>IFERROR(__xludf.DUMMYFUNCTION("GOOGLETRANSLATE(A37672, ""de"", ""en"")"),"lead foot")</f>
        <v>lead foot</v>
      </c>
    </row>
    <row r="37673">
      <c r="A37673" s="1" t="s">
        <v>37672</v>
      </c>
      <c r="B37673" s="2" t="str">
        <f>IFERROR(__xludf.DUMMYFUNCTION("GOOGLETRANSLATE(A37673, ""de"", ""en"")"),"telepathic")</f>
        <v>telepathic</v>
      </c>
    </row>
    <row r="37674">
      <c r="A37674" s="1" t="s">
        <v>37673</v>
      </c>
      <c r="B37674" s="2" t="str">
        <f>IFERROR(__xludf.DUMMYFUNCTION("GOOGLETRANSLATE(A37674, ""de"", ""en"")"),"relate")</f>
        <v>relate</v>
      </c>
    </row>
    <row r="37675">
      <c r="A37675" s="1" t="s">
        <v>37674</v>
      </c>
      <c r="B37675" s="2" t="str">
        <f>IFERROR(__xludf.DUMMYFUNCTION("GOOGLETRANSLATE(A37675, ""de"", ""en"")"),"business acumen")</f>
        <v>business acumen</v>
      </c>
    </row>
    <row r="37676">
      <c r="A37676" s="1" t="s">
        <v>37675</v>
      </c>
      <c r="B37676" s="2" t="str">
        <f>IFERROR(__xludf.DUMMYFUNCTION("GOOGLETRANSLATE(A37676, ""de"", ""en"")"),"rent")</f>
        <v>rent</v>
      </c>
    </row>
    <row r="37677">
      <c r="A37677" s="1" t="s">
        <v>37676</v>
      </c>
      <c r="B37677" s="2" t="str">
        <f>IFERROR(__xludf.DUMMYFUNCTION("GOOGLETRANSLATE(A37677, ""de"", ""en"")"),"dade")</f>
        <v>dade</v>
      </c>
    </row>
    <row r="37678">
      <c r="A37678" s="1" t="s">
        <v>37677</v>
      </c>
      <c r="B37678" s="2" t="str">
        <f>IFERROR(__xludf.DUMMYFUNCTION("GOOGLETRANSLATE(A37678, ""de"", ""en"")"),"ready to fire")</f>
        <v>ready to fire</v>
      </c>
    </row>
    <row r="37679">
      <c r="A37679" s="1" t="s">
        <v>37678</v>
      </c>
      <c r="B37679" s="2" t="str">
        <f>IFERROR(__xludf.DUMMYFUNCTION("GOOGLETRANSLATE(A37679, ""de"", ""en"")"),"hunters")</f>
        <v>hunters</v>
      </c>
    </row>
    <row r="37680">
      <c r="A37680" s="1" t="s">
        <v>37679</v>
      </c>
      <c r="B37680" s="2" t="str">
        <f>IFERROR(__xludf.DUMMYFUNCTION("GOOGLETRANSLATE(A37680, ""de"", ""en"")"),"daycare")</f>
        <v>daycare</v>
      </c>
    </row>
    <row r="37681">
      <c r="A37681" s="1" t="s">
        <v>37680</v>
      </c>
      <c r="B37681" s="2" t="str">
        <f>IFERROR(__xludf.DUMMYFUNCTION("GOOGLETRANSLATE(A37681, ""de"", ""en"")"),"adopted")</f>
        <v>adopted</v>
      </c>
    </row>
    <row r="37682">
      <c r="A37682" s="1" t="s">
        <v>37681</v>
      </c>
      <c r="B37682" s="2" t="str">
        <f>IFERROR(__xludf.DUMMYFUNCTION("GOOGLETRANSLATE(A37682, ""de"", ""en"")"),"sent away")</f>
        <v>sent away</v>
      </c>
    </row>
    <row r="37683">
      <c r="A37683" s="1" t="s">
        <v>37682</v>
      </c>
      <c r="B37683" s="2" t="str">
        <f>IFERROR(__xludf.DUMMYFUNCTION("GOOGLETRANSLATE(A37683, ""de"", ""en"")"),"clan")</f>
        <v>clan</v>
      </c>
    </row>
    <row r="37684">
      <c r="A37684" s="1" t="s">
        <v>37683</v>
      </c>
      <c r="B37684" s="2" t="str">
        <f>IFERROR(__xludf.DUMMYFUNCTION("GOOGLETRANSLATE(A37684, ""de"", ""en"")"),"honk")</f>
        <v>honk</v>
      </c>
    </row>
    <row r="37685">
      <c r="A37685" s="1" t="s">
        <v>37684</v>
      </c>
      <c r="B37685" s="2" t="str">
        <f>IFERROR(__xludf.DUMMYFUNCTION("GOOGLETRANSLATE(A37685, ""de"", ""en"")"),"trumped")</f>
        <v>trumped</v>
      </c>
    </row>
    <row r="37686">
      <c r="A37686" s="1" t="s">
        <v>37685</v>
      </c>
      <c r="B37686" s="2" t="str">
        <f>IFERROR(__xludf.DUMMYFUNCTION("GOOGLETRANSLATE(A37686, ""de"", ""en"")"),"farts")</f>
        <v>farts</v>
      </c>
    </row>
    <row r="37687">
      <c r="A37687" s="1" t="s">
        <v>37686</v>
      </c>
      <c r="B37687" s="2" t="str">
        <f>IFERROR(__xludf.DUMMYFUNCTION("GOOGLETRANSLATE(A37687, ""de"", ""en"")"),"chiefs")</f>
        <v>chiefs</v>
      </c>
    </row>
    <row r="37688">
      <c r="A37688" s="1" t="s">
        <v>37687</v>
      </c>
      <c r="B37688" s="2" t="str">
        <f>IFERROR(__xludf.DUMMYFUNCTION("GOOGLETRANSLATE(A37688, ""de"", ""en"")"),"sweatbox")</f>
        <v>sweatbox</v>
      </c>
    </row>
    <row r="37689">
      <c r="A37689" s="1" t="s">
        <v>37688</v>
      </c>
      <c r="B37689" s="2" t="str">
        <f>IFERROR(__xludf.DUMMYFUNCTION("GOOGLETRANSLATE(A37689, ""de"", ""en"")"),"Rothschild")</f>
        <v>Rothschild</v>
      </c>
    </row>
    <row r="37690">
      <c r="A37690" s="1" t="s">
        <v>37689</v>
      </c>
      <c r="B37690" s="2" t="str">
        <f>IFERROR(__xludf.DUMMYFUNCTION("GOOGLETRANSLATE(A37690, ""de"", ""en"")"),"spirits")</f>
        <v>spirits</v>
      </c>
    </row>
    <row r="37691">
      <c r="A37691" s="1" t="s">
        <v>37690</v>
      </c>
      <c r="B37691" s="2" t="str">
        <f>IFERROR(__xludf.DUMMYFUNCTION("GOOGLETRANSLATE(A37691, ""de"", ""en"")"),"rampage")</f>
        <v>rampage</v>
      </c>
    </row>
    <row r="37692">
      <c r="A37692" s="1" t="s">
        <v>37691</v>
      </c>
      <c r="B37692" s="2" t="str">
        <f>IFERROR(__xludf.DUMMYFUNCTION("GOOGLETRANSLATE(A37692, ""de"", ""en"")"),"stately")</f>
        <v>stately</v>
      </c>
    </row>
    <row r="37693">
      <c r="A37693" s="1" t="s">
        <v>37692</v>
      </c>
      <c r="B37693" s="2" t="str">
        <f>IFERROR(__xludf.DUMMYFUNCTION("GOOGLETRANSLATE(A37693, ""de"", ""en"")"),"teddy bears")</f>
        <v>teddy bears</v>
      </c>
    </row>
    <row r="37694">
      <c r="A37694" s="1" t="s">
        <v>37693</v>
      </c>
      <c r="B37694" s="2" t="str">
        <f>IFERROR(__xludf.DUMMYFUNCTION("GOOGLETRANSLATE(A37694, ""de"", ""en"")"),"hairdresser")</f>
        <v>hairdresser</v>
      </c>
    </row>
    <row r="37695">
      <c r="A37695" s="1" t="s">
        <v>37694</v>
      </c>
      <c r="B37695" s="2" t="str">
        <f>IFERROR(__xludf.DUMMYFUNCTION("GOOGLETRANSLATE(A37695, ""de"", ""en"")"),"texture")</f>
        <v>texture</v>
      </c>
    </row>
    <row r="37696">
      <c r="A37696" s="1" t="s">
        <v>37695</v>
      </c>
      <c r="B37696" s="2" t="str">
        <f>IFERROR(__xludf.DUMMYFUNCTION("GOOGLETRANSLATE(A37696, ""de"", ""en"")"),"activated")</f>
        <v>activated</v>
      </c>
    </row>
    <row r="37697">
      <c r="A37697" s="1" t="s">
        <v>37696</v>
      </c>
      <c r="B37697" s="2" t="str">
        <f>IFERROR(__xludf.DUMMYFUNCTION("GOOGLETRANSLATE(A37697, ""de"", ""en"")"),"latin")</f>
        <v>latin</v>
      </c>
    </row>
    <row r="37698">
      <c r="A37698" s="1" t="s">
        <v>37697</v>
      </c>
      <c r="B37698" s="2" t="str">
        <f>IFERROR(__xludf.DUMMYFUNCTION("GOOGLETRANSLATE(A37698, ""de"", ""en"")"),"kitsch")</f>
        <v>kitsch</v>
      </c>
    </row>
    <row r="37699">
      <c r="A37699" s="1" t="s">
        <v>37698</v>
      </c>
      <c r="B37699" s="2" t="str">
        <f>IFERROR(__xludf.DUMMYFUNCTION("GOOGLETRANSLATE(A37699, ""de"", ""en"")"),"assisted")</f>
        <v>assisted</v>
      </c>
    </row>
    <row r="37700">
      <c r="A37700" s="1" t="s">
        <v>37699</v>
      </c>
      <c r="B37700" s="2" t="str">
        <f>IFERROR(__xludf.DUMMYFUNCTION("GOOGLETRANSLATE(A37700, ""de"", ""en"")"),"cause")</f>
        <v>cause</v>
      </c>
    </row>
    <row r="37701">
      <c r="A37701" s="1" t="s">
        <v>37700</v>
      </c>
      <c r="B37701" s="2" t="str">
        <f>IFERROR(__xludf.DUMMYFUNCTION("GOOGLETRANSLATE(A37701, ""de"", ""en"")"),"ugly")</f>
        <v>ugly</v>
      </c>
    </row>
    <row r="37702">
      <c r="A37702" s="1" t="s">
        <v>37701</v>
      </c>
      <c r="B37702" s="2" t="str">
        <f>IFERROR(__xludf.DUMMYFUNCTION("GOOGLETRANSLATE(A37702, ""de"", ""en"")"),"mattis")</f>
        <v>mattis</v>
      </c>
    </row>
    <row r="37703">
      <c r="A37703" s="1" t="s">
        <v>37702</v>
      </c>
      <c r="B37703" s="2" t="str">
        <f>IFERROR(__xludf.DUMMYFUNCTION("GOOGLETRANSLATE(A37703, ""de"", ""en"")"),"Berthier")</f>
        <v>Berthier</v>
      </c>
    </row>
    <row r="37704">
      <c r="A37704" s="1" t="s">
        <v>37703</v>
      </c>
      <c r="B37704" s="2" t="str">
        <f>IFERROR(__xludf.DUMMYFUNCTION("GOOGLETRANSLATE(A37704, ""de"", ""en"")"),"withdrawal symptoms")</f>
        <v>withdrawal symptoms</v>
      </c>
    </row>
    <row r="37705">
      <c r="A37705" s="1" t="s">
        <v>37704</v>
      </c>
      <c r="B37705" s="2" t="str">
        <f>IFERROR(__xludf.DUMMYFUNCTION("GOOGLETRANSLATE(A37705, ""de"", ""en"")"),"grimms")</f>
        <v>grimms</v>
      </c>
    </row>
    <row r="37706">
      <c r="A37706" s="1" t="s">
        <v>37705</v>
      </c>
      <c r="B37706" s="2" t="str">
        <f>IFERROR(__xludf.DUMMYFUNCTION("GOOGLETRANSLATE(A37706, ""de"", ""en"")"),"cabernet")</f>
        <v>cabernet</v>
      </c>
    </row>
    <row r="37707">
      <c r="A37707" s="1" t="s">
        <v>37706</v>
      </c>
      <c r="B37707" s="2" t="str">
        <f>IFERROR(__xludf.DUMMYFUNCTION("GOOGLETRANSLATE(A37707, ""de"", ""en"")"),"dubious")</f>
        <v>dubious</v>
      </c>
    </row>
    <row r="37708">
      <c r="A37708" s="1" t="s">
        <v>37707</v>
      </c>
      <c r="B37708" s="2" t="str">
        <f>IFERROR(__xludf.DUMMYFUNCTION("GOOGLETRANSLATE(A37708, ""de"", ""en"")"),"in advance")</f>
        <v>in advance</v>
      </c>
    </row>
    <row r="37709">
      <c r="A37709" s="1" t="s">
        <v>37708</v>
      </c>
      <c r="B37709" s="2" t="str">
        <f>IFERROR(__xludf.DUMMYFUNCTION("GOOGLETRANSLATE(A37709, ""de"", ""en"")"),"beautiful")</f>
        <v>beautiful</v>
      </c>
    </row>
    <row r="37710">
      <c r="A37710" s="1" t="s">
        <v>37709</v>
      </c>
      <c r="B37710" s="2" t="str">
        <f>IFERROR(__xludf.DUMMYFUNCTION("GOOGLETRANSLATE(A37710, ""de"", ""en"")"),"adoptive parents")</f>
        <v>adoptive parents</v>
      </c>
    </row>
    <row r="37711">
      <c r="A37711" s="1" t="s">
        <v>37710</v>
      </c>
      <c r="B37711" s="2" t="str">
        <f>IFERROR(__xludf.DUMMYFUNCTION("GOOGLETRANSLATE(A37711, ""de"", ""en"")"),"starving")</f>
        <v>starving</v>
      </c>
    </row>
    <row r="37712">
      <c r="A37712" s="1" t="s">
        <v>37711</v>
      </c>
      <c r="B37712" s="2" t="str">
        <f>IFERROR(__xludf.DUMMYFUNCTION("GOOGLETRANSLATE(A37712, ""de"", ""en"")"),"tip top")</f>
        <v>tip top</v>
      </c>
    </row>
    <row r="37713">
      <c r="A37713" s="1" t="s">
        <v>37712</v>
      </c>
      <c r="B37713" s="2" t="str">
        <f>IFERROR(__xludf.DUMMYFUNCTION("GOOGLETRANSLATE(A37713, ""de"", ""en"")"),"defenseless")</f>
        <v>defenseless</v>
      </c>
    </row>
    <row r="37714">
      <c r="A37714" s="1" t="s">
        <v>37713</v>
      </c>
      <c r="B37714" s="2" t="str">
        <f>IFERROR(__xludf.DUMMYFUNCTION("GOOGLETRANSLATE(A37714, ""de"", ""en"")"),"seaworld")</f>
        <v>seaworld</v>
      </c>
    </row>
    <row r="37715">
      <c r="A37715" s="1" t="s">
        <v>37714</v>
      </c>
      <c r="B37715" s="2" t="str">
        <f>IFERROR(__xludf.DUMMYFUNCTION("GOOGLETRANSLATE(A37715, ""de"", ""en"")"),"synchronized")</f>
        <v>synchronized</v>
      </c>
    </row>
    <row r="37716">
      <c r="A37716" s="1" t="s">
        <v>37715</v>
      </c>
      <c r="B37716" s="2" t="str">
        <f>IFERROR(__xludf.DUMMYFUNCTION("GOOGLETRANSLATE(A37716, ""de"", ""en"")"),"kaoru")</f>
        <v>kaoru</v>
      </c>
    </row>
    <row r="37717">
      <c r="A37717" s="1" t="s">
        <v>37716</v>
      </c>
      <c r="B37717" s="2" t="str">
        <f>IFERROR(__xludf.DUMMYFUNCTION("GOOGLETRANSLATE(A37717, ""de"", ""en"")"),"revolutions")</f>
        <v>revolutions</v>
      </c>
    </row>
    <row r="37718">
      <c r="A37718" s="1" t="s">
        <v>37717</v>
      </c>
      <c r="B37718" s="2" t="str">
        <f>IFERROR(__xludf.DUMMYFUNCTION("GOOGLETRANSLATE(A37718, ""de"", ""en"")"),"complete")</f>
        <v>complete</v>
      </c>
    </row>
    <row r="37719">
      <c r="A37719" s="1" t="s">
        <v>37718</v>
      </c>
      <c r="B37719" s="2" t="str">
        <f>IFERROR(__xludf.DUMMYFUNCTION("GOOGLETRANSLATE(A37719, ""de"", ""en"")"),"polio")</f>
        <v>polio</v>
      </c>
    </row>
    <row r="37720">
      <c r="A37720" s="1" t="s">
        <v>37719</v>
      </c>
      <c r="B37720" s="2" t="str">
        <f>IFERROR(__xludf.DUMMYFUNCTION("GOOGLETRANSLATE(A37720, ""de"", ""en"")"),"bypass")</f>
        <v>bypass</v>
      </c>
    </row>
    <row r="37721">
      <c r="A37721" s="1" t="s">
        <v>37720</v>
      </c>
      <c r="B37721" s="2" t="str">
        <f>IFERROR(__xludf.DUMMYFUNCTION("GOOGLETRANSLATE(A37721, ""de"", ""en"")"),"eaten")</f>
        <v>eaten</v>
      </c>
    </row>
    <row r="37722">
      <c r="A37722" s="1" t="s">
        <v>37721</v>
      </c>
      <c r="B37722" s="2" t="str">
        <f>IFERROR(__xludf.DUMMYFUNCTION("GOOGLETRANSLATE(A37722, ""de"", ""en"")"),"questioned")</f>
        <v>questioned</v>
      </c>
    </row>
    <row r="37723">
      <c r="A37723" s="1" t="s">
        <v>37722</v>
      </c>
      <c r="B37723" s="2" t="str">
        <f>IFERROR(__xludf.DUMMYFUNCTION("GOOGLETRANSLATE(A37723, ""de"", ""en"")"),"readers")</f>
        <v>readers</v>
      </c>
    </row>
    <row r="37724">
      <c r="A37724" s="1" t="s">
        <v>37723</v>
      </c>
      <c r="B37724" s="2" t="str">
        <f>IFERROR(__xludf.DUMMYFUNCTION("GOOGLETRANSLATE(A37724, ""de"", ""en"")"),"bla bla bla")</f>
        <v>bla bla bla</v>
      </c>
    </row>
    <row r="37725">
      <c r="A37725" s="1" t="s">
        <v>37724</v>
      </c>
      <c r="B37725" s="2" t="str">
        <f>IFERROR(__xludf.DUMMYFUNCTION("GOOGLETRANSLATE(A37725, ""de"", ""en"")"),"smeagol")</f>
        <v>smeagol</v>
      </c>
    </row>
    <row r="37726">
      <c r="A37726" s="1" t="s">
        <v>37725</v>
      </c>
      <c r="B37726" s="2" t="str">
        <f>IFERROR(__xludf.DUMMYFUNCTION("GOOGLETRANSLATE(A37726, ""de"", ""en"")"),"sharpest")</f>
        <v>sharpest</v>
      </c>
    </row>
    <row r="37727">
      <c r="A37727" s="1" t="s">
        <v>37726</v>
      </c>
      <c r="B37727" s="2" t="str">
        <f>IFERROR(__xludf.DUMMYFUNCTION("GOOGLETRANSLATE(A37727, ""de"", ""en"")"),"coionei")</f>
        <v>coionei</v>
      </c>
    </row>
    <row r="37728">
      <c r="A37728" s="1" t="s">
        <v>37727</v>
      </c>
      <c r="B37728" s="2" t="str">
        <f>IFERROR(__xludf.DUMMYFUNCTION("GOOGLETRANSLATE(A37728, ""de"", ""en"")"),"appetizing")</f>
        <v>appetizing</v>
      </c>
    </row>
    <row r="37729">
      <c r="A37729" s="1" t="s">
        <v>37728</v>
      </c>
      <c r="B37729" s="2" t="str">
        <f>IFERROR(__xludf.DUMMYFUNCTION("GOOGLETRANSLATE(A37729, ""de"", ""en"")"),"shameless")</f>
        <v>shameless</v>
      </c>
    </row>
    <row r="37730">
      <c r="A37730" s="1" t="s">
        <v>37729</v>
      </c>
      <c r="B37730" s="2" t="str">
        <f>IFERROR(__xludf.DUMMYFUNCTION("GOOGLETRANSLATE(A37730, ""de"", ""en"")"),"brilliant")</f>
        <v>brilliant</v>
      </c>
    </row>
    <row r="37731">
      <c r="A37731" s="1" t="s">
        <v>37730</v>
      </c>
      <c r="B37731" s="2" t="str">
        <f>IFERROR(__xludf.DUMMYFUNCTION("GOOGLETRANSLATE(A37731, ""de"", ""en"")"),"sneak out")</f>
        <v>sneak out</v>
      </c>
    </row>
    <row r="37732">
      <c r="A37732" s="1" t="s">
        <v>37731</v>
      </c>
      <c r="B37732" s="2" t="str">
        <f>IFERROR(__xludf.DUMMYFUNCTION("GOOGLETRANSLATE(A37732, ""de"", ""en"")"),"dance partner")</f>
        <v>dance partner</v>
      </c>
    </row>
    <row r="37733">
      <c r="A37733" s="1" t="s">
        <v>37732</v>
      </c>
      <c r="B37733" s="2" t="str">
        <f>IFERROR(__xludf.DUMMYFUNCTION("GOOGLETRANSLATE(A37733, ""de"", ""en"")"),"maps")</f>
        <v>maps</v>
      </c>
    </row>
    <row r="37734">
      <c r="A37734" s="1" t="s">
        <v>37733</v>
      </c>
      <c r="B37734" s="2" t="str">
        <f>IFERROR(__xludf.DUMMYFUNCTION("GOOGLETRANSLATE(A37734, ""de"", ""en"")"),"demanding")</f>
        <v>demanding</v>
      </c>
    </row>
    <row r="37735">
      <c r="A37735" s="1" t="s">
        <v>37734</v>
      </c>
      <c r="B37735" s="2" t="str">
        <f>IFERROR(__xludf.DUMMYFUNCTION("GOOGLETRANSLATE(A37735, ""de"", ""en"")"),"basketball game")</f>
        <v>basketball game</v>
      </c>
    </row>
    <row r="37736">
      <c r="A37736" s="1" t="s">
        <v>37735</v>
      </c>
      <c r="B37736" s="2" t="str">
        <f>IFERROR(__xludf.DUMMYFUNCTION("GOOGLETRANSLATE(A37736, ""de"", ""en"")"),"officers' mess")</f>
        <v>officers' mess</v>
      </c>
    </row>
    <row r="37737">
      <c r="A37737" s="1" t="s">
        <v>37736</v>
      </c>
      <c r="B37737" s="2" t="str">
        <f>IFERROR(__xludf.DUMMYFUNCTION("GOOGLETRANSLATE(A37737, ""de"", ""en"")"),"mucky")</f>
        <v>mucky</v>
      </c>
    </row>
    <row r="37738">
      <c r="A37738" s="1" t="s">
        <v>37737</v>
      </c>
      <c r="B37738" s="2" t="str">
        <f>IFERROR(__xludf.DUMMYFUNCTION("GOOGLETRANSLATE(A37738, ""de"", ""en"")"),"nanoprobes")</f>
        <v>nanoprobes</v>
      </c>
    </row>
    <row r="37739">
      <c r="A37739" s="1" t="s">
        <v>37738</v>
      </c>
      <c r="B37739" s="2" t="str">
        <f>IFERROR(__xludf.DUMMYFUNCTION("GOOGLETRANSLATE(A37739, ""de"", ""en"")"),"ibn")</f>
        <v>ibn</v>
      </c>
    </row>
    <row r="37740">
      <c r="A37740" s="1" t="s">
        <v>37739</v>
      </c>
      <c r="B37740" s="2" t="str">
        <f>IFERROR(__xludf.DUMMYFUNCTION("GOOGLETRANSLATE(A37740, ""de"", ""en"")"),"indochina")</f>
        <v>indochina</v>
      </c>
    </row>
    <row r="37741">
      <c r="A37741" s="1" t="s">
        <v>37740</v>
      </c>
      <c r="B37741" s="2" t="str">
        <f>IFERROR(__xludf.DUMMYFUNCTION("GOOGLETRANSLATE(A37741, ""de"", ""en"")"),"Hindus")</f>
        <v>Hindus</v>
      </c>
    </row>
    <row r="37742">
      <c r="A37742" s="1" t="s">
        <v>37741</v>
      </c>
      <c r="B37742" s="2" t="str">
        <f>IFERROR(__xludf.DUMMYFUNCTION("GOOGLETRANSLATE(A37742, ""de"", ""en"")"),"juvenile prison")</f>
        <v>juvenile prison</v>
      </c>
    </row>
    <row r="37743">
      <c r="A37743" s="1" t="s">
        <v>37742</v>
      </c>
      <c r="B37743" s="2" t="str">
        <f>IFERROR(__xludf.DUMMYFUNCTION("GOOGLETRANSLATE(A37743, ""de"", ""en"")"),"Kimmie")</f>
        <v>Kimmie</v>
      </c>
    </row>
    <row r="37744">
      <c r="A37744" s="1" t="s">
        <v>37743</v>
      </c>
      <c r="B37744" s="2" t="str">
        <f>IFERROR(__xludf.DUMMYFUNCTION("GOOGLETRANSLATE(A37744, ""de"", ""en"")"),"tit")</f>
        <v>tit</v>
      </c>
    </row>
    <row r="37745">
      <c r="A37745" s="1" t="s">
        <v>37744</v>
      </c>
      <c r="B37745" s="2" t="str">
        <f>IFERROR(__xludf.DUMMYFUNCTION("GOOGLETRANSLATE(A37745, ""de"", ""en"")"),"car wash")</f>
        <v>car wash</v>
      </c>
    </row>
    <row r="37746">
      <c r="A37746" s="1" t="s">
        <v>37745</v>
      </c>
      <c r="B37746" s="2" t="str">
        <f>IFERROR(__xludf.DUMMYFUNCTION("GOOGLETRANSLATE(A37746, ""de"", ""en"")"),"piney")</f>
        <v>piney</v>
      </c>
    </row>
    <row r="37747">
      <c r="A37747" s="1" t="s">
        <v>37746</v>
      </c>
      <c r="B37747" s="2" t="str">
        <f>IFERROR(__xludf.DUMMYFUNCTION("GOOGLETRANSLATE(A37747, ""de"", ""en"")"),"villas")</f>
        <v>villas</v>
      </c>
    </row>
    <row r="37748">
      <c r="A37748" s="1" t="s">
        <v>37747</v>
      </c>
      <c r="B37748" s="2" t="str">
        <f>IFERROR(__xludf.DUMMYFUNCTION("GOOGLETRANSLATE(A37748, ""de"", ""en"")"),"ballet")</f>
        <v>ballet</v>
      </c>
    </row>
    <row r="37749">
      <c r="A37749" s="1" t="s">
        <v>37748</v>
      </c>
      <c r="B37749" s="2" t="str">
        <f>IFERROR(__xludf.DUMMYFUNCTION("GOOGLETRANSLATE(A37749, ""de"", ""en"")"),"meade")</f>
        <v>meade</v>
      </c>
    </row>
    <row r="37750">
      <c r="A37750" s="1" t="s">
        <v>37749</v>
      </c>
      <c r="B37750" s="2" t="str">
        <f>IFERROR(__xludf.DUMMYFUNCTION("GOOGLETRANSLATE(A37750, ""de"", ""en"")"),"fried")</f>
        <v>fried</v>
      </c>
    </row>
    <row r="37751">
      <c r="A37751" s="1" t="s">
        <v>37750</v>
      </c>
      <c r="B37751" s="2" t="str">
        <f>IFERROR(__xludf.DUMMYFUNCTION("GOOGLETRANSLATE(A37751, ""de"", ""en"")"),"imperial")</f>
        <v>imperial</v>
      </c>
    </row>
    <row r="37752">
      <c r="A37752" s="1" t="s">
        <v>37751</v>
      </c>
      <c r="B37752" s="2" t="str">
        <f>IFERROR(__xludf.DUMMYFUNCTION("GOOGLETRANSLATE(A37752, ""de"", ""en"")"),"calls back")</f>
        <v>calls back</v>
      </c>
    </row>
    <row r="37753">
      <c r="A37753" s="1" t="s">
        <v>37752</v>
      </c>
      <c r="B37753" s="2" t="str">
        <f>IFERROR(__xludf.DUMMYFUNCTION("GOOGLETRANSLATE(A37753, ""de"", ""en"")"),"to move away")</f>
        <v>to move away</v>
      </c>
    </row>
    <row r="37754">
      <c r="A37754" s="1" t="s">
        <v>37753</v>
      </c>
      <c r="B37754" s="2" t="str">
        <f>IFERROR(__xludf.DUMMYFUNCTION("GOOGLETRANSLATE(A37754, ""de"", ""en"")"),"lim")</f>
        <v>lim</v>
      </c>
    </row>
    <row r="37755">
      <c r="A37755" s="1" t="s">
        <v>37754</v>
      </c>
      <c r="B37755" s="2" t="str">
        <f>IFERROR(__xludf.DUMMYFUNCTION("GOOGLETRANSLATE(A37755, ""de"", ""en"")"),"bounces")</f>
        <v>bounces</v>
      </c>
    </row>
    <row r="37756">
      <c r="A37756" s="1" t="s">
        <v>37755</v>
      </c>
      <c r="B37756" s="2" t="str">
        <f>IFERROR(__xludf.DUMMYFUNCTION("GOOGLETRANSLATE(A37756, ""de"", ""en"")"),"limited")</f>
        <v>limited</v>
      </c>
    </row>
    <row r="37757">
      <c r="A37757" s="1" t="s">
        <v>37756</v>
      </c>
      <c r="B37757" s="2" t="str">
        <f>IFERROR(__xludf.DUMMYFUNCTION("GOOGLETRANSLATE(A37757, ""de"", ""en"")"),"filippo")</f>
        <v>filippo</v>
      </c>
    </row>
    <row r="37758">
      <c r="A37758" s="1" t="s">
        <v>37757</v>
      </c>
      <c r="B37758" s="2" t="str">
        <f>IFERROR(__xludf.DUMMYFUNCTION("GOOGLETRANSLATE(A37758, ""de"", ""en"")"),"cyst")</f>
        <v>cyst</v>
      </c>
    </row>
    <row r="37759">
      <c r="A37759" s="1" t="s">
        <v>37758</v>
      </c>
      <c r="B37759" s="2" t="str">
        <f>IFERROR(__xludf.DUMMYFUNCTION("GOOGLETRANSLATE(A37759, ""de"", ""en"")"),"liams")</f>
        <v>liams</v>
      </c>
    </row>
    <row r="37760">
      <c r="A37760" s="1" t="s">
        <v>37759</v>
      </c>
      <c r="B37760" s="2" t="str">
        <f>IFERROR(__xludf.DUMMYFUNCTION("GOOGLETRANSLATE(A37760, ""de"", ""en"")"),"s01e03")</f>
        <v>s01e03</v>
      </c>
    </row>
    <row r="37761">
      <c r="A37761" s="1" t="s">
        <v>37760</v>
      </c>
      <c r="B37761" s="2" t="str">
        <f>IFERROR(__xludf.DUMMYFUNCTION("GOOGLETRANSLATE(A37761, ""de"", ""en"")"),"l.a.p.d.")</f>
        <v>l.a.p.d.</v>
      </c>
    </row>
    <row r="37762">
      <c r="A37762" s="1" t="s">
        <v>37761</v>
      </c>
      <c r="B37762" s="2" t="str">
        <f>IFERROR(__xludf.DUMMYFUNCTION("GOOGLETRANSLATE(A37762, ""de"", ""en"")"),"elegant")</f>
        <v>elegant</v>
      </c>
    </row>
    <row r="37763">
      <c r="A37763" s="1" t="s">
        <v>37762</v>
      </c>
      <c r="B37763" s="2" t="str">
        <f>IFERROR(__xludf.DUMMYFUNCTION("GOOGLETRANSLATE(A37763, ""de"", ""en"")"),"overdrawn")</f>
        <v>overdrawn</v>
      </c>
    </row>
    <row r="37764">
      <c r="A37764" s="1" t="s">
        <v>37763</v>
      </c>
      <c r="B37764" s="2" t="str">
        <f>IFERROR(__xludf.DUMMYFUNCTION("GOOGLETRANSLATE(A37764, ""de"", ""en"")"),"short term")</f>
        <v>short term</v>
      </c>
    </row>
    <row r="37765">
      <c r="A37765" s="1" t="s">
        <v>37764</v>
      </c>
      <c r="B37765" s="2" t="str">
        <f>IFERROR(__xludf.DUMMYFUNCTION("GOOGLETRANSLATE(A37765, ""de"", ""en"")"),"auditorium")</f>
        <v>auditorium</v>
      </c>
    </row>
    <row r="37766">
      <c r="A37766" s="1" t="s">
        <v>37765</v>
      </c>
      <c r="B37766" s="2" t="str">
        <f>IFERROR(__xludf.DUMMYFUNCTION("GOOGLETRANSLATE(A37766, ""de"", ""en"")"),"berlioz")</f>
        <v>berlioz</v>
      </c>
    </row>
    <row r="37767">
      <c r="A37767" s="1" t="s">
        <v>37766</v>
      </c>
      <c r="B37767" s="2" t="str">
        <f>IFERROR(__xludf.DUMMYFUNCTION("GOOGLETRANSLATE(A37767, ""de"", ""en"")"),"alana")</f>
        <v>alana</v>
      </c>
    </row>
    <row r="37768">
      <c r="A37768" s="1" t="s">
        <v>37767</v>
      </c>
      <c r="B37768" s="2" t="str">
        <f>IFERROR(__xludf.DUMMYFUNCTION("GOOGLETRANSLATE(A37768, ""de"", ""en"")"),"maps")</f>
        <v>maps</v>
      </c>
    </row>
    <row r="37769">
      <c r="A37769" s="1" t="s">
        <v>37768</v>
      </c>
      <c r="B37769" s="2" t="str">
        <f>IFERROR(__xludf.DUMMYFUNCTION("GOOGLETRANSLATE(A37769, ""de"", ""en"")"),"increased")</f>
        <v>increased</v>
      </c>
    </row>
    <row r="37770">
      <c r="A37770" s="1" t="s">
        <v>37769</v>
      </c>
      <c r="B37770" s="2" t="str">
        <f>IFERROR(__xludf.DUMMYFUNCTION("GOOGLETRANSLATE(A37770, ""de"", ""en"")"),"iced")</f>
        <v>iced</v>
      </c>
    </row>
    <row r="37771">
      <c r="A37771" s="1" t="s">
        <v>37770</v>
      </c>
      <c r="B37771" s="2" t="str">
        <f>IFERROR(__xludf.DUMMYFUNCTION("GOOGLETRANSLATE(A37771, ""de"", ""en"")"),"tree stump")</f>
        <v>tree stump</v>
      </c>
    </row>
    <row r="37772">
      <c r="A37772" s="1" t="s">
        <v>37771</v>
      </c>
      <c r="B37772" s="2" t="str">
        <f>IFERROR(__xludf.DUMMYFUNCTION("GOOGLETRANSLATE(A37772, ""de"", ""en"")"),"more paranoid")</f>
        <v>more paranoid</v>
      </c>
    </row>
    <row r="37773">
      <c r="A37773" s="1" t="s">
        <v>37772</v>
      </c>
      <c r="B37773" s="2" t="str">
        <f>IFERROR(__xludf.DUMMYFUNCTION("GOOGLETRANSLATE(A37773, ""de"", ""en"")"),"kick ass")</f>
        <v>kick ass</v>
      </c>
    </row>
    <row r="37774">
      <c r="A37774" s="1" t="s">
        <v>37773</v>
      </c>
      <c r="B37774" s="2" t="str">
        <f>IFERROR(__xludf.DUMMYFUNCTION("GOOGLETRANSLATE(A37774, ""de"", ""en"")"),"expeditions")</f>
        <v>expeditions</v>
      </c>
    </row>
    <row r="37775">
      <c r="A37775" s="1" t="s">
        <v>37774</v>
      </c>
      <c r="B37775" s="2" t="str">
        <f>IFERROR(__xludf.DUMMYFUNCTION("GOOGLETRANSLATE(A37775, ""de"", ""en"")"),"dry out")</f>
        <v>dry out</v>
      </c>
    </row>
    <row r="37776">
      <c r="A37776" s="1" t="s">
        <v>37775</v>
      </c>
      <c r="B37776" s="2" t="str">
        <f>IFERROR(__xludf.DUMMYFUNCTION("GOOGLETRANSLATE(A37776, ""de"", ""en"")"),"agreed")</f>
        <v>agreed</v>
      </c>
    </row>
    <row r="37777">
      <c r="A37777" s="1" t="s">
        <v>37776</v>
      </c>
      <c r="B37777" s="2" t="str">
        <f>IFERROR(__xludf.DUMMYFUNCTION("GOOGLETRANSLATE(A37777, ""de"", ""en"")"),"restless")</f>
        <v>restless</v>
      </c>
    </row>
    <row r="37778">
      <c r="A37778" s="1" t="s">
        <v>37777</v>
      </c>
      <c r="B37778" s="2" t="str">
        <f>IFERROR(__xludf.DUMMYFUNCTION("GOOGLETRANSLATE(A37778, ""de"", ""en"")"),"blob")</f>
        <v>blob</v>
      </c>
    </row>
    <row r="37779">
      <c r="A37779" s="1" t="s">
        <v>37778</v>
      </c>
      <c r="B37779" s="2" t="str">
        <f>IFERROR(__xludf.DUMMYFUNCTION("GOOGLETRANSLATE(A37779, ""de"", ""en"")"),"rainy season")</f>
        <v>rainy season</v>
      </c>
    </row>
    <row r="37780">
      <c r="A37780" s="1" t="s">
        <v>37779</v>
      </c>
      <c r="B37780" s="2" t="str">
        <f>IFERROR(__xludf.DUMMYFUNCTION("GOOGLETRANSLATE(A37780, ""de"", ""en"")"),"Cartagena")</f>
        <v>Cartagena</v>
      </c>
    </row>
    <row r="37781">
      <c r="A37781" s="1" t="s">
        <v>37780</v>
      </c>
      <c r="B37781" s="2" t="str">
        <f>IFERROR(__xludf.DUMMYFUNCTION("GOOGLETRANSLATE(A37781, ""de"", ""en"")"),"meanest")</f>
        <v>meanest</v>
      </c>
    </row>
    <row r="37782">
      <c r="A37782" s="1" t="s">
        <v>37781</v>
      </c>
      <c r="B37782" s="2" t="str">
        <f>IFERROR(__xludf.DUMMYFUNCTION("GOOGLETRANSLATE(A37782, ""de"", ""en"")"),"cornfield")</f>
        <v>cornfield</v>
      </c>
    </row>
    <row r="37783">
      <c r="A37783" s="1" t="s">
        <v>37782</v>
      </c>
      <c r="B37783" s="2" t="str">
        <f>IFERROR(__xludf.DUMMYFUNCTION("GOOGLETRANSLATE(A37783, ""de"", ""en"")"),"karli")</f>
        <v>karli</v>
      </c>
    </row>
    <row r="37784">
      <c r="A37784" s="1" t="s">
        <v>37783</v>
      </c>
      <c r="B37784" s="2" t="str">
        <f>IFERROR(__xludf.DUMMYFUNCTION("GOOGLETRANSLATE(A37784, ""de"", ""en"")"),"puny")</f>
        <v>puny</v>
      </c>
    </row>
    <row r="37785">
      <c r="A37785" s="1" t="s">
        <v>37784</v>
      </c>
      <c r="B37785" s="2" t="str">
        <f>IFERROR(__xludf.DUMMYFUNCTION("GOOGLETRANSLATE(A37785, ""de"", ""en"")"),"disposed of")</f>
        <v>disposed of</v>
      </c>
    </row>
    <row r="37786">
      <c r="A37786" s="1" t="s">
        <v>37785</v>
      </c>
      <c r="B37786" s="2" t="str">
        <f>IFERROR(__xludf.DUMMYFUNCTION("GOOGLETRANSLATE(A37786, ""de"", ""en"")"),"performed")</f>
        <v>performed</v>
      </c>
    </row>
    <row r="37787">
      <c r="A37787" s="1" t="s">
        <v>37786</v>
      </c>
      <c r="B37787" s="2" t="str">
        <f>IFERROR(__xludf.DUMMYFUNCTION("GOOGLETRANSLATE(A37787, ""de"", ""en"")"),"poison")</f>
        <v>poison</v>
      </c>
    </row>
    <row r="37788">
      <c r="A37788" s="1" t="s">
        <v>37787</v>
      </c>
      <c r="B37788" s="2" t="str">
        <f>IFERROR(__xludf.DUMMYFUNCTION("GOOGLETRANSLATE(A37788, ""de"", ""en"")"),"recovered")</f>
        <v>recovered</v>
      </c>
    </row>
    <row r="37789">
      <c r="A37789" s="1" t="s">
        <v>37788</v>
      </c>
      <c r="B37789" s="2" t="str">
        <f>IFERROR(__xludf.DUMMYFUNCTION("GOOGLETRANSLATE(A37789, ""de"", ""en"")"),"newcomers")</f>
        <v>newcomers</v>
      </c>
    </row>
    <row r="37790">
      <c r="A37790" s="1" t="s">
        <v>37789</v>
      </c>
      <c r="B37790" s="2" t="str">
        <f>IFERROR(__xludf.DUMMYFUNCTION("GOOGLETRANSLATE(A37790, ""de"", ""en"")"),"bjarne")</f>
        <v>bjarne</v>
      </c>
    </row>
    <row r="37791">
      <c r="A37791" s="1" t="s">
        <v>37790</v>
      </c>
      <c r="B37791" s="2" t="str">
        <f>IFERROR(__xludf.DUMMYFUNCTION("GOOGLETRANSLATE(A37791, ""de"", ""en"")"),"Brazilian")</f>
        <v>Brazilian</v>
      </c>
    </row>
    <row r="37792">
      <c r="A37792" s="1" t="s">
        <v>37791</v>
      </c>
      <c r="B37792" s="2" t="str">
        <f>IFERROR(__xludf.DUMMYFUNCTION("GOOGLETRANSLATE(A37792, ""de"", ""en"")"),"ice skating")</f>
        <v>ice skating</v>
      </c>
    </row>
    <row r="37793">
      <c r="A37793" s="1" t="s">
        <v>37792</v>
      </c>
      <c r="B37793" s="2" t="str">
        <f>IFERROR(__xludf.DUMMYFUNCTION("GOOGLETRANSLATE(A37793, ""de"", ""en"")"),"stuck")</f>
        <v>stuck</v>
      </c>
    </row>
    <row r="37794">
      <c r="A37794" s="1" t="s">
        <v>37793</v>
      </c>
      <c r="B37794" s="2" t="str">
        <f>IFERROR(__xludf.DUMMYFUNCTION("GOOGLETRANSLATE(A37794, ""de"", ""en"")"),"kimba")</f>
        <v>kimba</v>
      </c>
    </row>
    <row r="37795">
      <c r="A37795" s="1" t="s">
        <v>37794</v>
      </c>
      <c r="B37795" s="2" t="str">
        <f>IFERROR(__xludf.DUMMYFUNCTION("GOOGLETRANSLATE(A37795, ""de"", ""en"")"),"economically")</f>
        <v>economically</v>
      </c>
    </row>
    <row r="37796">
      <c r="A37796" s="1" t="s">
        <v>37795</v>
      </c>
      <c r="B37796" s="2" t="str">
        <f>IFERROR(__xludf.DUMMYFUNCTION("GOOGLETRANSLATE(A37796, ""de"", ""en"")"),"yo-yo")</f>
        <v>yo-yo</v>
      </c>
    </row>
    <row r="37797">
      <c r="A37797" s="1" t="s">
        <v>37796</v>
      </c>
      <c r="B37797" s="2" t="str">
        <f>IFERROR(__xludf.DUMMYFUNCTION("GOOGLETRANSLATE(A37797, ""de"", ""en"")"),"fell into disrepair")</f>
        <v>fell into disrepair</v>
      </c>
    </row>
    <row r="37798">
      <c r="A37798" s="1" t="s">
        <v>37797</v>
      </c>
      <c r="B37798" s="2" t="str">
        <f>IFERROR(__xludf.DUMMYFUNCTION("GOOGLETRANSLATE(A37798, ""de"", ""en"")"),"experimented")</f>
        <v>experimented</v>
      </c>
    </row>
    <row r="37799">
      <c r="A37799" s="1" t="s">
        <v>37798</v>
      </c>
      <c r="B37799" s="2" t="str">
        <f>IFERROR(__xludf.DUMMYFUNCTION("GOOGLETRANSLATE(A37799, ""de"", ""en"")"),"eugenia")</f>
        <v>eugenia</v>
      </c>
    </row>
    <row r="37800">
      <c r="A37800" s="1" t="s">
        <v>37799</v>
      </c>
      <c r="B37800" s="2" t="str">
        <f>IFERROR(__xludf.DUMMYFUNCTION("GOOGLETRANSLATE(A37800, ""de"", ""en"")"),"spy")</f>
        <v>spy</v>
      </c>
    </row>
    <row r="37801">
      <c r="A37801" s="1" t="s">
        <v>37800</v>
      </c>
      <c r="B37801" s="2" t="str">
        <f>IFERROR(__xludf.DUMMYFUNCTION("GOOGLETRANSLATE(A37801, ""de"", ""en"")"),"drivel")</f>
        <v>drivel</v>
      </c>
    </row>
    <row r="37802">
      <c r="A37802" s="1" t="s">
        <v>37801</v>
      </c>
      <c r="B37802" s="2" t="str">
        <f>IFERROR(__xludf.DUMMYFUNCTION("GOOGLETRANSLATE(A37802, ""de"", ""en"")"),"picnic")</f>
        <v>picnic</v>
      </c>
    </row>
    <row r="37803">
      <c r="A37803" s="1" t="s">
        <v>37802</v>
      </c>
      <c r="B37803" s="2" t="str">
        <f>IFERROR(__xludf.DUMMYFUNCTION("GOOGLETRANSLATE(A37803, ""de"", ""en"")"),"suspicious")</f>
        <v>suspicious</v>
      </c>
    </row>
    <row r="37804">
      <c r="A37804" s="1" t="s">
        <v>37803</v>
      </c>
      <c r="B37804" s="2" t="str">
        <f>IFERROR(__xludf.DUMMYFUNCTION("GOOGLETRANSLATE(A37804, ""de"", ""en"")"),"smarter")</f>
        <v>smarter</v>
      </c>
    </row>
    <row r="37805">
      <c r="A37805" s="1" t="s">
        <v>37804</v>
      </c>
      <c r="B37805" s="2" t="str">
        <f>IFERROR(__xludf.DUMMYFUNCTION("GOOGLETRANSLATE(A37805, ""de"", ""en"")"),"hummus")</f>
        <v>hummus</v>
      </c>
    </row>
    <row r="37806">
      <c r="A37806" s="1" t="s">
        <v>37805</v>
      </c>
      <c r="B37806" s="2" t="str">
        <f>IFERROR(__xludf.DUMMYFUNCTION("GOOGLETRANSLATE(A37806, ""de"", ""en"")"),"supporting")</f>
        <v>supporting</v>
      </c>
    </row>
    <row r="37807">
      <c r="A37807" s="1" t="s">
        <v>37806</v>
      </c>
      <c r="B37807" s="2" t="str">
        <f>IFERROR(__xludf.DUMMYFUNCTION("GOOGLETRANSLATE(A37807, ""de"", ""en"")"),"mockingbird")</f>
        <v>mockingbird</v>
      </c>
    </row>
    <row r="37808">
      <c r="A37808" s="1" t="s">
        <v>37807</v>
      </c>
      <c r="B37808" s="2" t="str">
        <f>IFERROR(__xludf.DUMMYFUNCTION("GOOGLETRANSLATE(A37808, ""de"", ""en"")"),"more pointless")</f>
        <v>more pointless</v>
      </c>
    </row>
    <row r="37809">
      <c r="A37809" s="1" t="s">
        <v>37808</v>
      </c>
      <c r="B37809" s="2" t="str">
        <f>IFERROR(__xludf.DUMMYFUNCTION("GOOGLETRANSLATE(A37809, ""de"", ""en"")"),"sideburns")</f>
        <v>sideburns</v>
      </c>
    </row>
    <row r="37810">
      <c r="A37810" s="1" t="s">
        <v>37809</v>
      </c>
      <c r="B37810" s="2" t="str">
        <f>IFERROR(__xludf.DUMMYFUNCTION("GOOGLETRANSLATE(A37810, ""de"", ""en"")"),"superb")</f>
        <v>superb</v>
      </c>
    </row>
    <row r="37811">
      <c r="A37811" s="1" t="s">
        <v>37810</v>
      </c>
      <c r="B37811" s="2" t="str">
        <f>IFERROR(__xludf.DUMMYFUNCTION("GOOGLETRANSLATE(A37811, ""de"", ""en"")"),"gynecologists")</f>
        <v>gynecologists</v>
      </c>
    </row>
    <row r="37812">
      <c r="A37812" s="1" t="s">
        <v>37811</v>
      </c>
      <c r="B37812" s="2" t="str">
        <f>IFERROR(__xludf.DUMMYFUNCTION("GOOGLETRANSLATE(A37812, ""de"", ""en"")"),"Christmas morning")</f>
        <v>Christmas morning</v>
      </c>
    </row>
    <row r="37813">
      <c r="A37813" s="1" t="s">
        <v>37812</v>
      </c>
      <c r="B37813" s="2" t="str">
        <f>IFERROR(__xludf.DUMMYFUNCTION("GOOGLETRANSLATE(A37813, ""de"", ""en"")"),"seamstress")</f>
        <v>seamstress</v>
      </c>
    </row>
    <row r="37814">
      <c r="A37814" s="1" t="s">
        <v>37813</v>
      </c>
      <c r="B37814" s="2" t="str">
        <f>IFERROR(__xludf.DUMMYFUNCTION("GOOGLETRANSLATE(A37814, ""de"", ""en"")"),"supernatural")</f>
        <v>supernatural</v>
      </c>
    </row>
    <row r="37815">
      <c r="A37815" s="1" t="s">
        <v>37814</v>
      </c>
      <c r="B37815" s="2" t="str">
        <f>IFERROR(__xludf.DUMMYFUNCTION("GOOGLETRANSLATE(A37815, ""de"", ""en"")"),"prefecture")</f>
        <v>prefecture</v>
      </c>
    </row>
    <row r="37816">
      <c r="A37816" s="1" t="s">
        <v>37815</v>
      </c>
      <c r="B37816" s="2" t="str">
        <f>IFERROR(__xludf.DUMMYFUNCTION("GOOGLETRANSLATE(A37816, ""de"", ""en"")"),"main computer")</f>
        <v>main computer</v>
      </c>
    </row>
    <row r="37817">
      <c r="A37817" s="1" t="s">
        <v>37816</v>
      </c>
      <c r="B37817" s="2" t="str">
        <f>IFERROR(__xludf.DUMMYFUNCTION("GOOGLETRANSLATE(A37817, ""de"", ""en"")"),"betting office")</f>
        <v>betting office</v>
      </c>
    </row>
    <row r="37818">
      <c r="A37818" s="1" t="s">
        <v>37817</v>
      </c>
      <c r="B37818" s="2" t="str">
        <f>IFERROR(__xludf.DUMMYFUNCTION("GOOGLETRANSLATE(A37818, ""de"", ""en"")"),"runs")</f>
        <v>runs</v>
      </c>
    </row>
    <row r="37819">
      <c r="A37819" s="1" t="s">
        <v>37818</v>
      </c>
      <c r="B37819" s="2" t="str">
        <f>IFERROR(__xludf.DUMMYFUNCTION("GOOGLETRANSLATE(A37819, ""de"", ""en"")"),"storage")</f>
        <v>storage</v>
      </c>
    </row>
    <row r="37820">
      <c r="A37820" s="1" t="s">
        <v>37819</v>
      </c>
      <c r="B37820" s="2" t="str">
        <f>IFERROR(__xludf.DUMMYFUNCTION("GOOGLETRANSLATE(A37820, ""de"", ""en"")"),"freight train")</f>
        <v>freight train</v>
      </c>
    </row>
    <row r="37821">
      <c r="A37821" s="1" t="s">
        <v>37820</v>
      </c>
      <c r="B37821" s="2" t="str">
        <f>IFERROR(__xludf.DUMMYFUNCTION("GOOGLETRANSLATE(A37821, ""de"", ""en"")"),"silence")</f>
        <v>silence</v>
      </c>
    </row>
    <row r="37822">
      <c r="A37822" s="1" t="s">
        <v>37821</v>
      </c>
      <c r="B37822" s="2" t="str">
        <f>IFERROR(__xludf.DUMMYFUNCTION("GOOGLETRANSLATE(A37822, ""de"", ""en"")"),"kryptonians")</f>
        <v>kryptonians</v>
      </c>
    </row>
    <row r="37823">
      <c r="A37823" s="1" t="s">
        <v>37822</v>
      </c>
      <c r="B37823" s="2" t="str">
        <f>IFERROR(__xludf.DUMMYFUNCTION("GOOGLETRANSLATE(A37823, ""de"", ""en"")"),"enchanted")</f>
        <v>enchanted</v>
      </c>
    </row>
    <row r="37824">
      <c r="A37824" s="1" t="s">
        <v>37823</v>
      </c>
      <c r="B37824" s="2" t="str">
        <f>IFERROR(__xludf.DUMMYFUNCTION("GOOGLETRANSLATE(A37824, ""de"", ""en"")"),"judson")</f>
        <v>judson</v>
      </c>
    </row>
    <row r="37825">
      <c r="A37825" s="1" t="s">
        <v>37824</v>
      </c>
      <c r="B37825" s="2" t="str">
        <f>IFERROR(__xludf.DUMMYFUNCTION("GOOGLETRANSLATE(A37825, ""de"", ""en"")"),"haunted")</f>
        <v>haunted</v>
      </c>
    </row>
    <row r="37826">
      <c r="A37826" s="1" t="s">
        <v>37825</v>
      </c>
      <c r="B37826" s="2" t="str">
        <f>IFERROR(__xludf.DUMMYFUNCTION("GOOGLETRANSLATE(A37826, ""de"", ""en"")"),"miho")</f>
        <v>miho</v>
      </c>
    </row>
    <row r="37827">
      <c r="A37827" s="1" t="s">
        <v>37826</v>
      </c>
      <c r="B37827" s="2" t="str">
        <f>IFERROR(__xludf.DUMMYFUNCTION("GOOGLETRANSLATE(A37827, ""de"", ""en"")"),"jagged")</f>
        <v>jagged</v>
      </c>
    </row>
    <row r="37828">
      <c r="A37828" s="1" t="s">
        <v>37827</v>
      </c>
      <c r="B37828" s="2" t="str">
        <f>IFERROR(__xludf.DUMMYFUNCTION("GOOGLETRANSLATE(A37828, ""de"", ""en"")"),"argued")</f>
        <v>argued</v>
      </c>
    </row>
    <row r="37829">
      <c r="A37829" s="1" t="s">
        <v>37828</v>
      </c>
      <c r="B37829" s="2" t="str">
        <f>IFERROR(__xludf.DUMMYFUNCTION("GOOGLETRANSLATE(A37829, ""de"", ""en"")"),"go blind")</f>
        <v>go blind</v>
      </c>
    </row>
    <row r="37830">
      <c r="A37830" s="1" t="s">
        <v>37829</v>
      </c>
      <c r="B37830" s="2" t="str">
        <f>IFERROR(__xludf.DUMMYFUNCTION("GOOGLETRANSLATE(A37830, ""de"", ""en"")"),"Voltaire")</f>
        <v>Voltaire</v>
      </c>
    </row>
    <row r="37831">
      <c r="A37831" s="1" t="s">
        <v>37830</v>
      </c>
      <c r="B37831" s="2" t="str">
        <f>IFERROR(__xludf.DUMMYFUNCTION("GOOGLETRANSLATE(A37831, ""de"", ""en"")"),"support")</f>
        <v>support</v>
      </c>
    </row>
    <row r="37832">
      <c r="A37832" s="1" t="s">
        <v>37831</v>
      </c>
      <c r="B37832" s="2" t="str">
        <f>IFERROR(__xludf.DUMMYFUNCTION("GOOGLETRANSLATE(A37832, ""de"", ""en"")"),"unleash")</f>
        <v>unleash</v>
      </c>
    </row>
    <row r="37833">
      <c r="A37833" s="1" t="s">
        <v>37832</v>
      </c>
      <c r="B37833" s="2" t="str">
        <f>IFERROR(__xludf.DUMMYFUNCTION("GOOGLETRANSLATE(A37833, ""de"", ""en"")"),"mahmoud")</f>
        <v>mahmoud</v>
      </c>
    </row>
    <row r="37834">
      <c r="A37834" s="1" t="s">
        <v>37833</v>
      </c>
      <c r="B37834" s="2" t="str">
        <f>IFERROR(__xludf.DUMMYFUNCTION("GOOGLETRANSLATE(A37834, ""de"", ""en"")"),"settlements")</f>
        <v>settlements</v>
      </c>
    </row>
    <row r="37835">
      <c r="A37835" s="1" t="s">
        <v>37834</v>
      </c>
      <c r="B37835" s="2" t="str">
        <f>IFERROR(__xludf.DUMMYFUNCTION("GOOGLETRANSLATE(A37835, ""de"", ""en"")"),"Siam")</f>
        <v>Siam</v>
      </c>
    </row>
    <row r="37836">
      <c r="A37836" s="1" t="s">
        <v>37835</v>
      </c>
      <c r="B37836" s="2" t="str">
        <f>IFERROR(__xludf.DUMMYFUNCTION("GOOGLETRANSLATE(A37836, ""de"", ""en"")"),"bag")</f>
        <v>bag</v>
      </c>
    </row>
    <row r="37837">
      <c r="A37837" s="1" t="s">
        <v>37836</v>
      </c>
      <c r="B37837" s="2" t="str">
        <f>IFERROR(__xludf.DUMMYFUNCTION("GOOGLETRANSLATE(A37837, ""de"", ""en"")"),"fell ill")</f>
        <v>fell ill</v>
      </c>
    </row>
    <row r="37838">
      <c r="A37838" s="1" t="s">
        <v>37837</v>
      </c>
      <c r="B37838" s="2" t="str">
        <f>IFERROR(__xludf.DUMMYFUNCTION("GOOGLETRANSLATE(A37838, ""de"", ""en"")"),"transferred")</f>
        <v>transferred</v>
      </c>
    </row>
    <row r="37839">
      <c r="A37839" s="1" t="s">
        <v>37838</v>
      </c>
      <c r="B37839" s="2" t="str">
        <f>IFERROR(__xludf.DUMMYFUNCTION("GOOGLETRANSLATE(A37839, ""de"", ""en"")"),"fiesta")</f>
        <v>fiesta</v>
      </c>
    </row>
    <row r="37840">
      <c r="A37840" s="1" t="s">
        <v>37839</v>
      </c>
      <c r="B37840" s="2" t="str">
        <f>IFERROR(__xludf.DUMMYFUNCTION("GOOGLETRANSLATE(A37840, ""de"", ""en"")"),"resemble")</f>
        <v>resemble</v>
      </c>
    </row>
    <row r="37841">
      <c r="A37841" s="1" t="s">
        <v>37840</v>
      </c>
      <c r="B37841" s="2" t="str">
        <f>IFERROR(__xludf.DUMMYFUNCTION("GOOGLETRANSLATE(A37841, ""de"", ""en"")"),"diz")</f>
        <v>diz</v>
      </c>
    </row>
    <row r="37842">
      <c r="A37842" s="1" t="s">
        <v>37841</v>
      </c>
      <c r="B37842" s="2" t="str">
        <f>IFERROR(__xludf.DUMMYFUNCTION("GOOGLETRANSLATE(A37842, ""de"", ""en"")"),"veto")</f>
        <v>veto</v>
      </c>
    </row>
    <row r="37843">
      <c r="A37843" s="1" t="s">
        <v>37842</v>
      </c>
      <c r="B37843" s="2" t="str">
        <f>IFERROR(__xludf.DUMMYFUNCTION("GOOGLETRANSLATE(A37843, ""de"", ""en"")"),"tron")</f>
        <v>tron</v>
      </c>
    </row>
    <row r="37844">
      <c r="A37844" s="1" t="s">
        <v>37843</v>
      </c>
      <c r="B37844" s="2" t="str">
        <f>IFERROR(__xludf.DUMMYFUNCTION("GOOGLETRANSLATE(A37844, ""de"", ""en"")"),"greenness")</f>
        <v>greenness</v>
      </c>
    </row>
    <row r="37845">
      <c r="A37845" s="1" t="s">
        <v>37844</v>
      </c>
      <c r="B37845" s="2" t="str">
        <f>IFERROR(__xludf.DUMMYFUNCTION("GOOGLETRANSLATE(A37845, ""de"", ""en"")"),"falls down")</f>
        <v>falls down</v>
      </c>
    </row>
    <row r="37846">
      <c r="A37846" s="1" t="s">
        <v>37845</v>
      </c>
      <c r="B37846" s="2" t="str">
        <f>IFERROR(__xludf.DUMMYFUNCTION("GOOGLETRANSLATE(A37846, ""de"", ""en"")"),"Ilya")</f>
        <v>Ilya</v>
      </c>
    </row>
    <row r="37847">
      <c r="A37847" s="1" t="s">
        <v>37846</v>
      </c>
      <c r="B37847" s="2" t="str">
        <f>IFERROR(__xludf.DUMMYFUNCTION("GOOGLETRANSLATE(A37847, ""de"", ""en"")"),"collage")</f>
        <v>collage</v>
      </c>
    </row>
    <row r="37848">
      <c r="A37848" s="1" t="s">
        <v>37847</v>
      </c>
      <c r="B37848" s="2" t="str">
        <f>IFERROR(__xludf.DUMMYFUNCTION("GOOGLETRANSLATE(A37848, ""de"", ""en"")"),"bully")</f>
        <v>bully</v>
      </c>
    </row>
    <row r="37849">
      <c r="A37849" s="1" t="s">
        <v>37848</v>
      </c>
      <c r="B37849" s="2" t="str">
        <f>IFERROR(__xludf.DUMMYFUNCTION("GOOGLETRANSLATE(A37849, ""de"", ""en"")"),"parliament")</f>
        <v>parliament</v>
      </c>
    </row>
    <row r="37850">
      <c r="A37850" s="1" t="s">
        <v>37849</v>
      </c>
      <c r="B37850" s="2" t="str">
        <f>IFERROR(__xludf.DUMMYFUNCTION("GOOGLETRANSLATE(A37850, ""de"", ""en"")"),"front entrance")</f>
        <v>front entrance</v>
      </c>
    </row>
    <row r="37851">
      <c r="A37851" s="1" t="s">
        <v>37850</v>
      </c>
      <c r="B37851" s="2" t="str">
        <f>IFERROR(__xludf.DUMMYFUNCTION("GOOGLETRANSLATE(A37851, ""de"", ""en"")"),"significant")</f>
        <v>significant</v>
      </c>
    </row>
    <row r="37852">
      <c r="A37852" s="1" t="s">
        <v>37851</v>
      </c>
      <c r="B37852" s="2" t="str">
        <f>IFERROR(__xludf.DUMMYFUNCTION("GOOGLETRANSLATE(A37852, ""de"", ""en"")"),"to regain")</f>
        <v>to regain</v>
      </c>
    </row>
    <row r="37853">
      <c r="A37853" s="1" t="s">
        <v>37852</v>
      </c>
      <c r="B37853" s="2" t="str">
        <f>IFERROR(__xludf.DUMMYFUNCTION("GOOGLETRANSLATE(A37853, ""de"", ""en"")"),"people")</f>
        <v>people</v>
      </c>
    </row>
    <row r="37854">
      <c r="A37854" s="1" t="s">
        <v>37853</v>
      </c>
      <c r="B37854" s="2" t="str">
        <f>IFERROR(__xludf.DUMMYFUNCTION("GOOGLETRANSLATE(A37854, ""de"", ""en"")"),"lazybones")</f>
        <v>lazybones</v>
      </c>
    </row>
    <row r="37855">
      <c r="A37855" s="1" t="s">
        <v>37854</v>
      </c>
      <c r="B37855" s="2" t="str">
        <f>IFERROR(__xludf.DUMMYFUNCTION("GOOGLETRANSLATE(A37855, ""de"", ""en"")"),"mother")</f>
        <v>mother</v>
      </c>
    </row>
    <row r="37856">
      <c r="A37856" s="1" t="s">
        <v>37855</v>
      </c>
      <c r="B37856" s="2" t="str">
        <f>IFERROR(__xludf.DUMMYFUNCTION("GOOGLETRANSLATE(A37856, ""de"", ""en"")"),"photo session")</f>
        <v>photo session</v>
      </c>
    </row>
    <row r="37857">
      <c r="A37857" s="1" t="s">
        <v>37856</v>
      </c>
      <c r="B37857" s="2" t="str">
        <f>IFERROR(__xludf.DUMMYFUNCTION("GOOGLETRANSLATE(A37857, ""de"", ""en"")"),"contracts")</f>
        <v>contracts</v>
      </c>
    </row>
    <row r="37858">
      <c r="A37858" s="1" t="s">
        <v>37857</v>
      </c>
      <c r="B37858" s="2" t="str">
        <f>IFERROR(__xludf.DUMMYFUNCTION("GOOGLETRANSLATE(A37858, ""de"", ""en"")"),"locks")</f>
        <v>locks</v>
      </c>
    </row>
    <row r="37859">
      <c r="A37859" s="1" t="s">
        <v>37858</v>
      </c>
      <c r="B37859" s="2" t="str">
        <f>IFERROR(__xludf.DUMMYFUNCTION("GOOGLETRANSLATE(A37859, ""de"", ""en"")"),"duel")</f>
        <v>duel</v>
      </c>
    </row>
    <row r="37860">
      <c r="A37860" s="1" t="s">
        <v>37859</v>
      </c>
      <c r="B37860" s="2" t="str">
        <f>IFERROR(__xludf.DUMMYFUNCTION("GOOGLETRANSLATE(A37860, ""de"", ""en"")"),"location")</f>
        <v>location</v>
      </c>
    </row>
    <row r="37861">
      <c r="A37861" s="1" t="s">
        <v>37860</v>
      </c>
      <c r="B37861" s="2" t="str">
        <f>IFERROR(__xludf.DUMMYFUNCTION("GOOGLETRANSLATE(A37861, ""de"", ""en"")"),"cardigan")</f>
        <v>cardigan</v>
      </c>
    </row>
    <row r="37862">
      <c r="A37862" s="1" t="s">
        <v>37861</v>
      </c>
      <c r="B37862" s="2" t="str">
        <f>IFERROR(__xludf.DUMMYFUNCTION("GOOGLETRANSLATE(A37862, ""de"", ""en"")"),"cal")</f>
        <v>cal</v>
      </c>
    </row>
    <row r="37863">
      <c r="A37863" s="1" t="s">
        <v>37862</v>
      </c>
      <c r="B37863" s="2" t="str">
        <f>IFERROR(__xludf.DUMMYFUNCTION("GOOGLETRANSLATE(A37863, ""de"", ""en"")"),"surprise")</f>
        <v>surprise</v>
      </c>
    </row>
    <row r="37864">
      <c r="A37864" s="1" t="s">
        <v>37863</v>
      </c>
      <c r="B37864" s="2" t="str">
        <f>IFERROR(__xludf.DUMMYFUNCTION("GOOGLETRANSLATE(A37864, ""de"", ""en"")"),"pulle")</f>
        <v>pulle</v>
      </c>
    </row>
    <row r="37865">
      <c r="A37865" s="1" t="s">
        <v>37864</v>
      </c>
      <c r="B37865" s="2" t="str">
        <f>IFERROR(__xludf.DUMMYFUNCTION("GOOGLETRANSLATE(A37865, ""de"", ""en"")"),"batch")</f>
        <v>batch</v>
      </c>
    </row>
    <row r="37866">
      <c r="A37866" s="1" t="s">
        <v>37865</v>
      </c>
      <c r="B37866" s="2" t="str">
        <f>IFERROR(__xludf.DUMMYFUNCTION("GOOGLETRANSLATE(A37866, ""de"", ""en"")"),"literary")</f>
        <v>literary</v>
      </c>
    </row>
    <row r="37867">
      <c r="A37867" s="1" t="s">
        <v>37866</v>
      </c>
      <c r="B37867" s="2" t="str">
        <f>IFERROR(__xludf.DUMMYFUNCTION("GOOGLETRANSLATE(A37867, ""de"", ""en"")"),"morning star")</f>
        <v>morning star</v>
      </c>
    </row>
    <row r="37868">
      <c r="A37868" s="1" t="s">
        <v>37867</v>
      </c>
      <c r="B37868" s="2" t="str">
        <f>IFERROR(__xludf.DUMMYFUNCTION("GOOGLETRANSLATE(A37868, ""de"", ""en"")"),"catch")</f>
        <v>catch</v>
      </c>
    </row>
    <row r="37869">
      <c r="A37869" s="1" t="s">
        <v>37868</v>
      </c>
      <c r="B37869" s="2" t="str">
        <f>IFERROR(__xludf.DUMMYFUNCTION("GOOGLETRANSLATE(A37869, ""de"", ""en"")"),"rotate")</f>
        <v>rotate</v>
      </c>
    </row>
    <row r="37870">
      <c r="A37870" s="1" t="s">
        <v>37869</v>
      </c>
      <c r="B37870" s="2" t="str">
        <f>IFERROR(__xludf.DUMMYFUNCTION("GOOGLETRANSLATE(A37870, ""de"", ""en"")"),"served")</f>
        <v>served</v>
      </c>
    </row>
    <row r="37871">
      <c r="A37871" s="1" t="s">
        <v>37870</v>
      </c>
      <c r="B37871" s="2" t="str">
        <f>IFERROR(__xludf.DUMMYFUNCTION("GOOGLETRANSLATE(A37871, ""de"", ""en"")"),"Baudelaire")</f>
        <v>Baudelaire</v>
      </c>
    </row>
    <row r="37872">
      <c r="A37872" s="1" t="s">
        <v>37871</v>
      </c>
      <c r="B37872" s="2" t="str">
        <f>IFERROR(__xludf.DUMMYFUNCTION("GOOGLETRANSLATE(A37872, ""de"", ""en"")"),"telegraphed")</f>
        <v>telegraphed</v>
      </c>
    </row>
    <row r="37873">
      <c r="A37873" s="1" t="s">
        <v>37872</v>
      </c>
      <c r="B37873" s="2" t="str">
        <f>IFERROR(__xludf.DUMMYFUNCTION("GOOGLETRANSLATE(A37873, ""de"", ""en"")"),"pays out")</f>
        <v>pays out</v>
      </c>
    </row>
    <row r="37874">
      <c r="A37874" s="1" t="s">
        <v>37873</v>
      </c>
      <c r="B37874" s="2" t="str">
        <f>IFERROR(__xludf.DUMMYFUNCTION("GOOGLETRANSLATE(A37874, ""de"", ""en"")"),"cellmates")</f>
        <v>cellmates</v>
      </c>
    </row>
    <row r="37875">
      <c r="A37875" s="1" t="s">
        <v>37874</v>
      </c>
      <c r="B37875" s="2" t="str">
        <f>IFERROR(__xludf.DUMMYFUNCTION("GOOGLETRANSLATE(A37875, ""de"", ""en"")"),"redcoats")</f>
        <v>redcoats</v>
      </c>
    </row>
    <row r="37876">
      <c r="A37876" s="1" t="s">
        <v>37875</v>
      </c>
      <c r="B37876" s="2" t="str">
        <f>IFERROR(__xludf.DUMMYFUNCTION("GOOGLETRANSLATE(A37876, ""de"", ""en"")"),"center")</f>
        <v>center</v>
      </c>
    </row>
    <row r="37877">
      <c r="A37877" s="1" t="s">
        <v>37876</v>
      </c>
      <c r="B37877" s="2" t="str">
        <f>IFERROR(__xludf.DUMMYFUNCTION("GOOGLETRANSLATE(A37877, ""de"", ""en"")"),"libraries")</f>
        <v>libraries</v>
      </c>
    </row>
    <row r="37878">
      <c r="A37878" s="1" t="s">
        <v>37877</v>
      </c>
      <c r="B37878" s="2" t="str">
        <f>IFERROR(__xludf.DUMMYFUNCTION("GOOGLETRANSLATE(A37878, ""de"", ""en"")"),"Sicilian")</f>
        <v>Sicilian</v>
      </c>
    </row>
    <row r="37879">
      <c r="A37879" s="1" t="s">
        <v>37878</v>
      </c>
      <c r="B37879" s="2" t="str">
        <f>IFERROR(__xludf.DUMMYFUNCTION("GOOGLETRANSLATE(A37879, ""de"", ""en"")"),"demon")</f>
        <v>demon</v>
      </c>
    </row>
    <row r="37880">
      <c r="A37880" s="1" t="s">
        <v>37879</v>
      </c>
      <c r="B37880" s="2" t="str">
        <f>IFERROR(__xludf.DUMMYFUNCTION("GOOGLETRANSLATE(A37880, ""de"", ""en"")"),"play around")</f>
        <v>play around</v>
      </c>
    </row>
    <row r="37881">
      <c r="A37881" s="1" t="s">
        <v>37880</v>
      </c>
      <c r="B37881" s="2" t="str">
        <f>IFERROR(__xludf.DUMMYFUNCTION("GOOGLETRANSLATE(A37881, ""de"", ""en"")"),"acting")</f>
        <v>acting</v>
      </c>
    </row>
    <row r="37882">
      <c r="A37882" s="1" t="s">
        <v>37881</v>
      </c>
      <c r="B37882" s="2" t="str">
        <f>IFERROR(__xludf.DUMMYFUNCTION("GOOGLETRANSLATE(A37882, ""de"", ""en"")"),"convince")</f>
        <v>convince</v>
      </c>
    </row>
    <row r="37883">
      <c r="A37883" s="1" t="s">
        <v>37882</v>
      </c>
      <c r="B37883" s="2" t="str">
        <f>IFERROR(__xludf.DUMMYFUNCTION("GOOGLETRANSLATE(A37883, ""de"", ""en"")"),"lady in waiting")</f>
        <v>lady in waiting</v>
      </c>
    </row>
    <row r="37884">
      <c r="A37884" s="1" t="s">
        <v>37883</v>
      </c>
      <c r="B37884" s="2" t="str">
        <f>IFERROR(__xludf.DUMMYFUNCTION("GOOGLETRANSLATE(A37884, ""de"", ""en"")"),"short version")</f>
        <v>short version</v>
      </c>
    </row>
    <row r="37885">
      <c r="A37885" s="1" t="s">
        <v>37884</v>
      </c>
      <c r="B37885" s="2" t="str">
        <f>IFERROR(__xludf.DUMMYFUNCTION("GOOGLETRANSLATE(A37885, ""de"", ""en"")"),"jam")</f>
        <v>jam</v>
      </c>
    </row>
    <row r="37886">
      <c r="A37886" s="1" t="s">
        <v>37885</v>
      </c>
      <c r="B37886" s="2" t="str">
        <f>IFERROR(__xludf.DUMMYFUNCTION("GOOGLETRANSLATE(A37886, ""de"", ""en"")"),"calculate")</f>
        <v>calculate</v>
      </c>
    </row>
    <row r="37887">
      <c r="A37887" s="1" t="s">
        <v>37886</v>
      </c>
      <c r="B37887" s="2" t="str">
        <f>IFERROR(__xludf.DUMMYFUNCTION("GOOGLETRANSLATE(A37887, ""de"", ""en"")"),"schoolboy")</f>
        <v>schoolboy</v>
      </c>
    </row>
    <row r="37888">
      <c r="A37888" s="1" t="s">
        <v>37887</v>
      </c>
      <c r="B37888" s="2" t="str">
        <f>IFERROR(__xludf.DUMMYFUNCTION("GOOGLETRANSLATE(A37888, ""de"", ""en"")"),"culpepper")</f>
        <v>culpepper</v>
      </c>
    </row>
    <row r="37889">
      <c r="A37889" s="1" t="s">
        <v>37888</v>
      </c>
      <c r="B37889" s="2" t="str">
        <f>IFERROR(__xludf.DUMMYFUNCTION("GOOGLETRANSLATE(A37889, ""de"", ""en"")"),"Patricia")</f>
        <v>Patricia</v>
      </c>
    </row>
    <row r="37890">
      <c r="A37890" s="1" t="s">
        <v>37889</v>
      </c>
      <c r="B37890" s="2" t="str">
        <f>IFERROR(__xludf.DUMMYFUNCTION("GOOGLETRANSLATE(A37890, ""de"", ""en"")"),"fry")</f>
        <v>fry</v>
      </c>
    </row>
    <row r="37891">
      <c r="A37891" s="1" t="s">
        <v>37890</v>
      </c>
      <c r="B37891" s="2" t="str">
        <f>IFERROR(__xludf.DUMMYFUNCTION("GOOGLETRANSLATE(A37891, ""de"", ""en"")"),"dons")</f>
        <v>dons</v>
      </c>
    </row>
    <row r="37892">
      <c r="A37892" s="1" t="s">
        <v>37891</v>
      </c>
      <c r="B37892" s="2" t="str">
        <f>IFERROR(__xludf.DUMMYFUNCTION("GOOGLETRANSLATE(A37892, ""de"", ""en"")"),"grilled")</f>
        <v>grilled</v>
      </c>
    </row>
    <row r="37893">
      <c r="A37893" s="1" t="s">
        <v>37892</v>
      </c>
      <c r="B37893" s="2" t="str">
        <f>IFERROR(__xludf.DUMMYFUNCTION("GOOGLETRANSLATE(A37893, ""de"", ""en"")"),"black-and-white")</f>
        <v>black-and-white</v>
      </c>
    </row>
    <row r="37894">
      <c r="A37894" s="1" t="s">
        <v>37893</v>
      </c>
      <c r="B37894" s="2" t="str">
        <f>IFERROR(__xludf.DUMMYFUNCTION("GOOGLETRANSLATE(A37894, ""de"", ""en"")"),"swollen")</f>
        <v>swollen</v>
      </c>
    </row>
    <row r="37895">
      <c r="A37895" s="1" t="s">
        <v>37894</v>
      </c>
      <c r="B37895" s="2" t="str">
        <f>IFERROR(__xludf.DUMMYFUNCTION("GOOGLETRANSLATE(A37895, ""de"", ""en"")"),"defies")</f>
        <v>defies</v>
      </c>
    </row>
    <row r="37896">
      <c r="A37896" s="1" t="s">
        <v>37895</v>
      </c>
      <c r="B37896" s="2" t="str">
        <f>IFERROR(__xludf.DUMMYFUNCTION("GOOGLETRANSLATE(A37896, ""de"", ""en"")"),"cheers")</f>
        <v>cheers</v>
      </c>
    </row>
    <row r="37897">
      <c r="A37897" s="1" t="s">
        <v>37896</v>
      </c>
      <c r="B37897" s="2" t="str">
        <f>IFERROR(__xludf.DUMMYFUNCTION("GOOGLETRANSLATE(A37897, ""de"", ""en"")"),"Addie")</f>
        <v>Addie</v>
      </c>
    </row>
    <row r="37898">
      <c r="A37898" s="1" t="s">
        <v>37897</v>
      </c>
      <c r="B37898" s="2" t="str">
        <f>IFERROR(__xludf.DUMMYFUNCTION("GOOGLETRANSLATE(A37898, ""de"", ""en"")"),"bondage")</f>
        <v>bondage</v>
      </c>
    </row>
    <row r="37899">
      <c r="A37899" s="1" t="s">
        <v>37898</v>
      </c>
      <c r="B37899" s="2" t="str">
        <f>IFERROR(__xludf.DUMMYFUNCTION("GOOGLETRANSLATE(A37899, ""de"", ""en"")"),"emphasize")</f>
        <v>emphasize</v>
      </c>
    </row>
    <row r="37900">
      <c r="A37900" s="1" t="s">
        <v>37899</v>
      </c>
      <c r="B37900" s="2" t="str">
        <f>IFERROR(__xludf.DUMMYFUNCTION("GOOGLETRANSLATE(A37900, ""de"", ""en"")"),"summon")</f>
        <v>summon</v>
      </c>
    </row>
    <row r="37901">
      <c r="A37901" s="1" t="s">
        <v>37900</v>
      </c>
      <c r="B37901" s="2" t="str">
        <f>IFERROR(__xludf.DUMMYFUNCTION("GOOGLETRANSLATE(A37901, ""de"", ""en"")"),"stone")</f>
        <v>stone</v>
      </c>
    </row>
    <row r="37902">
      <c r="A37902" s="1" t="s">
        <v>37901</v>
      </c>
      <c r="B37902" s="2" t="str">
        <f>IFERROR(__xludf.DUMMYFUNCTION("GOOGLETRANSLATE(A37902, ""de"", ""en"")"),"freeze")</f>
        <v>freeze</v>
      </c>
    </row>
    <row r="37903">
      <c r="A37903" s="1" t="s">
        <v>37902</v>
      </c>
      <c r="B37903" s="2" t="str">
        <f>IFERROR(__xludf.DUMMYFUNCTION("GOOGLETRANSLATE(A37903, ""de"", ""en"")"),"charmed")</f>
        <v>charmed</v>
      </c>
    </row>
    <row r="37904">
      <c r="A37904" s="1" t="s">
        <v>37903</v>
      </c>
      <c r="B37904" s="2" t="str">
        <f>IFERROR(__xludf.DUMMYFUNCTION("GOOGLETRANSLATE(A37904, ""de"", ""en"")"),"kyla")</f>
        <v>kyla</v>
      </c>
    </row>
    <row r="37905">
      <c r="A37905" s="1" t="s">
        <v>37904</v>
      </c>
      <c r="B37905" s="2" t="str">
        <f>IFERROR(__xludf.DUMMYFUNCTION("GOOGLETRANSLATE(A37905, ""de"", ""en"")"),"metamorphosis")</f>
        <v>metamorphosis</v>
      </c>
    </row>
    <row r="37906">
      <c r="A37906" s="1" t="s">
        <v>37905</v>
      </c>
      <c r="B37906" s="2" t="str">
        <f>IFERROR(__xludf.DUMMYFUNCTION("GOOGLETRANSLATE(A37906, ""de"", ""en"")"),"research institute")</f>
        <v>research institute</v>
      </c>
    </row>
    <row r="37907">
      <c r="A37907" s="1" t="s">
        <v>37906</v>
      </c>
      <c r="B37907" s="2" t="str">
        <f>IFERROR(__xludf.DUMMYFUNCTION("GOOGLETRANSLATE(A37907, ""de"", ""en"")"),"avec")</f>
        <v>avec</v>
      </c>
    </row>
    <row r="37908">
      <c r="A37908" s="1" t="s">
        <v>37907</v>
      </c>
      <c r="B37908" s="2" t="str">
        <f>IFERROR(__xludf.DUMMYFUNCTION("GOOGLETRANSLATE(A37908, ""de"", ""en"")"),"realism")</f>
        <v>realism</v>
      </c>
    </row>
    <row r="37909">
      <c r="A37909" s="1" t="s">
        <v>37908</v>
      </c>
      <c r="B37909" s="2" t="str">
        <f>IFERROR(__xludf.DUMMYFUNCTION("GOOGLETRANSLATE(A37909, ""de"", ""en"")"),"bowling")</f>
        <v>bowling</v>
      </c>
    </row>
    <row r="37910">
      <c r="A37910" s="1" t="s">
        <v>37909</v>
      </c>
      <c r="B37910" s="2" t="str">
        <f>IFERROR(__xludf.DUMMYFUNCTION("GOOGLETRANSLATE(A37910, ""de"", ""en"")"),"produce")</f>
        <v>produce</v>
      </c>
    </row>
    <row r="37911">
      <c r="A37911" s="1" t="s">
        <v>37910</v>
      </c>
      <c r="B37911" s="2" t="str">
        <f>IFERROR(__xludf.DUMMYFUNCTION("GOOGLETRANSLATE(A37911, ""de"", ""en"")"),"bank manager")</f>
        <v>bank manager</v>
      </c>
    </row>
    <row r="37912">
      <c r="A37912" s="1" t="s">
        <v>37911</v>
      </c>
      <c r="B37912" s="2" t="str">
        <f>IFERROR(__xludf.DUMMYFUNCTION("GOOGLETRANSLATE(A37912, ""de"", ""en"")"),"mew")</f>
        <v>mew</v>
      </c>
    </row>
    <row r="37913">
      <c r="A37913" s="1" t="s">
        <v>37912</v>
      </c>
      <c r="B37913" s="2" t="str">
        <f>IFERROR(__xludf.DUMMYFUNCTION("GOOGLETRANSLATE(A37913, ""de"", ""en"")"),"doubted")</f>
        <v>doubted</v>
      </c>
    </row>
    <row r="37914">
      <c r="A37914" s="1" t="s">
        <v>37913</v>
      </c>
      <c r="B37914" s="2" t="str">
        <f>IFERROR(__xludf.DUMMYFUNCTION("GOOGLETRANSLATE(A37914, ""de"", ""en"")"),"reminder")</f>
        <v>reminder</v>
      </c>
    </row>
    <row r="37915">
      <c r="A37915" s="1" t="s">
        <v>37914</v>
      </c>
      <c r="B37915" s="2" t="str">
        <f>IFERROR(__xludf.DUMMYFUNCTION("GOOGLETRANSLATE(A37915, ""de"", ""en"")"),"take heed")</f>
        <v>take heed</v>
      </c>
    </row>
    <row r="37916">
      <c r="A37916" s="1" t="s">
        <v>37915</v>
      </c>
      <c r="B37916" s="2" t="str">
        <f>IFERROR(__xludf.DUMMYFUNCTION("GOOGLETRANSLATE(A37916, ""de"", ""en"")"),"seventh")</f>
        <v>seventh</v>
      </c>
    </row>
    <row r="37917">
      <c r="A37917" s="1" t="s">
        <v>37916</v>
      </c>
      <c r="B37917" s="2" t="str">
        <f>IFERROR(__xludf.DUMMYFUNCTION("GOOGLETRANSLATE(A37917, ""de"", ""en"")"),"lepers")</f>
        <v>lepers</v>
      </c>
    </row>
    <row r="37918">
      <c r="A37918" s="1" t="s">
        <v>37917</v>
      </c>
      <c r="B37918" s="2" t="str">
        <f>IFERROR(__xludf.DUMMYFUNCTION("GOOGLETRANSLATE(A37918, ""de"", ""en"")"),"targets")</f>
        <v>targets</v>
      </c>
    </row>
    <row r="37919">
      <c r="A37919" s="1" t="s">
        <v>37918</v>
      </c>
      <c r="B37919" s="2" t="str">
        <f>IFERROR(__xludf.DUMMYFUNCTION("GOOGLETRANSLATE(A37919, ""de"", ""en"")"),"tank truck")</f>
        <v>tank truck</v>
      </c>
    </row>
    <row r="37920">
      <c r="A37920" s="1" t="s">
        <v>37919</v>
      </c>
      <c r="B37920" s="2" t="str">
        <f>IFERROR(__xludf.DUMMYFUNCTION("GOOGLETRANSLATE(A37920, ""de"", ""en"")"),"counterintelligence")</f>
        <v>counterintelligence</v>
      </c>
    </row>
    <row r="37921">
      <c r="A37921" s="1" t="s">
        <v>37920</v>
      </c>
      <c r="B37921" s="2" t="str">
        <f>IFERROR(__xludf.DUMMYFUNCTION("GOOGLETRANSLATE(A37921, ""de"", ""en"")"),"thanks")</f>
        <v>thanks</v>
      </c>
    </row>
    <row r="37922">
      <c r="A37922" s="1" t="s">
        <v>37921</v>
      </c>
      <c r="B37922" s="2" t="str">
        <f>IFERROR(__xludf.DUMMYFUNCTION("GOOGLETRANSLATE(A37922, ""de"", ""en"")"),"cling")</f>
        <v>cling</v>
      </c>
    </row>
    <row r="37923">
      <c r="A37923" s="1" t="s">
        <v>37922</v>
      </c>
      <c r="B37923" s="2" t="str">
        <f>IFERROR(__xludf.DUMMYFUNCTION("GOOGLETRANSLATE(A37923, ""de"", ""en"")"),"demanded")</f>
        <v>demanded</v>
      </c>
    </row>
    <row r="37924">
      <c r="A37924" s="1" t="s">
        <v>37923</v>
      </c>
      <c r="B37924" s="2" t="str">
        <f>IFERROR(__xludf.DUMMYFUNCTION("GOOGLETRANSLATE(A37924, ""de"", ""en"")"),"blast")</f>
        <v>blast</v>
      </c>
    </row>
    <row r="37925">
      <c r="A37925" s="1" t="s">
        <v>37924</v>
      </c>
      <c r="B37925" s="2" t="str">
        <f>IFERROR(__xludf.DUMMYFUNCTION("GOOGLETRANSLATE(A37925, ""de"", ""en"")"),"honorable")</f>
        <v>honorable</v>
      </c>
    </row>
    <row r="37926">
      <c r="A37926" s="1" t="s">
        <v>37925</v>
      </c>
      <c r="B37926" s="2" t="str">
        <f>IFERROR(__xludf.DUMMYFUNCTION("GOOGLETRANSLATE(A37926, ""de"", ""en"")"),"Schmitt")</f>
        <v>Schmitt</v>
      </c>
    </row>
    <row r="37927">
      <c r="A37927" s="1" t="s">
        <v>37926</v>
      </c>
      <c r="B37927" s="2" t="str">
        <f>IFERROR(__xludf.DUMMYFUNCTION("GOOGLETRANSLATE(A37927, ""de"", ""en"")"),"opera house")</f>
        <v>opera house</v>
      </c>
    </row>
    <row r="37928">
      <c r="A37928" s="1" t="s">
        <v>37927</v>
      </c>
      <c r="B37928" s="2" t="str">
        <f>IFERROR(__xludf.DUMMYFUNCTION("GOOGLETRANSLATE(A37928, ""de"", ""en"")"),"vaudeville")</f>
        <v>vaudeville</v>
      </c>
    </row>
    <row r="37929">
      <c r="A37929" s="1" t="s">
        <v>37928</v>
      </c>
      <c r="B37929" s="2" t="str">
        <f>IFERROR(__xludf.DUMMYFUNCTION("GOOGLETRANSLATE(A37929, ""de"", ""en"")"),"pulitzer")</f>
        <v>pulitzer</v>
      </c>
    </row>
    <row r="37930">
      <c r="A37930" s="1" t="s">
        <v>37929</v>
      </c>
      <c r="B37930" s="2" t="str">
        <f>IFERROR(__xludf.DUMMYFUNCTION("GOOGLETRANSLATE(A37930, ""de"", ""en"")"),"jeered")</f>
        <v>jeered</v>
      </c>
    </row>
    <row r="37931">
      <c r="A37931" s="1" t="s">
        <v>37930</v>
      </c>
      <c r="B37931" s="2" t="str">
        <f>IFERROR(__xludf.DUMMYFUNCTION("GOOGLETRANSLATE(A37931, ""de"", ""en"")"),"crisp")</f>
        <v>crisp</v>
      </c>
    </row>
    <row r="37932">
      <c r="A37932" s="1" t="s">
        <v>37931</v>
      </c>
      <c r="B37932" s="2" t="str">
        <f>IFERROR(__xludf.DUMMYFUNCTION("GOOGLETRANSLATE(A37932, ""de"", ""en"")"),"suarez")</f>
        <v>suarez</v>
      </c>
    </row>
    <row r="37933">
      <c r="A37933" s="1" t="s">
        <v>37932</v>
      </c>
      <c r="B37933" s="2" t="str">
        <f>IFERROR(__xludf.DUMMYFUNCTION("GOOGLETRANSLATE(A37933, ""de"", ""en"")"),"tolliver")</f>
        <v>tolliver</v>
      </c>
    </row>
    <row r="37934">
      <c r="A37934" s="1" t="s">
        <v>37933</v>
      </c>
      <c r="B37934" s="2" t="str">
        <f>IFERROR(__xludf.DUMMYFUNCTION("GOOGLETRANSLATE(A37934, ""de"", ""en"")"),"any")</f>
        <v>any</v>
      </c>
    </row>
    <row r="37935">
      <c r="A37935" s="1" t="s">
        <v>37934</v>
      </c>
      <c r="B37935" s="2" t="str">
        <f>IFERROR(__xludf.DUMMYFUNCTION("GOOGLETRANSLATE(A37935, ""de"", ""en"")"),"ding dong")</f>
        <v>ding dong</v>
      </c>
    </row>
    <row r="37936">
      <c r="A37936" s="1" t="s">
        <v>37935</v>
      </c>
      <c r="B37936" s="2" t="str">
        <f>IFERROR(__xludf.DUMMYFUNCTION("GOOGLETRANSLATE(A37936, ""de"", ""en"")"),"stay here")</f>
        <v>stay here</v>
      </c>
    </row>
    <row r="37937">
      <c r="A37937" s="1" t="s">
        <v>37936</v>
      </c>
      <c r="B37937" s="2" t="str">
        <f>IFERROR(__xludf.DUMMYFUNCTION("GOOGLETRANSLATE(A37937, ""de"", ""en"")"),"eastman")</f>
        <v>eastman</v>
      </c>
    </row>
    <row r="37938">
      <c r="A37938" s="1" t="s">
        <v>37937</v>
      </c>
      <c r="B37938" s="2" t="str">
        <f>IFERROR(__xludf.DUMMYFUNCTION("GOOGLETRANSLATE(A37938, ""de"", ""en"")"),"protects")</f>
        <v>protects</v>
      </c>
    </row>
    <row r="37939">
      <c r="A37939" s="1" t="s">
        <v>37938</v>
      </c>
      <c r="B37939" s="2" t="str">
        <f>IFERROR(__xludf.DUMMYFUNCTION("GOOGLETRANSLATE(A37939, ""de"", ""en"")"),"lightning strike")</f>
        <v>lightning strike</v>
      </c>
    </row>
    <row r="37940">
      <c r="A37940" s="1" t="s">
        <v>37939</v>
      </c>
      <c r="B37940" s="2" t="str">
        <f>IFERROR(__xludf.DUMMYFUNCTION("GOOGLETRANSLATE(A37940, ""de"", ""en"")"),"bullying")</f>
        <v>bullying</v>
      </c>
    </row>
    <row r="37941">
      <c r="A37941" s="1" t="s">
        <v>37940</v>
      </c>
      <c r="B37941" s="2" t="str">
        <f>IFERROR(__xludf.DUMMYFUNCTION("GOOGLETRANSLATE(A37941, ""de"", ""en"")"),"prison sentence")</f>
        <v>prison sentence</v>
      </c>
    </row>
    <row r="37942">
      <c r="A37942" s="1" t="s">
        <v>37941</v>
      </c>
      <c r="B37942" s="2" t="str">
        <f>IFERROR(__xludf.DUMMYFUNCTION("GOOGLETRANSLATE(A37942, ""de"", ""en"")"),"profit")</f>
        <v>profit</v>
      </c>
    </row>
    <row r="37943">
      <c r="A37943" s="1" t="s">
        <v>37942</v>
      </c>
      <c r="B37943" s="2" t="str">
        <f>IFERROR(__xludf.DUMMYFUNCTION("GOOGLETRANSLATE(A37943, ""de"", ""en"")"),"laugier")</f>
        <v>laugier</v>
      </c>
    </row>
    <row r="37944">
      <c r="A37944" s="1" t="s">
        <v>37943</v>
      </c>
      <c r="B37944" s="2" t="str">
        <f>IFERROR(__xludf.DUMMYFUNCTION("GOOGLETRANSLATE(A37944, ""de"", ""en"")"),"markos")</f>
        <v>markos</v>
      </c>
    </row>
    <row r="37945">
      <c r="A37945" s="1" t="s">
        <v>37944</v>
      </c>
      <c r="B37945" s="2" t="str">
        <f>IFERROR(__xludf.DUMMYFUNCTION("GOOGLETRANSLATE(A37945, ""de"", ""en"")"),"centerpiece")</f>
        <v>centerpiece</v>
      </c>
    </row>
    <row r="37946">
      <c r="A37946" s="1" t="s">
        <v>37945</v>
      </c>
      <c r="B37946" s="2" t="str">
        <f>IFERROR(__xludf.DUMMYFUNCTION("GOOGLETRANSLATE(A37946, ""de"", ""en"")"),"disposal")</f>
        <v>disposal</v>
      </c>
    </row>
    <row r="37947">
      <c r="A37947" s="1" t="s">
        <v>37946</v>
      </c>
      <c r="B37947" s="2" t="str">
        <f>IFERROR(__xludf.DUMMYFUNCTION("GOOGLETRANSLATE(A37947, ""de"", ""en"")"),"grr")</f>
        <v>grr</v>
      </c>
    </row>
    <row r="37948">
      <c r="A37948" s="1" t="s">
        <v>37947</v>
      </c>
      <c r="B37948" s="2" t="str">
        <f>IFERROR(__xludf.DUMMYFUNCTION("GOOGLETRANSLATE(A37948, ""de"", ""en"")"),"qing")</f>
        <v>qing</v>
      </c>
    </row>
    <row r="37949">
      <c r="A37949" s="1" t="s">
        <v>37948</v>
      </c>
      <c r="B37949" s="2" t="str">
        <f>IFERROR(__xludf.DUMMYFUNCTION("GOOGLETRANSLATE(A37949, ""de"", ""en"")"),"nightcap")</f>
        <v>nightcap</v>
      </c>
    </row>
    <row r="37950">
      <c r="A37950" s="1" t="s">
        <v>37949</v>
      </c>
      <c r="B37950" s="2" t="str">
        <f>IFERROR(__xludf.DUMMYFUNCTION("GOOGLETRANSLATE(A37950, ""de"", ""en"")"),"crush")</f>
        <v>crush</v>
      </c>
    </row>
    <row r="37951">
      <c r="A37951" s="1" t="s">
        <v>37950</v>
      </c>
      <c r="B37951" s="2" t="str">
        <f>IFERROR(__xludf.DUMMYFUNCTION("GOOGLETRANSLATE(A37951, ""de"", ""en"")"),"slander")</f>
        <v>slander</v>
      </c>
    </row>
    <row r="37952">
      <c r="A37952" s="1" t="s">
        <v>37951</v>
      </c>
      <c r="B37952" s="2" t="str">
        <f>IFERROR(__xludf.DUMMYFUNCTION("GOOGLETRANSLATE(A37952, ""de"", ""en"")"),"archer")</f>
        <v>archer</v>
      </c>
    </row>
    <row r="37953">
      <c r="A37953" s="1" t="s">
        <v>37952</v>
      </c>
      <c r="B37953" s="2" t="str">
        <f>IFERROR(__xludf.DUMMYFUNCTION("GOOGLETRANSLATE(A37953, ""de"", ""en"")"),"lovely")</f>
        <v>lovely</v>
      </c>
    </row>
    <row r="37954">
      <c r="A37954" s="1" t="s">
        <v>37953</v>
      </c>
      <c r="B37954" s="2" t="str">
        <f>IFERROR(__xludf.DUMMYFUNCTION("GOOGLETRANSLATE(A37954, ""de"", ""en"")"),"restless")</f>
        <v>restless</v>
      </c>
    </row>
    <row r="37955">
      <c r="A37955" s="1" t="s">
        <v>37954</v>
      </c>
      <c r="B37955" s="2" t="str">
        <f>IFERROR(__xludf.DUMMYFUNCTION("GOOGLETRANSLATE(A37955, ""de"", ""en"")"),"mechs")</f>
        <v>mechs</v>
      </c>
    </row>
    <row r="37956">
      <c r="A37956" s="1" t="s">
        <v>37955</v>
      </c>
      <c r="B37956" s="2" t="str">
        <f>IFERROR(__xludf.DUMMYFUNCTION("GOOGLETRANSLATE(A37956, ""de"", ""en"")"),"brodie")</f>
        <v>brodie</v>
      </c>
    </row>
    <row r="37957">
      <c r="A37957" s="1" t="s">
        <v>37956</v>
      </c>
      <c r="B37957" s="2" t="str">
        <f>IFERROR(__xludf.DUMMYFUNCTION("GOOGLETRANSLATE(A37957, ""de"", ""en"")"),"misdeeds")</f>
        <v>misdeeds</v>
      </c>
    </row>
    <row r="37958">
      <c r="A37958" s="1" t="s">
        <v>37957</v>
      </c>
      <c r="B37958" s="2" t="str">
        <f>IFERROR(__xludf.DUMMYFUNCTION("GOOGLETRANSLATE(A37958, ""de"", ""en"")"),"buckle")</f>
        <v>buckle</v>
      </c>
    </row>
    <row r="37959">
      <c r="A37959" s="1" t="s">
        <v>37958</v>
      </c>
      <c r="B37959" s="2" t="str">
        <f>IFERROR(__xludf.DUMMYFUNCTION("GOOGLETRANSLATE(A37959, ""de"", ""en"")"),"petto")</f>
        <v>petto</v>
      </c>
    </row>
    <row r="37960">
      <c r="A37960" s="1" t="s">
        <v>37959</v>
      </c>
      <c r="B37960" s="2" t="str">
        <f>IFERROR(__xludf.DUMMYFUNCTION("GOOGLETRANSLATE(A37960, ""de"", ""en"")"),"riskier")</f>
        <v>riskier</v>
      </c>
    </row>
    <row r="37961">
      <c r="A37961" s="1" t="s">
        <v>37960</v>
      </c>
      <c r="B37961" s="2" t="str">
        <f>IFERROR(__xludf.DUMMYFUNCTION("GOOGLETRANSLATE(A37961, ""de"", ""en"")"),"key witness")</f>
        <v>key witness</v>
      </c>
    </row>
    <row r="37962">
      <c r="A37962" s="1" t="s">
        <v>37961</v>
      </c>
      <c r="B37962" s="2" t="str">
        <f>IFERROR(__xludf.DUMMYFUNCTION("GOOGLETRANSLATE(A37962, ""de"", ""en"")"),"stay")</f>
        <v>stay</v>
      </c>
    </row>
    <row r="37963">
      <c r="A37963" s="1" t="s">
        <v>37962</v>
      </c>
      <c r="B37963" s="2" t="str">
        <f>IFERROR(__xludf.DUMMYFUNCTION("GOOGLETRANSLATE(A37963, ""de"", ""en"")"),"landmark")</f>
        <v>landmark</v>
      </c>
    </row>
    <row r="37964">
      <c r="A37964" s="1" t="s">
        <v>37963</v>
      </c>
      <c r="B37964" s="2" t="str">
        <f>IFERROR(__xludf.DUMMYFUNCTION("GOOGLETRANSLATE(A37964, ""de"", ""en"")"),"retrospectively")</f>
        <v>retrospectively</v>
      </c>
    </row>
    <row r="37965">
      <c r="A37965" s="1" t="s">
        <v>37964</v>
      </c>
      <c r="B37965" s="2" t="str">
        <f>IFERROR(__xludf.DUMMYFUNCTION("GOOGLETRANSLATE(A37965, ""de"", ""en"")"),"danger")</f>
        <v>danger</v>
      </c>
    </row>
    <row r="37966">
      <c r="A37966" s="1" t="s">
        <v>37965</v>
      </c>
      <c r="B37966" s="2" t="str">
        <f>IFERROR(__xludf.DUMMYFUNCTION("GOOGLETRANSLATE(A37966, ""de"", ""en"")"),"spark plugs")</f>
        <v>spark plugs</v>
      </c>
    </row>
    <row r="37967">
      <c r="A37967" s="1" t="s">
        <v>37966</v>
      </c>
      <c r="B37967" s="2" t="str">
        <f>IFERROR(__xludf.DUMMYFUNCTION("GOOGLETRANSLATE(A37967, ""de"", ""en"")"),"incomparable")</f>
        <v>incomparable</v>
      </c>
    </row>
    <row r="37968">
      <c r="A37968" s="1" t="s">
        <v>37967</v>
      </c>
      <c r="B37968" s="2" t="str">
        <f>IFERROR(__xludf.DUMMYFUNCTION("GOOGLETRANSLATE(A37968, ""de"", ""en"")"),"faithful")</f>
        <v>faithful</v>
      </c>
    </row>
    <row r="37969">
      <c r="A37969" s="1" t="s">
        <v>37968</v>
      </c>
      <c r="B37969" s="2" t="str">
        <f>IFERROR(__xludf.DUMMYFUNCTION("GOOGLETRANSLATE(A37969, ""de"", ""en"")"),"serve")</f>
        <v>serve</v>
      </c>
    </row>
    <row r="37970">
      <c r="A37970" s="1" t="s">
        <v>37969</v>
      </c>
      <c r="B37970" s="2" t="str">
        <f>IFERROR(__xludf.DUMMYFUNCTION("GOOGLETRANSLATE(A37970, ""de"", ""en"")"),"aslan")</f>
        <v>aslan</v>
      </c>
    </row>
    <row r="37971">
      <c r="A37971" s="1" t="s">
        <v>37970</v>
      </c>
      <c r="B37971" s="2" t="str">
        <f>IFERROR(__xludf.DUMMYFUNCTION("GOOGLETRANSLATE(A37971, ""de"", ""en"")"),"police custody")</f>
        <v>police custody</v>
      </c>
    </row>
    <row r="37972">
      <c r="A37972" s="1" t="s">
        <v>37971</v>
      </c>
      <c r="B37972" s="2" t="str">
        <f>IFERROR(__xludf.DUMMYFUNCTION("GOOGLETRANSLATE(A37972, ""de"", ""en"")"),"maternity ward")</f>
        <v>maternity ward</v>
      </c>
    </row>
    <row r="37973">
      <c r="A37973" s="1" t="s">
        <v>37972</v>
      </c>
      <c r="B37973" s="2" t="str">
        <f>IFERROR(__xludf.DUMMYFUNCTION("GOOGLETRANSLATE(A37973, ""de"", ""en"")"),"applies")</f>
        <v>applies</v>
      </c>
    </row>
    <row r="37974">
      <c r="A37974" s="1" t="s">
        <v>37973</v>
      </c>
      <c r="B37974" s="2" t="str">
        <f>IFERROR(__xludf.DUMMYFUNCTION("GOOGLETRANSLATE(A37974, ""de"", ""en"")"),"caught up")</f>
        <v>caught up</v>
      </c>
    </row>
    <row r="37975">
      <c r="A37975" s="1" t="s">
        <v>37974</v>
      </c>
      <c r="B37975" s="2" t="str">
        <f>IFERROR(__xludf.DUMMYFUNCTION("GOOGLETRANSLATE(A37975, ""de"", ""en"")"),"temporary")</f>
        <v>temporary</v>
      </c>
    </row>
    <row r="37976">
      <c r="A37976" s="1" t="s">
        <v>37975</v>
      </c>
      <c r="B37976" s="2" t="str">
        <f>IFERROR(__xludf.DUMMYFUNCTION("GOOGLETRANSLATE(A37976, ""de"", ""en"")"),"Levinson")</f>
        <v>Levinson</v>
      </c>
    </row>
    <row r="37977">
      <c r="A37977" s="1" t="s">
        <v>37976</v>
      </c>
      <c r="B37977" s="2" t="str">
        <f>IFERROR(__xludf.DUMMYFUNCTION("GOOGLETRANSLATE(A37977, ""de"", ""en"")"),"ended")</f>
        <v>ended</v>
      </c>
    </row>
    <row r="37978">
      <c r="A37978" s="1" t="s">
        <v>37977</v>
      </c>
      <c r="B37978" s="2" t="str">
        <f>IFERROR(__xludf.DUMMYFUNCTION("GOOGLETRANSLATE(A37978, ""de"", ""en"")"),"release")</f>
        <v>release</v>
      </c>
    </row>
    <row r="37979">
      <c r="A37979" s="1" t="s">
        <v>37978</v>
      </c>
      <c r="B37979" s="2" t="str">
        <f>IFERROR(__xludf.DUMMYFUNCTION("GOOGLETRANSLATE(A37979, ""de"", ""en"")"),"vasectomy")</f>
        <v>vasectomy</v>
      </c>
    </row>
    <row r="37980">
      <c r="A37980" s="1" t="s">
        <v>37979</v>
      </c>
      <c r="B37980" s="2" t="str">
        <f>IFERROR(__xludf.DUMMYFUNCTION("GOOGLETRANSLATE(A37980, ""de"", ""en"")"),"aqua")</f>
        <v>aqua</v>
      </c>
    </row>
    <row r="37981">
      <c r="A37981" s="1" t="s">
        <v>37980</v>
      </c>
      <c r="B37981" s="2" t="str">
        <f>IFERROR(__xludf.DUMMYFUNCTION("GOOGLETRANSLATE(A37981, ""de"", ""en"")"),"gangrene")</f>
        <v>gangrene</v>
      </c>
    </row>
    <row r="37982">
      <c r="A37982" s="1" t="s">
        <v>37981</v>
      </c>
      <c r="B37982" s="2" t="str">
        <f>IFERROR(__xludf.DUMMYFUNCTION("GOOGLETRANSLATE(A37982, ""de"", ""en"")"),"dominant")</f>
        <v>dominant</v>
      </c>
    </row>
    <row r="37983">
      <c r="A37983" s="1" t="s">
        <v>37982</v>
      </c>
      <c r="B37983" s="2" t="str">
        <f>IFERROR(__xludf.DUMMYFUNCTION("GOOGLETRANSLATE(A37983, ""de"", ""en"")"),"zenith")</f>
        <v>zenith</v>
      </c>
    </row>
    <row r="37984">
      <c r="A37984" s="1" t="s">
        <v>37983</v>
      </c>
      <c r="B37984" s="2" t="str">
        <f>IFERROR(__xludf.DUMMYFUNCTION("GOOGLETRANSLATE(A37984, ""de"", ""en"")"),"sorrow.")</f>
        <v>sorrow.</v>
      </c>
    </row>
    <row r="37985">
      <c r="A37985" s="1" t="s">
        <v>37984</v>
      </c>
      <c r="B37985" s="2" t="str">
        <f>IFERROR(__xludf.DUMMYFUNCTION("GOOGLETRANSLATE(A37985, ""de"", ""en"")"),"work")</f>
        <v>work</v>
      </c>
    </row>
    <row r="37986">
      <c r="A37986" s="1" t="s">
        <v>37985</v>
      </c>
      <c r="B37986" s="2" t="str">
        <f>IFERROR(__xludf.DUMMYFUNCTION("GOOGLETRANSLATE(A37986, ""de"", ""en"")"),"gigs")</f>
        <v>gigs</v>
      </c>
    </row>
    <row r="37987">
      <c r="A37987" s="1" t="s">
        <v>37986</v>
      </c>
      <c r="B37987" s="2" t="str">
        <f>IFERROR(__xludf.DUMMYFUNCTION("GOOGLETRANSLATE(A37987, ""de"", ""en"")"),"splash")</f>
        <v>splash</v>
      </c>
    </row>
    <row r="37988">
      <c r="A37988" s="1" t="s">
        <v>37987</v>
      </c>
      <c r="B37988" s="2" t="str">
        <f>IFERROR(__xludf.DUMMYFUNCTION("GOOGLETRANSLATE(A37988, ""de"", ""en"")"),"galloway")</f>
        <v>galloway</v>
      </c>
    </row>
    <row r="37989">
      <c r="A37989" s="1" t="s">
        <v>37988</v>
      </c>
      <c r="B37989" s="2" t="str">
        <f>IFERROR(__xludf.DUMMYFUNCTION("GOOGLETRANSLATE(A37989, ""de"", ""en"")"),"booster")</f>
        <v>booster</v>
      </c>
    </row>
    <row r="37990">
      <c r="A37990" s="1" t="s">
        <v>37989</v>
      </c>
      <c r="B37990" s="2" t="str">
        <f>IFERROR(__xludf.DUMMYFUNCTION("GOOGLETRANSLATE(A37990, ""de"", ""en"")"),"more mature")</f>
        <v>more mature</v>
      </c>
    </row>
    <row r="37991">
      <c r="A37991" s="1" t="s">
        <v>37990</v>
      </c>
      <c r="B37991" s="2" t="str">
        <f>IFERROR(__xludf.DUMMYFUNCTION("GOOGLETRANSLATE(A37991, ""de"", ""en"")"),"Crittendon")</f>
        <v>Crittendon</v>
      </c>
    </row>
    <row r="37992">
      <c r="A37992" s="1" t="s">
        <v>37991</v>
      </c>
      <c r="B37992" s="2" t="str">
        <f>IFERROR(__xludf.DUMMYFUNCTION("GOOGLETRANSLATE(A37992, ""de"", ""en"")"),"aesthetics")</f>
        <v>aesthetics</v>
      </c>
    </row>
    <row r="37993">
      <c r="A37993" s="1" t="s">
        <v>37992</v>
      </c>
      <c r="B37993" s="2" t="str">
        <f>IFERROR(__xludf.DUMMYFUNCTION("GOOGLETRANSLATE(A37993, ""de"", ""en"")"),"dawg")</f>
        <v>dawg</v>
      </c>
    </row>
    <row r="37994">
      <c r="A37994" s="1" t="s">
        <v>37993</v>
      </c>
      <c r="B37994" s="2" t="str">
        <f>IFERROR(__xludf.DUMMYFUNCTION("GOOGLETRANSLATE(A37994, ""de"", ""en"")"),"sparkles")</f>
        <v>sparkles</v>
      </c>
    </row>
    <row r="37995">
      <c r="A37995" s="1" t="s">
        <v>37994</v>
      </c>
      <c r="B37995" s="2" t="str">
        <f>IFERROR(__xludf.DUMMYFUNCTION("GOOGLETRANSLATE(A37995, ""de"", ""en"")"),"special features")</f>
        <v>special features</v>
      </c>
    </row>
    <row r="37996">
      <c r="A37996" s="1" t="s">
        <v>37995</v>
      </c>
      <c r="B37996" s="2" t="str">
        <f>IFERROR(__xludf.DUMMYFUNCTION("GOOGLETRANSLATE(A37996, ""de"", ""en"")"),"move in")</f>
        <v>move in</v>
      </c>
    </row>
    <row r="37997">
      <c r="A37997" s="1" t="s">
        <v>37996</v>
      </c>
      <c r="B37997" s="2" t="str">
        <f>IFERROR(__xludf.DUMMYFUNCTION("GOOGLETRANSLATE(A37997, ""de"", ""en"")"),"search out")</f>
        <v>search out</v>
      </c>
    </row>
    <row r="37998">
      <c r="A37998" s="1" t="s">
        <v>37997</v>
      </c>
      <c r="B37998" s="2" t="str">
        <f>IFERROR(__xludf.DUMMYFUNCTION("GOOGLETRANSLATE(A37998, ""de"", ""en"")"),"sunstroke")</f>
        <v>sunstroke</v>
      </c>
    </row>
    <row r="37999">
      <c r="A37999" s="1" t="s">
        <v>37998</v>
      </c>
      <c r="B37999" s="2" t="str">
        <f>IFERROR(__xludf.DUMMYFUNCTION("GOOGLETRANSLATE(A37999, ""de"", ""en"")"),"irradiated")</f>
        <v>irradiated</v>
      </c>
    </row>
    <row r="38000">
      <c r="A38000" s="1" t="s">
        <v>37999</v>
      </c>
      <c r="B38000" s="2" t="str">
        <f>IFERROR(__xludf.DUMMYFUNCTION("GOOGLETRANSLATE(A38000, ""de"", ""en"")"),"cartouche")</f>
        <v>cartouche</v>
      </c>
    </row>
    <row r="38001">
      <c r="A38001" s="1" t="s">
        <v>38000</v>
      </c>
      <c r="B38001" s="2" t="str">
        <f>IFERROR(__xludf.DUMMYFUNCTION("GOOGLETRANSLATE(A38001, ""de"", ""en"")"),"trumps")</f>
        <v>trumps</v>
      </c>
    </row>
    <row r="38002">
      <c r="A38002" s="1" t="s">
        <v>38001</v>
      </c>
      <c r="B38002" s="2" t="str">
        <f>IFERROR(__xludf.DUMMYFUNCTION("GOOGLETRANSLATE(A38002, ""de"", ""en"")"),"assigned")</f>
        <v>assigned</v>
      </c>
    </row>
    <row r="38003">
      <c r="A38003" s="1" t="s">
        <v>38002</v>
      </c>
      <c r="B38003" s="2" t="str">
        <f>IFERROR(__xludf.DUMMYFUNCTION("GOOGLETRANSLATE(A38003, ""de"", ""en"")"),"sarang")</f>
        <v>sarang</v>
      </c>
    </row>
    <row r="38004">
      <c r="A38004" s="1" t="s">
        <v>38003</v>
      </c>
      <c r="B38004" s="2" t="str">
        <f>IFERROR(__xludf.DUMMYFUNCTION("GOOGLETRANSLATE(A38004, ""de"", ""en"")"),"hallway")</f>
        <v>hallway</v>
      </c>
    </row>
    <row r="38005">
      <c r="A38005" s="1" t="s">
        <v>38004</v>
      </c>
      <c r="B38005" s="2" t="str">
        <f>IFERROR(__xludf.DUMMYFUNCTION("GOOGLETRANSLATE(A38005, ""de"", ""en"")"),"life experience")</f>
        <v>life experience</v>
      </c>
    </row>
    <row r="38006">
      <c r="A38006" s="1" t="s">
        <v>38005</v>
      </c>
      <c r="B38006" s="2" t="str">
        <f>IFERROR(__xludf.DUMMYFUNCTION("GOOGLETRANSLATE(A38006, ""de"", ""en"")"),"record")</f>
        <v>record</v>
      </c>
    </row>
    <row r="38007">
      <c r="A38007" s="1" t="s">
        <v>38006</v>
      </c>
      <c r="B38007" s="2" t="str">
        <f>IFERROR(__xludf.DUMMYFUNCTION("GOOGLETRANSLATE(A38007, ""de"", ""en"")"),"have")</f>
        <v>have</v>
      </c>
    </row>
    <row r="38008">
      <c r="A38008" s="1" t="s">
        <v>38007</v>
      </c>
      <c r="B38008" s="2" t="str">
        <f>IFERROR(__xludf.DUMMYFUNCTION("GOOGLETRANSLATE(A38008, ""de"", ""en"")"),"Rolls Royce")</f>
        <v>Rolls Royce</v>
      </c>
    </row>
    <row r="38009">
      <c r="A38009" s="1" t="s">
        <v>38008</v>
      </c>
      <c r="B38009" s="2" t="str">
        <f>IFERROR(__xludf.DUMMYFUNCTION("GOOGLETRANSLATE(A38009, ""de"", ""en"")"),"daxam")</f>
        <v>daxam</v>
      </c>
    </row>
    <row r="38010">
      <c r="A38010" s="1" t="s">
        <v>38009</v>
      </c>
      <c r="B38010" s="2" t="str">
        <f>IFERROR(__xludf.DUMMYFUNCTION("GOOGLETRANSLATE(A38010, ""de"", ""en"")"),"old age")</f>
        <v>old age</v>
      </c>
    </row>
    <row r="38011">
      <c r="A38011" s="1" t="s">
        <v>38010</v>
      </c>
      <c r="B38011" s="2" t="str">
        <f>IFERROR(__xludf.DUMMYFUNCTION("GOOGLETRANSLATE(A38011, ""de"", ""en"")"),"balance sheets")</f>
        <v>balance sheets</v>
      </c>
    </row>
    <row r="38012">
      <c r="A38012" s="1" t="s">
        <v>38011</v>
      </c>
      <c r="B38012" s="2" t="str">
        <f>IFERROR(__xludf.DUMMYFUNCTION("GOOGLETRANSLATE(A38012, ""de"", ""en"")"),"pino")</f>
        <v>pino</v>
      </c>
    </row>
    <row r="38013">
      <c r="A38013" s="1" t="s">
        <v>38012</v>
      </c>
      <c r="B38013" s="2" t="str">
        <f>IFERROR(__xludf.DUMMYFUNCTION("GOOGLETRANSLATE(A38013, ""de"", ""en"")"),"raw materials")</f>
        <v>raw materials</v>
      </c>
    </row>
    <row r="38014">
      <c r="A38014" s="1" t="s">
        <v>38013</v>
      </c>
      <c r="B38014" s="2" t="str">
        <f>IFERROR(__xludf.DUMMYFUNCTION("GOOGLETRANSLATE(A38014, ""de"", ""en"")"),"humanoid")</f>
        <v>humanoid</v>
      </c>
    </row>
    <row r="38015">
      <c r="A38015" s="1" t="s">
        <v>38014</v>
      </c>
      <c r="B38015" s="2" t="str">
        <f>IFERROR(__xludf.DUMMYFUNCTION("GOOGLETRANSLATE(A38015, ""de"", ""en"")"),"trained")</f>
        <v>trained</v>
      </c>
    </row>
    <row r="38016">
      <c r="A38016" s="1" t="s">
        <v>38015</v>
      </c>
      <c r="B38016" s="2" t="str">
        <f>IFERROR(__xludf.DUMMYFUNCTION("GOOGLETRANSLATE(A38016, ""de"", ""en"")"),"in my opinion")</f>
        <v>in my opinion</v>
      </c>
    </row>
    <row r="38017">
      <c r="A38017" s="1" t="s">
        <v>38016</v>
      </c>
      <c r="B38017" s="2" t="str">
        <f>IFERROR(__xludf.DUMMYFUNCTION("GOOGLETRANSLATE(A38017, ""de"", ""en"")"),"zinc")</f>
        <v>zinc</v>
      </c>
    </row>
    <row r="38018">
      <c r="A38018" s="1" t="s">
        <v>38017</v>
      </c>
      <c r="B38018" s="2" t="str">
        <f>IFERROR(__xludf.DUMMYFUNCTION("GOOGLETRANSLATE(A38018, ""de"", ""en"")"),"ruling")</f>
        <v>ruling</v>
      </c>
    </row>
    <row r="38019">
      <c r="A38019" s="1" t="s">
        <v>38018</v>
      </c>
      <c r="B38019" s="2" t="str">
        <f>IFERROR(__xludf.DUMMYFUNCTION("GOOGLETRANSLATE(A38019, ""de"", ""en"")"),"doherty")</f>
        <v>doherty</v>
      </c>
    </row>
    <row r="38020">
      <c r="A38020" s="1" t="s">
        <v>38019</v>
      </c>
      <c r="B38020" s="2" t="str">
        <f>IFERROR(__xludf.DUMMYFUNCTION("GOOGLETRANSLATE(A38020, ""de"", ""en"")"),"catastrophic")</f>
        <v>catastrophic</v>
      </c>
    </row>
    <row r="38021">
      <c r="A38021" s="1" t="s">
        <v>38020</v>
      </c>
      <c r="B38021" s="2" t="str">
        <f>IFERROR(__xludf.DUMMYFUNCTION("GOOGLETRANSLATE(A38021, ""de"", ""en"")"),"gluten")</f>
        <v>gluten</v>
      </c>
    </row>
    <row r="38022">
      <c r="A38022" s="1" t="s">
        <v>38021</v>
      </c>
      <c r="B38022" s="2" t="str">
        <f>IFERROR(__xludf.DUMMYFUNCTION("GOOGLETRANSLATE(A38022, ""de"", ""en"")"),"g.d.")</f>
        <v>g.d.</v>
      </c>
    </row>
    <row r="38023">
      <c r="A38023" s="1" t="s">
        <v>38022</v>
      </c>
      <c r="B38023" s="2" t="str">
        <f>IFERROR(__xludf.DUMMYFUNCTION("GOOGLETRANSLATE(A38023, ""de"", ""en"")"),"talent scout")</f>
        <v>talent scout</v>
      </c>
    </row>
    <row r="38024">
      <c r="A38024" s="1" t="s">
        <v>38023</v>
      </c>
      <c r="B38024" s="2" t="str">
        <f>IFERROR(__xludf.DUMMYFUNCTION("GOOGLETRANSLATE(A38024, ""de"", ""en"")"),"puta")</f>
        <v>puta</v>
      </c>
    </row>
    <row r="38025">
      <c r="A38025" s="1" t="s">
        <v>38024</v>
      </c>
      <c r="B38025" s="2" t="str">
        <f>IFERROR(__xludf.DUMMYFUNCTION("GOOGLETRANSLATE(A38025, ""de"", ""en"")"),"cabling")</f>
        <v>cabling</v>
      </c>
    </row>
    <row r="38026">
      <c r="A38026" s="1" t="s">
        <v>38025</v>
      </c>
      <c r="B38026" s="2" t="str">
        <f>IFERROR(__xludf.DUMMYFUNCTION("GOOGLETRANSLATE(A38026, ""de"", ""en"")"),"smeared")</f>
        <v>smeared</v>
      </c>
    </row>
    <row r="38027">
      <c r="A38027" s="1" t="s">
        <v>38026</v>
      </c>
      <c r="B38027" s="2" t="str">
        <f>IFERROR(__xludf.DUMMYFUNCTION("GOOGLETRANSLATE(A38027, ""de"", ""en"")"),"niggers")</f>
        <v>niggers</v>
      </c>
    </row>
    <row r="38028">
      <c r="A38028" s="1" t="s">
        <v>38027</v>
      </c>
      <c r="B38028" s="2" t="str">
        <f>IFERROR(__xludf.DUMMYFUNCTION("GOOGLETRANSLATE(A38028, ""de"", ""en"")"),"giants")</f>
        <v>giants</v>
      </c>
    </row>
    <row r="38029">
      <c r="A38029" s="1" t="s">
        <v>38028</v>
      </c>
      <c r="B38029" s="2" t="str">
        <f>IFERROR(__xludf.DUMMYFUNCTION("GOOGLETRANSLATE(A38029, ""de"", ""en"")"),"writer's block")</f>
        <v>writer's block</v>
      </c>
    </row>
    <row r="38030">
      <c r="A38030" s="1" t="s">
        <v>38029</v>
      </c>
      <c r="B38030" s="2" t="str">
        <f>IFERROR(__xludf.DUMMYFUNCTION("GOOGLETRANSLATE(A38030, ""de"", ""en"")"),"iassen")</f>
        <v>iassen</v>
      </c>
    </row>
    <row r="38031">
      <c r="A38031" s="1" t="s">
        <v>38030</v>
      </c>
      <c r="B38031" s="2" t="str">
        <f>IFERROR(__xludf.DUMMYFUNCTION("GOOGLETRANSLATE(A38031, ""de"", ""en"")"),"crunches")</f>
        <v>crunches</v>
      </c>
    </row>
    <row r="38032">
      <c r="A38032" s="1" t="s">
        <v>38031</v>
      </c>
      <c r="B38032" s="2" t="str">
        <f>IFERROR(__xludf.DUMMYFUNCTION("GOOGLETRANSLATE(A38032, ""de"", ""en"")"),"cyclopes")</f>
        <v>cyclopes</v>
      </c>
    </row>
    <row r="38033">
      <c r="A38033" s="1" t="s">
        <v>38032</v>
      </c>
      <c r="B38033" s="2" t="str">
        <f>IFERROR(__xludf.DUMMYFUNCTION("GOOGLETRANSLATE(A38033, ""de"", ""en"")"),"rest area")</f>
        <v>rest area</v>
      </c>
    </row>
    <row r="38034">
      <c r="A38034" s="1" t="s">
        <v>38033</v>
      </c>
      <c r="B38034" s="2" t="str">
        <f>IFERROR(__xludf.DUMMYFUNCTION("GOOGLETRANSLATE(A38034, ""de"", ""en"")"),"local news")</f>
        <v>local news</v>
      </c>
    </row>
    <row r="38035">
      <c r="A38035" s="1" t="s">
        <v>38034</v>
      </c>
      <c r="B38035" s="2" t="str">
        <f>IFERROR(__xludf.DUMMYFUNCTION("GOOGLETRANSLATE(A38035, ""de"", ""en"")"),"misdeeds")</f>
        <v>misdeeds</v>
      </c>
    </row>
    <row r="38036">
      <c r="A38036" s="1" t="s">
        <v>38035</v>
      </c>
      <c r="B38036" s="2" t="str">
        <f>IFERROR(__xludf.DUMMYFUNCTION("GOOGLETRANSLATE(A38036, ""de"", ""en"")"),"helped")</f>
        <v>helped</v>
      </c>
    </row>
    <row r="38037">
      <c r="A38037" s="1" t="s">
        <v>38036</v>
      </c>
      <c r="B38037" s="2" t="str">
        <f>IFERROR(__xludf.DUMMYFUNCTION("GOOGLETRANSLATE(A38037, ""de"", ""en"")"),"zi")</f>
        <v>zi</v>
      </c>
    </row>
    <row r="38038">
      <c r="A38038" s="1" t="s">
        <v>38037</v>
      </c>
      <c r="B38038" s="2" t="str">
        <f>IFERROR(__xludf.DUMMYFUNCTION("GOOGLETRANSLATE(A38038, ""de"", ""en"")"),"liquidated")</f>
        <v>liquidated</v>
      </c>
    </row>
    <row r="38039">
      <c r="A38039" s="1" t="s">
        <v>38038</v>
      </c>
      <c r="B38039" s="2" t="str">
        <f>IFERROR(__xludf.DUMMYFUNCTION("GOOGLETRANSLATE(A38039, ""de"", ""en"")"),"versus")</f>
        <v>versus</v>
      </c>
    </row>
    <row r="38040">
      <c r="A38040" s="1" t="s">
        <v>38039</v>
      </c>
      <c r="B38040" s="2" t="str">
        <f>IFERROR(__xludf.DUMMYFUNCTION("GOOGLETRANSLATE(A38040, ""de"", ""en"")"),"threatening")</f>
        <v>threatening</v>
      </c>
    </row>
    <row r="38041">
      <c r="A38041" s="1" t="s">
        <v>38040</v>
      </c>
      <c r="B38041" s="2" t="str">
        <f>IFERROR(__xludf.DUMMYFUNCTION("GOOGLETRANSLATE(A38041, ""de"", ""en"")"),"yulchen")</f>
        <v>yulchen</v>
      </c>
    </row>
    <row r="38042">
      <c r="A38042" s="1" t="s">
        <v>38041</v>
      </c>
      <c r="B38042" s="2" t="str">
        <f>IFERROR(__xludf.DUMMYFUNCTION("GOOGLETRANSLATE(A38042, ""de"", ""en"")"),"judicially")</f>
        <v>judicially</v>
      </c>
    </row>
    <row r="38043">
      <c r="A38043" s="1" t="s">
        <v>38042</v>
      </c>
      <c r="B38043" s="2" t="str">
        <f>IFERROR(__xludf.DUMMYFUNCTION("GOOGLETRANSLATE(A38043, ""de"", ""en"")"),"coeur")</f>
        <v>coeur</v>
      </c>
    </row>
    <row r="38044">
      <c r="A38044" s="1" t="s">
        <v>38043</v>
      </c>
      <c r="B38044" s="2" t="str">
        <f>IFERROR(__xludf.DUMMYFUNCTION("GOOGLETRANSLATE(A38044, ""de"", ""en"")"),"inexplicable")</f>
        <v>inexplicable</v>
      </c>
    </row>
    <row r="38045">
      <c r="A38045" s="1" t="s">
        <v>38044</v>
      </c>
      <c r="B38045" s="2" t="str">
        <f>IFERROR(__xludf.DUMMYFUNCTION("GOOGLETRANSLATE(A38045, ""de"", ""en"")"),"won")</f>
        <v>won</v>
      </c>
    </row>
    <row r="38046">
      <c r="A38046" s="1" t="s">
        <v>38045</v>
      </c>
      <c r="B38046" s="2" t="str">
        <f>IFERROR(__xludf.DUMMYFUNCTION("GOOGLETRANSLATE(A38046, ""de"", ""en"")"),"Negan")</f>
        <v>Negan</v>
      </c>
    </row>
    <row r="38047">
      <c r="A38047" s="1" t="s">
        <v>38046</v>
      </c>
      <c r="B38047" s="2" t="str">
        <f>IFERROR(__xludf.DUMMYFUNCTION("GOOGLETRANSLATE(A38047, ""de"", ""en"")"),"benni")</f>
        <v>benni</v>
      </c>
    </row>
    <row r="38048">
      <c r="A38048" s="1" t="s">
        <v>38047</v>
      </c>
      <c r="B38048" s="2" t="str">
        <f>IFERROR(__xludf.DUMMYFUNCTION("GOOGLETRANSLATE(A38048, ""de"", ""en"")"),"common room")</f>
        <v>common room</v>
      </c>
    </row>
    <row r="38049">
      <c r="A38049" s="1" t="s">
        <v>38048</v>
      </c>
      <c r="B38049" s="2" t="str">
        <f>IFERROR(__xludf.DUMMYFUNCTION("GOOGLETRANSLATE(A38049, ""de"", ""en"")"),"mosley")</f>
        <v>mosley</v>
      </c>
    </row>
    <row r="38050">
      <c r="A38050" s="1" t="s">
        <v>38049</v>
      </c>
      <c r="B38050" s="2" t="str">
        <f>IFERROR(__xludf.DUMMYFUNCTION("GOOGLETRANSLATE(A38050, ""de"", ""en"")"),"reviews")</f>
        <v>reviews</v>
      </c>
    </row>
    <row r="38051">
      <c r="A38051" s="1" t="s">
        <v>38050</v>
      </c>
      <c r="B38051" s="2" t="str">
        <f>IFERROR(__xludf.DUMMYFUNCTION("GOOGLETRANSLATE(A38051, ""de"", ""en"")"),"zooey")</f>
        <v>zooey</v>
      </c>
    </row>
    <row r="38052">
      <c r="A38052" s="1" t="s">
        <v>38051</v>
      </c>
      <c r="B38052" s="2" t="str">
        <f>IFERROR(__xludf.DUMMYFUNCTION("GOOGLETRANSLATE(A38052, ""de"", ""en"")"),"nanking")</f>
        <v>nanking</v>
      </c>
    </row>
    <row r="38053">
      <c r="A38053" s="1" t="s">
        <v>38052</v>
      </c>
      <c r="B38053" s="2" t="str">
        <f>IFERROR(__xludf.DUMMYFUNCTION("GOOGLETRANSLATE(A38053, ""de"", ""en"")"),"live Shit")</f>
        <v>live Shit</v>
      </c>
    </row>
    <row r="38054">
      <c r="A38054" s="1" t="s">
        <v>38053</v>
      </c>
      <c r="B38054" s="2" t="str">
        <f>IFERROR(__xludf.DUMMYFUNCTION("GOOGLETRANSLATE(A38054, ""de"", ""en"")"),"slotter")</f>
        <v>slotter</v>
      </c>
    </row>
    <row r="38055">
      <c r="A38055" s="1" t="s">
        <v>38054</v>
      </c>
      <c r="B38055" s="2" t="str">
        <f>IFERROR(__xludf.DUMMYFUNCTION("GOOGLETRANSLATE(A38055, ""de"", ""en"")"),"niceness")</f>
        <v>niceness</v>
      </c>
    </row>
    <row r="38056">
      <c r="A38056" s="1" t="s">
        <v>38055</v>
      </c>
      <c r="B38056" s="2" t="str">
        <f>IFERROR(__xludf.DUMMYFUNCTION("GOOGLETRANSLATE(A38056, ""de"", ""en"")"),"measurements")</f>
        <v>measurements</v>
      </c>
    </row>
    <row r="38057">
      <c r="A38057" s="1" t="s">
        <v>38056</v>
      </c>
      <c r="B38057" s="2" t="str">
        <f>IFERROR(__xludf.DUMMYFUNCTION("GOOGLETRANSLATE(A38057, ""de"", ""en"")"),"itching")</f>
        <v>itching</v>
      </c>
    </row>
    <row r="38058">
      <c r="A38058" s="1" t="s">
        <v>38057</v>
      </c>
      <c r="B38058" s="2" t="str">
        <f>IFERROR(__xludf.DUMMYFUNCTION("GOOGLETRANSLATE(A38058, ""de"", ""en"")"),"kutner")</f>
        <v>kutner</v>
      </c>
    </row>
    <row r="38059">
      <c r="A38059" s="1" t="s">
        <v>38058</v>
      </c>
      <c r="B38059" s="2" t="str">
        <f>IFERROR(__xludf.DUMMYFUNCTION("GOOGLETRANSLATE(A38059, ""de"", ""en"")"),"unpleasant ones")</f>
        <v>unpleasant ones</v>
      </c>
    </row>
    <row r="38060">
      <c r="A38060" s="1" t="s">
        <v>38059</v>
      </c>
      <c r="B38060" s="2" t="str">
        <f>IFERROR(__xludf.DUMMYFUNCTION("GOOGLETRANSLATE(A38060, ""de"", ""en"")"),"portfolio")</f>
        <v>portfolio</v>
      </c>
    </row>
    <row r="38061">
      <c r="A38061" s="1" t="s">
        <v>38060</v>
      </c>
      <c r="B38061" s="2" t="str">
        <f>IFERROR(__xludf.DUMMYFUNCTION("GOOGLETRANSLATE(A38061, ""de"", ""en"")"),"fleet")</f>
        <v>fleet</v>
      </c>
    </row>
    <row r="38062">
      <c r="A38062" s="1" t="s">
        <v>38061</v>
      </c>
      <c r="B38062" s="2" t="str">
        <f>IFERROR(__xludf.DUMMYFUNCTION("GOOGLETRANSLATE(A38062, ""de"", ""en"")"),"used")</f>
        <v>used</v>
      </c>
    </row>
    <row r="38063">
      <c r="A38063" s="1" t="s">
        <v>38062</v>
      </c>
      <c r="B38063" s="2" t="str">
        <f>IFERROR(__xludf.DUMMYFUNCTION("GOOGLETRANSLATE(A38063, ""de"", ""en"")"),"ice skating")</f>
        <v>ice skating</v>
      </c>
    </row>
    <row r="38064">
      <c r="A38064" s="1" t="s">
        <v>38063</v>
      </c>
      <c r="B38064" s="2" t="str">
        <f>IFERROR(__xludf.DUMMYFUNCTION("GOOGLETRANSLATE(A38064, ""de"", ""en"")"),"reproduced")</f>
        <v>reproduced</v>
      </c>
    </row>
    <row r="38065">
      <c r="A38065" s="1" t="s">
        <v>38064</v>
      </c>
      <c r="B38065" s="2" t="str">
        <f>IFERROR(__xludf.DUMMYFUNCTION("GOOGLETRANSLATE(A38065, ""de"", ""en"")"),"Ministry of Defense")</f>
        <v>Ministry of Defense</v>
      </c>
    </row>
    <row r="38066">
      <c r="A38066" s="1" t="s">
        <v>38065</v>
      </c>
      <c r="B38066" s="2" t="str">
        <f>IFERROR(__xludf.DUMMYFUNCTION("GOOGLETRANSLATE(A38066, ""de"", ""en"")"),"updates")</f>
        <v>updates</v>
      </c>
    </row>
    <row r="38067">
      <c r="A38067" s="1" t="s">
        <v>38066</v>
      </c>
      <c r="B38067" s="2" t="str">
        <f>IFERROR(__xludf.DUMMYFUNCTION("GOOGLETRANSLATE(A38067, ""de"", ""en"")"),"scooter")</f>
        <v>scooter</v>
      </c>
    </row>
    <row r="38068">
      <c r="A38068" s="1" t="s">
        <v>38067</v>
      </c>
      <c r="B38068" s="2" t="str">
        <f>IFERROR(__xludf.DUMMYFUNCTION("GOOGLETRANSLATE(A38068, ""de"", ""en"")"),"loulou")</f>
        <v>loulou</v>
      </c>
    </row>
    <row r="38069">
      <c r="A38069" s="1" t="s">
        <v>38068</v>
      </c>
      <c r="B38069" s="2" t="str">
        <f>IFERROR(__xludf.DUMMYFUNCTION("GOOGLETRANSLATE(A38069, ""de"", ""en"")"),"can")</f>
        <v>can</v>
      </c>
    </row>
    <row r="38070">
      <c r="A38070" s="1" t="s">
        <v>38069</v>
      </c>
      <c r="B38070" s="2" t="str">
        <f>IFERROR(__xludf.DUMMYFUNCTION("GOOGLETRANSLATE(A38070, ""de"", ""en"")"),"bp")</f>
        <v>bp</v>
      </c>
    </row>
    <row r="38071">
      <c r="A38071" s="1" t="s">
        <v>38070</v>
      </c>
      <c r="B38071" s="2" t="str">
        <f>IFERROR(__xludf.DUMMYFUNCTION("GOOGLETRANSLATE(A38071, ""de"", ""en"")"),"Thanks.")</f>
        <v>Thanks.</v>
      </c>
    </row>
    <row r="38072">
      <c r="A38072" s="1" t="s">
        <v>38071</v>
      </c>
      <c r="B38072" s="2" t="str">
        <f>IFERROR(__xludf.DUMMYFUNCTION("GOOGLETRANSLATE(A38072, ""de"", ""en"")"),"gacet")</f>
        <v>gacet</v>
      </c>
    </row>
    <row r="38073">
      <c r="A38073" s="1" t="s">
        <v>38072</v>
      </c>
      <c r="B38073" s="2" t="str">
        <f>IFERROR(__xludf.DUMMYFUNCTION("GOOGLETRANSLATE(A38073, ""de"", ""en"")"),"human history")</f>
        <v>human history</v>
      </c>
    </row>
    <row r="38074">
      <c r="A38074" s="1" t="s">
        <v>38073</v>
      </c>
      <c r="B38074" s="2" t="str">
        <f>IFERROR(__xludf.DUMMYFUNCTION("GOOGLETRANSLATE(A38074, ""de"", ""en"")"),"sesame street")</f>
        <v>sesame street</v>
      </c>
    </row>
    <row r="38075">
      <c r="A38075" s="1" t="s">
        <v>38074</v>
      </c>
      <c r="B38075" s="2" t="str">
        <f>IFERROR(__xludf.DUMMYFUNCTION("GOOGLETRANSLATE(A38075, ""de"", ""en"")"),"shore leave")</f>
        <v>shore leave</v>
      </c>
    </row>
    <row r="38076">
      <c r="A38076" s="1" t="s">
        <v>38075</v>
      </c>
      <c r="B38076" s="2" t="str">
        <f>IFERROR(__xludf.DUMMYFUNCTION("GOOGLETRANSLATE(A38076, ""de"", ""en"")"),"rumored")</f>
        <v>rumored</v>
      </c>
    </row>
    <row r="38077">
      <c r="A38077" s="1" t="s">
        <v>38076</v>
      </c>
      <c r="B38077" s="2" t="str">
        <f>IFERROR(__xludf.DUMMYFUNCTION("GOOGLETRANSLATE(A38077, ""de"", ""en"")"),"neurology")</f>
        <v>neurology</v>
      </c>
    </row>
    <row r="38078">
      <c r="A38078" s="1" t="s">
        <v>38077</v>
      </c>
      <c r="B38078" s="2" t="str">
        <f>IFERROR(__xludf.DUMMYFUNCTION("GOOGLETRANSLATE(A38078, ""de"", ""en"")"),"spits")</f>
        <v>spits</v>
      </c>
    </row>
    <row r="38079">
      <c r="A38079" s="1" t="s">
        <v>38078</v>
      </c>
      <c r="B38079" s="2" t="str">
        <f>IFERROR(__xludf.DUMMYFUNCTION("GOOGLETRANSLATE(A38079, ""de"", ""en"")"),"called")</f>
        <v>called</v>
      </c>
    </row>
    <row r="38080">
      <c r="A38080" s="1" t="s">
        <v>38079</v>
      </c>
      <c r="B38080" s="2" t="str">
        <f>IFERROR(__xludf.DUMMYFUNCTION("GOOGLETRANSLATE(A38080, ""de"", ""en"")"),"side streets")</f>
        <v>side streets</v>
      </c>
    </row>
    <row r="38081">
      <c r="A38081" s="1" t="s">
        <v>38080</v>
      </c>
      <c r="B38081" s="2" t="str">
        <f>IFERROR(__xludf.DUMMYFUNCTION("GOOGLETRANSLATE(A38081, ""de"", ""en"")"),"Reykjavik")</f>
        <v>Reykjavik</v>
      </c>
    </row>
    <row r="38082">
      <c r="A38082" s="1" t="s">
        <v>38081</v>
      </c>
      <c r="B38082" s="2" t="str">
        <f>IFERROR(__xludf.DUMMYFUNCTION("GOOGLETRANSLATE(A38082, ""de"", ""en"")"),"demarco")</f>
        <v>demarco</v>
      </c>
    </row>
    <row r="38083">
      <c r="A38083" s="1" t="s">
        <v>38082</v>
      </c>
      <c r="B38083" s="2" t="str">
        <f>IFERROR(__xludf.DUMMYFUNCTION("GOOGLETRANSLATE(A38083, ""de"", ""en"")"),"miraculous")</f>
        <v>miraculous</v>
      </c>
    </row>
    <row r="38084">
      <c r="A38084" s="1" t="s">
        <v>38083</v>
      </c>
      <c r="B38084" s="2" t="str">
        <f>IFERROR(__xludf.DUMMYFUNCTION("GOOGLETRANSLATE(A38084, ""de"", ""en"")"),"upper class")</f>
        <v>upper class</v>
      </c>
    </row>
    <row r="38085">
      <c r="A38085" s="1" t="s">
        <v>38084</v>
      </c>
      <c r="B38085" s="2" t="str">
        <f>IFERROR(__xludf.DUMMYFUNCTION("GOOGLETRANSLATE(A38085, ""de"", ""en"")"),"mixture")</f>
        <v>mixture</v>
      </c>
    </row>
    <row r="38086">
      <c r="A38086" s="1" t="s">
        <v>38085</v>
      </c>
      <c r="B38086" s="2" t="str">
        <f>IFERROR(__xludf.DUMMYFUNCTION("GOOGLETRANSLATE(A38086, ""de"", ""en"")"),"mutilated")</f>
        <v>mutilated</v>
      </c>
    </row>
    <row r="38087">
      <c r="A38087" s="1" t="s">
        <v>38086</v>
      </c>
      <c r="B38087" s="2" t="str">
        <f>IFERROR(__xludf.DUMMYFUNCTION("GOOGLETRANSLATE(A38087, ""de"", ""en"")"),"nails")</f>
        <v>nails</v>
      </c>
    </row>
    <row r="38088">
      <c r="A38088" s="1" t="s">
        <v>38087</v>
      </c>
      <c r="B38088" s="2" t="str">
        <f>IFERROR(__xludf.DUMMYFUNCTION("GOOGLETRANSLATE(A38088, ""de"", ""en"")"),"presenter")</f>
        <v>presenter</v>
      </c>
    </row>
    <row r="38089">
      <c r="A38089" s="1" t="s">
        <v>38088</v>
      </c>
      <c r="B38089" s="2" t="str">
        <f>IFERROR(__xludf.DUMMYFUNCTION("GOOGLETRANSLATE(A38089, ""de"", ""en"")"),"whistled")</f>
        <v>whistled</v>
      </c>
    </row>
    <row r="38090">
      <c r="A38090" s="1" t="s">
        <v>38089</v>
      </c>
      <c r="B38090" s="2" t="str">
        <f>IFERROR(__xludf.DUMMYFUNCTION("GOOGLETRANSLATE(A38090, ""de"", ""en"")"),"hoove")</f>
        <v>hoove</v>
      </c>
    </row>
    <row r="38091">
      <c r="A38091" s="1" t="s">
        <v>38090</v>
      </c>
      <c r="B38091" s="2" t="str">
        <f>IFERROR(__xludf.DUMMYFUNCTION("GOOGLETRANSLATE(A38091, ""de"", ""en"")"),"cans")</f>
        <v>cans</v>
      </c>
    </row>
    <row r="38092">
      <c r="A38092" s="1" t="s">
        <v>38091</v>
      </c>
      <c r="B38092" s="2" t="str">
        <f>IFERROR(__xludf.DUMMYFUNCTION("GOOGLETRANSLATE(A38092, ""de"", ""en"")"),"dink")</f>
        <v>dink</v>
      </c>
    </row>
    <row r="38093">
      <c r="A38093" s="1" t="s">
        <v>38092</v>
      </c>
      <c r="B38093" s="2" t="str">
        <f>IFERROR(__xludf.DUMMYFUNCTION("GOOGLETRANSLATE(A38093, ""de"", ""en"")"),"miro")</f>
        <v>miro</v>
      </c>
    </row>
    <row r="38094">
      <c r="A38094" s="1" t="s">
        <v>38093</v>
      </c>
      <c r="B38094" s="2" t="str">
        <f>IFERROR(__xludf.DUMMYFUNCTION("GOOGLETRANSLATE(A38094, ""de"", ""en"")"),"taken care of")</f>
        <v>taken care of</v>
      </c>
    </row>
    <row r="38095">
      <c r="A38095" s="1" t="s">
        <v>38094</v>
      </c>
      <c r="B38095" s="2" t="str">
        <f>IFERROR(__xludf.DUMMYFUNCTION("GOOGLETRANSLATE(A38095, ""de"", ""en"")"),"colored")</f>
        <v>colored</v>
      </c>
    </row>
    <row r="38096">
      <c r="A38096" s="1" t="s">
        <v>38095</v>
      </c>
      <c r="B38096" s="2" t="str">
        <f>IFERROR(__xludf.DUMMYFUNCTION("GOOGLETRANSLATE(A38096, ""de"", ""en"")"),"junk")</f>
        <v>junk</v>
      </c>
    </row>
    <row r="38097">
      <c r="A38097" s="1" t="s">
        <v>38096</v>
      </c>
      <c r="B38097" s="2" t="str">
        <f>IFERROR(__xludf.DUMMYFUNCTION("GOOGLETRANSLATE(A38097, ""de"", ""en"")"),"individual")</f>
        <v>individual</v>
      </c>
    </row>
    <row r="38098">
      <c r="A38098" s="1" t="s">
        <v>38097</v>
      </c>
      <c r="B38098" s="2" t="str">
        <f>IFERROR(__xludf.DUMMYFUNCTION("GOOGLETRANSLATE(A38098, ""de"", ""en"")"),"guarded")</f>
        <v>guarded</v>
      </c>
    </row>
    <row r="38099">
      <c r="A38099" s="1" t="s">
        <v>38098</v>
      </c>
      <c r="B38099" s="2" t="str">
        <f>IFERROR(__xludf.DUMMYFUNCTION("GOOGLETRANSLATE(A38099, ""de"", ""en"")"),"counted")</f>
        <v>counted</v>
      </c>
    </row>
    <row r="38100">
      <c r="A38100" s="1" t="s">
        <v>38099</v>
      </c>
      <c r="B38100" s="2" t="str">
        <f>IFERROR(__xludf.DUMMYFUNCTION("GOOGLETRANSLATE(A38100, ""de"", ""en"")"),"contact details")</f>
        <v>contact details</v>
      </c>
    </row>
    <row r="38101">
      <c r="A38101" s="1" t="s">
        <v>38100</v>
      </c>
      <c r="B38101" s="2" t="str">
        <f>IFERROR(__xludf.DUMMYFUNCTION("GOOGLETRANSLATE(A38101, ""de"", ""en"")"),"late")</f>
        <v>late</v>
      </c>
    </row>
    <row r="38102">
      <c r="A38102" s="1" t="s">
        <v>38101</v>
      </c>
      <c r="B38102" s="2" t="str">
        <f>IFERROR(__xludf.DUMMYFUNCTION("GOOGLETRANSLATE(A38102, ""de"", ""en"")"),"prescribed")</f>
        <v>prescribed</v>
      </c>
    </row>
    <row r="38103">
      <c r="A38103" s="1" t="s">
        <v>38102</v>
      </c>
      <c r="B38103" s="2" t="str">
        <f>IFERROR(__xludf.DUMMYFUNCTION("GOOGLETRANSLATE(A38103, ""de"", ""en"")"),"macgregor")</f>
        <v>macgregor</v>
      </c>
    </row>
    <row r="38104">
      <c r="A38104" s="1" t="s">
        <v>38103</v>
      </c>
      <c r="B38104" s="2" t="str">
        <f>IFERROR(__xludf.DUMMYFUNCTION("GOOGLETRANSLATE(A38104, ""de"", ""en"")"),"expanded")</f>
        <v>expanded</v>
      </c>
    </row>
    <row r="38105">
      <c r="A38105" s="1" t="s">
        <v>38104</v>
      </c>
      <c r="B38105" s="2" t="str">
        <f>IFERROR(__xludf.DUMMYFUNCTION("GOOGLETRANSLATE(A38105, ""de"", ""en"")"),"jams")</f>
        <v>jams</v>
      </c>
    </row>
    <row r="38106">
      <c r="A38106" s="1" t="s">
        <v>38105</v>
      </c>
      <c r="B38106" s="2" t="str">
        <f>IFERROR(__xludf.DUMMYFUNCTION("GOOGLETRANSLATE(A38106, ""de"", ""en"")"),"get through")</f>
        <v>get through</v>
      </c>
    </row>
    <row r="38107">
      <c r="A38107" s="1" t="s">
        <v>38106</v>
      </c>
      <c r="B38107" s="2" t="str">
        <f>IFERROR(__xludf.DUMMYFUNCTION("GOOGLETRANSLATE(A38107, ""de"", ""en"")"),"paralyze")</f>
        <v>paralyze</v>
      </c>
    </row>
    <row r="38108">
      <c r="A38108" s="1" t="s">
        <v>38107</v>
      </c>
      <c r="B38108" s="2" t="str">
        <f>IFERROR(__xludf.DUMMYFUNCTION("GOOGLETRANSLATE(A38108, ""de"", ""en"")"),"fatal")</f>
        <v>fatal</v>
      </c>
    </row>
    <row r="38109">
      <c r="A38109" s="1" t="s">
        <v>38108</v>
      </c>
      <c r="B38109" s="2" t="str">
        <f>IFERROR(__xludf.DUMMYFUNCTION("GOOGLETRANSLATE(A38109, ""de"", ""en"")"),"note")</f>
        <v>note</v>
      </c>
    </row>
    <row r="38110">
      <c r="A38110" s="1" t="s">
        <v>38109</v>
      </c>
      <c r="B38110" s="2" t="str">
        <f>IFERROR(__xludf.DUMMYFUNCTION("GOOGLETRANSLATE(A38110, ""de"", ""en"")"),"thrown away")</f>
        <v>thrown away</v>
      </c>
    </row>
    <row r="38111">
      <c r="A38111" s="1" t="s">
        <v>38110</v>
      </c>
      <c r="B38111" s="2" t="str">
        <f>IFERROR(__xludf.DUMMYFUNCTION("GOOGLETRANSLATE(A38111, ""de"", ""en"")"),"midlife crisis")</f>
        <v>midlife crisis</v>
      </c>
    </row>
    <row r="38112">
      <c r="A38112" s="1" t="s">
        <v>38111</v>
      </c>
      <c r="B38112" s="2" t="str">
        <f>IFERROR(__xludf.DUMMYFUNCTION("GOOGLETRANSLATE(A38112, ""de"", ""en"")"),"spring rolls")</f>
        <v>spring rolls</v>
      </c>
    </row>
    <row r="38113">
      <c r="A38113" s="1" t="s">
        <v>38112</v>
      </c>
      <c r="B38113" s="2" t="str">
        <f>IFERROR(__xludf.DUMMYFUNCTION("GOOGLETRANSLATE(A38113, ""de"", ""en"")"),"hurls")</f>
        <v>hurls</v>
      </c>
    </row>
    <row r="38114">
      <c r="A38114" s="1" t="s">
        <v>38113</v>
      </c>
      <c r="B38114" s="2" t="str">
        <f>IFERROR(__xludf.DUMMYFUNCTION("GOOGLETRANSLATE(A38114, ""de"", ""en"")"),"pacifist")</f>
        <v>pacifist</v>
      </c>
    </row>
    <row r="38115">
      <c r="A38115" s="1" t="s">
        <v>38114</v>
      </c>
      <c r="B38115" s="2" t="str">
        <f>IFERROR(__xludf.DUMMYFUNCTION("GOOGLETRANSLATE(A38115, ""de"", ""en"")"),"property")</f>
        <v>property</v>
      </c>
    </row>
    <row r="38116">
      <c r="A38116" s="1" t="s">
        <v>38115</v>
      </c>
      <c r="B38116" s="2" t="str">
        <f>IFERROR(__xludf.DUMMYFUNCTION("GOOGLETRANSLATE(A38116, ""de"", ""en"")"),"incumbent")</f>
        <v>incumbent</v>
      </c>
    </row>
    <row r="38117">
      <c r="A38117" s="1" t="s">
        <v>38116</v>
      </c>
      <c r="B38117" s="2" t="str">
        <f>IFERROR(__xludf.DUMMYFUNCTION("GOOGLETRANSLATE(A38117, ""de"", ""en"")"),"gym")</f>
        <v>gym</v>
      </c>
    </row>
    <row r="38118">
      <c r="A38118" s="1" t="s">
        <v>38117</v>
      </c>
      <c r="B38118" s="2" t="str">
        <f>IFERROR(__xludf.DUMMYFUNCTION("GOOGLETRANSLATE(A38118, ""de"", ""en"")"),"guitar sounds")</f>
        <v>guitar sounds</v>
      </c>
    </row>
    <row r="38119">
      <c r="A38119" s="1" t="s">
        <v>38118</v>
      </c>
      <c r="B38119" s="2" t="str">
        <f>IFERROR(__xludf.DUMMYFUNCTION("GOOGLETRANSLATE(A38119, ""de"", ""en"")"),"torture chamber")</f>
        <v>torture chamber</v>
      </c>
    </row>
    <row r="38120">
      <c r="A38120" s="1" t="s">
        <v>38119</v>
      </c>
      <c r="B38120" s="2" t="str">
        <f>IFERROR(__xludf.DUMMYFUNCTION("GOOGLETRANSLATE(A38120, ""de"", ""en"")"),"ruder")</f>
        <v>ruder</v>
      </c>
    </row>
    <row r="38121">
      <c r="A38121" s="1" t="s">
        <v>38120</v>
      </c>
      <c r="B38121" s="2" t="str">
        <f>IFERROR(__xludf.DUMMYFUNCTION("GOOGLETRANSLATE(A38121, ""de"", ""en"")"),"county jail")</f>
        <v>county jail</v>
      </c>
    </row>
    <row r="38122">
      <c r="A38122" s="1" t="s">
        <v>38121</v>
      </c>
      <c r="B38122" s="2" t="str">
        <f>IFERROR(__xludf.DUMMYFUNCTION("GOOGLETRANSLATE(A38122, ""de"", ""en"")"),"zip")</f>
        <v>zip</v>
      </c>
    </row>
    <row r="38123">
      <c r="A38123" s="1" t="s">
        <v>38122</v>
      </c>
      <c r="B38123" s="2" t="str">
        <f>IFERROR(__xludf.DUMMYFUNCTION("GOOGLETRANSLATE(A38123, ""de"", ""en"")"),"marthas")</f>
        <v>marthas</v>
      </c>
    </row>
    <row r="38124">
      <c r="A38124" s="1" t="s">
        <v>38123</v>
      </c>
      <c r="B38124" s="2" t="str">
        <f>IFERROR(__xludf.DUMMYFUNCTION("GOOGLETRANSLATE(A38124, ""de"", ""en"")"),"fo")</f>
        <v>fo</v>
      </c>
    </row>
    <row r="38125">
      <c r="A38125" s="1" t="s">
        <v>38124</v>
      </c>
      <c r="B38125" s="2" t="str">
        <f>IFERROR(__xludf.DUMMYFUNCTION("GOOGLETRANSLATE(A38125, ""de"", ""en"")"),"bonnies")</f>
        <v>bonnies</v>
      </c>
    </row>
    <row r="38126">
      <c r="A38126" s="1" t="s">
        <v>38125</v>
      </c>
      <c r="B38126" s="2" t="str">
        <f>IFERROR(__xludf.DUMMYFUNCTION("GOOGLETRANSLATE(A38126, ""de"", ""en"")"),"deveraux")</f>
        <v>deveraux</v>
      </c>
    </row>
    <row r="38127">
      <c r="A38127" s="1" t="s">
        <v>38126</v>
      </c>
      <c r="B38127" s="2" t="str">
        <f>IFERROR(__xludf.DUMMYFUNCTION("GOOGLETRANSLATE(A38127, ""de"", ""en"")"),"foundry")</f>
        <v>foundry</v>
      </c>
    </row>
    <row r="38128">
      <c r="A38128" s="1" t="s">
        <v>38127</v>
      </c>
      <c r="B38128" s="2" t="str">
        <f>IFERROR(__xludf.DUMMYFUNCTION("GOOGLETRANSLATE(A38128, ""de"", ""en"")"),"holster")</f>
        <v>holster</v>
      </c>
    </row>
    <row r="38129">
      <c r="A38129" s="1" t="s">
        <v>38128</v>
      </c>
      <c r="B38129" s="2" t="str">
        <f>IFERROR(__xludf.DUMMYFUNCTION("GOOGLETRANSLATE(A38129, ""de"", ""en"")"),"is released")</f>
        <v>is released</v>
      </c>
    </row>
    <row r="38130">
      <c r="A38130" s="1" t="s">
        <v>38129</v>
      </c>
      <c r="B38130" s="2" t="str">
        <f>IFERROR(__xludf.DUMMYFUNCTION("GOOGLETRANSLATE(A38130, ""de"", ""en"")"),"cs")</f>
        <v>cs</v>
      </c>
    </row>
    <row r="38131">
      <c r="A38131" s="1" t="s">
        <v>38130</v>
      </c>
      <c r="B38131" s="2" t="str">
        <f>IFERROR(__xludf.DUMMYFUNCTION("GOOGLETRANSLATE(A38131, ""de"", ""en"")"),"doorknob")</f>
        <v>doorknob</v>
      </c>
    </row>
    <row r="38132">
      <c r="A38132" s="1" t="s">
        <v>38131</v>
      </c>
      <c r="B38132" s="2" t="str">
        <f>IFERROR(__xludf.DUMMYFUNCTION("GOOGLETRANSLATE(A38132, ""de"", ""en"")"),"Fyodor")</f>
        <v>Fyodor</v>
      </c>
    </row>
    <row r="38133">
      <c r="A38133" s="1" t="s">
        <v>38132</v>
      </c>
      <c r="B38133" s="2" t="str">
        <f>IFERROR(__xludf.DUMMYFUNCTION("GOOGLETRANSLATE(A38133, ""de"", ""en"")"),"you called")</f>
        <v>you called</v>
      </c>
    </row>
    <row r="38134">
      <c r="A38134" s="1" t="s">
        <v>38133</v>
      </c>
      <c r="B38134" s="2" t="str">
        <f>IFERROR(__xludf.DUMMYFUNCTION("GOOGLETRANSLATE(A38134, ""de"", ""en"")"),"vases")</f>
        <v>vases</v>
      </c>
    </row>
    <row r="38135">
      <c r="A38135" s="1" t="s">
        <v>38134</v>
      </c>
      <c r="B38135" s="2" t="str">
        <f>IFERROR(__xludf.DUMMYFUNCTION("GOOGLETRANSLATE(A38135, ""de"", ""en"")"),"xerxes")</f>
        <v>xerxes</v>
      </c>
    </row>
    <row r="38136">
      <c r="A38136" s="1" t="s">
        <v>38135</v>
      </c>
      <c r="B38136" s="2" t="str">
        <f>IFERROR(__xludf.DUMMYFUNCTION("GOOGLETRANSLATE(A38136, ""de"", ""en"")"),"worse")</f>
        <v>worse</v>
      </c>
    </row>
    <row r="38137">
      <c r="A38137" s="1" t="s">
        <v>38136</v>
      </c>
      <c r="B38137" s="2" t="str">
        <f>IFERROR(__xludf.DUMMYFUNCTION("GOOGLETRANSLATE(A38137, ""de"", ""en"")"),"concepts")</f>
        <v>concepts</v>
      </c>
    </row>
    <row r="38138">
      <c r="A38138" s="1" t="s">
        <v>38137</v>
      </c>
      <c r="B38138" s="2" t="str">
        <f>IFERROR(__xludf.DUMMYFUNCTION("GOOGLETRANSLATE(A38138, ""de"", ""en"")"),"Czechs")</f>
        <v>Czechs</v>
      </c>
    </row>
    <row r="38139">
      <c r="A38139" s="1" t="s">
        <v>38138</v>
      </c>
      <c r="B38139" s="2" t="str">
        <f>IFERROR(__xludf.DUMMYFUNCTION("GOOGLETRANSLATE(A38139, ""de"", ""en"")"),"more lawful")</f>
        <v>more lawful</v>
      </c>
    </row>
    <row r="38140">
      <c r="A38140" s="1" t="s">
        <v>38139</v>
      </c>
      <c r="B38140" s="2" t="str">
        <f>IFERROR(__xludf.DUMMYFUNCTION("GOOGLETRANSLATE(A38140, ""de"", ""en"")"),"amusing")</f>
        <v>amusing</v>
      </c>
    </row>
    <row r="38141">
      <c r="A38141" s="1" t="s">
        <v>38140</v>
      </c>
      <c r="B38141" s="2" t="str">
        <f>IFERROR(__xludf.DUMMYFUNCTION("GOOGLETRANSLATE(A38141, ""de"", ""en"")"),"liability")</f>
        <v>liability</v>
      </c>
    </row>
    <row r="38142">
      <c r="A38142" s="1" t="s">
        <v>38141</v>
      </c>
      <c r="B38142" s="2" t="str">
        <f>IFERROR(__xludf.DUMMYFUNCTION("GOOGLETRANSLATE(A38142, ""de"", ""en"")"),"acumen")</f>
        <v>acumen</v>
      </c>
    </row>
    <row r="38143">
      <c r="A38143" s="1" t="s">
        <v>38142</v>
      </c>
      <c r="B38143" s="2" t="str">
        <f>IFERROR(__xludf.DUMMYFUNCTION("GOOGLETRANSLATE(A38143, ""de"", ""en"")"),"history books")</f>
        <v>history books</v>
      </c>
    </row>
    <row r="38144">
      <c r="A38144" s="1" t="s">
        <v>38143</v>
      </c>
      <c r="B38144" s="2" t="str">
        <f>IFERROR(__xludf.DUMMYFUNCTION("GOOGLETRANSLATE(A38144, ""de"", ""en"")"),"levine")</f>
        <v>levine</v>
      </c>
    </row>
    <row r="38145">
      <c r="A38145" s="1" t="s">
        <v>38144</v>
      </c>
      <c r="B38145" s="2" t="str">
        <f>IFERROR(__xludf.DUMMYFUNCTION("GOOGLETRANSLATE(A38145, ""de"", ""en"")"),"world's best")</f>
        <v>world's best</v>
      </c>
    </row>
    <row r="38146">
      <c r="A38146" s="1" t="s">
        <v>38145</v>
      </c>
      <c r="B38146" s="2" t="str">
        <f>IFERROR(__xludf.DUMMYFUNCTION("GOOGLETRANSLATE(A38146, ""de"", ""en"")"),"Siri")</f>
        <v>Siri</v>
      </c>
    </row>
    <row r="38147">
      <c r="A38147" s="1" t="s">
        <v>38146</v>
      </c>
      <c r="B38147" s="2" t="str">
        <f>IFERROR(__xludf.DUMMYFUNCTION("GOOGLETRANSLATE(A38147, ""de"", ""en"")"),"calculate")</f>
        <v>calculate</v>
      </c>
    </row>
    <row r="38148">
      <c r="A38148" s="1" t="s">
        <v>38147</v>
      </c>
      <c r="B38148" s="2" t="str">
        <f>IFERROR(__xludf.DUMMYFUNCTION("GOOGLETRANSLATE(A38148, ""de"", ""en"")"),"fender")</f>
        <v>fender</v>
      </c>
    </row>
    <row r="38149">
      <c r="A38149" s="1" t="s">
        <v>38148</v>
      </c>
      <c r="B38149" s="2" t="str">
        <f>IFERROR(__xludf.DUMMYFUNCTION("GOOGLETRANSLATE(A38149, ""de"", ""en"")"),"marlott")</f>
        <v>marlott</v>
      </c>
    </row>
    <row r="38150">
      <c r="A38150" s="1" t="s">
        <v>38149</v>
      </c>
      <c r="B38150" s="2" t="str">
        <f>IFERROR(__xludf.DUMMYFUNCTION("GOOGLETRANSLATE(A38150, ""de"", ""en"")"),"hidden")</f>
        <v>hidden</v>
      </c>
    </row>
    <row r="38151">
      <c r="A38151" s="1" t="s">
        <v>38150</v>
      </c>
      <c r="B38151" s="2" t="str">
        <f>IFERROR(__xludf.DUMMYFUNCTION("GOOGLETRANSLATE(A38151, ""de"", ""en"")"),"zoos")</f>
        <v>zoos</v>
      </c>
    </row>
    <row r="38152">
      <c r="A38152" s="1" t="s">
        <v>38151</v>
      </c>
      <c r="B38152" s="2" t="str">
        <f>IFERROR(__xludf.DUMMYFUNCTION("GOOGLETRANSLATE(A38152, ""de"", ""en"")"),"dine")</f>
        <v>dine</v>
      </c>
    </row>
    <row r="38153">
      <c r="A38153" s="1" t="s">
        <v>38152</v>
      </c>
      <c r="B38153" s="2" t="str">
        <f>IFERROR(__xludf.DUMMYFUNCTION("GOOGLETRANSLATE(A38153, ""de"", ""en"")"),"photographic")</f>
        <v>photographic</v>
      </c>
    </row>
    <row r="38154">
      <c r="A38154" s="1" t="s">
        <v>38153</v>
      </c>
      <c r="B38154" s="2" t="str">
        <f>IFERROR(__xludf.DUMMYFUNCTION("GOOGLETRANSLATE(A38154, ""de"", ""en"")"),"adolphe")</f>
        <v>adolphe</v>
      </c>
    </row>
    <row r="38155">
      <c r="A38155" s="1" t="s">
        <v>38154</v>
      </c>
      <c r="B38155" s="2" t="str">
        <f>IFERROR(__xludf.DUMMYFUNCTION("GOOGLETRANSLATE(A38155, ""de"", ""en"")"),"busy")</f>
        <v>busy</v>
      </c>
    </row>
    <row r="38156">
      <c r="A38156" s="1" t="s">
        <v>38155</v>
      </c>
      <c r="B38156" s="2" t="str">
        <f>IFERROR(__xludf.DUMMYFUNCTION("GOOGLETRANSLATE(A38156, ""de"", ""en"")"),"climb up")</f>
        <v>climb up</v>
      </c>
    </row>
    <row r="38157">
      <c r="A38157" s="1" t="s">
        <v>38156</v>
      </c>
      <c r="B38157" s="2" t="str">
        <f>IFERROR(__xludf.DUMMYFUNCTION("GOOGLETRANSLATE(A38157, ""de"", ""en"")"),"Sarajevo")</f>
        <v>Sarajevo</v>
      </c>
    </row>
    <row r="38158">
      <c r="A38158" s="1" t="s">
        <v>38157</v>
      </c>
      <c r="B38158" s="2" t="str">
        <f>IFERROR(__xludf.DUMMYFUNCTION("GOOGLETRANSLATE(A38158, ""de"", ""en"")"),"spy on")</f>
        <v>spy on</v>
      </c>
    </row>
    <row r="38159">
      <c r="A38159" s="1" t="s">
        <v>38158</v>
      </c>
      <c r="B38159" s="2" t="str">
        <f>IFERROR(__xludf.DUMMYFUNCTION("GOOGLETRANSLATE(A38159, ""de"", ""en"")"),"country estate")</f>
        <v>country estate</v>
      </c>
    </row>
    <row r="38160">
      <c r="A38160" s="1" t="s">
        <v>38159</v>
      </c>
      <c r="B38160" s="2" t="str">
        <f>IFERROR(__xludf.DUMMYFUNCTION("GOOGLETRANSLATE(A38160, ""de"", ""en"")"),"fet")</f>
        <v>fet</v>
      </c>
    </row>
    <row r="38161">
      <c r="A38161" s="1" t="s">
        <v>38160</v>
      </c>
      <c r="B38161" s="2" t="str">
        <f>IFERROR(__xludf.DUMMYFUNCTION("GOOGLETRANSLATE(A38161, ""de"", ""en"")"),"forgets")</f>
        <v>forgets</v>
      </c>
    </row>
    <row r="38162">
      <c r="A38162" s="1" t="s">
        <v>38161</v>
      </c>
      <c r="B38162" s="2" t="str">
        <f>IFERROR(__xludf.DUMMYFUNCTION("GOOGLETRANSLATE(A38162, ""de"", ""en"")"),"lying")</f>
        <v>lying</v>
      </c>
    </row>
    <row r="38163">
      <c r="A38163" s="1" t="s">
        <v>38162</v>
      </c>
      <c r="B38163" s="2" t="str">
        <f>IFERROR(__xludf.DUMMYFUNCTION("GOOGLETRANSLATE(A38163, ""de"", ""en"")"),"sit it out")</f>
        <v>sit it out</v>
      </c>
    </row>
    <row r="38164">
      <c r="A38164" s="1" t="s">
        <v>38163</v>
      </c>
      <c r="B38164" s="2" t="str">
        <f>IFERROR(__xludf.DUMMYFUNCTION("GOOGLETRANSLATE(A38164, ""de"", ""en"")"),"wonder of the world")</f>
        <v>wonder of the world</v>
      </c>
    </row>
    <row r="38165">
      <c r="A38165" s="1" t="s">
        <v>38164</v>
      </c>
      <c r="B38165" s="2" t="str">
        <f>IFERROR(__xludf.DUMMYFUNCTION("GOOGLETRANSLATE(A38165, ""de"", ""en"")"),"map")</f>
        <v>map</v>
      </c>
    </row>
    <row r="38166">
      <c r="A38166" s="1" t="s">
        <v>38165</v>
      </c>
      <c r="B38166" s="2" t="str">
        <f>IFERROR(__xludf.DUMMYFUNCTION("GOOGLETRANSLATE(A38166, ""de"", ""en"")"),"fails")</f>
        <v>fails</v>
      </c>
    </row>
    <row r="38167">
      <c r="A38167" s="1" t="s">
        <v>38166</v>
      </c>
      <c r="B38167" s="2" t="str">
        <f>IFERROR(__xludf.DUMMYFUNCTION("GOOGLETRANSLATE(A38167, ""de"", ""en"")"),"gynecologist")</f>
        <v>gynecologist</v>
      </c>
    </row>
    <row r="38168">
      <c r="A38168" s="1" t="s">
        <v>38167</v>
      </c>
      <c r="B38168" s="2" t="str">
        <f>IFERROR(__xludf.DUMMYFUNCTION("GOOGLETRANSLATE(A38168, ""de"", ""en"")"),"removed")</f>
        <v>removed</v>
      </c>
    </row>
    <row r="38169">
      <c r="A38169" s="1" t="s">
        <v>38168</v>
      </c>
      <c r="B38169" s="2" t="str">
        <f>IFERROR(__xludf.DUMMYFUNCTION("GOOGLETRANSLATE(A38169, ""de"", ""en"")"),"bust")</f>
        <v>bust</v>
      </c>
    </row>
    <row r="38170">
      <c r="A38170" s="1" t="s">
        <v>38169</v>
      </c>
      <c r="B38170" s="2" t="str">
        <f>IFERROR(__xludf.DUMMYFUNCTION("GOOGLETRANSLATE(A38170, ""de"", ""en"")"),"parallel universe")</f>
        <v>parallel universe</v>
      </c>
    </row>
    <row r="38171">
      <c r="A38171" s="1" t="s">
        <v>38170</v>
      </c>
      <c r="B38171" s="2" t="str">
        <f>IFERROR(__xludf.DUMMYFUNCTION("GOOGLETRANSLATE(A38171, ""de"", ""en"")"),"fun")</f>
        <v>fun</v>
      </c>
    </row>
    <row r="38172">
      <c r="A38172" s="1" t="s">
        <v>38171</v>
      </c>
      <c r="B38172" s="2" t="str">
        <f>IFERROR(__xludf.DUMMYFUNCTION("GOOGLETRANSLATE(A38172, ""de"", ""en"")"),"untried")</f>
        <v>untried</v>
      </c>
    </row>
    <row r="38173">
      <c r="A38173" s="1" t="s">
        <v>38172</v>
      </c>
      <c r="B38173" s="2" t="str">
        <f>IFERROR(__xludf.DUMMYFUNCTION("GOOGLETRANSLATE(A38173, ""de"", ""en"")"),"Gerhardt")</f>
        <v>Gerhardt</v>
      </c>
    </row>
    <row r="38174">
      <c r="A38174" s="1" t="s">
        <v>38173</v>
      </c>
      <c r="B38174" s="2" t="str">
        <f>IFERROR(__xludf.DUMMYFUNCTION("GOOGLETRANSLATE(A38174, ""de"", ""en"")"),"idealism")</f>
        <v>idealism</v>
      </c>
    </row>
    <row r="38175">
      <c r="A38175" s="1" t="s">
        <v>38174</v>
      </c>
      <c r="B38175" s="2" t="str">
        <f>IFERROR(__xludf.DUMMYFUNCTION("GOOGLETRANSLATE(A38175, ""de"", ""en"")"),"to send away")</f>
        <v>to send away</v>
      </c>
    </row>
    <row r="38176">
      <c r="A38176" s="1" t="s">
        <v>38175</v>
      </c>
      <c r="B38176" s="2" t="str">
        <f>IFERROR(__xludf.DUMMYFUNCTION("GOOGLETRANSLATE(A38176, ""de"", ""en"")"),"endangered")</f>
        <v>endangered</v>
      </c>
    </row>
    <row r="38177">
      <c r="A38177" s="1" t="s">
        <v>38176</v>
      </c>
      <c r="B38177" s="2" t="str">
        <f>IFERROR(__xludf.DUMMYFUNCTION("GOOGLETRANSLATE(A38177, ""de"", ""en"")"),"Dillinger")</f>
        <v>Dillinger</v>
      </c>
    </row>
    <row r="38178">
      <c r="A38178" s="1" t="s">
        <v>38177</v>
      </c>
      <c r="B38178" s="2" t="str">
        <f>IFERROR(__xludf.DUMMYFUNCTION("GOOGLETRANSLATE(A38178, ""de"", ""en"")"),"daã")</f>
        <v>daã</v>
      </c>
    </row>
    <row r="38179">
      <c r="A38179" s="1" t="s">
        <v>38178</v>
      </c>
      <c r="B38179" s="2" t="str">
        <f>IFERROR(__xludf.DUMMYFUNCTION("GOOGLETRANSLATE(A38179, ""de"", ""en"")"),"ambitious")</f>
        <v>ambitious</v>
      </c>
    </row>
    <row r="38180">
      <c r="A38180" s="1" t="s">
        <v>38179</v>
      </c>
      <c r="B38180" s="2" t="str">
        <f>IFERROR(__xludf.DUMMYFUNCTION("GOOGLETRANSLATE(A38180, ""de"", ""en"")"),"educates")</f>
        <v>educates</v>
      </c>
    </row>
    <row r="38181">
      <c r="A38181" s="1" t="s">
        <v>38180</v>
      </c>
      <c r="B38181" s="2" t="str">
        <f>IFERROR(__xludf.DUMMYFUNCTION("GOOGLETRANSLATE(A38181, ""de"", ""en"")"),"time frame")</f>
        <v>time frame</v>
      </c>
    </row>
    <row r="38182">
      <c r="A38182" s="1" t="s">
        <v>38181</v>
      </c>
      <c r="B38182" s="2" t="str">
        <f>IFERROR(__xludf.DUMMYFUNCTION("GOOGLETRANSLATE(A38182, ""de"", ""en"")"),"bison")</f>
        <v>bison</v>
      </c>
    </row>
    <row r="38183">
      <c r="A38183" s="1" t="s">
        <v>38182</v>
      </c>
      <c r="B38183" s="2" t="str">
        <f>IFERROR(__xludf.DUMMYFUNCTION("GOOGLETRANSLATE(A38183, ""de"", ""en"")"),"keep breathing")</f>
        <v>keep breathing</v>
      </c>
    </row>
    <row r="38184">
      <c r="A38184" s="1" t="s">
        <v>38183</v>
      </c>
      <c r="B38184" s="2" t="str">
        <f>IFERROR(__xludf.DUMMYFUNCTION("GOOGLETRANSLATE(A38184, ""de"", ""en"")"),"representatives")</f>
        <v>representatives</v>
      </c>
    </row>
    <row r="38185">
      <c r="A38185" s="1" t="s">
        <v>38184</v>
      </c>
      <c r="B38185" s="2" t="str">
        <f>IFERROR(__xludf.DUMMYFUNCTION("GOOGLETRANSLATE(A38185, ""de"", ""en"")"),"unobserved")</f>
        <v>unobserved</v>
      </c>
    </row>
    <row r="38186">
      <c r="A38186" s="1" t="s">
        <v>38185</v>
      </c>
      <c r="B38186" s="2" t="str">
        <f>IFERROR(__xludf.DUMMYFUNCTION("GOOGLETRANSLATE(A38186, ""de"", ""en"")"),"nina")</f>
        <v>nina</v>
      </c>
    </row>
    <row r="38187">
      <c r="A38187" s="1" t="s">
        <v>38186</v>
      </c>
      <c r="B38187" s="2" t="str">
        <f>IFERROR(__xludf.DUMMYFUNCTION("GOOGLETRANSLATE(A38187, ""de"", ""en"")"),"video material")</f>
        <v>video material</v>
      </c>
    </row>
    <row r="38188">
      <c r="A38188" s="1" t="s">
        <v>38187</v>
      </c>
      <c r="B38188" s="2" t="str">
        <f>IFERROR(__xludf.DUMMYFUNCTION("GOOGLETRANSLATE(A38188, ""de"", ""en"")"),"groped")</f>
        <v>groped</v>
      </c>
    </row>
    <row r="38189">
      <c r="A38189" s="1" t="s">
        <v>38188</v>
      </c>
      <c r="B38189" s="2" t="str">
        <f>IFERROR(__xludf.DUMMYFUNCTION("GOOGLETRANSLATE(A38189, ""de"", ""en"")"),"racist")</f>
        <v>racist</v>
      </c>
    </row>
    <row r="38190">
      <c r="A38190" s="1" t="s">
        <v>38189</v>
      </c>
      <c r="B38190" s="2" t="str">
        <f>IFERROR(__xludf.DUMMYFUNCTION("GOOGLETRANSLATE(A38190, ""de"", ""en"")"),"record")</f>
        <v>record</v>
      </c>
    </row>
    <row r="38191">
      <c r="A38191" s="1" t="s">
        <v>38190</v>
      </c>
      <c r="B38191" s="2" t="str">
        <f>IFERROR(__xludf.DUMMYFUNCTION("GOOGLETRANSLATE(A38191, ""de"", ""en"")"),"kjartan")</f>
        <v>kjartan</v>
      </c>
    </row>
    <row r="38192">
      <c r="A38192" s="1" t="s">
        <v>38191</v>
      </c>
      <c r="B38192" s="2" t="str">
        <f>IFERROR(__xludf.DUMMYFUNCTION("GOOGLETRANSLATE(A38192, ""de"", ""en"")"),"strums")</f>
        <v>strums</v>
      </c>
    </row>
    <row r="38193">
      <c r="A38193" s="1" t="s">
        <v>38192</v>
      </c>
      <c r="B38193" s="2" t="str">
        <f>IFERROR(__xludf.DUMMYFUNCTION("GOOGLETRANSLATE(A38193, ""de"", ""en"")"),"tadashi")</f>
        <v>tadashi</v>
      </c>
    </row>
    <row r="38194">
      <c r="A38194" s="1" t="s">
        <v>38193</v>
      </c>
      <c r="B38194" s="2" t="str">
        <f>IFERROR(__xludf.DUMMYFUNCTION("GOOGLETRANSLATE(A38194, ""de"", ""en"")"),"expulsion")</f>
        <v>expulsion</v>
      </c>
    </row>
    <row r="38195">
      <c r="A38195" s="1" t="s">
        <v>38194</v>
      </c>
      <c r="B38195" s="2" t="str">
        <f>IFERROR(__xludf.DUMMYFUNCTION("GOOGLETRANSLATE(A38195, ""de"", ""en"")"),"swear")</f>
        <v>swear</v>
      </c>
    </row>
    <row r="38196">
      <c r="A38196" s="1" t="s">
        <v>38195</v>
      </c>
      <c r="B38196" s="2" t="str">
        <f>IFERROR(__xludf.DUMMYFUNCTION("GOOGLETRANSLATE(A38196, ""de"", ""en"")"),"authorities")</f>
        <v>authorities</v>
      </c>
    </row>
    <row r="38197">
      <c r="A38197" s="1" t="s">
        <v>38196</v>
      </c>
      <c r="B38197" s="2" t="str">
        <f>IFERROR(__xludf.DUMMYFUNCTION("GOOGLETRANSLATE(A38197, ""de"", ""en"")"),"prego")</f>
        <v>prego</v>
      </c>
    </row>
    <row r="38198">
      <c r="A38198" s="1" t="s">
        <v>38197</v>
      </c>
      <c r="B38198" s="2" t="str">
        <f>IFERROR(__xludf.DUMMYFUNCTION("GOOGLETRANSLATE(A38198, ""de"", ""en"")"),"French kiss")</f>
        <v>French kiss</v>
      </c>
    </row>
    <row r="38199">
      <c r="A38199" s="1" t="s">
        <v>38198</v>
      </c>
      <c r="B38199" s="2" t="str">
        <f>IFERROR(__xludf.DUMMYFUNCTION("GOOGLETRANSLATE(A38199, ""de"", ""en"")"),"disher")</f>
        <v>disher</v>
      </c>
    </row>
    <row r="38200">
      <c r="A38200" s="1" t="s">
        <v>38199</v>
      </c>
      <c r="B38200" s="2" t="str">
        <f>IFERROR(__xludf.DUMMYFUNCTION("GOOGLETRANSLATE(A38200, ""de"", ""en"")"),"advocate")</f>
        <v>advocate</v>
      </c>
    </row>
    <row r="38201">
      <c r="A38201" s="1" t="s">
        <v>38200</v>
      </c>
      <c r="B38201" s="2" t="str">
        <f>IFERROR(__xludf.DUMMYFUNCTION("GOOGLETRANSLATE(A38201, ""de"", ""en"")"),"w-what")</f>
        <v>w-what</v>
      </c>
    </row>
    <row r="38202">
      <c r="A38202" s="1" t="s">
        <v>38201</v>
      </c>
      <c r="B38202" s="2" t="str">
        <f>IFERROR(__xludf.DUMMYFUNCTION("GOOGLETRANSLATE(A38202, ""de"", ""en"")"),"fathered")</f>
        <v>fathered</v>
      </c>
    </row>
    <row r="38203">
      <c r="A38203" s="1" t="s">
        <v>38202</v>
      </c>
      <c r="B38203" s="2" t="str">
        <f>IFERROR(__xludf.DUMMYFUNCTION("GOOGLETRANSLATE(A38203, ""de"", ""en"")"),"trapped")</f>
        <v>trapped</v>
      </c>
    </row>
    <row r="38204">
      <c r="A38204" s="1" t="s">
        <v>38203</v>
      </c>
      <c r="B38204" s="2" t="str">
        <f>IFERROR(__xludf.DUMMYFUNCTION("GOOGLETRANSLATE(A38204, ""de"", ""en"")"),"escape")</f>
        <v>escape</v>
      </c>
    </row>
    <row r="38205">
      <c r="A38205" s="1" t="s">
        <v>38204</v>
      </c>
      <c r="B38205" s="2" t="str">
        <f>IFERROR(__xludf.DUMMYFUNCTION("GOOGLETRANSLATE(A38205, ""de"", ""en"")"),"sarek")</f>
        <v>sarek</v>
      </c>
    </row>
    <row r="38206">
      <c r="A38206" s="1" t="s">
        <v>38205</v>
      </c>
      <c r="B38206" s="2" t="str">
        <f>IFERROR(__xludf.DUMMYFUNCTION("GOOGLETRANSLATE(A38206, ""de"", ""en"")"),"purchased")</f>
        <v>purchased</v>
      </c>
    </row>
    <row r="38207">
      <c r="A38207" s="1" t="s">
        <v>38206</v>
      </c>
      <c r="B38207" s="2" t="str">
        <f>IFERROR(__xludf.DUMMYFUNCTION("GOOGLETRANSLATE(A38207, ""de"", ""en"")"),"guard")</f>
        <v>guard</v>
      </c>
    </row>
    <row r="38208">
      <c r="A38208" s="1" t="s">
        <v>38207</v>
      </c>
      <c r="B38208" s="2" t="str">
        <f>IFERROR(__xludf.DUMMYFUNCTION("GOOGLETRANSLATE(A38208, ""de"", ""en"")"),"phone number")</f>
        <v>phone number</v>
      </c>
    </row>
    <row r="38209">
      <c r="A38209" s="1" t="s">
        <v>38208</v>
      </c>
      <c r="B38209" s="2" t="str">
        <f>IFERROR(__xludf.DUMMYFUNCTION("GOOGLETRANSLATE(A38209, ""de"", ""en"")"),"bullfight")</f>
        <v>bullfight</v>
      </c>
    </row>
    <row r="38210">
      <c r="A38210" s="1" t="s">
        <v>38209</v>
      </c>
      <c r="B38210" s="2" t="str">
        <f>IFERROR(__xludf.DUMMYFUNCTION("GOOGLETRANSLATE(A38210, ""de"", ""en"")"),"pleat")</f>
        <v>pleat</v>
      </c>
    </row>
    <row r="38211">
      <c r="A38211" s="1" t="s">
        <v>38210</v>
      </c>
      <c r="B38211" s="2" t="str">
        <f>IFERROR(__xludf.DUMMYFUNCTION("GOOGLETRANSLATE(A38211, ""de"", ""en"")"),"Ronja")</f>
        <v>Ronja</v>
      </c>
    </row>
    <row r="38212">
      <c r="A38212" s="1" t="s">
        <v>38211</v>
      </c>
      <c r="B38212" s="2" t="str">
        <f>IFERROR(__xludf.DUMMYFUNCTION("GOOGLETRANSLATE(A38212, ""de"", ""en"")"),"secluded")</f>
        <v>secluded</v>
      </c>
    </row>
    <row r="38213">
      <c r="A38213" s="1" t="s">
        <v>38212</v>
      </c>
      <c r="B38213" s="2" t="str">
        <f>IFERROR(__xludf.DUMMYFUNCTION("GOOGLETRANSLATE(A38213, ""de"", ""en"")"),"patriotic")</f>
        <v>patriotic</v>
      </c>
    </row>
    <row r="38214">
      <c r="A38214" s="1" t="s">
        <v>38213</v>
      </c>
      <c r="B38214" s="2" t="str">
        <f>IFERROR(__xludf.DUMMYFUNCTION("GOOGLETRANSLATE(A38214, ""de"", ""en"")"),"increased")</f>
        <v>increased</v>
      </c>
    </row>
    <row r="38215">
      <c r="A38215" s="1" t="s">
        <v>38214</v>
      </c>
      <c r="B38215" s="2" t="str">
        <f>IFERROR(__xludf.DUMMYFUNCTION("GOOGLETRANSLATE(A38215, ""de"", ""en"")"),"insert")</f>
        <v>insert</v>
      </c>
    </row>
    <row r="38216">
      <c r="A38216" s="1" t="s">
        <v>38215</v>
      </c>
      <c r="B38216" s="2" t="str">
        <f>IFERROR(__xludf.DUMMYFUNCTION("GOOGLETRANSLATE(A38216, ""de"", ""en"")"),"yippee")</f>
        <v>yippee</v>
      </c>
    </row>
    <row r="38217">
      <c r="A38217" s="1" t="s">
        <v>38216</v>
      </c>
      <c r="B38217" s="2" t="str">
        <f>IFERROR(__xludf.DUMMYFUNCTION("GOOGLETRANSLATE(A38217, ""de"", ""en"")"),"traffic noise")</f>
        <v>traffic noise</v>
      </c>
    </row>
    <row r="38218">
      <c r="A38218" s="1" t="s">
        <v>38217</v>
      </c>
      <c r="B38218" s="2" t="str">
        <f>IFERROR(__xludf.DUMMYFUNCTION("GOOGLETRANSLATE(A38218, ""de"", ""en"")"),"poplar")</f>
        <v>poplar</v>
      </c>
    </row>
    <row r="38219">
      <c r="A38219" s="1" t="s">
        <v>38218</v>
      </c>
      <c r="B38219" s="2" t="str">
        <f>IFERROR(__xludf.DUMMYFUNCTION("GOOGLETRANSLATE(A38219, ""de"", ""en"")"),"belles")</f>
        <v>belles</v>
      </c>
    </row>
    <row r="38220">
      <c r="A38220" s="1" t="s">
        <v>38219</v>
      </c>
      <c r="B38220" s="2" t="str">
        <f>IFERROR(__xludf.DUMMYFUNCTION("GOOGLETRANSLATE(A38220, ""de"", ""en"")"),"Gordon's")</f>
        <v>Gordon's</v>
      </c>
    </row>
    <row r="38221">
      <c r="A38221" s="1" t="s">
        <v>38220</v>
      </c>
      <c r="B38221" s="2" t="str">
        <f>IFERROR(__xludf.DUMMYFUNCTION("GOOGLETRANSLATE(A38221, ""de"", ""en"")"),"salamander")</f>
        <v>salamander</v>
      </c>
    </row>
    <row r="38222">
      <c r="A38222" s="1" t="s">
        <v>38221</v>
      </c>
      <c r="B38222" s="2" t="str">
        <f>IFERROR(__xludf.DUMMYFUNCTION("GOOGLETRANSLATE(A38222, ""de"", ""en"")"),"deep")</f>
        <v>deep</v>
      </c>
    </row>
    <row r="38223">
      <c r="A38223" s="1" t="s">
        <v>38222</v>
      </c>
      <c r="B38223" s="2" t="str">
        <f>IFERROR(__xludf.DUMMYFUNCTION("GOOGLETRANSLATE(A38223, ""de"", ""en"")"),"keep apart")</f>
        <v>keep apart</v>
      </c>
    </row>
    <row r="38224">
      <c r="A38224" s="1" t="s">
        <v>38223</v>
      </c>
      <c r="B38224" s="2" t="str">
        <f>IFERROR(__xludf.DUMMYFUNCTION("GOOGLETRANSLATE(A38224, ""de"", ""en"")"),"to include")</f>
        <v>to include</v>
      </c>
    </row>
    <row r="38225">
      <c r="A38225" s="1" t="s">
        <v>38224</v>
      </c>
      <c r="B38225" s="2" t="str">
        <f>IFERROR(__xludf.DUMMYFUNCTION("GOOGLETRANSLATE(A38225, ""de"", ""en"")"),"strawberry")</f>
        <v>strawberry</v>
      </c>
    </row>
    <row r="38226">
      <c r="A38226" s="1" t="s">
        <v>38225</v>
      </c>
      <c r="B38226" s="2" t="str">
        <f>IFERROR(__xludf.DUMMYFUNCTION("GOOGLETRANSLATE(A38226, ""de"", ""en"")"),"cleric")</f>
        <v>cleric</v>
      </c>
    </row>
    <row r="38227">
      <c r="A38227" s="1" t="s">
        <v>38226</v>
      </c>
      <c r="B38227" s="2" t="str">
        <f>IFERROR(__xludf.DUMMYFUNCTION("GOOGLETRANSLATE(A38227, ""de"", ""en"")"),"driven back")</f>
        <v>driven back</v>
      </c>
    </row>
    <row r="38228">
      <c r="A38228" s="1" t="s">
        <v>38227</v>
      </c>
      <c r="B38228" s="2" t="str">
        <f>IFERROR(__xludf.DUMMYFUNCTION("GOOGLETRANSLATE(A38228, ""de"", ""en"")"),"sensational")</f>
        <v>sensational</v>
      </c>
    </row>
    <row r="38229">
      <c r="A38229" s="1" t="s">
        <v>38228</v>
      </c>
      <c r="B38229" s="2" t="str">
        <f>IFERROR(__xludf.DUMMYFUNCTION("GOOGLETRANSLATE(A38229, ""de"", ""en"")"),"appendages")</f>
        <v>appendages</v>
      </c>
    </row>
    <row r="38230">
      <c r="A38230" s="1" t="s">
        <v>38229</v>
      </c>
      <c r="B38230" s="2" t="str">
        <f>IFERROR(__xludf.DUMMYFUNCTION("GOOGLETRANSLATE(A38230, ""de"", ""en"")"),"workshop")</f>
        <v>workshop</v>
      </c>
    </row>
    <row r="38231">
      <c r="A38231" s="1" t="s">
        <v>38230</v>
      </c>
      <c r="B38231" s="2" t="str">
        <f>IFERROR(__xludf.DUMMYFUNCTION("GOOGLETRANSLATE(A38231, ""de"", ""en"")"),"buried")</f>
        <v>buried</v>
      </c>
    </row>
    <row r="38232">
      <c r="A38232" s="1" t="s">
        <v>38231</v>
      </c>
      <c r="B38232" s="2" t="str">
        <f>IFERROR(__xludf.DUMMYFUNCTION("GOOGLETRANSLATE(A38232, ""de"", ""en"")"),"rain")</f>
        <v>rain</v>
      </c>
    </row>
    <row r="38233">
      <c r="A38233" s="1" t="s">
        <v>38232</v>
      </c>
      <c r="B38233" s="2" t="str">
        <f>IFERROR(__xludf.DUMMYFUNCTION("GOOGLETRANSLATE(A38233, ""de"", ""en"")"),"more sentimental")</f>
        <v>more sentimental</v>
      </c>
    </row>
    <row r="38234">
      <c r="A38234" s="1" t="s">
        <v>38233</v>
      </c>
      <c r="B38234" s="2" t="str">
        <f>IFERROR(__xludf.DUMMYFUNCTION("GOOGLETRANSLATE(A38234, ""de"", ""en"")"),"super cool")</f>
        <v>super cool</v>
      </c>
    </row>
    <row r="38235">
      <c r="A38235" s="1" t="s">
        <v>38234</v>
      </c>
      <c r="B38235" s="2" t="str">
        <f>IFERROR(__xludf.DUMMYFUNCTION("GOOGLETRANSLATE(A38235, ""de"", ""en"")"),"would have to")</f>
        <v>would have to</v>
      </c>
    </row>
    <row r="38236">
      <c r="A38236" s="1" t="s">
        <v>38235</v>
      </c>
      <c r="B38236" s="2" t="str">
        <f>IFERROR(__xludf.DUMMYFUNCTION("GOOGLETRANSLATE(A38236, ""de"", ""en"")"),"enter")</f>
        <v>enter</v>
      </c>
    </row>
    <row r="38237">
      <c r="A38237" s="1" t="s">
        <v>38236</v>
      </c>
      <c r="B38237" s="2" t="str">
        <f>IFERROR(__xludf.DUMMYFUNCTION("GOOGLETRANSLATE(A38237, ""de"", ""en"")"),"valet parking")</f>
        <v>valet parking</v>
      </c>
    </row>
    <row r="38238">
      <c r="A38238" s="1" t="s">
        <v>38237</v>
      </c>
      <c r="B38238" s="2" t="str">
        <f>IFERROR(__xludf.DUMMYFUNCTION("GOOGLETRANSLATE(A38238, ""de"", ""en"")"),"sunnier")</f>
        <v>sunnier</v>
      </c>
    </row>
    <row r="38239">
      <c r="A38239" s="1" t="s">
        <v>38238</v>
      </c>
      <c r="B38239" s="2" t="str">
        <f>IFERROR(__xludf.DUMMYFUNCTION("GOOGLETRANSLATE(A38239, ""de"", ""en"")"),"to be difficult")</f>
        <v>to be difficult</v>
      </c>
    </row>
    <row r="38240">
      <c r="A38240" s="1" t="s">
        <v>38239</v>
      </c>
      <c r="B38240" s="2" t="str">
        <f>IFERROR(__xludf.DUMMYFUNCTION("GOOGLETRANSLATE(A38240, ""de"", ""en"")"),"camino")</f>
        <v>camino</v>
      </c>
    </row>
    <row r="38241">
      <c r="A38241" s="1" t="s">
        <v>38240</v>
      </c>
      <c r="B38241" s="2" t="str">
        <f>IFERROR(__xludf.DUMMYFUNCTION("GOOGLETRANSLATE(A38241, ""de"", ""en"")"),"comes up")</f>
        <v>comes up</v>
      </c>
    </row>
    <row r="38242">
      <c r="A38242" s="1" t="s">
        <v>38241</v>
      </c>
      <c r="B38242" s="2" t="str">
        <f>IFERROR(__xludf.DUMMYFUNCTION("GOOGLETRANSLATE(A38242, ""de"", ""en"")"),"linux")</f>
        <v>linux</v>
      </c>
    </row>
    <row r="38243">
      <c r="A38243" s="1" t="s">
        <v>38242</v>
      </c>
      <c r="B38243" s="2" t="str">
        <f>IFERROR(__xludf.DUMMYFUNCTION("GOOGLETRANSLATE(A38243, ""de"", ""en"")"),"Narnia")</f>
        <v>Narnia</v>
      </c>
    </row>
    <row r="38244">
      <c r="A38244" s="1" t="s">
        <v>38243</v>
      </c>
      <c r="B38244" s="2" t="str">
        <f>IFERROR(__xludf.DUMMYFUNCTION("GOOGLETRANSLATE(A38244, ""de"", ""en"")"),"lido")</f>
        <v>lido</v>
      </c>
    </row>
    <row r="38245">
      <c r="A38245" s="1" t="s">
        <v>38244</v>
      </c>
      <c r="B38245" s="2" t="str">
        <f>IFERROR(__xludf.DUMMYFUNCTION("GOOGLETRANSLATE(A38245, ""de"", ""en"")"),"toga")</f>
        <v>toga</v>
      </c>
    </row>
    <row r="38246">
      <c r="A38246" s="1" t="s">
        <v>38245</v>
      </c>
      <c r="B38246" s="2" t="str">
        <f>IFERROR(__xludf.DUMMYFUNCTION("GOOGLETRANSLATE(A38246, ""de"", ""en"")"),"Katey")</f>
        <v>Katey</v>
      </c>
    </row>
    <row r="38247">
      <c r="A38247" s="1" t="s">
        <v>38246</v>
      </c>
      <c r="B38247" s="2" t="str">
        <f>IFERROR(__xludf.DUMMYFUNCTION("GOOGLETRANSLATE(A38247, ""de"", ""en"")"),"validity")</f>
        <v>validity</v>
      </c>
    </row>
    <row r="38248">
      <c r="A38248" s="1" t="s">
        <v>38247</v>
      </c>
      <c r="B38248" s="2" t="str">
        <f>IFERROR(__xludf.DUMMYFUNCTION("GOOGLETRANSLATE(A38248, ""de"", ""en"")"),"more stable")</f>
        <v>more stable</v>
      </c>
    </row>
    <row r="38249">
      <c r="A38249" s="1" t="s">
        <v>38248</v>
      </c>
      <c r="B38249" s="2" t="str">
        <f>IFERROR(__xludf.DUMMYFUNCTION("GOOGLETRANSLATE(A38249, ""de"", ""en"")"),"Knight Templar")</f>
        <v>Knight Templar</v>
      </c>
    </row>
    <row r="38250">
      <c r="A38250" s="1" t="s">
        <v>38249</v>
      </c>
      <c r="B38250" s="2" t="str">
        <f>IFERROR(__xludf.DUMMYFUNCTION("GOOGLETRANSLATE(A38250, ""de"", ""en"")"),"bonnet")</f>
        <v>bonnet</v>
      </c>
    </row>
    <row r="38251">
      <c r="A38251" s="1" t="s">
        <v>38250</v>
      </c>
      <c r="B38251" s="2" t="str">
        <f>IFERROR(__xludf.DUMMYFUNCTION("GOOGLETRANSLATE(A38251, ""de"", ""en"")"),"supplemented")</f>
        <v>supplemented</v>
      </c>
    </row>
    <row r="38252">
      <c r="A38252" s="1" t="s">
        <v>38251</v>
      </c>
      <c r="B38252" s="2" t="str">
        <f>IFERROR(__xludf.DUMMYFUNCTION("GOOGLETRANSLATE(A38252, ""de"", ""en"")"),"riggins")</f>
        <v>riggins</v>
      </c>
    </row>
    <row r="38253">
      <c r="A38253" s="1" t="s">
        <v>38252</v>
      </c>
      <c r="B38253" s="2" t="str">
        <f>IFERROR(__xludf.DUMMYFUNCTION("GOOGLETRANSLATE(A38253, ""de"", ""en"")"),"Neils")</f>
        <v>Neils</v>
      </c>
    </row>
    <row r="38254">
      <c r="A38254" s="1" t="s">
        <v>38253</v>
      </c>
      <c r="B38254" s="2" t="str">
        <f>IFERROR(__xludf.DUMMYFUNCTION("GOOGLETRANSLATE(A38254, ""de"", ""en"")"),"more addicted")</f>
        <v>more addicted</v>
      </c>
    </row>
    <row r="38255">
      <c r="A38255" s="1" t="s">
        <v>38254</v>
      </c>
      <c r="B38255" s="2" t="str">
        <f>IFERROR(__xludf.DUMMYFUNCTION("GOOGLETRANSLATE(A38255, ""de"", ""en"")"),"variations")</f>
        <v>variations</v>
      </c>
    </row>
    <row r="38256">
      <c r="A38256" s="1" t="s">
        <v>38255</v>
      </c>
      <c r="B38256" s="2" t="str">
        <f>IFERROR(__xludf.DUMMYFUNCTION("GOOGLETRANSLATE(A38256, ""de"", ""en"")"),"ayse")</f>
        <v>ayse</v>
      </c>
    </row>
    <row r="38257">
      <c r="A38257" s="1" t="s">
        <v>38256</v>
      </c>
      <c r="B38257" s="2" t="str">
        <f>IFERROR(__xludf.DUMMYFUNCTION("GOOGLETRANSLATE(A38257, ""de"", ""en"")"),"starts")</f>
        <v>starts</v>
      </c>
    </row>
    <row r="38258">
      <c r="A38258" s="1" t="s">
        <v>38257</v>
      </c>
      <c r="B38258" s="2" t="str">
        <f>IFERROR(__xludf.DUMMYFUNCTION("GOOGLETRANSLATE(A38258, ""de"", ""en"")"),"most beautiful")</f>
        <v>most beautiful</v>
      </c>
    </row>
    <row r="38259">
      <c r="A38259" s="1" t="s">
        <v>38258</v>
      </c>
      <c r="B38259" s="2" t="str">
        <f>IFERROR(__xludf.DUMMYFUNCTION("GOOGLETRANSLATE(A38259, ""de"", ""en"")"),"savings")</f>
        <v>savings</v>
      </c>
    </row>
    <row r="38260">
      <c r="A38260" s="1" t="s">
        <v>38259</v>
      </c>
      <c r="B38260" s="2" t="str">
        <f>IFERROR(__xludf.DUMMYFUNCTION("GOOGLETRANSLATE(A38260, ""de"", ""en"")"),"radiate")</f>
        <v>radiate</v>
      </c>
    </row>
    <row r="38261">
      <c r="A38261" s="1" t="s">
        <v>38260</v>
      </c>
      <c r="B38261" s="2" t="str">
        <f>IFERROR(__xludf.DUMMYFUNCTION("GOOGLETRANSLATE(A38261, ""de"", ""en"")"),"lucky child")</f>
        <v>lucky child</v>
      </c>
    </row>
    <row r="38262">
      <c r="A38262" s="1" t="s">
        <v>38261</v>
      </c>
      <c r="B38262" s="2" t="str">
        <f>IFERROR(__xludf.DUMMYFUNCTION("GOOGLETRANSLATE(A38262, ""de"", ""en"")"),"contessa")</f>
        <v>contessa</v>
      </c>
    </row>
    <row r="38263">
      <c r="A38263" s="1" t="s">
        <v>38262</v>
      </c>
      <c r="B38263" s="2" t="str">
        <f>IFERROR(__xludf.DUMMYFUNCTION("GOOGLETRANSLATE(A38263, ""de"", ""en"")"),"grandson")</f>
        <v>grandson</v>
      </c>
    </row>
    <row r="38264">
      <c r="A38264" s="1" t="s">
        <v>38263</v>
      </c>
      <c r="B38264" s="2" t="str">
        <f>IFERROR(__xludf.DUMMYFUNCTION("GOOGLETRANSLATE(A38264, ""de"", ""en"")"),"regional")</f>
        <v>regional</v>
      </c>
    </row>
    <row r="38265">
      <c r="A38265" s="1" t="s">
        <v>38264</v>
      </c>
      <c r="B38265" s="2" t="str">
        <f>IFERROR(__xludf.DUMMYFUNCTION("GOOGLETRANSLATE(A38265, ""de"", ""en"")"),"15 year old")</f>
        <v>15 year old</v>
      </c>
    </row>
    <row r="38266">
      <c r="A38266" s="1" t="s">
        <v>38265</v>
      </c>
      <c r="B38266" s="2" t="str">
        <f>IFERROR(__xludf.DUMMYFUNCTION("GOOGLETRANSLATE(A38266, ""de"", ""en"")"),"ambush")</f>
        <v>ambush</v>
      </c>
    </row>
    <row r="38267">
      <c r="A38267" s="1" t="s">
        <v>38266</v>
      </c>
      <c r="B38267" s="2" t="str">
        <f>IFERROR(__xludf.DUMMYFUNCTION("GOOGLETRANSLATE(A38267, ""de"", ""en"")"),"wobbly")</f>
        <v>wobbly</v>
      </c>
    </row>
    <row r="38268">
      <c r="A38268" s="1" t="s">
        <v>38267</v>
      </c>
      <c r="B38268" s="2" t="str">
        <f>IFERROR(__xludf.DUMMYFUNCTION("GOOGLETRANSLATE(A38268, ""de"", ""en"")"),"fifties")</f>
        <v>fifties</v>
      </c>
    </row>
    <row r="38269">
      <c r="A38269" s="1" t="s">
        <v>38268</v>
      </c>
      <c r="B38269" s="2" t="str">
        <f>IFERROR(__xludf.DUMMYFUNCTION("GOOGLETRANSLATE(A38269, ""de"", ""en"")"),"charlie36")</f>
        <v>charlie36</v>
      </c>
    </row>
    <row r="38270">
      <c r="A38270" s="1" t="s">
        <v>38269</v>
      </c>
      <c r="B38270" s="2" t="str">
        <f>IFERROR(__xludf.DUMMYFUNCTION("GOOGLETRANSLATE(A38270, ""de"", ""en"")"),"eldon")</f>
        <v>eldon</v>
      </c>
    </row>
    <row r="38271">
      <c r="A38271" s="1" t="s">
        <v>38270</v>
      </c>
      <c r="B38271" s="2" t="str">
        <f>IFERROR(__xludf.DUMMYFUNCTION("GOOGLETRANSLATE(A38271, ""de"", ""en"")"),"bow")</f>
        <v>bow</v>
      </c>
    </row>
    <row r="38272">
      <c r="A38272" s="1" t="s">
        <v>38271</v>
      </c>
      <c r="B38272" s="2" t="str">
        <f>IFERROR(__xludf.DUMMYFUNCTION("GOOGLETRANSLATE(A38272, ""de"", ""en"")"),"false alarm")</f>
        <v>false alarm</v>
      </c>
    </row>
    <row r="38273">
      <c r="A38273" s="1" t="s">
        <v>38272</v>
      </c>
      <c r="B38273" s="2" t="str">
        <f>IFERROR(__xludf.DUMMYFUNCTION("GOOGLETRANSLATE(A38273, ""de"", ""en"")"),"slowly")</f>
        <v>slowly</v>
      </c>
    </row>
    <row r="38274">
      <c r="A38274" s="1" t="s">
        <v>38273</v>
      </c>
      <c r="B38274" s="2" t="str">
        <f>IFERROR(__xludf.DUMMYFUNCTION("GOOGLETRANSLATE(A38274, ""de"", ""en"")"),"raf")</f>
        <v>raf</v>
      </c>
    </row>
    <row r="38275">
      <c r="A38275" s="1" t="s">
        <v>38274</v>
      </c>
      <c r="B38275" s="2" t="str">
        <f>IFERROR(__xludf.DUMMYFUNCTION("GOOGLETRANSLATE(A38275, ""de"", ""en"")"),"greatest")</f>
        <v>greatest</v>
      </c>
    </row>
    <row r="38276">
      <c r="A38276" s="1" t="s">
        <v>38275</v>
      </c>
      <c r="B38276" s="2" t="str">
        <f>IFERROR(__xludf.DUMMYFUNCTION("GOOGLETRANSLATE(A38276, ""de"", ""en"")"),"mumbles")</f>
        <v>mumbles</v>
      </c>
    </row>
    <row r="38277">
      <c r="A38277" s="1" t="s">
        <v>38276</v>
      </c>
      <c r="B38277" s="2" t="str">
        <f>IFERROR(__xludf.DUMMYFUNCTION("GOOGLETRANSLATE(A38277, ""de"", ""en"")"),"runway")</f>
        <v>runway</v>
      </c>
    </row>
    <row r="38278">
      <c r="A38278" s="1" t="s">
        <v>38277</v>
      </c>
      <c r="B38278" s="2" t="str">
        <f>IFERROR(__xludf.DUMMYFUNCTION("GOOGLETRANSLATE(A38278, ""de"", ""en"")"),"lizards")</f>
        <v>lizards</v>
      </c>
    </row>
    <row r="38279">
      <c r="A38279" s="1" t="s">
        <v>38278</v>
      </c>
      <c r="B38279" s="2" t="str">
        <f>IFERROR(__xludf.DUMMYFUNCTION("GOOGLETRANSLATE(A38279, ""de"", ""en"")"),"piles")</f>
        <v>piles</v>
      </c>
    </row>
    <row r="38280">
      <c r="A38280" s="1" t="s">
        <v>38279</v>
      </c>
      <c r="B38280" s="2" t="str">
        <f>IFERROR(__xludf.DUMMYFUNCTION("GOOGLETRANSLATE(A38280, ""de"", ""en"")"),"einsteins")</f>
        <v>einsteins</v>
      </c>
    </row>
    <row r="38281">
      <c r="A38281" s="1" t="s">
        <v>38280</v>
      </c>
      <c r="B38281" s="2" t="str">
        <f>IFERROR(__xludf.DUMMYFUNCTION("GOOGLETRANSLATE(A38281, ""de"", ""en"")"),"drift around")</f>
        <v>drift around</v>
      </c>
    </row>
    <row r="38282">
      <c r="A38282" s="1" t="s">
        <v>38281</v>
      </c>
      <c r="B38282" s="2" t="str">
        <f>IFERROR(__xludf.DUMMYFUNCTION("GOOGLETRANSLATE(A38282, ""de"", ""en"")"),"excelsior")</f>
        <v>excelsior</v>
      </c>
    </row>
    <row r="38283">
      <c r="A38283" s="1" t="s">
        <v>38282</v>
      </c>
      <c r="B38283" s="2" t="str">
        <f>IFERROR(__xludf.DUMMYFUNCTION("GOOGLETRANSLATE(A38283, ""de"", ""en"")"),"cop murderer")</f>
        <v>cop murderer</v>
      </c>
    </row>
    <row r="38284">
      <c r="A38284" s="1" t="s">
        <v>38283</v>
      </c>
      <c r="B38284" s="2" t="str">
        <f>IFERROR(__xludf.DUMMYFUNCTION("GOOGLETRANSLATE(A38284, ""de"", ""en"")"),"Kosovo")</f>
        <v>Kosovo</v>
      </c>
    </row>
    <row r="38285">
      <c r="A38285" s="1" t="s">
        <v>38284</v>
      </c>
      <c r="B38285" s="2" t="str">
        <f>IFERROR(__xludf.DUMMYFUNCTION("GOOGLETRANSLATE(A38285, ""de"", ""en"")"),"send in")</f>
        <v>send in</v>
      </c>
    </row>
    <row r="38286">
      <c r="A38286" s="1" t="s">
        <v>38285</v>
      </c>
      <c r="B38286" s="2" t="str">
        <f>IFERROR(__xludf.DUMMYFUNCTION("GOOGLETRANSLATE(A38286, ""de"", ""en"")"),"work clothes")</f>
        <v>work clothes</v>
      </c>
    </row>
    <row r="38287">
      <c r="A38287" s="1" t="s">
        <v>38286</v>
      </c>
      <c r="B38287" s="2" t="str">
        <f>IFERROR(__xludf.DUMMYFUNCTION("GOOGLETRANSLATE(A38287, ""de"", ""en"")"),"competition")</f>
        <v>competition</v>
      </c>
    </row>
    <row r="38288">
      <c r="A38288" s="1" t="s">
        <v>38287</v>
      </c>
      <c r="B38288" s="2" t="str">
        <f>IFERROR(__xludf.DUMMYFUNCTION("GOOGLETRANSLATE(A38288, ""de"", ""en"")"),"to move forward")</f>
        <v>to move forward</v>
      </c>
    </row>
    <row r="38289">
      <c r="A38289" s="1" t="s">
        <v>38288</v>
      </c>
      <c r="B38289" s="2" t="str">
        <f>IFERROR(__xludf.DUMMYFUNCTION("GOOGLETRANSLATE(A38289, ""de"", ""en"")"),"phone sex")</f>
        <v>phone sex</v>
      </c>
    </row>
    <row r="38290">
      <c r="A38290" s="1" t="s">
        <v>38289</v>
      </c>
      <c r="B38290" s="2" t="str">
        <f>IFERROR(__xludf.DUMMYFUNCTION("GOOGLETRANSLATE(A38290, ""de"", ""en"")"),"brick")</f>
        <v>brick</v>
      </c>
    </row>
    <row r="38291">
      <c r="A38291" s="1" t="s">
        <v>38290</v>
      </c>
      <c r="B38291" s="2" t="str">
        <f>IFERROR(__xludf.DUMMYFUNCTION("GOOGLETRANSLATE(A38291, ""de"", ""en"")"),"sadists")</f>
        <v>sadists</v>
      </c>
    </row>
    <row r="38292">
      <c r="A38292" s="1" t="s">
        <v>38291</v>
      </c>
      <c r="B38292" s="2" t="str">
        <f>IFERROR(__xludf.DUMMYFUNCTION("GOOGLETRANSLATE(A38292, ""de"", ""en"")"),"soon")</f>
        <v>soon</v>
      </c>
    </row>
    <row r="38293">
      <c r="A38293" s="1" t="s">
        <v>38292</v>
      </c>
      <c r="B38293" s="2" t="str">
        <f>IFERROR(__xludf.DUMMYFUNCTION("GOOGLETRANSLATE(A38293, ""de"", ""en"")"),"matured")</f>
        <v>matured</v>
      </c>
    </row>
    <row r="38294">
      <c r="A38294" s="1" t="s">
        <v>38293</v>
      </c>
      <c r="B38294" s="2" t="str">
        <f>IFERROR(__xludf.DUMMYFUNCTION("GOOGLETRANSLATE(A38294, ""de"", ""en"")"),"ion")</f>
        <v>ion</v>
      </c>
    </row>
    <row r="38295">
      <c r="A38295" s="1" t="s">
        <v>38294</v>
      </c>
      <c r="B38295" s="2" t="str">
        <f>IFERROR(__xludf.DUMMYFUNCTION("GOOGLETRANSLATE(A38295, ""de"", ""en"")"),"teach")</f>
        <v>teach</v>
      </c>
    </row>
    <row r="38296">
      <c r="A38296" s="1" t="s">
        <v>38295</v>
      </c>
      <c r="B38296" s="2" t="str">
        <f>IFERROR(__xludf.DUMMYFUNCTION("GOOGLETRANSLATE(A38296, ""de"", ""en"")"),"gumbo")</f>
        <v>gumbo</v>
      </c>
    </row>
    <row r="38297">
      <c r="A38297" s="1" t="s">
        <v>38296</v>
      </c>
      <c r="B38297" s="2" t="str">
        <f>IFERROR(__xludf.DUMMYFUNCTION("GOOGLETRANSLATE(A38297, ""de"", ""en"")"),"spacesuit")</f>
        <v>spacesuit</v>
      </c>
    </row>
    <row r="38298">
      <c r="A38298" s="1" t="s">
        <v>38297</v>
      </c>
      <c r="B38298" s="2" t="str">
        <f>IFERROR(__xludf.DUMMYFUNCTION("GOOGLETRANSLATE(A38298, ""de"", ""en"")"),"eviction")</f>
        <v>eviction</v>
      </c>
    </row>
    <row r="38299">
      <c r="A38299" s="1" t="s">
        <v>38298</v>
      </c>
      <c r="B38299" s="2" t="str">
        <f>IFERROR(__xludf.DUMMYFUNCTION("GOOGLETRANSLATE(A38299, ""de"", ""en"")"),"eye level")</f>
        <v>eye level</v>
      </c>
    </row>
    <row r="38300">
      <c r="A38300" s="1" t="s">
        <v>38299</v>
      </c>
      <c r="B38300" s="2" t="str">
        <f>IFERROR(__xludf.DUMMYFUNCTION("GOOGLETRANSLATE(A38300, ""de"", ""en"")"),"sinking")</f>
        <v>sinking</v>
      </c>
    </row>
    <row r="38301">
      <c r="A38301" s="1" t="s">
        <v>38300</v>
      </c>
      <c r="B38301" s="2" t="str">
        <f>IFERROR(__xludf.DUMMYFUNCTION("GOOGLETRANSLATE(A38301, ""de"", ""en"")"),"deer")</f>
        <v>deer</v>
      </c>
    </row>
    <row r="38302">
      <c r="A38302" s="1" t="s">
        <v>38301</v>
      </c>
      <c r="B38302" s="2" t="str">
        <f>IFERROR(__xludf.DUMMYFUNCTION("GOOGLETRANSLATE(A38302, ""de"", ""en"")"),"fly off")</f>
        <v>fly off</v>
      </c>
    </row>
    <row r="38303">
      <c r="A38303" s="1" t="s">
        <v>38302</v>
      </c>
      <c r="B38303" s="2" t="str">
        <f>IFERROR(__xludf.DUMMYFUNCTION("GOOGLETRANSLATE(A38303, ""de"", ""en"")"),"begins")</f>
        <v>begins</v>
      </c>
    </row>
    <row r="38304">
      <c r="A38304" s="1" t="s">
        <v>38303</v>
      </c>
      <c r="B38304" s="2" t="str">
        <f>IFERROR(__xludf.DUMMYFUNCTION("GOOGLETRANSLATE(A38304, ""de"", ""en"")"),"granville")</f>
        <v>granville</v>
      </c>
    </row>
    <row r="38305">
      <c r="A38305" s="1" t="s">
        <v>38304</v>
      </c>
      <c r="B38305" s="2" t="str">
        <f>IFERROR(__xludf.DUMMYFUNCTION("GOOGLETRANSLATE(A38305, ""de"", ""en"")"),"gambler")</f>
        <v>gambler</v>
      </c>
    </row>
    <row r="38306">
      <c r="A38306" s="1" t="s">
        <v>38305</v>
      </c>
      <c r="B38306" s="2" t="str">
        <f>IFERROR(__xludf.DUMMYFUNCTION("GOOGLETRANSLATE(A38306, ""de"", ""en"")"),"protection spell")</f>
        <v>protection spell</v>
      </c>
    </row>
    <row r="38307">
      <c r="A38307" s="1" t="s">
        <v>38306</v>
      </c>
      <c r="B38307" s="2" t="str">
        <f>IFERROR(__xludf.DUMMYFUNCTION("GOOGLETRANSLATE(A38307, ""de"", ""en"")"),"max")</f>
        <v>max</v>
      </c>
    </row>
    <row r="38308">
      <c r="A38308" s="1" t="s">
        <v>38307</v>
      </c>
      <c r="B38308" s="2" t="str">
        <f>IFERROR(__xludf.DUMMYFUNCTION("GOOGLETRANSLATE(A38308, ""de"", ""en"")"),"fallen")</f>
        <v>fallen</v>
      </c>
    </row>
    <row r="38309">
      <c r="A38309" s="1" t="s">
        <v>38308</v>
      </c>
      <c r="B38309" s="2" t="str">
        <f>IFERROR(__xludf.DUMMYFUNCTION("GOOGLETRANSLATE(A38309, ""de"", ""en"")"),"jibe")</f>
        <v>jibe</v>
      </c>
    </row>
    <row r="38310">
      <c r="A38310" s="1" t="s">
        <v>38309</v>
      </c>
      <c r="B38310" s="2" t="str">
        <f>IFERROR(__xludf.DUMMYFUNCTION("GOOGLETRANSLATE(A38310, ""de"", ""en"")"),"fried potatoes")</f>
        <v>fried potatoes</v>
      </c>
    </row>
    <row r="38311">
      <c r="A38311" s="1" t="s">
        <v>38310</v>
      </c>
      <c r="B38311" s="2" t="str">
        <f>IFERROR(__xludf.DUMMYFUNCTION("GOOGLETRANSLATE(A38311, ""de"", ""en"")"),"gioberti")</f>
        <v>gioberti</v>
      </c>
    </row>
    <row r="38312">
      <c r="A38312" s="1" t="s">
        <v>38311</v>
      </c>
      <c r="B38312" s="2" t="str">
        <f>IFERROR(__xludf.DUMMYFUNCTION("GOOGLETRANSLATE(A38312, ""de"", ""en"")"),"unclear")</f>
        <v>unclear</v>
      </c>
    </row>
    <row r="38313">
      <c r="A38313" s="1" t="s">
        <v>38312</v>
      </c>
      <c r="B38313" s="2" t="str">
        <f>IFERROR(__xludf.DUMMYFUNCTION("GOOGLETRANSLATE(A38313, ""de"", ""en"")"),"carcetti")</f>
        <v>carcetti</v>
      </c>
    </row>
    <row r="38314">
      <c r="A38314" s="1" t="s">
        <v>38313</v>
      </c>
      <c r="B38314" s="2" t="str">
        <f>IFERROR(__xludf.DUMMYFUNCTION("GOOGLETRANSLATE(A38314, ""de"", ""en"")"),"maki")</f>
        <v>maki</v>
      </c>
    </row>
    <row r="38315">
      <c r="A38315" s="1" t="s">
        <v>38314</v>
      </c>
      <c r="B38315" s="2" t="str">
        <f>IFERROR(__xludf.DUMMYFUNCTION("GOOGLETRANSLATE(A38315, ""de"", ""en"")"),"year")</f>
        <v>year</v>
      </c>
    </row>
    <row r="38316">
      <c r="A38316" s="1" t="s">
        <v>38315</v>
      </c>
      <c r="B38316" s="2" t="str">
        <f>IFERROR(__xludf.DUMMYFUNCTION("GOOGLETRANSLATE(A38316, ""de"", ""en"")"),"thrown out")</f>
        <v>thrown out</v>
      </c>
    </row>
    <row r="38317">
      <c r="A38317" s="1" t="s">
        <v>38316</v>
      </c>
      <c r="B38317" s="2" t="str">
        <f>IFERROR(__xludf.DUMMYFUNCTION("GOOGLETRANSLATE(A38317, ""de"", ""en"")"),"gadget")</f>
        <v>gadget</v>
      </c>
    </row>
    <row r="38318">
      <c r="A38318" s="1" t="s">
        <v>38317</v>
      </c>
      <c r="B38318" s="2" t="str">
        <f>IFERROR(__xludf.DUMMYFUNCTION("GOOGLETRANSLATE(A38318, ""de"", ""en"")"),"doodle")</f>
        <v>doodle</v>
      </c>
    </row>
    <row r="38319">
      <c r="A38319" s="1" t="s">
        <v>38318</v>
      </c>
      <c r="B38319" s="2" t="str">
        <f>IFERROR(__xludf.DUMMYFUNCTION("GOOGLETRANSLATE(A38319, ""de"", ""en"")"),"space-time continuum")</f>
        <v>space-time continuum</v>
      </c>
    </row>
    <row r="38320">
      <c r="A38320" s="1" t="s">
        <v>38319</v>
      </c>
      <c r="B38320" s="2" t="str">
        <f>IFERROR(__xludf.DUMMYFUNCTION("GOOGLETRANSLATE(A38320, ""de"", ""en"")"),"braithwaite")</f>
        <v>braithwaite</v>
      </c>
    </row>
    <row r="38321">
      <c r="A38321" s="1" t="s">
        <v>38320</v>
      </c>
      <c r="B38321" s="2" t="str">
        <f>IFERROR(__xludf.DUMMYFUNCTION("GOOGLETRANSLATE(A38321, ""de"", ""en"")"),"recover")</f>
        <v>recover</v>
      </c>
    </row>
    <row r="38322">
      <c r="A38322" s="1" t="s">
        <v>38321</v>
      </c>
      <c r="B38322" s="2" t="str">
        <f>IFERROR(__xludf.DUMMYFUNCTION("GOOGLETRANSLATE(A38322, ""de"", ""en"")"),"plump")</f>
        <v>plump</v>
      </c>
    </row>
    <row r="38323">
      <c r="A38323" s="1" t="s">
        <v>38322</v>
      </c>
      <c r="B38323" s="2" t="str">
        <f>IFERROR(__xludf.DUMMYFUNCTION("GOOGLETRANSLATE(A38323, ""de"", ""en"")"),"describe")</f>
        <v>describe</v>
      </c>
    </row>
    <row r="38324">
      <c r="A38324" s="1" t="s">
        <v>38323</v>
      </c>
      <c r="B38324" s="2" t="str">
        <f>IFERROR(__xludf.DUMMYFUNCTION("GOOGLETRANSLATE(A38324, ""de"", ""en"")"),"cover")</f>
        <v>cover</v>
      </c>
    </row>
    <row r="38325">
      <c r="A38325" s="1" t="s">
        <v>38324</v>
      </c>
      <c r="B38325" s="2" t="str">
        <f>IFERROR(__xludf.DUMMYFUNCTION("GOOGLETRANSLATE(A38325, ""de"", ""en"")"),"collect")</f>
        <v>collect</v>
      </c>
    </row>
    <row r="38326">
      <c r="A38326" s="1" t="s">
        <v>38325</v>
      </c>
      <c r="B38326" s="2" t="str">
        <f>IFERROR(__xludf.DUMMYFUNCTION("GOOGLETRANSLATE(A38326, ""de"", ""en"")"),"nicolai")</f>
        <v>nicolai</v>
      </c>
    </row>
    <row r="38327">
      <c r="A38327" s="1" t="s">
        <v>38326</v>
      </c>
      <c r="B38327" s="2" t="str">
        <f>IFERROR(__xludf.DUMMYFUNCTION("GOOGLETRANSLATE(A38327, ""de"", ""en"")"),"keyword")</f>
        <v>keyword</v>
      </c>
    </row>
    <row r="38328">
      <c r="A38328" s="1" t="s">
        <v>38327</v>
      </c>
      <c r="B38328" s="2" t="str">
        <f>IFERROR(__xludf.DUMMYFUNCTION("GOOGLETRANSLATE(A38328, ""de"", ""en"")"),"synthetic")</f>
        <v>synthetic</v>
      </c>
    </row>
    <row r="38329">
      <c r="A38329" s="1" t="s">
        <v>38328</v>
      </c>
      <c r="B38329" s="2" t="str">
        <f>IFERROR(__xludf.DUMMYFUNCTION("GOOGLETRANSLATE(A38329, ""de"", ""en"")"),"encouraged")</f>
        <v>encouraged</v>
      </c>
    </row>
    <row r="38330">
      <c r="A38330" s="1" t="s">
        <v>38329</v>
      </c>
      <c r="B38330" s="2" t="str">
        <f>IFERROR(__xludf.DUMMYFUNCTION("GOOGLETRANSLATE(A38330, ""de"", ""en"")"),"slightly")</f>
        <v>slightly</v>
      </c>
    </row>
    <row r="38331">
      <c r="A38331" s="1" t="s">
        <v>38330</v>
      </c>
      <c r="B38331" s="2" t="str">
        <f>IFERROR(__xludf.DUMMYFUNCTION("GOOGLETRANSLATE(A38331, ""de"", ""en"")"),"sussex")</f>
        <v>sussex</v>
      </c>
    </row>
    <row r="38332">
      <c r="A38332" s="1" t="s">
        <v>38331</v>
      </c>
      <c r="B38332" s="2" t="str">
        <f>IFERROR(__xludf.DUMMYFUNCTION("GOOGLETRANSLATE(A38332, ""de"", ""en"")"),"provisional")</f>
        <v>provisional</v>
      </c>
    </row>
    <row r="38333">
      <c r="A38333" s="1" t="s">
        <v>38332</v>
      </c>
      <c r="B38333" s="2" t="str">
        <f>IFERROR(__xludf.DUMMYFUNCTION("GOOGLETRANSLATE(A38333, ""de"", ""en"")"),"overreact")</f>
        <v>overreact</v>
      </c>
    </row>
    <row r="38334">
      <c r="A38334" s="1" t="s">
        <v>38333</v>
      </c>
      <c r="B38334" s="2" t="str">
        <f>IFERROR(__xludf.DUMMYFUNCTION("GOOGLETRANSLATE(A38334, ""de"", ""en"")"),"guests of honor")</f>
        <v>guests of honor</v>
      </c>
    </row>
    <row r="38335">
      <c r="A38335" s="1" t="s">
        <v>38334</v>
      </c>
      <c r="B38335" s="2" t="str">
        <f>IFERROR(__xludf.DUMMYFUNCTION("GOOGLETRANSLATE(A38335, ""de"", ""en"")"),"aggie")</f>
        <v>aggie</v>
      </c>
    </row>
    <row r="38336">
      <c r="A38336" s="1" t="s">
        <v>38335</v>
      </c>
      <c r="B38336" s="2" t="str">
        <f>IFERROR(__xludf.DUMMYFUNCTION("GOOGLETRANSLATE(A38336, ""de"", ""en"")"),"marylin")</f>
        <v>marylin</v>
      </c>
    </row>
    <row r="38337">
      <c r="A38337" s="1" t="s">
        <v>38336</v>
      </c>
      <c r="B38337" s="2" t="str">
        <f>IFERROR(__xludf.DUMMYFUNCTION("GOOGLETRANSLATE(A38337, ""de"", ""en"")"),"cruella")</f>
        <v>cruella</v>
      </c>
    </row>
    <row r="38338">
      <c r="A38338" s="1" t="s">
        <v>38337</v>
      </c>
      <c r="B38338" s="2" t="str">
        <f>IFERROR(__xludf.DUMMYFUNCTION("GOOGLETRANSLATE(A38338, ""de"", ""en"")"),"overplay")</f>
        <v>overplay</v>
      </c>
    </row>
    <row r="38339">
      <c r="A38339" s="1" t="s">
        <v>38338</v>
      </c>
      <c r="B38339" s="2" t="str">
        <f>IFERROR(__xludf.DUMMYFUNCTION("GOOGLETRANSLATE(A38339, ""de"", ""en"")"),"fulfilled")</f>
        <v>fulfilled</v>
      </c>
    </row>
    <row r="38340">
      <c r="A38340" s="1" t="s">
        <v>38339</v>
      </c>
      <c r="B38340" s="2" t="str">
        <f>IFERROR(__xludf.DUMMYFUNCTION("GOOGLETRANSLATE(A38340, ""de"", ""en"")"),"vive")</f>
        <v>vive</v>
      </c>
    </row>
    <row r="38341">
      <c r="A38341" s="1" t="s">
        <v>38340</v>
      </c>
      <c r="B38341" s="2" t="str">
        <f>IFERROR(__xludf.DUMMYFUNCTION("GOOGLETRANSLATE(A38341, ""de"", ""en"")"),"most terrible")</f>
        <v>most terrible</v>
      </c>
    </row>
    <row r="38342">
      <c r="A38342" s="1" t="s">
        <v>38341</v>
      </c>
      <c r="B38342" s="2" t="str">
        <f>IFERROR(__xludf.DUMMYFUNCTION("GOOGLETRANSLATE(A38342, ""de"", ""en"")"),"dance on")</f>
        <v>dance on</v>
      </c>
    </row>
    <row r="38343">
      <c r="A38343" s="1" t="s">
        <v>38342</v>
      </c>
      <c r="B38343" s="2" t="str">
        <f>IFERROR(__xludf.DUMMYFUNCTION("GOOGLETRANSLATE(A38343, ""de"", ""en"")"),"ghetto")</f>
        <v>ghetto</v>
      </c>
    </row>
    <row r="38344">
      <c r="A38344" s="1" t="s">
        <v>38343</v>
      </c>
      <c r="B38344" s="2" t="str">
        <f>IFERROR(__xludf.DUMMYFUNCTION("GOOGLETRANSLATE(A38344, ""de"", ""en"")"),"sparkling clean")</f>
        <v>sparkling clean</v>
      </c>
    </row>
    <row r="38345">
      <c r="A38345" s="1" t="s">
        <v>38344</v>
      </c>
      <c r="B38345" s="2" t="str">
        <f>IFERROR(__xludf.DUMMYFUNCTION("GOOGLETRANSLATE(A38345, ""de"", ""en"")"),"whalebone")</f>
        <v>whalebone</v>
      </c>
    </row>
    <row r="38346">
      <c r="A38346" s="1" t="s">
        <v>38345</v>
      </c>
      <c r="B38346" s="2" t="str">
        <f>IFERROR(__xludf.DUMMYFUNCTION("GOOGLETRANSLATE(A38346, ""de"", ""en"")"),"Sebastian")</f>
        <v>Sebastian</v>
      </c>
    </row>
    <row r="38347">
      <c r="A38347" s="1" t="s">
        <v>38346</v>
      </c>
      <c r="B38347" s="2" t="str">
        <f>IFERROR(__xludf.DUMMYFUNCTION("GOOGLETRANSLATE(A38347, ""de"", ""en"")"),"waverider")</f>
        <v>waverider</v>
      </c>
    </row>
    <row r="38348">
      <c r="A38348" s="1" t="s">
        <v>38347</v>
      </c>
      <c r="B38348" s="2" t="str">
        <f>IFERROR(__xludf.DUMMYFUNCTION("GOOGLETRANSLATE(A38348, ""de"", ""en"")"),"engraving")</f>
        <v>engraving</v>
      </c>
    </row>
    <row r="38349">
      <c r="A38349" s="1" t="s">
        <v>38348</v>
      </c>
      <c r="B38349" s="2" t="str">
        <f>IFERROR(__xludf.DUMMYFUNCTION("GOOGLETRANSLATE(A38349, ""de"", ""en"")"),"meat grinder")</f>
        <v>meat grinder</v>
      </c>
    </row>
    <row r="38350">
      <c r="A38350" s="1" t="s">
        <v>38349</v>
      </c>
      <c r="B38350" s="2" t="str">
        <f>IFERROR(__xludf.DUMMYFUNCTION("GOOGLETRANSLATE(A38350, ""de"", ""en"")"),"agility")</f>
        <v>agility</v>
      </c>
    </row>
    <row r="38351">
      <c r="A38351" s="1" t="s">
        <v>38350</v>
      </c>
      <c r="B38351" s="2" t="str">
        <f>IFERROR(__xludf.DUMMYFUNCTION("GOOGLETRANSLATE(A38351, ""de"", ""en"")"),"equator")</f>
        <v>equator</v>
      </c>
    </row>
    <row r="38352">
      <c r="A38352" s="1" t="s">
        <v>38351</v>
      </c>
      <c r="B38352" s="2" t="str">
        <f>IFERROR(__xludf.DUMMYFUNCTION("GOOGLETRANSLATE(A38352, ""de"", ""en"")"),"shithole")</f>
        <v>shithole</v>
      </c>
    </row>
    <row r="38353">
      <c r="A38353" s="1" t="s">
        <v>38352</v>
      </c>
      <c r="B38353" s="2" t="str">
        <f>IFERROR(__xludf.DUMMYFUNCTION("GOOGLETRANSLATE(A38353, ""de"", ""en"")"),"smooth")</f>
        <v>smooth</v>
      </c>
    </row>
    <row r="38354">
      <c r="A38354" s="1" t="s">
        <v>38353</v>
      </c>
      <c r="B38354" s="2" t="str">
        <f>IFERROR(__xludf.DUMMYFUNCTION("GOOGLETRANSLATE(A38354, ""de"", ""en"")"),"privileged")</f>
        <v>privileged</v>
      </c>
    </row>
    <row r="38355">
      <c r="A38355" s="1" t="s">
        <v>38354</v>
      </c>
      <c r="B38355" s="2" t="str">
        <f>IFERROR(__xludf.DUMMYFUNCTION("GOOGLETRANSLATE(A38355, ""de"", ""en"")"),"robes")</f>
        <v>robes</v>
      </c>
    </row>
    <row r="38356">
      <c r="A38356" s="1" t="s">
        <v>38355</v>
      </c>
      <c r="B38356" s="2" t="str">
        <f>IFERROR(__xludf.DUMMYFUNCTION("GOOGLETRANSLATE(A38356, ""de"", ""en"")"),"ventriloquist")</f>
        <v>ventriloquist</v>
      </c>
    </row>
    <row r="38357">
      <c r="A38357" s="1" t="s">
        <v>38356</v>
      </c>
      <c r="B38357" s="2" t="str">
        <f>IFERROR(__xludf.DUMMYFUNCTION("GOOGLETRANSLATE(A38357, ""de"", ""en"")"),"somerset")</f>
        <v>somerset</v>
      </c>
    </row>
    <row r="38358">
      <c r="A38358" s="1" t="s">
        <v>38357</v>
      </c>
      <c r="B38358" s="2" t="str">
        <f>IFERROR(__xludf.DUMMYFUNCTION("GOOGLETRANSLATE(A38358, ""de"", ""en"")"),"amazed")</f>
        <v>amazed</v>
      </c>
    </row>
    <row r="38359">
      <c r="A38359" s="1" t="s">
        <v>38358</v>
      </c>
      <c r="B38359" s="2" t="str">
        <f>IFERROR(__xludf.DUMMYFUNCTION("GOOGLETRANSLATE(A38359, ""de"", ""en"")"),"beans")</f>
        <v>beans</v>
      </c>
    </row>
    <row r="38360">
      <c r="A38360" s="1" t="s">
        <v>38359</v>
      </c>
      <c r="B38360" s="2" t="str">
        <f>IFERROR(__xludf.DUMMYFUNCTION("GOOGLETRANSLATE(A38360, ""de"", ""en"")"),"optics")</f>
        <v>optics</v>
      </c>
    </row>
    <row r="38361">
      <c r="A38361" s="1" t="s">
        <v>38360</v>
      </c>
      <c r="B38361" s="2" t="str">
        <f>IFERROR(__xludf.DUMMYFUNCTION("GOOGLETRANSLATE(A38361, ""de"", ""en"")"),"dome")</f>
        <v>dome</v>
      </c>
    </row>
    <row r="38362">
      <c r="A38362" s="1" t="s">
        <v>38361</v>
      </c>
      <c r="B38362" s="2" t="str">
        <f>IFERROR(__xludf.DUMMYFUNCTION("GOOGLETRANSLATE(A38362, ""de"", ""en"")"),"shiny")</f>
        <v>shiny</v>
      </c>
    </row>
    <row r="38363">
      <c r="A38363" s="1" t="s">
        <v>38362</v>
      </c>
      <c r="B38363" s="2" t="str">
        <f>IFERROR(__xludf.DUMMYFUNCTION("GOOGLETRANSLATE(A38363, ""de"", ""en"")"),"fiery")</f>
        <v>fiery</v>
      </c>
    </row>
    <row r="38364">
      <c r="A38364" s="1" t="s">
        <v>38363</v>
      </c>
      <c r="B38364" s="2" t="str">
        <f>IFERROR(__xludf.DUMMYFUNCTION("GOOGLETRANSLATE(A38364, ""de"", ""en"")"),"pushed away")</f>
        <v>pushed away</v>
      </c>
    </row>
    <row r="38365">
      <c r="A38365" s="1" t="s">
        <v>38364</v>
      </c>
      <c r="B38365" s="2" t="str">
        <f>IFERROR(__xludf.DUMMYFUNCTION("GOOGLETRANSLATE(A38365, ""de"", ""en"")"),"sail")</f>
        <v>sail</v>
      </c>
    </row>
    <row r="38366">
      <c r="A38366" s="1" t="s">
        <v>38365</v>
      </c>
      <c r="B38366" s="2" t="str">
        <f>IFERROR(__xludf.DUMMYFUNCTION("GOOGLETRANSLATE(A38366, ""de"", ""en"")"),"more realistic")</f>
        <v>more realistic</v>
      </c>
    </row>
    <row r="38367">
      <c r="A38367" s="1" t="s">
        <v>38366</v>
      </c>
      <c r="B38367" s="2" t="str">
        <f>IFERROR(__xludf.DUMMYFUNCTION("GOOGLETRANSLATE(A38367, ""de"", ""en"")"),"drive")</f>
        <v>drive</v>
      </c>
    </row>
    <row r="38368">
      <c r="A38368" s="1" t="s">
        <v>38367</v>
      </c>
      <c r="B38368" s="2" t="str">
        <f>IFERROR(__xludf.DUMMYFUNCTION("GOOGLETRANSLATE(A38368, ""de"", ""en"")"),"instructions for use")</f>
        <v>instructions for use</v>
      </c>
    </row>
    <row r="38369">
      <c r="A38369" s="1" t="s">
        <v>38368</v>
      </c>
      <c r="B38369" s="2" t="str">
        <f>IFERROR(__xludf.DUMMYFUNCTION("GOOGLETRANSLATE(A38369, ""de"", ""en"")"),"chandra")</f>
        <v>chandra</v>
      </c>
    </row>
    <row r="38370">
      <c r="A38370" s="1" t="s">
        <v>38369</v>
      </c>
      <c r="B38370" s="2" t="str">
        <f>IFERROR(__xludf.DUMMYFUNCTION("GOOGLETRANSLATE(A38370, ""de"", ""en"")"),"jackhammer")</f>
        <v>jackhammer</v>
      </c>
    </row>
    <row r="38371">
      <c r="A38371" s="1" t="s">
        <v>38370</v>
      </c>
      <c r="B38371" s="2" t="str">
        <f>IFERROR(__xludf.DUMMYFUNCTION("GOOGLETRANSLATE(A38371, ""de"", ""en"")"),"evaporated")</f>
        <v>evaporated</v>
      </c>
    </row>
    <row r="38372">
      <c r="A38372" s="1" t="s">
        <v>38371</v>
      </c>
      <c r="B38372" s="2" t="str">
        <f>IFERROR(__xludf.DUMMYFUNCTION("GOOGLETRANSLATE(A38372, ""de"", ""en"")"),"already")</f>
        <v>already</v>
      </c>
    </row>
    <row r="38373">
      <c r="A38373" s="1" t="s">
        <v>38372</v>
      </c>
      <c r="B38373" s="2" t="str">
        <f>IFERROR(__xludf.DUMMYFUNCTION("GOOGLETRANSLATE(A38373, ""de"", ""en"")"),"Gert")</f>
        <v>Gert</v>
      </c>
    </row>
    <row r="38374">
      <c r="A38374" s="1" t="s">
        <v>38373</v>
      </c>
      <c r="B38374" s="2" t="str">
        <f>IFERROR(__xludf.DUMMYFUNCTION("GOOGLETRANSLATE(A38374, ""de"", ""en"")"),"detonated")</f>
        <v>detonated</v>
      </c>
    </row>
    <row r="38375">
      <c r="A38375" s="1" t="s">
        <v>38374</v>
      </c>
      <c r="B38375" s="2" t="str">
        <f>IFERROR(__xludf.DUMMYFUNCTION("GOOGLETRANSLATE(A38375, ""de"", ""en"")"),"risked")</f>
        <v>risked</v>
      </c>
    </row>
    <row r="38376">
      <c r="A38376" s="1" t="s">
        <v>38375</v>
      </c>
      <c r="B38376" s="2" t="str">
        <f>IFERROR(__xludf.DUMMYFUNCTION("GOOGLETRANSLATE(A38376, ""de"", ""en"")"),"dec")</f>
        <v>dec</v>
      </c>
    </row>
    <row r="38377">
      <c r="A38377" s="1" t="s">
        <v>38376</v>
      </c>
      <c r="B38377" s="2" t="str">
        <f>IFERROR(__xludf.DUMMYFUNCTION("GOOGLETRANSLATE(A38377, ""de"", ""en"")"),"hectic")</f>
        <v>hectic</v>
      </c>
    </row>
    <row r="38378">
      <c r="A38378" s="1" t="s">
        <v>38377</v>
      </c>
      <c r="B38378" s="2" t="str">
        <f>IFERROR(__xludf.DUMMYFUNCTION("GOOGLETRANSLATE(A38378, ""de"", ""en"")"),"stuffed")</f>
        <v>stuffed</v>
      </c>
    </row>
    <row r="38379">
      <c r="A38379" s="1" t="s">
        <v>38378</v>
      </c>
      <c r="B38379" s="2" t="str">
        <f>IFERROR(__xludf.DUMMYFUNCTION("GOOGLETRANSLATE(A38379, ""de"", ""en"")"),"northwest")</f>
        <v>northwest</v>
      </c>
    </row>
    <row r="38380">
      <c r="A38380" s="1" t="s">
        <v>38379</v>
      </c>
      <c r="B38380" s="2" t="str">
        <f>IFERROR(__xludf.DUMMYFUNCTION("GOOGLETRANSLATE(A38380, ""de"", ""en"")"),"lime")</f>
        <v>lime</v>
      </c>
    </row>
    <row r="38381">
      <c r="A38381" s="1" t="s">
        <v>38380</v>
      </c>
      <c r="B38381" s="2" t="str">
        <f>IFERROR(__xludf.DUMMYFUNCTION("GOOGLETRANSLATE(A38381, ""de"", ""en"")"),"josefa")</f>
        <v>josefa</v>
      </c>
    </row>
    <row r="38382">
      <c r="A38382" s="1" t="s">
        <v>38381</v>
      </c>
      <c r="B38382" s="2" t="str">
        <f>IFERROR(__xludf.DUMMYFUNCTION("GOOGLETRANSLATE(A38382, ""de"", ""en"")"),"Central America")</f>
        <v>Central America</v>
      </c>
    </row>
    <row r="38383">
      <c r="A38383" s="1" t="s">
        <v>38382</v>
      </c>
      <c r="B38383" s="2" t="str">
        <f>IFERROR(__xludf.DUMMYFUNCTION("GOOGLETRANSLATE(A38383, ""de"", ""en"")"),"working hours")</f>
        <v>working hours</v>
      </c>
    </row>
    <row r="38384">
      <c r="A38384" s="1" t="s">
        <v>38383</v>
      </c>
      <c r="B38384" s="2" t="str">
        <f>IFERROR(__xludf.DUMMYFUNCTION("GOOGLETRANSLATE(A38384, ""de"", ""en"")"),"savings")</f>
        <v>savings</v>
      </c>
    </row>
    <row r="38385">
      <c r="A38385" s="1" t="s">
        <v>38384</v>
      </c>
      <c r="B38385" s="2" t="str">
        <f>IFERROR(__xludf.DUMMYFUNCTION("GOOGLETRANSLATE(A38385, ""de"", ""en"")"),"vouches")</f>
        <v>vouches</v>
      </c>
    </row>
    <row r="38386">
      <c r="A38386" s="1" t="s">
        <v>38385</v>
      </c>
      <c r="B38386" s="2" t="str">
        <f>IFERROR(__xludf.DUMMYFUNCTION("GOOGLETRANSLATE(A38386, ""de"", ""en"")"),"rika")</f>
        <v>rika</v>
      </c>
    </row>
    <row r="38387">
      <c r="A38387" s="1" t="s">
        <v>38386</v>
      </c>
      <c r="B38387" s="2" t="str">
        <f>IFERROR(__xludf.DUMMYFUNCTION("GOOGLETRANSLATE(A38387, ""de"", ""en"")"),"walking stick")</f>
        <v>walking stick</v>
      </c>
    </row>
    <row r="38388">
      <c r="A38388" s="1" t="s">
        <v>38387</v>
      </c>
      <c r="B38388" s="2" t="str">
        <f>IFERROR(__xludf.DUMMYFUNCTION("GOOGLETRANSLATE(A38388, ""de"", ""en"")"),"overplayed")</f>
        <v>overplayed</v>
      </c>
    </row>
    <row r="38389">
      <c r="A38389" s="1" t="s">
        <v>38388</v>
      </c>
      <c r="B38389" s="2" t="str">
        <f>IFERROR(__xludf.DUMMYFUNCTION("GOOGLETRANSLATE(A38389, ""de"", ""en"")"),"boy wonder")</f>
        <v>boy wonder</v>
      </c>
    </row>
    <row r="38390">
      <c r="A38390" s="1" t="s">
        <v>38389</v>
      </c>
      <c r="B38390" s="2" t="str">
        <f>IFERROR(__xludf.DUMMYFUNCTION("GOOGLETRANSLATE(A38390, ""de"", ""en"")"),"cataloged")</f>
        <v>cataloged</v>
      </c>
    </row>
    <row r="38391">
      <c r="A38391" s="1" t="s">
        <v>38390</v>
      </c>
      <c r="B38391" s="2" t="str">
        <f>IFERROR(__xludf.DUMMYFUNCTION("GOOGLETRANSLATE(A38391, ""de"", ""en"")"),"pogo")</f>
        <v>pogo</v>
      </c>
    </row>
    <row r="38392">
      <c r="A38392" s="1" t="s">
        <v>38391</v>
      </c>
      <c r="B38392" s="2" t="str">
        <f>IFERROR(__xludf.DUMMYFUNCTION("GOOGLETRANSLATE(A38392, ""de"", ""en"")"),"sleepwalker")</f>
        <v>sleepwalker</v>
      </c>
    </row>
    <row r="38393">
      <c r="A38393" s="1" t="s">
        <v>38392</v>
      </c>
      <c r="B38393" s="2" t="str">
        <f>IFERROR(__xludf.DUMMYFUNCTION("GOOGLETRANSLATE(A38393, ""de"", ""en"")"),"allies")</f>
        <v>allies</v>
      </c>
    </row>
    <row r="38394">
      <c r="A38394" s="1" t="s">
        <v>38393</v>
      </c>
      <c r="B38394" s="2" t="str">
        <f>IFERROR(__xludf.DUMMYFUNCTION("GOOGLETRANSLATE(A38394, ""de"", ""en"")"),"comprende")</f>
        <v>comprende</v>
      </c>
    </row>
    <row r="38395">
      <c r="A38395" s="1" t="s">
        <v>38394</v>
      </c>
      <c r="B38395" s="2" t="str">
        <f>IFERROR(__xludf.DUMMYFUNCTION("GOOGLETRANSLATE(A38395, ""de"", ""en"")"),"descendant")</f>
        <v>descendant</v>
      </c>
    </row>
    <row r="38396">
      <c r="A38396" s="1" t="s">
        <v>38395</v>
      </c>
      <c r="B38396" s="2" t="str">
        <f>IFERROR(__xludf.DUMMYFUNCTION("GOOGLETRANSLATE(A38396, ""de"", ""en"")"),"etc")</f>
        <v>etc</v>
      </c>
    </row>
    <row r="38397">
      <c r="A38397" s="1" t="s">
        <v>38396</v>
      </c>
      <c r="B38397" s="2" t="str">
        <f>IFERROR(__xludf.DUMMYFUNCTION("GOOGLETRANSLATE(A38397, ""de"", ""en"")"),"gunilla")</f>
        <v>gunilla</v>
      </c>
    </row>
    <row r="38398">
      <c r="A38398" s="1" t="s">
        <v>38397</v>
      </c>
      <c r="B38398" s="2" t="str">
        <f>IFERROR(__xludf.DUMMYFUNCTION("GOOGLETRANSLATE(A38398, ""de"", ""en"")"),"career")</f>
        <v>career</v>
      </c>
    </row>
    <row r="38399">
      <c r="A38399" s="1" t="s">
        <v>38398</v>
      </c>
      <c r="B38399" s="2" t="str">
        <f>IFERROR(__xludf.DUMMYFUNCTION("GOOGLETRANSLATE(A38399, ""de"", ""en"")"),"mentalist")</f>
        <v>mentalist</v>
      </c>
    </row>
    <row r="38400">
      <c r="A38400" s="1" t="s">
        <v>38399</v>
      </c>
      <c r="B38400" s="2" t="str">
        <f>IFERROR(__xludf.DUMMYFUNCTION("GOOGLETRANSLATE(A38400, ""de"", ""en"")"),"crew members")</f>
        <v>crew members</v>
      </c>
    </row>
    <row r="38401">
      <c r="A38401" s="1" t="s">
        <v>38400</v>
      </c>
      <c r="B38401" s="2" t="str">
        <f>IFERROR(__xludf.DUMMYFUNCTION("GOOGLETRANSLATE(A38401, ""de"", ""en"")"),"plural")</f>
        <v>plural</v>
      </c>
    </row>
    <row r="38402">
      <c r="A38402" s="1" t="s">
        <v>38401</v>
      </c>
      <c r="B38402" s="2" t="str">
        <f>IFERROR(__xludf.DUMMYFUNCTION("GOOGLETRANSLATE(A38402, ""de"", ""en"")"),"missing")</f>
        <v>missing</v>
      </c>
    </row>
    <row r="38403">
      <c r="A38403" s="1" t="s">
        <v>38402</v>
      </c>
      <c r="B38403" s="2" t="str">
        <f>IFERROR(__xludf.DUMMYFUNCTION("GOOGLETRANSLATE(A38403, ""de"", ""en"")"),"construction")</f>
        <v>construction</v>
      </c>
    </row>
    <row r="38404">
      <c r="A38404" s="1" t="s">
        <v>38403</v>
      </c>
      <c r="B38404" s="2" t="str">
        <f>IFERROR(__xludf.DUMMYFUNCTION("GOOGLETRANSLATE(A38404, ""de"", ""en"")"),"qualified")</f>
        <v>qualified</v>
      </c>
    </row>
    <row r="38405">
      <c r="A38405" s="1" t="s">
        <v>38404</v>
      </c>
      <c r="B38405" s="2" t="str">
        <f>IFERROR(__xludf.DUMMYFUNCTION("GOOGLETRANSLATE(A38405, ""de"", ""en"")"),"guaranteed")</f>
        <v>guaranteed</v>
      </c>
    </row>
    <row r="38406">
      <c r="A38406" s="1" t="s">
        <v>38405</v>
      </c>
      <c r="B38406" s="2" t="str">
        <f>IFERROR(__xludf.DUMMYFUNCTION("GOOGLETRANSLATE(A38406, ""de"", ""en"")"),"fans")</f>
        <v>fans</v>
      </c>
    </row>
    <row r="38407">
      <c r="A38407" s="1" t="s">
        <v>38406</v>
      </c>
      <c r="B38407" s="2" t="str">
        <f>IFERROR(__xludf.DUMMYFUNCTION("GOOGLETRANSLATE(A38407, ""de"", ""en"")"),"passable")</f>
        <v>passable</v>
      </c>
    </row>
    <row r="38408">
      <c r="A38408" s="1" t="s">
        <v>38407</v>
      </c>
      <c r="B38408" s="2" t="str">
        <f>IFERROR(__xludf.DUMMYFUNCTION("GOOGLETRANSLATE(A38408, ""de"", ""en"")"),"Ronan")</f>
        <v>Ronan</v>
      </c>
    </row>
    <row r="38409">
      <c r="A38409" s="1" t="s">
        <v>38408</v>
      </c>
      <c r="B38409" s="2" t="str">
        <f>IFERROR(__xludf.DUMMYFUNCTION("GOOGLETRANSLATE(A38409, ""de"", ""en"")"),"mengele")</f>
        <v>mengele</v>
      </c>
    </row>
    <row r="38410">
      <c r="A38410" s="1" t="s">
        <v>38409</v>
      </c>
      <c r="B38410" s="2" t="str">
        <f>IFERROR(__xludf.DUMMYFUNCTION("GOOGLETRANSLATE(A38410, ""de"", ""en"")"),"koji")</f>
        <v>koji</v>
      </c>
    </row>
    <row r="38411">
      <c r="A38411" s="1" t="s">
        <v>38410</v>
      </c>
      <c r="B38411" s="2" t="str">
        <f>IFERROR(__xludf.DUMMYFUNCTION("GOOGLETRANSLATE(A38411, ""de"", ""en"")"),"deva")</f>
        <v>deva</v>
      </c>
    </row>
    <row r="38412">
      <c r="A38412" s="1" t="s">
        <v>38411</v>
      </c>
      <c r="B38412" s="2" t="str">
        <f>IFERROR(__xludf.DUMMYFUNCTION("GOOGLETRANSLATE(A38412, ""de"", ""en"")"),"appearance")</f>
        <v>appearance</v>
      </c>
    </row>
    <row r="38413">
      <c r="A38413" s="1" t="s">
        <v>38412</v>
      </c>
      <c r="B38413" s="2" t="str">
        <f>IFERROR(__xludf.DUMMYFUNCTION("GOOGLETRANSLATE(A38413, ""de"", ""en"")"),"sputnik")</f>
        <v>sputnik</v>
      </c>
    </row>
    <row r="38414">
      <c r="A38414" s="1" t="s">
        <v>38413</v>
      </c>
      <c r="B38414" s="2" t="str">
        <f>IFERROR(__xludf.DUMMYFUNCTION("GOOGLETRANSLATE(A38414, ""de"", ""en"")"),"hip flask")</f>
        <v>hip flask</v>
      </c>
    </row>
    <row r="38415">
      <c r="A38415" s="1" t="s">
        <v>38414</v>
      </c>
      <c r="B38415" s="2" t="str">
        <f>IFERROR(__xludf.DUMMYFUNCTION("GOOGLETRANSLATE(A38415, ""de"", ""en"")"),"warned")</f>
        <v>warned</v>
      </c>
    </row>
    <row r="38416">
      <c r="A38416" s="1" t="s">
        <v>38415</v>
      </c>
      <c r="B38416" s="2" t="str">
        <f>IFERROR(__xludf.DUMMYFUNCTION("GOOGLETRANSLATE(A38416, ""de"", ""en"")"),"freckle")</f>
        <v>freckle</v>
      </c>
    </row>
    <row r="38417">
      <c r="A38417" s="1" t="s">
        <v>38416</v>
      </c>
      <c r="B38417" s="2" t="str">
        <f>IFERROR(__xludf.DUMMYFUNCTION("GOOGLETRANSLATE(A38417, ""de"", ""en"")"),"accusation")</f>
        <v>accusation</v>
      </c>
    </row>
    <row r="38418">
      <c r="A38418" s="1" t="s">
        <v>38417</v>
      </c>
      <c r="B38418" s="2" t="str">
        <f>IFERROR(__xludf.DUMMYFUNCTION("GOOGLETRANSLATE(A38418, ""de"", ""en"")"),"laughing stock")</f>
        <v>laughing stock</v>
      </c>
    </row>
    <row r="38419">
      <c r="A38419" s="1" t="s">
        <v>38418</v>
      </c>
      <c r="B38419" s="2" t="str">
        <f>IFERROR(__xludf.DUMMYFUNCTION("GOOGLETRANSLATE(A38419, ""de"", ""en"")"),"swelling")</f>
        <v>swelling</v>
      </c>
    </row>
    <row r="38420">
      <c r="A38420" s="1" t="s">
        <v>38419</v>
      </c>
      <c r="B38420" s="2" t="str">
        <f>IFERROR(__xludf.DUMMYFUNCTION("GOOGLETRANSLATE(A38420, ""de"", ""en"")"),"Spielberg")</f>
        <v>Spielberg</v>
      </c>
    </row>
    <row r="38421">
      <c r="A38421" s="1" t="s">
        <v>38420</v>
      </c>
      <c r="B38421" s="2" t="str">
        <f>IFERROR(__xludf.DUMMYFUNCTION("GOOGLETRANSLATE(A38421, ""de"", ""en"")"),"busy")</f>
        <v>busy</v>
      </c>
    </row>
    <row r="38422">
      <c r="A38422" s="1" t="s">
        <v>38421</v>
      </c>
      <c r="B38422" s="2" t="str">
        <f>IFERROR(__xludf.DUMMYFUNCTION("GOOGLETRANSLATE(A38422, ""de"", ""en"")"),"piggy bank")</f>
        <v>piggy bank</v>
      </c>
    </row>
    <row r="38423">
      <c r="A38423" s="1" t="s">
        <v>38422</v>
      </c>
      <c r="B38423" s="2" t="str">
        <f>IFERROR(__xludf.DUMMYFUNCTION("GOOGLETRANSLATE(A38423, ""de"", ""en"")"),"honorable")</f>
        <v>honorable</v>
      </c>
    </row>
    <row r="38424">
      <c r="A38424" s="1" t="s">
        <v>38423</v>
      </c>
      <c r="B38424" s="2" t="str">
        <f>IFERROR(__xludf.DUMMYFUNCTION("GOOGLETRANSLATE(A38424, ""de"", ""en"")"),"boxey")</f>
        <v>boxey</v>
      </c>
    </row>
    <row r="38425">
      <c r="A38425" s="1" t="s">
        <v>38424</v>
      </c>
      <c r="B38425" s="2" t="str">
        <f>IFERROR(__xludf.DUMMYFUNCTION("GOOGLETRANSLATE(A38425, ""de"", ""en"")"),"fight")</f>
        <v>fight</v>
      </c>
    </row>
    <row r="38426">
      <c r="A38426" s="1" t="s">
        <v>38425</v>
      </c>
      <c r="B38426" s="2" t="str">
        <f>IFERROR(__xludf.DUMMYFUNCTION("GOOGLETRANSLATE(A38426, ""de"", ""en"")"),"quarter")</f>
        <v>quarter</v>
      </c>
    </row>
    <row r="38427">
      <c r="A38427" s="1" t="s">
        <v>38426</v>
      </c>
      <c r="B38427" s="2" t="str">
        <f>IFERROR(__xludf.DUMMYFUNCTION("GOOGLETRANSLATE(A38427, ""de"", ""en"")"),"design")</f>
        <v>design</v>
      </c>
    </row>
    <row r="38428">
      <c r="A38428" s="1" t="s">
        <v>38427</v>
      </c>
      <c r="B38428" s="2" t="str">
        <f>IFERROR(__xludf.DUMMYFUNCTION("GOOGLETRANSLATE(A38428, ""de"", ""en"")"),"typo")</f>
        <v>typo</v>
      </c>
    </row>
    <row r="38429">
      <c r="A38429" s="1" t="s">
        <v>38428</v>
      </c>
      <c r="B38429" s="2" t="str">
        <f>IFERROR(__xludf.DUMMYFUNCTION("GOOGLETRANSLATE(A38429, ""de"", ""en"")"),"more unique")</f>
        <v>more unique</v>
      </c>
    </row>
    <row r="38430">
      <c r="A38430" s="1" t="s">
        <v>38429</v>
      </c>
      <c r="B38430" s="2" t="str">
        <f>IFERROR(__xludf.DUMMYFUNCTION("GOOGLETRANSLATE(A38430, ""de"", ""en"")"),"niners")</f>
        <v>niners</v>
      </c>
    </row>
    <row r="38431">
      <c r="A38431" s="1" t="s">
        <v>38430</v>
      </c>
      <c r="B38431" s="2" t="str">
        <f>IFERROR(__xludf.DUMMYFUNCTION("GOOGLETRANSLATE(A38431, ""de"", ""en"")"),"pubs")</f>
        <v>pubs</v>
      </c>
    </row>
    <row r="38432">
      <c r="A38432" s="1" t="s">
        <v>38431</v>
      </c>
      <c r="B38432" s="2" t="str">
        <f>IFERROR(__xludf.DUMMYFUNCTION("GOOGLETRANSLATE(A38432, ""de"", ""en"")"),"mus")</f>
        <v>mus</v>
      </c>
    </row>
    <row r="38433">
      <c r="A38433" s="1" t="s">
        <v>38432</v>
      </c>
      <c r="B38433" s="2" t="str">
        <f>IFERROR(__xludf.DUMMYFUNCTION("GOOGLETRANSLATE(A38433, ""de"", ""en"")"),"Comanche")</f>
        <v>Comanche</v>
      </c>
    </row>
    <row r="38434">
      <c r="A38434" s="1" t="s">
        <v>38433</v>
      </c>
      <c r="B38434" s="2" t="str">
        <f>IFERROR(__xludf.DUMMYFUNCTION("GOOGLETRANSLATE(A38434, ""de"", ""en"")"),"more delicate")</f>
        <v>more delicate</v>
      </c>
    </row>
    <row r="38435">
      <c r="A38435" s="1" t="s">
        <v>38434</v>
      </c>
      <c r="B38435" s="2" t="str">
        <f>IFERROR(__xludf.DUMMYFUNCTION("GOOGLETRANSLATE(A38435, ""de"", ""en"")"),"taken away")</f>
        <v>taken away</v>
      </c>
    </row>
    <row r="38436">
      <c r="A38436" s="1" t="s">
        <v>38435</v>
      </c>
      <c r="B38436" s="2" t="str">
        <f>IFERROR(__xludf.DUMMYFUNCTION("GOOGLETRANSLATE(A38436, ""de"", ""en"")"),"vincke")</f>
        <v>vincke</v>
      </c>
    </row>
    <row r="38437">
      <c r="A38437" s="1" t="s">
        <v>38436</v>
      </c>
      <c r="B38437" s="2" t="str">
        <f>IFERROR(__xludf.DUMMYFUNCTION("GOOGLETRANSLATE(A38437, ""de"", ""en"")"),"clusters")</f>
        <v>clusters</v>
      </c>
    </row>
    <row r="38438">
      <c r="A38438" s="1" t="s">
        <v>38437</v>
      </c>
      <c r="B38438" s="2" t="str">
        <f>IFERROR(__xludf.DUMMYFUNCTION("GOOGLETRANSLATE(A38438, ""de"", ""en"")"),"psychotic")</f>
        <v>psychotic</v>
      </c>
    </row>
    <row r="38439">
      <c r="A38439" s="1" t="s">
        <v>38438</v>
      </c>
      <c r="B38439" s="2" t="str">
        <f>IFERROR(__xludf.DUMMYFUNCTION("GOOGLETRANSLATE(A38439, ""de"", ""en"")"),"check out")</f>
        <v>check out</v>
      </c>
    </row>
    <row r="38440">
      <c r="A38440" s="1" t="s">
        <v>38439</v>
      </c>
      <c r="B38440" s="2" t="str">
        <f>IFERROR(__xludf.DUMMYFUNCTION("GOOGLETRANSLATE(A38440, ""de"", ""en"")"),"regenerated")</f>
        <v>regenerated</v>
      </c>
    </row>
    <row r="38441">
      <c r="A38441" s="1" t="s">
        <v>38440</v>
      </c>
      <c r="B38441" s="2" t="str">
        <f>IFERROR(__xludf.DUMMYFUNCTION("GOOGLETRANSLATE(A38441, ""de"", ""en"")"),"diamond ring")</f>
        <v>diamond ring</v>
      </c>
    </row>
    <row r="38442">
      <c r="A38442" s="1" t="s">
        <v>38441</v>
      </c>
      <c r="B38442" s="2" t="str">
        <f>IFERROR(__xludf.DUMMYFUNCTION("GOOGLETRANSLATE(A38442, ""de"", ""en"")"),"ox")</f>
        <v>ox</v>
      </c>
    </row>
    <row r="38443">
      <c r="A38443" s="1" t="s">
        <v>38442</v>
      </c>
      <c r="B38443" s="2" t="str">
        <f>IFERROR(__xludf.DUMMYFUNCTION("GOOGLETRANSLATE(A38443, ""de"", ""en"")"),"more precise")</f>
        <v>more precise</v>
      </c>
    </row>
    <row r="38444">
      <c r="A38444" s="1" t="s">
        <v>38443</v>
      </c>
      <c r="B38444" s="2" t="str">
        <f>IFERROR(__xludf.DUMMYFUNCTION("GOOGLETRANSLATE(A38444, ""de"", ""en"")"),"brant")</f>
        <v>brant</v>
      </c>
    </row>
    <row r="38445">
      <c r="A38445" s="1" t="s">
        <v>38444</v>
      </c>
      <c r="B38445" s="2" t="str">
        <f>IFERROR(__xludf.DUMMYFUNCTION("GOOGLETRANSLATE(A38445, ""de"", ""en"")"),"discharge papers")</f>
        <v>discharge papers</v>
      </c>
    </row>
    <row r="38446">
      <c r="A38446" s="1" t="s">
        <v>38445</v>
      </c>
      <c r="B38446" s="2" t="str">
        <f>IFERROR(__xludf.DUMMYFUNCTION("GOOGLETRANSLATE(A38446, ""de"", ""en"")"),"relocate")</f>
        <v>relocate</v>
      </c>
    </row>
    <row r="38447">
      <c r="A38447" s="1" t="s">
        <v>38446</v>
      </c>
      <c r="B38447" s="2" t="str">
        <f>IFERROR(__xludf.DUMMYFUNCTION("GOOGLETRANSLATE(A38447, ""de"", ""en"")"),"proteus")</f>
        <v>proteus</v>
      </c>
    </row>
    <row r="38448">
      <c r="A38448" s="1" t="s">
        <v>38447</v>
      </c>
      <c r="B38448" s="2" t="str">
        <f>IFERROR(__xludf.DUMMYFUNCTION("GOOGLETRANSLATE(A38448, ""de"", ""en"")"),"deliver")</f>
        <v>deliver</v>
      </c>
    </row>
    <row r="38449">
      <c r="A38449" s="1" t="s">
        <v>38448</v>
      </c>
      <c r="B38449" s="2" t="str">
        <f>IFERROR(__xludf.DUMMYFUNCTION("GOOGLETRANSLATE(A38449, ""de"", ""en"")"),"happened")</f>
        <v>happened</v>
      </c>
    </row>
    <row r="38450">
      <c r="A38450" s="1" t="s">
        <v>38449</v>
      </c>
      <c r="B38450" s="2" t="str">
        <f>IFERROR(__xludf.DUMMYFUNCTION("GOOGLETRANSLATE(A38450, ""de"", ""en"")"),"cosa")</f>
        <v>cosa</v>
      </c>
    </row>
    <row r="38451">
      <c r="A38451" s="1" t="s">
        <v>38450</v>
      </c>
      <c r="B38451" s="2" t="str">
        <f>IFERROR(__xludf.DUMMYFUNCTION("GOOGLETRANSLATE(A38451, ""de"", ""en"")"),"undine")</f>
        <v>undine</v>
      </c>
    </row>
    <row r="38452">
      <c r="A38452" s="1" t="s">
        <v>38451</v>
      </c>
      <c r="B38452" s="2" t="str">
        <f>IFERROR(__xludf.DUMMYFUNCTION("GOOGLETRANSLATE(A38452, ""de"", ""en"")"),"blunt")</f>
        <v>blunt</v>
      </c>
    </row>
    <row r="38453">
      <c r="A38453" s="1" t="s">
        <v>38452</v>
      </c>
      <c r="B38453" s="2" t="str">
        <f>IFERROR(__xludf.DUMMYFUNCTION("GOOGLETRANSLATE(A38453, ""de"", ""en"")"),"strain")</f>
        <v>strain</v>
      </c>
    </row>
    <row r="38454">
      <c r="A38454" s="1" t="s">
        <v>38453</v>
      </c>
      <c r="B38454" s="2" t="str">
        <f>IFERROR(__xludf.DUMMYFUNCTION("GOOGLETRANSLATE(A38454, ""de"", ""en"")"),"witch")</f>
        <v>witch</v>
      </c>
    </row>
    <row r="38455">
      <c r="A38455" s="1" t="s">
        <v>38454</v>
      </c>
      <c r="B38455" s="2" t="str">
        <f>IFERROR(__xludf.DUMMYFUNCTION("GOOGLETRANSLATE(A38455, ""de"", ""en"")"),"stryfe")</f>
        <v>stryfe</v>
      </c>
    </row>
    <row r="38456">
      <c r="A38456" s="1" t="s">
        <v>38455</v>
      </c>
      <c r="B38456" s="2" t="str">
        <f>IFERROR(__xludf.DUMMYFUNCTION("GOOGLETRANSLATE(A38456, ""de"", ""en"")"),"stirred")</f>
        <v>stirred</v>
      </c>
    </row>
    <row r="38457">
      <c r="A38457" s="1" t="s">
        <v>38456</v>
      </c>
      <c r="B38457" s="2" t="str">
        <f>IFERROR(__xludf.DUMMYFUNCTION("GOOGLETRANSLATE(A38457, ""de"", ""en"")"),"least")</f>
        <v>least</v>
      </c>
    </row>
    <row r="38458">
      <c r="A38458" s="1" t="s">
        <v>38457</v>
      </c>
      <c r="B38458" s="2" t="str">
        <f>IFERROR(__xludf.DUMMYFUNCTION("GOOGLETRANSLATE(A38458, ""de"", ""en"")"),"pharmaceuticals")</f>
        <v>pharmaceuticals</v>
      </c>
    </row>
    <row r="38459">
      <c r="A38459" s="1" t="s">
        <v>38458</v>
      </c>
      <c r="B38459" s="2" t="str">
        <f>IFERROR(__xludf.DUMMYFUNCTION("GOOGLETRANSLATE(A38459, ""de"", ""en"")"),"pulsating")</f>
        <v>pulsating</v>
      </c>
    </row>
    <row r="38460">
      <c r="A38460" s="1" t="s">
        <v>38459</v>
      </c>
      <c r="B38460" s="2" t="str">
        <f>IFERROR(__xludf.DUMMYFUNCTION("GOOGLETRANSLATE(A38460, ""de"", ""en"")"),"landmine")</f>
        <v>landmine</v>
      </c>
    </row>
    <row r="38461">
      <c r="A38461" s="1" t="s">
        <v>38460</v>
      </c>
      <c r="B38461" s="2" t="str">
        <f>IFERROR(__xludf.DUMMYFUNCTION("GOOGLETRANSLATE(A38461, ""de"", ""en"")"),"brought about")</f>
        <v>brought about</v>
      </c>
    </row>
    <row r="38462">
      <c r="A38462" s="1" t="s">
        <v>38461</v>
      </c>
      <c r="B38462" s="2" t="str">
        <f>IFERROR(__xludf.DUMMYFUNCTION("GOOGLETRANSLATE(A38462, ""de"", ""en"")"),"car thief")</f>
        <v>car thief</v>
      </c>
    </row>
    <row r="38463">
      <c r="A38463" s="1" t="s">
        <v>38462</v>
      </c>
      <c r="B38463" s="2" t="str">
        <f>IFERROR(__xludf.DUMMYFUNCTION("GOOGLETRANSLATE(A38463, ""de"", ""en"")"),"listed")</f>
        <v>listed</v>
      </c>
    </row>
    <row r="38464">
      <c r="A38464" s="1" t="s">
        <v>38463</v>
      </c>
      <c r="B38464" s="2" t="str">
        <f>IFERROR(__xludf.DUMMYFUNCTION("GOOGLETRANSLATE(A38464, ""de"", ""en"")"),"pulled down")</f>
        <v>pulled down</v>
      </c>
    </row>
    <row r="38465">
      <c r="A38465" s="1" t="s">
        <v>38464</v>
      </c>
      <c r="B38465" s="2" t="str">
        <f>IFERROR(__xludf.DUMMYFUNCTION("GOOGLETRANSLATE(A38465, ""de"", ""en"")"),"sadistic")</f>
        <v>sadistic</v>
      </c>
    </row>
    <row r="38466">
      <c r="A38466" s="1" t="s">
        <v>38465</v>
      </c>
      <c r="B38466" s="2" t="str">
        <f>IFERROR(__xludf.DUMMYFUNCTION("GOOGLETRANSLATE(A38466, ""de"", ""en"")"),"superfluous")</f>
        <v>superfluous</v>
      </c>
    </row>
    <row r="38467">
      <c r="A38467" s="1" t="s">
        <v>38466</v>
      </c>
      <c r="B38467" s="2" t="str">
        <f>IFERROR(__xludf.DUMMYFUNCTION("GOOGLETRANSLATE(A38467, ""de"", ""en"")"),"looked")</f>
        <v>looked</v>
      </c>
    </row>
    <row r="38468">
      <c r="A38468" s="1" t="s">
        <v>38467</v>
      </c>
      <c r="B38468" s="2" t="str">
        <f>IFERROR(__xludf.DUMMYFUNCTION("GOOGLETRANSLATE(A38468, ""de"", ""en"")"),"trek")</f>
        <v>trek</v>
      </c>
    </row>
    <row r="38469">
      <c r="A38469" s="1" t="s">
        <v>38468</v>
      </c>
      <c r="B38469" s="2" t="str">
        <f>IFERROR(__xludf.DUMMYFUNCTION("GOOGLETRANSLATE(A38469, ""de"", ""en"")"),"superhuman")</f>
        <v>superhuman</v>
      </c>
    </row>
    <row r="38470">
      <c r="A38470" s="1" t="s">
        <v>38469</v>
      </c>
      <c r="B38470" s="2" t="str">
        <f>IFERROR(__xludf.DUMMYFUNCTION("GOOGLETRANSLATE(A38470, ""de"", ""en"")"),"1o")</f>
        <v>1o</v>
      </c>
    </row>
    <row r="38471">
      <c r="A38471" s="1" t="s">
        <v>38470</v>
      </c>
      <c r="B38471" s="2" t="str">
        <f>IFERROR(__xludf.DUMMYFUNCTION("GOOGLETRANSLATE(A38471, ""de"", ""en"")"),"evey")</f>
        <v>evey</v>
      </c>
    </row>
    <row r="38472">
      <c r="A38472" s="1" t="s">
        <v>38471</v>
      </c>
      <c r="B38472" s="2" t="str">
        <f>IFERROR(__xludf.DUMMYFUNCTION("GOOGLETRANSLATE(A38472, ""de"", ""en"")"),"voigt")</f>
        <v>voigt</v>
      </c>
    </row>
    <row r="38473">
      <c r="A38473" s="1" t="s">
        <v>38472</v>
      </c>
      <c r="B38473" s="2" t="str">
        <f>IFERROR(__xludf.DUMMYFUNCTION("GOOGLETRANSLATE(A38473, ""de"", ""en"")"),"inquiries")</f>
        <v>inquiries</v>
      </c>
    </row>
    <row r="38474">
      <c r="A38474" s="1" t="s">
        <v>38473</v>
      </c>
      <c r="B38474" s="2" t="str">
        <f>IFERROR(__xludf.DUMMYFUNCTION("GOOGLETRANSLATE(A38474, ""de"", ""en"")"),"ela")</f>
        <v>ela</v>
      </c>
    </row>
    <row r="38475">
      <c r="A38475" s="1" t="s">
        <v>38474</v>
      </c>
      <c r="B38475" s="2" t="str">
        <f>IFERROR(__xludf.DUMMYFUNCTION("GOOGLETRANSLATE(A38475, ""de"", ""en"")"),"mouthwash")</f>
        <v>mouthwash</v>
      </c>
    </row>
    <row r="38476">
      <c r="A38476" s="1" t="s">
        <v>38475</v>
      </c>
      <c r="B38476" s="2" t="str">
        <f>IFERROR(__xludf.DUMMYFUNCTION("GOOGLETRANSLATE(A38476, ""de"", ""en"")"),"scrap cart")</f>
        <v>scrap cart</v>
      </c>
    </row>
    <row r="38477">
      <c r="A38477" s="1" t="s">
        <v>38476</v>
      </c>
      <c r="B38477" s="2" t="str">
        <f>IFERROR(__xludf.DUMMYFUNCTION("GOOGLETRANSLATE(A38477, ""de"", ""en"")"),"Elizabeth's")</f>
        <v>Elizabeth's</v>
      </c>
    </row>
    <row r="38478">
      <c r="A38478" s="1" t="s">
        <v>38477</v>
      </c>
      <c r="B38478" s="2" t="str">
        <f>IFERROR(__xludf.DUMMYFUNCTION("GOOGLETRANSLATE(A38478, ""de"", ""en"")"),"learner")</f>
        <v>learner</v>
      </c>
    </row>
    <row r="38479">
      <c r="A38479" s="1" t="s">
        <v>38478</v>
      </c>
      <c r="B38479" s="2" t="str">
        <f>IFERROR(__xludf.DUMMYFUNCTION("GOOGLETRANSLATE(A38479, ""de"", ""en"")"),"zuko")</f>
        <v>zuko</v>
      </c>
    </row>
    <row r="38480">
      <c r="A38480" s="1" t="s">
        <v>38479</v>
      </c>
      <c r="B38480" s="2" t="str">
        <f>IFERROR(__xludf.DUMMYFUNCTION("GOOGLETRANSLATE(A38480, ""de"", ""en"")"),"christelle")</f>
        <v>christelle</v>
      </c>
    </row>
    <row r="38481">
      <c r="A38481" s="1" t="s">
        <v>38480</v>
      </c>
      <c r="B38481" s="2" t="str">
        <f>IFERROR(__xludf.DUMMYFUNCTION("GOOGLETRANSLATE(A38481, ""de"", ""en"")"),"rage")</f>
        <v>rage</v>
      </c>
    </row>
    <row r="38482">
      <c r="A38482" s="1" t="s">
        <v>38481</v>
      </c>
      <c r="B38482" s="2" t="str">
        <f>IFERROR(__xludf.DUMMYFUNCTION("GOOGLETRANSLATE(A38482, ""de"", ""en"")"),"supposed")</f>
        <v>supposed</v>
      </c>
    </row>
    <row r="38483">
      <c r="A38483" s="1" t="s">
        <v>38482</v>
      </c>
      <c r="B38483" s="2" t="str">
        <f>IFERROR(__xludf.DUMMYFUNCTION("GOOGLETRANSLATE(A38483, ""de"", ""en"")"),"rieke")</f>
        <v>rieke</v>
      </c>
    </row>
    <row r="38484">
      <c r="A38484" s="1" t="s">
        <v>38483</v>
      </c>
      <c r="B38484" s="2" t="str">
        <f>IFERROR(__xludf.DUMMYFUNCTION("GOOGLETRANSLATE(A38484, ""de"", ""en"")"),"lightning rod")</f>
        <v>lightning rod</v>
      </c>
    </row>
    <row r="38485">
      <c r="A38485" s="1" t="s">
        <v>38484</v>
      </c>
      <c r="B38485" s="2" t="str">
        <f>IFERROR(__xludf.DUMMYFUNCTION("GOOGLETRANSLATE(A38485, ""de"", ""en"")"),"buggy")</f>
        <v>buggy</v>
      </c>
    </row>
    <row r="38486">
      <c r="A38486" s="1" t="s">
        <v>38485</v>
      </c>
      <c r="B38486" s="2" t="str">
        <f>IFERROR(__xludf.DUMMYFUNCTION("GOOGLETRANSLATE(A38486, ""de"", ""en"")"),"cooked")</f>
        <v>cooked</v>
      </c>
    </row>
    <row r="38487">
      <c r="A38487" s="1" t="s">
        <v>38486</v>
      </c>
      <c r="B38487" s="2" t="str">
        <f>IFERROR(__xludf.DUMMYFUNCTION("GOOGLETRANSLATE(A38487, ""de"", ""en"")"),"hales")</f>
        <v>hales</v>
      </c>
    </row>
    <row r="38488">
      <c r="A38488" s="1" t="s">
        <v>38487</v>
      </c>
      <c r="B38488" s="2" t="str">
        <f>IFERROR(__xludf.DUMMYFUNCTION("GOOGLETRANSLATE(A38488, ""de"", ""en"")"),"favorite flowers")</f>
        <v>favorite flowers</v>
      </c>
    </row>
    <row r="38489">
      <c r="A38489" s="1" t="s">
        <v>38488</v>
      </c>
      <c r="B38489" s="2" t="str">
        <f>IFERROR(__xludf.DUMMYFUNCTION("GOOGLETRANSLATE(A38489, ""de"", ""en"")"),"Apollonia")</f>
        <v>Apollonia</v>
      </c>
    </row>
    <row r="38490">
      <c r="A38490" s="1" t="s">
        <v>38489</v>
      </c>
      <c r="B38490" s="2" t="str">
        <f>IFERROR(__xludf.DUMMYFUNCTION("GOOGLETRANSLATE(A38490, ""de"", ""en"")"),"genetic")</f>
        <v>genetic</v>
      </c>
    </row>
    <row r="38491">
      <c r="A38491" s="1" t="s">
        <v>38490</v>
      </c>
      <c r="B38491" s="2" t="str">
        <f>IFERROR(__xludf.DUMMYFUNCTION("GOOGLETRANSLATE(A38491, ""de"", ""en"")"),"pretentious")</f>
        <v>pretentious</v>
      </c>
    </row>
    <row r="38492">
      <c r="A38492" s="1" t="s">
        <v>38491</v>
      </c>
      <c r="B38492" s="2" t="str">
        <f>IFERROR(__xludf.DUMMYFUNCTION("GOOGLETRANSLATE(A38492, ""de"", ""en"")"),"became clear")</f>
        <v>became clear</v>
      </c>
    </row>
    <row r="38493">
      <c r="A38493" s="1" t="s">
        <v>38492</v>
      </c>
      <c r="B38493" s="2" t="str">
        <f>IFERROR(__xludf.DUMMYFUNCTION("GOOGLETRANSLATE(A38493, ""de"", ""en"")"),"regretted")</f>
        <v>regretted</v>
      </c>
    </row>
    <row r="38494">
      <c r="A38494" s="1" t="s">
        <v>38493</v>
      </c>
      <c r="B38494" s="2" t="str">
        <f>IFERROR(__xludf.DUMMYFUNCTION("GOOGLETRANSLATE(A38494, ""de"", ""en"")"),"in short")</f>
        <v>in short</v>
      </c>
    </row>
    <row r="38495">
      <c r="A38495" s="1" t="s">
        <v>38494</v>
      </c>
      <c r="B38495" s="2" t="str">
        <f>IFERROR(__xludf.DUMMYFUNCTION("GOOGLETRANSLATE(A38495, ""de"", ""en"")"),"accelerated")</f>
        <v>accelerated</v>
      </c>
    </row>
    <row r="38496">
      <c r="A38496" s="1" t="s">
        <v>38495</v>
      </c>
      <c r="B38496" s="2" t="str">
        <f>IFERROR(__xludf.DUMMYFUNCTION("GOOGLETRANSLATE(A38496, ""de"", ""en"")"),"water tank")</f>
        <v>water tank</v>
      </c>
    </row>
    <row r="38497">
      <c r="A38497" s="1" t="s">
        <v>38496</v>
      </c>
      <c r="B38497" s="2" t="str">
        <f>IFERROR(__xludf.DUMMYFUNCTION("GOOGLETRANSLATE(A38497, ""de"", ""en"")"),"corona")</f>
        <v>corona</v>
      </c>
    </row>
    <row r="38498">
      <c r="A38498" s="1" t="s">
        <v>38497</v>
      </c>
      <c r="B38498" s="2" t="str">
        <f>IFERROR(__xludf.DUMMYFUNCTION("GOOGLETRANSLATE(A38498, ""de"", ""en"")"),"surprising")</f>
        <v>surprising</v>
      </c>
    </row>
    <row r="38499">
      <c r="A38499" s="1" t="s">
        <v>38498</v>
      </c>
      <c r="B38499" s="2" t="str">
        <f>IFERROR(__xludf.DUMMYFUNCTION("GOOGLETRANSLATE(A38499, ""de"", ""en"")"),"property")</f>
        <v>property</v>
      </c>
    </row>
    <row r="38500">
      <c r="A38500" s="1" t="s">
        <v>38499</v>
      </c>
      <c r="B38500" s="2" t="str">
        <f>IFERROR(__xludf.DUMMYFUNCTION("GOOGLETRANSLATE(A38500, ""de"", ""en"")"),"craven")</f>
        <v>craven</v>
      </c>
    </row>
    <row r="38501">
      <c r="A38501" s="1" t="s">
        <v>38500</v>
      </c>
      <c r="B38501" s="2" t="str">
        <f>IFERROR(__xludf.DUMMYFUNCTION("GOOGLETRANSLATE(A38501, ""de"", ""en"")"),"cook")</f>
        <v>cook</v>
      </c>
    </row>
    <row r="38502">
      <c r="A38502" s="1" t="s">
        <v>38501</v>
      </c>
      <c r="B38502" s="2" t="str">
        <f>IFERROR(__xludf.DUMMYFUNCTION("GOOGLETRANSLATE(A38502, ""de"", ""en"")"),"dynamics")</f>
        <v>dynamics</v>
      </c>
    </row>
    <row r="38503">
      <c r="A38503" s="1" t="s">
        <v>38502</v>
      </c>
      <c r="B38503" s="2" t="str">
        <f>IFERROR(__xludf.DUMMYFUNCTION("GOOGLETRANSLATE(A38503, ""de"", ""en"")"),"edges")</f>
        <v>edges</v>
      </c>
    </row>
    <row r="38504">
      <c r="A38504" s="1" t="s">
        <v>38503</v>
      </c>
      <c r="B38504" s="2" t="str">
        <f>IFERROR(__xludf.DUMMYFUNCTION("GOOGLETRANSLATE(A38504, ""de"", ""en"")"),"little sister")</f>
        <v>little sister</v>
      </c>
    </row>
    <row r="38505">
      <c r="A38505" s="1" t="s">
        <v>38504</v>
      </c>
      <c r="B38505" s="2" t="str">
        <f>IFERROR(__xludf.DUMMYFUNCTION("GOOGLETRANSLATE(A38505, ""de"", ""en"")"),"Oh.")</f>
        <v>Oh.</v>
      </c>
    </row>
    <row r="38506">
      <c r="A38506" s="1" t="s">
        <v>38505</v>
      </c>
      <c r="B38506" s="2" t="str">
        <f>IFERROR(__xludf.DUMMYFUNCTION("GOOGLETRANSLATE(A38506, ""de"", ""en"")"),"part")</f>
        <v>part</v>
      </c>
    </row>
    <row r="38507">
      <c r="A38507" s="1" t="s">
        <v>38506</v>
      </c>
      <c r="B38507" s="2" t="str">
        <f>IFERROR(__xludf.DUMMYFUNCTION("GOOGLETRANSLATE(A38507, ""de"", ""en"")"),"dreamy")</f>
        <v>dreamy</v>
      </c>
    </row>
    <row r="38508">
      <c r="A38508" s="1" t="s">
        <v>38507</v>
      </c>
      <c r="B38508" s="2" t="str">
        <f>IFERROR(__xludf.DUMMYFUNCTION("GOOGLETRANSLATE(A38508, ""de"", ""en"")"),"josette")</f>
        <v>josette</v>
      </c>
    </row>
    <row r="38509">
      <c r="A38509" s="1" t="s">
        <v>38508</v>
      </c>
      <c r="B38509" s="2" t="str">
        <f>IFERROR(__xludf.DUMMYFUNCTION("GOOGLETRANSLATE(A38509, ""de"", ""en"")"),"retrieve")</f>
        <v>retrieve</v>
      </c>
    </row>
    <row r="38510">
      <c r="A38510" s="1" t="s">
        <v>38509</v>
      </c>
      <c r="B38510" s="2" t="str">
        <f>IFERROR(__xludf.DUMMYFUNCTION("GOOGLETRANSLATE(A38510, ""de"", ""en"")"),"heteros")</f>
        <v>heteros</v>
      </c>
    </row>
    <row r="38511">
      <c r="A38511" s="1" t="s">
        <v>38510</v>
      </c>
      <c r="B38511" s="2" t="str">
        <f>IFERROR(__xludf.DUMMYFUNCTION("GOOGLETRANSLATE(A38511, ""de"", ""en"")"),"isi")</f>
        <v>isi</v>
      </c>
    </row>
    <row r="38512">
      <c r="A38512" s="1" t="s">
        <v>38511</v>
      </c>
      <c r="B38512" s="2" t="str">
        <f>IFERROR(__xludf.DUMMYFUNCTION("GOOGLETRANSLATE(A38512, ""de"", ""en"")"),"denied")</f>
        <v>denied</v>
      </c>
    </row>
    <row r="38513">
      <c r="A38513" s="1" t="s">
        <v>38512</v>
      </c>
      <c r="B38513" s="2" t="str">
        <f>IFERROR(__xludf.DUMMYFUNCTION("GOOGLETRANSLATE(A38513, ""de"", ""en"")"),"agree")</f>
        <v>agree</v>
      </c>
    </row>
    <row r="38514">
      <c r="A38514" s="1" t="s">
        <v>38513</v>
      </c>
      <c r="B38514" s="2" t="str">
        <f>IFERROR(__xludf.DUMMYFUNCTION("GOOGLETRANSLATE(A38514, ""de"", ""en"")"),"establishment")</f>
        <v>establishment</v>
      </c>
    </row>
    <row r="38515">
      <c r="A38515" s="1" t="s">
        <v>38514</v>
      </c>
      <c r="B38515" s="2" t="str">
        <f>IFERROR(__xludf.DUMMYFUNCTION("GOOGLETRANSLATE(A38515, ""de"", ""en"")"),"divided")</f>
        <v>divided</v>
      </c>
    </row>
    <row r="38516">
      <c r="A38516" s="1" t="s">
        <v>38515</v>
      </c>
      <c r="B38516" s="2" t="str">
        <f>IFERROR(__xludf.DUMMYFUNCTION("GOOGLETRANSLATE(A38516, ""de"", ""en"")"),"fucked")</f>
        <v>fucked</v>
      </c>
    </row>
    <row r="38517">
      <c r="A38517" s="1" t="s">
        <v>38516</v>
      </c>
      <c r="B38517" s="2" t="str">
        <f>IFERROR(__xludf.DUMMYFUNCTION("GOOGLETRANSLATE(A38517, ""de"", ""en"")"),"water tower")</f>
        <v>water tower</v>
      </c>
    </row>
    <row r="38518">
      <c r="A38518" s="1" t="s">
        <v>38517</v>
      </c>
      <c r="B38518" s="2" t="str">
        <f>IFERROR(__xludf.DUMMYFUNCTION("GOOGLETRANSLATE(A38518, ""de"", ""en"")"),"grazes")</f>
        <v>grazes</v>
      </c>
    </row>
    <row r="38519">
      <c r="A38519" s="1" t="s">
        <v>38518</v>
      </c>
      <c r="B38519" s="2" t="str">
        <f>IFERROR(__xludf.DUMMYFUNCTION("GOOGLETRANSLATE(A38519, ""de"", ""en"")"),"fell asleep")</f>
        <v>fell asleep</v>
      </c>
    </row>
    <row r="38520">
      <c r="A38520" s="1" t="s">
        <v>38519</v>
      </c>
      <c r="B38520" s="2" t="str">
        <f>IFERROR(__xludf.DUMMYFUNCTION("GOOGLETRANSLATE(A38520, ""de"", ""en"")"),"kenzi")</f>
        <v>kenzi</v>
      </c>
    </row>
    <row r="38521">
      <c r="A38521" s="1" t="s">
        <v>38520</v>
      </c>
      <c r="B38521" s="2" t="str">
        <f>IFERROR(__xludf.DUMMYFUNCTION("GOOGLETRANSLATE(A38521, ""de"", ""en"")"),"paid attention")</f>
        <v>paid attention</v>
      </c>
    </row>
    <row r="38522">
      <c r="A38522" s="1" t="s">
        <v>38521</v>
      </c>
      <c r="B38522" s="2" t="str">
        <f>IFERROR(__xludf.DUMMYFUNCTION("GOOGLETRANSLATE(A38522, ""de"", ""en"")"),"apo")</f>
        <v>apo</v>
      </c>
    </row>
    <row r="38523">
      <c r="A38523" s="1" t="s">
        <v>38522</v>
      </c>
      <c r="B38523" s="2" t="str">
        <f>IFERROR(__xludf.DUMMYFUNCTION("GOOGLETRANSLATE(A38523, ""de"", ""en"")"),"latnok")</f>
        <v>latnok</v>
      </c>
    </row>
    <row r="38524">
      <c r="A38524" s="1" t="s">
        <v>38523</v>
      </c>
      <c r="B38524" s="2" t="str">
        <f>IFERROR(__xludf.DUMMYFUNCTION("GOOGLETRANSLATE(A38524, ""de"", ""en"")"),"fly over")</f>
        <v>fly over</v>
      </c>
    </row>
    <row r="38525">
      <c r="A38525" s="1" t="s">
        <v>38524</v>
      </c>
      <c r="B38525" s="2" t="str">
        <f>IFERROR(__xludf.DUMMYFUNCTION("GOOGLETRANSLATE(A38525, ""de"", ""en"")"),"pharaoh")</f>
        <v>pharaoh</v>
      </c>
    </row>
    <row r="38526">
      <c r="A38526" s="1" t="s">
        <v>38525</v>
      </c>
      <c r="B38526" s="2" t="str">
        <f>IFERROR(__xludf.DUMMYFUNCTION("GOOGLETRANSLATE(A38526, ""de"", ""en"")"),"buffet")</f>
        <v>buffet</v>
      </c>
    </row>
    <row r="38527">
      <c r="A38527" s="1" t="s">
        <v>38526</v>
      </c>
      <c r="B38527" s="2" t="str">
        <f>IFERROR(__xludf.DUMMYFUNCTION("GOOGLETRANSLATE(A38527, ""de"", ""en"")"),"trophies")</f>
        <v>trophies</v>
      </c>
    </row>
    <row r="38528">
      <c r="A38528" s="1" t="s">
        <v>38527</v>
      </c>
      <c r="B38528" s="2" t="str">
        <f>IFERROR(__xludf.DUMMYFUNCTION("GOOGLETRANSLATE(A38528, ""de"", ""en"")"),"kennel")</f>
        <v>kennel</v>
      </c>
    </row>
    <row r="38529">
      <c r="A38529" s="1" t="s">
        <v>38528</v>
      </c>
      <c r="B38529" s="2" t="str">
        <f>IFERROR(__xludf.DUMMYFUNCTION("GOOGLETRANSLATE(A38529, ""de"", ""en"")"),"financial")</f>
        <v>financial</v>
      </c>
    </row>
    <row r="38530">
      <c r="A38530" s="1" t="s">
        <v>38529</v>
      </c>
      <c r="B38530" s="2" t="str">
        <f>IFERROR(__xludf.DUMMYFUNCTION("GOOGLETRANSLATE(A38530, ""de"", ""en"")"),"on record")</f>
        <v>on record</v>
      </c>
    </row>
    <row r="38531">
      <c r="A38531" s="1" t="s">
        <v>38530</v>
      </c>
      <c r="B38531" s="2" t="str">
        <f>IFERROR(__xludf.DUMMYFUNCTION("GOOGLETRANSLATE(A38531, ""de"", ""en"")"),"psychological")</f>
        <v>psychological</v>
      </c>
    </row>
    <row r="38532">
      <c r="A38532" s="1" t="s">
        <v>38531</v>
      </c>
      <c r="B38532" s="2" t="str">
        <f>IFERROR(__xludf.DUMMYFUNCTION("GOOGLETRANSLATE(A38532, ""de"", ""en"")"),"swing")</f>
        <v>swing</v>
      </c>
    </row>
    <row r="38533">
      <c r="A38533" s="1" t="s">
        <v>38532</v>
      </c>
      <c r="B38533" s="2" t="str">
        <f>IFERROR(__xludf.DUMMYFUNCTION("GOOGLETRANSLATE(A38533, ""de"", ""en"")"),"four")</f>
        <v>four</v>
      </c>
    </row>
    <row r="38534">
      <c r="A38534" s="1" t="s">
        <v>38533</v>
      </c>
      <c r="B38534" s="2" t="str">
        <f>IFERROR(__xludf.DUMMYFUNCTION("GOOGLETRANSLATE(A38534, ""de"", ""en"")"),"sequence")</f>
        <v>sequence</v>
      </c>
    </row>
    <row r="38535">
      <c r="A38535" s="1" t="s">
        <v>38534</v>
      </c>
      <c r="B38535" s="2" t="str">
        <f>IFERROR(__xludf.DUMMYFUNCTION("GOOGLETRANSLATE(A38535, ""de"", ""en"")"),"rino")</f>
        <v>rino</v>
      </c>
    </row>
    <row r="38536">
      <c r="A38536" s="1" t="s">
        <v>38535</v>
      </c>
      <c r="B38536" s="2" t="str">
        <f>IFERROR(__xludf.DUMMYFUNCTION("GOOGLETRANSLATE(A38536, ""de"", ""en"")"),"damn")</f>
        <v>damn</v>
      </c>
    </row>
    <row r="38537">
      <c r="A38537" s="1" t="s">
        <v>38536</v>
      </c>
      <c r="B38537" s="2" t="str">
        <f>IFERROR(__xludf.DUMMYFUNCTION("GOOGLETRANSLATE(A38537, ""de"", ""en"")"),"season")</f>
        <v>season</v>
      </c>
    </row>
    <row r="38538">
      <c r="A38538" s="1" t="s">
        <v>38537</v>
      </c>
      <c r="B38538" s="2" t="str">
        <f>IFERROR(__xludf.DUMMYFUNCTION("GOOGLETRANSLATE(A38538, ""de"", ""en"")"),"gave")</f>
        <v>gave</v>
      </c>
    </row>
    <row r="38539">
      <c r="A38539" s="1" t="s">
        <v>38538</v>
      </c>
      <c r="B38539" s="2" t="str">
        <f>IFERROR(__xludf.DUMMYFUNCTION("GOOGLETRANSLATE(A38539, ""de"", ""en"")"),"cornbread")</f>
        <v>cornbread</v>
      </c>
    </row>
    <row r="38540">
      <c r="A38540" s="1" t="s">
        <v>38539</v>
      </c>
      <c r="B38540" s="2" t="str">
        <f>IFERROR(__xludf.DUMMYFUNCTION("GOOGLETRANSLATE(A38540, ""de"", ""en"")"),"legislation")</f>
        <v>legislation</v>
      </c>
    </row>
    <row r="38541">
      <c r="A38541" s="1" t="s">
        <v>38540</v>
      </c>
      <c r="B38541" s="2" t="str">
        <f>IFERROR(__xludf.DUMMYFUNCTION("GOOGLETRANSLATE(A38541, ""de"", ""en"")"),"Roxie")</f>
        <v>Roxie</v>
      </c>
    </row>
    <row r="38542">
      <c r="A38542" s="1" t="s">
        <v>38541</v>
      </c>
      <c r="B38542" s="2" t="str">
        <f>IFERROR(__xludf.DUMMYFUNCTION("GOOGLETRANSLATE(A38542, ""de"", ""en"")"),"bowers")</f>
        <v>bowers</v>
      </c>
    </row>
    <row r="38543">
      <c r="A38543" s="1" t="s">
        <v>38542</v>
      </c>
      <c r="B38543" s="2" t="str">
        <f>IFERROR(__xludf.DUMMYFUNCTION("GOOGLETRANSLATE(A38543, ""de"", ""en"")"),"stands")</f>
        <v>stands</v>
      </c>
    </row>
    <row r="38544">
      <c r="A38544" s="1" t="s">
        <v>38543</v>
      </c>
      <c r="B38544" s="2" t="str">
        <f>IFERROR(__xludf.DUMMYFUNCTION("GOOGLETRANSLATE(A38544, ""de"", ""en"")"),"creel")</f>
        <v>creel</v>
      </c>
    </row>
    <row r="38545">
      <c r="A38545" s="1" t="s">
        <v>38544</v>
      </c>
      <c r="B38545" s="2" t="str">
        <f>IFERROR(__xludf.DUMMYFUNCTION("GOOGLETRANSLATE(A38545, ""de"", ""en"")"),"phils")</f>
        <v>phils</v>
      </c>
    </row>
    <row r="38546">
      <c r="A38546" s="1" t="s">
        <v>38545</v>
      </c>
      <c r="B38546" s="2" t="str">
        <f>IFERROR(__xludf.DUMMYFUNCTION("GOOGLETRANSLATE(A38546, ""de"", ""en"")"),"sneak around")</f>
        <v>sneak around</v>
      </c>
    </row>
    <row r="38547">
      <c r="A38547" s="1" t="s">
        <v>38546</v>
      </c>
      <c r="B38547" s="2" t="str">
        <f>IFERROR(__xludf.DUMMYFUNCTION("GOOGLETRANSLATE(A38547, ""de"", ""en"")"),"acquit")</f>
        <v>acquit</v>
      </c>
    </row>
    <row r="38548">
      <c r="A38548" s="1" t="s">
        <v>38547</v>
      </c>
      <c r="B38548" s="2" t="str">
        <f>IFERROR(__xludf.DUMMYFUNCTION("GOOGLETRANSLATE(A38548, ""de"", ""en"")"),"Goodnight")</f>
        <v>Goodnight</v>
      </c>
    </row>
    <row r="38549">
      <c r="A38549" s="1" t="s">
        <v>38548</v>
      </c>
      <c r="B38549" s="2" t="str">
        <f>IFERROR(__xludf.DUMMYFUNCTION("GOOGLETRANSLATE(A38549, ""de"", ""en"")"),"withdraw")</f>
        <v>withdraw</v>
      </c>
    </row>
    <row r="38550">
      <c r="A38550" s="1" t="s">
        <v>38549</v>
      </c>
      <c r="B38550" s="2" t="str">
        <f>IFERROR(__xludf.DUMMYFUNCTION("GOOGLETRANSLATE(A38550, ""de"", ""en"")"),"main attraction")</f>
        <v>main attraction</v>
      </c>
    </row>
    <row r="38551">
      <c r="A38551" s="1" t="s">
        <v>38550</v>
      </c>
      <c r="B38551" s="2" t="str">
        <f>IFERROR(__xludf.DUMMYFUNCTION("GOOGLETRANSLATE(A38551, ""de"", ""en"")"),"walnut")</f>
        <v>walnut</v>
      </c>
    </row>
    <row r="38552">
      <c r="A38552" s="1" t="s">
        <v>38551</v>
      </c>
      <c r="B38552" s="2" t="str">
        <f>IFERROR(__xludf.DUMMYFUNCTION("GOOGLETRANSLATE(A38552, ""de"", ""en"")"),"seduced")</f>
        <v>seduced</v>
      </c>
    </row>
    <row r="38553">
      <c r="A38553" s="1" t="s">
        <v>38552</v>
      </c>
      <c r="B38553" s="2" t="str">
        <f>IFERROR(__xludf.DUMMYFUNCTION("GOOGLETRANSLATE(A38553, ""de"", ""en"")"),"children's book")</f>
        <v>children's book</v>
      </c>
    </row>
    <row r="38554">
      <c r="A38554" s="1" t="s">
        <v>38553</v>
      </c>
      <c r="B38554" s="2" t="str">
        <f>IFERROR(__xludf.DUMMYFUNCTION("GOOGLETRANSLATE(A38554, ""de"", ""en"")"),"booty")</f>
        <v>booty</v>
      </c>
    </row>
    <row r="38555">
      <c r="A38555" s="1" t="s">
        <v>38554</v>
      </c>
      <c r="B38555" s="2" t="str">
        <f>IFERROR(__xludf.DUMMYFUNCTION("GOOGLETRANSLATE(A38555, ""de"", ""en"")"),"timestamp")</f>
        <v>timestamp</v>
      </c>
    </row>
    <row r="38556">
      <c r="A38556" s="1" t="s">
        <v>38555</v>
      </c>
      <c r="B38556" s="2" t="str">
        <f>IFERROR(__xludf.DUMMYFUNCTION("GOOGLETRANSLATE(A38556, ""de"", ""en"")"),"younger")</f>
        <v>younger</v>
      </c>
    </row>
    <row r="38557">
      <c r="A38557" s="1" t="s">
        <v>38556</v>
      </c>
      <c r="B38557" s="2" t="str">
        <f>IFERROR(__xludf.DUMMYFUNCTION("GOOGLETRANSLATE(A38557, ""de"", ""en"")"),"confidential")</f>
        <v>confidential</v>
      </c>
    </row>
    <row r="38558">
      <c r="A38558" s="1" t="s">
        <v>38557</v>
      </c>
      <c r="B38558" s="2" t="str">
        <f>IFERROR(__xludf.DUMMYFUNCTION("GOOGLETRANSLATE(A38558, ""de"", ""en"")"),"required")</f>
        <v>required</v>
      </c>
    </row>
    <row r="38559">
      <c r="A38559" s="1" t="s">
        <v>38558</v>
      </c>
      <c r="B38559" s="2" t="str">
        <f>IFERROR(__xludf.DUMMYFUNCTION("GOOGLETRANSLATE(A38559, ""de"", ""en"")"),"appeal")</f>
        <v>appeal</v>
      </c>
    </row>
    <row r="38560">
      <c r="A38560" s="1" t="s">
        <v>38559</v>
      </c>
      <c r="B38560" s="2" t="str">
        <f>IFERROR(__xludf.DUMMYFUNCTION("GOOGLETRANSLATE(A38560, ""de"", ""en"")"),"operate")</f>
        <v>operate</v>
      </c>
    </row>
    <row r="38561">
      <c r="A38561" s="1" t="s">
        <v>38560</v>
      </c>
      <c r="B38561" s="2" t="str">
        <f>IFERROR(__xludf.DUMMYFUNCTION("GOOGLETRANSLATE(A38561, ""de"", ""en"")"),"genetic")</f>
        <v>genetic</v>
      </c>
    </row>
    <row r="38562">
      <c r="A38562" s="1" t="s">
        <v>38561</v>
      </c>
      <c r="B38562" s="2" t="str">
        <f>IFERROR(__xludf.DUMMYFUNCTION("GOOGLETRANSLATE(A38562, ""de"", ""en"")"),"Caspar")</f>
        <v>Caspar</v>
      </c>
    </row>
    <row r="38563">
      <c r="A38563" s="1" t="s">
        <v>38562</v>
      </c>
      <c r="B38563" s="2" t="str">
        <f>IFERROR(__xludf.DUMMYFUNCTION("GOOGLETRANSLATE(A38563, ""de"", ""en"")"),"liberace")</f>
        <v>liberace</v>
      </c>
    </row>
    <row r="38564">
      <c r="A38564" s="1" t="s">
        <v>38563</v>
      </c>
      <c r="B38564" s="2" t="str">
        <f>IFERROR(__xludf.DUMMYFUNCTION("GOOGLETRANSLATE(A38564, ""de"", ""en"")"),"Alice")</f>
        <v>Alice</v>
      </c>
    </row>
    <row r="38565">
      <c r="A38565" s="1" t="s">
        <v>38564</v>
      </c>
      <c r="B38565" s="2" t="str">
        <f>IFERROR(__xludf.DUMMYFUNCTION("GOOGLETRANSLATE(A38565, ""de"", ""en"")"),"inspiring")</f>
        <v>inspiring</v>
      </c>
    </row>
    <row r="38566">
      <c r="A38566" s="1" t="s">
        <v>38565</v>
      </c>
      <c r="B38566" s="2" t="str">
        <f>IFERROR(__xludf.DUMMYFUNCTION("GOOGLETRANSLATE(A38566, ""de"", ""en"")"),"self-preservation")</f>
        <v>self-preservation</v>
      </c>
    </row>
    <row r="38567">
      <c r="A38567" s="1" t="s">
        <v>38566</v>
      </c>
      <c r="B38567" s="2" t="str">
        <f>IFERROR(__xludf.DUMMYFUNCTION("GOOGLETRANSLATE(A38567, ""de"", ""en"")"),"hardwicke")</f>
        <v>hardwicke</v>
      </c>
    </row>
    <row r="38568">
      <c r="A38568" s="1" t="s">
        <v>38567</v>
      </c>
      <c r="B38568" s="2" t="str">
        <f>IFERROR(__xludf.DUMMYFUNCTION("GOOGLETRANSLATE(A38568, ""de"", ""en"")"),"tried")</f>
        <v>tried</v>
      </c>
    </row>
    <row r="38569">
      <c r="A38569" s="1" t="s">
        <v>38568</v>
      </c>
      <c r="B38569" s="2" t="str">
        <f>IFERROR(__xludf.DUMMYFUNCTION("GOOGLETRANSLATE(A38569, ""de"", ""en"")"),"luxurious")</f>
        <v>luxurious</v>
      </c>
    </row>
    <row r="38570">
      <c r="A38570" s="1" t="s">
        <v>38569</v>
      </c>
      <c r="B38570" s="2" t="str">
        <f>IFERROR(__xludf.DUMMYFUNCTION("GOOGLETRANSLATE(A38570, ""de"", ""en"")"),"homeless shelter")</f>
        <v>homeless shelter</v>
      </c>
    </row>
    <row r="38571">
      <c r="A38571" s="1" t="s">
        <v>38570</v>
      </c>
      <c r="B38571" s="2" t="str">
        <f>IFERROR(__xludf.DUMMYFUNCTION("GOOGLETRANSLATE(A38571, ""de"", ""en"")"),"late shift")</f>
        <v>late shift</v>
      </c>
    </row>
    <row r="38572">
      <c r="A38572" s="1" t="s">
        <v>38571</v>
      </c>
      <c r="B38572" s="2" t="str">
        <f>IFERROR(__xludf.DUMMYFUNCTION("GOOGLETRANSLATE(A38572, ""de"", ""en"")"),"recover")</f>
        <v>recover</v>
      </c>
    </row>
    <row r="38573">
      <c r="A38573" s="1" t="s">
        <v>38572</v>
      </c>
      <c r="B38573" s="2" t="str">
        <f>IFERROR(__xludf.DUMMYFUNCTION("GOOGLETRANSLATE(A38573, ""de"", ""en"")"),"truth serum")</f>
        <v>truth serum</v>
      </c>
    </row>
    <row r="38574">
      <c r="A38574" s="1" t="s">
        <v>38573</v>
      </c>
      <c r="B38574" s="2" t="str">
        <f>IFERROR(__xludf.DUMMYFUNCTION("GOOGLETRANSLATE(A38574, ""de"", ""en"")"),"due")</f>
        <v>due</v>
      </c>
    </row>
    <row r="38575">
      <c r="A38575" s="1" t="s">
        <v>38574</v>
      </c>
      <c r="B38575" s="2" t="str">
        <f>IFERROR(__xludf.DUMMYFUNCTION("GOOGLETRANSLATE(A38575, ""de"", ""en"")"),"calluses")</f>
        <v>calluses</v>
      </c>
    </row>
    <row r="38576">
      <c r="A38576" s="1" t="s">
        <v>38575</v>
      </c>
      <c r="B38576" s="2" t="str">
        <f>IFERROR(__xludf.DUMMYFUNCTION("GOOGLETRANSLATE(A38576, ""de"", ""en"")"),"left")</f>
        <v>left</v>
      </c>
    </row>
    <row r="38577">
      <c r="A38577" s="1" t="s">
        <v>38576</v>
      </c>
      <c r="B38577" s="2" t="str">
        <f>IFERROR(__xludf.DUMMYFUNCTION("GOOGLETRANSLATE(A38577, ""de"", ""en"")"),"raider")</f>
        <v>raider</v>
      </c>
    </row>
    <row r="38578">
      <c r="A38578" s="1" t="s">
        <v>38577</v>
      </c>
      <c r="B38578" s="2" t="str">
        <f>IFERROR(__xludf.DUMMYFUNCTION("GOOGLETRANSLATE(A38578, ""de"", ""en"")"),"to move on")</f>
        <v>to move on</v>
      </c>
    </row>
    <row r="38579">
      <c r="A38579" s="1" t="s">
        <v>38578</v>
      </c>
      <c r="B38579" s="2" t="str">
        <f>IFERROR(__xludf.DUMMYFUNCTION("GOOGLETRANSLATE(A38579, ""de"", ""en"")"),"answers")</f>
        <v>answers</v>
      </c>
    </row>
    <row r="38580">
      <c r="A38580" s="1" t="s">
        <v>38579</v>
      </c>
      <c r="B38580" s="2" t="str">
        <f>IFERROR(__xludf.DUMMYFUNCTION("GOOGLETRANSLATE(A38580, ""de"", ""en"")"),"us embassy")</f>
        <v>us embassy</v>
      </c>
    </row>
    <row r="38581">
      <c r="A38581" s="1" t="s">
        <v>38580</v>
      </c>
      <c r="B38581" s="2" t="str">
        <f>IFERROR(__xludf.DUMMYFUNCTION("GOOGLETRANSLATE(A38581, ""de"", ""en"")"),"Smithsonian")</f>
        <v>Smithsonian</v>
      </c>
    </row>
    <row r="38582">
      <c r="A38582" s="1" t="s">
        <v>38581</v>
      </c>
      <c r="B38582" s="2" t="str">
        <f>IFERROR(__xludf.DUMMYFUNCTION("GOOGLETRANSLATE(A38582, ""de"", ""en"")"),"erling")</f>
        <v>erling</v>
      </c>
    </row>
    <row r="38583">
      <c r="A38583" s="1" t="s">
        <v>38582</v>
      </c>
      <c r="B38583" s="2" t="str">
        <f>IFERROR(__xludf.DUMMYFUNCTION("GOOGLETRANSLATE(A38583, ""de"", ""en"")"),"fitness center")</f>
        <v>fitness center</v>
      </c>
    </row>
    <row r="38584">
      <c r="A38584" s="1" t="s">
        <v>38583</v>
      </c>
      <c r="B38584" s="2" t="str">
        <f>IFERROR(__xludf.DUMMYFUNCTION("GOOGLETRANSLATE(A38584, ""de"", ""en"")"),"unimportant")</f>
        <v>unimportant</v>
      </c>
    </row>
    <row r="38585">
      <c r="A38585" s="1" t="s">
        <v>38584</v>
      </c>
      <c r="B38585" s="2" t="str">
        <f>IFERROR(__xludf.DUMMYFUNCTION("GOOGLETRANSLATE(A38585, ""de"", ""en"")"),"buffet")</f>
        <v>buffet</v>
      </c>
    </row>
    <row r="38586">
      <c r="A38586" s="1" t="s">
        <v>38585</v>
      </c>
      <c r="B38586" s="2" t="str">
        <f>IFERROR(__xludf.DUMMYFUNCTION("GOOGLETRANSLATE(A38586, ""de"", ""en"")"),"daenerys")</f>
        <v>daenerys</v>
      </c>
    </row>
    <row r="38587">
      <c r="A38587" s="1" t="s">
        <v>38586</v>
      </c>
      <c r="B38587" s="2" t="str">
        <f>IFERROR(__xludf.DUMMYFUNCTION("GOOGLETRANSLATE(A38587, ""de"", ""en"")"),"irritate")</f>
        <v>irritate</v>
      </c>
    </row>
    <row r="38588">
      <c r="A38588" s="1" t="s">
        <v>38587</v>
      </c>
      <c r="B38588" s="2" t="str">
        <f>IFERROR(__xludf.DUMMYFUNCTION("GOOGLETRANSLATE(A38588, ""de"", ""en"")"),"dust off")</f>
        <v>dust off</v>
      </c>
    </row>
    <row r="38589">
      <c r="A38589" s="1" t="s">
        <v>38588</v>
      </c>
      <c r="B38589" s="2" t="str">
        <f>IFERROR(__xludf.DUMMYFUNCTION("GOOGLETRANSLATE(A38589, ""de"", ""en"")"),"dumplings")</f>
        <v>dumplings</v>
      </c>
    </row>
    <row r="38590">
      <c r="A38590" s="1" t="s">
        <v>38589</v>
      </c>
      <c r="B38590" s="2" t="str">
        <f>IFERROR(__xludf.DUMMYFUNCTION("GOOGLETRANSLATE(A38590, ""de"", ""en"")"),"dao")</f>
        <v>dao</v>
      </c>
    </row>
    <row r="38591">
      <c r="A38591" s="1" t="s">
        <v>38590</v>
      </c>
      <c r="B38591" s="2" t="str">
        <f>IFERROR(__xludf.DUMMYFUNCTION("GOOGLETRANSLATE(A38591, ""de"", ""en"")"),"sneaked in")</f>
        <v>sneaked in</v>
      </c>
    </row>
    <row r="38592">
      <c r="A38592" s="1" t="s">
        <v>38591</v>
      </c>
      <c r="B38592" s="2" t="str">
        <f>IFERROR(__xludf.DUMMYFUNCTION("GOOGLETRANSLATE(A38592, ""de"", ""en"")"),"vulnerable")</f>
        <v>vulnerable</v>
      </c>
    </row>
    <row r="38593">
      <c r="A38593" s="1" t="s">
        <v>38592</v>
      </c>
      <c r="B38593" s="2" t="str">
        <f>IFERROR(__xludf.DUMMYFUNCTION("GOOGLETRANSLATE(A38593, ""de"", ""en"")"),"podcast")</f>
        <v>podcast</v>
      </c>
    </row>
    <row r="38594">
      <c r="A38594" s="1" t="s">
        <v>38593</v>
      </c>
      <c r="B38594" s="2" t="str">
        <f>IFERROR(__xludf.DUMMYFUNCTION("GOOGLETRANSLATE(A38594, ""de"", ""en"")"),"seeley")</f>
        <v>seeley</v>
      </c>
    </row>
    <row r="38595">
      <c r="A38595" s="1" t="s">
        <v>38594</v>
      </c>
      <c r="B38595" s="2" t="str">
        <f>IFERROR(__xludf.DUMMYFUNCTION("GOOGLETRANSLATE(A38595, ""de"", ""en"")"),"Carlito")</f>
        <v>Carlito</v>
      </c>
    </row>
    <row r="38596">
      <c r="A38596" s="1" t="s">
        <v>38595</v>
      </c>
      <c r="B38596" s="2" t="str">
        <f>IFERROR(__xludf.DUMMYFUNCTION("GOOGLETRANSLATE(A38596, ""de"", ""en"")"),"queequeg")</f>
        <v>queequeg</v>
      </c>
    </row>
    <row r="38597">
      <c r="A38597" s="1" t="s">
        <v>38596</v>
      </c>
      <c r="B38597" s="2" t="str">
        <f>IFERROR(__xludf.DUMMYFUNCTION("GOOGLETRANSLATE(A38597, ""de"", ""en"")"),"accurate")</f>
        <v>accurate</v>
      </c>
    </row>
    <row r="38598">
      <c r="A38598" s="1" t="s">
        <v>38597</v>
      </c>
      <c r="B38598" s="2" t="str">
        <f>IFERROR(__xludf.DUMMYFUNCTION("GOOGLETRANSLATE(A38598, ""de"", ""en"")"),"negligent")</f>
        <v>negligent</v>
      </c>
    </row>
    <row r="38599">
      <c r="A38599" s="1" t="s">
        <v>38598</v>
      </c>
      <c r="B38599" s="2" t="str">
        <f>IFERROR(__xludf.DUMMYFUNCTION("GOOGLETRANSLATE(A38599, ""de"", ""en"")"),"seminars")</f>
        <v>seminars</v>
      </c>
    </row>
    <row r="38600">
      <c r="A38600" s="1" t="s">
        <v>38599</v>
      </c>
      <c r="B38600" s="2" t="str">
        <f>IFERROR(__xludf.DUMMYFUNCTION("GOOGLETRANSLATE(A38600, ""de"", ""en"")"),"dictators")</f>
        <v>dictators</v>
      </c>
    </row>
    <row r="38601">
      <c r="A38601" s="1" t="s">
        <v>38600</v>
      </c>
      <c r="B38601" s="2" t="str">
        <f>IFERROR(__xludf.DUMMYFUNCTION("GOOGLETRANSLATE(A38601, ""de"", ""en"")"),"nozzle")</f>
        <v>nozzle</v>
      </c>
    </row>
    <row r="38602">
      <c r="A38602" s="1" t="s">
        <v>38601</v>
      </c>
      <c r="B38602" s="2" t="str">
        <f>IFERROR(__xludf.DUMMYFUNCTION("GOOGLETRANSLATE(A38602, ""de"", ""en"")"),"bomb")</f>
        <v>bomb</v>
      </c>
    </row>
    <row r="38603">
      <c r="A38603" s="1" t="s">
        <v>38602</v>
      </c>
      <c r="B38603" s="2" t="str">
        <f>IFERROR(__xludf.DUMMYFUNCTION("GOOGLETRANSLATE(A38603, ""de"", ""en"")"),"spartan")</f>
        <v>spartan</v>
      </c>
    </row>
    <row r="38604">
      <c r="A38604" s="1" t="s">
        <v>38603</v>
      </c>
      <c r="B38604" s="2" t="str">
        <f>IFERROR(__xludf.DUMMYFUNCTION("GOOGLETRANSLATE(A38604, ""de"", ""en"")"),"honorable")</f>
        <v>honorable</v>
      </c>
    </row>
    <row r="38605">
      <c r="A38605" s="1" t="s">
        <v>38604</v>
      </c>
      <c r="B38605" s="2" t="str">
        <f>IFERROR(__xludf.DUMMYFUNCTION("GOOGLETRANSLATE(A38605, ""de"", ""en"")"),"leaks")</f>
        <v>leaks</v>
      </c>
    </row>
    <row r="38606">
      <c r="A38606" s="1" t="s">
        <v>38605</v>
      </c>
      <c r="B38606" s="2" t="str">
        <f>IFERROR(__xludf.DUMMYFUNCTION("GOOGLETRANSLATE(A38606, ""de"", ""en"")"),"picked up")</f>
        <v>picked up</v>
      </c>
    </row>
    <row r="38607">
      <c r="A38607" s="1" t="s">
        <v>38606</v>
      </c>
      <c r="B38607" s="2" t="str">
        <f>IFERROR(__xludf.DUMMYFUNCTION("GOOGLETRANSLATE(A38607, ""de"", ""en"")"),"oppenheimer")</f>
        <v>oppenheimer</v>
      </c>
    </row>
    <row r="38608">
      <c r="A38608" s="1" t="s">
        <v>38607</v>
      </c>
      <c r="B38608" s="2" t="str">
        <f>IFERROR(__xludf.DUMMYFUNCTION("GOOGLETRANSLATE(A38608, ""de"", ""en"")"),"research center")</f>
        <v>research center</v>
      </c>
    </row>
    <row r="38609">
      <c r="A38609" s="1" t="s">
        <v>38608</v>
      </c>
      <c r="B38609" s="2" t="str">
        <f>IFERROR(__xludf.DUMMYFUNCTION("GOOGLETRANSLATE(A38609, ""de"", ""en"")"),"selected")</f>
        <v>selected</v>
      </c>
    </row>
    <row r="38610">
      <c r="A38610" s="1" t="s">
        <v>38609</v>
      </c>
      <c r="B38610" s="2" t="str">
        <f>IFERROR(__xludf.DUMMYFUNCTION("GOOGLETRANSLATE(A38610, ""de"", ""en"")"),"gm")</f>
        <v>gm</v>
      </c>
    </row>
    <row r="38611">
      <c r="A38611" s="1" t="s">
        <v>38610</v>
      </c>
      <c r="B38611" s="2" t="str">
        <f>IFERROR(__xludf.DUMMYFUNCTION("GOOGLETRANSLATE(A38611, ""de"", ""en"")"),"dreidel")</f>
        <v>dreidel</v>
      </c>
    </row>
    <row r="38612">
      <c r="A38612" s="1" t="s">
        <v>38611</v>
      </c>
      <c r="B38612" s="2" t="str">
        <f>IFERROR(__xludf.DUMMYFUNCTION("GOOGLETRANSLATE(A38612, ""de"", ""en"")"),"restore")</f>
        <v>restore</v>
      </c>
    </row>
    <row r="38613">
      <c r="A38613" s="1" t="s">
        <v>38612</v>
      </c>
      <c r="B38613" s="2" t="str">
        <f>IFERROR(__xludf.DUMMYFUNCTION("GOOGLETRANSLATE(A38613, ""de"", ""en"")"),"to view")</f>
        <v>to view</v>
      </c>
    </row>
    <row r="38614">
      <c r="A38614" s="1" t="s">
        <v>38613</v>
      </c>
      <c r="B38614" s="2" t="str">
        <f>IFERROR(__xludf.DUMMYFUNCTION("GOOGLETRANSLATE(A38614, ""de"", ""en"")"),"fake")</f>
        <v>fake</v>
      </c>
    </row>
    <row r="38615">
      <c r="A38615" s="1" t="s">
        <v>38614</v>
      </c>
      <c r="B38615" s="2" t="str">
        <f>IFERROR(__xludf.DUMMYFUNCTION("GOOGLETRANSLATE(A38615, ""de"", ""en"")"),"haste")</f>
        <v>haste</v>
      </c>
    </row>
    <row r="38616">
      <c r="A38616" s="1" t="s">
        <v>38615</v>
      </c>
      <c r="B38616" s="2" t="str">
        <f>IFERROR(__xludf.DUMMYFUNCTION("GOOGLETRANSLATE(A38616, ""de"", ""en"")"),"Hanukkah")</f>
        <v>Hanukkah</v>
      </c>
    </row>
    <row r="38617">
      <c r="A38617" s="1" t="s">
        <v>38616</v>
      </c>
      <c r="B38617" s="2" t="str">
        <f>IFERROR(__xludf.DUMMYFUNCTION("GOOGLETRANSLATE(A38617, ""de"", ""en"")"),"more rabid")</f>
        <v>more rabid</v>
      </c>
    </row>
    <row r="38618">
      <c r="A38618" s="1" t="s">
        <v>38617</v>
      </c>
      <c r="B38618" s="2" t="str">
        <f>IFERROR(__xludf.DUMMYFUNCTION("GOOGLETRANSLATE(A38618, ""de"", ""en"")"),"telekinesis")</f>
        <v>telekinesis</v>
      </c>
    </row>
    <row r="38619">
      <c r="A38619" s="1" t="s">
        <v>38618</v>
      </c>
      <c r="B38619" s="2" t="str">
        <f>IFERROR(__xludf.DUMMYFUNCTION("GOOGLETRANSLATE(A38619, ""de"", ""en"")"),"pediatrics")</f>
        <v>pediatrics</v>
      </c>
    </row>
    <row r="38620">
      <c r="A38620" s="1" t="s">
        <v>38619</v>
      </c>
      <c r="B38620" s="2" t="str">
        <f>IFERROR(__xludf.DUMMYFUNCTION("GOOGLETRANSLATE(A38620, ""de"", ""en"")"),"surehand")</f>
        <v>surehand</v>
      </c>
    </row>
    <row r="38621">
      <c r="A38621" s="1" t="s">
        <v>38620</v>
      </c>
      <c r="B38621" s="2" t="str">
        <f>IFERROR(__xludf.DUMMYFUNCTION("GOOGLETRANSLATE(A38621, ""de"", ""en"")"),"clarified")</f>
        <v>clarified</v>
      </c>
    </row>
    <row r="38622">
      <c r="A38622" s="1" t="s">
        <v>38621</v>
      </c>
      <c r="B38622" s="2" t="str">
        <f>IFERROR(__xludf.DUMMYFUNCTION("GOOGLETRANSLATE(A38622, ""de"", ""en"")"),"recycling")</f>
        <v>recycling</v>
      </c>
    </row>
    <row r="38623">
      <c r="A38623" s="1" t="s">
        <v>38622</v>
      </c>
      <c r="B38623" s="2" t="str">
        <f>IFERROR(__xludf.DUMMYFUNCTION("GOOGLETRANSLATE(A38623, ""de"", ""en"")"),"winona")</f>
        <v>winona</v>
      </c>
    </row>
    <row r="38624">
      <c r="A38624" s="1" t="s">
        <v>38623</v>
      </c>
      <c r="B38624" s="2" t="str">
        <f>IFERROR(__xludf.DUMMYFUNCTION("GOOGLETRANSLATE(A38624, ""de"", ""en"")"),"mediocrity")</f>
        <v>mediocrity</v>
      </c>
    </row>
    <row r="38625">
      <c r="A38625" s="1" t="s">
        <v>38624</v>
      </c>
      <c r="B38625" s="2" t="str">
        <f>IFERROR(__xludf.DUMMYFUNCTION("GOOGLETRANSLATE(A38625, ""de"", ""en"")"),"pleasure house")</f>
        <v>pleasure house</v>
      </c>
    </row>
    <row r="38626">
      <c r="A38626" s="1" t="s">
        <v>38625</v>
      </c>
      <c r="B38626" s="2" t="str">
        <f>IFERROR(__xludf.DUMMYFUNCTION("GOOGLETRANSLATE(A38626, ""de"", ""en"")"),"ch19fff8")</f>
        <v>ch19fff8</v>
      </c>
    </row>
    <row r="38627">
      <c r="A38627" s="1" t="s">
        <v>38626</v>
      </c>
      <c r="B38627" s="2" t="str">
        <f>IFERROR(__xludf.DUMMYFUNCTION("GOOGLETRANSLATE(A38627, ""de"", ""en"")"),"spanky")</f>
        <v>spanky</v>
      </c>
    </row>
    <row r="38628">
      <c r="A38628" s="1" t="s">
        <v>38627</v>
      </c>
      <c r="B38628" s="2" t="str">
        <f>IFERROR(__xludf.DUMMYFUNCTION("GOOGLETRANSLATE(A38628, ""de"", ""en"")"),"Khrushchev")</f>
        <v>Khrushchev</v>
      </c>
    </row>
    <row r="38629">
      <c r="A38629" s="1" t="s">
        <v>38628</v>
      </c>
      <c r="B38629" s="2" t="str">
        <f>IFERROR(__xludf.DUMMYFUNCTION("GOOGLETRANSLATE(A38629, ""de"", ""en"")"),"relevant")</f>
        <v>relevant</v>
      </c>
    </row>
    <row r="38630">
      <c r="A38630" s="1" t="s">
        <v>38629</v>
      </c>
      <c r="B38630" s="2" t="str">
        <f>IFERROR(__xludf.DUMMYFUNCTION("GOOGLETRANSLATE(A38630, ""de"", ""en"")"),"degrees")</f>
        <v>degrees</v>
      </c>
    </row>
    <row r="38631">
      <c r="A38631" s="1" t="s">
        <v>38630</v>
      </c>
      <c r="B38631" s="2" t="str">
        <f>IFERROR(__xludf.DUMMYFUNCTION("GOOGLETRANSLATE(A38631, ""de"", ""en"")"),"bother you")</f>
        <v>bother you</v>
      </c>
    </row>
    <row r="38632">
      <c r="A38632" s="1" t="s">
        <v>38631</v>
      </c>
      <c r="B38632" s="2" t="str">
        <f>IFERROR(__xludf.DUMMYFUNCTION("GOOGLETRANSLATE(A38632, ""de"", ""en"")"),"cannabis")</f>
        <v>cannabis</v>
      </c>
    </row>
    <row r="38633">
      <c r="A38633" s="1" t="s">
        <v>38632</v>
      </c>
      <c r="B38633" s="2" t="str">
        <f>IFERROR(__xludf.DUMMYFUNCTION("GOOGLETRANSLATE(A38633, ""de"", ""en"")"),"stop")</f>
        <v>stop</v>
      </c>
    </row>
    <row r="38634">
      <c r="A38634" s="1" t="s">
        <v>38633</v>
      </c>
      <c r="B38634" s="2" t="str">
        <f>IFERROR(__xludf.DUMMYFUNCTION("GOOGLETRANSLATE(A38634, ""de"", ""en"")"),"Arabic")</f>
        <v>Arabic</v>
      </c>
    </row>
    <row r="38635">
      <c r="A38635" s="1" t="s">
        <v>38634</v>
      </c>
      <c r="B38635" s="2" t="str">
        <f>IFERROR(__xludf.DUMMYFUNCTION("GOOGLETRANSLATE(A38635, ""de"", ""en"")"),"baskerville")</f>
        <v>baskerville</v>
      </c>
    </row>
    <row r="38636">
      <c r="A38636" s="1" t="s">
        <v>38635</v>
      </c>
      <c r="B38636" s="2" t="str">
        <f>IFERROR(__xludf.DUMMYFUNCTION("GOOGLETRANSLATE(A38636, ""de"", ""en"")"),"badlands")</f>
        <v>badlands</v>
      </c>
    </row>
    <row r="38637">
      <c r="A38637" s="1" t="s">
        <v>38636</v>
      </c>
      <c r="B38637" s="2" t="str">
        <f>IFERROR(__xludf.DUMMYFUNCTION("GOOGLETRANSLATE(A38637, ""de"", ""en"")"),"sailor")</f>
        <v>sailor</v>
      </c>
    </row>
    <row r="38638">
      <c r="A38638" s="1" t="s">
        <v>38637</v>
      </c>
      <c r="B38638" s="2" t="str">
        <f>IFERROR(__xludf.DUMMYFUNCTION("GOOGLETRANSLATE(A38638, ""de"", ""en"")"),"brassiere")</f>
        <v>brassiere</v>
      </c>
    </row>
    <row r="38639">
      <c r="A38639" s="1" t="s">
        <v>38638</v>
      </c>
      <c r="B38639" s="2" t="str">
        <f>IFERROR(__xludf.DUMMYFUNCTION("GOOGLETRANSLATE(A38639, ""de"", ""en"")"),"zoltan")</f>
        <v>zoltan</v>
      </c>
    </row>
    <row r="38640">
      <c r="A38640" s="1" t="s">
        <v>38639</v>
      </c>
      <c r="B38640" s="2" t="str">
        <f>IFERROR(__xludf.DUMMYFUNCTION("GOOGLETRANSLATE(A38640, ""de"", ""en"")"),"helpful")</f>
        <v>helpful</v>
      </c>
    </row>
    <row r="38641">
      <c r="A38641" s="1" t="s">
        <v>38640</v>
      </c>
      <c r="B38641" s="2" t="str">
        <f>IFERROR(__xludf.DUMMYFUNCTION("GOOGLETRANSLATE(A38641, ""de"", ""en"")"),"moderate")</f>
        <v>moderate</v>
      </c>
    </row>
    <row r="38642">
      <c r="A38642" s="1" t="s">
        <v>38641</v>
      </c>
      <c r="B38642" s="2" t="str">
        <f>IFERROR(__xludf.DUMMYFUNCTION("GOOGLETRANSLATE(A38642, ""de"", ""en"")"),"ketamine")</f>
        <v>ketamine</v>
      </c>
    </row>
    <row r="38643">
      <c r="A38643" s="1" t="s">
        <v>38642</v>
      </c>
      <c r="B38643" s="2" t="str">
        <f>IFERROR(__xludf.DUMMYFUNCTION("GOOGLETRANSLATE(A38643, ""de"", ""en"")"),"more attentive")</f>
        <v>more attentive</v>
      </c>
    </row>
    <row r="38644">
      <c r="A38644" s="1" t="s">
        <v>38643</v>
      </c>
      <c r="B38644" s="2" t="str">
        <f>IFERROR(__xludf.DUMMYFUNCTION("GOOGLETRANSLATE(A38644, ""de"", ""en"")"),"twisted")</f>
        <v>twisted</v>
      </c>
    </row>
    <row r="38645">
      <c r="A38645" s="1" t="s">
        <v>38644</v>
      </c>
      <c r="B38645" s="2" t="str">
        <f>IFERROR(__xludf.DUMMYFUNCTION("GOOGLETRANSLATE(A38645, ""de"", ""en"")"),"watching")</f>
        <v>watching</v>
      </c>
    </row>
    <row r="38646">
      <c r="A38646" s="1" t="s">
        <v>38645</v>
      </c>
      <c r="B38646" s="2" t="str">
        <f>IFERROR(__xludf.DUMMYFUNCTION("GOOGLETRANSLATE(A38646, ""de"", ""en"")"),"lifted")</f>
        <v>lifted</v>
      </c>
    </row>
    <row r="38647">
      <c r="A38647" s="1" t="s">
        <v>38646</v>
      </c>
      <c r="B38647" s="2" t="str">
        <f>IFERROR(__xludf.DUMMYFUNCTION("GOOGLETRANSLATE(A38647, ""de"", ""en"")"),"autopsy report")</f>
        <v>autopsy report</v>
      </c>
    </row>
    <row r="38648">
      <c r="A38648" s="1" t="s">
        <v>38647</v>
      </c>
      <c r="B38648" s="2" t="str">
        <f>IFERROR(__xludf.DUMMYFUNCTION("GOOGLETRANSLATE(A38648, ""de"", ""en"")"),"Margaret")</f>
        <v>Margaret</v>
      </c>
    </row>
    <row r="38649">
      <c r="A38649" s="1" t="s">
        <v>38648</v>
      </c>
      <c r="B38649" s="2" t="str">
        <f>IFERROR(__xludf.DUMMYFUNCTION("GOOGLETRANSLATE(A38649, ""de"", ""en"")"),"next best")</f>
        <v>next best</v>
      </c>
    </row>
    <row r="38650">
      <c r="A38650" s="1" t="s">
        <v>38649</v>
      </c>
      <c r="B38650" s="2" t="str">
        <f>IFERROR(__xludf.DUMMYFUNCTION("GOOGLETRANSLATE(A38650, ""de"", ""en"")"),"Scotland")</f>
        <v>Scotland</v>
      </c>
    </row>
    <row r="38651">
      <c r="A38651" s="1" t="s">
        <v>38650</v>
      </c>
      <c r="B38651" s="2" t="str">
        <f>IFERROR(__xludf.DUMMYFUNCTION("GOOGLETRANSLATE(A38651, ""de"", ""en"")"),"anderton")</f>
        <v>anderton</v>
      </c>
    </row>
    <row r="38652">
      <c r="A38652" s="1" t="s">
        <v>38651</v>
      </c>
      <c r="B38652" s="2" t="str">
        <f>IFERROR(__xludf.DUMMYFUNCTION("GOOGLETRANSLATE(A38652, ""de"", ""en"")"),"agreed")</f>
        <v>agreed</v>
      </c>
    </row>
    <row r="38653">
      <c r="A38653" s="1" t="s">
        <v>38652</v>
      </c>
      <c r="B38653" s="2" t="str">
        <f>IFERROR(__xludf.DUMMYFUNCTION("GOOGLETRANSLATE(A38653, ""de"", ""en"")"),"dreary")</f>
        <v>dreary</v>
      </c>
    </row>
    <row r="38654">
      <c r="A38654" s="1" t="s">
        <v>38653</v>
      </c>
      <c r="B38654" s="2" t="str">
        <f>IFERROR(__xludf.DUMMYFUNCTION("GOOGLETRANSLATE(A38654, ""de"", ""en"")"),"columbo")</f>
        <v>columbo</v>
      </c>
    </row>
    <row r="38655">
      <c r="A38655" s="1" t="s">
        <v>38654</v>
      </c>
      <c r="B38655" s="2" t="str">
        <f>IFERROR(__xludf.DUMMYFUNCTION("GOOGLETRANSLATE(A38655, ""de"", ""en"")"),"brotherhood")</f>
        <v>brotherhood</v>
      </c>
    </row>
    <row r="38656">
      <c r="A38656" s="1" t="s">
        <v>38655</v>
      </c>
      <c r="B38656" s="2" t="str">
        <f>IFERROR(__xludf.DUMMYFUNCTION("GOOGLETRANSLATE(A38656, ""de"", ""en"")"),"spank")</f>
        <v>spank</v>
      </c>
    </row>
    <row r="38657">
      <c r="A38657" s="1" t="s">
        <v>38656</v>
      </c>
      <c r="B38657" s="2" t="str">
        <f>IFERROR(__xludf.DUMMYFUNCTION("GOOGLETRANSLATE(A38657, ""de"", ""en"")"),"completed")</f>
        <v>completed</v>
      </c>
    </row>
    <row r="38658">
      <c r="A38658" s="1" t="s">
        <v>38657</v>
      </c>
      <c r="B38658" s="2" t="str">
        <f>IFERROR(__xludf.DUMMYFUNCTION("GOOGLETRANSLATE(A38658, ""de"", ""en"")"),"prevent")</f>
        <v>prevent</v>
      </c>
    </row>
    <row r="38659">
      <c r="A38659" s="1" t="s">
        <v>38658</v>
      </c>
      <c r="B38659" s="2" t="str">
        <f>IFERROR(__xludf.DUMMYFUNCTION("GOOGLETRANSLATE(A38659, ""de"", ""en"")"),"dotted")</f>
        <v>dotted</v>
      </c>
    </row>
    <row r="38660">
      <c r="A38660" s="1" t="s">
        <v>38659</v>
      </c>
      <c r="B38660" s="2" t="str">
        <f>IFERROR(__xludf.DUMMYFUNCTION("GOOGLETRANSLATE(A38660, ""de"", ""en"")"),"celibacy")</f>
        <v>celibacy</v>
      </c>
    </row>
    <row r="38661">
      <c r="A38661" s="1" t="s">
        <v>38660</v>
      </c>
      <c r="B38661" s="2" t="str">
        <f>IFERROR(__xludf.DUMMYFUNCTION("GOOGLETRANSLATE(A38661, ""de"", ""en"")"),"tuba")</f>
        <v>tuba</v>
      </c>
    </row>
    <row r="38662">
      <c r="A38662" s="1" t="s">
        <v>38661</v>
      </c>
      <c r="B38662" s="2" t="str">
        <f>IFERROR(__xludf.DUMMYFUNCTION("GOOGLETRANSLATE(A38662, ""de"", ""en"")"),"fakes")</f>
        <v>fakes</v>
      </c>
    </row>
    <row r="38663">
      <c r="A38663" s="1" t="s">
        <v>38662</v>
      </c>
      <c r="B38663" s="2" t="str">
        <f>IFERROR(__xludf.DUMMYFUNCTION("GOOGLETRANSLATE(A38663, ""de"", ""en"")"),"decorated")</f>
        <v>decorated</v>
      </c>
    </row>
    <row r="38664">
      <c r="A38664" s="1" t="s">
        <v>38663</v>
      </c>
      <c r="B38664" s="2" t="str">
        <f>IFERROR(__xludf.DUMMYFUNCTION("GOOGLETRANSLATE(A38664, ""de"", ""en"")"),"glow")</f>
        <v>glow</v>
      </c>
    </row>
    <row r="38665">
      <c r="A38665" s="1" t="s">
        <v>38664</v>
      </c>
      <c r="B38665" s="2" t="str">
        <f>IFERROR(__xludf.DUMMYFUNCTION("GOOGLETRANSLATE(A38665, ""de"", ""en"")"),"glimmer of hope")</f>
        <v>glimmer of hope</v>
      </c>
    </row>
    <row r="38666">
      <c r="A38666" s="1" t="s">
        <v>38665</v>
      </c>
      <c r="B38666" s="2" t="str">
        <f>IFERROR(__xludf.DUMMYFUNCTION("GOOGLETRANSLATE(A38666, ""de"", ""en"")"),"pilot")</f>
        <v>pilot</v>
      </c>
    </row>
    <row r="38667">
      <c r="A38667" s="1" t="s">
        <v>38666</v>
      </c>
      <c r="B38667" s="2" t="str">
        <f>IFERROR(__xludf.DUMMYFUNCTION("GOOGLETRANSLATE(A38667, ""de"", ""en"")"),"cheer")</f>
        <v>cheer</v>
      </c>
    </row>
    <row r="38668">
      <c r="A38668" s="1" t="s">
        <v>38667</v>
      </c>
      <c r="B38668" s="2" t="str">
        <f>IFERROR(__xludf.DUMMYFUNCTION("GOOGLETRANSLATE(A38668, ""de"", ""en"")"),"jon")</f>
        <v>jon</v>
      </c>
    </row>
    <row r="38669">
      <c r="A38669" s="1" t="s">
        <v>38668</v>
      </c>
      <c r="B38669" s="2" t="str">
        <f>IFERROR(__xludf.DUMMYFUNCTION("GOOGLETRANSLATE(A38669, ""de"", ""en"")"),"bloods")</f>
        <v>bloods</v>
      </c>
    </row>
    <row r="38670">
      <c r="A38670" s="1" t="s">
        <v>38669</v>
      </c>
      <c r="B38670" s="2" t="str">
        <f>IFERROR(__xludf.DUMMYFUNCTION("GOOGLETRANSLATE(A38670, ""de"", ""en"")"),"variants")</f>
        <v>variants</v>
      </c>
    </row>
    <row r="38671">
      <c r="A38671" s="1" t="s">
        <v>38670</v>
      </c>
      <c r="B38671" s="2" t="str">
        <f>IFERROR(__xludf.DUMMYFUNCTION("GOOGLETRANSLATE(A38671, ""de"", ""en"")"),"shine")</f>
        <v>shine</v>
      </c>
    </row>
    <row r="38672">
      <c r="A38672" s="1" t="s">
        <v>38671</v>
      </c>
      <c r="B38672" s="2" t="str">
        <f>IFERROR(__xludf.DUMMYFUNCTION("GOOGLETRANSLATE(A38672, ""de"", ""en"")"),"crandall")</f>
        <v>crandall</v>
      </c>
    </row>
    <row r="38673">
      <c r="A38673" s="1" t="s">
        <v>38672</v>
      </c>
      <c r="B38673" s="2" t="str">
        <f>IFERROR(__xludf.DUMMYFUNCTION("GOOGLETRANSLATE(A38673, ""de"", ""en"")"),"hipsters")</f>
        <v>hipsters</v>
      </c>
    </row>
    <row r="38674">
      <c r="A38674" s="1" t="s">
        <v>38673</v>
      </c>
      <c r="B38674" s="2" t="str">
        <f>IFERROR(__xludf.DUMMYFUNCTION("GOOGLETRANSLATE(A38674, ""de"", ""en"")"),"again")</f>
        <v>again</v>
      </c>
    </row>
    <row r="38675">
      <c r="A38675" s="1" t="s">
        <v>38674</v>
      </c>
      <c r="B38675" s="2" t="str">
        <f>IFERROR(__xludf.DUMMYFUNCTION("GOOGLETRANSLATE(A38675, ""de"", ""en"")"),"life path")</f>
        <v>life path</v>
      </c>
    </row>
    <row r="38676">
      <c r="A38676" s="1" t="s">
        <v>38675</v>
      </c>
      <c r="B38676" s="2" t="str">
        <f>IFERROR(__xludf.DUMMYFUNCTION("GOOGLETRANSLATE(A38676, ""de"", ""en"")"),"explicit")</f>
        <v>explicit</v>
      </c>
    </row>
    <row r="38677">
      <c r="A38677" s="1" t="s">
        <v>38676</v>
      </c>
      <c r="B38677" s="2" t="str">
        <f>IFERROR(__xludf.DUMMYFUNCTION("GOOGLETRANSLATE(A38677, ""de"", ""en"")"),"joined")</f>
        <v>joined</v>
      </c>
    </row>
    <row r="38678">
      <c r="A38678" s="1" t="s">
        <v>38677</v>
      </c>
      <c r="B38678" s="2" t="str">
        <f>IFERROR(__xludf.DUMMYFUNCTION("GOOGLETRANSLATE(A38678, ""de"", ""en"")"),"confused")</f>
        <v>confused</v>
      </c>
    </row>
    <row r="38679">
      <c r="A38679" s="1" t="s">
        <v>38678</v>
      </c>
      <c r="B38679" s="2" t="str">
        <f>IFERROR(__xludf.DUMMYFUNCTION("GOOGLETRANSLATE(A38679, ""de"", ""en"")"),"convocation")</f>
        <v>convocation</v>
      </c>
    </row>
    <row r="38680">
      <c r="A38680" s="1" t="s">
        <v>38679</v>
      </c>
      <c r="B38680" s="2" t="str">
        <f>IFERROR(__xludf.DUMMYFUNCTION("GOOGLETRANSLATE(A38680, ""de"", ""en"")"),"martok")</f>
        <v>martok</v>
      </c>
    </row>
    <row r="38681">
      <c r="A38681" s="1" t="s">
        <v>38680</v>
      </c>
      <c r="B38681" s="2" t="str">
        <f>IFERROR(__xludf.DUMMYFUNCTION("GOOGLETRANSLATE(A38681, ""de"", ""en"")"),"cagney")</f>
        <v>cagney</v>
      </c>
    </row>
    <row r="38682">
      <c r="A38682" s="1" t="s">
        <v>38681</v>
      </c>
      <c r="B38682" s="2" t="str">
        <f>IFERROR(__xludf.DUMMYFUNCTION("GOOGLETRANSLATE(A38682, ""de"", ""en"")"),"nodules")</f>
        <v>nodules</v>
      </c>
    </row>
    <row r="38683">
      <c r="A38683" s="1" t="s">
        <v>38682</v>
      </c>
      <c r="B38683" s="2" t="str">
        <f>IFERROR(__xludf.DUMMYFUNCTION("GOOGLETRANSLATE(A38683, ""de"", ""en"")"),"childless")</f>
        <v>childless</v>
      </c>
    </row>
    <row r="38684">
      <c r="A38684" s="1" t="s">
        <v>38683</v>
      </c>
      <c r="B38684" s="2" t="str">
        <f>IFERROR(__xludf.DUMMYFUNCTION("GOOGLETRANSLATE(A38684, ""de"", ""en"")"),"to sit around")</f>
        <v>to sit around</v>
      </c>
    </row>
    <row r="38685">
      <c r="A38685" s="1" t="s">
        <v>38684</v>
      </c>
      <c r="B38685" s="2" t="str">
        <f>IFERROR(__xludf.DUMMYFUNCTION("GOOGLETRANSLATE(A38685, ""de"", ""en"")"),"macabre")</f>
        <v>macabre</v>
      </c>
    </row>
    <row r="38686">
      <c r="A38686" s="1" t="s">
        <v>38685</v>
      </c>
      <c r="B38686" s="2" t="str">
        <f>IFERROR(__xludf.DUMMYFUNCTION("GOOGLETRANSLATE(A38686, ""de"", ""en"")"),"rye")</f>
        <v>rye</v>
      </c>
    </row>
    <row r="38687">
      <c r="A38687" s="1" t="s">
        <v>38686</v>
      </c>
      <c r="B38687" s="2" t="str">
        <f>IFERROR(__xludf.DUMMYFUNCTION("GOOGLETRANSLATE(A38687, ""de"", ""en"")"),"seat")</f>
        <v>seat</v>
      </c>
    </row>
    <row r="38688">
      <c r="A38688" s="1" t="s">
        <v>38687</v>
      </c>
      <c r="B38688" s="2" t="str">
        <f>IFERROR(__xludf.DUMMYFUNCTION("GOOGLETRANSLATE(A38688, ""de"", ""en"")"),"hot water bottle")</f>
        <v>hot water bottle</v>
      </c>
    </row>
    <row r="38689">
      <c r="A38689" s="1" t="s">
        <v>38688</v>
      </c>
      <c r="B38689" s="2" t="str">
        <f>IFERROR(__xludf.DUMMYFUNCTION("GOOGLETRANSLATE(A38689, ""de"", ""en"")"),"exaggerated")</f>
        <v>exaggerated</v>
      </c>
    </row>
    <row r="38690">
      <c r="A38690" s="1" t="s">
        <v>38689</v>
      </c>
      <c r="B38690" s="2" t="str">
        <f>IFERROR(__xludf.DUMMYFUNCTION("GOOGLETRANSLATE(A38690, ""de"", ""en"")"),"disgusting")</f>
        <v>disgusting</v>
      </c>
    </row>
    <row r="38691">
      <c r="A38691" s="1" t="s">
        <v>38690</v>
      </c>
      <c r="B38691" s="2" t="str">
        <f>IFERROR(__xludf.DUMMYFUNCTION("GOOGLETRANSLATE(A38691, ""de"", ""en"")"),"excess")</f>
        <v>excess</v>
      </c>
    </row>
    <row r="38692">
      <c r="A38692" s="1" t="s">
        <v>38691</v>
      </c>
      <c r="B38692" s="2" t="str">
        <f>IFERROR(__xludf.DUMMYFUNCTION("GOOGLETRANSLATE(A38692, ""de"", ""en"")"),"sheet metal")</f>
        <v>sheet metal</v>
      </c>
    </row>
    <row r="38693">
      <c r="A38693" s="1" t="s">
        <v>38692</v>
      </c>
      <c r="B38693" s="2" t="str">
        <f>IFERROR(__xludf.DUMMYFUNCTION("GOOGLETRANSLATE(A38693, ""de"", ""en"")"),"throw out")</f>
        <v>throw out</v>
      </c>
    </row>
    <row r="38694">
      <c r="A38694" s="1" t="s">
        <v>38693</v>
      </c>
      <c r="B38694" s="2" t="str">
        <f>IFERROR(__xludf.DUMMYFUNCTION("GOOGLETRANSLATE(A38694, ""de"", ""en"")"),"alto")</f>
        <v>alto</v>
      </c>
    </row>
    <row r="38695">
      <c r="A38695" s="1" t="s">
        <v>38694</v>
      </c>
      <c r="B38695" s="2" t="str">
        <f>IFERROR(__xludf.DUMMYFUNCTION("GOOGLETRANSLATE(A38695, ""de"", ""en"")"),"economy")</f>
        <v>economy</v>
      </c>
    </row>
    <row r="38696">
      <c r="A38696" s="1" t="s">
        <v>38695</v>
      </c>
      <c r="B38696" s="2" t="str">
        <f>IFERROR(__xludf.DUMMYFUNCTION("GOOGLETRANSLATE(A38696, ""de"", ""en"")"),"patriotic")</f>
        <v>patriotic</v>
      </c>
    </row>
    <row r="38697">
      <c r="A38697" s="1" t="s">
        <v>38696</v>
      </c>
      <c r="B38697" s="2" t="str">
        <f>IFERROR(__xludf.DUMMYFUNCTION("GOOGLETRANSLATE(A38697, ""de"", ""en"")"),"beeps")</f>
        <v>beeps</v>
      </c>
    </row>
    <row r="38698">
      <c r="A38698" s="1" t="s">
        <v>38697</v>
      </c>
      <c r="B38698" s="2" t="str">
        <f>IFERROR(__xludf.DUMMYFUNCTION("GOOGLETRANSLATE(A38698, ""de"", ""en"")"),"biggi")</f>
        <v>biggi</v>
      </c>
    </row>
    <row r="38699">
      <c r="A38699" s="1" t="s">
        <v>38698</v>
      </c>
      <c r="B38699" s="2" t="str">
        <f>IFERROR(__xludf.DUMMYFUNCTION("GOOGLETRANSLATE(A38699, ""de"", ""en"")"),"noticeable")</f>
        <v>noticeable</v>
      </c>
    </row>
    <row r="38700">
      <c r="A38700" s="1" t="s">
        <v>38699</v>
      </c>
      <c r="B38700" s="2" t="str">
        <f>IFERROR(__xludf.DUMMYFUNCTION("GOOGLETRANSLATE(A38700, ""de"", ""en"")"),"Plato")</f>
        <v>Plato</v>
      </c>
    </row>
    <row r="38701">
      <c r="A38701" s="1" t="s">
        <v>38700</v>
      </c>
      <c r="B38701" s="2" t="str">
        <f>IFERROR(__xludf.DUMMYFUNCTION("GOOGLETRANSLATE(A38701, ""de"", ""en"")"),"dicks")</f>
        <v>dicks</v>
      </c>
    </row>
    <row r="38702">
      <c r="A38702" s="1" t="s">
        <v>38701</v>
      </c>
      <c r="B38702" s="2" t="str">
        <f>IFERROR(__xludf.DUMMYFUNCTION("GOOGLETRANSLATE(A38702, ""de"", ""en"")"),"medical student")</f>
        <v>medical student</v>
      </c>
    </row>
    <row r="38703">
      <c r="A38703" s="1" t="s">
        <v>38702</v>
      </c>
      <c r="B38703" s="2" t="str">
        <f>IFERROR(__xludf.DUMMYFUNCTION("GOOGLETRANSLATE(A38703, ""de"", ""en"")"),"look inside")</f>
        <v>look inside</v>
      </c>
    </row>
    <row r="38704">
      <c r="A38704" s="1" t="s">
        <v>38703</v>
      </c>
      <c r="B38704" s="2" t="str">
        <f>IFERROR(__xludf.DUMMYFUNCTION("GOOGLETRANSLATE(A38704, ""de"", ""en"")"),"floppy disks")</f>
        <v>floppy disks</v>
      </c>
    </row>
    <row r="38705">
      <c r="A38705" s="1" t="s">
        <v>38704</v>
      </c>
      <c r="B38705" s="2" t="str">
        <f>IFERROR(__xludf.DUMMYFUNCTION("GOOGLETRANSLATE(A38705, ""de"", ""en"")"),"guerrillas")</f>
        <v>guerrillas</v>
      </c>
    </row>
    <row r="38706">
      <c r="A38706" s="1" t="s">
        <v>38705</v>
      </c>
      <c r="B38706" s="2" t="str">
        <f>IFERROR(__xludf.DUMMYFUNCTION("GOOGLETRANSLATE(A38706, ""de"", ""en"")"),"guard dogs")</f>
        <v>guard dogs</v>
      </c>
    </row>
    <row r="38707">
      <c r="A38707" s="1" t="s">
        <v>38706</v>
      </c>
      <c r="B38707" s="2" t="str">
        <f>IFERROR(__xludf.DUMMYFUNCTION("GOOGLETRANSLATE(A38707, ""de"", ""en"")"),"teahouse")</f>
        <v>teahouse</v>
      </c>
    </row>
    <row r="38708">
      <c r="A38708" s="1" t="s">
        <v>38707</v>
      </c>
      <c r="B38708" s="2" t="str">
        <f>IFERROR(__xludf.DUMMYFUNCTION("GOOGLETRANSLATE(A38708, ""de"", ""en"")"),"shaking hands")</f>
        <v>shaking hands</v>
      </c>
    </row>
    <row r="38709">
      <c r="A38709" s="1" t="s">
        <v>38708</v>
      </c>
      <c r="B38709" s="2" t="str">
        <f>IFERROR(__xludf.DUMMYFUNCTION("GOOGLETRANSLATE(A38709, ""de"", ""en"")"),"roll")</f>
        <v>roll</v>
      </c>
    </row>
    <row r="38710">
      <c r="A38710" s="1" t="s">
        <v>38709</v>
      </c>
      <c r="B38710" s="2" t="str">
        <f>IFERROR(__xludf.DUMMYFUNCTION("GOOGLETRANSLATE(A38710, ""de"", ""en"")"),"rub")</f>
        <v>rub</v>
      </c>
    </row>
    <row r="38711">
      <c r="A38711" s="1" t="s">
        <v>38710</v>
      </c>
      <c r="B38711" s="2" t="str">
        <f>IFERROR(__xludf.DUMMYFUNCTION("GOOGLETRANSLATE(A38711, ""de"", ""en"")"),"lamer")</f>
        <v>lamer</v>
      </c>
    </row>
    <row r="38712">
      <c r="A38712" s="1" t="s">
        <v>38711</v>
      </c>
      <c r="B38712" s="2" t="str">
        <f>IFERROR(__xludf.DUMMYFUNCTION("GOOGLETRANSLATE(A38712, ""de"", ""en"")"),"bikes")</f>
        <v>bikes</v>
      </c>
    </row>
    <row r="38713">
      <c r="A38713" s="1" t="s">
        <v>38712</v>
      </c>
      <c r="B38713" s="2" t="str">
        <f>IFERROR(__xludf.DUMMYFUNCTION("GOOGLETRANSLATE(A38713, ""de"", ""en"")"),"wylie")</f>
        <v>wylie</v>
      </c>
    </row>
    <row r="38714">
      <c r="A38714" s="1" t="s">
        <v>38713</v>
      </c>
      <c r="B38714" s="2" t="str">
        <f>IFERROR(__xludf.DUMMYFUNCTION("GOOGLETRANSLATE(A38714, ""de"", ""en"")"),"cannonball")</f>
        <v>cannonball</v>
      </c>
    </row>
    <row r="38715">
      <c r="A38715" s="1" t="s">
        <v>38714</v>
      </c>
      <c r="B38715" s="2" t="str">
        <f>IFERROR(__xludf.DUMMYFUNCTION("GOOGLETRANSLATE(A38715, ""de"", ""en"")"),"paternal")</f>
        <v>paternal</v>
      </c>
    </row>
    <row r="38716">
      <c r="A38716" s="1" t="s">
        <v>38715</v>
      </c>
      <c r="B38716" s="2" t="str">
        <f>IFERROR(__xludf.DUMMYFUNCTION("GOOGLETRANSLATE(A38716, ""de"", ""en"")"),"inflamed")</f>
        <v>inflamed</v>
      </c>
    </row>
    <row r="38717">
      <c r="A38717" s="1" t="s">
        <v>38716</v>
      </c>
      <c r="B38717" s="2" t="str">
        <f>IFERROR(__xludf.DUMMYFUNCTION("GOOGLETRANSLATE(A38717, ""de"", ""en"")"),"deadliest")</f>
        <v>deadliest</v>
      </c>
    </row>
    <row r="38718">
      <c r="A38718" s="1" t="s">
        <v>38717</v>
      </c>
      <c r="B38718" s="2" t="str">
        <f>IFERROR(__xludf.DUMMYFUNCTION("GOOGLETRANSLATE(A38718, ""de"", ""en"")"),"nunnally")</f>
        <v>nunnally</v>
      </c>
    </row>
    <row r="38719">
      <c r="A38719" s="1" t="s">
        <v>38718</v>
      </c>
      <c r="B38719" s="2" t="str">
        <f>IFERROR(__xludf.DUMMYFUNCTION("GOOGLETRANSLATE(A38719, ""de"", ""en"")"),"epicenter")</f>
        <v>epicenter</v>
      </c>
    </row>
    <row r="38720">
      <c r="A38720" s="1" t="s">
        <v>38719</v>
      </c>
      <c r="B38720" s="2" t="str">
        <f>IFERROR(__xludf.DUMMYFUNCTION("GOOGLETRANSLATE(A38720, ""de"", ""en"")"),"emanuel")</f>
        <v>emanuel</v>
      </c>
    </row>
    <row r="38721">
      <c r="A38721" s="1" t="s">
        <v>38720</v>
      </c>
      <c r="B38721" s="2" t="str">
        <f>IFERROR(__xludf.DUMMYFUNCTION("GOOGLETRANSLATE(A38721, ""de"", ""en"")"),"pfft")</f>
        <v>pfft</v>
      </c>
    </row>
    <row r="38722">
      <c r="A38722" s="1" t="s">
        <v>38721</v>
      </c>
      <c r="B38722" s="2" t="str">
        <f>IFERROR(__xludf.DUMMYFUNCTION("GOOGLETRANSLATE(A38722, ""de"", ""en"")"),"drools")</f>
        <v>drools</v>
      </c>
    </row>
    <row r="38723">
      <c r="A38723" s="1" t="s">
        <v>38722</v>
      </c>
      <c r="B38723" s="2" t="str">
        <f>IFERROR(__xludf.DUMMYFUNCTION("GOOGLETRANSLATE(A38723, ""de"", ""en"")"),"kept secret")</f>
        <v>kept secret</v>
      </c>
    </row>
    <row r="38724">
      <c r="A38724" s="1" t="s">
        <v>38723</v>
      </c>
      <c r="B38724" s="2" t="str">
        <f>IFERROR(__xludf.DUMMYFUNCTION("GOOGLETRANSLATE(A38724, ""de"", ""en"")"),"corrected")</f>
        <v>corrected</v>
      </c>
    </row>
    <row r="38725">
      <c r="A38725" s="1" t="s">
        <v>38724</v>
      </c>
      <c r="B38725" s="2" t="str">
        <f>IFERROR(__xludf.DUMMYFUNCTION("GOOGLETRANSLATE(A38725, ""de"", ""en"")"),"beaker")</f>
        <v>beaker</v>
      </c>
    </row>
    <row r="38726">
      <c r="A38726" s="1" t="s">
        <v>38725</v>
      </c>
      <c r="B38726" s="2" t="str">
        <f>IFERROR(__xludf.DUMMYFUNCTION("GOOGLETRANSLATE(A38726, ""de"", ""en"")"),"cottonmouth")</f>
        <v>cottonmouth</v>
      </c>
    </row>
    <row r="38727">
      <c r="A38727" s="1" t="s">
        <v>38726</v>
      </c>
      <c r="B38727" s="2" t="str">
        <f>IFERROR(__xludf.DUMMYFUNCTION("GOOGLETRANSLATE(A38727, ""de"", ""en"")"),"formed")</f>
        <v>formed</v>
      </c>
    </row>
    <row r="38728">
      <c r="A38728" s="1" t="s">
        <v>38727</v>
      </c>
      <c r="B38728" s="2" t="str">
        <f>IFERROR(__xludf.DUMMYFUNCTION("GOOGLETRANSLATE(A38728, ""de"", ""en"")"),"symbolize")</f>
        <v>symbolize</v>
      </c>
    </row>
    <row r="38729">
      <c r="A38729" s="1" t="s">
        <v>38728</v>
      </c>
      <c r="B38729" s="2" t="str">
        <f>IFERROR(__xludf.DUMMYFUNCTION("GOOGLETRANSLATE(A38729, ""de"", ""en"")"),"heartless")</f>
        <v>heartless</v>
      </c>
    </row>
    <row r="38730">
      <c r="A38730" s="1" t="s">
        <v>38729</v>
      </c>
      <c r="B38730" s="2" t="str">
        <f>IFERROR(__xludf.DUMMYFUNCTION("GOOGLETRANSLATE(A38730, ""de"", ""en"")"),"experimental")</f>
        <v>experimental</v>
      </c>
    </row>
    <row r="38731">
      <c r="A38731" s="1" t="s">
        <v>38730</v>
      </c>
      <c r="B38731" s="2" t="str">
        <f>IFERROR(__xludf.DUMMYFUNCTION("GOOGLETRANSLATE(A38731, ""de"", ""en"")"),"cyclist")</f>
        <v>cyclist</v>
      </c>
    </row>
    <row r="38732">
      <c r="A38732" s="1" t="s">
        <v>38731</v>
      </c>
      <c r="B38732" s="2" t="str">
        <f>IFERROR(__xludf.DUMMYFUNCTION("GOOGLETRANSLATE(A38732, ""de"", ""en"")"),"Whitfield")</f>
        <v>Whitfield</v>
      </c>
    </row>
    <row r="38733">
      <c r="A38733" s="1" t="s">
        <v>38732</v>
      </c>
      <c r="B38733" s="2" t="str">
        <f>IFERROR(__xludf.DUMMYFUNCTION("GOOGLETRANSLATE(A38733, ""de"", ""en"")"),"cali")</f>
        <v>cali</v>
      </c>
    </row>
    <row r="38734">
      <c r="A38734" s="1" t="s">
        <v>38733</v>
      </c>
      <c r="B38734" s="2" t="str">
        <f>IFERROR(__xludf.DUMMYFUNCTION("GOOGLETRANSLATE(A38734, ""de"", ""en"")"),"benches")</f>
        <v>benches</v>
      </c>
    </row>
    <row r="38735">
      <c r="A38735" s="1" t="s">
        <v>38734</v>
      </c>
      <c r="B38735" s="2" t="str">
        <f>IFERROR(__xludf.DUMMYFUNCTION("GOOGLETRANSLATE(A38735, ""de"", ""en"")"),"creeper")</f>
        <v>creeper</v>
      </c>
    </row>
    <row r="38736">
      <c r="A38736" s="1" t="s">
        <v>38735</v>
      </c>
      <c r="B38736" s="2" t="str">
        <f>IFERROR(__xludf.DUMMYFUNCTION("GOOGLETRANSLATE(A38736, ""de"", ""en"")"),"research project")</f>
        <v>research project</v>
      </c>
    </row>
    <row r="38737">
      <c r="A38737" s="1" t="s">
        <v>38736</v>
      </c>
      <c r="B38737" s="2" t="str">
        <f>IFERROR(__xludf.DUMMYFUNCTION("GOOGLETRANSLATE(A38737, ""de"", ""en"")"),"regular customer")</f>
        <v>regular customer</v>
      </c>
    </row>
    <row r="38738">
      <c r="A38738" s="1" t="s">
        <v>38737</v>
      </c>
      <c r="B38738" s="2" t="str">
        <f>IFERROR(__xludf.DUMMYFUNCTION("GOOGLETRANSLATE(A38738, ""de"", ""en"")"),"concerned")</f>
        <v>concerned</v>
      </c>
    </row>
    <row r="38739">
      <c r="A38739" s="1" t="s">
        <v>38738</v>
      </c>
      <c r="B38739" s="2" t="str">
        <f>IFERROR(__xludf.DUMMYFUNCTION("GOOGLETRANSLATE(A38739, ""de"", ""en"")"),"irena")</f>
        <v>irena</v>
      </c>
    </row>
    <row r="38740">
      <c r="A38740" s="1" t="s">
        <v>38739</v>
      </c>
      <c r="B38740" s="2" t="str">
        <f>IFERROR(__xludf.DUMMYFUNCTION("GOOGLETRANSLATE(A38740, ""de"", ""en"")"),"approached")</f>
        <v>approached</v>
      </c>
    </row>
    <row r="38741">
      <c r="A38741" s="1" t="s">
        <v>38740</v>
      </c>
      <c r="B38741" s="2" t="str">
        <f>IFERROR(__xludf.DUMMYFUNCTION("GOOGLETRANSLATE(A38741, ""de"", ""en"")"),"hearst")</f>
        <v>hearst</v>
      </c>
    </row>
    <row r="38742">
      <c r="A38742" s="1" t="s">
        <v>38741</v>
      </c>
      <c r="B38742" s="2" t="str">
        <f>IFERROR(__xludf.DUMMYFUNCTION("GOOGLETRANSLATE(A38742, ""de"", ""en"")"),"parking attendant")</f>
        <v>parking attendant</v>
      </c>
    </row>
    <row r="38743">
      <c r="A38743" s="1" t="s">
        <v>38742</v>
      </c>
      <c r="B38743" s="2" t="str">
        <f>IFERROR(__xludf.DUMMYFUNCTION("GOOGLETRANSLATE(A38743, ""de"", ""en"")"),"underline")</f>
        <v>underline</v>
      </c>
    </row>
    <row r="38744">
      <c r="A38744" s="1" t="s">
        <v>38743</v>
      </c>
      <c r="B38744" s="2" t="str">
        <f>IFERROR(__xludf.DUMMYFUNCTION("GOOGLETRANSLATE(A38744, ""de"", ""en"")"),"weather")</f>
        <v>weather</v>
      </c>
    </row>
    <row r="38745">
      <c r="A38745" s="1" t="s">
        <v>38744</v>
      </c>
      <c r="B38745" s="2" t="str">
        <f>IFERROR(__xludf.DUMMYFUNCTION("GOOGLETRANSLATE(A38745, ""de"", ""en"")"),"changing room")</f>
        <v>changing room</v>
      </c>
    </row>
    <row r="38746">
      <c r="A38746" s="1" t="s">
        <v>38745</v>
      </c>
      <c r="B38746" s="2" t="str">
        <f>IFERROR(__xludf.DUMMYFUNCTION("GOOGLETRANSLATE(A38746, ""de"", ""en"")"),"walked past")</f>
        <v>walked past</v>
      </c>
    </row>
    <row r="38747">
      <c r="A38747" s="1" t="s">
        <v>38746</v>
      </c>
      <c r="B38747" s="2" t="str">
        <f>IFERROR(__xludf.DUMMYFUNCTION("GOOGLETRANSLATE(A38747, ""de"", ""en"")"),"Austrian")</f>
        <v>Austrian</v>
      </c>
    </row>
    <row r="38748">
      <c r="A38748" s="1" t="s">
        <v>38747</v>
      </c>
      <c r="B38748" s="2" t="str">
        <f>IFERROR(__xludf.DUMMYFUNCTION("GOOGLETRANSLATE(A38748, ""de"", ""en"")"),"kell")</f>
        <v>kell</v>
      </c>
    </row>
    <row r="38749">
      <c r="A38749" s="1" t="s">
        <v>38748</v>
      </c>
      <c r="B38749" s="2" t="str">
        <f>IFERROR(__xludf.DUMMYFUNCTION("GOOGLETRANSLATE(A38749, ""de"", ""en"")"),"in great shape")</f>
        <v>in great shape</v>
      </c>
    </row>
    <row r="38750">
      <c r="A38750" s="1" t="s">
        <v>38749</v>
      </c>
      <c r="B38750" s="2" t="str">
        <f>IFERROR(__xludf.DUMMYFUNCTION("GOOGLETRANSLATE(A38750, ""de"", ""en"")"),"explorer")</f>
        <v>explorer</v>
      </c>
    </row>
    <row r="38751">
      <c r="A38751" s="1" t="s">
        <v>38750</v>
      </c>
      <c r="B38751" s="2" t="str">
        <f>IFERROR(__xludf.DUMMYFUNCTION("GOOGLETRANSLATE(A38751, ""de"", ""en"")"),"enigmatic")</f>
        <v>enigmatic</v>
      </c>
    </row>
    <row r="38752">
      <c r="A38752" s="1" t="s">
        <v>38751</v>
      </c>
      <c r="B38752" s="2" t="str">
        <f>IFERROR(__xludf.DUMMYFUNCTION("GOOGLETRANSLATE(A38752, ""de"", ""en"")"),"beretta")</f>
        <v>beretta</v>
      </c>
    </row>
    <row r="38753">
      <c r="A38753" s="1" t="s">
        <v>38752</v>
      </c>
      <c r="B38753" s="2" t="str">
        <f>IFERROR(__xludf.DUMMYFUNCTION("GOOGLETRANSLATE(A38753, ""de"", ""en"")"),"slimy")</f>
        <v>slimy</v>
      </c>
    </row>
    <row r="38754">
      <c r="A38754" s="1" t="s">
        <v>38753</v>
      </c>
      <c r="B38754" s="2" t="str">
        <f>IFERROR(__xludf.DUMMYFUNCTION("GOOGLETRANSLATE(A38754, ""de"", ""en"")"),"wasp nest")</f>
        <v>wasp nest</v>
      </c>
    </row>
    <row r="38755">
      <c r="A38755" s="1" t="s">
        <v>38754</v>
      </c>
      <c r="B38755" s="2" t="str">
        <f>IFERROR(__xludf.DUMMYFUNCTION("GOOGLETRANSLATE(A38755, ""de"", ""en"")"),"suggestions")</f>
        <v>suggestions</v>
      </c>
    </row>
    <row r="38756">
      <c r="A38756" s="1" t="s">
        <v>38755</v>
      </c>
      <c r="B38756" s="2" t="str">
        <f>IFERROR(__xludf.DUMMYFUNCTION("GOOGLETRANSLATE(A38756, ""de"", ""en"")"),"evaluated")</f>
        <v>evaluated</v>
      </c>
    </row>
    <row r="38757">
      <c r="A38757" s="1" t="s">
        <v>38756</v>
      </c>
      <c r="B38757" s="2" t="str">
        <f>IFERROR(__xludf.DUMMYFUNCTION("GOOGLETRANSLATE(A38757, ""de"", ""en"")"),"home cooking")</f>
        <v>home cooking</v>
      </c>
    </row>
    <row r="38758">
      <c r="A38758" s="1" t="s">
        <v>38757</v>
      </c>
      <c r="B38758" s="2" t="str">
        <f>IFERROR(__xludf.DUMMYFUNCTION("GOOGLETRANSLATE(A38758, ""de"", ""en"")"),"grew up")</f>
        <v>grew up</v>
      </c>
    </row>
    <row r="38759">
      <c r="A38759" s="1" t="s">
        <v>38758</v>
      </c>
      <c r="B38759" s="2" t="str">
        <f>IFERROR(__xludf.DUMMYFUNCTION("GOOGLETRANSLATE(A38759, ""de"", ""en"")"),"airline")</f>
        <v>airline</v>
      </c>
    </row>
    <row r="38760">
      <c r="A38760" s="1" t="s">
        <v>38759</v>
      </c>
      <c r="B38760" s="2" t="str">
        <f>IFERROR(__xludf.DUMMYFUNCTION("GOOGLETRANSLATE(A38760, ""de"", ""en"")"),"militias")</f>
        <v>militias</v>
      </c>
    </row>
    <row r="38761">
      <c r="A38761" s="1" t="s">
        <v>38760</v>
      </c>
      <c r="B38761" s="2" t="str">
        <f>IFERROR(__xludf.DUMMYFUNCTION("GOOGLETRANSLATE(A38761, ""de"", ""en"")"),"paranoid")</f>
        <v>paranoid</v>
      </c>
    </row>
    <row r="38762">
      <c r="A38762" s="1" t="s">
        <v>38761</v>
      </c>
      <c r="B38762" s="2" t="str">
        <f>IFERROR(__xludf.DUMMYFUNCTION("GOOGLETRANSLATE(A38762, ""de"", ""en"")"),"hands")</f>
        <v>hands</v>
      </c>
    </row>
    <row r="38763">
      <c r="A38763" s="1" t="s">
        <v>38762</v>
      </c>
      <c r="B38763" s="2" t="str">
        <f>IFERROR(__xludf.DUMMYFUNCTION("GOOGLETRANSLATE(A38763, ""de"", ""en"")"),"chocolate")</f>
        <v>chocolate</v>
      </c>
    </row>
    <row r="38764">
      <c r="A38764" s="1" t="s">
        <v>38763</v>
      </c>
      <c r="B38764" s="2" t="str">
        <f>IFERROR(__xludf.DUMMYFUNCTION("GOOGLETRANSLATE(A38764, ""de"", ""en"")"),"later ones")</f>
        <v>later ones</v>
      </c>
    </row>
    <row r="38765">
      <c r="A38765" s="1" t="s">
        <v>38764</v>
      </c>
      <c r="B38765" s="2" t="str">
        <f>IFERROR(__xludf.DUMMYFUNCTION("GOOGLETRANSLATE(A38765, ""de"", ""en"")"),"kneecaps")</f>
        <v>kneecaps</v>
      </c>
    </row>
    <row r="38766">
      <c r="A38766" s="1" t="s">
        <v>38765</v>
      </c>
      <c r="B38766" s="2" t="str">
        <f>IFERROR(__xludf.DUMMYFUNCTION("GOOGLETRANSLATE(A38766, ""de"", ""en"")"),"aline")</f>
        <v>aline</v>
      </c>
    </row>
    <row r="38767">
      <c r="A38767" s="1" t="s">
        <v>38766</v>
      </c>
      <c r="B38767" s="2" t="str">
        <f>IFERROR(__xludf.DUMMYFUNCTION("GOOGLETRANSLATE(A38767, ""de"", ""en"")"),"southwest")</f>
        <v>southwest</v>
      </c>
    </row>
    <row r="38768">
      <c r="A38768" s="1" t="s">
        <v>38767</v>
      </c>
      <c r="B38768" s="2" t="str">
        <f>IFERROR(__xludf.DUMMYFUNCTION("GOOGLETRANSLATE(A38768, ""de"", ""en"")"),"blame")</f>
        <v>blame</v>
      </c>
    </row>
    <row r="38769">
      <c r="A38769" s="1" t="s">
        <v>38768</v>
      </c>
      <c r="B38769" s="2" t="str">
        <f>IFERROR(__xludf.DUMMYFUNCTION("GOOGLETRANSLATE(A38769, ""de"", ""en"")"),"soften")</f>
        <v>soften</v>
      </c>
    </row>
    <row r="38770">
      <c r="A38770" s="1" t="s">
        <v>38769</v>
      </c>
      <c r="B38770" s="2" t="str">
        <f>IFERROR(__xludf.DUMMYFUNCTION("GOOGLETRANSLATE(A38770, ""de"", ""en"")"),"tweet")</f>
        <v>tweet</v>
      </c>
    </row>
    <row r="38771">
      <c r="A38771" s="1" t="s">
        <v>38770</v>
      </c>
      <c r="B38771" s="2" t="str">
        <f>IFERROR(__xludf.DUMMYFUNCTION("GOOGLETRANSLATE(A38771, ""de"", ""en"")"),"thoughtless")</f>
        <v>thoughtless</v>
      </c>
    </row>
    <row r="38772">
      <c r="A38772" s="1" t="s">
        <v>38771</v>
      </c>
      <c r="B38772" s="2" t="str">
        <f>IFERROR(__xludf.DUMMYFUNCTION("GOOGLETRANSLATE(A38772, ""de"", ""en"")"),"fausto")</f>
        <v>fausto</v>
      </c>
    </row>
    <row r="38773">
      <c r="A38773" s="1" t="s">
        <v>38772</v>
      </c>
      <c r="B38773" s="2" t="str">
        <f>IFERROR(__xludf.DUMMYFUNCTION("GOOGLETRANSLATE(A38773, ""de"", ""en"")"),"dynamic")</f>
        <v>dynamic</v>
      </c>
    </row>
    <row r="38774">
      <c r="A38774" s="1" t="s">
        <v>38773</v>
      </c>
      <c r="B38774" s="2" t="str">
        <f>IFERROR(__xludf.DUMMYFUNCTION("GOOGLETRANSLATE(A38774, ""de"", ""en"")"),"choice")</f>
        <v>choice</v>
      </c>
    </row>
    <row r="38775">
      <c r="A38775" s="1" t="s">
        <v>38774</v>
      </c>
      <c r="B38775" s="2" t="str">
        <f>IFERROR(__xludf.DUMMYFUNCTION("GOOGLETRANSLATE(A38775, ""de"", ""en"")"),"jiri")</f>
        <v>jiri</v>
      </c>
    </row>
    <row r="38776">
      <c r="A38776" s="1" t="s">
        <v>38775</v>
      </c>
      <c r="B38776" s="2" t="str">
        <f>IFERROR(__xludf.DUMMYFUNCTION("GOOGLETRANSLATE(A38776, ""de"", ""en"")"),"eggnog")</f>
        <v>eggnog</v>
      </c>
    </row>
    <row r="38777">
      <c r="A38777" s="1" t="s">
        <v>38776</v>
      </c>
      <c r="B38777" s="2" t="str">
        <f>IFERROR(__xludf.DUMMYFUNCTION("GOOGLETRANSLATE(A38777, ""de"", ""en"")"),"saved")</f>
        <v>saved</v>
      </c>
    </row>
    <row r="38778">
      <c r="A38778" s="1" t="s">
        <v>38777</v>
      </c>
      <c r="B38778" s="2" t="str">
        <f>IFERROR(__xludf.DUMMYFUNCTION("GOOGLETRANSLATE(A38778, ""de"", ""en"")"),"deafness")</f>
        <v>deafness</v>
      </c>
    </row>
    <row r="38779">
      <c r="A38779" s="1" t="s">
        <v>38778</v>
      </c>
      <c r="B38779" s="2" t="str">
        <f>IFERROR(__xludf.DUMMYFUNCTION("GOOGLETRANSLATE(A38779, ""de"", ""en"")"),"subconsciously")</f>
        <v>subconsciously</v>
      </c>
    </row>
    <row r="38780">
      <c r="A38780" s="1" t="s">
        <v>38779</v>
      </c>
      <c r="B38780" s="2" t="str">
        <f>IFERROR(__xludf.DUMMYFUNCTION("GOOGLETRANSLATE(A38780, ""de"", ""en"")"),"rusty")</f>
        <v>rusty</v>
      </c>
    </row>
    <row r="38781">
      <c r="A38781" s="1" t="s">
        <v>38780</v>
      </c>
      <c r="B38781" s="2" t="str">
        <f>IFERROR(__xludf.DUMMYFUNCTION("GOOGLETRANSLATE(A38781, ""de"", ""en"")"),"franklyn")</f>
        <v>franklyn</v>
      </c>
    </row>
    <row r="38782">
      <c r="A38782" s="1" t="s">
        <v>38781</v>
      </c>
      <c r="B38782" s="2" t="str">
        <f>IFERROR(__xludf.DUMMYFUNCTION("GOOGLETRANSLATE(A38782, ""de"", ""en"")"),"orchard")</f>
        <v>orchard</v>
      </c>
    </row>
    <row r="38783">
      <c r="A38783" s="1" t="s">
        <v>38782</v>
      </c>
      <c r="B38783" s="2" t="str">
        <f>IFERROR(__xludf.DUMMYFUNCTION("GOOGLETRANSLATE(A38783, ""de"", ""en"")"),"acts of violence")</f>
        <v>acts of violence</v>
      </c>
    </row>
    <row r="38784">
      <c r="A38784" s="1" t="s">
        <v>38783</v>
      </c>
      <c r="B38784" s="2" t="str">
        <f>IFERROR(__xludf.DUMMYFUNCTION("GOOGLETRANSLATE(A38784, ""de"", ""en"")"),"national language")</f>
        <v>national language</v>
      </c>
    </row>
    <row r="38785">
      <c r="A38785" s="1" t="s">
        <v>38784</v>
      </c>
      <c r="B38785" s="2" t="str">
        <f>IFERROR(__xludf.DUMMYFUNCTION("GOOGLETRANSLATE(A38785, ""de"", ""en"")"),"rescue")</f>
        <v>rescue</v>
      </c>
    </row>
    <row r="38786">
      <c r="A38786" s="1" t="s">
        <v>38785</v>
      </c>
      <c r="B38786" s="2" t="str">
        <f>IFERROR(__xludf.DUMMYFUNCTION("GOOGLETRANSLATE(A38786, ""de"", ""en"")"),"re-elected")</f>
        <v>re-elected</v>
      </c>
    </row>
    <row r="38787">
      <c r="A38787" s="1" t="s">
        <v>38786</v>
      </c>
      <c r="B38787" s="2" t="str">
        <f>IFERROR(__xludf.DUMMYFUNCTION("GOOGLETRANSLATE(A38787, ""de"", ""en"")"),"disputed")</f>
        <v>disputed</v>
      </c>
    </row>
    <row r="38788">
      <c r="A38788" s="1" t="s">
        <v>38787</v>
      </c>
      <c r="B38788" s="2" t="str">
        <f>IFERROR(__xludf.DUMMYFUNCTION("GOOGLETRANSLATE(A38788, ""de"", ""en"")"),"anatomy")</f>
        <v>anatomy</v>
      </c>
    </row>
    <row r="38789">
      <c r="A38789" s="1" t="s">
        <v>38788</v>
      </c>
      <c r="B38789" s="2" t="str">
        <f>IFERROR(__xludf.DUMMYFUNCTION("GOOGLETRANSLATE(A38789, ""de"", ""en"")"),"Nissan")</f>
        <v>Nissan</v>
      </c>
    </row>
    <row r="38790">
      <c r="A38790" s="1" t="s">
        <v>38789</v>
      </c>
      <c r="B38790" s="2" t="str">
        <f>IFERROR(__xludf.DUMMYFUNCTION("GOOGLETRANSLATE(A38790, ""de"", ""en"")"),"force")</f>
        <v>force</v>
      </c>
    </row>
    <row r="38791">
      <c r="A38791" s="1" t="s">
        <v>38790</v>
      </c>
      <c r="B38791" s="2" t="str">
        <f>IFERROR(__xludf.DUMMYFUNCTION("GOOGLETRANSLATE(A38791, ""de"", ""en"")"),"abilene")</f>
        <v>abilene</v>
      </c>
    </row>
    <row r="38792">
      <c r="A38792" s="1" t="s">
        <v>38791</v>
      </c>
      <c r="B38792" s="2" t="str">
        <f>IFERROR(__xludf.DUMMYFUNCTION("GOOGLETRANSLATE(A38792, ""de"", ""en"")"),"nerd")</f>
        <v>nerd</v>
      </c>
    </row>
    <row r="38793">
      <c r="A38793" s="1" t="s">
        <v>38792</v>
      </c>
      <c r="B38793" s="2" t="str">
        <f>IFERROR(__xludf.DUMMYFUNCTION("GOOGLETRANSLATE(A38793, ""de"", ""en"")"),"leaned")</f>
        <v>leaned</v>
      </c>
    </row>
    <row r="38794">
      <c r="A38794" s="1" t="s">
        <v>38793</v>
      </c>
      <c r="B38794" s="2" t="str">
        <f>IFERROR(__xludf.DUMMYFUNCTION("GOOGLETRANSLATE(A38794, ""de"", ""en"")"),"fix")</f>
        <v>fix</v>
      </c>
    </row>
    <row r="38795">
      <c r="A38795" s="1" t="s">
        <v>38794</v>
      </c>
      <c r="B38795" s="2" t="str">
        <f>IFERROR(__xludf.DUMMYFUNCTION("GOOGLETRANSLATE(A38795, ""de"", ""en"")"),"goes through")</f>
        <v>goes through</v>
      </c>
    </row>
    <row r="38796">
      <c r="A38796" s="1" t="s">
        <v>38795</v>
      </c>
      <c r="B38796" s="2" t="str">
        <f>IFERROR(__xludf.DUMMYFUNCTION("GOOGLETRANSLATE(A38796, ""de"", ""en"")"),"sort")</f>
        <v>sort</v>
      </c>
    </row>
    <row r="38797">
      <c r="A38797" s="1" t="s">
        <v>38796</v>
      </c>
      <c r="B38797" s="2" t="str">
        <f>IFERROR(__xludf.DUMMYFUNCTION("GOOGLETRANSLATE(A38797, ""de"", ""en"")"),"thorns")</f>
        <v>thorns</v>
      </c>
    </row>
    <row r="38798">
      <c r="A38798" s="1" t="s">
        <v>38797</v>
      </c>
      <c r="B38798" s="2" t="str">
        <f>IFERROR(__xludf.DUMMYFUNCTION("GOOGLETRANSLATE(A38798, ""de"", ""en"")"),"bell tower")</f>
        <v>bell tower</v>
      </c>
    </row>
    <row r="38799">
      <c r="A38799" s="1" t="s">
        <v>38798</v>
      </c>
      <c r="B38799" s="2" t="str">
        <f>IFERROR(__xludf.DUMMYFUNCTION("GOOGLETRANSLATE(A38799, ""de"", ""en"")"),"Ontario")</f>
        <v>Ontario</v>
      </c>
    </row>
    <row r="38800">
      <c r="A38800" s="1" t="s">
        <v>38799</v>
      </c>
      <c r="B38800" s="2" t="str">
        <f>IFERROR(__xludf.DUMMYFUNCTION("GOOGLETRANSLATE(A38800, ""de"", ""en"")"),"crain")</f>
        <v>crain</v>
      </c>
    </row>
    <row r="38801">
      <c r="A38801" s="1" t="s">
        <v>38800</v>
      </c>
      <c r="B38801" s="2" t="str">
        <f>IFERROR(__xludf.DUMMYFUNCTION("GOOGLETRANSLATE(A38801, ""de"", ""en"")"),"clammy")</f>
        <v>clammy</v>
      </c>
    </row>
    <row r="38802">
      <c r="A38802" s="1" t="s">
        <v>38801</v>
      </c>
      <c r="B38802" s="2" t="str">
        <f>IFERROR(__xludf.DUMMYFUNCTION("GOOGLETRANSLATE(A38802, ""de"", ""en"")"),"started")</f>
        <v>started</v>
      </c>
    </row>
    <row r="38803">
      <c r="A38803" s="1" t="s">
        <v>38802</v>
      </c>
      <c r="B38803" s="2" t="str">
        <f>IFERROR(__xludf.DUMMYFUNCTION("GOOGLETRANSLATE(A38803, ""de"", ""en"")"),"gaos")</f>
        <v>gaos</v>
      </c>
    </row>
    <row r="38804">
      <c r="A38804" s="1" t="s">
        <v>38803</v>
      </c>
      <c r="B38804" s="2" t="str">
        <f>IFERROR(__xludf.DUMMYFUNCTION("GOOGLETRANSLATE(A38804, ""de"", ""en"")"),"empty")</f>
        <v>empty</v>
      </c>
    </row>
    <row r="38805">
      <c r="A38805" s="1" t="s">
        <v>38804</v>
      </c>
      <c r="B38805" s="2" t="str">
        <f>IFERROR(__xludf.DUMMYFUNCTION("GOOGLETRANSLATE(A38805, ""de"", ""en"")"),"usual")</f>
        <v>usual</v>
      </c>
    </row>
    <row r="38806">
      <c r="A38806" s="1" t="s">
        <v>38805</v>
      </c>
      <c r="B38806" s="2" t="str">
        <f>IFERROR(__xludf.DUMMYFUNCTION("GOOGLETRANSLATE(A38806, ""de"", ""en"")"),"Kerr")</f>
        <v>Kerr</v>
      </c>
    </row>
    <row r="38807">
      <c r="A38807" s="1" t="s">
        <v>38806</v>
      </c>
      <c r="B38807" s="2" t="str">
        <f>IFERROR(__xludf.DUMMYFUNCTION("GOOGLETRANSLATE(A38807, ""de"", ""en"")"),"dried up")</f>
        <v>dried up</v>
      </c>
    </row>
    <row r="38808">
      <c r="A38808" s="1" t="s">
        <v>38807</v>
      </c>
      <c r="B38808" s="2" t="str">
        <f>IFERROR(__xludf.DUMMYFUNCTION("GOOGLETRANSLATE(A38808, ""de"", ""en"")"),"twice")</f>
        <v>twice</v>
      </c>
    </row>
    <row r="38809">
      <c r="A38809" s="1" t="s">
        <v>38808</v>
      </c>
      <c r="B38809" s="2" t="str">
        <f>IFERROR(__xludf.DUMMYFUNCTION("GOOGLETRANSLATE(A38809, ""de"", ""en"")"),"kono")</f>
        <v>kono</v>
      </c>
    </row>
    <row r="38810">
      <c r="A38810" s="1" t="s">
        <v>38809</v>
      </c>
      <c r="B38810" s="2" t="str">
        <f>IFERROR(__xludf.DUMMYFUNCTION("GOOGLETRANSLATE(A38810, ""de"", ""en"")"),"folk")</f>
        <v>folk</v>
      </c>
    </row>
    <row r="38811">
      <c r="A38811" s="1" t="s">
        <v>38810</v>
      </c>
      <c r="B38811" s="2" t="str">
        <f>IFERROR(__xludf.DUMMYFUNCTION("GOOGLETRANSLATE(A38811, ""de"", ""en"")"),"jeeps")</f>
        <v>jeeps</v>
      </c>
    </row>
    <row r="38812">
      <c r="A38812" s="1" t="s">
        <v>38811</v>
      </c>
      <c r="B38812" s="2" t="str">
        <f>IFERROR(__xludf.DUMMYFUNCTION("GOOGLETRANSLATE(A38812, ""de"", ""en"")"),"ferry")</f>
        <v>ferry</v>
      </c>
    </row>
    <row r="38813">
      <c r="A38813" s="1" t="s">
        <v>38812</v>
      </c>
      <c r="B38813" s="2" t="str">
        <f>IFERROR(__xludf.DUMMYFUNCTION("GOOGLETRANSLATE(A38813, ""de"", ""en"")"),"consider")</f>
        <v>consider</v>
      </c>
    </row>
    <row r="38814">
      <c r="A38814" s="1" t="s">
        <v>38813</v>
      </c>
      <c r="B38814" s="2" t="str">
        <f>IFERROR(__xludf.DUMMYFUNCTION("GOOGLETRANSLATE(A38814, ""de"", ""en"")"),"bacall")</f>
        <v>bacall</v>
      </c>
    </row>
    <row r="38815">
      <c r="A38815" s="1" t="s">
        <v>38814</v>
      </c>
      <c r="B38815" s="2" t="str">
        <f>IFERROR(__xludf.DUMMYFUNCTION("GOOGLETRANSLATE(A38815, ""de"", ""en"")"),"insurance fraud")</f>
        <v>insurance fraud</v>
      </c>
    </row>
    <row r="38816">
      <c r="A38816" s="1" t="s">
        <v>38815</v>
      </c>
      <c r="B38816" s="2" t="str">
        <f>IFERROR(__xludf.DUMMYFUNCTION("GOOGLETRANSLATE(A38816, ""de"", ""en"")"),"hon")</f>
        <v>hon</v>
      </c>
    </row>
    <row r="38817">
      <c r="A38817" s="1" t="s">
        <v>38816</v>
      </c>
      <c r="B38817" s="2" t="str">
        <f>IFERROR(__xludf.DUMMYFUNCTION("GOOGLETRANSLATE(A38817, ""de"", ""en"")"),"phi")</f>
        <v>phi</v>
      </c>
    </row>
    <row r="38818">
      <c r="A38818" s="1" t="s">
        <v>38817</v>
      </c>
      <c r="B38818" s="2" t="str">
        <f>IFERROR(__xludf.DUMMYFUNCTION("GOOGLETRANSLATE(A38818, ""de"", ""en"")"),"figgis")</f>
        <v>figgis</v>
      </c>
    </row>
    <row r="38819">
      <c r="A38819" s="1" t="s">
        <v>38818</v>
      </c>
      <c r="B38819" s="2" t="str">
        <f>IFERROR(__xludf.DUMMYFUNCTION("GOOGLETRANSLATE(A38819, ""de"", ""en"")"),"lal")</f>
        <v>lal</v>
      </c>
    </row>
    <row r="38820">
      <c r="A38820" s="1" t="s">
        <v>38819</v>
      </c>
      <c r="B38820" s="2" t="str">
        <f>IFERROR(__xludf.DUMMYFUNCTION("GOOGLETRANSLATE(A38820, ""de"", ""en"")"),"regent")</f>
        <v>regent</v>
      </c>
    </row>
    <row r="38821">
      <c r="A38821" s="1" t="s">
        <v>38820</v>
      </c>
      <c r="B38821" s="2" t="str">
        <f>IFERROR(__xludf.DUMMYFUNCTION("GOOGLETRANSLATE(A38821, ""de"", ""en"")"),"hatake")</f>
        <v>hatake</v>
      </c>
    </row>
    <row r="38822">
      <c r="A38822" s="1" t="s">
        <v>38821</v>
      </c>
      <c r="B38822" s="2" t="str">
        <f>IFERROR(__xludf.DUMMYFUNCTION("GOOGLETRANSLATE(A38822, ""de"", ""en"")"),"Frankfurter")</f>
        <v>Frankfurter</v>
      </c>
    </row>
    <row r="38823">
      <c r="A38823" s="1" t="s">
        <v>38822</v>
      </c>
      <c r="B38823" s="2" t="str">
        <f>IFERROR(__xludf.DUMMYFUNCTION("GOOGLETRANSLATE(A38823, ""de"", ""en"")"),"sober")</f>
        <v>sober</v>
      </c>
    </row>
    <row r="38824">
      <c r="A38824" s="1" t="s">
        <v>38823</v>
      </c>
      <c r="B38824" s="2" t="str">
        <f>IFERROR(__xludf.DUMMYFUNCTION("GOOGLETRANSLATE(A38824, ""de"", ""en"")"),"aides")</f>
        <v>aides</v>
      </c>
    </row>
    <row r="38825">
      <c r="A38825" s="1" t="s">
        <v>38824</v>
      </c>
      <c r="B38825" s="2" t="str">
        <f>IFERROR(__xludf.DUMMYFUNCTION("GOOGLETRANSLATE(A38825, ""de"", ""en"")"),"tend")</f>
        <v>tend</v>
      </c>
    </row>
    <row r="38826">
      <c r="A38826" s="1" t="s">
        <v>38825</v>
      </c>
      <c r="B38826" s="2" t="str">
        <f>IFERROR(__xludf.DUMMYFUNCTION("GOOGLETRANSLATE(A38826, ""de"", ""en"")"),"sale")</f>
        <v>sale</v>
      </c>
    </row>
    <row r="38827">
      <c r="A38827" s="1" t="s">
        <v>38826</v>
      </c>
      <c r="B38827" s="2" t="str">
        <f>IFERROR(__xludf.DUMMYFUNCTION("GOOGLETRANSLATE(A38827, ""de"", ""en"")"),"thoughtful ones")</f>
        <v>thoughtful ones</v>
      </c>
    </row>
    <row r="38828">
      <c r="A38828" s="1" t="s">
        <v>38827</v>
      </c>
      <c r="B38828" s="2" t="str">
        <f>IFERROR(__xludf.DUMMYFUNCTION("GOOGLETRANSLATE(A38828, ""de"", ""en"")"),"pena")</f>
        <v>pena</v>
      </c>
    </row>
    <row r="38829">
      <c r="A38829" s="1" t="s">
        <v>38828</v>
      </c>
      <c r="B38829" s="2" t="str">
        <f>IFERROR(__xludf.DUMMYFUNCTION("GOOGLETRANSLATE(A38829, ""de"", ""en"")"),"mercier")</f>
        <v>mercier</v>
      </c>
    </row>
    <row r="38830">
      <c r="A38830" s="1" t="s">
        <v>38829</v>
      </c>
      <c r="B38830" s="2" t="str">
        <f>IFERROR(__xludf.DUMMYFUNCTION("GOOGLETRANSLATE(A38830, ""de"", ""en"")"),"southern California")</f>
        <v>southern California</v>
      </c>
    </row>
    <row r="38831">
      <c r="A38831" s="1" t="s">
        <v>38830</v>
      </c>
      <c r="B38831" s="2" t="str">
        <f>IFERROR(__xludf.DUMMYFUNCTION("GOOGLETRANSLATE(A38831, ""de"", ""en"")"),"hd")</f>
        <v>hd</v>
      </c>
    </row>
    <row r="38832">
      <c r="A38832" s="1" t="s">
        <v>38831</v>
      </c>
      <c r="B38832" s="2" t="str">
        <f>IFERROR(__xludf.DUMMYFUNCTION("GOOGLETRANSLATE(A38832, ""de"", ""en"")"),"wikipedia")</f>
        <v>wikipedia</v>
      </c>
    </row>
    <row r="38833">
      <c r="A38833" s="1" t="s">
        <v>38832</v>
      </c>
      <c r="B38833" s="2" t="str">
        <f>IFERROR(__xludf.DUMMYFUNCTION("GOOGLETRANSLATE(A38833, ""de"", ""en"")"),"it's okay")</f>
        <v>it's okay</v>
      </c>
    </row>
    <row r="38834">
      <c r="A38834" s="1" t="s">
        <v>38833</v>
      </c>
      <c r="B38834" s="2" t="str">
        <f>IFERROR(__xludf.DUMMYFUNCTION("GOOGLETRANSLATE(A38834, ""de"", ""en"")"),"nnth")</f>
        <v>nnth</v>
      </c>
    </row>
    <row r="38835">
      <c r="A38835" s="1" t="s">
        <v>38834</v>
      </c>
      <c r="B38835" s="2" t="str">
        <f>IFERROR(__xludf.DUMMYFUNCTION("GOOGLETRANSLATE(A38835, ""de"", ""en"")"),"smog")</f>
        <v>smog</v>
      </c>
    </row>
    <row r="38836">
      <c r="A38836" s="1" t="s">
        <v>38835</v>
      </c>
      <c r="B38836" s="2" t="str">
        <f>IFERROR(__xludf.DUMMYFUNCTION("GOOGLETRANSLATE(A38836, ""de"", ""en"")"),"norms")</f>
        <v>norms</v>
      </c>
    </row>
    <row r="38837">
      <c r="A38837" s="1" t="s">
        <v>38836</v>
      </c>
      <c r="B38837" s="2" t="str">
        <f>IFERROR(__xludf.DUMMYFUNCTION("GOOGLETRANSLATE(A38837, ""de"", ""en"")"),"wipe away")</f>
        <v>wipe away</v>
      </c>
    </row>
    <row r="38838">
      <c r="A38838" s="1" t="s">
        <v>38837</v>
      </c>
      <c r="B38838" s="2" t="str">
        <f>IFERROR(__xludf.DUMMYFUNCTION("GOOGLETRANSLATE(A38838, ""de"", ""en"")"),"creature")</f>
        <v>creature</v>
      </c>
    </row>
    <row r="38839">
      <c r="A38839" s="1" t="s">
        <v>38838</v>
      </c>
      <c r="B38839" s="2" t="str">
        <f>IFERROR(__xludf.DUMMYFUNCTION("GOOGLETRANSLATE(A38839, ""de"", ""en"")"),"Bos")</f>
        <v>Bos</v>
      </c>
    </row>
    <row r="38840">
      <c r="A38840" s="1" t="s">
        <v>38839</v>
      </c>
      <c r="B38840" s="2" t="str">
        <f>IFERROR(__xludf.DUMMYFUNCTION("GOOGLETRANSLATE(A38840, ""de"", ""en"")"),"banter")</f>
        <v>banter</v>
      </c>
    </row>
    <row r="38841">
      <c r="A38841" s="1" t="s">
        <v>38840</v>
      </c>
      <c r="B38841" s="2" t="str">
        <f>IFERROR(__xludf.DUMMYFUNCTION("GOOGLETRANSLATE(A38841, ""de"", ""en"")"),"carpentier")</f>
        <v>carpentier</v>
      </c>
    </row>
    <row r="38842">
      <c r="A38842" s="1" t="s">
        <v>38841</v>
      </c>
      <c r="B38842" s="2" t="str">
        <f>IFERROR(__xludf.DUMMYFUNCTION("GOOGLETRANSLATE(A38842, ""de"", ""en"")"),"area codes")</f>
        <v>area codes</v>
      </c>
    </row>
    <row r="38843">
      <c r="A38843" s="1" t="s">
        <v>38842</v>
      </c>
      <c r="B38843" s="2" t="str">
        <f>IFERROR(__xludf.DUMMYFUNCTION("GOOGLETRANSLATE(A38843, ""de"", ""en"")"),"formed")</f>
        <v>formed</v>
      </c>
    </row>
    <row r="38844">
      <c r="A38844" s="1" t="s">
        <v>38843</v>
      </c>
      <c r="B38844" s="2" t="str">
        <f>IFERROR(__xludf.DUMMYFUNCTION("GOOGLETRANSLATE(A38844, ""de"", ""en"")"),"would have")</f>
        <v>would have</v>
      </c>
    </row>
    <row r="38845">
      <c r="A38845" s="1" t="s">
        <v>38844</v>
      </c>
      <c r="B38845" s="2" t="str">
        <f>IFERROR(__xludf.DUMMYFUNCTION("GOOGLETRANSLATE(A38845, ""de"", ""en"")"),"allegra")</f>
        <v>allegra</v>
      </c>
    </row>
    <row r="38846">
      <c r="A38846" s="1" t="s">
        <v>38845</v>
      </c>
      <c r="B38846" s="2" t="str">
        <f>IFERROR(__xludf.DUMMYFUNCTION("GOOGLETRANSLATE(A38846, ""de"", ""en"")"),"appropriated")</f>
        <v>appropriated</v>
      </c>
    </row>
    <row r="38847">
      <c r="A38847" s="1" t="s">
        <v>38846</v>
      </c>
      <c r="B38847" s="2" t="str">
        <f>IFERROR(__xludf.DUMMYFUNCTION("GOOGLETRANSLATE(A38847, ""de"", ""en"")"),"pull")</f>
        <v>pull</v>
      </c>
    </row>
    <row r="38848">
      <c r="A38848" s="1" t="s">
        <v>38847</v>
      </c>
      <c r="B38848" s="2" t="str">
        <f>IFERROR(__xludf.DUMMYFUNCTION("GOOGLETRANSLATE(A38848, ""de"", ""en"")"),"birthdays")</f>
        <v>birthdays</v>
      </c>
    </row>
    <row r="38849">
      <c r="A38849" s="1" t="s">
        <v>38848</v>
      </c>
      <c r="B38849" s="2" t="str">
        <f>IFERROR(__xludf.DUMMYFUNCTION("GOOGLETRANSLATE(A38849, ""de"", ""en"")"),"Irish")</f>
        <v>Irish</v>
      </c>
    </row>
    <row r="38850">
      <c r="A38850" s="1" t="s">
        <v>38849</v>
      </c>
      <c r="B38850" s="2" t="str">
        <f>IFERROR(__xludf.DUMMYFUNCTION("GOOGLETRANSLATE(A38850, ""de"", ""en"")"),"genome")</f>
        <v>genome</v>
      </c>
    </row>
    <row r="38851">
      <c r="A38851" s="1" t="s">
        <v>38850</v>
      </c>
      <c r="B38851" s="2" t="str">
        <f>IFERROR(__xludf.DUMMYFUNCTION("GOOGLETRANSLATE(A38851, ""de"", ""en"")"),"emiliano")</f>
        <v>emiliano</v>
      </c>
    </row>
    <row r="38852">
      <c r="A38852" s="1" t="s">
        <v>38851</v>
      </c>
      <c r="B38852" s="2" t="str">
        <f>IFERROR(__xludf.DUMMYFUNCTION("GOOGLETRANSLATE(A38852, ""de"", ""en"")"),"went through")</f>
        <v>went through</v>
      </c>
    </row>
    <row r="38853">
      <c r="A38853" s="1" t="s">
        <v>38852</v>
      </c>
      <c r="B38853" s="2" t="str">
        <f>IFERROR(__xludf.DUMMYFUNCTION("GOOGLETRANSLATE(A38853, ""de"", ""en"")"),"sous")</f>
        <v>sous</v>
      </c>
    </row>
    <row r="38854">
      <c r="A38854" s="1" t="s">
        <v>38853</v>
      </c>
      <c r="B38854" s="2" t="str">
        <f>IFERROR(__xludf.DUMMYFUNCTION("GOOGLETRANSLATE(A38854, ""de"", ""en"")"),"marriage")</f>
        <v>marriage</v>
      </c>
    </row>
    <row r="38855">
      <c r="A38855" s="1" t="s">
        <v>38854</v>
      </c>
      <c r="B38855" s="2" t="str">
        <f>IFERROR(__xludf.DUMMYFUNCTION("GOOGLETRANSLATE(A38855, ""de"", ""en"")"),"stem")</f>
        <v>stem</v>
      </c>
    </row>
    <row r="38856">
      <c r="A38856" s="1" t="s">
        <v>38855</v>
      </c>
      <c r="B38856" s="2" t="str">
        <f>IFERROR(__xludf.DUMMYFUNCTION("GOOGLETRANSLATE(A38856, ""de"", ""en"")"),"madsen")</f>
        <v>madsen</v>
      </c>
    </row>
    <row r="38857">
      <c r="A38857" s="1" t="s">
        <v>38856</v>
      </c>
      <c r="B38857" s="2" t="str">
        <f>IFERROR(__xludf.DUMMYFUNCTION("GOOGLETRANSLATE(A38857, ""de"", ""en"")"),"pause")</f>
        <v>pause</v>
      </c>
    </row>
    <row r="38858">
      <c r="A38858" s="1" t="s">
        <v>38857</v>
      </c>
      <c r="B38858" s="2" t="str">
        <f>IFERROR(__xludf.DUMMYFUNCTION("GOOGLETRANSLATE(A38858, ""de"", ""en"")"),"Shakespeare")</f>
        <v>Shakespeare</v>
      </c>
    </row>
    <row r="38859">
      <c r="A38859" s="1" t="s">
        <v>38858</v>
      </c>
      <c r="B38859" s="2" t="str">
        <f>IFERROR(__xludf.DUMMYFUNCTION("GOOGLETRANSLATE(A38859, ""de"", ""en"")"),"barmaid")</f>
        <v>barmaid</v>
      </c>
    </row>
    <row r="38860">
      <c r="A38860" s="1" t="s">
        <v>38859</v>
      </c>
      <c r="B38860" s="2" t="str">
        <f>IFERROR(__xludf.DUMMYFUNCTION("GOOGLETRANSLATE(A38860, ""de"", ""en"")"),"Katharine")</f>
        <v>Katharine</v>
      </c>
    </row>
    <row r="38861">
      <c r="A38861" s="1" t="s">
        <v>38860</v>
      </c>
      <c r="B38861" s="2" t="str">
        <f>IFERROR(__xludf.DUMMYFUNCTION("GOOGLETRANSLATE(A38861, ""de"", ""en"")"),"energy supply")</f>
        <v>energy supply</v>
      </c>
    </row>
    <row r="38862">
      <c r="A38862" s="1" t="s">
        <v>38861</v>
      </c>
      <c r="B38862" s="2" t="str">
        <f>IFERROR(__xludf.DUMMYFUNCTION("GOOGLETRANSLATE(A38862, ""de"", ""en"")"),"grope")</f>
        <v>grope</v>
      </c>
    </row>
    <row r="38863">
      <c r="A38863" s="1" t="s">
        <v>38862</v>
      </c>
      <c r="B38863" s="2" t="str">
        <f>IFERROR(__xludf.DUMMYFUNCTION("GOOGLETRANSLATE(A38863, ""de"", ""en"")"),"gene.")</f>
        <v>gene.</v>
      </c>
    </row>
    <row r="38864">
      <c r="A38864" s="1" t="s">
        <v>38863</v>
      </c>
      <c r="B38864" s="2" t="str">
        <f>IFERROR(__xludf.DUMMYFUNCTION("GOOGLETRANSLATE(A38864, ""de"", ""en"")"),"Casey's")</f>
        <v>Casey's</v>
      </c>
    </row>
    <row r="38865">
      <c r="A38865" s="1" t="s">
        <v>38864</v>
      </c>
      <c r="B38865" s="2" t="str">
        <f>IFERROR(__xludf.DUMMYFUNCTION("GOOGLETRANSLATE(A38865, ""de"", ""en"")"),"namely")</f>
        <v>namely</v>
      </c>
    </row>
    <row r="38866">
      <c r="A38866" s="1" t="s">
        <v>38865</v>
      </c>
      <c r="B38866" s="2" t="str">
        <f>IFERROR(__xludf.DUMMYFUNCTION("GOOGLETRANSLATE(A38866, ""de"", ""en"")"),"huge fan")</f>
        <v>huge fan</v>
      </c>
    </row>
    <row r="38867">
      <c r="A38867" s="1" t="s">
        <v>38866</v>
      </c>
      <c r="B38867" s="2" t="str">
        <f>IFERROR(__xludf.DUMMYFUNCTION("GOOGLETRANSLATE(A38867, ""de"", ""en"")"),"duggan")</f>
        <v>duggan</v>
      </c>
    </row>
    <row r="38868">
      <c r="A38868" s="1" t="s">
        <v>38867</v>
      </c>
      <c r="B38868" s="2" t="str">
        <f>IFERROR(__xludf.DUMMYFUNCTION("GOOGLETRANSLATE(A38868, ""de"", ""en"")"),"commissioned")</f>
        <v>commissioned</v>
      </c>
    </row>
    <row r="38869">
      <c r="A38869" s="1" t="s">
        <v>38868</v>
      </c>
      <c r="B38869" s="2" t="str">
        <f>IFERROR(__xludf.DUMMYFUNCTION("GOOGLETRANSLATE(A38869, ""de"", ""en"")"),"sparkling clean")</f>
        <v>sparkling clean</v>
      </c>
    </row>
    <row r="38870">
      <c r="A38870" s="1" t="s">
        <v>38869</v>
      </c>
      <c r="B38870" s="2" t="str">
        <f>IFERROR(__xludf.DUMMYFUNCTION("GOOGLETRANSLATE(A38870, ""de"", ""en"")"),"websites")</f>
        <v>websites</v>
      </c>
    </row>
    <row r="38871">
      <c r="A38871" s="1" t="s">
        <v>38870</v>
      </c>
      <c r="B38871" s="2" t="str">
        <f>IFERROR(__xludf.DUMMYFUNCTION("GOOGLETRANSLATE(A38871, ""de"", ""en"")"),"bitterness")</f>
        <v>bitterness</v>
      </c>
    </row>
    <row r="38872">
      <c r="A38872" s="1" t="s">
        <v>38871</v>
      </c>
      <c r="B38872" s="2" t="str">
        <f>IFERROR(__xludf.DUMMYFUNCTION("GOOGLETRANSLATE(A38872, ""de"", ""en"")"),"rhymes")</f>
        <v>rhymes</v>
      </c>
    </row>
    <row r="38873">
      <c r="A38873" s="1" t="s">
        <v>38872</v>
      </c>
      <c r="B38873" s="2" t="str">
        <f>IFERROR(__xludf.DUMMYFUNCTION("GOOGLETRANSLATE(A38873, ""de"", ""en"")"),"mikaelsons")</f>
        <v>mikaelsons</v>
      </c>
    </row>
    <row r="38874">
      <c r="A38874" s="1" t="s">
        <v>38873</v>
      </c>
      <c r="B38874" s="2" t="str">
        <f>IFERROR(__xludf.DUMMYFUNCTION("GOOGLETRANSLATE(A38874, ""de"", ""en"")"),"Islamic")</f>
        <v>Islamic</v>
      </c>
    </row>
    <row r="38875">
      <c r="A38875" s="1" t="s">
        <v>38874</v>
      </c>
      <c r="B38875" s="2" t="str">
        <f>IFERROR(__xludf.DUMMYFUNCTION("GOOGLETRANSLATE(A38875, ""de"", ""en"")"),"manic")</f>
        <v>manic</v>
      </c>
    </row>
    <row r="38876">
      <c r="A38876" s="1" t="s">
        <v>38875</v>
      </c>
      <c r="B38876" s="2" t="str">
        <f>IFERROR(__xludf.DUMMYFUNCTION("GOOGLETRANSLATE(A38876, ""de"", ""en"")"),"barkley")</f>
        <v>barkley</v>
      </c>
    </row>
    <row r="38877">
      <c r="A38877" s="1" t="s">
        <v>38876</v>
      </c>
      <c r="B38877" s="2" t="str">
        <f>IFERROR(__xludf.DUMMYFUNCTION("GOOGLETRANSLATE(A38877, ""de"", ""en"")"),"c.k.")</f>
        <v>c.k.</v>
      </c>
    </row>
    <row r="38878">
      <c r="A38878" s="1" t="s">
        <v>38877</v>
      </c>
      <c r="B38878" s="2" t="str">
        <f>IFERROR(__xludf.DUMMYFUNCTION("GOOGLETRANSLATE(A38878, ""de"", ""en"")"),"lawyers")</f>
        <v>lawyers</v>
      </c>
    </row>
    <row r="38879">
      <c r="A38879" s="1" t="s">
        <v>38878</v>
      </c>
      <c r="B38879" s="2" t="str">
        <f>IFERROR(__xludf.DUMMYFUNCTION("GOOGLETRANSLATE(A38879, ""de"", ""en"")"),"haughty")</f>
        <v>haughty</v>
      </c>
    </row>
    <row r="38880">
      <c r="A38880" s="1" t="s">
        <v>38879</v>
      </c>
      <c r="B38880" s="2" t="str">
        <f>IFERROR(__xludf.DUMMYFUNCTION("GOOGLETRANSLATE(A38880, ""de"", ""en"")"),"ruckus")</f>
        <v>ruckus</v>
      </c>
    </row>
    <row r="38881">
      <c r="A38881" s="1" t="s">
        <v>38880</v>
      </c>
      <c r="B38881" s="2" t="str">
        <f>IFERROR(__xludf.DUMMYFUNCTION("GOOGLETRANSLATE(A38881, ""de"", ""en"")"),"coming out")</f>
        <v>coming out</v>
      </c>
    </row>
    <row r="38882">
      <c r="A38882" s="1" t="s">
        <v>38881</v>
      </c>
      <c r="B38882" s="2" t="str">
        <f>IFERROR(__xludf.DUMMYFUNCTION("GOOGLETRANSLATE(A38882, ""de"", ""en"")"),"claim")</f>
        <v>claim</v>
      </c>
    </row>
    <row r="38883">
      <c r="A38883" s="1" t="s">
        <v>38882</v>
      </c>
      <c r="B38883" s="2" t="str">
        <f>IFERROR(__xludf.DUMMYFUNCTION("GOOGLETRANSLATE(A38883, ""de"", ""en"")"),"semper")</f>
        <v>semper</v>
      </c>
    </row>
    <row r="38884">
      <c r="A38884" s="1" t="s">
        <v>38883</v>
      </c>
      <c r="B38884" s="2" t="str">
        <f>IFERROR(__xludf.DUMMYFUNCTION("GOOGLETRANSLATE(A38884, ""de"", ""en"")"),"Concorde")</f>
        <v>Concorde</v>
      </c>
    </row>
    <row r="38885">
      <c r="A38885" s="1" t="s">
        <v>38884</v>
      </c>
      <c r="B38885" s="2" t="str">
        <f>IFERROR(__xludf.DUMMYFUNCTION("GOOGLETRANSLATE(A38885, ""de"", ""en"")"),"freezer")</f>
        <v>freezer</v>
      </c>
    </row>
    <row r="38886">
      <c r="A38886" s="1" t="s">
        <v>38885</v>
      </c>
      <c r="B38886" s="2" t="str">
        <f>IFERROR(__xludf.DUMMYFUNCTION("GOOGLETRANSLATE(A38886, ""de"", ""en"")"),"door handle")</f>
        <v>door handle</v>
      </c>
    </row>
    <row r="38887">
      <c r="A38887" s="1" t="s">
        <v>38886</v>
      </c>
      <c r="B38887" s="2" t="str">
        <f>IFERROR(__xludf.DUMMYFUNCTION("GOOGLETRANSLATE(A38887, ""de"", ""en"")"),"nervous")</f>
        <v>nervous</v>
      </c>
    </row>
    <row r="38888">
      <c r="A38888" s="1" t="s">
        <v>38887</v>
      </c>
      <c r="B38888" s="2" t="str">
        <f>IFERROR(__xludf.DUMMYFUNCTION("GOOGLETRANSLATE(A38888, ""de"", ""en"")"),"wrestled")</f>
        <v>wrestled</v>
      </c>
    </row>
    <row r="38889">
      <c r="A38889" s="1" t="s">
        <v>38888</v>
      </c>
      <c r="B38889" s="2" t="str">
        <f>IFERROR(__xludf.DUMMYFUNCTION("GOOGLETRANSLATE(A38889, ""de"", ""en"")"),"Diana")</f>
        <v>Diana</v>
      </c>
    </row>
    <row r="38890">
      <c r="A38890" s="1" t="s">
        <v>38889</v>
      </c>
      <c r="B38890" s="2" t="str">
        <f>IFERROR(__xludf.DUMMYFUNCTION("GOOGLETRANSLATE(A38890, ""de"", ""en"")"),"robbery")</f>
        <v>robbery</v>
      </c>
    </row>
    <row r="38891">
      <c r="A38891" s="1" t="s">
        <v>38890</v>
      </c>
      <c r="B38891" s="2" t="str">
        <f>IFERROR(__xludf.DUMMYFUNCTION("GOOGLETRANSLATE(A38891, ""de"", ""en"")"),"stayed overnight")</f>
        <v>stayed overnight</v>
      </c>
    </row>
    <row r="38892">
      <c r="A38892" s="1" t="s">
        <v>38891</v>
      </c>
      <c r="B38892" s="2" t="str">
        <f>IFERROR(__xludf.DUMMYFUNCTION("GOOGLETRANSLATE(A38892, ""de"", ""en"")"),"hay fever")</f>
        <v>hay fever</v>
      </c>
    </row>
    <row r="38893">
      <c r="A38893" s="1" t="s">
        <v>38892</v>
      </c>
      <c r="B38893" s="2" t="str">
        <f>IFERROR(__xludf.DUMMYFUNCTION("GOOGLETRANSLATE(A38893, ""de"", ""en"")"),"church choir")</f>
        <v>church choir</v>
      </c>
    </row>
    <row r="38894">
      <c r="A38894" s="1" t="s">
        <v>38893</v>
      </c>
      <c r="B38894" s="2" t="str">
        <f>IFERROR(__xludf.DUMMYFUNCTION("GOOGLETRANSLATE(A38894, ""de"", ""en"")"),"organic")</f>
        <v>organic</v>
      </c>
    </row>
    <row r="38895">
      <c r="A38895" s="1" t="s">
        <v>38894</v>
      </c>
      <c r="B38895" s="2" t="str">
        <f>IFERROR(__xludf.DUMMYFUNCTION("GOOGLETRANSLATE(A38895, ""de"", ""en"")"),"crowded")</f>
        <v>crowded</v>
      </c>
    </row>
    <row r="38896">
      <c r="A38896" s="1" t="s">
        <v>38895</v>
      </c>
      <c r="B38896" s="2" t="str">
        <f>IFERROR(__xludf.DUMMYFUNCTION("GOOGLETRANSLATE(A38896, ""de"", ""en"")"),"greedy")</f>
        <v>greedy</v>
      </c>
    </row>
    <row r="38897">
      <c r="A38897" s="1" t="s">
        <v>38896</v>
      </c>
      <c r="B38897" s="2" t="str">
        <f>IFERROR(__xludf.DUMMYFUNCTION("GOOGLETRANSLATE(A38897, ""de"", ""en"")"),"sprat")</f>
        <v>sprat</v>
      </c>
    </row>
    <row r="38898">
      <c r="A38898" s="1" t="s">
        <v>38897</v>
      </c>
      <c r="B38898" s="2" t="str">
        <f>IFERROR(__xludf.DUMMYFUNCTION("GOOGLETRANSLATE(A38898, ""de"", ""en"")"),"he was")</f>
        <v>he was</v>
      </c>
    </row>
    <row r="38899">
      <c r="A38899" s="1" t="s">
        <v>38898</v>
      </c>
      <c r="B38899" s="2" t="str">
        <f>IFERROR(__xludf.DUMMYFUNCTION("GOOGLETRANSLATE(A38899, ""de"", ""en"")"),"rhythm")</f>
        <v>rhythm</v>
      </c>
    </row>
    <row r="38900">
      <c r="A38900" s="1" t="s">
        <v>38899</v>
      </c>
      <c r="B38900" s="2" t="str">
        <f>IFERROR(__xludf.DUMMYFUNCTION("GOOGLETRANSLATE(A38900, ""de"", ""en"")"),"isolating")</f>
        <v>isolating</v>
      </c>
    </row>
    <row r="38901">
      <c r="A38901" s="1" t="s">
        <v>38900</v>
      </c>
      <c r="B38901" s="2" t="str">
        <f>IFERROR(__xludf.DUMMYFUNCTION("GOOGLETRANSLATE(A38901, ""de"", ""en"")"),"John")</f>
        <v>John</v>
      </c>
    </row>
    <row r="38902">
      <c r="A38902" s="1" t="s">
        <v>38901</v>
      </c>
      <c r="B38902" s="2" t="str">
        <f>IFERROR(__xludf.DUMMYFUNCTION("GOOGLETRANSLATE(A38902, ""de"", ""en"")"),"car mechanic")</f>
        <v>car mechanic</v>
      </c>
    </row>
    <row r="38903">
      <c r="A38903" s="1" t="s">
        <v>38902</v>
      </c>
      <c r="B38903" s="2" t="str">
        <f>IFERROR(__xludf.DUMMYFUNCTION("GOOGLETRANSLATE(A38903, ""de"", ""en"")"),"adem")</f>
        <v>adem</v>
      </c>
    </row>
    <row r="38904">
      <c r="A38904" s="1" t="s">
        <v>38903</v>
      </c>
      <c r="B38904" s="2" t="str">
        <f>IFERROR(__xludf.DUMMYFUNCTION("GOOGLETRANSLATE(A38904, ""de"", ""en"")"),"to eradicate")</f>
        <v>to eradicate</v>
      </c>
    </row>
    <row r="38905">
      <c r="A38905" s="1" t="s">
        <v>38904</v>
      </c>
      <c r="B38905" s="2" t="str">
        <f>IFERROR(__xludf.DUMMYFUNCTION("GOOGLETRANSLATE(A38905, ""de"", ""en"")"),"more concrete")</f>
        <v>more concrete</v>
      </c>
    </row>
    <row r="38906">
      <c r="A38906" s="1" t="s">
        <v>38905</v>
      </c>
      <c r="B38906" s="2" t="str">
        <f>IFERROR(__xludf.DUMMYFUNCTION("GOOGLETRANSLATE(A38906, ""de"", ""en"")"),"required")</f>
        <v>required</v>
      </c>
    </row>
    <row r="38907">
      <c r="A38907" s="1" t="s">
        <v>38906</v>
      </c>
      <c r="B38907" s="2" t="str">
        <f>IFERROR(__xludf.DUMMYFUNCTION("GOOGLETRANSLATE(A38907, ""de"", ""en"")"),"devastating")</f>
        <v>devastating</v>
      </c>
    </row>
    <row r="38908">
      <c r="A38908" s="1" t="s">
        <v>38907</v>
      </c>
      <c r="B38908" s="2" t="str">
        <f>IFERROR(__xludf.DUMMYFUNCTION("GOOGLETRANSLATE(A38908, ""de"", ""en"")"),"ante")</f>
        <v>ante</v>
      </c>
    </row>
    <row r="38909">
      <c r="A38909" s="1" t="s">
        <v>38908</v>
      </c>
      <c r="B38909" s="2" t="str">
        <f>IFERROR(__xludf.DUMMYFUNCTION("GOOGLETRANSLATE(A38909, ""de"", ""en"")"),"baylin")</f>
        <v>baylin</v>
      </c>
    </row>
    <row r="38910">
      <c r="A38910" s="1" t="s">
        <v>38909</v>
      </c>
      <c r="B38910" s="2" t="str">
        <f>IFERROR(__xludf.DUMMYFUNCTION("GOOGLETRANSLATE(A38910, ""de"", ""en"")"),"hate")</f>
        <v>hate</v>
      </c>
    </row>
    <row r="38911">
      <c r="A38911" s="1" t="s">
        <v>38910</v>
      </c>
      <c r="B38911" s="2" t="str">
        <f>IFERROR(__xludf.DUMMYFUNCTION("GOOGLETRANSLATE(A38911, ""de"", ""en"")"),"seska")</f>
        <v>seska</v>
      </c>
    </row>
    <row r="38912">
      <c r="A38912" s="1" t="s">
        <v>38911</v>
      </c>
      <c r="B38912" s="2" t="str">
        <f>IFERROR(__xludf.DUMMYFUNCTION("GOOGLETRANSLATE(A38912, ""de"", ""en"")"),"winter garden")</f>
        <v>winter garden</v>
      </c>
    </row>
    <row r="38913">
      <c r="A38913" s="1" t="s">
        <v>38912</v>
      </c>
      <c r="B38913" s="2" t="str">
        <f>IFERROR(__xludf.DUMMYFUNCTION("GOOGLETRANSLATE(A38913, ""de"", ""en"")"),"majestic")</f>
        <v>majestic</v>
      </c>
    </row>
    <row r="38914">
      <c r="A38914" s="1" t="s">
        <v>38913</v>
      </c>
      <c r="B38914" s="2" t="str">
        <f>IFERROR(__xludf.DUMMYFUNCTION("GOOGLETRANSLATE(A38914, ""de"", ""en"")"),"purr")</f>
        <v>purr</v>
      </c>
    </row>
    <row r="38915">
      <c r="A38915" s="1" t="s">
        <v>38914</v>
      </c>
      <c r="B38915" s="2" t="str">
        <f>IFERROR(__xludf.DUMMYFUNCTION("GOOGLETRANSLATE(A38915, ""de"", ""en"")"),"photogenic")</f>
        <v>photogenic</v>
      </c>
    </row>
    <row r="38916">
      <c r="A38916" s="1" t="s">
        <v>38915</v>
      </c>
      <c r="B38916" s="2" t="str">
        <f>IFERROR(__xludf.DUMMYFUNCTION("GOOGLETRANSLATE(A38916, ""de"", ""en"")"),"designs")</f>
        <v>designs</v>
      </c>
    </row>
    <row r="38917">
      <c r="A38917" s="1" t="s">
        <v>38916</v>
      </c>
      <c r="B38917" s="2" t="str">
        <f>IFERROR(__xludf.DUMMYFUNCTION("GOOGLETRANSLATE(A38917, ""de"", ""en"")"),"chills")</f>
        <v>chills</v>
      </c>
    </row>
    <row r="38918">
      <c r="A38918" s="1" t="s">
        <v>38917</v>
      </c>
      <c r="B38918" s="2" t="str">
        <f>IFERROR(__xludf.DUMMYFUNCTION("GOOGLETRANSLATE(A38918, ""de"", ""en"")"),"type.type")</f>
        <v>type.type</v>
      </c>
    </row>
    <row r="38919">
      <c r="A38919" s="1" t="s">
        <v>38918</v>
      </c>
      <c r="B38919" s="2" t="str">
        <f>IFERROR(__xludf.DUMMYFUNCTION("GOOGLETRANSLATE(A38919, ""de"", ""en"")"),"recognized")</f>
        <v>recognized</v>
      </c>
    </row>
    <row r="38920">
      <c r="A38920" s="1" t="s">
        <v>38919</v>
      </c>
      <c r="B38920" s="2" t="str">
        <f>IFERROR(__xludf.DUMMYFUNCTION("GOOGLETRANSLATE(A38920, ""de"", ""en"")"),"deluca")</f>
        <v>deluca</v>
      </c>
    </row>
    <row r="38921">
      <c r="A38921" s="1" t="s">
        <v>38920</v>
      </c>
      <c r="B38921" s="2" t="str">
        <f>IFERROR(__xludf.DUMMYFUNCTION("GOOGLETRANSLATE(A38921, ""de"", ""en"")"),"human hands")</f>
        <v>human hands</v>
      </c>
    </row>
    <row r="38922">
      <c r="A38922" s="1" t="s">
        <v>38921</v>
      </c>
      <c r="B38922" s="2" t="str">
        <f>IFERROR(__xludf.DUMMYFUNCTION("GOOGLETRANSLATE(A38922, ""de"", ""en"")"),"Schwarzenegger")</f>
        <v>Schwarzenegger</v>
      </c>
    </row>
    <row r="38923">
      <c r="A38923" s="1" t="s">
        <v>38922</v>
      </c>
      <c r="B38923" s="2" t="str">
        <f>IFERROR(__xludf.DUMMYFUNCTION("GOOGLETRANSLATE(A38923, ""de"", ""en"")"),"slash")</f>
        <v>slash</v>
      </c>
    </row>
    <row r="38924">
      <c r="A38924" s="1" t="s">
        <v>38923</v>
      </c>
      <c r="B38924" s="2" t="str">
        <f>IFERROR(__xludf.DUMMYFUNCTION("GOOGLETRANSLATE(A38924, ""de"", ""en"")"),"lower")</f>
        <v>lower</v>
      </c>
    </row>
    <row r="38925">
      <c r="A38925" s="1" t="s">
        <v>38924</v>
      </c>
      <c r="B38925" s="2" t="str">
        <f>IFERROR(__xludf.DUMMYFUNCTION("GOOGLETRANSLATE(A38925, ""de"", ""en"")"),"throw away")</f>
        <v>throw away</v>
      </c>
    </row>
    <row r="38926">
      <c r="A38926" s="1" t="s">
        <v>38925</v>
      </c>
      <c r="B38926" s="2" t="str">
        <f>IFERROR(__xludf.DUMMYFUNCTION("GOOGLETRANSLATE(A38926, ""de"", ""en"")"),"spit")</f>
        <v>spit</v>
      </c>
    </row>
    <row r="38927">
      <c r="A38927" s="1" t="s">
        <v>38926</v>
      </c>
      <c r="B38927" s="2" t="str">
        <f>IFERROR(__xludf.DUMMYFUNCTION("GOOGLETRANSLATE(A38927, ""de"", ""en"")"),"rite")</f>
        <v>rite</v>
      </c>
    </row>
    <row r="38928">
      <c r="A38928" s="1" t="s">
        <v>38927</v>
      </c>
      <c r="B38928" s="2" t="str">
        <f>IFERROR(__xludf.DUMMYFUNCTION("GOOGLETRANSLATE(A38928, ""de"", ""en"")"),"long term")</f>
        <v>long term</v>
      </c>
    </row>
    <row r="38929">
      <c r="A38929" s="1" t="s">
        <v>38928</v>
      </c>
      <c r="B38929" s="2" t="str">
        <f>IFERROR(__xludf.DUMMYFUNCTION("GOOGLETRANSLATE(A38929, ""de"", ""en"")"),"determined")</f>
        <v>determined</v>
      </c>
    </row>
    <row r="38930">
      <c r="A38930" s="1" t="s">
        <v>38929</v>
      </c>
      <c r="B38930" s="2" t="str">
        <f>IFERROR(__xludf.DUMMYFUNCTION("GOOGLETRANSLATE(A38930, ""de"", ""en"")"),"you're kidding")</f>
        <v>you're kidding</v>
      </c>
    </row>
    <row r="38931">
      <c r="A38931" s="1" t="s">
        <v>38930</v>
      </c>
      <c r="B38931" s="2" t="str">
        <f>IFERROR(__xludf.DUMMYFUNCTION("GOOGLETRANSLATE(A38931, ""de"", ""en"")"),"jackals")</f>
        <v>jackals</v>
      </c>
    </row>
    <row r="38932">
      <c r="A38932" s="1" t="s">
        <v>38931</v>
      </c>
      <c r="B38932" s="2" t="str">
        <f>IFERROR(__xludf.DUMMYFUNCTION("GOOGLETRANSLATE(A38932, ""de"", ""en"")"),"waterfalls")</f>
        <v>waterfalls</v>
      </c>
    </row>
    <row r="38933">
      <c r="A38933" s="1" t="s">
        <v>38932</v>
      </c>
      <c r="B38933" s="2" t="str">
        <f>IFERROR(__xludf.DUMMYFUNCTION("GOOGLETRANSLATE(A38933, ""de"", ""en"")"),"kalfa")</f>
        <v>kalfa</v>
      </c>
    </row>
    <row r="38934">
      <c r="A38934" s="1" t="s">
        <v>38933</v>
      </c>
      <c r="B38934" s="2" t="str">
        <f>IFERROR(__xludf.DUMMYFUNCTION("GOOGLETRANSLATE(A38934, ""de"", ""en"")"),"piano player")</f>
        <v>piano player</v>
      </c>
    </row>
    <row r="38935">
      <c r="A38935" s="1" t="s">
        <v>38934</v>
      </c>
      <c r="B38935" s="2" t="str">
        <f>IFERROR(__xludf.DUMMYFUNCTION("GOOGLETRANSLATE(A38935, ""de"", ""en"")"),"insistence")</f>
        <v>insistence</v>
      </c>
    </row>
    <row r="38936">
      <c r="A38936" s="1" t="s">
        <v>38935</v>
      </c>
      <c r="B38936" s="2" t="str">
        <f>IFERROR(__xludf.DUMMYFUNCTION("GOOGLETRANSLATE(A38936, ""de"", ""en"")"),"pryor")</f>
        <v>pryor</v>
      </c>
    </row>
    <row r="38937">
      <c r="A38937" s="1" t="s">
        <v>38936</v>
      </c>
      <c r="B38937" s="2" t="str">
        <f>IFERROR(__xludf.DUMMYFUNCTION("GOOGLETRANSLATE(A38937, ""de"", ""en"")"),"drinking")</f>
        <v>drinking</v>
      </c>
    </row>
    <row r="38938">
      <c r="A38938" s="1" t="s">
        <v>38937</v>
      </c>
      <c r="B38938" s="2" t="str">
        <f>IFERROR(__xludf.DUMMYFUNCTION("GOOGLETRANSLATE(A38938, ""de"", ""en"")"),"logically")</f>
        <v>logically</v>
      </c>
    </row>
    <row r="38939">
      <c r="A38939" s="1" t="s">
        <v>38938</v>
      </c>
      <c r="B38939" s="2" t="str">
        <f>IFERROR(__xludf.DUMMYFUNCTION("GOOGLETRANSLATE(A38939, ""de"", ""en"")"),"interpreted")</f>
        <v>interpreted</v>
      </c>
    </row>
    <row r="38940">
      <c r="A38940" s="1" t="s">
        <v>38939</v>
      </c>
      <c r="B38940" s="2" t="str">
        <f>IFERROR(__xludf.DUMMYFUNCTION("GOOGLETRANSLATE(A38940, ""de"", ""en"")"),"life task")</f>
        <v>life task</v>
      </c>
    </row>
    <row r="38941">
      <c r="A38941" s="1" t="s">
        <v>38940</v>
      </c>
      <c r="B38941" s="2" t="str">
        <f>IFERROR(__xludf.DUMMYFUNCTION("GOOGLETRANSLATE(A38941, ""de"", ""en"")"),"Eisenstein")</f>
        <v>Eisenstein</v>
      </c>
    </row>
    <row r="38942">
      <c r="A38942" s="1" t="s">
        <v>38941</v>
      </c>
      <c r="B38942" s="2" t="str">
        <f>IFERROR(__xludf.DUMMYFUNCTION("GOOGLETRANSLATE(A38942, ""de"", ""en"")"),"chronic")</f>
        <v>chronic</v>
      </c>
    </row>
    <row r="38943">
      <c r="A38943" s="1" t="s">
        <v>38942</v>
      </c>
      <c r="B38943" s="2" t="str">
        <f>IFERROR(__xludf.DUMMYFUNCTION("GOOGLETRANSLATE(A38943, ""de"", ""en"")"),"Groucho")</f>
        <v>Groucho</v>
      </c>
    </row>
    <row r="38944">
      <c r="A38944" s="1" t="s">
        <v>38943</v>
      </c>
      <c r="B38944" s="2" t="str">
        <f>IFERROR(__xludf.DUMMYFUNCTION("GOOGLETRANSLATE(A38944, ""de"", ""en"")"),"stumpy")</f>
        <v>stumpy</v>
      </c>
    </row>
    <row r="38945">
      <c r="A38945" s="1" t="s">
        <v>38944</v>
      </c>
      <c r="B38945" s="2" t="str">
        <f>IFERROR(__xludf.DUMMYFUNCTION("GOOGLETRANSLATE(A38945, ""de"", ""en"")"),"litter")</f>
        <v>litter</v>
      </c>
    </row>
    <row r="38946">
      <c r="A38946" s="1" t="s">
        <v>38945</v>
      </c>
      <c r="B38946" s="2" t="str">
        <f>IFERROR(__xludf.DUMMYFUNCTION("GOOGLETRANSLATE(A38946, ""de"", ""en"")"),"treatable")</f>
        <v>treatable</v>
      </c>
    </row>
    <row r="38947">
      <c r="A38947" s="1" t="s">
        <v>38946</v>
      </c>
      <c r="B38947" s="2" t="str">
        <f>IFERROR(__xludf.DUMMYFUNCTION("GOOGLETRANSLATE(A38947, ""de"", ""en"")"),"shaughnessy")</f>
        <v>shaughnessy</v>
      </c>
    </row>
    <row r="38948">
      <c r="A38948" s="1" t="s">
        <v>38947</v>
      </c>
      <c r="B38948" s="2" t="str">
        <f>IFERROR(__xludf.DUMMYFUNCTION("GOOGLETRANSLATE(A38948, ""de"", ""en"")"),"lifeboats")</f>
        <v>lifeboats</v>
      </c>
    </row>
    <row r="38949">
      <c r="A38949" s="1" t="s">
        <v>38948</v>
      </c>
      <c r="B38949" s="2" t="str">
        <f>IFERROR(__xludf.DUMMYFUNCTION("GOOGLETRANSLATE(A38949, ""de"", ""en"")"),"torn apart")</f>
        <v>torn apart</v>
      </c>
    </row>
    <row r="38950">
      <c r="A38950" s="1" t="s">
        <v>38949</v>
      </c>
      <c r="B38950" s="2" t="str">
        <f>IFERROR(__xludf.DUMMYFUNCTION("GOOGLETRANSLATE(A38950, ""de"", ""en"")"),"analogy")</f>
        <v>analogy</v>
      </c>
    </row>
    <row r="38951">
      <c r="A38951" s="1" t="s">
        <v>38950</v>
      </c>
      <c r="B38951" s="2" t="str">
        <f>IFERROR(__xludf.DUMMYFUNCTION("GOOGLETRANSLATE(A38951, ""de"", ""en"")"),"launch pad")</f>
        <v>launch pad</v>
      </c>
    </row>
    <row r="38952">
      <c r="A38952" s="1" t="s">
        <v>38951</v>
      </c>
      <c r="B38952" s="2" t="str">
        <f>IFERROR(__xludf.DUMMYFUNCTION("GOOGLETRANSLATE(A38952, ""de"", ""en"")"),"prada")</f>
        <v>prada</v>
      </c>
    </row>
    <row r="38953">
      <c r="A38953" s="1" t="s">
        <v>38952</v>
      </c>
      <c r="B38953" s="2" t="str">
        <f>IFERROR(__xludf.DUMMYFUNCTION("GOOGLETRANSLATE(A38953, ""de"", ""en"")"),"surreal")</f>
        <v>surreal</v>
      </c>
    </row>
    <row r="38954">
      <c r="A38954" s="1" t="s">
        <v>38953</v>
      </c>
      <c r="B38954" s="2" t="str">
        <f>IFERROR(__xludf.DUMMYFUNCTION("GOOGLETRANSLATE(A38954, ""de"", ""en"")"),"crush")</f>
        <v>crush</v>
      </c>
    </row>
    <row r="38955">
      <c r="A38955" s="1" t="s">
        <v>38954</v>
      </c>
      <c r="B38955" s="2" t="str">
        <f>IFERROR(__xludf.DUMMYFUNCTION("GOOGLETRANSLATE(A38955, ""de"", ""en"")"),"alloy")</f>
        <v>alloy</v>
      </c>
    </row>
    <row r="38956">
      <c r="A38956" s="1" t="s">
        <v>38955</v>
      </c>
      <c r="B38956" s="2" t="str">
        <f>IFERROR(__xludf.DUMMYFUNCTION("GOOGLETRANSLATE(A38956, ""de"", ""en"")"),"ajax")</f>
        <v>ajax</v>
      </c>
    </row>
    <row r="38957">
      <c r="A38957" s="1" t="s">
        <v>38956</v>
      </c>
      <c r="B38957" s="2" t="str">
        <f>IFERROR(__xludf.DUMMYFUNCTION("GOOGLETRANSLATE(A38957, ""de"", ""en"")"),"civilian")</f>
        <v>civilian</v>
      </c>
    </row>
    <row r="38958">
      <c r="A38958" s="1" t="s">
        <v>38957</v>
      </c>
      <c r="B38958" s="2" t="str">
        <f>IFERROR(__xludf.DUMMYFUNCTION("GOOGLETRANSLATE(A38958, ""de"", ""en"")"),"realistic")</f>
        <v>realistic</v>
      </c>
    </row>
    <row r="38959">
      <c r="A38959" s="1" t="s">
        <v>38958</v>
      </c>
      <c r="B38959" s="2" t="str">
        <f>IFERROR(__xludf.DUMMYFUNCTION("GOOGLETRANSLATE(A38959, ""de"", ""en"")"),"chief")</f>
        <v>chief</v>
      </c>
    </row>
    <row r="38960">
      <c r="A38960" s="1" t="s">
        <v>38959</v>
      </c>
      <c r="B38960" s="2" t="str">
        <f>IFERROR(__xludf.DUMMYFUNCTION("GOOGLETRANSLATE(A38960, ""de"", ""en"")"),"to look at")</f>
        <v>to look at</v>
      </c>
    </row>
    <row r="38961">
      <c r="A38961" s="1" t="s">
        <v>38960</v>
      </c>
      <c r="B38961" s="2" t="str">
        <f>IFERROR(__xludf.DUMMYFUNCTION("GOOGLETRANSLATE(A38961, ""de"", ""en"")"),"urged")</f>
        <v>urged</v>
      </c>
    </row>
    <row r="38962">
      <c r="A38962" s="1" t="s">
        <v>38961</v>
      </c>
      <c r="B38962" s="2" t="str">
        <f>IFERROR(__xludf.DUMMYFUNCTION("GOOGLETRANSLATE(A38962, ""de"", ""en"")"),"airship")</f>
        <v>airship</v>
      </c>
    </row>
    <row r="38963">
      <c r="A38963" s="1" t="s">
        <v>38962</v>
      </c>
      <c r="B38963" s="2" t="str">
        <f>IFERROR(__xludf.DUMMYFUNCTION("GOOGLETRANSLATE(A38963, ""de"", ""en"")"),"blood vessels")</f>
        <v>blood vessels</v>
      </c>
    </row>
    <row r="38964">
      <c r="A38964" s="1" t="s">
        <v>38963</v>
      </c>
      <c r="B38964" s="2" t="str">
        <f>IFERROR(__xludf.DUMMYFUNCTION("GOOGLETRANSLATE(A38964, ""de"", ""en"")"),"spalding")</f>
        <v>spalding</v>
      </c>
    </row>
    <row r="38965">
      <c r="A38965" s="1" t="s">
        <v>38964</v>
      </c>
      <c r="B38965" s="2" t="str">
        <f>IFERROR(__xludf.DUMMYFUNCTION("GOOGLETRANSLATE(A38965, ""de"", ""en"")"),"bar association")</f>
        <v>bar association</v>
      </c>
    </row>
    <row r="38966">
      <c r="A38966" s="1" t="s">
        <v>38965</v>
      </c>
      <c r="B38966" s="2" t="str">
        <f>IFERROR(__xludf.DUMMYFUNCTION("GOOGLETRANSLATE(A38966, ""de"", ""en"")"),"admitted")</f>
        <v>admitted</v>
      </c>
    </row>
    <row r="38967">
      <c r="A38967" s="1" t="s">
        <v>38966</v>
      </c>
      <c r="B38967" s="2" t="str">
        <f>IFERROR(__xludf.DUMMYFUNCTION("GOOGLETRANSLATE(A38967, ""de"", ""en"")"),"dio")</f>
        <v>dio</v>
      </c>
    </row>
    <row r="38968">
      <c r="A38968" s="1" t="s">
        <v>38967</v>
      </c>
      <c r="B38968" s="2" t="str">
        <f>IFERROR(__xludf.DUMMYFUNCTION("GOOGLETRANSLATE(A38968, ""de"", ""en"")"),"fair")</f>
        <v>fair</v>
      </c>
    </row>
    <row r="38969">
      <c r="A38969" s="1" t="s">
        <v>38968</v>
      </c>
      <c r="B38969" s="2" t="str">
        <f>IFERROR(__xludf.DUMMYFUNCTION("GOOGLETRANSLATE(A38969, ""de"", ""en"")"),"force of nature")</f>
        <v>force of nature</v>
      </c>
    </row>
    <row r="38970">
      <c r="A38970" s="1" t="s">
        <v>38969</v>
      </c>
      <c r="B38970" s="2" t="str">
        <f>IFERROR(__xludf.DUMMYFUNCTION("GOOGLETRANSLATE(A38970, ""de"", ""en"")"),"sent out")</f>
        <v>sent out</v>
      </c>
    </row>
    <row r="38971">
      <c r="A38971" s="1" t="s">
        <v>38970</v>
      </c>
      <c r="B38971" s="2" t="str">
        <f>IFERROR(__xludf.DUMMYFUNCTION("GOOGLETRANSLATE(A38971, ""de"", ""en"")"),"runs over")</f>
        <v>runs over</v>
      </c>
    </row>
    <row r="38972">
      <c r="A38972" s="1" t="s">
        <v>38971</v>
      </c>
      <c r="B38972" s="2" t="str">
        <f>IFERROR(__xludf.DUMMYFUNCTION("GOOGLETRANSLATE(A38972, ""de"", ""en"")"),"Luce")</f>
        <v>Luce</v>
      </c>
    </row>
    <row r="38973">
      <c r="A38973" s="1" t="s">
        <v>38972</v>
      </c>
      <c r="B38973" s="2" t="str">
        <f>IFERROR(__xludf.DUMMYFUNCTION("GOOGLETRANSLATE(A38973, ""de"", ""en"")"),"17 year old")</f>
        <v>17 year old</v>
      </c>
    </row>
    <row r="38974">
      <c r="A38974" s="1" t="s">
        <v>38973</v>
      </c>
      <c r="B38974" s="2" t="str">
        <f>IFERROR(__xludf.DUMMYFUNCTION("GOOGLETRANSLATE(A38974, ""de"", ""en"")"),"pee")</f>
        <v>pee</v>
      </c>
    </row>
    <row r="38975">
      <c r="A38975" s="1" t="s">
        <v>38974</v>
      </c>
      <c r="B38975" s="2" t="str">
        <f>IFERROR(__xludf.DUMMYFUNCTION("GOOGLETRANSLATE(A38975, ""de"", ""en"")"),"well done")</f>
        <v>well done</v>
      </c>
    </row>
    <row r="38976">
      <c r="A38976" s="1" t="s">
        <v>38975</v>
      </c>
      <c r="B38976" s="2" t="str">
        <f>IFERROR(__xludf.DUMMYFUNCTION("GOOGLETRANSLATE(A38976, ""de"", ""en"")"),"minor")</f>
        <v>minor</v>
      </c>
    </row>
    <row r="38977">
      <c r="A38977" s="1" t="s">
        <v>38976</v>
      </c>
      <c r="B38977" s="2" t="str">
        <f>IFERROR(__xludf.DUMMYFUNCTION("GOOGLETRANSLATE(A38977, ""de"", ""en"")"),"doodle")</f>
        <v>doodle</v>
      </c>
    </row>
    <row r="38978">
      <c r="A38978" s="1" t="s">
        <v>38977</v>
      </c>
      <c r="B38978" s="2" t="str">
        <f>IFERROR(__xludf.DUMMYFUNCTION("GOOGLETRANSLATE(A38978, ""de"", ""en"")"),"displeasure")</f>
        <v>displeasure</v>
      </c>
    </row>
    <row r="38979">
      <c r="A38979" s="1" t="s">
        <v>38978</v>
      </c>
      <c r="B38979" s="2" t="str">
        <f>IFERROR(__xludf.DUMMYFUNCTION("GOOGLETRANSLATE(A38979, ""de"", ""en"")"),"criminal")</f>
        <v>criminal</v>
      </c>
    </row>
    <row r="38980">
      <c r="A38980" s="1" t="s">
        <v>38979</v>
      </c>
      <c r="B38980" s="2" t="str">
        <f>IFERROR(__xludf.DUMMYFUNCTION("GOOGLETRANSLATE(A38980, ""de"", ""en"")"),"calibrated")</f>
        <v>calibrated</v>
      </c>
    </row>
    <row r="38981">
      <c r="A38981" s="1" t="s">
        <v>38980</v>
      </c>
      <c r="B38981" s="2" t="str">
        <f>IFERROR(__xludf.DUMMYFUNCTION("GOOGLETRANSLATE(A38981, ""de"", ""en"")"),"leo")</f>
        <v>leo</v>
      </c>
    </row>
    <row r="38982">
      <c r="A38982" s="1" t="s">
        <v>38981</v>
      </c>
      <c r="B38982" s="2" t="str">
        <f>IFERROR(__xludf.DUMMYFUNCTION("GOOGLETRANSLATE(A38982, ""de"", ""en"")"),"there was")</f>
        <v>there was</v>
      </c>
    </row>
    <row r="38983">
      <c r="A38983" s="1" t="s">
        <v>38982</v>
      </c>
      <c r="B38983" s="2" t="str">
        <f>IFERROR(__xludf.DUMMYFUNCTION("GOOGLETRANSLATE(A38983, ""de"", ""en"")"),"more ambitious")</f>
        <v>more ambitious</v>
      </c>
    </row>
    <row r="38984">
      <c r="A38984" s="1" t="s">
        <v>38983</v>
      </c>
      <c r="B38984" s="2" t="str">
        <f>IFERROR(__xludf.DUMMYFUNCTION("GOOGLETRANSLATE(A38984, ""de"", ""en"")"),"gnome")</f>
        <v>gnome</v>
      </c>
    </row>
    <row r="38985">
      <c r="A38985" s="1" t="s">
        <v>38984</v>
      </c>
      <c r="B38985" s="2" t="str">
        <f>IFERROR(__xludf.DUMMYFUNCTION("GOOGLETRANSLATE(A38985, ""de"", ""en"")"),"stones")</f>
        <v>stones</v>
      </c>
    </row>
    <row r="38986">
      <c r="A38986" s="1" t="s">
        <v>38985</v>
      </c>
      <c r="B38986" s="2" t="str">
        <f>IFERROR(__xludf.DUMMYFUNCTION("GOOGLETRANSLATE(A38986, ""de"", ""en"")"),"10s")</f>
        <v>10s</v>
      </c>
    </row>
    <row r="38987">
      <c r="A38987" s="1" t="s">
        <v>38986</v>
      </c>
      <c r="B38987" s="2" t="str">
        <f>IFERROR(__xludf.DUMMYFUNCTION("GOOGLETRANSLATE(A38987, ""de"", ""en"")"),"armies")</f>
        <v>armies</v>
      </c>
    </row>
    <row r="38988">
      <c r="A38988" s="1" t="s">
        <v>38987</v>
      </c>
      <c r="B38988" s="2" t="str">
        <f>IFERROR(__xludf.DUMMYFUNCTION("GOOGLETRANSLATE(A38988, ""de"", ""en"")"),"inhibited")</f>
        <v>inhibited</v>
      </c>
    </row>
    <row r="38989">
      <c r="A38989" s="1" t="s">
        <v>38988</v>
      </c>
      <c r="B38989" s="2" t="str">
        <f>IFERROR(__xludf.DUMMYFUNCTION("GOOGLETRANSLATE(A38989, ""de"", ""en"")"),"hooligans")</f>
        <v>hooligans</v>
      </c>
    </row>
    <row r="38990">
      <c r="A38990" s="1" t="s">
        <v>38989</v>
      </c>
      <c r="B38990" s="2" t="str">
        <f>IFERROR(__xludf.DUMMYFUNCTION("GOOGLETRANSLATE(A38990, ""de"", ""en"")"),"grand vizier")</f>
        <v>grand vizier</v>
      </c>
    </row>
    <row r="38991">
      <c r="A38991" s="1" t="s">
        <v>38990</v>
      </c>
      <c r="B38991" s="2" t="str">
        <f>IFERROR(__xludf.DUMMYFUNCTION("GOOGLETRANSLATE(A38991, ""de"", ""en"")"),"source")</f>
        <v>source</v>
      </c>
    </row>
    <row r="38992">
      <c r="A38992" s="1" t="s">
        <v>38991</v>
      </c>
      <c r="B38992" s="2" t="str">
        <f>IFERROR(__xludf.DUMMYFUNCTION("GOOGLETRANSLATE(A38992, ""de"", ""en"")"),"reduced in size")</f>
        <v>reduced in size</v>
      </c>
    </row>
    <row r="38993">
      <c r="A38993" s="1" t="s">
        <v>38992</v>
      </c>
      <c r="B38993" s="2" t="str">
        <f>IFERROR(__xludf.DUMMYFUNCTION("GOOGLETRANSLATE(A38993, ""de"", ""en"")"),"frankies")</f>
        <v>frankies</v>
      </c>
    </row>
    <row r="38994">
      <c r="A38994" s="1" t="s">
        <v>38993</v>
      </c>
      <c r="B38994" s="2" t="str">
        <f>IFERROR(__xludf.DUMMYFUNCTION("GOOGLETRANSLATE(A38994, ""de"", ""en"")"),"Stussy")</f>
        <v>Stussy</v>
      </c>
    </row>
    <row r="38995">
      <c r="A38995" s="1" t="s">
        <v>38994</v>
      </c>
      <c r="B38995" s="2" t="str">
        <f>IFERROR(__xludf.DUMMYFUNCTION("GOOGLETRANSLATE(A38995, ""de"", ""en"")"),"sweetened")</f>
        <v>sweetened</v>
      </c>
    </row>
    <row r="38996">
      <c r="A38996" s="1" t="s">
        <v>38995</v>
      </c>
      <c r="B38996" s="2" t="str">
        <f>IFERROR(__xludf.DUMMYFUNCTION("GOOGLETRANSLATE(A38996, ""de"", ""en"")"),"Jamieson")</f>
        <v>Jamieson</v>
      </c>
    </row>
    <row r="38997">
      <c r="A38997" s="1" t="s">
        <v>38996</v>
      </c>
      <c r="B38997" s="2" t="str">
        <f>IFERROR(__xludf.DUMMYFUNCTION("GOOGLETRANSLATE(A38997, ""de"", ""en"")"),"ends")</f>
        <v>ends</v>
      </c>
    </row>
    <row r="38998">
      <c r="A38998" s="1" t="s">
        <v>38997</v>
      </c>
      <c r="B38998" s="2" t="str">
        <f>IFERROR(__xludf.DUMMYFUNCTION("GOOGLETRANSLATE(A38998, ""de"", ""en"")"),"gloomy")</f>
        <v>gloomy</v>
      </c>
    </row>
    <row r="38999">
      <c r="A38999" s="1" t="s">
        <v>38998</v>
      </c>
      <c r="B38999" s="2" t="str">
        <f>IFERROR(__xludf.DUMMYFUNCTION("GOOGLETRANSLATE(A38999, ""de"", ""en"")"),"ticks")</f>
        <v>ticks</v>
      </c>
    </row>
    <row r="39000">
      <c r="A39000" s="1" t="s">
        <v>38999</v>
      </c>
      <c r="B39000" s="2" t="str">
        <f>IFERROR(__xludf.DUMMYFUNCTION("GOOGLETRANSLATE(A39000, ""de"", ""en"")"),"ventilate")</f>
        <v>ventilate</v>
      </c>
    </row>
    <row r="39001">
      <c r="A39001" s="1" t="s">
        <v>39000</v>
      </c>
      <c r="B39001" s="2" t="str">
        <f>IFERROR(__xludf.DUMMYFUNCTION("GOOGLETRANSLATE(A39001, ""de"", ""en"")"),"regain")</f>
        <v>regain</v>
      </c>
    </row>
    <row r="39002">
      <c r="A39002" s="1" t="s">
        <v>39001</v>
      </c>
      <c r="B39002" s="2" t="str">
        <f>IFERROR(__xludf.DUMMYFUNCTION("GOOGLETRANSLATE(A39002, ""de"", ""en"")"),"civil servant")</f>
        <v>civil servant</v>
      </c>
    </row>
    <row r="39003">
      <c r="A39003" s="1" t="s">
        <v>39002</v>
      </c>
      <c r="B39003" s="2" t="str">
        <f>IFERROR(__xludf.DUMMYFUNCTION("GOOGLETRANSLATE(A39003, ""de"", ""en"")"),"hist")</f>
        <v>hist</v>
      </c>
    </row>
    <row r="39004">
      <c r="A39004" s="1" t="s">
        <v>39003</v>
      </c>
      <c r="B39004" s="2" t="str">
        <f>IFERROR(__xludf.DUMMYFUNCTION("GOOGLETRANSLATE(A39004, ""de"", ""en"")"),"supermarkets")</f>
        <v>supermarkets</v>
      </c>
    </row>
    <row r="39005">
      <c r="A39005" s="1" t="s">
        <v>39004</v>
      </c>
      <c r="B39005" s="2" t="str">
        <f>IFERROR(__xludf.DUMMYFUNCTION("GOOGLETRANSLATE(A39005, ""de"", ""en"")"),"tywin")</f>
        <v>tywin</v>
      </c>
    </row>
    <row r="39006">
      <c r="A39006" s="1" t="s">
        <v>39005</v>
      </c>
      <c r="B39006" s="2" t="str">
        <f>IFERROR(__xludf.DUMMYFUNCTION("GOOGLETRANSLATE(A39006, ""de"", ""en"")"),"Leonidas")</f>
        <v>Leonidas</v>
      </c>
    </row>
    <row r="39007">
      <c r="A39007" s="1" t="s">
        <v>39006</v>
      </c>
      <c r="B39007" s="2" t="str">
        <f>IFERROR(__xludf.DUMMYFUNCTION("GOOGLETRANSLATE(A39007, ""de"", ""en"")"),"understandable")</f>
        <v>understandable</v>
      </c>
    </row>
    <row r="39008">
      <c r="A39008" s="1" t="s">
        <v>39007</v>
      </c>
      <c r="B39008" s="2" t="str">
        <f>IFERROR(__xludf.DUMMYFUNCTION("GOOGLETRANSLATE(A39008, ""de"", ""en"")"),"croc")</f>
        <v>croc</v>
      </c>
    </row>
    <row r="39009">
      <c r="A39009" s="1" t="s">
        <v>39008</v>
      </c>
      <c r="B39009" s="2" t="str">
        <f>IFERROR(__xludf.DUMMYFUNCTION("GOOGLETRANSLATE(A39009, ""de"", ""en"")"),"reception committee")</f>
        <v>reception committee</v>
      </c>
    </row>
    <row r="39010">
      <c r="A39010" s="1" t="s">
        <v>39009</v>
      </c>
      <c r="B39010" s="2" t="str">
        <f>IFERROR(__xludf.DUMMYFUNCTION("GOOGLETRANSLATE(A39010, ""de"", ""en"")"),"nationwide")</f>
        <v>nationwide</v>
      </c>
    </row>
    <row r="39011">
      <c r="A39011" s="1" t="s">
        <v>39010</v>
      </c>
      <c r="B39011" s="2" t="str">
        <f>IFERROR(__xludf.DUMMYFUNCTION("GOOGLETRANSLATE(A39011, ""de"", ""en"")"),"tent camp")</f>
        <v>tent camp</v>
      </c>
    </row>
    <row r="39012">
      <c r="A39012" s="1" t="s">
        <v>39011</v>
      </c>
      <c r="B39012" s="2" t="str">
        <f>IFERROR(__xludf.DUMMYFUNCTION("GOOGLETRANSLATE(A39012, ""de"", ""en"")"),"federal judge")</f>
        <v>federal judge</v>
      </c>
    </row>
    <row r="39013">
      <c r="A39013" s="1" t="s">
        <v>39012</v>
      </c>
      <c r="B39013" s="2" t="str">
        <f>IFERROR(__xludf.DUMMYFUNCTION("GOOGLETRANSLATE(A39013, ""de"", ""en"")"),"loaf")</f>
        <v>loaf</v>
      </c>
    </row>
    <row r="39014">
      <c r="A39014" s="1" t="s">
        <v>39013</v>
      </c>
      <c r="B39014" s="2" t="str">
        <f>IFERROR(__xludf.DUMMYFUNCTION("GOOGLETRANSLATE(A39014, ""de"", ""en"")"),"knights")</f>
        <v>knights</v>
      </c>
    </row>
    <row r="39015">
      <c r="A39015" s="1" t="s">
        <v>39014</v>
      </c>
      <c r="B39015" s="2" t="str">
        <f>IFERROR(__xludf.DUMMYFUNCTION("GOOGLETRANSLATE(A39015, ""de"", ""en"")"),"common good")</f>
        <v>common good</v>
      </c>
    </row>
    <row r="39016">
      <c r="A39016" s="1" t="s">
        <v>39015</v>
      </c>
      <c r="B39016" s="2" t="str">
        <f>IFERROR(__xludf.DUMMYFUNCTION("GOOGLETRANSLATE(A39016, ""de"", ""en"")"),"turn of the century")</f>
        <v>turn of the century</v>
      </c>
    </row>
    <row r="39017">
      <c r="A39017" s="1" t="s">
        <v>39016</v>
      </c>
      <c r="B39017" s="2" t="str">
        <f>IFERROR(__xludf.DUMMYFUNCTION("GOOGLETRANSLATE(A39017, ""de"", ""en"")"),"cartels")</f>
        <v>cartels</v>
      </c>
    </row>
    <row r="39018">
      <c r="A39018" s="1" t="s">
        <v>39017</v>
      </c>
      <c r="B39018" s="2" t="str">
        <f>IFERROR(__xludf.DUMMYFUNCTION("GOOGLETRANSLATE(A39018, ""de"", ""en"")"),"singing")</f>
        <v>singing</v>
      </c>
    </row>
    <row r="39019">
      <c r="A39019" s="1" t="s">
        <v>39018</v>
      </c>
      <c r="B39019" s="2" t="str">
        <f>IFERROR(__xludf.DUMMYFUNCTION("GOOGLETRANSLATE(A39019, ""de"", ""en"")"),"letter opener")</f>
        <v>letter opener</v>
      </c>
    </row>
    <row r="39020">
      <c r="A39020" s="1" t="s">
        <v>39019</v>
      </c>
      <c r="B39020" s="2" t="str">
        <f>IFERROR(__xludf.DUMMYFUNCTION("GOOGLETRANSLATE(A39020, ""de"", ""en"")"),"drug addicts")</f>
        <v>drug addicts</v>
      </c>
    </row>
    <row r="39021">
      <c r="A39021" s="1" t="s">
        <v>39020</v>
      </c>
      <c r="B39021" s="2" t="str">
        <f>IFERROR(__xludf.DUMMYFUNCTION("GOOGLETRANSLATE(A39021, ""de"", ""en"")"),"dysentery")</f>
        <v>dysentery</v>
      </c>
    </row>
    <row r="39022">
      <c r="A39022" s="1" t="s">
        <v>39021</v>
      </c>
      <c r="B39022" s="2" t="str">
        <f>IFERROR(__xludf.DUMMYFUNCTION("GOOGLETRANSLATE(A39022, ""de"", ""en"")"),"jays")</f>
        <v>jays</v>
      </c>
    </row>
    <row r="39023">
      <c r="A39023" s="1" t="s">
        <v>39022</v>
      </c>
      <c r="B39023" s="2" t="str">
        <f>IFERROR(__xludf.DUMMYFUNCTION("GOOGLETRANSLATE(A39023, ""de"", ""en"")"),"proceeded")</f>
        <v>proceeded</v>
      </c>
    </row>
    <row r="39024">
      <c r="A39024" s="1" t="s">
        <v>39023</v>
      </c>
      <c r="B39024" s="2" t="str">
        <f>IFERROR(__xludf.DUMMYFUNCTION("GOOGLETRANSLATE(A39024, ""de"", ""en"")"),"manage")</f>
        <v>manage</v>
      </c>
    </row>
    <row r="39025">
      <c r="A39025" s="1" t="s">
        <v>39024</v>
      </c>
      <c r="B39025" s="2" t="str">
        <f>IFERROR(__xludf.DUMMYFUNCTION("GOOGLETRANSLATE(A39025, ""de"", ""en"")"),"dislocated")</f>
        <v>dislocated</v>
      </c>
    </row>
    <row r="39026">
      <c r="A39026" s="1" t="s">
        <v>39025</v>
      </c>
      <c r="B39026" s="2" t="str">
        <f>IFERROR(__xludf.DUMMYFUNCTION("GOOGLETRANSLATE(A39026, ""de"", ""en"")"),"nobis")</f>
        <v>nobis</v>
      </c>
    </row>
    <row r="39027">
      <c r="A39027" s="1" t="s">
        <v>39026</v>
      </c>
      <c r="B39027" s="2" t="str">
        <f>IFERROR(__xludf.DUMMYFUNCTION("GOOGLETRANSLATE(A39027, ""de"", ""en"")"),"congratulate")</f>
        <v>congratulate</v>
      </c>
    </row>
    <row r="39028">
      <c r="A39028" s="1" t="s">
        <v>39027</v>
      </c>
      <c r="B39028" s="2" t="str">
        <f>IFERROR(__xludf.DUMMYFUNCTION("GOOGLETRANSLATE(A39028, ""de"", ""en"")"),"nuclear weapons")</f>
        <v>nuclear weapons</v>
      </c>
    </row>
    <row r="39029">
      <c r="A39029" s="1" t="s">
        <v>39028</v>
      </c>
      <c r="B39029" s="2" t="str">
        <f>IFERROR(__xludf.DUMMYFUNCTION("GOOGLETRANSLATE(A39029, ""de"", ""en"")"),"baylor")</f>
        <v>baylor</v>
      </c>
    </row>
    <row r="39030">
      <c r="A39030" s="1" t="s">
        <v>39029</v>
      </c>
      <c r="B39030" s="2" t="str">
        <f>IFERROR(__xludf.DUMMYFUNCTION("GOOGLETRANSLATE(A39030, ""de"", ""en"")"),"calderone")</f>
        <v>calderone</v>
      </c>
    </row>
    <row r="39031">
      <c r="A39031" s="1" t="s">
        <v>39030</v>
      </c>
      <c r="B39031" s="2" t="str">
        <f>IFERROR(__xludf.DUMMYFUNCTION("GOOGLETRANSLATE(A39031, ""de"", ""en"")"),"more civil")</f>
        <v>more civil</v>
      </c>
    </row>
    <row r="39032">
      <c r="A39032" s="1" t="s">
        <v>39031</v>
      </c>
      <c r="B39032" s="2" t="str">
        <f>IFERROR(__xludf.DUMMYFUNCTION("GOOGLETRANSLATE(A39032, ""de"", ""en"")"),"limbo")</f>
        <v>limbo</v>
      </c>
    </row>
    <row r="39033">
      <c r="A39033" s="1" t="s">
        <v>39032</v>
      </c>
      <c r="B39033" s="2" t="str">
        <f>IFERROR(__xludf.DUMMYFUNCTION("GOOGLETRANSLATE(A39033, ""de"", ""en"")"),"dramatic")</f>
        <v>dramatic</v>
      </c>
    </row>
    <row r="39034">
      <c r="A39034" s="1" t="s">
        <v>39033</v>
      </c>
      <c r="B39034" s="2" t="str">
        <f>IFERROR(__xludf.DUMMYFUNCTION("GOOGLETRANSLATE(A39034, ""de"", ""en"")"),"turned inside out")</f>
        <v>turned inside out</v>
      </c>
    </row>
    <row r="39035">
      <c r="A39035" s="1" t="s">
        <v>39034</v>
      </c>
      <c r="B39035" s="2" t="str">
        <f>IFERROR(__xludf.DUMMYFUNCTION("GOOGLETRANSLATE(A39035, ""de"", ""en"")"),"flabbergasted")</f>
        <v>flabbergasted</v>
      </c>
    </row>
    <row r="39036">
      <c r="A39036" s="1" t="s">
        <v>39035</v>
      </c>
      <c r="B39036" s="2" t="str">
        <f>IFERROR(__xludf.DUMMYFUNCTION("GOOGLETRANSLATE(A39036, ""de"", ""en"")"),"hooker")</f>
        <v>hooker</v>
      </c>
    </row>
    <row r="39037">
      <c r="A39037" s="1" t="s">
        <v>39036</v>
      </c>
      <c r="B39037" s="2" t="str">
        <f>IFERROR(__xludf.DUMMYFUNCTION("GOOGLETRANSLATE(A39037, ""de"", ""en"")"),"handsome")</f>
        <v>handsome</v>
      </c>
    </row>
    <row r="39038">
      <c r="A39038" s="1" t="s">
        <v>39037</v>
      </c>
      <c r="B39038" s="2" t="str">
        <f>IFERROR(__xludf.DUMMYFUNCTION("GOOGLETRANSLATE(A39038, ""de"", ""en"")"),"hosts")</f>
        <v>hosts</v>
      </c>
    </row>
    <row r="39039">
      <c r="A39039" s="1" t="s">
        <v>39038</v>
      </c>
      <c r="B39039" s="2" t="str">
        <f>IFERROR(__xludf.DUMMYFUNCTION("GOOGLETRANSLATE(A39039, ""de"", ""en"")"),"lousy")</f>
        <v>lousy</v>
      </c>
    </row>
    <row r="39040">
      <c r="A39040" s="1" t="s">
        <v>39039</v>
      </c>
      <c r="B39040" s="2" t="str">
        <f>IFERROR(__xludf.DUMMYFUNCTION("GOOGLETRANSLATE(A39040, ""de"", ""en"")"),"paler")</f>
        <v>paler</v>
      </c>
    </row>
    <row r="39041">
      <c r="A39041" s="1" t="s">
        <v>39040</v>
      </c>
      <c r="B39041" s="2" t="str">
        <f>IFERROR(__xludf.DUMMYFUNCTION("GOOGLETRANSLATE(A39041, ""de"", ""en"")"),"more ideal")</f>
        <v>more ideal</v>
      </c>
    </row>
    <row r="39042">
      <c r="A39042" s="1" t="s">
        <v>39041</v>
      </c>
      <c r="B39042" s="2" t="str">
        <f>IFERROR(__xludf.DUMMYFUNCTION("GOOGLETRANSLATE(A39042, ""de"", ""en"")"),"hearings")</f>
        <v>hearings</v>
      </c>
    </row>
    <row r="39043">
      <c r="A39043" s="1" t="s">
        <v>39042</v>
      </c>
      <c r="B39043" s="2" t="str">
        <f>IFERROR(__xludf.DUMMYFUNCTION("GOOGLETRANSLATE(A39043, ""de"", ""en"")"),"derailed")</f>
        <v>derailed</v>
      </c>
    </row>
    <row r="39044">
      <c r="A39044" s="1" t="s">
        <v>39043</v>
      </c>
      <c r="B39044" s="2" t="str">
        <f>IFERROR(__xludf.DUMMYFUNCTION("GOOGLETRANSLATE(A39044, ""de"", ""en"")"),"juilliard")</f>
        <v>juilliard</v>
      </c>
    </row>
    <row r="39045">
      <c r="A39045" s="1" t="s">
        <v>39044</v>
      </c>
      <c r="B39045" s="2" t="str">
        <f>IFERROR(__xludf.DUMMYFUNCTION("GOOGLETRANSLATE(A39045, ""de"", ""en"")"),"fractured skull")</f>
        <v>fractured skull</v>
      </c>
    </row>
    <row r="39046">
      <c r="A39046" s="1" t="s">
        <v>39045</v>
      </c>
      <c r="B39046" s="2" t="str">
        <f>IFERROR(__xludf.DUMMYFUNCTION("GOOGLETRANSLATE(A39046, ""de"", ""en"")"),"light")</f>
        <v>light</v>
      </c>
    </row>
    <row r="39047">
      <c r="A39047" s="1" t="s">
        <v>39046</v>
      </c>
      <c r="B39047" s="2" t="str">
        <f>IFERROR(__xludf.DUMMYFUNCTION("GOOGLETRANSLATE(A39047, ""de"", ""en"")"),"adlai")</f>
        <v>adlai</v>
      </c>
    </row>
    <row r="39048">
      <c r="A39048" s="1" t="s">
        <v>39047</v>
      </c>
      <c r="B39048" s="2" t="str">
        <f>IFERROR(__xludf.DUMMYFUNCTION("GOOGLETRANSLATE(A39048, ""de"", ""en"")"),"eta")</f>
        <v>eta</v>
      </c>
    </row>
    <row r="39049">
      <c r="A39049" s="1" t="s">
        <v>39048</v>
      </c>
      <c r="B39049" s="2" t="str">
        <f>IFERROR(__xludf.DUMMYFUNCTION("GOOGLETRANSLATE(A39049, ""de"", ""en"")"),"protege")</f>
        <v>protege</v>
      </c>
    </row>
    <row r="39050">
      <c r="A39050" s="1" t="s">
        <v>39049</v>
      </c>
      <c r="B39050" s="2" t="str">
        <f>IFERROR(__xludf.DUMMYFUNCTION("GOOGLETRANSLATE(A39050, ""de"", ""en"")"),"patronize")</f>
        <v>patronize</v>
      </c>
    </row>
    <row r="39051">
      <c r="A39051" s="1" t="s">
        <v>39050</v>
      </c>
      <c r="B39051" s="2" t="str">
        <f>IFERROR(__xludf.DUMMYFUNCTION("GOOGLETRANSLATE(A39051, ""de"", ""en"")"),"head of family")</f>
        <v>head of family</v>
      </c>
    </row>
    <row r="39052">
      <c r="A39052" s="1" t="s">
        <v>39051</v>
      </c>
      <c r="B39052" s="2" t="str">
        <f>IFERROR(__xludf.DUMMYFUNCTION("GOOGLETRANSLATE(A39052, ""de"", ""en"")"),"danger zone")</f>
        <v>danger zone</v>
      </c>
    </row>
    <row r="39053">
      <c r="A39053" s="1" t="s">
        <v>39052</v>
      </c>
      <c r="B39053" s="2" t="str">
        <f>IFERROR(__xludf.DUMMYFUNCTION("GOOGLETRANSLATE(A39053, ""de"", ""en"")"),"merde")</f>
        <v>merde</v>
      </c>
    </row>
    <row r="39054">
      <c r="A39054" s="1" t="s">
        <v>39053</v>
      </c>
      <c r="B39054" s="2" t="str">
        <f>IFERROR(__xludf.DUMMYFUNCTION("GOOGLETRANSLATE(A39054, ""de"", ""en"")"),"yes")</f>
        <v>yes</v>
      </c>
    </row>
    <row r="39055">
      <c r="A39055" s="1" t="s">
        <v>39054</v>
      </c>
      <c r="B39055" s="2" t="str">
        <f>IFERROR(__xludf.DUMMYFUNCTION("GOOGLETRANSLATE(A39055, ""de"", ""en"")"),"patch together")</f>
        <v>patch together</v>
      </c>
    </row>
    <row r="39056">
      <c r="A39056" s="1" t="s">
        <v>39055</v>
      </c>
      <c r="B39056" s="2" t="str">
        <f>IFERROR(__xludf.DUMMYFUNCTION("GOOGLETRANSLATE(A39056, ""de"", ""en"")"),"shel")</f>
        <v>shel</v>
      </c>
    </row>
    <row r="39057">
      <c r="A39057" s="1" t="s">
        <v>39056</v>
      </c>
      <c r="B39057" s="2" t="str">
        <f>IFERROR(__xludf.DUMMYFUNCTION("GOOGLETRANSLATE(A39057, ""de"", ""en"")"),"violated")</f>
        <v>violated</v>
      </c>
    </row>
    <row r="39058">
      <c r="A39058" s="1" t="s">
        <v>39057</v>
      </c>
      <c r="B39058" s="2" t="str">
        <f>IFERROR(__xludf.DUMMYFUNCTION("GOOGLETRANSLATE(A39058, ""de"", ""en"")"),"clamp")</f>
        <v>clamp</v>
      </c>
    </row>
    <row r="39059">
      <c r="A39059" s="1" t="s">
        <v>39058</v>
      </c>
      <c r="B39059" s="2" t="str">
        <f>IFERROR(__xludf.DUMMYFUNCTION("GOOGLETRANSLATE(A39059, ""de"", ""en"")"),"dougs")</f>
        <v>dougs</v>
      </c>
    </row>
    <row r="39060">
      <c r="A39060" s="1" t="s">
        <v>39059</v>
      </c>
      <c r="B39060" s="2" t="str">
        <f>IFERROR(__xludf.DUMMYFUNCTION("GOOGLETRANSLATE(A39060, ""de"", ""en"")"),"Akley")</f>
        <v>Akley</v>
      </c>
    </row>
    <row r="39061">
      <c r="A39061" s="1" t="s">
        <v>39060</v>
      </c>
      <c r="B39061" s="2" t="str">
        <f>IFERROR(__xludf.DUMMYFUNCTION("GOOGLETRANSLATE(A39061, ""de"", ""en"")"),"said")</f>
        <v>said</v>
      </c>
    </row>
    <row r="39062">
      <c r="A39062" s="1" t="s">
        <v>39061</v>
      </c>
      <c r="B39062" s="2" t="str">
        <f>IFERROR(__xludf.DUMMYFUNCTION("GOOGLETRANSLATE(A39062, ""de"", ""en"")"),"reflection")</f>
        <v>reflection</v>
      </c>
    </row>
    <row r="39063">
      <c r="A39063" s="1" t="s">
        <v>39062</v>
      </c>
      <c r="B39063" s="2" t="str">
        <f>IFERROR(__xludf.DUMMYFUNCTION("GOOGLETRANSLATE(A39063, ""de"", ""en"")"),"lover")</f>
        <v>lover</v>
      </c>
    </row>
    <row r="39064">
      <c r="A39064" s="1" t="s">
        <v>39063</v>
      </c>
      <c r="B39064" s="2" t="str">
        <f>IFERROR(__xludf.DUMMYFUNCTION("GOOGLETRANSLATE(A39064, ""de"", ""en"")"),"innkeeper")</f>
        <v>innkeeper</v>
      </c>
    </row>
    <row r="39065">
      <c r="A39065" s="1" t="s">
        <v>39064</v>
      </c>
      <c r="B39065" s="2" t="str">
        <f>IFERROR(__xludf.DUMMYFUNCTION("GOOGLETRANSLATE(A39065, ""de"", ""en"")"),"Jerome")</f>
        <v>Jerome</v>
      </c>
    </row>
    <row r="39066">
      <c r="A39066" s="1" t="s">
        <v>39065</v>
      </c>
      <c r="B39066" s="2" t="str">
        <f>IFERROR(__xludf.DUMMYFUNCTION("GOOGLETRANSLATE(A39066, ""de"", ""en"")"),"pumice")</f>
        <v>pumice</v>
      </c>
    </row>
    <row r="39067">
      <c r="A39067" s="1" t="s">
        <v>39066</v>
      </c>
      <c r="B39067" s="2" t="str">
        <f>IFERROR(__xludf.DUMMYFUNCTION("GOOGLETRANSLATE(A39067, ""de"", ""en"")"),"reb")</f>
        <v>reb</v>
      </c>
    </row>
    <row r="39068">
      <c r="A39068" s="1" t="s">
        <v>39067</v>
      </c>
      <c r="B39068" s="2" t="str">
        <f>IFERROR(__xludf.DUMMYFUNCTION("GOOGLETRANSLATE(A39068, ""de"", ""en"")"),"Brendan's")</f>
        <v>Brendan's</v>
      </c>
    </row>
    <row r="39069">
      <c r="A39069" s="1" t="s">
        <v>39068</v>
      </c>
      <c r="B39069" s="2" t="str">
        <f>IFERROR(__xludf.DUMMYFUNCTION("GOOGLETRANSLATE(A39069, ""de"", ""en"")"),"go out")</f>
        <v>go out</v>
      </c>
    </row>
    <row r="39070">
      <c r="A39070" s="1" t="s">
        <v>39069</v>
      </c>
      <c r="B39070" s="2" t="str">
        <f>IFERROR(__xludf.DUMMYFUNCTION("GOOGLETRANSLATE(A39070, ""de"", ""en"")"),"reena")</f>
        <v>reena</v>
      </c>
    </row>
    <row r="39071">
      <c r="A39071" s="1" t="s">
        <v>39070</v>
      </c>
      <c r="B39071" s="2" t="str">
        <f>IFERROR(__xludf.DUMMYFUNCTION("GOOGLETRANSLATE(A39071, ""de"", ""en"")"),"monitored")</f>
        <v>monitored</v>
      </c>
    </row>
    <row r="39072">
      <c r="A39072" s="1" t="s">
        <v>39071</v>
      </c>
      <c r="B39072" s="2" t="str">
        <f>IFERROR(__xludf.DUMMYFUNCTION("GOOGLETRANSLATE(A39072, ""de"", ""en"")"),"voorhees")</f>
        <v>voorhees</v>
      </c>
    </row>
    <row r="39073">
      <c r="A39073" s="1" t="s">
        <v>39072</v>
      </c>
      <c r="B39073" s="2" t="str">
        <f>IFERROR(__xludf.DUMMYFUNCTION("GOOGLETRANSLATE(A39073, ""de"", ""en"")"),"correct")</f>
        <v>correct</v>
      </c>
    </row>
    <row r="39074">
      <c r="A39074" s="1" t="s">
        <v>39073</v>
      </c>
      <c r="B39074" s="2" t="str">
        <f>IFERROR(__xludf.DUMMYFUNCTION("GOOGLETRANSLATE(A39074, ""de"", ""en"")"),"rodrick")</f>
        <v>rodrick</v>
      </c>
    </row>
    <row r="39075">
      <c r="A39075" s="1" t="s">
        <v>39074</v>
      </c>
      <c r="B39075" s="2" t="str">
        <f>IFERROR(__xludf.DUMMYFUNCTION("GOOGLETRANSLATE(A39075, ""de"", ""en"")"),"cleverhead")</f>
        <v>cleverhead</v>
      </c>
    </row>
    <row r="39076">
      <c r="A39076" s="1" t="s">
        <v>39075</v>
      </c>
      <c r="B39076" s="2" t="str">
        <f>IFERROR(__xludf.DUMMYFUNCTION("GOOGLETRANSLATE(A39076, ""de"", ""en"")"),"redford")</f>
        <v>redford</v>
      </c>
    </row>
    <row r="39077">
      <c r="A39077" s="1" t="s">
        <v>39076</v>
      </c>
      <c r="B39077" s="2" t="str">
        <f>IFERROR(__xludf.DUMMYFUNCTION("GOOGLETRANSLATE(A39077, ""de"", ""en"")"),"stumble")</f>
        <v>stumble</v>
      </c>
    </row>
    <row r="39078">
      <c r="A39078" s="1" t="s">
        <v>39077</v>
      </c>
      <c r="B39078" s="2" t="str">
        <f>IFERROR(__xludf.DUMMYFUNCTION("GOOGLETRANSLATE(A39078, ""de"", ""en"")"),"practice")</f>
        <v>practice</v>
      </c>
    </row>
    <row r="39079">
      <c r="A39079" s="1" t="s">
        <v>39078</v>
      </c>
      <c r="B39079" s="2" t="str">
        <f>IFERROR(__xludf.DUMMYFUNCTION("GOOGLETRANSLATE(A39079, ""de"", ""en"")"),"euphoric")</f>
        <v>euphoric</v>
      </c>
    </row>
    <row r="39080">
      <c r="A39080" s="1" t="s">
        <v>39079</v>
      </c>
      <c r="B39080" s="2" t="str">
        <f>IFERROR(__xludf.DUMMYFUNCTION("GOOGLETRANSLATE(A39080, ""de"", ""en"")"),"infatuated")</f>
        <v>infatuated</v>
      </c>
    </row>
    <row r="39081">
      <c r="A39081" s="1" t="s">
        <v>39080</v>
      </c>
      <c r="B39081" s="2" t="str">
        <f>IFERROR(__xludf.DUMMYFUNCTION("GOOGLETRANSLATE(A39081, ""de"", ""en"")"),"full tank")</f>
        <v>full tank</v>
      </c>
    </row>
    <row r="39082">
      <c r="A39082" s="1" t="s">
        <v>39081</v>
      </c>
      <c r="B39082" s="2" t="str">
        <f>IFERROR(__xludf.DUMMYFUNCTION("GOOGLETRANSLATE(A39082, ""de"", ""en"")"),"hey")</f>
        <v>hey</v>
      </c>
    </row>
    <row r="39083">
      <c r="A39083" s="1" t="s">
        <v>39082</v>
      </c>
      <c r="B39083" s="2" t="str">
        <f>IFERROR(__xludf.DUMMYFUNCTION("GOOGLETRANSLATE(A39083, ""de"", ""en"")"),"sweetener")</f>
        <v>sweetener</v>
      </c>
    </row>
    <row r="39084">
      <c r="A39084" s="1" t="s">
        <v>39083</v>
      </c>
      <c r="B39084" s="2" t="str">
        <f>IFERROR(__xludf.DUMMYFUNCTION("GOOGLETRANSLATE(A39084, ""de"", ""en"")"),"shenanigans")</f>
        <v>shenanigans</v>
      </c>
    </row>
    <row r="39085">
      <c r="A39085" s="1" t="s">
        <v>39084</v>
      </c>
      <c r="B39085" s="2" t="str">
        <f>IFERROR(__xludf.DUMMYFUNCTION("GOOGLETRANSLATE(A39085, ""de"", ""en"")"),"Achilles heel")</f>
        <v>Achilles heel</v>
      </c>
    </row>
    <row r="39086">
      <c r="A39086" s="1" t="s">
        <v>39085</v>
      </c>
      <c r="B39086" s="2" t="str">
        <f>IFERROR(__xludf.DUMMYFUNCTION("GOOGLETRANSLATE(A39086, ""de"", ""en"")"),"jarrod")</f>
        <v>jarrod</v>
      </c>
    </row>
    <row r="39087">
      <c r="A39087" s="1" t="s">
        <v>39086</v>
      </c>
      <c r="B39087" s="2" t="str">
        <f>IFERROR(__xludf.DUMMYFUNCTION("GOOGLETRANSLATE(A39087, ""de"", ""en"")"),"more disturbed")</f>
        <v>more disturbed</v>
      </c>
    </row>
    <row r="39088">
      <c r="A39088" s="1" t="s">
        <v>39087</v>
      </c>
      <c r="B39088" s="2" t="str">
        <f>IFERROR(__xludf.DUMMYFUNCTION("GOOGLETRANSLATE(A39088, ""de"", ""en"")"),"randys")</f>
        <v>randys</v>
      </c>
    </row>
    <row r="39089">
      <c r="A39089" s="1" t="s">
        <v>39088</v>
      </c>
      <c r="B39089" s="2" t="str">
        <f>IFERROR(__xludf.DUMMYFUNCTION("GOOGLETRANSLATE(A39089, ""de"", ""en"")"),"private matter")</f>
        <v>private matter</v>
      </c>
    </row>
    <row r="39090">
      <c r="A39090" s="1" t="s">
        <v>39089</v>
      </c>
      <c r="B39090" s="2" t="str">
        <f>IFERROR(__xludf.DUMMYFUNCTION("GOOGLETRANSLATE(A39090, ""de"", ""en"")"),"willem")</f>
        <v>willem</v>
      </c>
    </row>
    <row r="39091">
      <c r="A39091" s="1" t="s">
        <v>39090</v>
      </c>
      <c r="B39091" s="2" t="str">
        <f>IFERROR(__xludf.DUMMYFUNCTION("GOOGLETRANSLATE(A39091, ""de"", ""en"")"),"East Berlin")</f>
        <v>East Berlin</v>
      </c>
    </row>
    <row r="39092">
      <c r="A39092" s="1" t="s">
        <v>39091</v>
      </c>
      <c r="B39092" s="2" t="str">
        <f>IFERROR(__xludf.DUMMYFUNCTION("GOOGLETRANSLATE(A39092, ""de"", ""en"")"),"simran")</f>
        <v>simran</v>
      </c>
    </row>
    <row r="39093">
      <c r="A39093" s="1" t="s">
        <v>39092</v>
      </c>
      <c r="B39093" s="2" t="str">
        <f>IFERROR(__xludf.DUMMYFUNCTION("GOOGLETRANSLATE(A39093, ""de"", ""en"")"),"hesitantly")</f>
        <v>hesitantly</v>
      </c>
    </row>
    <row r="39094">
      <c r="A39094" s="1" t="s">
        <v>39093</v>
      </c>
      <c r="B39094" s="2" t="str">
        <f>IFERROR(__xludf.DUMMYFUNCTION("GOOGLETRANSLATE(A39094, ""de"", ""en"")"),"burdens")</f>
        <v>burdens</v>
      </c>
    </row>
    <row r="39095">
      <c r="A39095" s="1" t="s">
        <v>39094</v>
      </c>
      <c r="B39095" s="2" t="str">
        <f>IFERROR(__xludf.DUMMYFUNCTION("GOOGLETRANSLATE(A39095, ""de"", ""en"")"),"washed down")</f>
        <v>washed down</v>
      </c>
    </row>
    <row r="39096">
      <c r="A39096" s="1" t="s">
        <v>39095</v>
      </c>
      <c r="B39096" s="2" t="str">
        <f>IFERROR(__xludf.DUMMYFUNCTION("GOOGLETRANSLATE(A39096, ""de"", ""en"")"),"intolerable")</f>
        <v>intolerable</v>
      </c>
    </row>
    <row r="39097">
      <c r="A39097" s="1" t="s">
        <v>39096</v>
      </c>
      <c r="B39097" s="2" t="str">
        <f>IFERROR(__xludf.DUMMYFUNCTION("GOOGLETRANSLATE(A39097, ""de"", ""en"")"),"oiled")</f>
        <v>oiled</v>
      </c>
    </row>
    <row r="39098">
      <c r="A39098" s="1" t="s">
        <v>39097</v>
      </c>
      <c r="B39098" s="2" t="str">
        <f>IFERROR(__xludf.DUMMYFUNCTION("GOOGLETRANSLATE(A39098, ""de"", ""en"")"),"shake")</f>
        <v>shake</v>
      </c>
    </row>
    <row r="39099">
      <c r="A39099" s="1" t="s">
        <v>39098</v>
      </c>
      <c r="B39099" s="2" t="str">
        <f>IFERROR(__xludf.DUMMYFUNCTION("GOOGLETRANSLATE(A39099, ""de"", ""en"")"),"brayden")</f>
        <v>brayden</v>
      </c>
    </row>
    <row r="39100">
      <c r="A39100" s="1" t="s">
        <v>39099</v>
      </c>
      <c r="B39100" s="2" t="str">
        <f>IFERROR(__xludf.DUMMYFUNCTION("GOOGLETRANSLATE(A39100, ""de"", ""en"")"),"bongo")</f>
        <v>bongo</v>
      </c>
    </row>
    <row r="39101">
      <c r="A39101" s="1" t="s">
        <v>39100</v>
      </c>
      <c r="B39101" s="2" t="str">
        <f>IFERROR(__xludf.DUMMYFUNCTION("GOOGLETRANSLATE(A39101, ""de"", ""en"")"),"wander")</f>
        <v>wander</v>
      </c>
    </row>
    <row r="39102">
      <c r="A39102" s="1" t="s">
        <v>39101</v>
      </c>
      <c r="B39102" s="2" t="str">
        <f>IFERROR(__xludf.DUMMYFUNCTION("GOOGLETRANSLATE(A39102, ""de"", ""en"")"),"thee")</f>
        <v>thee</v>
      </c>
    </row>
    <row r="39103">
      <c r="A39103" s="1" t="s">
        <v>39102</v>
      </c>
      <c r="B39103" s="2" t="str">
        <f>IFERROR(__xludf.DUMMYFUNCTION("GOOGLETRANSLATE(A39103, ""de"", ""en"")"),"dinghy")</f>
        <v>dinghy</v>
      </c>
    </row>
    <row r="39104">
      <c r="A39104" s="1" t="s">
        <v>39103</v>
      </c>
      <c r="B39104" s="2" t="str">
        <f>IFERROR(__xludf.DUMMYFUNCTION("GOOGLETRANSLATE(A39104, ""de"", ""en"")"),"extremities")</f>
        <v>extremities</v>
      </c>
    </row>
    <row r="39105">
      <c r="A39105" s="1" t="s">
        <v>39104</v>
      </c>
      <c r="B39105" s="2" t="str">
        <f>IFERROR(__xludf.DUMMYFUNCTION("GOOGLETRANSLATE(A39105, ""de"", ""en"")"),"previous owner")</f>
        <v>previous owner</v>
      </c>
    </row>
    <row r="39106">
      <c r="A39106" s="1" t="s">
        <v>39105</v>
      </c>
      <c r="B39106" s="2" t="str">
        <f>IFERROR(__xludf.DUMMYFUNCTION("GOOGLETRANSLATE(A39106, ""de"", ""en"")"),"spanked")</f>
        <v>spanked</v>
      </c>
    </row>
    <row r="39107">
      <c r="A39107" s="1" t="s">
        <v>39106</v>
      </c>
      <c r="B39107" s="2" t="str">
        <f>IFERROR(__xludf.DUMMYFUNCTION("GOOGLETRANSLATE(A39107, ""de"", ""en"")"),"hurt")</f>
        <v>hurt</v>
      </c>
    </row>
    <row r="39108">
      <c r="A39108" s="1" t="s">
        <v>39107</v>
      </c>
      <c r="B39108" s="2" t="str">
        <f>IFERROR(__xludf.DUMMYFUNCTION("GOOGLETRANSLATE(A39108, ""de"", ""en"")"),"ak")</f>
        <v>ak</v>
      </c>
    </row>
    <row r="39109">
      <c r="A39109" s="1" t="s">
        <v>39108</v>
      </c>
      <c r="B39109" s="2" t="str">
        <f>IFERROR(__xludf.DUMMYFUNCTION("GOOGLETRANSLATE(A39109, ""de"", ""en"")"),"Giorno")</f>
        <v>Giorno</v>
      </c>
    </row>
    <row r="39110">
      <c r="A39110" s="1" t="s">
        <v>39109</v>
      </c>
      <c r="B39110" s="2" t="str">
        <f>IFERROR(__xludf.DUMMYFUNCTION("GOOGLETRANSLATE(A39110, ""de"", ""en"")"),"mare")</f>
        <v>mare</v>
      </c>
    </row>
    <row r="39111">
      <c r="A39111" s="1" t="s">
        <v>39110</v>
      </c>
      <c r="B39111" s="2" t="str">
        <f>IFERROR(__xludf.DUMMYFUNCTION("GOOGLETRANSLATE(A39111, ""de"", ""en"")"),"widowed")</f>
        <v>widowed</v>
      </c>
    </row>
    <row r="39112">
      <c r="A39112" s="1" t="s">
        <v>39111</v>
      </c>
      <c r="B39112" s="2" t="str">
        <f>IFERROR(__xludf.DUMMYFUNCTION("GOOGLETRANSLATE(A39112, ""de"", ""en"")"),"fiend")</f>
        <v>fiend</v>
      </c>
    </row>
    <row r="39113">
      <c r="A39113" s="1" t="s">
        <v>39112</v>
      </c>
      <c r="B39113" s="2" t="str">
        <f>IFERROR(__xludf.DUMMYFUNCTION("GOOGLETRANSLATE(A39113, ""de"", ""en"")"),"joint")</f>
        <v>joint</v>
      </c>
    </row>
    <row r="39114">
      <c r="A39114" s="1" t="s">
        <v>39113</v>
      </c>
      <c r="B39114" s="2" t="str">
        <f>IFERROR(__xludf.DUMMYFUNCTION("GOOGLETRANSLATE(A39114, ""de"", ""en"")"),"zara")</f>
        <v>zara</v>
      </c>
    </row>
    <row r="39115">
      <c r="A39115" s="1" t="s">
        <v>39114</v>
      </c>
      <c r="B39115" s="2" t="str">
        <f>IFERROR(__xludf.DUMMYFUNCTION("GOOGLETRANSLATE(A39115, ""de"", ""en"")"),"paved")</f>
        <v>paved</v>
      </c>
    </row>
    <row r="39116">
      <c r="A39116" s="1" t="s">
        <v>39115</v>
      </c>
      <c r="B39116" s="2" t="str">
        <f>IFERROR(__xludf.DUMMYFUNCTION("GOOGLETRANSLATE(A39116, ""de"", ""en"")"),"mutated")</f>
        <v>mutated</v>
      </c>
    </row>
    <row r="39117">
      <c r="A39117" s="1" t="s">
        <v>39116</v>
      </c>
      <c r="B39117" s="2" t="str">
        <f>IFERROR(__xludf.DUMMYFUNCTION("GOOGLETRANSLATE(A39117, ""de"", ""en"")"),"squad")</f>
        <v>squad</v>
      </c>
    </row>
    <row r="39118">
      <c r="A39118" s="1" t="s">
        <v>39117</v>
      </c>
      <c r="B39118" s="2" t="str">
        <f>IFERROR(__xludf.DUMMYFUNCTION("GOOGLETRANSLATE(A39118, ""de"", ""en"")"),"ishikawa")</f>
        <v>ishikawa</v>
      </c>
    </row>
    <row r="39119">
      <c r="A39119" s="1" t="s">
        <v>39118</v>
      </c>
      <c r="B39119" s="2" t="str">
        <f>IFERROR(__xludf.DUMMYFUNCTION("GOOGLETRANSLATE(A39119, ""de"", ""en"")"),"acute")</f>
        <v>acute</v>
      </c>
    </row>
    <row r="39120">
      <c r="A39120" s="1" t="s">
        <v>39119</v>
      </c>
      <c r="B39120" s="2" t="str">
        <f>IFERROR(__xludf.DUMMYFUNCTION("GOOGLETRANSLATE(A39120, ""de"", ""en"")"),"rawer")</f>
        <v>rawer</v>
      </c>
    </row>
    <row r="39121">
      <c r="A39121" s="1" t="s">
        <v>39120</v>
      </c>
      <c r="B39121" s="2" t="str">
        <f>IFERROR(__xludf.DUMMYFUNCTION("GOOGLETRANSLATE(A39121, ""de"", ""en"")"),"Alberta")</f>
        <v>Alberta</v>
      </c>
    </row>
    <row r="39122">
      <c r="A39122" s="1" t="s">
        <v>39121</v>
      </c>
      <c r="B39122" s="2" t="str">
        <f>IFERROR(__xludf.DUMMYFUNCTION("GOOGLETRANSLATE(A39122, ""de"", ""en"")"),"main")</f>
        <v>main</v>
      </c>
    </row>
    <row r="39123">
      <c r="A39123" s="1" t="s">
        <v>39122</v>
      </c>
      <c r="B39123" s="2" t="str">
        <f>IFERROR(__xludf.DUMMYFUNCTION("GOOGLETRANSLATE(A39123, ""de"", ""en"")"),"rather")</f>
        <v>rather</v>
      </c>
    </row>
    <row r="39124">
      <c r="A39124" s="1" t="s">
        <v>39123</v>
      </c>
      <c r="B39124" s="2" t="str">
        <f>IFERROR(__xludf.DUMMYFUNCTION("GOOGLETRANSLATE(A39124, ""de"", ""en"")"),"reed")</f>
        <v>reed</v>
      </c>
    </row>
    <row r="39125">
      <c r="A39125" s="1" t="s">
        <v>39124</v>
      </c>
      <c r="B39125" s="2" t="str">
        <f>IFERROR(__xludf.DUMMYFUNCTION("GOOGLETRANSLATE(A39125, ""de"", ""en"")"),"beg")</f>
        <v>beg</v>
      </c>
    </row>
    <row r="39126">
      <c r="A39126" s="1" t="s">
        <v>39125</v>
      </c>
      <c r="B39126" s="2" t="str">
        <f>IFERROR(__xludf.DUMMYFUNCTION("GOOGLETRANSLATE(A39126, ""de"", ""en"")"),"life")</f>
        <v>life</v>
      </c>
    </row>
    <row r="39127">
      <c r="A39127" s="1" t="s">
        <v>39126</v>
      </c>
      <c r="B39127" s="2" t="str">
        <f>IFERROR(__xludf.DUMMYFUNCTION("GOOGLETRANSLATE(A39127, ""de"", ""en"")"),"clerk")</f>
        <v>clerk</v>
      </c>
    </row>
    <row r="39128">
      <c r="A39128" s="1" t="s">
        <v>39127</v>
      </c>
      <c r="B39128" s="2" t="str">
        <f>IFERROR(__xludf.DUMMYFUNCTION("GOOGLETRANSLATE(A39128, ""de"", ""en"")"),"intolerance")</f>
        <v>intolerance</v>
      </c>
    </row>
    <row r="39129">
      <c r="A39129" s="1" t="s">
        <v>39128</v>
      </c>
      <c r="B39129" s="2" t="str">
        <f>IFERROR(__xludf.DUMMYFUNCTION("GOOGLETRANSLATE(A39129, ""de"", ""en"")"),"jara")</f>
        <v>jara</v>
      </c>
    </row>
    <row r="39130">
      <c r="A39130" s="1" t="s">
        <v>39129</v>
      </c>
      <c r="B39130" s="2" t="str">
        <f>IFERROR(__xludf.DUMMYFUNCTION("GOOGLETRANSLATE(A39130, ""de"", ""en"")"),"stolen")</f>
        <v>stolen</v>
      </c>
    </row>
    <row r="39131">
      <c r="A39131" s="1" t="s">
        <v>39130</v>
      </c>
      <c r="B39131" s="2" t="str">
        <f>IFERROR(__xludf.DUMMYFUNCTION("GOOGLETRANSLATE(A39131, ""de"", ""en"")"),"scabies")</f>
        <v>scabies</v>
      </c>
    </row>
    <row r="39132">
      <c r="A39132" s="1" t="s">
        <v>39131</v>
      </c>
      <c r="B39132" s="2" t="str">
        <f>IFERROR(__xludf.DUMMYFUNCTION("GOOGLETRANSLATE(A39132, ""de"", ""en"")"),"host")</f>
        <v>host</v>
      </c>
    </row>
    <row r="39133">
      <c r="A39133" s="1" t="s">
        <v>39132</v>
      </c>
      <c r="B39133" s="2" t="str">
        <f>IFERROR(__xludf.DUMMYFUNCTION("GOOGLETRANSLATE(A39133, ""de"", ""en"")"),"paint")</f>
        <v>paint</v>
      </c>
    </row>
    <row r="39134">
      <c r="A39134" s="1" t="s">
        <v>39133</v>
      </c>
      <c r="B39134" s="2" t="str">
        <f>IFERROR(__xludf.DUMMYFUNCTION("GOOGLETRANSLATE(A39134, ""de"", ""en"")"),"soledad")</f>
        <v>soledad</v>
      </c>
    </row>
    <row r="39135">
      <c r="A39135" s="1" t="s">
        <v>39134</v>
      </c>
      <c r="B39135" s="2" t="str">
        <f>IFERROR(__xludf.DUMMYFUNCTION("GOOGLETRANSLATE(A39135, ""de"", ""en"")"),"mortar")</f>
        <v>mortar</v>
      </c>
    </row>
    <row r="39136">
      <c r="A39136" s="1" t="s">
        <v>39135</v>
      </c>
      <c r="B39136" s="2" t="str">
        <f>IFERROR(__xludf.DUMMYFUNCTION("GOOGLETRANSLATE(A39136, ""de"", ""en"")"),"efsun")</f>
        <v>efsun</v>
      </c>
    </row>
    <row r="39137">
      <c r="A39137" s="1" t="s">
        <v>39136</v>
      </c>
      <c r="B39137" s="2" t="str">
        <f>IFERROR(__xludf.DUMMYFUNCTION("GOOGLETRANSLATE(A39137, ""de"", ""en"")"),"trustee")</f>
        <v>trustee</v>
      </c>
    </row>
    <row r="39138">
      <c r="A39138" s="1" t="s">
        <v>39137</v>
      </c>
      <c r="B39138" s="2" t="str">
        <f>IFERROR(__xludf.DUMMYFUNCTION("GOOGLETRANSLATE(A39138, ""de"", ""en"")"),"insulation")</f>
        <v>insulation</v>
      </c>
    </row>
    <row r="39139">
      <c r="A39139" s="1" t="s">
        <v>39138</v>
      </c>
      <c r="B39139" s="2" t="str">
        <f>IFERROR(__xludf.DUMMYFUNCTION("GOOGLETRANSLATE(A39139, ""de"", ""en"")"),"expo")</f>
        <v>expo</v>
      </c>
    </row>
    <row r="39140">
      <c r="A39140" s="1" t="s">
        <v>39139</v>
      </c>
      <c r="B39140" s="2" t="str">
        <f>IFERROR(__xludf.DUMMYFUNCTION("GOOGLETRANSLATE(A39140, ""de"", ""en"")"),"Saviour")</f>
        <v>Saviour</v>
      </c>
    </row>
    <row r="39141">
      <c r="A39141" s="1" t="s">
        <v>39140</v>
      </c>
      <c r="B39141" s="2" t="str">
        <f>IFERROR(__xludf.DUMMYFUNCTION("GOOGLETRANSLATE(A39141, ""de"", ""en"")"),"ur")</f>
        <v>ur</v>
      </c>
    </row>
    <row r="39142">
      <c r="A39142" s="1" t="s">
        <v>39141</v>
      </c>
      <c r="B39142" s="2" t="str">
        <f>IFERROR(__xludf.DUMMYFUNCTION("GOOGLETRANSLATE(A39142, ""de"", ""en"")"),"to withhold")</f>
        <v>to withhold</v>
      </c>
    </row>
    <row r="39143">
      <c r="A39143" s="1" t="s">
        <v>39142</v>
      </c>
      <c r="B39143" s="2" t="str">
        <f>IFERROR(__xludf.DUMMYFUNCTION("GOOGLETRANSLATE(A39143, ""de"", ""en"")"),"luminous")</f>
        <v>luminous</v>
      </c>
    </row>
    <row r="39144">
      <c r="A39144" s="1" t="s">
        <v>39143</v>
      </c>
      <c r="B39144" s="2" t="str">
        <f>IFERROR(__xludf.DUMMYFUNCTION("GOOGLETRANSLATE(A39144, ""de"", ""en"")"),"wolverine")</f>
        <v>wolverine</v>
      </c>
    </row>
    <row r="39145">
      <c r="A39145" s="1" t="s">
        <v>39144</v>
      </c>
      <c r="B39145" s="2" t="str">
        <f>IFERROR(__xludf.DUMMYFUNCTION("GOOGLETRANSLATE(A39145, ""de"", ""en"")"),"saying")</f>
        <v>saying</v>
      </c>
    </row>
    <row r="39146">
      <c r="A39146" s="1" t="s">
        <v>39145</v>
      </c>
      <c r="B39146" s="2" t="str">
        <f>IFERROR(__xludf.DUMMYFUNCTION("GOOGLETRANSLATE(A39146, ""de"", ""en"")"),"increased")</f>
        <v>increased</v>
      </c>
    </row>
    <row r="39147">
      <c r="A39147" s="1" t="s">
        <v>39146</v>
      </c>
      <c r="B39147" s="2" t="str">
        <f>IFERROR(__xludf.DUMMYFUNCTION("GOOGLETRANSLATE(A39147, ""de"", ""en"")"),"hawkeye")</f>
        <v>hawkeye</v>
      </c>
    </row>
    <row r="39148">
      <c r="A39148" s="1" t="s">
        <v>39147</v>
      </c>
      <c r="B39148" s="2" t="str">
        <f>IFERROR(__xludf.DUMMYFUNCTION("GOOGLETRANSLATE(A39148, ""de"", ""en"")"),"disgusting")</f>
        <v>disgusting</v>
      </c>
    </row>
    <row r="39149">
      <c r="A39149" s="1" t="s">
        <v>39148</v>
      </c>
      <c r="B39149" s="2" t="str">
        <f>IFERROR(__xludf.DUMMYFUNCTION("GOOGLETRANSLATE(A39149, ""de"", ""en"")"),"freelance")</f>
        <v>freelance</v>
      </c>
    </row>
    <row r="39150">
      <c r="A39150" s="1" t="s">
        <v>39149</v>
      </c>
      <c r="B39150" s="2" t="str">
        <f>IFERROR(__xludf.DUMMYFUNCTION("GOOGLETRANSLATE(A39150, ""de"", ""en"")"),"redmond")</f>
        <v>redmond</v>
      </c>
    </row>
    <row r="39151">
      <c r="A39151" s="1" t="s">
        <v>39150</v>
      </c>
      <c r="B39151" s="2" t="str">
        <f>IFERROR(__xludf.DUMMYFUNCTION("GOOGLETRANSLATE(A39151, ""de"", ""en"")"),"zap")</f>
        <v>zap</v>
      </c>
    </row>
    <row r="39152">
      <c r="A39152" s="1" t="s">
        <v>39151</v>
      </c>
      <c r="B39152" s="2" t="str">
        <f>IFERROR(__xludf.DUMMYFUNCTION("GOOGLETRANSLATE(A39152, ""de"", ""en"")"),"getty")</f>
        <v>getty</v>
      </c>
    </row>
    <row r="39153">
      <c r="A39153" s="1" t="s">
        <v>39152</v>
      </c>
      <c r="B39153" s="2" t="str">
        <f>IFERROR(__xludf.DUMMYFUNCTION("GOOGLETRANSLATE(A39153, ""de"", ""en"")"),"process")</f>
        <v>process</v>
      </c>
    </row>
    <row r="39154">
      <c r="A39154" s="1" t="s">
        <v>39153</v>
      </c>
      <c r="B39154" s="2" t="str">
        <f>IFERROR(__xludf.DUMMYFUNCTION("GOOGLETRANSLATE(A39154, ""de"", ""en"")"),"authorized")</f>
        <v>authorized</v>
      </c>
    </row>
    <row r="39155">
      <c r="A39155" s="1" t="s">
        <v>39154</v>
      </c>
      <c r="B39155" s="2" t="str">
        <f>IFERROR(__xludf.DUMMYFUNCTION("GOOGLETRANSLATE(A39155, ""de"", ""en"")"),"cramming")</f>
        <v>cramming</v>
      </c>
    </row>
    <row r="39156">
      <c r="A39156" s="1" t="s">
        <v>39155</v>
      </c>
      <c r="B39156" s="2" t="str">
        <f>IFERROR(__xludf.DUMMYFUNCTION("GOOGLETRANSLATE(A39156, ""de"", ""en"")"),"vital signs")</f>
        <v>vital signs</v>
      </c>
    </row>
    <row r="39157">
      <c r="A39157" s="1" t="s">
        <v>39156</v>
      </c>
      <c r="B39157" s="2" t="str">
        <f>IFERROR(__xludf.DUMMYFUNCTION("GOOGLETRANSLATE(A39157, ""de"", ""en"")"),"controversial")</f>
        <v>controversial</v>
      </c>
    </row>
    <row r="39158">
      <c r="A39158" s="1" t="s">
        <v>39157</v>
      </c>
      <c r="B39158" s="2" t="str">
        <f>IFERROR(__xludf.DUMMYFUNCTION("GOOGLETRANSLATE(A39158, ""de"", ""en"")"),"adjournment")</f>
        <v>adjournment</v>
      </c>
    </row>
    <row r="39159">
      <c r="A39159" s="1" t="s">
        <v>39158</v>
      </c>
      <c r="B39159" s="2" t="str">
        <f>IFERROR(__xludf.DUMMYFUNCTION("GOOGLETRANSLATE(A39159, ""de"", ""en"")"),"conjure up")</f>
        <v>conjure up</v>
      </c>
    </row>
    <row r="39160">
      <c r="A39160" s="1" t="s">
        <v>39159</v>
      </c>
      <c r="B39160" s="2" t="str">
        <f>IFERROR(__xludf.DUMMYFUNCTION("GOOGLETRANSLATE(A39160, ""de"", ""en"")"),"review")</f>
        <v>review</v>
      </c>
    </row>
    <row r="39161">
      <c r="A39161" s="1" t="s">
        <v>39160</v>
      </c>
      <c r="B39161" s="2" t="str">
        <f>IFERROR(__xludf.DUMMYFUNCTION("GOOGLETRANSLATE(A39161, ""de"", ""en"")"),"warning signal")</f>
        <v>warning signal</v>
      </c>
    </row>
    <row r="39162">
      <c r="A39162" s="1" t="s">
        <v>39161</v>
      </c>
      <c r="B39162" s="2" t="str">
        <f>IFERROR(__xludf.DUMMYFUNCTION("GOOGLETRANSLATE(A39162, ""de"", ""en"")"),"caterpillars")</f>
        <v>caterpillars</v>
      </c>
    </row>
    <row r="39163">
      <c r="A39163" s="1" t="s">
        <v>39162</v>
      </c>
      <c r="B39163" s="2" t="str">
        <f>IFERROR(__xludf.DUMMYFUNCTION("GOOGLETRANSLATE(A39163, ""de"", ""en"")"),"sade")</f>
        <v>sade</v>
      </c>
    </row>
    <row r="39164">
      <c r="A39164" s="1" t="s">
        <v>39163</v>
      </c>
      <c r="B39164" s="2" t="str">
        <f>IFERROR(__xludf.DUMMYFUNCTION("GOOGLETRANSLATE(A39164, ""de"", ""en"")"),"wrapping paper")</f>
        <v>wrapping paper</v>
      </c>
    </row>
    <row r="39165">
      <c r="A39165" s="1" t="s">
        <v>39164</v>
      </c>
      <c r="B39165" s="2" t="str">
        <f>IFERROR(__xludf.DUMMYFUNCTION("GOOGLETRANSLATE(A39165, ""de"", ""en"")"),"kingsbridge")</f>
        <v>kingsbridge</v>
      </c>
    </row>
    <row r="39166">
      <c r="A39166" s="1" t="s">
        <v>39165</v>
      </c>
      <c r="B39166" s="2" t="str">
        <f>IFERROR(__xludf.DUMMYFUNCTION("GOOGLETRANSLATE(A39166, ""de"", ""en"")"),"crook")</f>
        <v>crook</v>
      </c>
    </row>
    <row r="39167">
      <c r="A39167" s="1" t="s">
        <v>39166</v>
      </c>
      <c r="B39167" s="2" t="str">
        <f>IFERROR(__xludf.DUMMYFUNCTION("GOOGLETRANSLATE(A39167, ""de"", ""en"")"),"hold on")</f>
        <v>hold on</v>
      </c>
    </row>
    <row r="39168">
      <c r="A39168" s="1" t="s">
        <v>39167</v>
      </c>
      <c r="B39168" s="2" t="str">
        <f>IFERROR(__xludf.DUMMYFUNCTION("GOOGLETRANSLATE(A39168, ""de"", ""en"")"),"wants")</f>
        <v>wants</v>
      </c>
    </row>
    <row r="39169">
      <c r="A39169" s="1" t="s">
        <v>39168</v>
      </c>
      <c r="B39169" s="2" t="str">
        <f>IFERROR(__xludf.DUMMYFUNCTION("GOOGLETRANSLATE(A39169, ""de"", ""en"")"),"kanes")</f>
        <v>kanes</v>
      </c>
    </row>
    <row r="39170">
      <c r="A39170" s="1" t="s">
        <v>39169</v>
      </c>
      <c r="B39170" s="2" t="str">
        <f>IFERROR(__xludf.DUMMYFUNCTION("GOOGLETRANSLATE(A39170, ""de"", ""en"")"),"included")</f>
        <v>included</v>
      </c>
    </row>
    <row r="39171">
      <c r="A39171" s="1" t="s">
        <v>39170</v>
      </c>
      <c r="B39171" s="2" t="str">
        <f>IFERROR(__xludf.DUMMYFUNCTION("GOOGLETRANSLATE(A39171, ""de"", ""en"")"),"accuses")</f>
        <v>accuses</v>
      </c>
    </row>
    <row r="39172">
      <c r="A39172" s="1" t="s">
        <v>39171</v>
      </c>
      <c r="B39172" s="2" t="str">
        <f>IFERROR(__xludf.DUMMYFUNCTION("GOOGLETRANSLATE(A39172, ""de"", ""en"")"),"unspeakable")</f>
        <v>unspeakable</v>
      </c>
    </row>
    <row r="39173">
      <c r="A39173" s="1" t="s">
        <v>39172</v>
      </c>
      <c r="B39173" s="2" t="str">
        <f>IFERROR(__xludf.DUMMYFUNCTION("GOOGLETRANSLATE(A39173, ""de"", ""en"")"),"caveman")</f>
        <v>caveman</v>
      </c>
    </row>
    <row r="39174">
      <c r="A39174" s="1" t="s">
        <v>39173</v>
      </c>
      <c r="B39174" s="2" t="str">
        <f>IFERROR(__xludf.DUMMYFUNCTION("GOOGLETRANSLATE(A39174, ""de"", ""en"")"),"caste")</f>
        <v>caste</v>
      </c>
    </row>
    <row r="39175">
      <c r="A39175" s="1" t="s">
        <v>39174</v>
      </c>
      <c r="B39175" s="2" t="str">
        <f>IFERROR(__xludf.DUMMYFUNCTION("GOOGLETRANSLATE(A39175, ""de"", ""en"")"),"to demand")</f>
        <v>to demand</v>
      </c>
    </row>
    <row r="39176">
      <c r="A39176" s="1" t="s">
        <v>39175</v>
      </c>
      <c r="B39176" s="2" t="str">
        <f>IFERROR(__xludf.DUMMYFUNCTION("GOOGLETRANSLATE(A39176, ""de"", ""en"")"),"forecasts")</f>
        <v>forecasts</v>
      </c>
    </row>
    <row r="39177">
      <c r="A39177" s="1" t="s">
        <v>39176</v>
      </c>
      <c r="B39177" s="2" t="str">
        <f>IFERROR(__xludf.DUMMYFUNCTION("GOOGLETRANSLATE(A39177, ""de"", ""en"")"),"passed on")</f>
        <v>passed on</v>
      </c>
    </row>
    <row r="39178">
      <c r="A39178" s="1" t="s">
        <v>39177</v>
      </c>
      <c r="B39178" s="2" t="str">
        <f>IFERROR(__xludf.DUMMYFUNCTION("GOOGLETRANSLATE(A39178, ""de"", ""en"")"),"Nugent")</f>
        <v>Nugent</v>
      </c>
    </row>
    <row r="39179">
      <c r="A39179" s="1" t="s">
        <v>39178</v>
      </c>
      <c r="B39179" s="2" t="str">
        <f>IFERROR(__xludf.DUMMYFUNCTION("GOOGLETRANSLATE(A39179, ""de"", ""en"")"),"hurst")</f>
        <v>hurst</v>
      </c>
    </row>
    <row r="39180">
      <c r="A39180" s="1" t="s">
        <v>39179</v>
      </c>
      <c r="B39180" s="2" t="str">
        <f>IFERROR(__xludf.DUMMYFUNCTION("GOOGLETRANSLATE(A39180, ""de"", ""en"")"),"mantis")</f>
        <v>mantis</v>
      </c>
    </row>
    <row r="39181">
      <c r="A39181" s="1" t="s">
        <v>39180</v>
      </c>
      <c r="B39181" s="2" t="str">
        <f>IFERROR(__xludf.DUMMYFUNCTION("GOOGLETRANSLATE(A39181, ""de"", ""en"")"),"drac")</f>
        <v>drac</v>
      </c>
    </row>
    <row r="39182">
      <c r="A39182" s="1" t="s">
        <v>39181</v>
      </c>
      <c r="B39182" s="2" t="str">
        <f>IFERROR(__xludf.DUMMYFUNCTION("GOOGLETRANSLATE(A39182, ""de"", ""en"")"),"streets")</f>
        <v>streets</v>
      </c>
    </row>
    <row r="39183">
      <c r="A39183" s="1" t="s">
        <v>39182</v>
      </c>
      <c r="B39183" s="2" t="str">
        <f>IFERROR(__xludf.DUMMYFUNCTION("GOOGLETRANSLATE(A39183, ""de"", ""en"")"),"Connery")</f>
        <v>Connery</v>
      </c>
    </row>
    <row r="39184">
      <c r="A39184" s="1" t="s">
        <v>39183</v>
      </c>
      <c r="B39184" s="2" t="str">
        <f>IFERROR(__xludf.DUMMYFUNCTION("GOOGLETRANSLATE(A39184, ""de"", ""en"")"),"frankel")</f>
        <v>frankel</v>
      </c>
    </row>
    <row r="39185">
      <c r="A39185" s="1" t="s">
        <v>39184</v>
      </c>
      <c r="B39185" s="2" t="str">
        <f>IFERROR(__xludf.DUMMYFUNCTION("GOOGLETRANSLATE(A39185, ""de"", ""en"")"),"racial segregation")</f>
        <v>racial segregation</v>
      </c>
    </row>
    <row r="39186">
      <c r="A39186" s="1" t="s">
        <v>39185</v>
      </c>
      <c r="B39186" s="2" t="str">
        <f>IFERROR(__xludf.DUMMYFUNCTION("GOOGLETRANSLATE(A39186, ""de"", ""en"")"),"strong")</f>
        <v>strong</v>
      </c>
    </row>
    <row r="39187">
      <c r="A39187" s="1" t="s">
        <v>39186</v>
      </c>
      <c r="B39187" s="2" t="str">
        <f>IFERROR(__xludf.DUMMYFUNCTION("GOOGLETRANSLATE(A39187, ""de"", ""en"")"),"tommy")</f>
        <v>tommy</v>
      </c>
    </row>
    <row r="39188">
      <c r="A39188" s="1" t="s">
        <v>39187</v>
      </c>
      <c r="B39188" s="2" t="str">
        <f>IFERROR(__xludf.DUMMYFUNCTION("GOOGLETRANSLATE(A39188, ""de"", ""en"")"),"protected")</f>
        <v>protected</v>
      </c>
    </row>
    <row r="39189">
      <c r="A39189" s="1" t="s">
        <v>39188</v>
      </c>
      <c r="B39189" s="2" t="str">
        <f>IFERROR(__xludf.DUMMYFUNCTION("GOOGLETRANSLATE(A39189, ""de"", ""en"")"),"districts")</f>
        <v>districts</v>
      </c>
    </row>
    <row r="39190">
      <c r="A39190" s="1" t="s">
        <v>39189</v>
      </c>
      <c r="B39190" s="2" t="str">
        <f>IFERROR(__xludf.DUMMYFUNCTION("GOOGLETRANSLATE(A39190, ""de"", ""en"")"),"fighting crime")</f>
        <v>fighting crime</v>
      </c>
    </row>
    <row r="39191">
      <c r="A39191" s="1" t="s">
        <v>39190</v>
      </c>
      <c r="B39191" s="2" t="str">
        <f>IFERROR(__xludf.DUMMYFUNCTION("GOOGLETRANSLATE(A39191, ""de"", ""en"")"),"shower")</f>
        <v>shower</v>
      </c>
    </row>
    <row r="39192">
      <c r="A39192" s="1" t="s">
        <v>39191</v>
      </c>
      <c r="B39192" s="2" t="str">
        <f>IFERROR(__xludf.DUMMYFUNCTION("GOOGLETRANSLATE(A39192, ""de"", ""en"")"),"classroom")</f>
        <v>classroom</v>
      </c>
    </row>
    <row r="39193">
      <c r="A39193" s="1" t="s">
        <v>39192</v>
      </c>
      <c r="B39193" s="2" t="str">
        <f>IFERROR(__xludf.DUMMYFUNCTION("GOOGLETRANSLATE(A39193, ""de"", ""en"")"),"ferrars")</f>
        <v>ferrars</v>
      </c>
    </row>
    <row r="39194">
      <c r="A39194" s="1" t="s">
        <v>39193</v>
      </c>
      <c r="B39194" s="2" t="str">
        <f>IFERROR(__xludf.DUMMYFUNCTION("GOOGLETRANSLATE(A39194, ""de"", ""en"")"),"haskell")</f>
        <v>haskell</v>
      </c>
    </row>
    <row r="39195">
      <c r="A39195" s="1" t="s">
        <v>39194</v>
      </c>
      <c r="B39195" s="2" t="str">
        <f>IFERROR(__xludf.DUMMYFUNCTION("GOOGLETRANSLATE(A39195, ""de"", ""en"")"),"dog tired")</f>
        <v>dog tired</v>
      </c>
    </row>
    <row r="39196">
      <c r="A39196" s="1" t="s">
        <v>39195</v>
      </c>
      <c r="B39196" s="2" t="str">
        <f>IFERROR(__xludf.DUMMYFUNCTION("GOOGLETRANSLATE(A39196, ""de"", ""en"")"),"tomorrow")</f>
        <v>tomorrow</v>
      </c>
    </row>
    <row r="39197">
      <c r="A39197" s="1" t="s">
        <v>39196</v>
      </c>
      <c r="B39197" s="2" t="str">
        <f>IFERROR(__xludf.DUMMYFUNCTION("GOOGLETRANSLATE(A39197, ""de"", ""en"")"),"anesthesia")</f>
        <v>anesthesia</v>
      </c>
    </row>
    <row r="39198">
      <c r="A39198" s="1" t="s">
        <v>39197</v>
      </c>
      <c r="B39198" s="2" t="str">
        <f>IFERROR(__xludf.DUMMYFUNCTION("GOOGLETRANSLATE(A39198, ""de"", ""en"")"),"kagan")</f>
        <v>kagan</v>
      </c>
    </row>
    <row r="39199">
      <c r="A39199" s="1" t="s">
        <v>39198</v>
      </c>
      <c r="B39199" s="2" t="str">
        <f>IFERROR(__xludf.DUMMYFUNCTION("GOOGLETRANSLATE(A39199, ""de"", ""en"")"),"disclosure")</f>
        <v>disclosure</v>
      </c>
    </row>
    <row r="39200">
      <c r="A39200" s="1" t="s">
        <v>39199</v>
      </c>
      <c r="B39200" s="2" t="str">
        <f>IFERROR(__xludf.DUMMYFUNCTION("GOOGLETRANSLATE(A39200, ""de"", ""en"")"),"hunters")</f>
        <v>hunters</v>
      </c>
    </row>
    <row r="39201">
      <c r="A39201" s="1" t="s">
        <v>39200</v>
      </c>
      <c r="B39201" s="2" t="str">
        <f>IFERROR(__xludf.DUMMYFUNCTION("GOOGLETRANSLATE(A39201, ""de"", ""en"")"),"mater")</f>
        <v>mater</v>
      </c>
    </row>
    <row r="39202">
      <c r="A39202" s="1" t="s">
        <v>39201</v>
      </c>
      <c r="B39202" s="2" t="str">
        <f>IFERROR(__xludf.DUMMYFUNCTION("GOOGLETRANSLATE(A39202, ""de"", ""en"")"),"your majesties")</f>
        <v>your majesties</v>
      </c>
    </row>
    <row r="39203">
      <c r="A39203" s="1" t="s">
        <v>39202</v>
      </c>
      <c r="B39203" s="2" t="str">
        <f>IFERROR(__xludf.DUMMYFUNCTION("GOOGLETRANSLATE(A39203, ""de"", ""en"")"),"constancy")</f>
        <v>constancy</v>
      </c>
    </row>
    <row r="39204">
      <c r="A39204" s="1" t="s">
        <v>39203</v>
      </c>
      <c r="B39204" s="2" t="str">
        <f>IFERROR(__xludf.DUMMYFUNCTION("GOOGLETRANSLATE(A39204, ""de"", ""en"")"),"miracle cure")</f>
        <v>miracle cure</v>
      </c>
    </row>
    <row r="39205">
      <c r="A39205" s="1" t="s">
        <v>39204</v>
      </c>
      <c r="B39205" s="2" t="str">
        <f>IFERROR(__xludf.DUMMYFUNCTION("GOOGLETRANSLATE(A39205, ""de"", ""en"")"),"Brazilian")</f>
        <v>Brazilian</v>
      </c>
    </row>
    <row r="39206">
      <c r="A39206" s="1" t="s">
        <v>39205</v>
      </c>
      <c r="B39206" s="2" t="str">
        <f>IFERROR(__xludf.DUMMYFUNCTION("GOOGLETRANSLATE(A39206, ""de"", ""en"")"),"mathematically")</f>
        <v>mathematically</v>
      </c>
    </row>
    <row r="39207">
      <c r="A39207" s="1" t="s">
        <v>39206</v>
      </c>
      <c r="B39207" s="2" t="str">
        <f>IFERROR(__xludf.DUMMYFUNCTION("GOOGLETRANSLATE(A39207, ""de"", ""en"")"),"manage")</f>
        <v>manage</v>
      </c>
    </row>
    <row r="39208">
      <c r="A39208" s="1" t="s">
        <v>39207</v>
      </c>
      <c r="B39208" s="2" t="str">
        <f>IFERROR(__xludf.DUMMYFUNCTION("GOOGLETRANSLATE(A39208, ""de"", ""en"")"),"skills")</f>
        <v>skills</v>
      </c>
    </row>
    <row r="39209">
      <c r="A39209" s="1" t="s">
        <v>39208</v>
      </c>
      <c r="B39209" s="2" t="str">
        <f>IFERROR(__xludf.DUMMYFUNCTION("GOOGLETRANSLATE(A39209, ""de"", ""en"")"),"hatcher")</f>
        <v>hatcher</v>
      </c>
    </row>
    <row r="39210">
      <c r="A39210" s="1" t="s">
        <v>39209</v>
      </c>
      <c r="B39210" s="2" t="str">
        <f>IFERROR(__xludf.DUMMYFUNCTION("GOOGLETRANSLATE(A39210, ""de"", ""en"")"),"hindered")</f>
        <v>hindered</v>
      </c>
    </row>
    <row r="39211">
      <c r="A39211" s="1" t="s">
        <v>39210</v>
      </c>
      <c r="B39211" s="2" t="str">
        <f>IFERROR(__xludf.DUMMYFUNCTION("GOOGLETRANSLATE(A39211, ""de"", ""en"")"),"more logical")</f>
        <v>more logical</v>
      </c>
    </row>
    <row r="39212">
      <c r="A39212" s="1" t="s">
        <v>39211</v>
      </c>
      <c r="B39212" s="2" t="str">
        <f>IFERROR(__xludf.DUMMYFUNCTION("GOOGLETRANSLATE(A39212, ""de"", ""en"")"),"grains")</f>
        <v>grains</v>
      </c>
    </row>
    <row r="39213">
      <c r="A39213" s="1" t="s">
        <v>39212</v>
      </c>
      <c r="B39213" s="2" t="str">
        <f>IFERROR(__xludf.DUMMYFUNCTION("GOOGLETRANSLATE(A39213, ""de"", ""en"")"),"useful")</f>
        <v>useful</v>
      </c>
    </row>
    <row r="39214">
      <c r="A39214" s="1" t="s">
        <v>39213</v>
      </c>
      <c r="B39214" s="2" t="str">
        <f>IFERROR(__xludf.DUMMYFUNCTION("GOOGLETRANSLATE(A39214, ""de"", ""en"")"),"ivanhoe")</f>
        <v>ivanhoe</v>
      </c>
    </row>
    <row r="39215">
      <c r="A39215" s="1" t="s">
        <v>39214</v>
      </c>
      <c r="B39215" s="2" t="str">
        <f>IFERROR(__xludf.DUMMYFUNCTION("GOOGLETRANSLATE(A39215, ""de"", ""en"")"),"read")</f>
        <v>read</v>
      </c>
    </row>
    <row r="39216">
      <c r="A39216" s="1" t="s">
        <v>39215</v>
      </c>
      <c r="B39216" s="2" t="str">
        <f>IFERROR(__xludf.DUMMYFUNCTION("GOOGLETRANSLATE(A39216, ""de"", ""en"")"),"following")</f>
        <v>following</v>
      </c>
    </row>
    <row r="39217">
      <c r="A39217" s="1" t="s">
        <v>39216</v>
      </c>
      <c r="B39217" s="2" t="str">
        <f>IFERROR(__xludf.DUMMYFUNCTION("GOOGLETRANSLATE(A39217, ""de"", ""en"")"),"zamani")</f>
        <v>zamani</v>
      </c>
    </row>
    <row r="39218">
      <c r="A39218" s="1" t="s">
        <v>39217</v>
      </c>
      <c r="B39218" s="2" t="str">
        <f>IFERROR(__xludf.DUMMYFUNCTION("GOOGLETRANSLATE(A39218, ""de"", ""en"")"),"seems")</f>
        <v>seems</v>
      </c>
    </row>
    <row r="39219">
      <c r="A39219" s="1" t="s">
        <v>39218</v>
      </c>
      <c r="B39219" s="2" t="str">
        <f>IFERROR(__xludf.DUMMYFUNCTION("GOOGLETRANSLATE(A39219, ""de"", ""en"")"),"piercings")</f>
        <v>piercings</v>
      </c>
    </row>
    <row r="39220">
      <c r="A39220" s="1" t="s">
        <v>39219</v>
      </c>
      <c r="B39220" s="2" t="str">
        <f>IFERROR(__xludf.DUMMYFUNCTION("GOOGLETRANSLATE(A39220, ""de"", ""en"")"),"explained")</f>
        <v>explained</v>
      </c>
    </row>
    <row r="39221">
      <c r="A39221" s="1" t="s">
        <v>39220</v>
      </c>
      <c r="B39221" s="2" t="str">
        <f>IFERROR(__xludf.DUMMYFUNCTION("GOOGLETRANSLATE(A39221, ""de"", ""en"")"),"driving lessons")</f>
        <v>driving lessons</v>
      </c>
    </row>
    <row r="39222">
      <c r="A39222" s="1" t="s">
        <v>39221</v>
      </c>
      <c r="B39222" s="2" t="str">
        <f>IFERROR(__xludf.DUMMYFUNCTION("GOOGLETRANSLATE(A39222, ""de"", ""en"")"),"liberal")</f>
        <v>liberal</v>
      </c>
    </row>
    <row r="39223">
      <c r="A39223" s="1" t="s">
        <v>39222</v>
      </c>
      <c r="B39223" s="2" t="str">
        <f>IFERROR(__xludf.DUMMYFUNCTION("GOOGLETRANSLATE(A39223, ""de"", ""en"")"),"rodent")</f>
        <v>rodent</v>
      </c>
    </row>
    <row r="39224">
      <c r="A39224" s="1" t="s">
        <v>39223</v>
      </c>
      <c r="B39224" s="2" t="str">
        <f>IFERROR(__xludf.DUMMYFUNCTION("GOOGLETRANSLATE(A39224, ""de"", ""en"")"),"acrobats")</f>
        <v>acrobats</v>
      </c>
    </row>
    <row r="39225">
      <c r="A39225" s="1" t="s">
        <v>39224</v>
      </c>
      <c r="B39225" s="2" t="str">
        <f>IFERROR(__xludf.DUMMYFUNCTION("GOOGLETRANSLATE(A39225, ""de"", ""en"")"),"vital")</f>
        <v>vital</v>
      </c>
    </row>
    <row r="39226">
      <c r="A39226" s="1" t="s">
        <v>39225</v>
      </c>
      <c r="B39226" s="2" t="str">
        <f>IFERROR(__xludf.DUMMYFUNCTION("GOOGLETRANSLATE(A39226, ""de"", ""en"")"),"surfboard")</f>
        <v>surfboard</v>
      </c>
    </row>
    <row r="39227">
      <c r="A39227" s="1" t="s">
        <v>39226</v>
      </c>
      <c r="B39227" s="2" t="str">
        <f>IFERROR(__xludf.DUMMYFUNCTION("GOOGLETRANSLATE(A39227, ""de"", ""en"")"),"clarification")</f>
        <v>clarification</v>
      </c>
    </row>
    <row r="39228">
      <c r="A39228" s="1" t="s">
        <v>39227</v>
      </c>
      <c r="B39228" s="2" t="str">
        <f>IFERROR(__xludf.DUMMYFUNCTION("GOOGLETRANSLATE(A39228, ""de"", ""en"")"),"squeezed out")</f>
        <v>squeezed out</v>
      </c>
    </row>
    <row r="39229">
      <c r="A39229" s="1" t="s">
        <v>39228</v>
      </c>
      <c r="B39229" s="2" t="str">
        <f>IFERROR(__xludf.DUMMYFUNCTION("GOOGLETRANSLATE(A39229, ""de"", ""en"")"),"Cloe")</f>
        <v>Cloe</v>
      </c>
    </row>
    <row r="39230">
      <c r="A39230" s="1" t="s">
        <v>39229</v>
      </c>
      <c r="B39230" s="2" t="str">
        <f>IFERROR(__xludf.DUMMYFUNCTION("GOOGLETRANSLATE(A39230, ""de"", ""en"")"),"pinto")</f>
        <v>pinto</v>
      </c>
    </row>
    <row r="39231">
      <c r="A39231" s="1" t="s">
        <v>39230</v>
      </c>
      <c r="B39231" s="2" t="str">
        <f>IFERROR(__xludf.DUMMYFUNCTION("GOOGLETRANSLATE(A39231, ""de"", ""en"")"),"rent guy")</f>
        <v>rent guy</v>
      </c>
    </row>
    <row r="39232">
      <c r="A39232" s="1" t="s">
        <v>39231</v>
      </c>
      <c r="B39232" s="2" t="str">
        <f>IFERROR(__xludf.DUMMYFUNCTION("GOOGLETRANSLATE(A39232, ""de"", ""en"")"),"walked in")</f>
        <v>walked in</v>
      </c>
    </row>
    <row r="39233">
      <c r="A39233" s="1" t="s">
        <v>39232</v>
      </c>
      <c r="B39233" s="2" t="str">
        <f>IFERROR(__xludf.DUMMYFUNCTION("GOOGLETRANSLATE(A39233, ""de"", ""en"")"),"cleans")</f>
        <v>cleans</v>
      </c>
    </row>
    <row r="39234">
      <c r="A39234" s="1" t="s">
        <v>39233</v>
      </c>
      <c r="B39234" s="2" t="str">
        <f>IFERROR(__xludf.DUMMYFUNCTION("GOOGLETRANSLATE(A39234, ""de"", ""en"")"),"servants")</f>
        <v>servants</v>
      </c>
    </row>
    <row r="39235">
      <c r="A39235" s="1" t="s">
        <v>39234</v>
      </c>
      <c r="B39235" s="2" t="str">
        <f>IFERROR(__xludf.DUMMYFUNCTION("GOOGLETRANSLATE(A39235, ""de"", ""en"")"),"disc")</f>
        <v>disc</v>
      </c>
    </row>
    <row r="39236">
      <c r="A39236" s="1" t="s">
        <v>39235</v>
      </c>
      <c r="B39236" s="2" t="str">
        <f>IFERROR(__xludf.DUMMYFUNCTION("GOOGLETRANSLATE(A39236, ""de"", ""en"")"),"death wish")</f>
        <v>death wish</v>
      </c>
    </row>
    <row r="39237">
      <c r="A39237" s="1" t="s">
        <v>39236</v>
      </c>
      <c r="B39237" s="2" t="str">
        <f>IFERROR(__xludf.DUMMYFUNCTION("GOOGLETRANSLATE(A39237, ""de"", ""en"")"),"invisible")</f>
        <v>invisible</v>
      </c>
    </row>
    <row r="39238">
      <c r="A39238" s="1" t="s">
        <v>39237</v>
      </c>
      <c r="B39238" s="2" t="str">
        <f>IFERROR(__xludf.DUMMYFUNCTION("GOOGLETRANSLATE(A39238, ""de"", ""en"")"),"ambush")</f>
        <v>ambush</v>
      </c>
    </row>
    <row r="39239">
      <c r="A39239" s="1" t="s">
        <v>39238</v>
      </c>
      <c r="B39239" s="2" t="str">
        <f>IFERROR(__xludf.DUMMYFUNCTION("GOOGLETRANSLATE(A39239, ""de"", ""en"")"),"worked through")</f>
        <v>worked through</v>
      </c>
    </row>
    <row r="39240">
      <c r="A39240" s="1" t="s">
        <v>39239</v>
      </c>
      <c r="B39240" s="2" t="str">
        <f>IFERROR(__xludf.DUMMYFUNCTION("GOOGLETRANSLATE(A39240, ""de"", ""en"")"),"parade")</f>
        <v>parade</v>
      </c>
    </row>
    <row r="39241">
      <c r="A39241" s="1" t="s">
        <v>39240</v>
      </c>
      <c r="B39241" s="2" t="str">
        <f>IFERROR(__xludf.DUMMYFUNCTION("GOOGLETRANSLATE(A39241, ""de"", ""en"")"),"shut down")</f>
        <v>shut down</v>
      </c>
    </row>
    <row r="39242">
      <c r="A39242" s="1" t="s">
        <v>39241</v>
      </c>
      <c r="B39242" s="2" t="str">
        <f>IFERROR(__xludf.DUMMYFUNCTION("GOOGLETRANSLATE(A39242, ""de"", ""en"")"),"toã")</f>
        <v>toã</v>
      </c>
    </row>
    <row r="39243">
      <c r="A39243" s="1" t="s">
        <v>39242</v>
      </c>
      <c r="B39243" s="2" t="str">
        <f>IFERROR(__xludf.DUMMYFUNCTION("GOOGLETRANSLATE(A39243, ""de"", ""en"")"),"lean")</f>
        <v>lean</v>
      </c>
    </row>
    <row r="39244">
      <c r="A39244" s="1" t="s">
        <v>39243</v>
      </c>
      <c r="B39244" s="2" t="str">
        <f>IFERROR(__xludf.DUMMYFUNCTION("GOOGLETRANSLATE(A39244, ""de"", ""en"")"),"security area")</f>
        <v>security area</v>
      </c>
    </row>
    <row r="39245">
      <c r="A39245" s="1" t="s">
        <v>39244</v>
      </c>
      <c r="B39245" s="2" t="str">
        <f>IFERROR(__xludf.DUMMYFUNCTION("GOOGLETRANSLATE(A39245, ""de"", ""en"")"),"access codes")</f>
        <v>access codes</v>
      </c>
    </row>
    <row r="39246">
      <c r="A39246" s="1" t="s">
        <v>39245</v>
      </c>
      <c r="B39246" s="2" t="str">
        <f>IFERROR(__xludf.DUMMYFUNCTION("GOOGLETRANSLATE(A39246, ""de"", ""en"")"),"cleavage")</f>
        <v>cleavage</v>
      </c>
    </row>
    <row r="39247">
      <c r="A39247" s="1" t="s">
        <v>39246</v>
      </c>
      <c r="B39247" s="2" t="str">
        <f>IFERROR(__xludf.DUMMYFUNCTION("GOOGLETRANSLATE(A39247, ""de"", ""en"")"),"bet")</f>
        <v>bet</v>
      </c>
    </row>
    <row r="39248">
      <c r="A39248" s="1" t="s">
        <v>39247</v>
      </c>
      <c r="B39248" s="2" t="str">
        <f>IFERROR(__xludf.DUMMYFUNCTION("GOOGLETRANSLATE(A39248, ""de"", ""en"")"),"benoît")</f>
        <v>benoît</v>
      </c>
    </row>
    <row r="39249">
      <c r="A39249" s="1" t="s">
        <v>39248</v>
      </c>
      <c r="B39249" s="2" t="str">
        <f>IFERROR(__xludf.DUMMYFUNCTION("GOOGLETRANSLATE(A39249, ""de"", ""en"")"),"bannion")</f>
        <v>bannion</v>
      </c>
    </row>
    <row r="39250">
      <c r="A39250" s="1" t="s">
        <v>39249</v>
      </c>
      <c r="B39250" s="2" t="str">
        <f>IFERROR(__xludf.DUMMYFUNCTION("GOOGLETRANSLATE(A39250, ""de"", ""en"")"),"perhaps")</f>
        <v>perhaps</v>
      </c>
    </row>
    <row r="39251">
      <c r="A39251" s="1" t="s">
        <v>39250</v>
      </c>
      <c r="B39251" s="2" t="str">
        <f>IFERROR(__xludf.DUMMYFUNCTION("GOOGLETRANSLATE(A39251, ""de"", ""en"")"),"own")</f>
        <v>own</v>
      </c>
    </row>
    <row r="39252">
      <c r="A39252" s="1" t="s">
        <v>39251</v>
      </c>
      <c r="B39252" s="2" t="str">
        <f>IFERROR(__xludf.DUMMYFUNCTION("GOOGLETRANSLATE(A39252, ""de"", ""en"")"),"detention center")</f>
        <v>detention center</v>
      </c>
    </row>
    <row r="39253">
      <c r="A39253" s="1" t="s">
        <v>39252</v>
      </c>
      <c r="B39253" s="2" t="str">
        <f>IFERROR(__xludf.DUMMYFUNCTION("GOOGLETRANSLATE(A39253, ""de"", ""en"")"),"electric shock")</f>
        <v>electric shock</v>
      </c>
    </row>
    <row r="39254">
      <c r="A39254" s="1" t="s">
        <v>39253</v>
      </c>
      <c r="B39254" s="2" t="str">
        <f>IFERROR(__xludf.DUMMYFUNCTION("GOOGLETRANSLATE(A39254, ""de"", ""en"")"),"areas")</f>
        <v>areas</v>
      </c>
    </row>
    <row r="39255">
      <c r="A39255" s="1" t="s">
        <v>39254</v>
      </c>
      <c r="B39255" s="2" t="str">
        <f>IFERROR(__xludf.DUMMYFUNCTION("GOOGLETRANSLATE(A39255, ""de"", ""en"")"),"located")</f>
        <v>located</v>
      </c>
    </row>
    <row r="39256">
      <c r="A39256" s="1" t="s">
        <v>39255</v>
      </c>
      <c r="B39256" s="2" t="str">
        <f>IFERROR(__xludf.DUMMYFUNCTION("GOOGLETRANSLATE(A39256, ""de"", ""en"")"),"epic")</f>
        <v>epic</v>
      </c>
    </row>
    <row r="39257">
      <c r="A39257" s="1" t="s">
        <v>39256</v>
      </c>
      <c r="B39257" s="2" t="str">
        <f>IFERROR(__xludf.DUMMYFUNCTION("GOOGLETRANSLATE(A39257, ""de"", ""en"")"),"spotlight")</f>
        <v>spotlight</v>
      </c>
    </row>
    <row r="39258">
      <c r="A39258" s="1" t="s">
        <v>39257</v>
      </c>
      <c r="B39258" s="2" t="str">
        <f>IFERROR(__xludf.DUMMYFUNCTION("GOOGLETRANSLATE(A39258, ""de"", ""en"")"),"riveted over")</f>
        <v>riveted over</v>
      </c>
    </row>
    <row r="39259">
      <c r="A39259" s="1" t="s">
        <v>39258</v>
      </c>
      <c r="B39259" s="2" t="str">
        <f>IFERROR(__xludf.DUMMYFUNCTION("GOOGLETRANSLATE(A39259, ""de"", ""en"")"),"bulimia")</f>
        <v>bulimia</v>
      </c>
    </row>
    <row r="39260">
      <c r="A39260" s="1" t="s">
        <v>39259</v>
      </c>
      <c r="B39260" s="2" t="str">
        <f>IFERROR(__xludf.DUMMYFUNCTION("GOOGLETRANSLATE(A39260, ""de"", ""en"")"),"overture")</f>
        <v>overture</v>
      </c>
    </row>
    <row r="39261">
      <c r="A39261" s="1" t="s">
        <v>39260</v>
      </c>
      <c r="B39261" s="2" t="str">
        <f>IFERROR(__xludf.DUMMYFUNCTION("GOOGLETRANSLATE(A39261, ""de"", ""en"")"),"herne")</f>
        <v>herne</v>
      </c>
    </row>
    <row r="39262">
      <c r="A39262" s="1" t="s">
        <v>39261</v>
      </c>
      <c r="B39262" s="2" t="str">
        <f>IFERROR(__xludf.DUMMYFUNCTION("GOOGLETRANSLATE(A39262, ""de"", ""en"")"),"phantoms")</f>
        <v>phantoms</v>
      </c>
    </row>
    <row r="39263">
      <c r="A39263" s="1" t="s">
        <v>39262</v>
      </c>
      <c r="B39263" s="2" t="str">
        <f>IFERROR(__xludf.DUMMYFUNCTION("GOOGLETRANSLATE(A39263, ""de"", ""en"")"),"bram")</f>
        <v>bram</v>
      </c>
    </row>
    <row r="39264">
      <c r="A39264" s="1" t="s">
        <v>39263</v>
      </c>
      <c r="B39264" s="2" t="str">
        <f>IFERROR(__xludf.DUMMYFUNCTION("GOOGLETRANSLATE(A39264, ""de"", ""en"")"),"late")</f>
        <v>late</v>
      </c>
    </row>
    <row r="39265">
      <c r="A39265" s="1" t="s">
        <v>39264</v>
      </c>
      <c r="B39265" s="2" t="str">
        <f>IFERROR(__xludf.DUMMYFUNCTION("GOOGLETRANSLATE(A39265, ""de"", ""en"")"),"lynda")</f>
        <v>lynda</v>
      </c>
    </row>
    <row r="39266">
      <c r="A39266" s="1" t="s">
        <v>39265</v>
      </c>
      <c r="B39266" s="2" t="str">
        <f>IFERROR(__xludf.DUMMYFUNCTION("GOOGLETRANSLATE(A39266, ""de"", ""en"")"),"blindly")</f>
        <v>blindly</v>
      </c>
    </row>
    <row r="39267">
      <c r="A39267" s="1" t="s">
        <v>39266</v>
      </c>
      <c r="B39267" s="2" t="str">
        <f>IFERROR(__xludf.DUMMYFUNCTION("GOOGLETRANSLATE(A39267, ""de"", ""en"")"),"impala")</f>
        <v>impala</v>
      </c>
    </row>
    <row r="39268">
      <c r="A39268" s="1" t="s">
        <v>39267</v>
      </c>
      <c r="B39268" s="2" t="str">
        <f>IFERROR(__xludf.DUMMYFUNCTION("GOOGLETRANSLATE(A39268, ""de"", ""en"")"),"Peter")</f>
        <v>Peter</v>
      </c>
    </row>
    <row r="39269">
      <c r="A39269" s="1" t="s">
        <v>39268</v>
      </c>
      <c r="B39269" s="2" t="str">
        <f>IFERROR(__xludf.DUMMYFUNCTION("GOOGLETRANSLATE(A39269, ""de"", ""en"")"),"lighter ones")</f>
        <v>lighter ones</v>
      </c>
    </row>
    <row r="39270">
      <c r="A39270" s="1" t="s">
        <v>39269</v>
      </c>
      <c r="B39270" s="2" t="str">
        <f>IFERROR(__xludf.DUMMYFUNCTION("GOOGLETRANSLATE(A39270, ""de"", ""en"")"),"tortured")</f>
        <v>tortured</v>
      </c>
    </row>
    <row r="39271">
      <c r="A39271" s="1" t="s">
        <v>39270</v>
      </c>
      <c r="B39271" s="2" t="str">
        <f>IFERROR(__xludf.DUMMYFUNCTION("GOOGLETRANSLATE(A39271, ""de"", ""en"")"),"snorts")</f>
        <v>snorts</v>
      </c>
    </row>
    <row r="39272">
      <c r="A39272" s="1" t="s">
        <v>39271</v>
      </c>
      <c r="B39272" s="2" t="str">
        <f>IFERROR(__xludf.DUMMYFUNCTION("GOOGLETRANSLATE(A39272, ""de"", ""en"")"),"Schlüter")</f>
        <v>Schlüter</v>
      </c>
    </row>
    <row r="39273">
      <c r="A39273" s="1" t="s">
        <v>39272</v>
      </c>
      <c r="B39273" s="2" t="str">
        <f>IFERROR(__xludf.DUMMYFUNCTION("GOOGLETRANSLATE(A39273, ""de"", ""en"")"),"olivia")</f>
        <v>olivia</v>
      </c>
    </row>
    <row r="39274">
      <c r="A39274" s="1" t="s">
        <v>39273</v>
      </c>
      <c r="B39274" s="2" t="str">
        <f>IFERROR(__xludf.DUMMYFUNCTION("GOOGLETRANSLATE(A39274, ""de"", ""en"")"),"to move forward")</f>
        <v>to move forward</v>
      </c>
    </row>
    <row r="39275">
      <c r="A39275" s="1" t="s">
        <v>39274</v>
      </c>
      <c r="B39275" s="2" t="str">
        <f>IFERROR(__xludf.DUMMYFUNCTION("GOOGLETRANSLATE(A39275, ""de"", ""en"")"),"more confident")</f>
        <v>more confident</v>
      </c>
    </row>
    <row r="39276">
      <c r="A39276" s="1" t="s">
        <v>39275</v>
      </c>
      <c r="B39276" s="2" t="str">
        <f>IFERROR(__xludf.DUMMYFUNCTION("GOOGLETRANSLATE(A39276, ""de"", ""en"")"),"hague")</f>
        <v>hague</v>
      </c>
    </row>
    <row r="39277">
      <c r="A39277" s="1" t="s">
        <v>39276</v>
      </c>
      <c r="B39277" s="2" t="str">
        <f>IFERROR(__xludf.DUMMYFUNCTION("GOOGLETRANSLATE(A39277, ""de"", ""en"")"),"magnanimity")</f>
        <v>magnanimity</v>
      </c>
    </row>
    <row r="39278">
      <c r="A39278" s="1" t="s">
        <v>39277</v>
      </c>
      <c r="B39278" s="2" t="str">
        <f>IFERROR(__xludf.DUMMYFUNCTION("GOOGLETRANSLATE(A39278, ""de"", ""en"")"),"travel back")</f>
        <v>travel back</v>
      </c>
    </row>
    <row r="39279">
      <c r="A39279" s="1" t="s">
        <v>39278</v>
      </c>
      <c r="B39279" s="2" t="str">
        <f>IFERROR(__xludf.DUMMYFUNCTION("GOOGLETRANSLATE(A39279, ""de"", ""en"")"),"wheel of fortune")</f>
        <v>wheel of fortune</v>
      </c>
    </row>
    <row r="39280">
      <c r="A39280" s="1" t="s">
        <v>39279</v>
      </c>
      <c r="B39280" s="2" t="str">
        <f>IFERROR(__xludf.DUMMYFUNCTION("GOOGLETRANSLATE(A39280, ""de"", ""en"")"),"certified")</f>
        <v>certified</v>
      </c>
    </row>
    <row r="39281">
      <c r="A39281" s="1" t="s">
        <v>39280</v>
      </c>
      <c r="B39281" s="2" t="str">
        <f>IFERROR(__xludf.DUMMYFUNCTION("GOOGLETRANSLATE(A39281, ""de"", ""en"")"),"sea ​​level")</f>
        <v>sea ​​level</v>
      </c>
    </row>
    <row r="39282">
      <c r="A39282" s="1" t="s">
        <v>39281</v>
      </c>
      <c r="B39282" s="2" t="str">
        <f>IFERROR(__xludf.DUMMYFUNCTION("GOOGLETRANSLATE(A39282, ""de"", ""en"")"),"salome")</f>
        <v>salome</v>
      </c>
    </row>
    <row r="39283">
      <c r="A39283" s="1" t="s">
        <v>39282</v>
      </c>
      <c r="B39283" s="2" t="str">
        <f>IFERROR(__xludf.DUMMYFUNCTION("GOOGLETRANSLATE(A39283, ""de"", ""en"")"),"expired")</f>
        <v>expired</v>
      </c>
    </row>
    <row r="39284">
      <c r="A39284" s="1" t="s">
        <v>39283</v>
      </c>
      <c r="B39284" s="2" t="str">
        <f>IFERROR(__xludf.DUMMYFUNCTION("GOOGLETRANSLATE(A39284, ""de"", ""en"")"),"bedchamber")</f>
        <v>bedchamber</v>
      </c>
    </row>
    <row r="39285">
      <c r="A39285" s="1" t="s">
        <v>39284</v>
      </c>
      <c r="B39285" s="2" t="str">
        <f>IFERROR(__xludf.DUMMYFUNCTION("GOOGLETRANSLATE(A39285, ""de"", ""en"")"),"milked")</f>
        <v>milked</v>
      </c>
    </row>
    <row r="39286">
      <c r="A39286" s="1" t="s">
        <v>39285</v>
      </c>
      <c r="B39286" s="2" t="str">
        <f>IFERROR(__xludf.DUMMYFUNCTION("GOOGLETRANSLATE(A39286, ""de"", ""en"")"),"everyday")</f>
        <v>everyday</v>
      </c>
    </row>
    <row r="39287">
      <c r="A39287" s="1" t="s">
        <v>39286</v>
      </c>
      <c r="B39287" s="2" t="str">
        <f>IFERROR(__xludf.DUMMYFUNCTION("GOOGLETRANSLATE(A39287, ""de"", ""en"")"),"oakley")</f>
        <v>oakley</v>
      </c>
    </row>
    <row r="39288">
      <c r="A39288" s="1" t="s">
        <v>39287</v>
      </c>
      <c r="B39288" s="2" t="str">
        <f>IFERROR(__xludf.DUMMYFUNCTION("GOOGLETRANSLATE(A39288, ""de"", ""en"")"),"holographic")</f>
        <v>holographic</v>
      </c>
    </row>
    <row r="39289">
      <c r="A39289" s="1" t="s">
        <v>39288</v>
      </c>
      <c r="B39289" s="2" t="str">
        <f>IFERROR(__xludf.DUMMYFUNCTION("GOOGLETRANSLATE(A39289, ""de"", ""en"")"),"chulak")</f>
        <v>chulak</v>
      </c>
    </row>
    <row r="39290">
      <c r="A39290" s="1" t="s">
        <v>39289</v>
      </c>
      <c r="B39290" s="2" t="str">
        <f>IFERROR(__xludf.DUMMYFUNCTION("GOOGLETRANSLATE(A39290, ""de"", ""en"")"),"blood values")</f>
        <v>blood values</v>
      </c>
    </row>
    <row r="39291">
      <c r="A39291" s="1" t="s">
        <v>39290</v>
      </c>
      <c r="B39291" s="2" t="str">
        <f>IFERROR(__xludf.DUMMYFUNCTION("GOOGLETRANSLATE(A39291, ""de"", ""en"")"),"cherish")</f>
        <v>cherish</v>
      </c>
    </row>
    <row r="39292">
      <c r="A39292" s="1" t="s">
        <v>39291</v>
      </c>
      <c r="B39292" s="2" t="str">
        <f>IFERROR(__xludf.DUMMYFUNCTION("GOOGLETRANSLATE(A39292, ""de"", ""en"")"),"you pull through")</f>
        <v>you pull through</v>
      </c>
    </row>
    <row r="39293">
      <c r="A39293" s="1" t="s">
        <v>39292</v>
      </c>
      <c r="B39293" s="2" t="str">
        <f>IFERROR(__xludf.DUMMYFUNCTION("GOOGLETRANSLATE(A39293, ""de"", ""en"")"),"horrible")</f>
        <v>horrible</v>
      </c>
    </row>
    <row r="39294">
      <c r="A39294" s="1" t="s">
        <v>39293</v>
      </c>
      <c r="B39294" s="2" t="str">
        <f>IFERROR(__xludf.DUMMYFUNCTION("GOOGLETRANSLATE(A39294, ""de"", ""en"")"),"egg tart")</f>
        <v>egg tart</v>
      </c>
    </row>
    <row r="39295">
      <c r="A39295" s="1" t="s">
        <v>39294</v>
      </c>
      <c r="B39295" s="2" t="str">
        <f>IFERROR(__xludf.DUMMYFUNCTION("GOOGLETRANSLATE(A39295, ""de"", ""en"")"),"took away")</f>
        <v>took away</v>
      </c>
    </row>
    <row r="39296">
      <c r="A39296" s="1" t="s">
        <v>39295</v>
      </c>
      <c r="B39296" s="2" t="str">
        <f>IFERROR(__xludf.DUMMYFUNCTION("GOOGLETRANSLATE(A39296, ""de"", ""en"")"),"ajar")</f>
        <v>ajar</v>
      </c>
    </row>
    <row r="39297">
      <c r="A39297" s="1" t="s">
        <v>39296</v>
      </c>
      <c r="B39297" s="2" t="str">
        <f>IFERROR(__xludf.DUMMYFUNCTION("GOOGLETRANSLATE(A39297, ""de"", ""en"")"),"Shun")</f>
        <v>Shun</v>
      </c>
    </row>
    <row r="39298">
      <c r="A39298" s="1" t="s">
        <v>39297</v>
      </c>
      <c r="B39298" s="2" t="str">
        <f>IFERROR(__xludf.DUMMYFUNCTION("GOOGLETRANSLATE(A39298, ""de"", ""en"")"),"let")</f>
        <v>let</v>
      </c>
    </row>
    <row r="39299">
      <c r="A39299" s="1" t="s">
        <v>39298</v>
      </c>
      <c r="B39299" s="2" t="str">
        <f>IFERROR(__xludf.DUMMYFUNCTION("GOOGLETRANSLATE(A39299, ""de"", ""en"")"),"test run")</f>
        <v>test run</v>
      </c>
    </row>
    <row r="39300">
      <c r="A39300" s="1" t="s">
        <v>39299</v>
      </c>
      <c r="B39300" s="2" t="str">
        <f>IFERROR(__xludf.DUMMYFUNCTION("GOOGLETRANSLATE(A39300, ""de"", ""en"")"),"babineaux")</f>
        <v>babineaux</v>
      </c>
    </row>
    <row r="39301">
      <c r="A39301" s="1" t="s">
        <v>39300</v>
      </c>
      <c r="B39301" s="2" t="str">
        <f>IFERROR(__xludf.DUMMYFUNCTION("GOOGLETRANSLATE(A39301, ""de"", ""en"")"),"scary")</f>
        <v>scary</v>
      </c>
    </row>
    <row r="39302">
      <c r="A39302" s="1" t="s">
        <v>39301</v>
      </c>
      <c r="B39302" s="2" t="str">
        <f>IFERROR(__xludf.DUMMYFUNCTION("GOOGLETRANSLATE(A39302, ""de"", ""en"")"),"thrown in")</f>
        <v>thrown in</v>
      </c>
    </row>
    <row r="39303">
      <c r="A39303" s="1" t="s">
        <v>39302</v>
      </c>
      <c r="B39303" s="2" t="str">
        <f>IFERROR(__xludf.DUMMYFUNCTION("GOOGLETRANSLATE(A39303, ""de"", ""en"")"),"grilled")</f>
        <v>grilled</v>
      </c>
    </row>
    <row r="39304">
      <c r="A39304" s="1" t="s">
        <v>39303</v>
      </c>
      <c r="B39304" s="2" t="str">
        <f>IFERROR(__xludf.DUMMYFUNCTION("GOOGLETRANSLATE(A39304, ""de"", ""en"")"),"back stairs")</f>
        <v>back stairs</v>
      </c>
    </row>
    <row r="39305">
      <c r="A39305" s="1" t="s">
        <v>39304</v>
      </c>
      <c r="B39305" s="2" t="str">
        <f>IFERROR(__xludf.DUMMYFUNCTION("GOOGLETRANSLATE(A39305, ""de"", ""en"")"),"zek")</f>
        <v>zek</v>
      </c>
    </row>
    <row r="39306">
      <c r="A39306" s="1" t="s">
        <v>39305</v>
      </c>
      <c r="B39306" s="2" t="str">
        <f>IFERROR(__xludf.DUMMYFUNCTION("GOOGLETRANSLATE(A39306, ""de"", ""en"")"),"hairpin")</f>
        <v>hairpin</v>
      </c>
    </row>
    <row r="39307">
      <c r="A39307" s="1" t="s">
        <v>39306</v>
      </c>
      <c r="B39307" s="2" t="str">
        <f>IFERROR(__xludf.DUMMYFUNCTION("GOOGLETRANSLATE(A39307, ""de"", ""en"")"),"Nagasaki")</f>
        <v>Nagasaki</v>
      </c>
    </row>
    <row r="39308">
      <c r="A39308" s="1" t="s">
        <v>39307</v>
      </c>
      <c r="B39308" s="2" t="str">
        <f>IFERROR(__xludf.DUMMYFUNCTION("GOOGLETRANSLATE(A39308, ""de"", ""en"")"),"maexchen")</f>
        <v>maexchen</v>
      </c>
    </row>
    <row r="39309">
      <c r="A39309" s="1" t="s">
        <v>39308</v>
      </c>
      <c r="B39309" s="2" t="str">
        <f>IFERROR(__xludf.DUMMYFUNCTION("GOOGLETRANSLATE(A39309, ""de"", ""en"")"),"is looking for")</f>
        <v>is looking for</v>
      </c>
    </row>
    <row r="39310">
      <c r="A39310" s="1" t="s">
        <v>39309</v>
      </c>
      <c r="B39310" s="2" t="str">
        <f>IFERROR(__xludf.DUMMYFUNCTION("GOOGLETRANSLATE(A39310, ""de"", ""en"")"),"marzipan")</f>
        <v>marzipan</v>
      </c>
    </row>
    <row r="39311">
      <c r="A39311" s="1" t="s">
        <v>39310</v>
      </c>
      <c r="B39311" s="2" t="str">
        <f>IFERROR(__xludf.DUMMYFUNCTION("GOOGLETRANSLATE(A39311, ""de"", ""en"")"),"drive in")</f>
        <v>drive in</v>
      </c>
    </row>
    <row r="39312">
      <c r="A39312" s="1" t="s">
        <v>39311</v>
      </c>
      <c r="B39312" s="2" t="str">
        <f>IFERROR(__xludf.DUMMYFUNCTION("GOOGLETRANSLATE(A39312, ""de"", ""en"")"),"meatball")</f>
        <v>meatball</v>
      </c>
    </row>
    <row r="39313">
      <c r="A39313" s="1" t="s">
        <v>39312</v>
      </c>
      <c r="B39313" s="2" t="str">
        <f>IFERROR(__xludf.DUMMYFUNCTION("GOOGLETRANSLATE(A39313, ""de"", ""en"")"),"sling")</f>
        <v>sling</v>
      </c>
    </row>
    <row r="39314">
      <c r="A39314" s="1" t="s">
        <v>39313</v>
      </c>
      <c r="B39314" s="2" t="str">
        <f>IFERROR(__xludf.DUMMYFUNCTION("GOOGLETRANSLATE(A39314, ""de"", ""en"")"),"Aleister")</f>
        <v>Aleister</v>
      </c>
    </row>
    <row r="39315">
      <c r="A39315" s="1" t="s">
        <v>39314</v>
      </c>
      <c r="B39315" s="2" t="str">
        <f>IFERROR(__xludf.DUMMYFUNCTION("GOOGLETRANSLATE(A39315, ""de"", ""en"")"),"no longer")</f>
        <v>no longer</v>
      </c>
    </row>
    <row r="39316">
      <c r="A39316" s="1" t="s">
        <v>39315</v>
      </c>
      <c r="B39316" s="2" t="str">
        <f>IFERROR(__xludf.DUMMYFUNCTION("GOOGLETRANSLATE(A39316, ""de"", ""en"")"),"world famous")</f>
        <v>world famous</v>
      </c>
    </row>
    <row r="39317">
      <c r="A39317" s="1" t="s">
        <v>39316</v>
      </c>
      <c r="B39317" s="2" t="str">
        <f>IFERROR(__xludf.DUMMYFUNCTION("GOOGLETRANSLATE(A39317, ""de"", ""en"")"),"adapts")</f>
        <v>adapts</v>
      </c>
    </row>
    <row r="39318">
      <c r="A39318" s="1" t="s">
        <v>39317</v>
      </c>
      <c r="B39318" s="2" t="str">
        <f>IFERROR(__xludf.DUMMYFUNCTION("GOOGLETRANSLATE(A39318, ""de"", ""en"")"),"chicken farm")</f>
        <v>chicken farm</v>
      </c>
    </row>
    <row r="39319">
      <c r="A39319" s="1" t="s">
        <v>39318</v>
      </c>
      <c r="B39319" s="2" t="str">
        <f>IFERROR(__xludf.DUMMYFUNCTION("GOOGLETRANSLATE(A39319, ""de"", ""en"")"),"provided")</f>
        <v>provided</v>
      </c>
    </row>
    <row r="39320">
      <c r="A39320" s="1" t="s">
        <v>39319</v>
      </c>
      <c r="B39320" s="2" t="str">
        <f>IFERROR(__xludf.DUMMYFUNCTION("GOOGLETRANSLATE(A39320, ""de"", ""en"")"),"soooo")</f>
        <v>soooo</v>
      </c>
    </row>
    <row r="39321">
      <c r="A39321" s="1" t="s">
        <v>39320</v>
      </c>
      <c r="B39321" s="2" t="str">
        <f>IFERROR(__xludf.DUMMYFUNCTION("GOOGLETRANSLATE(A39321, ""de"", ""en"")"),"read aloud")</f>
        <v>read aloud</v>
      </c>
    </row>
    <row r="39322">
      <c r="A39322" s="1" t="s">
        <v>39321</v>
      </c>
      <c r="B39322" s="2" t="str">
        <f>IFERROR(__xludf.DUMMYFUNCTION("GOOGLETRANSLATE(A39322, ""de"", ""en"")"),"Mormon")</f>
        <v>Mormon</v>
      </c>
    </row>
    <row r="39323">
      <c r="A39323" s="1" t="s">
        <v>39322</v>
      </c>
      <c r="B39323" s="2" t="str">
        <f>IFERROR(__xludf.DUMMYFUNCTION("GOOGLETRANSLATE(A39323, ""de"", ""en"")"),"confidentiality")</f>
        <v>confidentiality</v>
      </c>
    </row>
    <row r="39324">
      <c r="A39324" s="1" t="s">
        <v>39323</v>
      </c>
      <c r="B39324" s="2" t="str">
        <f>IFERROR(__xludf.DUMMYFUNCTION("GOOGLETRANSLATE(A39324, ""de"", ""en"")"),"mcmillan")</f>
        <v>mcmillan</v>
      </c>
    </row>
    <row r="39325">
      <c r="A39325" s="1" t="s">
        <v>39324</v>
      </c>
      <c r="B39325" s="2" t="str">
        <f>IFERROR(__xludf.DUMMYFUNCTION("GOOGLETRANSLATE(A39325, ""de"", ""en"")"),"zelenka")</f>
        <v>zelenka</v>
      </c>
    </row>
    <row r="39326">
      <c r="A39326" s="1" t="s">
        <v>39325</v>
      </c>
      <c r="B39326" s="2" t="str">
        <f>IFERROR(__xludf.DUMMYFUNCTION("GOOGLETRANSLATE(A39326, ""de"", ""en"")"),"bucket")</f>
        <v>bucket</v>
      </c>
    </row>
    <row r="39327">
      <c r="A39327" s="1" t="s">
        <v>39326</v>
      </c>
      <c r="B39327" s="2" t="str">
        <f>IFERROR(__xludf.DUMMYFUNCTION("GOOGLETRANSLATE(A39327, ""de"", ""en"")"),"punished")</f>
        <v>punished</v>
      </c>
    </row>
    <row r="39328">
      <c r="A39328" s="1" t="s">
        <v>39327</v>
      </c>
      <c r="B39328" s="2" t="str">
        <f>IFERROR(__xludf.DUMMYFUNCTION("GOOGLETRANSLATE(A39328, ""de"", ""en"")"),"stable")</f>
        <v>stable</v>
      </c>
    </row>
    <row r="39329">
      <c r="A39329" s="1" t="s">
        <v>39328</v>
      </c>
      <c r="B39329" s="2" t="str">
        <f>IFERROR(__xludf.DUMMYFUNCTION("GOOGLETRANSLATE(A39329, ""de"", ""en"")"),"Sally's")</f>
        <v>Sally's</v>
      </c>
    </row>
    <row r="39330">
      <c r="A39330" s="1" t="s">
        <v>39329</v>
      </c>
      <c r="B39330" s="2" t="str">
        <f>IFERROR(__xludf.DUMMYFUNCTION("GOOGLETRANSLATE(A39330, ""de"", ""en"")"),"take care of")</f>
        <v>take care of</v>
      </c>
    </row>
    <row r="39331">
      <c r="A39331" s="1" t="s">
        <v>39330</v>
      </c>
      <c r="B39331" s="2" t="str">
        <f>IFERROR(__xludf.DUMMYFUNCTION("GOOGLETRANSLATE(A39331, ""de"", ""en"")"),"wildfire")</f>
        <v>wildfire</v>
      </c>
    </row>
    <row r="39332">
      <c r="A39332" s="1" t="s">
        <v>39331</v>
      </c>
      <c r="B39332" s="2" t="str">
        <f>IFERROR(__xludf.DUMMYFUNCTION("GOOGLETRANSLATE(A39332, ""de"", ""en"")"),"eye drops")</f>
        <v>eye drops</v>
      </c>
    </row>
    <row r="39333">
      <c r="A39333" s="1" t="s">
        <v>39332</v>
      </c>
      <c r="B39333" s="2" t="str">
        <f>IFERROR(__xludf.DUMMYFUNCTION("GOOGLETRANSLATE(A39333, ""de"", ""en"")"),"favorite spot")</f>
        <v>favorite spot</v>
      </c>
    </row>
    <row r="39334">
      <c r="A39334" s="1" t="s">
        <v>39333</v>
      </c>
      <c r="B39334" s="2" t="str">
        <f>IFERROR(__xludf.DUMMYFUNCTION("GOOGLETRANSLATE(A39334, ""de"", ""en"")"),"side door")</f>
        <v>side door</v>
      </c>
    </row>
    <row r="39335">
      <c r="A39335" s="1" t="s">
        <v>39334</v>
      </c>
      <c r="B39335" s="2" t="str">
        <f>IFERROR(__xludf.DUMMYFUNCTION("GOOGLETRANSLATE(A39335, ""de"", ""en"")"),"invaded")</f>
        <v>invaded</v>
      </c>
    </row>
    <row r="39336">
      <c r="A39336" s="1" t="s">
        <v>39335</v>
      </c>
      <c r="B39336" s="2" t="str">
        <f>IFERROR(__xludf.DUMMYFUNCTION("GOOGLETRANSLATE(A39336, ""de"", ""en"")"),"cream puff")</f>
        <v>cream puff</v>
      </c>
    </row>
    <row r="39337">
      <c r="A39337" s="1" t="s">
        <v>39336</v>
      </c>
      <c r="B39337" s="2" t="str">
        <f>IFERROR(__xludf.DUMMYFUNCTION("GOOGLETRANSLATE(A39337, ""de"", ""en"")"),"maid")</f>
        <v>maid</v>
      </c>
    </row>
    <row r="39338">
      <c r="A39338" s="1" t="s">
        <v>39337</v>
      </c>
      <c r="B39338" s="2" t="str">
        <f>IFERROR(__xludf.DUMMYFUNCTION("GOOGLETRANSLATE(A39338, ""de"", ""en"")"),"passes over")</f>
        <v>passes over</v>
      </c>
    </row>
    <row r="39339">
      <c r="A39339" s="1" t="s">
        <v>39338</v>
      </c>
      <c r="B39339" s="2" t="str">
        <f>IFERROR(__xludf.DUMMYFUNCTION("GOOGLETRANSLATE(A39339, ""de"", ""en"")"),"mind reader")</f>
        <v>mind reader</v>
      </c>
    </row>
    <row r="39340">
      <c r="A39340" s="1" t="s">
        <v>39339</v>
      </c>
      <c r="B39340" s="2" t="str">
        <f>IFERROR(__xludf.DUMMYFUNCTION("GOOGLETRANSLATE(A39340, ""de"", ""en"")"),"varga")</f>
        <v>varga</v>
      </c>
    </row>
    <row r="39341">
      <c r="A39341" s="1" t="s">
        <v>39340</v>
      </c>
      <c r="B39341" s="2" t="str">
        <f>IFERROR(__xludf.DUMMYFUNCTION("GOOGLETRANSLATE(A39341, ""de"", ""en"")"),"spare part")</f>
        <v>spare part</v>
      </c>
    </row>
    <row r="39342">
      <c r="A39342" s="1" t="s">
        <v>39341</v>
      </c>
      <c r="B39342" s="2" t="str">
        <f>IFERROR(__xludf.DUMMYFUNCTION("GOOGLETRANSLATE(A39342, ""de"", ""en"")"),"body parts")</f>
        <v>body parts</v>
      </c>
    </row>
    <row r="39343">
      <c r="A39343" s="1" t="s">
        <v>39342</v>
      </c>
      <c r="B39343" s="2" t="str">
        <f>IFERROR(__xludf.DUMMYFUNCTION("GOOGLETRANSLATE(A39343, ""de"", ""en"")"),"mil")</f>
        <v>mil</v>
      </c>
    </row>
    <row r="39344">
      <c r="A39344" s="1" t="s">
        <v>39343</v>
      </c>
      <c r="B39344" s="2" t="str">
        <f>IFERROR(__xludf.DUMMYFUNCTION("GOOGLETRANSLATE(A39344, ""de"", ""en"")"),"carry around")</f>
        <v>carry around</v>
      </c>
    </row>
    <row r="39345">
      <c r="A39345" s="1" t="s">
        <v>39344</v>
      </c>
      <c r="B39345" s="2" t="str">
        <f>IFERROR(__xludf.DUMMYFUNCTION("GOOGLETRANSLATE(A39345, ""de"", ""en"")"),"dog catcher")</f>
        <v>dog catcher</v>
      </c>
    </row>
    <row r="39346">
      <c r="A39346" s="1" t="s">
        <v>39345</v>
      </c>
      <c r="B39346" s="2" t="str">
        <f>IFERROR(__xludf.DUMMYFUNCTION("GOOGLETRANSLATE(A39346, ""de"", ""en"")"),"look away")</f>
        <v>look away</v>
      </c>
    </row>
    <row r="39347">
      <c r="A39347" s="1" t="s">
        <v>39346</v>
      </c>
      <c r="B39347" s="2" t="str">
        <f>IFERROR(__xludf.DUMMYFUNCTION("GOOGLETRANSLATE(A39347, ""de"", ""en"")"),"commanders")</f>
        <v>commanders</v>
      </c>
    </row>
    <row r="39348">
      <c r="A39348" s="1" t="s">
        <v>39347</v>
      </c>
      <c r="B39348" s="2" t="str">
        <f>IFERROR(__xludf.DUMMYFUNCTION("GOOGLETRANSLATE(A39348, ""de"", ""en"")"),"bloated")</f>
        <v>bloated</v>
      </c>
    </row>
    <row r="39349">
      <c r="A39349" s="1" t="s">
        <v>39348</v>
      </c>
      <c r="B39349" s="2" t="str">
        <f>IFERROR(__xludf.DUMMYFUNCTION("GOOGLETRANSLATE(A39349, ""de"", ""en"")"),"chubby")</f>
        <v>chubby</v>
      </c>
    </row>
    <row r="39350">
      <c r="A39350" s="1" t="s">
        <v>39349</v>
      </c>
      <c r="B39350" s="2" t="str">
        <f>IFERROR(__xludf.DUMMYFUNCTION("GOOGLETRANSLATE(A39350, ""de"", ""en"")"),"okey-dokey")</f>
        <v>okey-dokey</v>
      </c>
    </row>
    <row r="39351">
      <c r="A39351" s="1" t="s">
        <v>39350</v>
      </c>
      <c r="B39351" s="2" t="str">
        <f>IFERROR(__xludf.DUMMYFUNCTION("GOOGLETRANSLATE(A39351, ""de"", ""en"")"),"stamp")</f>
        <v>stamp</v>
      </c>
    </row>
    <row r="39352">
      <c r="A39352" s="1" t="s">
        <v>39351</v>
      </c>
      <c r="B39352" s="2" t="str">
        <f>IFERROR(__xludf.DUMMYFUNCTION("GOOGLETRANSLATE(A39352, ""de"", ""en"")"),"mineral")</f>
        <v>mineral</v>
      </c>
    </row>
    <row r="39353">
      <c r="A39353" s="1" t="s">
        <v>39352</v>
      </c>
      <c r="B39353" s="2" t="str">
        <f>IFERROR(__xludf.DUMMYFUNCTION("GOOGLETRANSLATE(A39353, ""de"", ""en"")"),"Kaitlin")</f>
        <v>Kaitlin</v>
      </c>
    </row>
    <row r="39354">
      <c r="A39354" s="1" t="s">
        <v>39353</v>
      </c>
      <c r="B39354" s="2" t="str">
        <f>IFERROR(__xludf.DUMMYFUNCTION("GOOGLETRANSLATE(A39354, ""de"", ""en"")"),"to bring in")</f>
        <v>to bring in</v>
      </c>
    </row>
    <row r="39355">
      <c r="A39355" s="1" t="s">
        <v>39354</v>
      </c>
      <c r="B39355" s="2" t="str">
        <f>IFERROR(__xludf.DUMMYFUNCTION("GOOGLETRANSLATE(A39355, ""de"", ""en"")"),"monocle")</f>
        <v>monocle</v>
      </c>
    </row>
    <row r="39356">
      <c r="A39356" s="1" t="s">
        <v>39355</v>
      </c>
      <c r="B39356" s="2" t="str">
        <f>IFERROR(__xludf.DUMMYFUNCTION("GOOGLETRANSLATE(A39356, ""de"", ""en"")"),"enlarge")</f>
        <v>enlarge</v>
      </c>
    </row>
    <row r="39357">
      <c r="A39357" s="1" t="s">
        <v>39356</v>
      </c>
      <c r="B39357" s="2" t="str">
        <f>IFERROR(__xludf.DUMMYFUNCTION("GOOGLETRANSLATE(A39357, ""de"", ""en"")"),"ranks")</f>
        <v>ranks</v>
      </c>
    </row>
    <row r="39358">
      <c r="A39358" s="1" t="s">
        <v>39357</v>
      </c>
      <c r="B39358" s="2" t="str">
        <f>IFERROR(__xludf.DUMMYFUNCTION("GOOGLETRANSLATE(A39358, ""de"", ""en"")"),"wendigo")</f>
        <v>wendigo</v>
      </c>
    </row>
    <row r="39359">
      <c r="A39359" s="1" t="s">
        <v>39358</v>
      </c>
      <c r="B39359" s="2" t="str">
        <f>IFERROR(__xludf.DUMMYFUNCTION("GOOGLETRANSLATE(A39359, ""de"", ""en"")"),"Hawley")</f>
        <v>Hawley</v>
      </c>
    </row>
    <row r="39360">
      <c r="A39360" s="1" t="s">
        <v>39359</v>
      </c>
      <c r="B39360" s="2" t="str">
        <f>IFERROR(__xludf.DUMMYFUNCTION("GOOGLETRANSLATE(A39360, ""de"", ""en"")"),"Judaism")</f>
        <v>Judaism</v>
      </c>
    </row>
    <row r="39361">
      <c r="A39361" s="1" t="s">
        <v>39360</v>
      </c>
      <c r="B39361" s="2" t="str">
        <f>IFERROR(__xludf.DUMMYFUNCTION("GOOGLETRANSLATE(A39361, ""de"", ""en"")"),"oriented")</f>
        <v>oriented</v>
      </c>
    </row>
    <row r="39362">
      <c r="A39362" s="1" t="s">
        <v>39361</v>
      </c>
      <c r="B39362" s="2" t="str">
        <f>IFERROR(__xludf.DUMMYFUNCTION("GOOGLETRANSLATE(A39362, ""de"", ""en"")"),"most significant")</f>
        <v>most significant</v>
      </c>
    </row>
    <row r="39363">
      <c r="A39363" s="1" t="s">
        <v>39362</v>
      </c>
      <c r="B39363" s="2" t="str">
        <f>IFERROR(__xludf.DUMMYFUNCTION("GOOGLETRANSLATE(A39363, ""de"", ""en"")"),"technicolor")</f>
        <v>technicolor</v>
      </c>
    </row>
    <row r="39364">
      <c r="A39364" s="1" t="s">
        <v>39363</v>
      </c>
      <c r="B39364" s="2" t="str">
        <f>IFERROR(__xludf.DUMMYFUNCTION("GOOGLETRANSLATE(A39364, ""de"", ""en"")"),"spread")</f>
        <v>spread</v>
      </c>
    </row>
    <row r="39365">
      <c r="A39365" s="1" t="s">
        <v>39364</v>
      </c>
      <c r="B39365" s="2" t="str">
        <f>IFERROR(__xludf.DUMMYFUNCTION("GOOGLETRANSLATE(A39365, ""de"", ""en"")"),"16 year old")</f>
        <v>16 year old</v>
      </c>
    </row>
    <row r="39366">
      <c r="A39366" s="1" t="s">
        <v>39365</v>
      </c>
      <c r="B39366" s="2" t="str">
        <f>IFERROR(__xludf.DUMMYFUNCTION("GOOGLETRANSLATE(A39366, ""de"", ""en"")"),"chalky")</f>
        <v>chalky</v>
      </c>
    </row>
    <row r="39367">
      <c r="A39367" s="1" t="s">
        <v>39366</v>
      </c>
      <c r="B39367" s="2" t="str">
        <f>IFERROR(__xludf.DUMMYFUNCTION("GOOGLETRANSLATE(A39367, ""de"", ""en"")"),"morning")</f>
        <v>morning</v>
      </c>
    </row>
    <row r="39368">
      <c r="A39368" s="1" t="s">
        <v>39367</v>
      </c>
      <c r="B39368" s="2" t="str">
        <f>IFERROR(__xludf.DUMMYFUNCTION("GOOGLETRANSLATE(A39368, ""de"", ""en"")"),"jean baptiste")</f>
        <v>jean baptiste</v>
      </c>
    </row>
    <row r="39369">
      <c r="A39369" s="1" t="s">
        <v>39368</v>
      </c>
      <c r="B39369" s="2" t="str">
        <f>IFERROR(__xludf.DUMMYFUNCTION("GOOGLETRANSLATE(A39369, ""de"", ""en"")"),"rouen")</f>
        <v>rouen</v>
      </c>
    </row>
    <row r="39370">
      <c r="A39370" s="1" t="s">
        <v>39369</v>
      </c>
      <c r="B39370" s="2" t="str">
        <f>IFERROR(__xludf.DUMMYFUNCTION("GOOGLETRANSLATE(A39370, ""de"", ""en"")"),"messenger")</f>
        <v>messenger</v>
      </c>
    </row>
    <row r="39371">
      <c r="A39371" s="1" t="s">
        <v>39370</v>
      </c>
      <c r="B39371" s="2" t="str">
        <f>IFERROR(__xludf.DUMMYFUNCTION("GOOGLETRANSLATE(A39371, ""de"", ""en"")"),"post-traumatic")</f>
        <v>post-traumatic</v>
      </c>
    </row>
    <row r="39372">
      <c r="A39372" s="1" t="s">
        <v>39371</v>
      </c>
      <c r="B39372" s="2" t="str">
        <f>IFERROR(__xludf.DUMMYFUNCTION("GOOGLETRANSLATE(A39372, ""de"", ""en"")"),"stargates")</f>
        <v>stargates</v>
      </c>
    </row>
    <row r="39373">
      <c r="A39373" s="1" t="s">
        <v>39372</v>
      </c>
      <c r="B39373" s="2" t="str">
        <f>IFERROR(__xludf.DUMMYFUNCTION("GOOGLETRANSLATE(A39373, ""de"", ""en"")"),"phobia")</f>
        <v>phobia</v>
      </c>
    </row>
    <row r="39374">
      <c r="A39374" s="1" t="s">
        <v>39373</v>
      </c>
      <c r="B39374" s="2" t="str">
        <f>IFERROR(__xludf.DUMMYFUNCTION("GOOGLETRANSLATE(A39374, ""de"", ""en"")"),"spoon")</f>
        <v>spoon</v>
      </c>
    </row>
    <row r="39375">
      <c r="A39375" s="1" t="s">
        <v>39374</v>
      </c>
      <c r="B39375" s="2" t="str">
        <f>IFERROR(__xludf.DUMMYFUNCTION("GOOGLETRANSLATE(A39375, ""de"", ""en"")"),"stabbing")</f>
        <v>stabbing</v>
      </c>
    </row>
    <row r="39376">
      <c r="A39376" s="1" t="s">
        <v>39375</v>
      </c>
      <c r="B39376" s="2" t="str">
        <f>IFERROR(__xludf.DUMMYFUNCTION("GOOGLETRANSLATE(A39376, ""de"", ""en"")"),"leave alone")</f>
        <v>leave alone</v>
      </c>
    </row>
    <row r="39377">
      <c r="A39377" s="1" t="s">
        <v>39376</v>
      </c>
      <c r="B39377" s="2" t="str">
        <f>IFERROR(__xludf.DUMMYFUNCTION("GOOGLETRANSLATE(A39377, ""de"", ""en"")"),"dummy")</f>
        <v>dummy</v>
      </c>
    </row>
    <row r="39378">
      <c r="A39378" s="1" t="s">
        <v>39377</v>
      </c>
      <c r="B39378" s="2" t="str">
        <f>IFERROR(__xludf.DUMMYFUNCTION("GOOGLETRANSLATE(A39378, ""de"", ""en"")"),"gael")</f>
        <v>gael</v>
      </c>
    </row>
    <row r="39379">
      <c r="A39379" s="1" t="s">
        <v>39378</v>
      </c>
      <c r="B39379" s="2" t="str">
        <f>IFERROR(__xludf.DUMMYFUNCTION("GOOGLETRANSLATE(A39379, ""de"", ""en"")"),"brothels")</f>
        <v>brothels</v>
      </c>
    </row>
    <row r="39380">
      <c r="A39380" s="1" t="s">
        <v>39379</v>
      </c>
      <c r="B39380" s="2" t="str">
        <f>IFERROR(__xludf.DUMMYFUNCTION("GOOGLETRANSLATE(A39380, ""de"", ""en"")"),"hanged")</f>
        <v>hanged</v>
      </c>
    </row>
    <row r="39381">
      <c r="A39381" s="1" t="s">
        <v>39380</v>
      </c>
      <c r="B39381" s="2" t="str">
        <f>IFERROR(__xludf.DUMMYFUNCTION("GOOGLETRANSLATE(A39381, ""de"", ""en"")"),"windshield wipers")</f>
        <v>windshield wipers</v>
      </c>
    </row>
    <row r="39382">
      <c r="A39382" s="1" t="s">
        <v>39381</v>
      </c>
      <c r="B39382" s="2" t="str">
        <f>IFERROR(__xludf.DUMMYFUNCTION("GOOGLETRANSLATE(A39382, ""de"", ""en"")"),"shatters")</f>
        <v>shatters</v>
      </c>
    </row>
    <row r="39383">
      <c r="A39383" s="1" t="s">
        <v>39382</v>
      </c>
      <c r="B39383" s="2" t="str">
        <f>IFERROR(__xludf.DUMMYFUNCTION("GOOGLETRANSLATE(A39383, ""de"", ""en"")"),"place")</f>
        <v>place</v>
      </c>
    </row>
    <row r="39384">
      <c r="A39384" s="1" t="s">
        <v>39383</v>
      </c>
      <c r="B39384" s="2" t="str">
        <f>IFERROR(__xludf.DUMMYFUNCTION("GOOGLETRANSLATE(A39384, ""de"", ""en"")"),"doctor's office")</f>
        <v>doctor's office</v>
      </c>
    </row>
    <row r="39385">
      <c r="A39385" s="1" t="s">
        <v>39384</v>
      </c>
      <c r="B39385" s="2" t="str">
        <f>IFERROR(__xludf.DUMMYFUNCTION("GOOGLETRANSLATE(A39385, ""de"", ""en"")"),"Laredo")</f>
        <v>Laredo</v>
      </c>
    </row>
    <row r="39386">
      <c r="A39386" s="1" t="s">
        <v>39385</v>
      </c>
      <c r="B39386" s="2" t="str">
        <f>IFERROR(__xludf.DUMMYFUNCTION("GOOGLETRANSLATE(A39386, ""de"", ""en"")"),"froze")</f>
        <v>froze</v>
      </c>
    </row>
    <row r="39387">
      <c r="A39387" s="1" t="s">
        <v>39386</v>
      </c>
      <c r="B39387" s="2" t="str">
        <f>IFERROR(__xludf.DUMMYFUNCTION("GOOGLETRANSLATE(A39387, ""de"", ""en"")"),"clove")</f>
        <v>clove</v>
      </c>
    </row>
    <row r="39388">
      <c r="A39388" s="1" t="s">
        <v>39387</v>
      </c>
      <c r="B39388" s="2" t="str">
        <f>IFERROR(__xludf.DUMMYFUNCTION("GOOGLETRANSLATE(A39388, ""de"", ""en"")"),"passe-partout")</f>
        <v>passe-partout</v>
      </c>
    </row>
    <row r="39389">
      <c r="A39389" s="1" t="s">
        <v>39388</v>
      </c>
      <c r="B39389" s="2" t="str">
        <f>IFERROR(__xludf.DUMMYFUNCTION("GOOGLETRANSLATE(A39389, ""de"", ""en"")"),"inevitable")</f>
        <v>inevitable</v>
      </c>
    </row>
    <row r="39390">
      <c r="A39390" s="1" t="s">
        <v>39389</v>
      </c>
      <c r="B39390" s="2" t="str">
        <f>IFERROR(__xludf.DUMMYFUNCTION("GOOGLETRANSLATE(A39390, ""de"", ""en"")"),"put together")</f>
        <v>put together</v>
      </c>
    </row>
    <row r="39391">
      <c r="A39391" s="1" t="s">
        <v>39390</v>
      </c>
      <c r="B39391" s="2" t="str">
        <f>IFERROR(__xludf.DUMMYFUNCTION("GOOGLETRANSLATE(A39391, ""de"", ""en"")"),"chop up")</f>
        <v>chop up</v>
      </c>
    </row>
    <row r="39392">
      <c r="A39392" s="1" t="s">
        <v>39391</v>
      </c>
      <c r="B39392" s="2" t="str">
        <f>IFERROR(__xludf.DUMMYFUNCTION("GOOGLETRANSLATE(A39392, ""de"", ""en"")"),"eat")</f>
        <v>eat</v>
      </c>
    </row>
    <row r="39393">
      <c r="A39393" s="1" t="s">
        <v>39392</v>
      </c>
      <c r="B39393" s="2" t="str">
        <f>IFERROR(__xludf.DUMMYFUNCTION("GOOGLETRANSLATE(A39393, ""de"", ""en"")"),"necessary")</f>
        <v>necessary</v>
      </c>
    </row>
    <row r="39394">
      <c r="A39394" s="1" t="s">
        <v>39393</v>
      </c>
      <c r="B39394" s="2" t="str">
        <f>IFERROR(__xludf.DUMMYFUNCTION("GOOGLETRANSLATE(A39394, ""de"", ""en"")"),"drill")</f>
        <v>drill</v>
      </c>
    </row>
    <row r="39395">
      <c r="A39395" s="1" t="s">
        <v>39394</v>
      </c>
      <c r="B39395" s="2" t="str">
        <f>IFERROR(__xludf.DUMMYFUNCTION("GOOGLETRANSLATE(A39395, ""de"", ""en"")"),"entertain")</f>
        <v>entertain</v>
      </c>
    </row>
    <row r="39396">
      <c r="A39396" s="1" t="s">
        <v>39395</v>
      </c>
      <c r="B39396" s="2" t="str">
        <f>IFERROR(__xludf.DUMMYFUNCTION("GOOGLETRANSLATE(A39396, ""de"", ""en"")"),"cracked")</f>
        <v>cracked</v>
      </c>
    </row>
    <row r="39397">
      <c r="A39397" s="1" t="s">
        <v>39396</v>
      </c>
      <c r="B39397" s="2" t="str">
        <f>IFERROR(__xludf.DUMMYFUNCTION("GOOGLETRANSLATE(A39397, ""de"", ""en"")"),"feared")</f>
        <v>feared</v>
      </c>
    </row>
    <row r="39398">
      <c r="A39398" s="1" t="s">
        <v>39397</v>
      </c>
      <c r="B39398" s="2" t="str">
        <f>IFERROR(__xludf.DUMMYFUNCTION("GOOGLETRANSLATE(A39398, ""de"", ""en"")"),"expands")</f>
        <v>expands</v>
      </c>
    </row>
    <row r="39399">
      <c r="A39399" s="1" t="s">
        <v>39398</v>
      </c>
      <c r="B39399" s="2" t="str">
        <f>IFERROR(__xludf.DUMMYFUNCTION("GOOGLETRANSLATE(A39399, ""de"", ""en"")"),"flood")</f>
        <v>flood</v>
      </c>
    </row>
    <row r="39400">
      <c r="A39400" s="1" t="s">
        <v>39399</v>
      </c>
      <c r="B39400" s="2" t="str">
        <f>IFERROR(__xludf.DUMMYFUNCTION("GOOGLETRANSLATE(A39400, ""de"", ""en"")"),"heroism")</f>
        <v>heroism</v>
      </c>
    </row>
    <row r="39401">
      <c r="A39401" s="1" t="s">
        <v>39400</v>
      </c>
      <c r="B39401" s="2" t="str">
        <f>IFERROR(__xludf.DUMMYFUNCTION("GOOGLETRANSLATE(A39401, ""de"", ""en"")"),"corrado")</f>
        <v>corrado</v>
      </c>
    </row>
    <row r="39402">
      <c r="A39402" s="1" t="s">
        <v>39401</v>
      </c>
      <c r="B39402" s="2" t="str">
        <f>IFERROR(__xludf.DUMMYFUNCTION("GOOGLETRANSLATE(A39402, ""de"", ""en"")"),"educate")</f>
        <v>educate</v>
      </c>
    </row>
    <row r="39403">
      <c r="A39403" s="1" t="s">
        <v>39402</v>
      </c>
      <c r="B39403" s="2" t="str">
        <f>IFERROR(__xludf.DUMMYFUNCTION("GOOGLETRANSLATE(A39403, ""de"", ""en"")"),"melman")</f>
        <v>melman</v>
      </c>
    </row>
    <row r="39404">
      <c r="A39404" s="1" t="s">
        <v>39403</v>
      </c>
      <c r="B39404" s="2" t="str">
        <f>IFERROR(__xludf.DUMMYFUNCTION("GOOGLETRANSLATE(A39404, ""de"", ""en"")"),"there")</f>
        <v>there</v>
      </c>
    </row>
    <row r="39405">
      <c r="A39405" s="1" t="s">
        <v>39404</v>
      </c>
      <c r="B39405" s="2" t="str">
        <f>IFERROR(__xludf.DUMMYFUNCTION("GOOGLETRANSLATE(A39405, ""de"", ""en"")"),"consistency")</f>
        <v>consistency</v>
      </c>
    </row>
    <row r="39406">
      <c r="A39406" s="1" t="s">
        <v>39405</v>
      </c>
      <c r="B39406" s="2" t="str">
        <f>IFERROR(__xludf.DUMMYFUNCTION("GOOGLETRANSLATE(A39406, ""de"", ""en"")"),"fencer")</f>
        <v>fencer</v>
      </c>
    </row>
    <row r="39407">
      <c r="A39407" s="1" t="s">
        <v>39406</v>
      </c>
      <c r="B39407" s="2" t="str">
        <f>IFERROR(__xludf.DUMMYFUNCTION("GOOGLETRANSLATE(A39407, ""de"", ""en"")"),"Cheney")</f>
        <v>Cheney</v>
      </c>
    </row>
    <row r="39408">
      <c r="A39408" s="1" t="s">
        <v>39407</v>
      </c>
      <c r="B39408" s="2" t="str">
        <f>IFERROR(__xludf.DUMMYFUNCTION("GOOGLETRANSLATE(A39408, ""de"", ""en"")"),"plodding")</f>
        <v>plodding</v>
      </c>
    </row>
    <row r="39409">
      <c r="A39409" s="1" t="s">
        <v>39408</v>
      </c>
      <c r="B39409" s="2" t="str">
        <f>IFERROR(__xludf.DUMMYFUNCTION("GOOGLETRANSLATE(A39409, ""de"", ""en"")"),"hypothetical")</f>
        <v>hypothetical</v>
      </c>
    </row>
    <row r="39410">
      <c r="A39410" s="1" t="s">
        <v>39409</v>
      </c>
      <c r="B39410" s="2" t="str">
        <f>IFERROR(__xludf.DUMMYFUNCTION("GOOGLETRANSLATE(A39410, ""de"", ""en"")"),"missile")</f>
        <v>missile</v>
      </c>
    </row>
    <row r="39411">
      <c r="A39411" s="1" t="s">
        <v>39410</v>
      </c>
      <c r="B39411" s="2" t="str">
        <f>IFERROR(__xludf.DUMMYFUNCTION("GOOGLETRANSLATE(A39411, ""de"", ""en"")"),"Jonah")</f>
        <v>Jonah</v>
      </c>
    </row>
    <row r="39412">
      <c r="A39412" s="1" t="s">
        <v>39411</v>
      </c>
      <c r="B39412" s="2" t="str">
        <f>IFERROR(__xludf.DUMMYFUNCTION("GOOGLETRANSLATE(A39412, ""de"", ""en"")"),"the-")</f>
        <v>the-</v>
      </c>
    </row>
    <row r="39413">
      <c r="A39413" s="1" t="s">
        <v>39412</v>
      </c>
      <c r="B39413" s="2" t="str">
        <f>IFERROR(__xludf.DUMMYFUNCTION("GOOGLETRANSLATE(A39413, ""de"", ""en"")"),"reina")</f>
        <v>reina</v>
      </c>
    </row>
    <row r="39414">
      <c r="A39414" s="1" t="s">
        <v>39413</v>
      </c>
      <c r="B39414" s="2" t="str">
        <f>IFERROR(__xludf.DUMMYFUNCTION("GOOGLETRANSLATE(A39414, ""de"", ""en"")"),"drove through")</f>
        <v>drove through</v>
      </c>
    </row>
    <row r="39415">
      <c r="A39415" s="1" t="s">
        <v>39414</v>
      </c>
      <c r="B39415" s="2" t="str">
        <f>IFERROR(__xludf.DUMMYFUNCTION("GOOGLETRANSLATE(A39415, ""de"", ""en"")"),"filled")</f>
        <v>filled</v>
      </c>
    </row>
    <row r="39416">
      <c r="A39416" s="1" t="s">
        <v>39415</v>
      </c>
      <c r="B39416" s="2" t="str">
        <f>IFERROR(__xludf.DUMMYFUNCTION("GOOGLETRANSLATE(A39416, ""de"", ""en"")"),"vampire hunter")</f>
        <v>vampire hunter</v>
      </c>
    </row>
    <row r="39417">
      <c r="A39417" s="1" t="s">
        <v>39416</v>
      </c>
      <c r="B39417" s="2" t="str">
        <f>IFERROR(__xludf.DUMMYFUNCTION("GOOGLETRANSLATE(A39417, ""de"", ""en"")"),"hat")</f>
        <v>hat</v>
      </c>
    </row>
    <row r="39418">
      <c r="A39418" s="1" t="s">
        <v>39417</v>
      </c>
      <c r="B39418" s="2" t="str">
        <f>IFERROR(__xludf.DUMMYFUNCTION("GOOGLETRANSLATE(A39418, ""de"", ""en"")"),"sawmill")</f>
        <v>sawmill</v>
      </c>
    </row>
    <row r="39419">
      <c r="A39419" s="1" t="s">
        <v>39418</v>
      </c>
      <c r="B39419" s="2" t="str">
        <f>IFERROR(__xludf.DUMMYFUNCTION("GOOGLETRANSLATE(A39419, ""de"", ""en"")"),"easter bunnies")</f>
        <v>easter bunnies</v>
      </c>
    </row>
    <row r="39420">
      <c r="A39420" s="1" t="s">
        <v>39419</v>
      </c>
      <c r="B39420" s="2" t="str">
        <f>IFERROR(__xludf.DUMMYFUNCTION("GOOGLETRANSLATE(A39420, ""de"", ""en"")"),"pork cheek")</f>
        <v>pork cheek</v>
      </c>
    </row>
    <row r="39421">
      <c r="A39421" s="1" t="s">
        <v>39420</v>
      </c>
      <c r="B39421" s="2" t="str">
        <f>IFERROR(__xludf.DUMMYFUNCTION("GOOGLETRANSLATE(A39421, ""de"", ""en"")"),"ut")</f>
        <v>ut</v>
      </c>
    </row>
    <row r="39422">
      <c r="A39422" s="1" t="s">
        <v>39421</v>
      </c>
      <c r="B39422" s="2" t="str">
        <f>IFERROR(__xludf.DUMMYFUNCTION("GOOGLETRANSLATE(A39422, ""de"", ""en"")"),"neurological")</f>
        <v>neurological</v>
      </c>
    </row>
    <row r="39423">
      <c r="A39423" s="1" t="s">
        <v>39422</v>
      </c>
      <c r="B39423" s="2" t="str">
        <f>IFERROR(__xludf.DUMMYFUNCTION("GOOGLETRANSLATE(A39423, ""de"", ""en"")"),"heineken")</f>
        <v>heineken</v>
      </c>
    </row>
    <row r="39424">
      <c r="A39424" s="1" t="s">
        <v>39423</v>
      </c>
      <c r="B39424" s="2" t="str">
        <f>IFERROR(__xludf.DUMMYFUNCTION("GOOGLETRANSLATE(A39424, ""de"", ""en"")"),"Griselda")</f>
        <v>Griselda</v>
      </c>
    </row>
    <row r="39425">
      <c r="A39425" s="1" t="s">
        <v>39424</v>
      </c>
      <c r="B39425" s="2" t="str">
        <f>IFERROR(__xludf.DUMMYFUNCTION("GOOGLETRANSLATE(A39425, ""de"", ""en"")"),"excuse")</f>
        <v>excuse</v>
      </c>
    </row>
    <row r="39426">
      <c r="A39426" s="1" t="s">
        <v>39425</v>
      </c>
      <c r="B39426" s="2" t="str">
        <f>IFERROR(__xludf.DUMMYFUNCTION("GOOGLETRANSLATE(A39426, ""de"", ""en"")"),"fly on")</f>
        <v>fly on</v>
      </c>
    </row>
    <row r="39427">
      <c r="A39427" s="1" t="s">
        <v>39426</v>
      </c>
      <c r="B39427" s="2" t="str">
        <f>IFERROR(__xludf.DUMMYFUNCTION("GOOGLETRANSLATE(A39427, ""de"", ""en"")"),"survivor")</f>
        <v>survivor</v>
      </c>
    </row>
    <row r="39428">
      <c r="A39428" s="1" t="s">
        <v>39427</v>
      </c>
      <c r="B39428" s="2" t="str">
        <f>IFERROR(__xludf.DUMMYFUNCTION("GOOGLETRANSLATE(A39428, ""de"", ""en"")"),"half day")</f>
        <v>half day</v>
      </c>
    </row>
    <row r="39429">
      <c r="A39429" s="1" t="s">
        <v>39428</v>
      </c>
      <c r="B39429" s="2" t="str">
        <f>IFERROR(__xludf.DUMMYFUNCTION("GOOGLETRANSLATE(A39429, ""de"", ""en"")"),"boldest")</f>
        <v>boldest</v>
      </c>
    </row>
    <row r="39430">
      <c r="A39430" s="1" t="s">
        <v>39429</v>
      </c>
      <c r="B39430" s="2" t="str">
        <f>IFERROR(__xludf.DUMMYFUNCTION("GOOGLETRANSLATE(A39430, ""de"", ""en"")"),"shapes")</f>
        <v>shapes</v>
      </c>
    </row>
    <row r="39431">
      <c r="A39431" s="1" t="s">
        <v>39430</v>
      </c>
      <c r="B39431" s="2" t="str">
        <f>IFERROR(__xludf.DUMMYFUNCTION("GOOGLETRANSLATE(A39431, ""de"", ""en"")"),"appellate court")</f>
        <v>appellate court</v>
      </c>
    </row>
    <row r="39432">
      <c r="A39432" s="1" t="s">
        <v>39431</v>
      </c>
      <c r="B39432" s="2" t="str">
        <f>IFERROR(__xludf.DUMMYFUNCTION("GOOGLETRANSLATE(A39432, ""de"", ""en"")"),"articulated")</f>
        <v>articulated</v>
      </c>
    </row>
    <row r="39433">
      <c r="A39433" s="1" t="s">
        <v>39432</v>
      </c>
      <c r="B39433" s="2" t="str">
        <f>IFERROR(__xludf.DUMMYFUNCTION("GOOGLETRANSLATE(A39433, ""de"", ""en"")"),"whorehouse")</f>
        <v>whorehouse</v>
      </c>
    </row>
    <row r="39434">
      <c r="A39434" s="1" t="s">
        <v>39433</v>
      </c>
      <c r="B39434" s="2" t="str">
        <f>IFERROR(__xludf.DUMMYFUNCTION("GOOGLETRANSLATE(A39434, ""de"", ""en"")"),"taken")</f>
        <v>taken</v>
      </c>
    </row>
    <row r="39435">
      <c r="A39435" s="1" t="s">
        <v>39434</v>
      </c>
      <c r="B39435" s="2" t="str">
        <f>IFERROR(__xludf.DUMMYFUNCTION("GOOGLETRANSLATE(A39435, ""de"", ""en"")"),"prefects")</f>
        <v>prefects</v>
      </c>
    </row>
    <row r="39436">
      <c r="A39436" s="1" t="s">
        <v>39435</v>
      </c>
      <c r="B39436" s="2" t="str">
        <f>IFERROR(__xludf.DUMMYFUNCTION("GOOGLETRANSLATE(A39436, ""de"", ""en"")"),"friction")</f>
        <v>friction</v>
      </c>
    </row>
    <row r="39437">
      <c r="A39437" s="1" t="s">
        <v>39436</v>
      </c>
      <c r="B39437" s="2" t="str">
        <f>IFERROR(__xludf.DUMMYFUNCTION("GOOGLETRANSLATE(A39437, ""de"", ""en"")"),"huh")</f>
        <v>huh</v>
      </c>
    </row>
    <row r="39438">
      <c r="A39438" s="1" t="s">
        <v>39437</v>
      </c>
      <c r="B39438" s="2" t="str">
        <f>IFERROR(__xludf.DUMMYFUNCTION("GOOGLETRANSLATE(A39438, ""de"", ""en"")"),"falls over")</f>
        <v>falls over</v>
      </c>
    </row>
    <row r="39439">
      <c r="A39439" s="1" t="s">
        <v>39438</v>
      </c>
      <c r="B39439" s="2" t="str">
        <f>IFERROR(__xludf.DUMMYFUNCTION("GOOGLETRANSLATE(A39439, ""de"", ""en"")"),"hey")</f>
        <v>hey</v>
      </c>
    </row>
    <row r="39440">
      <c r="A39440" s="1" t="s">
        <v>39439</v>
      </c>
      <c r="B39440" s="2" t="str">
        <f>IFERROR(__xludf.DUMMYFUNCTION("GOOGLETRANSLATE(A39440, ""de"", ""en"")"),"capt.")</f>
        <v>capt.</v>
      </c>
    </row>
    <row r="39441">
      <c r="A39441" s="1" t="s">
        <v>39440</v>
      </c>
      <c r="B39441" s="2" t="str">
        <f>IFERROR(__xludf.DUMMYFUNCTION("GOOGLETRANSLATE(A39441, ""de"", ""en"")"),"official act")</f>
        <v>official act</v>
      </c>
    </row>
    <row r="39442">
      <c r="A39442" s="1" t="s">
        <v>39441</v>
      </c>
      <c r="B39442" s="2" t="str">
        <f>IFERROR(__xludf.DUMMYFUNCTION("GOOGLETRANSLATE(A39442, ""de"", ""en"")"),"carmilla")</f>
        <v>carmilla</v>
      </c>
    </row>
    <row r="39443">
      <c r="A39443" s="1" t="s">
        <v>39442</v>
      </c>
      <c r="B39443" s="2" t="str">
        <f>IFERROR(__xludf.DUMMYFUNCTION("GOOGLETRANSLATE(A39443, ""de"", ""en"")"),"fascist")</f>
        <v>fascist</v>
      </c>
    </row>
    <row r="39444">
      <c r="A39444" s="1" t="s">
        <v>39443</v>
      </c>
      <c r="B39444" s="2" t="str">
        <f>IFERROR(__xludf.DUMMYFUNCTION("GOOGLETRANSLATE(A39444, ""de"", ""en"")"),"session")</f>
        <v>session</v>
      </c>
    </row>
    <row r="39445">
      <c r="A39445" s="1" t="s">
        <v>39444</v>
      </c>
      <c r="B39445" s="2" t="str">
        <f>IFERROR(__xludf.DUMMYFUNCTION("GOOGLETRANSLATE(A39445, ""de"", ""en"")"),"honorable")</f>
        <v>honorable</v>
      </c>
    </row>
    <row r="39446">
      <c r="A39446" s="1" t="s">
        <v>39445</v>
      </c>
      <c r="B39446" s="2" t="str">
        <f>IFERROR(__xludf.DUMMYFUNCTION("GOOGLETRANSLATE(A39446, ""de"", ""en"")"),"grandmothers")</f>
        <v>grandmothers</v>
      </c>
    </row>
    <row r="39447">
      <c r="A39447" s="1" t="s">
        <v>39446</v>
      </c>
      <c r="B39447" s="2" t="str">
        <f>IFERROR(__xludf.DUMMYFUNCTION("GOOGLETRANSLATE(A39447, ""de"", ""en"")"),"environmentalist")</f>
        <v>environmentalist</v>
      </c>
    </row>
    <row r="39448">
      <c r="A39448" s="1" t="s">
        <v>39447</v>
      </c>
      <c r="B39448" s="2" t="str">
        <f>IFERROR(__xludf.DUMMYFUNCTION("GOOGLETRANSLATE(A39448, ""de"", ""en"")"),"boudoir")</f>
        <v>boudoir</v>
      </c>
    </row>
    <row r="39449">
      <c r="A39449" s="1" t="s">
        <v>39448</v>
      </c>
      <c r="B39449" s="2" t="str">
        <f>IFERROR(__xludf.DUMMYFUNCTION("GOOGLETRANSLATE(A39449, ""de"", ""en"")"),"Geneviève")</f>
        <v>Geneviève</v>
      </c>
    </row>
    <row r="39450">
      <c r="A39450" s="1" t="s">
        <v>39449</v>
      </c>
      <c r="B39450" s="2" t="str">
        <f>IFERROR(__xludf.DUMMYFUNCTION("GOOGLETRANSLATE(A39450, ""de"", ""en"")"),"moreland")</f>
        <v>moreland</v>
      </c>
    </row>
    <row r="39451">
      <c r="A39451" s="1" t="s">
        <v>39450</v>
      </c>
      <c r="B39451" s="2" t="str">
        <f>IFERROR(__xludf.DUMMYFUNCTION("GOOGLETRANSLATE(A39451, ""de"", ""en"")"),"snow queen")</f>
        <v>snow queen</v>
      </c>
    </row>
    <row r="39452">
      <c r="A39452" s="1" t="s">
        <v>39451</v>
      </c>
      <c r="B39452" s="2" t="str">
        <f>IFERROR(__xludf.DUMMYFUNCTION("GOOGLETRANSLATE(A39452, ""de"", ""en"")"),"art school")</f>
        <v>art school</v>
      </c>
    </row>
    <row r="39453">
      <c r="A39453" s="1" t="s">
        <v>39452</v>
      </c>
      <c r="B39453" s="2" t="str">
        <f>IFERROR(__xludf.DUMMYFUNCTION("GOOGLETRANSLATE(A39453, ""de"", ""en"")"),"fabulous")</f>
        <v>fabulous</v>
      </c>
    </row>
    <row r="39454">
      <c r="A39454" s="1" t="s">
        <v>39453</v>
      </c>
      <c r="B39454" s="2" t="str">
        <f>IFERROR(__xludf.DUMMYFUNCTION("GOOGLETRANSLATE(A39454, ""de"", ""en"")"),"olesons")</f>
        <v>olesons</v>
      </c>
    </row>
    <row r="39455">
      <c r="A39455" s="1" t="s">
        <v>39454</v>
      </c>
      <c r="B39455" s="2" t="str">
        <f>IFERROR(__xludf.DUMMYFUNCTION("GOOGLETRANSLATE(A39455, ""de"", ""en"")"),"accuse")</f>
        <v>accuse</v>
      </c>
    </row>
    <row r="39456">
      <c r="A39456" s="1" t="s">
        <v>39455</v>
      </c>
      <c r="B39456" s="2" t="str">
        <f>IFERROR(__xludf.DUMMYFUNCTION("GOOGLETRANSLATE(A39456, ""de"", ""en"")"),"editor")</f>
        <v>editor</v>
      </c>
    </row>
    <row r="39457">
      <c r="A39457" s="1" t="s">
        <v>39456</v>
      </c>
      <c r="B39457" s="2" t="str">
        <f>IFERROR(__xludf.DUMMYFUNCTION("GOOGLETRANSLATE(A39457, ""de"", ""en"")"),"amazingly")</f>
        <v>amazingly</v>
      </c>
    </row>
    <row r="39458">
      <c r="A39458" s="1" t="s">
        <v>39457</v>
      </c>
      <c r="B39458" s="2" t="str">
        <f>IFERROR(__xludf.DUMMYFUNCTION("GOOGLETRANSLATE(A39458, ""de"", ""en"")"),"fertilized")</f>
        <v>fertilized</v>
      </c>
    </row>
    <row r="39459">
      <c r="A39459" s="1" t="s">
        <v>39458</v>
      </c>
      <c r="B39459" s="2" t="str">
        <f>IFERROR(__xludf.DUMMYFUNCTION("GOOGLETRANSLATE(A39459, ""de"", ""en"")"),"Steinberg")</f>
        <v>Steinberg</v>
      </c>
    </row>
    <row r="39460">
      <c r="A39460" s="1" t="s">
        <v>39459</v>
      </c>
      <c r="B39460" s="2" t="str">
        <f>IFERROR(__xludf.DUMMYFUNCTION("GOOGLETRANSLATE(A39460, ""de"", ""en"")"),"bully")</f>
        <v>bully</v>
      </c>
    </row>
    <row r="39461">
      <c r="A39461" s="1" t="s">
        <v>39460</v>
      </c>
      <c r="B39461" s="2" t="str">
        <f>IFERROR(__xludf.DUMMYFUNCTION("GOOGLETRANSLATE(A39461, ""de"", ""en"")"),"to secure")</f>
        <v>to secure</v>
      </c>
    </row>
    <row r="39462">
      <c r="A39462" s="1" t="s">
        <v>39461</v>
      </c>
      <c r="B39462" s="2" t="str">
        <f>IFERROR(__xludf.DUMMYFUNCTION("GOOGLETRANSLATE(A39462, ""de"", ""en"")"),"police")</f>
        <v>police</v>
      </c>
    </row>
    <row r="39463">
      <c r="A39463" s="1" t="s">
        <v>39462</v>
      </c>
      <c r="B39463" s="2" t="str">
        <f>IFERROR(__xludf.DUMMYFUNCTION("GOOGLETRANSLATE(A39463, ""de"", ""en"")"),"Gulf War")</f>
        <v>Gulf War</v>
      </c>
    </row>
    <row r="39464">
      <c r="A39464" s="1" t="s">
        <v>39463</v>
      </c>
      <c r="B39464" s="2" t="str">
        <f>IFERROR(__xludf.DUMMYFUNCTION("GOOGLETRANSLATE(A39464, ""de"", ""en"")"),"fire nation")</f>
        <v>fire nation</v>
      </c>
    </row>
    <row r="39465">
      <c r="A39465" s="1" t="s">
        <v>39464</v>
      </c>
      <c r="B39465" s="2" t="str">
        <f>IFERROR(__xludf.DUMMYFUNCTION("GOOGLETRANSLATE(A39465, ""de"", ""en"")"),"Hanswurst")</f>
        <v>Hanswurst</v>
      </c>
    </row>
    <row r="39466">
      <c r="A39466" s="1" t="s">
        <v>39465</v>
      </c>
      <c r="B39466" s="2" t="str">
        <f>IFERROR(__xludf.DUMMYFUNCTION("GOOGLETRANSLATE(A39466, ""de"", ""en"")"),"battlestar")</f>
        <v>battlestar</v>
      </c>
    </row>
    <row r="39467">
      <c r="A39467" s="1" t="s">
        <v>39466</v>
      </c>
      <c r="B39467" s="2" t="str">
        <f>IFERROR(__xludf.DUMMYFUNCTION("GOOGLETRANSLATE(A39467, ""de"", ""en"")"),"outcasts")</f>
        <v>outcasts</v>
      </c>
    </row>
    <row r="39468">
      <c r="A39468" s="1" t="s">
        <v>39467</v>
      </c>
      <c r="B39468" s="2" t="str">
        <f>IFERROR(__xludf.DUMMYFUNCTION("GOOGLETRANSLATE(A39468, ""de"", ""en"")"),"parish")</f>
        <v>parish</v>
      </c>
    </row>
    <row r="39469">
      <c r="A39469" s="1" t="s">
        <v>39468</v>
      </c>
      <c r="B39469" s="2" t="str">
        <f>IFERROR(__xludf.DUMMYFUNCTION("GOOGLETRANSLATE(A39469, ""de"", ""en"")"),"fantastic")</f>
        <v>fantastic</v>
      </c>
    </row>
    <row r="39470">
      <c r="A39470" s="1" t="s">
        <v>39469</v>
      </c>
      <c r="B39470" s="2" t="str">
        <f>IFERROR(__xludf.DUMMYFUNCTION("GOOGLETRANSLATE(A39470, ""de"", ""en"")"),"rearguard")</f>
        <v>rearguard</v>
      </c>
    </row>
    <row r="39471">
      <c r="A39471" s="1" t="s">
        <v>39470</v>
      </c>
      <c r="B39471" s="2" t="str">
        <f>IFERROR(__xludf.DUMMYFUNCTION("GOOGLETRANSLATE(A39471, ""de"", ""en"")"),"toros")</f>
        <v>toros</v>
      </c>
    </row>
    <row r="39472">
      <c r="A39472" s="1" t="s">
        <v>39471</v>
      </c>
      <c r="B39472" s="2" t="str">
        <f>IFERROR(__xludf.DUMMYFUNCTION("GOOGLETRANSLATE(A39472, ""de"", ""en"")"),"German")</f>
        <v>German</v>
      </c>
    </row>
    <row r="39473">
      <c r="A39473" s="1" t="s">
        <v>39472</v>
      </c>
      <c r="B39473" s="2" t="str">
        <f>IFERROR(__xludf.DUMMYFUNCTION("GOOGLETRANSLATE(A39473, ""de"", ""en"")"),"reset")</f>
        <v>reset</v>
      </c>
    </row>
    <row r="39474">
      <c r="A39474" s="1" t="s">
        <v>39473</v>
      </c>
      <c r="B39474" s="2" t="str">
        <f>IFERROR(__xludf.DUMMYFUNCTION("GOOGLETRANSLATE(A39474, ""de"", ""en"")"),"move in")</f>
        <v>move in</v>
      </c>
    </row>
    <row r="39475">
      <c r="A39475" s="1" t="s">
        <v>39474</v>
      </c>
      <c r="B39475" s="2" t="str">
        <f>IFERROR(__xludf.DUMMYFUNCTION("GOOGLETRANSLATE(A39475, ""de"", ""en"")"),"passionate")</f>
        <v>passionate</v>
      </c>
    </row>
    <row r="39476">
      <c r="A39476" s="1" t="s">
        <v>39475</v>
      </c>
      <c r="B39476" s="2" t="str">
        <f>IFERROR(__xludf.DUMMYFUNCTION("GOOGLETRANSLATE(A39476, ""de"", ""en"")"),"more disgusting")</f>
        <v>more disgusting</v>
      </c>
    </row>
    <row r="39477">
      <c r="A39477" s="1" t="s">
        <v>39476</v>
      </c>
      <c r="B39477" s="2" t="str">
        <f>IFERROR(__xludf.DUMMYFUNCTION("GOOGLETRANSLATE(A39477, ""de"", ""en"")"),"add")</f>
        <v>add</v>
      </c>
    </row>
    <row r="39478">
      <c r="A39478" s="1" t="s">
        <v>39477</v>
      </c>
      <c r="B39478" s="2" t="str">
        <f>IFERROR(__xludf.DUMMYFUNCTION("GOOGLETRANSLATE(A39478, ""de"", ""en"")"),"advocate")</f>
        <v>advocate</v>
      </c>
    </row>
    <row r="39479">
      <c r="A39479" s="1" t="s">
        <v>39478</v>
      </c>
      <c r="B39479" s="2" t="str">
        <f>IFERROR(__xludf.DUMMYFUNCTION("GOOGLETRANSLATE(A39479, ""de"", ""en"")"),"oink")</f>
        <v>oink</v>
      </c>
    </row>
    <row r="39480">
      <c r="A39480" s="1" t="s">
        <v>39479</v>
      </c>
      <c r="B39480" s="2" t="str">
        <f>IFERROR(__xludf.DUMMYFUNCTION("GOOGLETRANSLATE(A39480, ""de"", ""en"")"),"half year")</f>
        <v>half year</v>
      </c>
    </row>
    <row r="39481">
      <c r="A39481" s="1" t="s">
        <v>39480</v>
      </c>
      <c r="B39481" s="2" t="str">
        <f>IFERROR(__xludf.DUMMYFUNCTION("GOOGLETRANSLATE(A39481, ""de"", ""en"")"),"unresolved")</f>
        <v>unresolved</v>
      </c>
    </row>
    <row r="39482">
      <c r="A39482" s="1" t="s">
        <v>39481</v>
      </c>
      <c r="B39482" s="2" t="str">
        <f>IFERROR(__xludf.DUMMYFUNCTION("GOOGLETRANSLATE(A39482, ""de"", ""en"")"),"rai")</f>
        <v>rai</v>
      </c>
    </row>
    <row r="39483">
      <c r="A39483" s="1" t="s">
        <v>39482</v>
      </c>
      <c r="B39483" s="2" t="str">
        <f>IFERROR(__xludf.DUMMYFUNCTION("GOOGLETRANSLATE(A39483, ""de"", ""en"")"),"portrait")</f>
        <v>portrait</v>
      </c>
    </row>
    <row r="39484">
      <c r="A39484" s="1" t="s">
        <v>39483</v>
      </c>
      <c r="B39484" s="2" t="str">
        <f>IFERROR(__xludf.DUMMYFUNCTION("GOOGLETRANSLATE(A39484, ""de"", ""en"")"),"efraim")</f>
        <v>efraim</v>
      </c>
    </row>
    <row r="39485">
      <c r="A39485" s="1" t="s">
        <v>39484</v>
      </c>
      <c r="B39485" s="2" t="str">
        <f>IFERROR(__xludf.DUMMYFUNCTION("GOOGLETRANSLATE(A39485, ""de"", ""en"")"),"scuffle")</f>
        <v>scuffle</v>
      </c>
    </row>
    <row r="39486">
      <c r="A39486" s="1" t="s">
        <v>39485</v>
      </c>
      <c r="B39486" s="2" t="str">
        <f>IFERROR(__xludf.DUMMYFUNCTION("GOOGLETRANSLATE(A39486, ""de"", ""en"")"),"ruber")</f>
        <v>ruber</v>
      </c>
    </row>
    <row r="39487">
      <c r="A39487" s="1" t="s">
        <v>39486</v>
      </c>
      <c r="B39487" s="2" t="str">
        <f>IFERROR(__xludf.DUMMYFUNCTION("GOOGLETRANSLATE(A39487, ""de"", ""en"")"),"incentive")</f>
        <v>incentive</v>
      </c>
    </row>
    <row r="39488">
      <c r="A39488" s="1" t="s">
        <v>39487</v>
      </c>
      <c r="B39488" s="2" t="str">
        <f>IFERROR(__xludf.DUMMYFUNCTION("GOOGLETRANSLATE(A39488, ""de"", ""en"")"),"adult")</f>
        <v>adult</v>
      </c>
    </row>
    <row r="39489">
      <c r="A39489" s="1" t="s">
        <v>39488</v>
      </c>
      <c r="B39489" s="2" t="str">
        <f>IFERROR(__xludf.DUMMYFUNCTION("GOOGLETRANSLATE(A39489, ""de"", ""en"")"),"roll")</f>
        <v>roll</v>
      </c>
    </row>
    <row r="39490">
      <c r="A39490" s="1" t="s">
        <v>39489</v>
      </c>
      <c r="B39490" s="2" t="str">
        <f>IFERROR(__xludf.DUMMYFUNCTION("GOOGLETRANSLATE(A39490, ""de"", ""en"")"),"Aden")</f>
        <v>Aden</v>
      </c>
    </row>
    <row r="39491">
      <c r="A39491" s="1" t="s">
        <v>39490</v>
      </c>
      <c r="B39491" s="2" t="str">
        <f>IFERROR(__xludf.DUMMYFUNCTION("GOOGLETRANSLATE(A39491, ""de"", ""en"")"),"push around")</f>
        <v>push around</v>
      </c>
    </row>
    <row r="39492">
      <c r="A39492" s="1" t="s">
        <v>39491</v>
      </c>
      <c r="B39492" s="2" t="str">
        <f>IFERROR(__xludf.DUMMYFUNCTION("GOOGLETRANSLATE(A39492, ""de"", ""en"")"),"trite")</f>
        <v>trite</v>
      </c>
    </row>
    <row r="39493">
      <c r="A39493" s="1" t="s">
        <v>39492</v>
      </c>
      <c r="B39493" s="2" t="str">
        <f>IFERROR(__xludf.DUMMYFUNCTION("GOOGLETRANSLATE(A39493, ""de"", ""en"")"),"detector")</f>
        <v>detector</v>
      </c>
    </row>
    <row r="39494">
      <c r="A39494" s="1" t="s">
        <v>39493</v>
      </c>
      <c r="B39494" s="2" t="str">
        <f>IFERROR(__xludf.DUMMYFUNCTION("GOOGLETRANSLATE(A39494, ""de"", ""en"")"),"Emilie")</f>
        <v>Emilie</v>
      </c>
    </row>
    <row r="39495">
      <c r="A39495" s="1" t="s">
        <v>39494</v>
      </c>
      <c r="B39495" s="2" t="str">
        <f>IFERROR(__xludf.DUMMYFUNCTION("GOOGLETRANSLATE(A39495, ""de"", ""en"")"),"heard")</f>
        <v>heard</v>
      </c>
    </row>
    <row r="39496">
      <c r="A39496" s="1" t="s">
        <v>39495</v>
      </c>
      <c r="B39496" s="2" t="str">
        <f>IFERROR(__xludf.DUMMYFUNCTION("GOOGLETRANSLATE(A39496, ""de"", ""en"")"),"eater")</f>
        <v>eater</v>
      </c>
    </row>
    <row r="39497">
      <c r="A39497" s="1" t="s">
        <v>39496</v>
      </c>
      <c r="B39497" s="2" t="str">
        <f>IFERROR(__xludf.DUMMYFUNCTION("GOOGLETRANSLATE(A39497, ""de"", ""en"")"),"grass")</f>
        <v>grass</v>
      </c>
    </row>
    <row r="39498">
      <c r="A39498" s="1" t="s">
        <v>39497</v>
      </c>
      <c r="B39498" s="2" t="str">
        <f>IFERROR(__xludf.DUMMYFUNCTION("GOOGLETRANSLATE(A39498, ""de"", ""en"")"),"raged")</f>
        <v>raged</v>
      </c>
    </row>
    <row r="39499">
      <c r="A39499" s="1" t="s">
        <v>39498</v>
      </c>
      <c r="B39499" s="2" t="str">
        <f>IFERROR(__xludf.DUMMYFUNCTION("GOOGLETRANSLATE(A39499, ""de"", ""en"")"),"bout")</f>
        <v>bout</v>
      </c>
    </row>
    <row r="39500">
      <c r="A39500" s="1" t="s">
        <v>39499</v>
      </c>
      <c r="B39500" s="2" t="str">
        <f>IFERROR(__xludf.DUMMYFUNCTION("GOOGLETRANSLATE(A39500, ""de"", ""en"")"),"kroger")</f>
        <v>kroger</v>
      </c>
    </row>
    <row r="39501">
      <c r="A39501" s="1" t="s">
        <v>39500</v>
      </c>
      <c r="B39501" s="2" t="str">
        <f>IFERROR(__xludf.DUMMYFUNCTION("GOOGLETRANSLATE(A39501, ""de"", ""en"")"),"ghost stories")</f>
        <v>ghost stories</v>
      </c>
    </row>
    <row r="39502">
      <c r="A39502" s="1" t="s">
        <v>39501</v>
      </c>
      <c r="B39502" s="2" t="str">
        <f>IFERROR(__xludf.DUMMYFUNCTION("GOOGLETRANSLATE(A39502, ""de"", ""en"")"),"informative")</f>
        <v>informative</v>
      </c>
    </row>
    <row r="39503">
      <c r="A39503" s="1" t="s">
        <v>39502</v>
      </c>
      <c r="B39503" s="2" t="str">
        <f>IFERROR(__xludf.DUMMYFUNCTION("GOOGLETRANSLATE(A39503, ""de"", ""en"")"),"handprint")</f>
        <v>handprint</v>
      </c>
    </row>
    <row r="39504">
      <c r="A39504" s="1" t="s">
        <v>39503</v>
      </c>
      <c r="B39504" s="2" t="str">
        <f>IFERROR(__xludf.DUMMYFUNCTION("GOOGLETRANSLATE(A39504, ""de"", ""en"")"),"mourn")</f>
        <v>mourn</v>
      </c>
    </row>
    <row r="39505">
      <c r="A39505" s="1" t="s">
        <v>39504</v>
      </c>
      <c r="B39505" s="2" t="str">
        <f>IFERROR(__xludf.DUMMYFUNCTION("GOOGLETRANSLATE(A39505, ""de"", ""en"")"),"my kind")</f>
        <v>my kind</v>
      </c>
    </row>
    <row r="39506">
      <c r="A39506" s="1" t="s">
        <v>39505</v>
      </c>
      <c r="B39506" s="2" t="str">
        <f>IFERROR(__xludf.DUMMYFUNCTION("GOOGLETRANSLATE(A39506, ""de"", ""en"")"),"valiant")</f>
        <v>valiant</v>
      </c>
    </row>
    <row r="39507">
      <c r="A39507" s="1" t="s">
        <v>39506</v>
      </c>
      <c r="B39507" s="2" t="str">
        <f>IFERROR(__xludf.DUMMYFUNCTION("GOOGLETRANSLATE(A39507, ""de"", ""en"")"),"slain")</f>
        <v>slain</v>
      </c>
    </row>
    <row r="39508">
      <c r="A39508" s="1" t="s">
        <v>39507</v>
      </c>
      <c r="B39508" s="2" t="str">
        <f>IFERROR(__xludf.DUMMYFUNCTION("GOOGLETRANSLATE(A39508, ""de"", ""en"")"),"bequeath")</f>
        <v>bequeath</v>
      </c>
    </row>
    <row r="39509">
      <c r="A39509" s="1" t="s">
        <v>39508</v>
      </c>
      <c r="B39509" s="2" t="str">
        <f>IFERROR(__xludf.DUMMYFUNCTION("GOOGLETRANSLATE(A39509, ""de"", ""en"")"),"shitcart")</f>
        <v>shitcart</v>
      </c>
    </row>
    <row r="39510">
      <c r="A39510" s="1" t="s">
        <v>39509</v>
      </c>
      <c r="B39510" s="2" t="str">
        <f>IFERROR(__xludf.DUMMYFUNCTION("GOOGLETRANSLATE(A39510, ""de"", ""en"")"),"miss")</f>
        <v>miss</v>
      </c>
    </row>
    <row r="39511">
      <c r="A39511" s="1" t="s">
        <v>39510</v>
      </c>
      <c r="B39511" s="2" t="str">
        <f>IFERROR(__xludf.DUMMYFUNCTION("GOOGLETRANSLATE(A39511, ""de"", ""en"")"),"investor")</f>
        <v>investor</v>
      </c>
    </row>
    <row r="39512">
      <c r="A39512" s="1" t="s">
        <v>39511</v>
      </c>
      <c r="B39512" s="2" t="str">
        <f>IFERROR(__xludf.DUMMYFUNCTION("GOOGLETRANSLATE(A39512, ""de"", ""en"")"),"no parking")</f>
        <v>no parking</v>
      </c>
    </row>
    <row r="39513">
      <c r="A39513" s="1" t="s">
        <v>39512</v>
      </c>
      <c r="B39513" s="2" t="str">
        <f>IFERROR(__xludf.DUMMYFUNCTION("GOOGLETRANSLATE(A39513, ""de"", ""en"")"),"electra")</f>
        <v>electra</v>
      </c>
    </row>
    <row r="39514">
      <c r="A39514" s="1" t="s">
        <v>39513</v>
      </c>
      <c r="B39514" s="2" t="str">
        <f>IFERROR(__xludf.DUMMYFUNCTION("GOOGLETRANSLATE(A39514, ""de"", ""en"")"),"subway station")</f>
        <v>subway station</v>
      </c>
    </row>
    <row r="39515">
      <c r="A39515" s="1" t="s">
        <v>39514</v>
      </c>
      <c r="B39515" s="2" t="str">
        <f>IFERROR(__xludf.DUMMYFUNCTION("GOOGLETRANSLATE(A39515, ""de"", ""en"")"),"trill")</f>
        <v>trill</v>
      </c>
    </row>
    <row r="39516">
      <c r="A39516" s="1" t="s">
        <v>39515</v>
      </c>
      <c r="B39516" s="2" t="str">
        <f>IFERROR(__xludf.DUMMYFUNCTION("GOOGLETRANSLATE(A39516, ""de"", ""en"")"),"broomstick")</f>
        <v>broomstick</v>
      </c>
    </row>
    <row r="39517">
      <c r="A39517" s="1" t="s">
        <v>39516</v>
      </c>
      <c r="B39517" s="2" t="str">
        <f>IFERROR(__xludf.DUMMYFUNCTION("GOOGLETRANSLATE(A39517, ""de"", ""en"")"),"yards")</f>
        <v>yards</v>
      </c>
    </row>
    <row r="39518">
      <c r="A39518" s="1" t="s">
        <v>39517</v>
      </c>
      <c r="B39518" s="2" t="str">
        <f>IFERROR(__xludf.DUMMYFUNCTION("GOOGLETRANSLATE(A39518, ""de"", ""en"")"),"betrayed")</f>
        <v>betrayed</v>
      </c>
    </row>
    <row r="39519">
      <c r="A39519" s="1" t="s">
        <v>39518</v>
      </c>
      <c r="B39519" s="2" t="str">
        <f>IFERROR(__xludf.DUMMYFUNCTION("GOOGLETRANSLATE(A39519, ""de"", ""en"")"),"monster")</f>
        <v>monster</v>
      </c>
    </row>
    <row r="39520">
      <c r="A39520" s="1" t="s">
        <v>39519</v>
      </c>
      <c r="B39520" s="2" t="str">
        <f>IFERROR(__xludf.DUMMYFUNCTION("GOOGLETRANSLATE(A39520, ""de"", ""en"")"),"locks")</f>
        <v>locks</v>
      </c>
    </row>
    <row r="39521">
      <c r="A39521" s="1" t="s">
        <v>39520</v>
      </c>
      <c r="B39521" s="2" t="str">
        <f>IFERROR(__xludf.DUMMYFUNCTION("GOOGLETRANSLATE(A39521, ""de"", ""en"")"),"builder")</f>
        <v>builder</v>
      </c>
    </row>
    <row r="39522">
      <c r="A39522" s="1" t="s">
        <v>39521</v>
      </c>
      <c r="B39522" s="2" t="str">
        <f>IFERROR(__xludf.DUMMYFUNCTION("GOOGLETRANSLATE(A39522, ""de"", ""en"")"),"matuschek")</f>
        <v>matuschek</v>
      </c>
    </row>
    <row r="39523">
      <c r="A39523" s="1" t="s">
        <v>39522</v>
      </c>
      <c r="B39523" s="2" t="str">
        <f>IFERROR(__xludf.DUMMYFUNCTION("GOOGLETRANSLATE(A39523, ""de"", ""en"")"),"deficit")</f>
        <v>deficit</v>
      </c>
    </row>
    <row r="39524">
      <c r="A39524" s="1" t="s">
        <v>39523</v>
      </c>
      <c r="B39524" s="2" t="str">
        <f>IFERROR(__xludf.DUMMYFUNCTION("GOOGLETRANSLATE(A39524, ""de"", ""en"")"),"lost ones")</f>
        <v>lost ones</v>
      </c>
    </row>
    <row r="39525">
      <c r="A39525" s="1" t="s">
        <v>39524</v>
      </c>
      <c r="B39525" s="2" t="str">
        <f>IFERROR(__xludf.DUMMYFUNCTION("GOOGLETRANSLATE(A39525, ""de"", ""en"")"),"death zone")</f>
        <v>death zone</v>
      </c>
    </row>
    <row r="39526">
      <c r="A39526" s="1" t="s">
        <v>39525</v>
      </c>
      <c r="B39526" s="2" t="str">
        <f>IFERROR(__xludf.DUMMYFUNCTION("GOOGLETRANSLATE(A39526, ""de"", ""en"")"),"hunting season")</f>
        <v>hunting season</v>
      </c>
    </row>
    <row r="39527">
      <c r="A39527" s="1" t="s">
        <v>39526</v>
      </c>
      <c r="B39527" s="2" t="str">
        <f>IFERROR(__xludf.DUMMYFUNCTION("GOOGLETRANSLATE(A39527, ""de"", ""en"")"),"babbles")</f>
        <v>babbles</v>
      </c>
    </row>
    <row r="39528">
      <c r="A39528" s="1" t="s">
        <v>39527</v>
      </c>
      <c r="B39528" s="2" t="str">
        <f>IFERROR(__xludf.DUMMYFUNCTION("GOOGLETRANSLATE(A39528, ""de"", ""en"")"),"you suspect")</f>
        <v>you suspect</v>
      </c>
    </row>
    <row r="39529">
      <c r="A39529" s="1" t="s">
        <v>39528</v>
      </c>
      <c r="B39529" s="2" t="str">
        <f>IFERROR(__xludf.DUMMYFUNCTION("GOOGLETRANSLATE(A39529, ""de"", ""en"")"),"paperweight")</f>
        <v>paperweight</v>
      </c>
    </row>
    <row r="39530">
      <c r="A39530" s="1" t="s">
        <v>39529</v>
      </c>
      <c r="B39530" s="2" t="str">
        <f>IFERROR(__xludf.DUMMYFUNCTION("GOOGLETRANSLATE(A39530, ""de"", ""en"")"),"more terrible")</f>
        <v>more terrible</v>
      </c>
    </row>
    <row r="39531">
      <c r="A39531" s="1" t="s">
        <v>39530</v>
      </c>
      <c r="B39531" s="2" t="str">
        <f>IFERROR(__xludf.DUMMYFUNCTION("GOOGLETRANSLATE(A39531, ""de"", ""en"")"),"escape")</f>
        <v>escape</v>
      </c>
    </row>
    <row r="39532">
      <c r="A39532" s="1" t="s">
        <v>39531</v>
      </c>
      <c r="B39532" s="2" t="str">
        <f>IFERROR(__xludf.DUMMYFUNCTION("GOOGLETRANSLATE(A39532, ""de"", ""en"")"),"sash")</f>
        <v>sash</v>
      </c>
    </row>
    <row r="39533">
      <c r="A39533" s="1" t="s">
        <v>39532</v>
      </c>
      <c r="B39533" s="2" t="str">
        <f>IFERROR(__xludf.DUMMYFUNCTION("GOOGLETRANSLATE(A39533, ""de"", ""en"")"),"attica")</f>
        <v>attica</v>
      </c>
    </row>
    <row r="39534">
      <c r="A39534" s="1" t="s">
        <v>39533</v>
      </c>
      <c r="B39534" s="2" t="str">
        <f>IFERROR(__xludf.DUMMYFUNCTION("GOOGLETRANSLATE(A39534, ""de"", ""en"")"),"simpler")</f>
        <v>simpler</v>
      </c>
    </row>
    <row r="39535">
      <c r="A39535" s="1" t="s">
        <v>39534</v>
      </c>
      <c r="B39535" s="2" t="str">
        <f>IFERROR(__xludf.DUMMYFUNCTION("GOOGLETRANSLATE(A39535, ""de"", ""en"")"),"advocated")</f>
        <v>advocated</v>
      </c>
    </row>
    <row r="39536">
      <c r="A39536" s="1" t="s">
        <v>39535</v>
      </c>
      <c r="B39536" s="2" t="str">
        <f>IFERROR(__xludf.DUMMYFUNCTION("GOOGLETRANSLATE(A39536, ""de"", ""en"")"),"nice")</f>
        <v>nice</v>
      </c>
    </row>
    <row r="39537">
      <c r="A39537" s="1" t="s">
        <v>39536</v>
      </c>
      <c r="B39537" s="2" t="str">
        <f>IFERROR(__xludf.DUMMYFUNCTION("GOOGLETRANSLATE(A39537, ""de"", ""en"")"),"trained")</f>
        <v>trained</v>
      </c>
    </row>
    <row r="39538">
      <c r="A39538" s="1" t="s">
        <v>39537</v>
      </c>
      <c r="B39538" s="2" t="str">
        <f>IFERROR(__xludf.DUMMYFUNCTION("GOOGLETRANSLATE(A39538, ""de"", ""en"")"),"subpoenas")</f>
        <v>subpoenas</v>
      </c>
    </row>
    <row r="39539">
      <c r="A39539" s="1" t="s">
        <v>39538</v>
      </c>
      <c r="B39539" s="2" t="str">
        <f>IFERROR(__xludf.DUMMYFUNCTION("GOOGLETRANSLATE(A39539, ""de"", ""en"")"),"unas")</f>
        <v>unas</v>
      </c>
    </row>
    <row r="39540">
      <c r="A39540" s="1" t="s">
        <v>39539</v>
      </c>
      <c r="B39540" s="2" t="str">
        <f>IFERROR(__xludf.DUMMYFUNCTION("GOOGLETRANSLATE(A39540, ""de"", ""en"")"),"randel")</f>
        <v>randel</v>
      </c>
    </row>
    <row r="39541">
      <c r="A39541" s="1" t="s">
        <v>39540</v>
      </c>
      <c r="B39541" s="2" t="str">
        <f>IFERROR(__xludf.DUMMYFUNCTION("GOOGLETRANSLATE(A39541, ""de"", ""en"")"),"tus")</f>
        <v>tus</v>
      </c>
    </row>
    <row r="39542">
      <c r="A39542" s="1" t="s">
        <v>39541</v>
      </c>
      <c r="B39542" s="2" t="str">
        <f>IFERROR(__xludf.DUMMYFUNCTION("GOOGLETRANSLATE(A39542, ""de"", ""en"")"),"courtesan")</f>
        <v>courtesan</v>
      </c>
    </row>
    <row r="39543">
      <c r="A39543" s="1" t="s">
        <v>39542</v>
      </c>
      <c r="B39543" s="2" t="str">
        <f>IFERROR(__xludf.DUMMYFUNCTION("GOOGLETRANSLATE(A39543, ""de"", ""en"")"),"bonds")</f>
        <v>bonds</v>
      </c>
    </row>
    <row r="39544">
      <c r="A39544" s="1" t="s">
        <v>39543</v>
      </c>
      <c r="B39544" s="2" t="str">
        <f>IFERROR(__xludf.DUMMYFUNCTION("GOOGLETRANSLATE(A39544, ""de"", ""en"")"),"anything else")</f>
        <v>anything else</v>
      </c>
    </row>
    <row r="39545">
      <c r="A39545" s="1" t="s">
        <v>39544</v>
      </c>
      <c r="B39545" s="2" t="str">
        <f>IFERROR(__xludf.DUMMYFUNCTION("GOOGLETRANSLATE(A39545, ""de"", ""en"")"),"pod")</f>
        <v>pod</v>
      </c>
    </row>
    <row r="39546">
      <c r="A39546" s="1" t="s">
        <v>39545</v>
      </c>
      <c r="B39546" s="2" t="str">
        <f>IFERROR(__xludf.DUMMYFUNCTION("GOOGLETRANSLATE(A39546, ""de"", ""en"")"),"secondary")</f>
        <v>secondary</v>
      </c>
    </row>
    <row r="39547">
      <c r="A39547" s="1" t="s">
        <v>39546</v>
      </c>
      <c r="B39547" s="2" t="str">
        <f>IFERROR(__xludf.DUMMYFUNCTION("GOOGLETRANSLATE(A39547, ""de"", ""en"")"),"to the")</f>
        <v>to the</v>
      </c>
    </row>
    <row r="39548">
      <c r="A39548" s="1" t="s">
        <v>39547</v>
      </c>
      <c r="B39548" s="2" t="str">
        <f>IFERROR(__xludf.DUMMYFUNCTION("GOOGLETRANSLATE(A39548, ""de"", ""en"")"),"reckless")</f>
        <v>reckless</v>
      </c>
    </row>
    <row r="39549">
      <c r="A39549" s="1" t="s">
        <v>39548</v>
      </c>
      <c r="B39549" s="2" t="str">
        <f>IFERROR(__xludf.DUMMYFUNCTION("GOOGLETRANSLATE(A39549, ""de"", ""en"")"),"post")</f>
        <v>post</v>
      </c>
    </row>
    <row r="39550">
      <c r="A39550" s="1" t="s">
        <v>39549</v>
      </c>
      <c r="B39550" s="2" t="str">
        <f>IFERROR(__xludf.DUMMYFUNCTION("GOOGLETRANSLATE(A39550, ""de"", ""en"")"),"flower")</f>
        <v>flower</v>
      </c>
    </row>
    <row r="39551">
      <c r="A39551" s="1" t="s">
        <v>39550</v>
      </c>
      <c r="B39551" s="2" t="str">
        <f>IFERROR(__xludf.DUMMYFUNCTION("GOOGLETRANSLATE(A39551, ""de"", ""en"")"),"Kristoffer")</f>
        <v>Kristoffer</v>
      </c>
    </row>
    <row r="39552">
      <c r="A39552" s="1" t="s">
        <v>39551</v>
      </c>
      <c r="B39552" s="2" t="str">
        <f>IFERROR(__xludf.DUMMYFUNCTION("GOOGLETRANSLATE(A39552, ""de"", ""en"")"),"order")</f>
        <v>order</v>
      </c>
    </row>
    <row r="39553">
      <c r="A39553" s="1" t="s">
        <v>39552</v>
      </c>
      <c r="B39553" s="2" t="str">
        <f>IFERROR(__xludf.DUMMYFUNCTION("GOOGLETRANSLATE(A39553, ""de"", ""en"")"),"raised")</f>
        <v>raised</v>
      </c>
    </row>
    <row r="39554">
      <c r="A39554" s="1" t="s">
        <v>39553</v>
      </c>
      <c r="B39554" s="2" t="str">
        <f>IFERROR(__xludf.DUMMYFUNCTION("GOOGLETRANSLATE(A39554, ""de"", ""en"")"),"router")</f>
        <v>router</v>
      </c>
    </row>
    <row r="39555">
      <c r="A39555" s="1" t="s">
        <v>39554</v>
      </c>
      <c r="B39555" s="2" t="str">
        <f>IFERROR(__xludf.DUMMYFUNCTION("GOOGLETRANSLATE(A39555, ""de"", ""en"")"),"more unexpected")</f>
        <v>more unexpected</v>
      </c>
    </row>
    <row r="39556">
      <c r="A39556" s="1" t="s">
        <v>39555</v>
      </c>
      <c r="B39556" s="2" t="str">
        <f>IFERROR(__xludf.DUMMYFUNCTION("GOOGLETRANSLATE(A39556, ""de"", ""en"")"),"flashes")</f>
        <v>flashes</v>
      </c>
    </row>
    <row r="39557">
      <c r="A39557" s="1" t="s">
        <v>39556</v>
      </c>
      <c r="B39557" s="2" t="str">
        <f>IFERROR(__xludf.DUMMYFUNCTION("GOOGLETRANSLATE(A39557, ""de"", ""en"")"),"legionnaires")</f>
        <v>legionnaires</v>
      </c>
    </row>
    <row r="39558">
      <c r="A39558" s="1" t="s">
        <v>39557</v>
      </c>
      <c r="B39558" s="2" t="str">
        <f>IFERROR(__xludf.DUMMYFUNCTION("GOOGLETRANSLATE(A39558, ""de"", ""en"")"),"registered")</f>
        <v>registered</v>
      </c>
    </row>
    <row r="39559">
      <c r="A39559" s="1" t="s">
        <v>39558</v>
      </c>
      <c r="B39559" s="2" t="str">
        <f>IFERROR(__xludf.DUMMYFUNCTION("GOOGLETRANSLATE(A39559, ""de"", ""en"")"),"happened")</f>
        <v>happened</v>
      </c>
    </row>
    <row r="39560">
      <c r="A39560" s="1" t="s">
        <v>39559</v>
      </c>
      <c r="B39560" s="2" t="str">
        <f>IFERROR(__xludf.DUMMYFUNCTION("GOOGLETRANSLATE(A39560, ""de"", ""en"")"),"fossils")</f>
        <v>fossils</v>
      </c>
    </row>
    <row r="39561">
      <c r="A39561" s="1" t="s">
        <v>39560</v>
      </c>
      <c r="B39561" s="2" t="str">
        <f>IFERROR(__xludf.DUMMYFUNCTION("GOOGLETRANSLATE(A39561, ""de"", ""en"")"),"petite")</f>
        <v>petite</v>
      </c>
    </row>
    <row r="39562">
      <c r="A39562" s="1" t="s">
        <v>39561</v>
      </c>
      <c r="B39562" s="2" t="str">
        <f>IFERROR(__xludf.DUMMYFUNCTION("GOOGLETRANSLATE(A39562, ""de"", ""en"")"),"fax machine")</f>
        <v>fax machine</v>
      </c>
    </row>
    <row r="39563">
      <c r="A39563" s="1" t="s">
        <v>39562</v>
      </c>
      <c r="B39563" s="2" t="str">
        <f>IFERROR(__xludf.DUMMYFUNCTION("GOOGLETRANSLATE(A39563, ""de"", ""en"")"),"chewed")</f>
        <v>chewed</v>
      </c>
    </row>
    <row r="39564">
      <c r="A39564" s="1" t="s">
        <v>39563</v>
      </c>
      <c r="B39564" s="2" t="str">
        <f>IFERROR(__xludf.DUMMYFUNCTION("GOOGLETRANSLATE(A39564, ""de"", ""en"")"),"megalomaniacal")</f>
        <v>megalomaniacal</v>
      </c>
    </row>
    <row r="39565">
      <c r="A39565" s="1" t="s">
        <v>39564</v>
      </c>
      <c r="B39565" s="2" t="str">
        <f>IFERROR(__xludf.DUMMYFUNCTION("GOOGLETRANSLATE(A39565, ""de"", ""en"")"),"clear out")</f>
        <v>clear out</v>
      </c>
    </row>
    <row r="39566">
      <c r="A39566" s="1" t="s">
        <v>39565</v>
      </c>
      <c r="B39566" s="2" t="str">
        <f>IFERROR(__xludf.DUMMYFUNCTION("GOOGLETRANSLATE(A39566, ""de"", ""en"")"),"flag")</f>
        <v>flag</v>
      </c>
    </row>
    <row r="39567">
      <c r="A39567" s="1" t="s">
        <v>39566</v>
      </c>
      <c r="B39567" s="2" t="str">
        <f>IFERROR(__xludf.DUMMYFUNCTION("GOOGLETRANSLATE(A39567, ""de"", ""en"")"),"manga")</f>
        <v>manga</v>
      </c>
    </row>
    <row r="39568">
      <c r="A39568" s="1" t="s">
        <v>39567</v>
      </c>
      <c r="B39568" s="2" t="str">
        <f>IFERROR(__xludf.DUMMYFUNCTION("GOOGLETRANSLATE(A39568, ""de"", ""en"")"),"quasimodo")</f>
        <v>quasimodo</v>
      </c>
    </row>
    <row r="39569">
      <c r="A39569" s="1" t="s">
        <v>39568</v>
      </c>
      <c r="B39569" s="2" t="str">
        <f>IFERROR(__xludf.DUMMYFUNCTION("GOOGLETRANSLATE(A39569, ""de"", ""en"")"),"aisha")</f>
        <v>aisha</v>
      </c>
    </row>
    <row r="39570">
      <c r="A39570" s="1" t="s">
        <v>39569</v>
      </c>
      <c r="B39570" s="2" t="str">
        <f>IFERROR(__xludf.DUMMYFUNCTION("GOOGLETRANSLATE(A39570, ""de"", ""en"")"),"lifted up")</f>
        <v>lifted up</v>
      </c>
    </row>
    <row r="39571">
      <c r="A39571" s="1" t="s">
        <v>39570</v>
      </c>
      <c r="B39571" s="2" t="str">
        <f>IFERROR(__xludf.DUMMYFUNCTION("GOOGLETRANSLATE(A39571, ""de"", ""en"")"),"latimer")</f>
        <v>latimer</v>
      </c>
    </row>
    <row r="39572">
      <c r="A39572" s="1" t="s">
        <v>39571</v>
      </c>
      <c r="B39572" s="2" t="str">
        <f>IFERROR(__xludf.DUMMYFUNCTION("GOOGLETRANSLATE(A39572, ""de"", ""en"")"),"hoffa")</f>
        <v>hoffa</v>
      </c>
    </row>
    <row r="39573">
      <c r="A39573" s="1" t="s">
        <v>39572</v>
      </c>
      <c r="B39573" s="2" t="str">
        <f>IFERROR(__xludf.DUMMYFUNCTION("GOOGLETRANSLATE(A39573, ""de"", ""en"")"),"viewpoint")</f>
        <v>viewpoint</v>
      </c>
    </row>
    <row r="39574">
      <c r="A39574" s="1" t="s">
        <v>39573</v>
      </c>
      <c r="B39574" s="2" t="str">
        <f>IFERROR(__xludf.DUMMYFUNCTION("GOOGLETRANSLATE(A39574, ""de"", ""en"")"),"beat up")</f>
        <v>beat up</v>
      </c>
    </row>
    <row r="39575">
      <c r="A39575" s="1" t="s">
        <v>39574</v>
      </c>
      <c r="B39575" s="2" t="str">
        <f>IFERROR(__xludf.DUMMYFUNCTION("GOOGLETRANSLATE(A39575, ""de"", ""en"")"),"bolt cutters")</f>
        <v>bolt cutters</v>
      </c>
    </row>
    <row r="39576">
      <c r="A39576" s="1" t="s">
        <v>39575</v>
      </c>
      <c r="B39576" s="2" t="str">
        <f>IFERROR(__xludf.DUMMYFUNCTION("GOOGLETRANSLATE(A39576, ""de"", ""en"")"),"feed")</f>
        <v>feed</v>
      </c>
    </row>
    <row r="39577">
      <c r="A39577" s="1" t="s">
        <v>39576</v>
      </c>
      <c r="B39577" s="2" t="str">
        <f>IFERROR(__xludf.DUMMYFUNCTION("GOOGLETRANSLATE(A39577, ""de"", ""en"")"),"tetsu")</f>
        <v>tetsu</v>
      </c>
    </row>
    <row r="39578">
      <c r="A39578" s="1" t="s">
        <v>39577</v>
      </c>
      <c r="B39578" s="2" t="str">
        <f>IFERROR(__xludf.DUMMYFUNCTION("GOOGLETRANSLATE(A39578, ""de"", ""en"")"),"watermelons")</f>
        <v>watermelons</v>
      </c>
    </row>
    <row r="39579">
      <c r="A39579" s="1" t="s">
        <v>39578</v>
      </c>
      <c r="B39579" s="2" t="str">
        <f>IFERROR(__xludf.DUMMYFUNCTION("GOOGLETRANSLATE(A39579, ""de"", ""en"")"),"intended")</f>
        <v>intended</v>
      </c>
    </row>
    <row r="39580">
      <c r="A39580" s="1" t="s">
        <v>39579</v>
      </c>
      <c r="B39580" s="2" t="str">
        <f>IFERROR(__xludf.DUMMYFUNCTION("GOOGLETRANSLATE(A39580, ""de"", ""en"")"),"lissa")</f>
        <v>lissa</v>
      </c>
    </row>
    <row r="39581">
      <c r="A39581" s="1" t="s">
        <v>39580</v>
      </c>
      <c r="B39581" s="2" t="str">
        <f>IFERROR(__xludf.DUMMYFUNCTION("GOOGLETRANSLATE(A39581, ""de"", ""en"")"),"magnesium")</f>
        <v>magnesium</v>
      </c>
    </row>
    <row r="39582">
      <c r="A39582" s="1" t="s">
        <v>39581</v>
      </c>
      <c r="B39582" s="2" t="str">
        <f>IFERROR(__xludf.DUMMYFUNCTION("GOOGLETRANSLATE(A39582, ""de"", ""en"")"),"habitable")</f>
        <v>habitable</v>
      </c>
    </row>
    <row r="39583">
      <c r="A39583" s="1" t="s">
        <v>39582</v>
      </c>
      <c r="B39583" s="2" t="str">
        <f>IFERROR(__xludf.DUMMYFUNCTION("GOOGLETRANSLATE(A39583, ""de"", ""en"")"),"vidal")</f>
        <v>vidal</v>
      </c>
    </row>
    <row r="39584">
      <c r="A39584" s="1" t="s">
        <v>39583</v>
      </c>
      <c r="B39584" s="2" t="str">
        <f>IFERROR(__xludf.DUMMYFUNCTION("GOOGLETRANSLATE(A39584, ""de"", ""en"")"),"examined")</f>
        <v>examined</v>
      </c>
    </row>
    <row r="39585">
      <c r="A39585" s="1" t="s">
        <v>39584</v>
      </c>
      <c r="B39585" s="2" t="str">
        <f>IFERROR(__xludf.DUMMYFUNCTION("GOOGLETRANSLATE(A39585, ""de"", ""en"")"),"editor-in-chief")</f>
        <v>editor-in-chief</v>
      </c>
    </row>
    <row r="39586">
      <c r="A39586" s="1" t="s">
        <v>39585</v>
      </c>
      <c r="B39586" s="2" t="str">
        <f>IFERROR(__xludf.DUMMYFUNCTION("GOOGLETRANSLATE(A39586, ""de"", ""en"")"),"to show up")</f>
        <v>to show up</v>
      </c>
    </row>
    <row r="39587">
      <c r="A39587" s="1" t="s">
        <v>39586</v>
      </c>
      <c r="B39587" s="2" t="str">
        <f>IFERROR(__xludf.DUMMYFUNCTION("GOOGLETRANSLATE(A39587, ""de"", ""en"")"),"passé")</f>
        <v>passé</v>
      </c>
    </row>
    <row r="39588">
      <c r="A39588" s="1" t="s">
        <v>39587</v>
      </c>
      <c r="B39588" s="2" t="str">
        <f>IFERROR(__xludf.DUMMYFUNCTION("GOOGLETRANSLATE(A39588, ""de"", ""en"")"),"tsukiko")</f>
        <v>tsukiko</v>
      </c>
    </row>
    <row r="39589">
      <c r="A39589" s="1" t="s">
        <v>39588</v>
      </c>
      <c r="B39589" s="2" t="str">
        <f>IFERROR(__xludf.DUMMYFUNCTION("GOOGLETRANSLATE(A39589, ""de"", ""en"")"),"rumor mill")</f>
        <v>rumor mill</v>
      </c>
    </row>
    <row r="39590">
      <c r="A39590" s="1" t="s">
        <v>39589</v>
      </c>
      <c r="B39590" s="2" t="str">
        <f>IFERROR(__xludf.DUMMYFUNCTION("GOOGLETRANSLATE(A39590, ""de"", ""en"")"),"eck")</f>
        <v>eck</v>
      </c>
    </row>
    <row r="39591">
      <c r="A39591" s="1" t="s">
        <v>39590</v>
      </c>
      <c r="B39591" s="2" t="str">
        <f>IFERROR(__xludf.DUMMYFUNCTION("GOOGLETRANSLATE(A39591, ""de"", ""en"")"),"explosive devices")</f>
        <v>explosive devices</v>
      </c>
    </row>
    <row r="39592">
      <c r="A39592" s="1" t="s">
        <v>39591</v>
      </c>
      <c r="B39592" s="2" t="str">
        <f>IFERROR(__xludf.DUMMYFUNCTION("GOOGLETRANSLATE(A39592, ""de"", ""en"")"),"deep sleep")</f>
        <v>deep sleep</v>
      </c>
    </row>
    <row r="39593">
      <c r="A39593" s="1" t="s">
        <v>39592</v>
      </c>
      <c r="B39593" s="2" t="str">
        <f>IFERROR(__xludf.DUMMYFUNCTION("GOOGLETRANSLATE(A39593, ""de"", ""en"")"),"usher")</f>
        <v>usher</v>
      </c>
    </row>
    <row r="39594">
      <c r="A39594" s="1" t="s">
        <v>39593</v>
      </c>
      <c r="B39594" s="2" t="str">
        <f>IFERROR(__xludf.DUMMYFUNCTION("GOOGLETRANSLATE(A39594, ""de"", ""en"")"),"itinerary")</f>
        <v>itinerary</v>
      </c>
    </row>
    <row r="39595">
      <c r="A39595" s="1" t="s">
        <v>39594</v>
      </c>
      <c r="B39595" s="2" t="str">
        <f>IFERROR(__xludf.DUMMYFUNCTION("GOOGLETRANSLATE(A39595, ""de"", ""en"")"),"sizzle")</f>
        <v>sizzle</v>
      </c>
    </row>
    <row r="39596">
      <c r="A39596" s="1" t="s">
        <v>39595</v>
      </c>
      <c r="B39596" s="2" t="str">
        <f>IFERROR(__xludf.DUMMYFUNCTION("GOOGLETRANSLATE(A39596, ""de"", ""en"")"),"to go there")</f>
        <v>to go there</v>
      </c>
    </row>
    <row r="39597">
      <c r="A39597" s="1" t="s">
        <v>39596</v>
      </c>
      <c r="B39597" s="2" t="str">
        <f>IFERROR(__xludf.DUMMYFUNCTION("GOOGLETRANSLATE(A39597, ""de"", ""en"")"),"flattened")</f>
        <v>flattened</v>
      </c>
    </row>
    <row r="39598">
      <c r="A39598" s="1" t="s">
        <v>39597</v>
      </c>
      <c r="B39598" s="2" t="str">
        <f>IFERROR(__xludf.DUMMYFUNCTION("GOOGLETRANSLATE(A39598, ""de"", ""en"")"),"tag")</f>
        <v>tag</v>
      </c>
    </row>
    <row r="39599">
      <c r="A39599" s="1" t="s">
        <v>39598</v>
      </c>
      <c r="B39599" s="2" t="str">
        <f>IFERROR(__xludf.DUMMYFUNCTION("GOOGLETRANSLATE(A39599, ""de"", ""en"")"),"more current")</f>
        <v>more current</v>
      </c>
    </row>
    <row r="39600">
      <c r="A39600" s="1" t="s">
        <v>39599</v>
      </c>
      <c r="B39600" s="2" t="str">
        <f>IFERROR(__xludf.DUMMYFUNCTION("GOOGLETRANSLATE(A39600, ""de"", ""en"")"),"momma")</f>
        <v>momma</v>
      </c>
    </row>
    <row r="39601">
      <c r="A39601" s="1" t="s">
        <v>39600</v>
      </c>
      <c r="B39601" s="2" t="str">
        <f>IFERROR(__xludf.DUMMYFUNCTION("GOOGLETRANSLATE(A39601, ""de"", ""en"")"),"ungr")</f>
        <v>ungr</v>
      </c>
    </row>
    <row r="39602">
      <c r="A39602" s="1" t="s">
        <v>39601</v>
      </c>
      <c r="B39602" s="2" t="str">
        <f>IFERROR(__xludf.DUMMYFUNCTION("GOOGLETRANSLATE(A39602, ""de"", ""en"")"),"beryl")</f>
        <v>beryl</v>
      </c>
    </row>
    <row r="39603">
      <c r="A39603" s="1" t="s">
        <v>39602</v>
      </c>
      <c r="B39603" s="2" t="str">
        <f>IFERROR(__xludf.DUMMYFUNCTION("GOOGLETRANSLATE(A39603, ""de"", ""en"")"),"fishers")</f>
        <v>fishers</v>
      </c>
    </row>
    <row r="39604">
      <c r="A39604" s="1" t="s">
        <v>39603</v>
      </c>
      <c r="B39604" s="2" t="str">
        <f>IFERROR(__xludf.DUMMYFUNCTION("GOOGLETRANSLATE(A39604, ""de"", ""en"")"),"plausible")</f>
        <v>plausible</v>
      </c>
    </row>
    <row r="39605">
      <c r="A39605" s="1" t="s">
        <v>39604</v>
      </c>
      <c r="B39605" s="2" t="str">
        <f>IFERROR(__xludf.DUMMYFUNCTION("GOOGLETRANSLATE(A39605, ""de"", ""en"")"),"comfortable")</f>
        <v>comfortable</v>
      </c>
    </row>
    <row r="39606">
      <c r="A39606" s="1" t="s">
        <v>39605</v>
      </c>
      <c r="B39606" s="2" t="str">
        <f>IFERROR(__xludf.DUMMYFUNCTION("GOOGLETRANSLATE(A39606, ""de"", ""en"")"),"stupid")</f>
        <v>stupid</v>
      </c>
    </row>
    <row r="39607">
      <c r="A39607" s="1" t="s">
        <v>39606</v>
      </c>
      <c r="B39607" s="2" t="str">
        <f>IFERROR(__xludf.DUMMYFUNCTION("GOOGLETRANSLATE(A39607, ""de"", ""en"")"),"stare")</f>
        <v>stare</v>
      </c>
    </row>
    <row r="39608">
      <c r="A39608" s="1" t="s">
        <v>39607</v>
      </c>
      <c r="B39608" s="2" t="str">
        <f>IFERROR(__xludf.DUMMYFUNCTION("GOOGLETRANSLATE(A39608, ""de"", ""en"")"),"dashwood")</f>
        <v>dashwood</v>
      </c>
    </row>
    <row r="39609">
      <c r="A39609" s="1" t="s">
        <v>39608</v>
      </c>
      <c r="B39609" s="2" t="str">
        <f>IFERROR(__xludf.DUMMYFUNCTION("GOOGLETRANSLATE(A39609, ""de"", ""en"")"),"shameful")</f>
        <v>shameful</v>
      </c>
    </row>
    <row r="39610">
      <c r="A39610" s="1" t="s">
        <v>39609</v>
      </c>
      <c r="B39610" s="2" t="str">
        <f>IFERROR(__xludf.DUMMYFUNCTION("GOOGLETRANSLATE(A39610, ""de"", ""en"")"),"pujol")</f>
        <v>pujol</v>
      </c>
    </row>
    <row r="39611">
      <c r="A39611" s="1" t="s">
        <v>39610</v>
      </c>
      <c r="B39611" s="2" t="str">
        <f>IFERROR(__xludf.DUMMYFUNCTION("GOOGLETRANSLATE(A39611, ""de"", ""en"")"),"super good")</f>
        <v>super good</v>
      </c>
    </row>
    <row r="39612">
      <c r="A39612" s="1" t="s">
        <v>39611</v>
      </c>
      <c r="B39612" s="2" t="str">
        <f>IFERROR(__xludf.DUMMYFUNCTION("GOOGLETRANSLATE(A39612, ""de"", ""en"")"),"downs")</f>
        <v>downs</v>
      </c>
    </row>
    <row r="39613">
      <c r="A39613" s="1" t="s">
        <v>39612</v>
      </c>
      <c r="B39613" s="2" t="str">
        <f>IFERROR(__xludf.DUMMYFUNCTION("GOOGLETRANSLATE(A39613, ""de"", ""en"")"),"high school")</f>
        <v>high school</v>
      </c>
    </row>
    <row r="39614">
      <c r="A39614" s="1" t="s">
        <v>39613</v>
      </c>
      <c r="B39614" s="2" t="str">
        <f>IFERROR(__xludf.DUMMYFUNCTION("GOOGLETRANSLATE(A39614, ""de"", ""en"")"),"closest")</f>
        <v>closest</v>
      </c>
    </row>
    <row r="39615">
      <c r="A39615" s="1" t="s">
        <v>39614</v>
      </c>
      <c r="B39615" s="2" t="str">
        <f>IFERROR(__xludf.DUMMYFUNCTION("GOOGLETRANSLATE(A39615, ""de"", ""en"")"),"decline")</f>
        <v>decline</v>
      </c>
    </row>
    <row r="39616">
      <c r="A39616" s="1" t="s">
        <v>39615</v>
      </c>
      <c r="B39616" s="2" t="str">
        <f>IFERROR(__xludf.DUMMYFUNCTION("GOOGLETRANSLATE(A39616, ""de"", ""en"")"),"virginal")</f>
        <v>virginal</v>
      </c>
    </row>
    <row r="39617">
      <c r="A39617" s="1" t="s">
        <v>39616</v>
      </c>
      <c r="B39617" s="2" t="str">
        <f>IFERROR(__xludf.DUMMYFUNCTION("GOOGLETRANSLATE(A39617, ""de"", ""en"")"),"climate change")</f>
        <v>climate change</v>
      </c>
    </row>
    <row r="39618">
      <c r="A39618" s="1" t="s">
        <v>39617</v>
      </c>
      <c r="B39618" s="2" t="str">
        <f>IFERROR(__xludf.DUMMYFUNCTION("GOOGLETRANSLATE(A39618, ""de"", ""en"")"),"safer")</f>
        <v>safer</v>
      </c>
    </row>
    <row r="39619">
      <c r="A39619" s="1" t="s">
        <v>39618</v>
      </c>
      <c r="B39619" s="2" t="str">
        <f>IFERROR(__xludf.DUMMYFUNCTION("GOOGLETRANSLATE(A39619, ""de"", ""en"")"),"certain")</f>
        <v>certain</v>
      </c>
    </row>
    <row r="39620">
      <c r="A39620" s="1" t="s">
        <v>39619</v>
      </c>
      <c r="B39620" s="2" t="str">
        <f>IFERROR(__xludf.DUMMYFUNCTION("GOOGLETRANSLATE(A39620, ""de"", ""en"")"),"sima")</f>
        <v>sima</v>
      </c>
    </row>
    <row r="39621">
      <c r="A39621" s="1" t="s">
        <v>39620</v>
      </c>
      <c r="B39621" s="2" t="str">
        <f>IFERROR(__xludf.DUMMYFUNCTION("GOOGLETRANSLATE(A39621, ""de"", ""en"")"),"diaphragm")</f>
        <v>diaphragm</v>
      </c>
    </row>
    <row r="39622">
      <c r="A39622" s="1" t="s">
        <v>39621</v>
      </c>
      <c r="B39622" s="2" t="str">
        <f>IFERROR(__xludf.DUMMYFUNCTION("GOOGLETRANSLATE(A39622, ""de"", ""en"")"),"dream")</f>
        <v>dream</v>
      </c>
    </row>
    <row r="39623">
      <c r="A39623" s="1" t="s">
        <v>39622</v>
      </c>
      <c r="B39623" s="2" t="str">
        <f>IFERROR(__xludf.DUMMYFUNCTION("GOOGLETRANSLATE(A39623, ""de"", ""en"")"),"class trip")</f>
        <v>class trip</v>
      </c>
    </row>
    <row r="39624">
      <c r="A39624" s="1" t="s">
        <v>39623</v>
      </c>
      <c r="B39624" s="2" t="str">
        <f>IFERROR(__xludf.DUMMYFUNCTION("GOOGLETRANSLATE(A39624, ""de"", ""en"")"),"sports bag")</f>
        <v>sports bag</v>
      </c>
    </row>
    <row r="39625">
      <c r="A39625" s="1" t="s">
        <v>39624</v>
      </c>
      <c r="B39625" s="2" t="str">
        <f>IFERROR(__xludf.DUMMYFUNCTION("GOOGLETRANSLATE(A39625, ""de"", ""en"")"),"down to earth")</f>
        <v>down to earth</v>
      </c>
    </row>
    <row r="39626">
      <c r="A39626" s="1" t="s">
        <v>39625</v>
      </c>
      <c r="B39626" s="2" t="str">
        <f>IFERROR(__xludf.DUMMYFUNCTION("GOOGLETRANSLATE(A39626, ""de"", ""en"")"),"grumpy")</f>
        <v>grumpy</v>
      </c>
    </row>
    <row r="39627">
      <c r="A39627" s="1" t="s">
        <v>39626</v>
      </c>
      <c r="B39627" s="2" t="str">
        <f>IFERROR(__xludf.DUMMYFUNCTION("GOOGLETRANSLATE(A39627, ""de"", ""en"")"),"stupid")</f>
        <v>stupid</v>
      </c>
    </row>
    <row r="39628">
      <c r="A39628" s="1" t="s">
        <v>39627</v>
      </c>
      <c r="B39628" s="2" t="str">
        <f>IFERROR(__xludf.DUMMYFUNCTION("GOOGLETRANSLATE(A39628, ""de"", ""en"")"),"collaborate")</f>
        <v>collaborate</v>
      </c>
    </row>
    <row r="39629">
      <c r="A39629" s="1" t="s">
        <v>39628</v>
      </c>
      <c r="B39629" s="2" t="str">
        <f>IFERROR(__xludf.DUMMYFUNCTION("GOOGLETRANSLATE(A39629, ""de"", ""en"")"),"pitied")</f>
        <v>pitied</v>
      </c>
    </row>
    <row r="39630">
      <c r="A39630" s="1" t="s">
        <v>39629</v>
      </c>
      <c r="B39630" s="2" t="str">
        <f>IFERROR(__xludf.DUMMYFUNCTION("GOOGLETRANSLATE(A39630, ""de"", ""en"")"),"flame sword")</f>
        <v>flame sword</v>
      </c>
    </row>
    <row r="39631">
      <c r="A39631" s="1" t="s">
        <v>39630</v>
      </c>
      <c r="B39631" s="2" t="str">
        <f>IFERROR(__xludf.DUMMYFUNCTION("GOOGLETRANSLATE(A39631, ""de"", ""en"")"),"east wind")</f>
        <v>east wind</v>
      </c>
    </row>
    <row r="39632">
      <c r="A39632" s="1" t="s">
        <v>39631</v>
      </c>
      <c r="B39632" s="2" t="str">
        <f>IFERROR(__xludf.DUMMYFUNCTION("GOOGLETRANSLATE(A39632, ""de"", ""en"")"),"everything")</f>
        <v>everything</v>
      </c>
    </row>
    <row r="39633">
      <c r="A39633" s="1" t="s">
        <v>39632</v>
      </c>
      <c r="B39633" s="2" t="str">
        <f>IFERROR(__xludf.DUMMYFUNCTION("GOOGLETRANSLATE(A39633, ""de"", ""en"")"),"main computer")</f>
        <v>main computer</v>
      </c>
    </row>
    <row r="39634">
      <c r="A39634" s="1" t="s">
        <v>39633</v>
      </c>
      <c r="B39634" s="2" t="str">
        <f>IFERROR(__xludf.DUMMYFUNCTION("GOOGLETRANSLATE(A39634, ""de"", ""en"")"),"tide")</f>
        <v>tide</v>
      </c>
    </row>
    <row r="39635">
      <c r="A39635" s="1" t="s">
        <v>39634</v>
      </c>
      <c r="B39635" s="2" t="str">
        <f>IFERROR(__xludf.DUMMYFUNCTION("GOOGLETRANSLATE(A39635, ""de"", ""en"")"),"dug out")</f>
        <v>dug out</v>
      </c>
    </row>
    <row r="39636">
      <c r="A39636" s="1" t="s">
        <v>39635</v>
      </c>
      <c r="B39636" s="2" t="str">
        <f>IFERROR(__xludf.DUMMYFUNCTION("GOOGLETRANSLATE(A39636, ""de"", ""en"")"),"woodrow")</f>
        <v>woodrow</v>
      </c>
    </row>
    <row r="39637">
      <c r="A39637" s="1" t="s">
        <v>39636</v>
      </c>
      <c r="B39637" s="2" t="str">
        <f>IFERROR(__xludf.DUMMYFUNCTION("GOOGLETRANSLATE(A39637, ""de"", ""en"")"),"blogger")</f>
        <v>blogger</v>
      </c>
    </row>
    <row r="39638">
      <c r="A39638" s="1" t="s">
        <v>39637</v>
      </c>
      <c r="B39638" s="2" t="str">
        <f>IFERROR(__xludf.DUMMYFUNCTION("GOOGLETRANSLATE(A39638, ""de"", ""en"")"),"trusted")</f>
        <v>trusted</v>
      </c>
    </row>
    <row r="39639">
      <c r="A39639" s="1" t="s">
        <v>39638</v>
      </c>
      <c r="B39639" s="2" t="str">
        <f>IFERROR(__xludf.DUMMYFUNCTION("GOOGLETRANSLATE(A39639, ""de"", ""en"")"),"vehicle")</f>
        <v>vehicle</v>
      </c>
    </row>
    <row r="39640">
      <c r="A39640" s="1" t="s">
        <v>39639</v>
      </c>
      <c r="B39640" s="2" t="str">
        <f>IFERROR(__xludf.DUMMYFUNCTION("GOOGLETRANSLATE(A39640, ""de"", ""en"")"),"chess")</f>
        <v>chess</v>
      </c>
    </row>
    <row r="39641">
      <c r="A39641" s="1" t="s">
        <v>39640</v>
      </c>
      <c r="B39641" s="2" t="str">
        <f>IFERROR(__xludf.DUMMYFUNCTION("GOOGLETRANSLATE(A39641, ""de"", ""en"")"),"sniper")</f>
        <v>sniper</v>
      </c>
    </row>
    <row r="39642">
      <c r="A39642" s="1" t="s">
        <v>39641</v>
      </c>
      <c r="B39642" s="2" t="str">
        <f>IFERROR(__xludf.DUMMYFUNCTION("GOOGLETRANSLATE(A39642, ""de"", ""en"")"),"juanito")</f>
        <v>juanito</v>
      </c>
    </row>
    <row r="39643">
      <c r="A39643" s="1" t="s">
        <v>39642</v>
      </c>
      <c r="B39643" s="2" t="str">
        <f>IFERROR(__xludf.DUMMYFUNCTION("GOOGLETRANSLATE(A39643, ""de"", ""en"")"),"laroche")</f>
        <v>laroche</v>
      </c>
    </row>
    <row r="39644">
      <c r="A39644" s="1" t="s">
        <v>39643</v>
      </c>
      <c r="B39644" s="2" t="str">
        <f>IFERROR(__xludf.DUMMYFUNCTION("GOOGLETRANSLATE(A39644, ""de"", ""en"")"),"be close")</f>
        <v>be close</v>
      </c>
    </row>
    <row r="39645">
      <c r="A39645" s="1" t="s">
        <v>39644</v>
      </c>
      <c r="B39645" s="2" t="str">
        <f>IFERROR(__xludf.DUMMYFUNCTION("GOOGLETRANSLATE(A39645, ""de"", ""en"")"),"saver")</f>
        <v>saver</v>
      </c>
    </row>
    <row r="39646">
      <c r="A39646" s="1" t="s">
        <v>39645</v>
      </c>
      <c r="B39646" s="2" t="str">
        <f>IFERROR(__xludf.DUMMYFUNCTION("GOOGLETRANSLATE(A39646, ""de"", ""en"")"),"gun shop")</f>
        <v>gun shop</v>
      </c>
    </row>
    <row r="39647">
      <c r="A39647" s="1" t="s">
        <v>39646</v>
      </c>
      <c r="B39647" s="2" t="str">
        <f>IFERROR(__xludf.DUMMYFUNCTION("GOOGLETRANSLATE(A39647, ""de"", ""en"")"),"opposite")</f>
        <v>opposite</v>
      </c>
    </row>
    <row r="39648">
      <c r="A39648" s="1" t="s">
        <v>39647</v>
      </c>
      <c r="B39648" s="2" t="str">
        <f>IFERROR(__xludf.DUMMYFUNCTION("GOOGLETRANSLATE(A39648, ""de"", ""en"")"),"coded")</f>
        <v>coded</v>
      </c>
    </row>
    <row r="39649">
      <c r="A39649" s="1" t="s">
        <v>39648</v>
      </c>
      <c r="B39649" s="2" t="str">
        <f>IFERROR(__xludf.DUMMYFUNCTION("GOOGLETRANSLATE(A39649, ""de"", ""en"")"),"vow")</f>
        <v>vow</v>
      </c>
    </row>
    <row r="39650">
      <c r="A39650" s="1" t="s">
        <v>39649</v>
      </c>
      <c r="B39650" s="2" t="str">
        <f>IFERROR(__xludf.DUMMYFUNCTION("GOOGLETRANSLATE(A39650, ""de"", ""en"")"),"byrde")</f>
        <v>byrde</v>
      </c>
    </row>
    <row r="39651">
      <c r="A39651" s="1" t="s">
        <v>39650</v>
      </c>
      <c r="B39651" s="2" t="str">
        <f>IFERROR(__xludf.DUMMYFUNCTION("GOOGLETRANSLATE(A39651, ""de"", ""en"")"),"conjured up")</f>
        <v>conjured up</v>
      </c>
    </row>
    <row r="39652">
      <c r="A39652" s="1" t="s">
        <v>39651</v>
      </c>
      <c r="B39652" s="2" t="str">
        <f>IFERROR(__xludf.DUMMYFUNCTION("GOOGLETRANSLATE(A39652, ""de"", ""en"")"),"Christmas carols")</f>
        <v>Christmas carols</v>
      </c>
    </row>
    <row r="39653">
      <c r="A39653" s="1" t="s">
        <v>39652</v>
      </c>
      <c r="B39653" s="2" t="str">
        <f>IFERROR(__xludf.DUMMYFUNCTION("GOOGLETRANSLATE(A39653, ""de"", ""en"")"),"detectable")</f>
        <v>detectable</v>
      </c>
    </row>
    <row r="39654">
      <c r="A39654" s="1" t="s">
        <v>39653</v>
      </c>
      <c r="B39654" s="2" t="str">
        <f>IFERROR(__xludf.DUMMYFUNCTION("GOOGLETRANSLATE(A39654, ""de"", ""en"")"),"symposium")</f>
        <v>symposium</v>
      </c>
    </row>
    <row r="39655">
      <c r="A39655" s="1" t="s">
        <v>39654</v>
      </c>
      <c r="B39655" s="2" t="str">
        <f>IFERROR(__xludf.DUMMYFUNCTION("GOOGLETRANSLATE(A39655, ""de"", ""en"")"),"jobe")</f>
        <v>jobe</v>
      </c>
    </row>
    <row r="39656">
      <c r="A39656" s="1" t="s">
        <v>39655</v>
      </c>
      <c r="B39656" s="2" t="str">
        <f>IFERROR(__xludf.DUMMYFUNCTION("GOOGLETRANSLATE(A39656, ""de"", ""en"")"),"sparkle")</f>
        <v>sparkle</v>
      </c>
    </row>
    <row r="39657">
      <c r="A39657" s="1" t="s">
        <v>39656</v>
      </c>
      <c r="B39657" s="2" t="str">
        <f>IFERROR(__xludf.DUMMYFUNCTION("GOOGLETRANSLATE(A39657, ""de"", ""en"")"),"I guess")</f>
        <v>I guess</v>
      </c>
    </row>
    <row r="39658">
      <c r="A39658" s="1" t="s">
        <v>39657</v>
      </c>
      <c r="B39658" s="2" t="str">
        <f>IFERROR(__xludf.DUMMYFUNCTION("GOOGLETRANSLATE(A39658, ""de"", ""en"")"),"manitowoc")</f>
        <v>manitowoc</v>
      </c>
    </row>
    <row r="39659">
      <c r="A39659" s="1" t="s">
        <v>39658</v>
      </c>
      <c r="B39659" s="2" t="str">
        <f>IFERROR(__xludf.DUMMYFUNCTION("GOOGLETRANSLATE(A39659, ""de"", ""en"")"),"healthcare")</f>
        <v>healthcare</v>
      </c>
    </row>
    <row r="39660">
      <c r="A39660" s="1" t="s">
        <v>39659</v>
      </c>
      <c r="B39660" s="2" t="str">
        <f>IFERROR(__xludf.DUMMYFUNCTION("GOOGLETRANSLATE(A39660, ""de"", ""en"")"),"fate")</f>
        <v>fate</v>
      </c>
    </row>
    <row r="39661">
      <c r="A39661" s="1" t="s">
        <v>39660</v>
      </c>
      <c r="B39661" s="2" t="str">
        <f>IFERROR(__xludf.DUMMYFUNCTION("GOOGLETRANSLATE(A39661, ""de"", ""en"")"),"succession to the throne")</f>
        <v>succession to the throne</v>
      </c>
    </row>
    <row r="39662">
      <c r="A39662" s="1" t="s">
        <v>39661</v>
      </c>
      <c r="B39662" s="2" t="str">
        <f>IFERROR(__xludf.DUMMYFUNCTION("GOOGLETRANSLATE(A39662, ""de"", ""en"")"),"covered")</f>
        <v>covered</v>
      </c>
    </row>
    <row r="39663">
      <c r="A39663" s="1" t="s">
        <v>39662</v>
      </c>
      <c r="B39663" s="2" t="str">
        <f>IFERROR(__xludf.DUMMYFUNCTION("GOOGLETRANSLATE(A39663, ""de"", ""en"")"),"haleh")</f>
        <v>haleh</v>
      </c>
    </row>
    <row r="39664">
      <c r="A39664" s="1" t="s">
        <v>39663</v>
      </c>
      <c r="B39664" s="2" t="str">
        <f>IFERROR(__xludf.DUMMYFUNCTION("GOOGLETRANSLATE(A39664, ""de"", ""en"")"),"caught")</f>
        <v>caught</v>
      </c>
    </row>
    <row r="39665">
      <c r="A39665" s="1" t="s">
        <v>39664</v>
      </c>
      <c r="B39665" s="2" t="str">
        <f>IFERROR(__xludf.DUMMYFUNCTION("GOOGLETRANSLATE(A39665, ""de"", ""en"")"),"Achilles")</f>
        <v>Achilles</v>
      </c>
    </row>
    <row r="39666">
      <c r="A39666" s="1" t="s">
        <v>39665</v>
      </c>
      <c r="B39666" s="2" t="str">
        <f>IFERROR(__xludf.DUMMYFUNCTION("GOOGLETRANSLATE(A39666, ""de"", ""en"")"),"conrads")</f>
        <v>conrads</v>
      </c>
    </row>
    <row r="39667">
      <c r="A39667" s="1" t="s">
        <v>39666</v>
      </c>
      <c r="B39667" s="2" t="str">
        <f>IFERROR(__xludf.DUMMYFUNCTION("GOOGLETRANSLATE(A39667, ""de"", ""en"")"),"failures")</f>
        <v>failures</v>
      </c>
    </row>
    <row r="39668">
      <c r="A39668" s="1" t="s">
        <v>39667</v>
      </c>
      <c r="B39668" s="2" t="str">
        <f>IFERROR(__xludf.DUMMYFUNCTION("GOOGLETRANSLATE(A39668, ""de"", ""en"")"),"apply")</f>
        <v>apply</v>
      </c>
    </row>
    <row r="39669">
      <c r="A39669" s="1" t="s">
        <v>39668</v>
      </c>
      <c r="B39669" s="2" t="str">
        <f>IFERROR(__xludf.DUMMYFUNCTION("GOOGLETRANSLATE(A39669, ""de"", ""en"")"),"nine")</f>
        <v>nine</v>
      </c>
    </row>
    <row r="39670">
      <c r="A39670" s="1" t="s">
        <v>39669</v>
      </c>
      <c r="B39670" s="2" t="str">
        <f>IFERROR(__xludf.DUMMYFUNCTION("GOOGLETRANSLATE(A39670, ""de"", ""en"")"),"lukewarm")</f>
        <v>lukewarm</v>
      </c>
    </row>
    <row r="39671">
      <c r="A39671" s="1" t="s">
        <v>39670</v>
      </c>
      <c r="B39671" s="2" t="str">
        <f>IFERROR(__xludf.DUMMYFUNCTION("GOOGLETRANSLATE(A39671, ""de"", ""en"")"),"playoffs")</f>
        <v>playoffs</v>
      </c>
    </row>
    <row r="39672">
      <c r="A39672" s="1" t="s">
        <v>39671</v>
      </c>
      <c r="B39672" s="2" t="str">
        <f>IFERROR(__xludf.DUMMYFUNCTION("GOOGLETRANSLATE(A39672, ""de"", ""en"")"),"escaped")</f>
        <v>escaped</v>
      </c>
    </row>
    <row r="39673">
      <c r="A39673" s="1" t="s">
        <v>39672</v>
      </c>
      <c r="B39673" s="2" t="str">
        <f>IFERROR(__xludf.DUMMYFUNCTION("GOOGLETRANSLATE(A39673, ""de"", ""en"")"),"piracy")</f>
        <v>piracy</v>
      </c>
    </row>
    <row r="39674">
      <c r="A39674" s="1" t="s">
        <v>39673</v>
      </c>
      <c r="B39674" s="2" t="str">
        <f>IFERROR(__xludf.DUMMYFUNCTION("GOOGLETRANSLATE(A39674, ""de"", ""en"")"),"What-")</f>
        <v>What-</v>
      </c>
    </row>
    <row r="39675">
      <c r="A39675" s="1" t="s">
        <v>39674</v>
      </c>
      <c r="B39675" s="2" t="str">
        <f>IFERROR(__xludf.DUMMYFUNCTION("GOOGLETRANSLATE(A39675, ""de"", ""en"")"),"checkers")</f>
        <v>checkers</v>
      </c>
    </row>
    <row r="39676">
      <c r="A39676" s="1" t="s">
        <v>39675</v>
      </c>
      <c r="B39676" s="2" t="str">
        <f>IFERROR(__xludf.DUMMYFUNCTION("GOOGLETRANSLATE(A39676, ""de"", ""en"")"),"carpool")</f>
        <v>carpool</v>
      </c>
    </row>
    <row r="39677">
      <c r="A39677" s="1" t="s">
        <v>39676</v>
      </c>
      <c r="B39677" s="2" t="str">
        <f>IFERROR(__xludf.DUMMYFUNCTION("GOOGLETRANSLATE(A39677, ""de"", ""en"")"),"magnificent")</f>
        <v>magnificent</v>
      </c>
    </row>
    <row r="39678">
      <c r="A39678" s="1" t="s">
        <v>39677</v>
      </c>
      <c r="B39678" s="2" t="str">
        <f>IFERROR(__xludf.DUMMYFUNCTION("GOOGLETRANSLATE(A39678, ""de"", ""en"")"),"generate")</f>
        <v>generate</v>
      </c>
    </row>
    <row r="39679">
      <c r="A39679" s="1" t="s">
        <v>39678</v>
      </c>
      <c r="B39679" s="2" t="str">
        <f>IFERROR(__xludf.DUMMYFUNCTION("GOOGLETRANSLATE(A39679, ""de"", ""en"")"),"headband")</f>
        <v>headband</v>
      </c>
    </row>
    <row r="39680">
      <c r="A39680" s="1" t="s">
        <v>39679</v>
      </c>
      <c r="B39680" s="2" t="str">
        <f>IFERROR(__xludf.DUMMYFUNCTION("GOOGLETRANSLATE(A39680, ""de"", ""en"")"),"decades")</f>
        <v>decades</v>
      </c>
    </row>
    <row r="39681">
      <c r="A39681" s="1" t="s">
        <v>39680</v>
      </c>
      <c r="B39681" s="2" t="str">
        <f>IFERROR(__xludf.DUMMYFUNCTION("GOOGLETRANSLATE(A39681, ""de"", ""en"")"),"revocation")</f>
        <v>revocation</v>
      </c>
    </row>
    <row r="39682">
      <c r="A39682" s="1" t="s">
        <v>39681</v>
      </c>
      <c r="B39682" s="2" t="str">
        <f>IFERROR(__xludf.DUMMYFUNCTION("GOOGLETRANSLATE(A39682, ""de"", ""en"")"),"heaulme")</f>
        <v>heaulme</v>
      </c>
    </row>
    <row r="39683">
      <c r="A39683" s="1" t="s">
        <v>39682</v>
      </c>
      <c r="B39683" s="2" t="str">
        <f>IFERROR(__xludf.DUMMYFUNCTION("GOOGLETRANSLATE(A39683, ""de"", ""en"")"),"destination")</f>
        <v>destination</v>
      </c>
    </row>
    <row r="39684">
      <c r="A39684" s="1" t="s">
        <v>39683</v>
      </c>
      <c r="B39684" s="2" t="str">
        <f>IFERROR(__xludf.DUMMYFUNCTION("GOOGLETRANSLATE(A39684, ""de"", ""en"")"),"tolerate")</f>
        <v>tolerate</v>
      </c>
    </row>
    <row r="39685">
      <c r="A39685" s="1" t="s">
        <v>39684</v>
      </c>
      <c r="B39685" s="2" t="str">
        <f>IFERROR(__xludf.DUMMYFUNCTION("GOOGLETRANSLATE(A39685, ""de"", ""en"")"),"telegraph")</f>
        <v>telegraph</v>
      </c>
    </row>
    <row r="39686">
      <c r="A39686" s="1" t="s">
        <v>39685</v>
      </c>
      <c r="B39686" s="2" t="str">
        <f>IFERROR(__xludf.DUMMYFUNCTION("GOOGLETRANSLATE(A39686, ""de"", ""en"")"),"curse")</f>
        <v>curse</v>
      </c>
    </row>
    <row r="39687">
      <c r="A39687" s="1" t="s">
        <v>39686</v>
      </c>
      <c r="B39687" s="2" t="str">
        <f>IFERROR(__xludf.DUMMYFUNCTION("GOOGLETRANSLATE(A39687, ""de"", ""en"")"),"ambiguous")</f>
        <v>ambiguous</v>
      </c>
    </row>
    <row r="39688">
      <c r="A39688" s="1" t="s">
        <v>39687</v>
      </c>
      <c r="B39688" s="2" t="str">
        <f>IFERROR(__xludf.DUMMYFUNCTION("GOOGLETRANSLATE(A39688, ""de"", ""en"")"),"armor")</f>
        <v>armor</v>
      </c>
    </row>
    <row r="39689">
      <c r="A39689" s="1" t="s">
        <v>39688</v>
      </c>
      <c r="B39689" s="2" t="str">
        <f>IFERROR(__xludf.DUMMYFUNCTION("GOOGLETRANSLATE(A39689, ""de"", ""en"")"),"edge of the plate")</f>
        <v>edge of the plate</v>
      </c>
    </row>
    <row r="39690">
      <c r="A39690" s="1" t="s">
        <v>39689</v>
      </c>
      <c r="B39690" s="2" t="str">
        <f>IFERROR(__xludf.DUMMYFUNCTION("GOOGLETRANSLATE(A39690, ""de"", ""en"")"),"emptied")</f>
        <v>emptied</v>
      </c>
    </row>
    <row r="39691">
      <c r="A39691" s="1" t="s">
        <v>39690</v>
      </c>
      <c r="B39691" s="2" t="str">
        <f>IFERROR(__xludf.DUMMYFUNCTION("GOOGLETRANSLATE(A39691, ""de"", ""en"")"),"skate")</f>
        <v>skate</v>
      </c>
    </row>
    <row r="39692">
      <c r="A39692" s="1" t="s">
        <v>39691</v>
      </c>
      <c r="B39692" s="2" t="str">
        <f>IFERROR(__xludf.DUMMYFUNCTION("GOOGLETRANSLATE(A39692, ""de"", ""en"")"),"autobiography")</f>
        <v>autobiography</v>
      </c>
    </row>
    <row r="39693">
      <c r="A39693" s="1" t="s">
        <v>39692</v>
      </c>
      <c r="B39693" s="2" t="str">
        <f>IFERROR(__xludf.DUMMYFUNCTION("GOOGLETRANSLATE(A39693, ""de"", ""en"")"),"revolutionize")</f>
        <v>revolutionize</v>
      </c>
    </row>
    <row r="39694">
      <c r="A39694" s="1" t="s">
        <v>39693</v>
      </c>
      <c r="B39694" s="2" t="str">
        <f>IFERROR(__xludf.DUMMYFUNCTION("GOOGLETRANSLATE(A39694, ""de"", ""en"")"),"digit")</f>
        <v>digit</v>
      </c>
    </row>
    <row r="39695">
      <c r="A39695" s="1" t="s">
        <v>39694</v>
      </c>
      <c r="B39695" s="2" t="str">
        <f>IFERROR(__xludf.DUMMYFUNCTION("GOOGLETRANSLATE(A39695, ""de"", ""en"")"),"Portuguese")</f>
        <v>Portuguese</v>
      </c>
    </row>
    <row r="39696">
      <c r="A39696" s="1" t="s">
        <v>39695</v>
      </c>
      <c r="B39696" s="2" t="str">
        <f>IFERROR(__xludf.DUMMYFUNCTION("GOOGLETRANSLATE(A39696, ""de"", ""en"")"),"strain")</f>
        <v>strain</v>
      </c>
    </row>
    <row r="39697">
      <c r="A39697" s="1" t="s">
        <v>39696</v>
      </c>
      <c r="B39697" s="2" t="str">
        <f>IFERROR(__xludf.DUMMYFUNCTION("GOOGLETRANSLATE(A39697, ""de"", ""en"")"),"more prominent")</f>
        <v>more prominent</v>
      </c>
    </row>
    <row r="39698">
      <c r="A39698" s="1" t="s">
        <v>39697</v>
      </c>
      <c r="B39698" s="2" t="str">
        <f>IFERROR(__xludf.DUMMYFUNCTION("GOOGLETRANSLATE(A39698, ""de"", ""en"")"),"marina")</f>
        <v>marina</v>
      </c>
    </row>
    <row r="39699">
      <c r="A39699" s="1" t="s">
        <v>39698</v>
      </c>
      <c r="B39699" s="2" t="str">
        <f>IFERROR(__xludf.DUMMYFUNCTION("GOOGLETRANSLATE(A39699, ""de"", ""en"")"),"clearer")</f>
        <v>clearer</v>
      </c>
    </row>
    <row r="39700">
      <c r="A39700" s="1" t="s">
        <v>39699</v>
      </c>
      <c r="B39700" s="2" t="str">
        <f>IFERROR(__xludf.DUMMYFUNCTION("GOOGLETRANSLATE(A39700, ""de"", ""en"")"),"cold-hearted")</f>
        <v>cold-hearted</v>
      </c>
    </row>
    <row r="39701">
      <c r="A39701" s="1" t="s">
        <v>39700</v>
      </c>
      <c r="B39701" s="2" t="str">
        <f>IFERROR(__xludf.DUMMYFUNCTION("GOOGLETRANSLATE(A39701, ""de"", ""en"")"),"sorted out")</f>
        <v>sorted out</v>
      </c>
    </row>
    <row r="39702">
      <c r="A39702" s="1" t="s">
        <v>39701</v>
      </c>
      <c r="B39702" s="2" t="str">
        <f>IFERROR(__xludf.DUMMYFUNCTION("GOOGLETRANSLATE(A39702, ""de"", ""en"")"),"salads")</f>
        <v>salads</v>
      </c>
    </row>
    <row r="39703">
      <c r="A39703" s="1" t="s">
        <v>39702</v>
      </c>
      <c r="B39703" s="2" t="str">
        <f>IFERROR(__xludf.DUMMYFUNCTION("GOOGLETRANSLATE(A39703, ""de"", ""en"")"),"tear")</f>
        <v>tear</v>
      </c>
    </row>
    <row r="39704">
      <c r="A39704" s="1" t="s">
        <v>39703</v>
      </c>
      <c r="B39704" s="2" t="str">
        <f>IFERROR(__xludf.DUMMYFUNCTION("GOOGLETRANSLATE(A39704, ""de"", ""en"")"),"Portuguese")</f>
        <v>Portuguese</v>
      </c>
    </row>
    <row r="39705">
      <c r="A39705" s="1" t="s">
        <v>39704</v>
      </c>
      <c r="B39705" s="2" t="str">
        <f>IFERROR(__xludf.DUMMYFUNCTION("GOOGLETRANSLATE(A39705, ""de"", ""en"")"),"theme song")</f>
        <v>theme song</v>
      </c>
    </row>
    <row r="39706">
      <c r="A39706" s="1" t="s">
        <v>39705</v>
      </c>
      <c r="B39706" s="2" t="str">
        <f>IFERROR(__xludf.DUMMYFUNCTION("GOOGLETRANSLATE(A39706, ""de"", ""en"")"),"federal authorities")</f>
        <v>federal authorities</v>
      </c>
    </row>
    <row r="39707">
      <c r="A39707" s="1" t="s">
        <v>39706</v>
      </c>
      <c r="B39707" s="2" t="str">
        <f>IFERROR(__xludf.DUMMYFUNCTION("GOOGLETRANSLATE(A39707, ""de"", ""en"")"),"seeps")</f>
        <v>seeps</v>
      </c>
    </row>
    <row r="39708">
      <c r="A39708" s="1" t="s">
        <v>39707</v>
      </c>
      <c r="B39708" s="2" t="str">
        <f>IFERROR(__xludf.DUMMYFUNCTION("GOOGLETRANSLATE(A39708, ""de"", ""en"")"),"bring to")</f>
        <v>bring to</v>
      </c>
    </row>
    <row r="39709">
      <c r="A39709" s="1" t="s">
        <v>39708</v>
      </c>
      <c r="B39709" s="2" t="str">
        <f>IFERROR(__xludf.DUMMYFUNCTION("GOOGLETRANSLATE(A39709, ""de"", ""en"")"),"groats")</f>
        <v>groats</v>
      </c>
    </row>
    <row r="39710">
      <c r="A39710" s="1" t="s">
        <v>39709</v>
      </c>
      <c r="B39710" s="2" t="str">
        <f>IFERROR(__xludf.DUMMYFUNCTION("GOOGLETRANSLATE(A39710, ""de"", ""en"")"),"sergeants")</f>
        <v>sergeants</v>
      </c>
    </row>
    <row r="39711">
      <c r="A39711" s="1" t="s">
        <v>39710</v>
      </c>
      <c r="B39711" s="2" t="str">
        <f>IFERROR(__xludf.DUMMYFUNCTION("GOOGLETRANSLATE(A39711, ""de"", ""en"")"),"cloudy")</f>
        <v>cloudy</v>
      </c>
    </row>
    <row r="39712">
      <c r="A39712" s="1" t="s">
        <v>39711</v>
      </c>
      <c r="B39712" s="2" t="str">
        <f>IFERROR(__xludf.DUMMYFUNCTION("GOOGLETRANSLATE(A39712, ""de"", ""en"")"),"tonto")</f>
        <v>tonto</v>
      </c>
    </row>
    <row r="39713">
      <c r="A39713" s="1" t="s">
        <v>39712</v>
      </c>
      <c r="B39713" s="2" t="str">
        <f>IFERROR(__xludf.DUMMYFUNCTION("GOOGLETRANSLATE(A39713, ""de"", ""en"")"),"edwardes")</f>
        <v>edwardes</v>
      </c>
    </row>
    <row r="39714">
      <c r="A39714" s="1" t="s">
        <v>39713</v>
      </c>
      <c r="B39714" s="2" t="str">
        <f>IFERROR(__xludf.DUMMYFUNCTION("GOOGLETRANSLATE(A39714, ""de"", ""en"")"),"pessimist")</f>
        <v>pessimist</v>
      </c>
    </row>
    <row r="39715">
      <c r="A39715" s="1" t="s">
        <v>39714</v>
      </c>
      <c r="B39715" s="2" t="str">
        <f>IFERROR(__xludf.DUMMYFUNCTION("GOOGLETRANSLATE(A39715, ""de"", ""en"")"),"lap dance")</f>
        <v>lap dance</v>
      </c>
    </row>
    <row r="39716">
      <c r="A39716" s="1" t="s">
        <v>39715</v>
      </c>
      <c r="B39716" s="2" t="str">
        <f>IFERROR(__xludf.DUMMYFUNCTION("GOOGLETRANSLATE(A39716, ""de"", ""en"")"),"operations")</f>
        <v>operations</v>
      </c>
    </row>
    <row r="39717">
      <c r="A39717" s="1" t="s">
        <v>39716</v>
      </c>
      <c r="B39717" s="2" t="str">
        <f>IFERROR(__xludf.DUMMYFUNCTION("GOOGLETRANSLATE(A39717, ""de"", ""en"")"),"limited")</f>
        <v>limited</v>
      </c>
    </row>
    <row r="39718">
      <c r="A39718" s="1" t="s">
        <v>39717</v>
      </c>
      <c r="B39718" s="2" t="str">
        <f>IFERROR(__xludf.DUMMYFUNCTION("GOOGLETRANSLATE(A39718, ""de"", ""en"")"),"imitation")</f>
        <v>imitation</v>
      </c>
    </row>
    <row r="39719">
      <c r="A39719" s="1" t="s">
        <v>39718</v>
      </c>
      <c r="B39719" s="2" t="str">
        <f>IFERROR(__xludf.DUMMYFUNCTION("GOOGLETRANSLATE(A39719, ""de"", ""en"")"),"bury")</f>
        <v>bury</v>
      </c>
    </row>
    <row r="39720">
      <c r="A39720" s="1" t="s">
        <v>39719</v>
      </c>
      <c r="B39720" s="2" t="str">
        <f>IFERROR(__xludf.DUMMYFUNCTION("GOOGLETRANSLATE(A39720, ""de"", ""en"")"),"scooped")</f>
        <v>scooped</v>
      </c>
    </row>
    <row r="39721">
      <c r="A39721" s="1" t="s">
        <v>39720</v>
      </c>
      <c r="B39721" s="2" t="str">
        <f>IFERROR(__xludf.DUMMYFUNCTION("GOOGLETRANSLATE(A39721, ""de"", ""en"")"),"joyful")</f>
        <v>joyful</v>
      </c>
    </row>
    <row r="39722">
      <c r="A39722" s="1" t="s">
        <v>39721</v>
      </c>
      <c r="B39722" s="2" t="str">
        <f>IFERROR(__xludf.DUMMYFUNCTION("GOOGLETRANSLATE(A39722, ""de"", ""en"")"),"went out")</f>
        <v>went out</v>
      </c>
    </row>
    <row r="39723">
      <c r="A39723" s="1" t="s">
        <v>39722</v>
      </c>
      <c r="B39723" s="2" t="str">
        <f>IFERROR(__xludf.DUMMYFUNCTION("GOOGLETRANSLATE(A39723, ""de"", ""en"")"),"stooges")</f>
        <v>stooges</v>
      </c>
    </row>
    <row r="39724">
      <c r="A39724" s="1" t="s">
        <v>39723</v>
      </c>
      <c r="B39724" s="2" t="str">
        <f>IFERROR(__xludf.DUMMYFUNCTION("GOOGLETRANSLATE(A39724, ""de"", ""en"")"),"enchanted")</f>
        <v>enchanted</v>
      </c>
    </row>
    <row r="39725">
      <c r="A39725" s="1" t="s">
        <v>39724</v>
      </c>
      <c r="B39725" s="2" t="str">
        <f>IFERROR(__xludf.DUMMYFUNCTION("GOOGLETRANSLATE(A39725, ""de"", ""en"")"),"holed up")</f>
        <v>holed up</v>
      </c>
    </row>
    <row r="39726">
      <c r="A39726" s="1" t="s">
        <v>39725</v>
      </c>
      <c r="B39726" s="2" t="str">
        <f>IFERROR(__xludf.DUMMYFUNCTION("GOOGLETRANSLATE(A39726, ""de"", ""en"")"),"death star")</f>
        <v>death star</v>
      </c>
    </row>
    <row r="39727">
      <c r="A39727" s="1" t="s">
        <v>39726</v>
      </c>
      <c r="B39727" s="2" t="str">
        <f>IFERROR(__xludf.DUMMYFUNCTION("GOOGLETRANSLATE(A39727, ""de"", ""en"")"),"reflection")</f>
        <v>reflection</v>
      </c>
    </row>
    <row r="39728">
      <c r="A39728" s="1" t="s">
        <v>39727</v>
      </c>
      <c r="B39728" s="2" t="str">
        <f>IFERROR(__xludf.DUMMYFUNCTION("GOOGLETRANSLATE(A39728, ""de"", ""en"")"),"Mathilda")</f>
        <v>Mathilda</v>
      </c>
    </row>
    <row r="39729">
      <c r="A39729" s="1" t="s">
        <v>39728</v>
      </c>
      <c r="B39729" s="2" t="str">
        <f>IFERROR(__xludf.DUMMYFUNCTION("GOOGLETRANSLATE(A39729, ""de"", ""en"")"),"passed through")</f>
        <v>passed through</v>
      </c>
    </row>
    <row r="39730">
      <c r="A39730" s="1" t="s">
        <v>39729</v>
      </c>
      <c r="B39730" s="2" t="str">
        <f>IFERROR(__xludf.DUMMYFUNCTION("GOOGLETRANSLATE(A39730, ""de"", ""en"")"),"tweed")</f>
        <v>tweed</v>
      </c>
    </row>
    <row r="39731">
      <c r="A39731" s="1" t="s">
        <v>39730</v>
      </c>
      <c r="B39731" s="2" t="str">
        <f>IFERROR(__xludf.DUMMYFUNCTION("GOOGLETRANSLATE(A39731, ""de"", ""en"")"),"slum")</f>
        <v>slum</v>
      </c>
    </row>
    <row r="39732">
      <c r="A39732" s="1" t="s">
        <v>39731</v>
      </c>
      <c r="B39732" s="2" t="str">
        <f>IFERROR(__xludf.DUMMYFUNCTION("GOOGLETRANSLATE(A39732, ""de"", ""en"")"),"certification")</f>
        <v>certification</v>
      </c>
    </row>
    <row r="39733">
      <c r="A39733" s="1" t="s">
        <v>39732</v>
      </c>
      <c r="B39733" s="2" t="str">
        <f>IFERROR(__xludf.DUMMYFUNCTION("GOOGLETRANSLATE(A39733, ""de"", ""en"")"),"accepted")</f>
        <v>accepted</v>
      </c>
    </row>
    <row r="39734">
      <c r="A39734" s="1" t="s">
        <v>39733</v>
      </c>
      <c r="B39734" s="2" t="str">
        <f>IFERROR(__xludf.DUMMYFUNCTION("GOOGLETRANSLATE(A39734, ""de"", ""en"")"),"rustles")</f>
        <v>rustles</v>
      </c>
    </row>
    <row r="39735">
      <c r="A39735" s="1" t="s">
        <v>39734</v>
      </c>
      <c r="B39735" s="2" t="str">
        <f>IFERROR(__xludf.DUMMYFUNCTION("GOOGLETRANSLATE(A39735, ""de"", ""en"")"),"aragon")</f>
        <v>aragon</v>
      </c>
    </row>
    <row r="39736">
      <c r="A39736" s="1" t="s">
        <v>39735</v>
      </c>
      <c r="B39736" s="2" t="str">
        <f>IFERROR(__xludf.DUMMYFUNCTION("GOOGLETRANSLATE(A39736, ""de"", ""en"")"),"tomato sauce")</f>
        <v>tomato sauce</v>
      </c>
    </row>
    <row r="39737">
      <c r="A39737" s="1" t="s">
        <v>39736</v>
      </c>
      <c r="B39737" s="2" t="str">
        <f>IFERROR(__xludf.DUMMYFUNCTION("GOOGLETRANSLATE(A39737, ""de"", ""en"")"),"cognitive")</f>
        <v>cognitive</v>
      </c>
    </row>
    <row r="39738">
      <c r="A39738" s="1" t="s">
        <v>39737</v>
      </c>
      <c r="B39738" s="2" t="str">
        <f>IFERROR(__xludf.DUMMYFUNCTION("GOOGLETRANSLATE(A39738, ""de"", ""en"")"),"encountered")</f>
        <v>encountered</v>
      </c>
    </row>
    <row r="39739">
      <c r="A39739" s="1" t="s">
        <v>39738</v>
      </c>
      <c r="B39739" s="2" t="str">
        <f>IFERROR(__xludf.DUMMYFUNCTION("GOOGLETRANSLATE(A39739, ""de"", ""en"")"),"vintage")</f>
        <v>vintage</v>
      </c>
    </row>
    <row r="39740">
      <c r="A39740" s="1" t="s">
        <v>39739</v>
      </c>
      <c r="B39740" s="2" t="str">
        <f>IFERROR(__xludf.DUMMYFUNCTION("GOOGLETRANSLATE(A39740, ""de"", ""en"")"),"pink")</f>
        <v>pink</v>
      </c>
    </row>
    <row r="39741">
      <c r="A39741" s="1" t="s">
        <v>39740</v>
      </c>
      <c r="B39741" s="2" t="str">
        <f>IFERROR(__xludf.DUMMYFUNCTION("GOOGLETRANSLATE(A39741, ""de"", ""en"")"),"daytona")</f>
        <v>daytona</v>
      </c>
    </row>
    <row r="39742">
      <c r="A39742" s="1" t="s">
        <v>39741</v>
      </c>
      <c r="B39742" s="2" t="str">
        <f>IFERROR(__xludf.DUMMYFUNCTION("GOOGLETRANSLATE(A39742, ""de"", ""en"")"),"genocide")</f>
        <v>genocide</v>
      </c>
    </row>
    <row r="39743">
      <c r="A39743" s="1" t="s">
        <v>39742</v>
      </c>
      <c r="B39743" s="2" t="str">
        <f>IFERROR(__xludf.DUMMYFUNCTION("GOOGLETRANSLATE(A39743, ""de"", ""en"")"),"good")</f>
        <v>good</v>
      </c>
    </row>
    <row r="39744">
      <c r="A39744" s="1" t="s">
        <v>39743</v>
      </c>
      <c r="B39744" s="2" t="str">
        <f>IFERROR(__xludf.DUMMYFUNCTION("GOOGLETRANSLATE(A39744, ""de"", ""en"")"),"follow up")</f>
        <v>follow up</v>
      </c>
    </row>
    <row r="39745">
      <c r="A39745" s="1" t="s">
        <v>39744</v>
      </c>
      <c r="B39745" s="2" t="str">
        <f>IFERROR(__xludf.DUMMYFUNCTION("GOOGLETRANSLATE(A39745, ""de"", ""en"")"),"arabella")</f>
        <v>arabella</v>
      </c>
    </row>
    <row r="39746">
      <c r="A39746" s="1" t="s">
        <v>39745</v>
      </c>
      <c r="B39746" s="2" t="str">
        <f>IFERROR(__xludf.DUMMYFUNCTION("GOOGLETRANSLATE(A39746, ""de"", ""en"")"),"riots")</f>
        <v>riots</v>
      </c>
    </row>
    <row r="39747">
      <c r="A39747" s="1" t="s">
        <v>39746</v>
      </c>
      <c r="B39747" s="2" t="str">
        <f>IFERROR(__xludf.DUMMYFUNCTION("GOOGLETRANSLATE(A39747, ""de"", ""en"")"),"impressive")</f>
        <v>impressive</v>
      </c>
    </row>
    <row r="39748">
      <c r="A39748" s="1" t="s">
        <v>39747</v>
      </c>
      <c r="B39748" s="2" t="str">
        <f>IFERROR(__xludf.DUMMYFUNCTION("GOOGLETRANSLATE(A39748, ""de"", ""en"")"),"liberated")</f>
        <v>liberated</v>
      </c>
    </row>
    <row r="39749">
      <c r="A39749" s="1" t="s">
        <v>39748</v>
      </c>
      <c r="B39749" s="2" t="str">
        <f>IFERROR(__xludf.DUMMYFUNCTION("GOOGLETRANSLATE(A39749, ""de"", ""en"")"),"emergency service")</f>
        <v>emergency service</v>
      </c>
    </row>
    <row r="39750">
      <c r="A39750" s="1" t="s">
        <v>39749</v>
      </c>
      <c r="B39750" s="2" t="str">
        <f>IFERROR(__xludf.DUMMYFUNCTION("GOOGLETRANSLATE(A39750, ""de"", ""en"")"),"barýþ")</f>
        <v>barýþ</v>
      </c>
    </row>
    <row r="39751">
      <c r="A39751" s="1" t="s">
        <v>39750</v>
      </c>
      <c r="B39751" s="2" t="str">
        <f>IFERROR(__xludf.DUMMYFUNCTION("GOOGLETRANSLATE(A39751, ""de"", ""en"")"),"mandi")</f>
        <v>mandi</v>
      </c>
    </row>
    <row r="39752">
      <c r="A39752" s="1" t="s">
        <v>39751</v>
      </c>
      <c r="B39752" s="2" t="str">
        <f>IFERROR(__xludf.DUMMYFUNCTION("GOOGLETRANSLATE(A39752, ""de"", ""en"")"),"cellar")</f>
        <v>cellar</v>
      </c>
    </row>
    <row r="39753">
      <c r="A39753" s="1" t="s">
        <v>39752</v>
      </c>
      <c r="B39753" s="2" t="str">
        <f>IFERROR(__xludf.DUMMYFUNCTION("GOOGLETRANSLATE(A39753, ""de"", ""en"")"),"Hello Hello")</f>
        <v>Hello Hello</v>
      </c>
    </row>
    <row r="39754">
      <c r="A39754" s="1" t="s">
        <v>39753</v>
      </c>
      <c r="B39754" s="2" t="str">
        <f>IFERROR(__xludf.DUMMYFUNCTION("GOOGLETRANSLATE(A39754, ""de"", ""en"")"),"amateurs")</f>
        <v>amateurs</v>
      </c>
    </row>
    <row r="39755">
      <c r="A39755" s="1" t="s">
        <v>39754</v>
      </c>
      <c r="B39755" s="2" t="str">
        <f>IFERROR(__xludf.DUMMYFUNCTION("GOOGLETRANSLATE(A39755, ""de"", ""en"")"),"reinhardt")</f>
        <v>reinhardt</v>
      </c>
    </row>
    <row r="39756">
      <c r="A39756" s="1" t="s">
        <v>39755</v>
      </c>
      <c r="B39756" s="2" t="str">
        <f>IFERROR(__xludf.DUMMYFUNCTION("GOOGLETRANSLATE(A39756, ""de"", ""en"")"),"ning")</f>
        <v>ning</v>
      </c>
    </row>
    <row r="39757">
      <c r="A39757" s="1" t="s">
        <v>39756</v>
      </c>
      <c r="B39757" s="2" t="str">
        <f>IFERROR(__xludf.DUMMYFUNCTION("GOOGLETRANSLATE(A39757, ""de"", ""en"")"),"have it")</f>
        <v>have it</v>
      </c>
    </row>
    <row r="39758">
      <c r="A39758" s="1" t="s">
        <v>39757</v>
      </c>
      <c r="B39758" s="2" t="str">
        <f>IFERROR(__xludf.DUMMYFUNCTION("GOOGLETRANSLATE(A39758, ""de"", ""en"")"),"rounder")</f>
        <v>rounder</v>
      </c>
    </row>
    <row r="39759">
      <c r="A39759" s="1" t="s">
        <v>39758</v>
      </c>
      <c r="B39759" s="2" t="str">
        <f>IFERROR(__xludf.DUMMYFUNCTION("GOOGLETRANSLATE(A39759, ""de"", ""en"")"),"investigate")</f>
        <v>investigate</v>
      </c>
    </row>
    <row r="39760">
      <c r="A39760" s="1" t="s">
        <v>39759</v>
      </c>
      <c r="B39760" s="2" t="str">
        <f>IFERROR(__xludf.DUMMYFUNCTION("GOOGLETRANSLATE(A39760, ""de"", ""en"")"),"she-devil")</f>
        <v>she-devil</v>
      </c>
    </row>
    <row r="39761">
      <c r="A39761" s="1" t="s">
        <v>39760</v>
      </c>
      <c r="B39761" s="2" t="str">
        <f>IFERROR(__xludf.DUMMYFUNCTION("GOOGLETRANSLATE(A39761, ""de"", ""en"")"),"lets out")</f>
        <v>lets out</v>
      </c>
    </row>
    <row r="39762">
      <c r="A39762" s="1" t="s">
        <v>39761</v>
      </c>
      <c r="B39762" s="2" t="str">
        <f>IFERROR(__xludf.DUMMYFUNCTION("GOOGLETRANSLATE(A39762, ""de"", ""en"")"),"more poisonous")</f>
        <v>more poisonous</v>
      </c>
    </row>
    <row r="39763">
      <c r="A39763" s="1" t="s">
        <v>39762</v>
      </c>
      <c r="B39763" s="2" t="str">
        <f>IFERROR(__xludf.DUMMYFUNCTION("GOOGLETRANSLATE(A39763, ""de"", ""en"")"),"Peter")</f>
        <v>Peter</v>
      </c>
    </row>
    <row r="39764">
      <c r="A39764" s="1" t="s">
        <v>39763</v>
      </c>
      <c r="B39764" s="2" t="str">
        <f>IFERROR(__xludf.DUMMYFUNCTION("GOOGLETRANSLATE(A39764, ""de"", ""en"")"),"declaration of independence")</f>
        <v>declaration of independence</v>
      </c>
    </row>
    <row r="39765">
      <c r="A39765" s="1" t="s">
        <v>39764</v>
      </c>
      <c r="B39765" s="2" t="str">
        <f>IFERROR(__xludf.DUMMYFUNCTION("GOOGLETRANSLATE(A39765, ""de"", ""en"")"),"azrael")</f>
        <v>azrael</v>
      </c>
    </row>
    <row r="39766">
      <c r="A39766" s="1" t="s">
        <v>39765</v>
      </c>
      <c r="B39766" s="2" t="str">
        <f>IFERROR(__xludf.DUMMYFUNCTION("GOOGLETRANSLATE(A39766, ""de"", ""en"")"),"customs officer")</f>
        <v>customs officer</v>
      </c>
    </row>
    <row r="39767">
      <c r="A39767" s="1" t="s">
        <v>39766</v>
      </c>
      <c r="B39767" s="2" t="str">
        <f>IFERROR(__xludf.DUMMYFUNCTION("GOOGLETRANSLATE(A39767, ""de"", ""en"")"),"Soviet")</f>
        <v>Soviet</v>
      </c>
    </row>
    <row r="39768">
      <c r="A39768" s="1" t="s">
        <v>39767</v>
      </c>
      <c r="B39768" s="2" t="str">
        <f>IFERROR(__xludf.DUMMYFUNCTION("GOOGLETRANSLATE(A39768, ""de"", ""en"")"),"Haitian")</f>
        <v>Haitian</v>
      </c>
    </row>
    <row r="39769">
      <c r="A39769" s="1" t="s">
        <v>39768</v>
      </c>
      <c r="B39769" s="2" t="str">
        <f>IFERROR(__xludf.DUMMYFUNCTION("GOOGLETRANSLATE(A39769, ""de"", ""en"")"),"cardiology")</f>
        <v>cardiology</v>
      </c>
    </row>
    <row r="39770">
      <c r="A39770" s="1" t="s">
        <v>39769</v>
      </c>
      <c r="B39770" s="2" t="str">
        <f>IFERROR(__xludf.DUMMYFUNCTION("GOOGLETRANSLATE(A39770, ""de"", ""en"")"),"Czech")</f>
        <v>Czech</v>
      </c>
    </row>
    <row r="39771">
      <c r="A39771" s="1" t="s">
        <v>39770</v>
      </c>
      <c r="B39771" s="2" t="str">
        <f>IFERROR(__xludf.DUMMYFUNCTION("GOOGLETRANSLATE(A39771, ""de"", ""en"")"),"17 year old")</f>
        <v>17 year old</v>
      </c>
    </row>
    <row r="39772">
      <c r="A39772" s="1" t="s">
        <v>39771</v>
      </c>
      <c r="B39772" s="2" t="str">
        <f>IFERROR(__xludf.DUMMYFUNCTION("GOOGLETRANSLATE(A39772, ""de"", ""en"")"),"breeder")</f>
        <v>breeder</v>
      </c>
    </row>
    <row r="39773">
      <c r="A39773" s="1" t="s">
        <v>39772</v>
      </c>
      <c r="B39773" s="2" t="str">
        <f>IFERROR(__xludf.DUMMYFUNCTION("GOOGLETRANSLATE(A39773, ""de"", ""en"")"),"more professional")</f>
        <v>more professional</v>
      </c>
    </row>
    <row r="39774">
      <c r="A39774" s="1" t="s">
        <v>39773</v>
      </c>
      <c r="B39774" s="2" t="str">
        <f>IFERROR(__xludf.DUMMYFUNCTION("GOOGLETRANSLATE(A39774, ""de"", ""en"")"),"fiend")</f>
        <v>fiend</v>
      </c>
    </row>
    <row r="39775">
      <c r="A39775" s="1" t="s">
        <v>39774</v>
      </c>
      <c r="B39775" s="2" t="str">
        <f>IFERROR(__xludf.DUMMYFUNCTION("GOOGLETRANSLATE(A39775, ""de"", ""en"")"),"harpers")</f>
        <v>harpers</v>
      </c>
    </row>
    <row r="39776">
      <c r="A39776" s="1" t="s">
        <v>39775</v>
      </c>
      <c r="B39776" s="2" t="str">
        <f>IFERROR(__xludf.DUMMYFUNCTION("GOOGLETRANSLATE(A39776, ""de"", ""en"")"),"get back")</f>
        <v>get back</v>
      </c>
    </row>
    <row r="39777">
      <c r="A39777" s="1" t="s">
        <v>39776</v>
      </c>
      <c r="B39777" s="2" t="str">
        <f>IFERROR(__xludf.DUMMYFUNCTION("GOOGLETRANSLATE(A39777, ""de"", ""en"")"),"blob")</f>
        <v>blob</v>
      </c>
    </row>
    <row r="39778">
      <c r="A39778" s="1" t="s">
        <v>39777</v>
      </c>
      <c r="B39778" s="2" t="str">
        <f>IFERROR(__xludf.DUMMYFUNCTION("GOOGLETRANSLATE(A39778, ""de"", ""en"")"),"townhouse")</f>
        <v>townhouse</v>
      </c>
    </row>
    <row r="39779">
      <c r="A39779" s="1" t="s">
        <v>39778</v>
      </c>
      <c r="B39779" s="2" t="str">
        <f>IFERROR(__xludf.DUMMYFUNCTION("GOOGLETRANSLATE(A39779, ""de"", ""en"")"),"sight")</f>
        <v>sight</v>
      </c>
    </row>
    <row r="39780">
      <c r="A39780" s="1" t="s">
        <v>39779</v>
      </c>
      <c r="B39780" s="2" t="str">
        <f>IFERROR(__xludf.DUMMYFUNCTION("GOOGLETRANSLATE(A39780, ""de"", ""en"")"),"most obedient")</f>
        <v>most obedient</v>
      </c>
    </row>
    <row r="39781">
      <c r="A39781" s="1" t="s">
        <v>39780</v>
      </c>
      <c r="B39781" s="2" t="str">
        <f>IFERROR(__xludf.DUMMYFUNCTION("GOOGLETRANSLATE(A39781, ""de"", ""en"")"),"status")</f>
        <v>status</v>
      </c>
    </row>
    <row r="39782">
      <c r="A39782" s="1" t="s">
        <v>39781</v>
      </c>
      <c r="B39782" s="2" t="str">
        <f>IFERROR(__xludf.DUMMYFUNCTION("GOOGLETRANSLATE(A39782, ""de"", ""en"")"),"mammal")</f>
        <v>mammal</v>
      </c>
    </row>
    <row r="39783">
      <c r="A39783" s="1" t="s">
        <v>39782</v>
      </c>
      <c r="B39783" s="2" t="str">
        <f>IFERROR(__xludf.DUMMYFUNCTION("GOOGLETRANSLATE(A39783, ""de"", ""en"")"),"clarify")</f>
        <v>clarify</v>
      </c>
    </row>
    <row r="39784">
      <c r="A39784" s="1" t="s">
        <v>39783</v>
      </c>
      <c r="B39784" s="2" t="str">
        <f>IFERROR(__xludf.DUMMYFUNCTION("GOOGLETRANSLATE(A39784, ""de"", ""en"")"),"gifted")</f>
        <v>gifted</v>
      </c>
    </row>
    <row r="39785">
      <c r="A39785" s="1" t="s">
        <v>39784</v>
      </c>
      <c r="B39785" s="2" t="str">
        <f>IFERROR(__xludf.DUMMYFUNCTION("GOOGLETRANSLATE(A39785, ""de"", ""en"")"),"ATM")</f>
        <v>ATM</v>
      </c>
    </row>
    <row r="39786">
      <c r="A39786" s="1" t="s">
        <v>39785</v>
      </c>
      <c r="B39786" s="2" t="str">
        <f>IFERROR(__xludf.DUMMYFUNCTION("GOOGLETRANSLATE(A39786, ""de"", ""en"")"),"donated")</f>
        <v>donated</v>
      </c>
    </row>
    <row r="39787">
      <c r="A39787" s="1" t="s">
        <v>39786</v>
      </c>
      <c r="B39787" s="2" t="str">
        <f>IFERROR(__xludf.DUMMYFUNCTION("GOOGLETRANSLATE(A39787, ""de"", ""en"")"),"hendrik")</f>
        <v>hendrik</v>
      </c>
    </row>
    <row r="39788">
      <c r="A39788" s="1" t="s">
        <v>39787</v>
      </c>
      <c r="B39788" s="2" t="str">
        <f>IFERROR(__xludf.DUMMYFUNCTION("GOOGLETRANSLATE(A39788, ""de"", ""en"")"),"bitcoin")</f>
        <v>bitcoin</v>
      </c>
    </row>
    <row r="39789">
      <c r="A39789" s="1" t="s">
        <v>39788</v>
      </c>
      <c r="B39789" s="2" t="str">
        <f>IFERROR(__xludf.DUMMYFUNCTION("GOOGLETRANSLATE(A39789, ""de"", ""en"")"),"factions")</f>
        <v>factions</v>
      </c>
    </row>
    <row r="39790">
      <c r="A39790" s="1" t="s">
        <v>39789</v>
      </c>
      <c r="B39790" s="2" t="str">
        <f>IFERROR(__xludf.DUMMYFUNCTION("GOOGLETRANSLATE(A39790, ""de"", ""en"")"),"laughing ones")</f>
        <v>laughing ones</v>
      </c>
    </row>
    <row r="39791">
      <c r="A39791" s="1" t="s">
        <v>39790</v>
      </c>
      <c r="B39791" s="2" t="str">
        <f>IFERROR(__xludf.DUMMYFUNCTION("GOOGLETRANSLATE(A39791, ""de"", ""en"")"),"reinforced")</f>
        <v>reinforced</v>
      </c>
    </row>
    <row r="39792">
      <c r="A39792" s="1" t="s">
        <v>39791</v>
      </c>
      <c r="B39792" s="2" t="str">
        <f>IFERROR(__xludf.DUMMYFUNCTION("GOOGLETRANSLATE(A39792, ""de"", ""en"")"),"countless")</f>
        <v>countless</v>
      </c>
    </row>
    <row r="39793">
      <c r="A39793" s="1" t="s">
        <v>39792</v>
      </c>
      <c r="B39793" s="2" t="str">
        <f>IFERROR(__xludf.DUMMYFUNCTION("GOOGLETRANSLATE(A39793, ""de"", ""en"")"),"roadway")</f>
        <v>roadway</v>
      </c>
    </row>
    <row r="39794">
      <c r="A39794" s="1" t="s">
        <v>39793</v>
      </c>
      <c r="B39794" s="2" t="str">
        <f>IFERROR(__xludf.DUMMYFUNCTION("GOOGLETRANSLATE(A39794, ""de"", ""en"")"),"complained")</f>
        <v>complained</v>
      </c>
    </row>
    <row r="39795">
      <c r="A39795" s="1" t="s">
        <v>39794</v>
      </c>
      <c r="B39795" s="2" t="str">
        <f>IFERROR(__xludf.DUMMYFUNCTION("GOOGLETRANSLATE(A39795, ""de"", ""en"")"),"spread")</f>
        <v>spread</v>
      </c>
    </row>
    <row r="39796">
      <c r="A39796" s="1" t="s">
        <v>39795</v>
      </c>
      <c r="B39796" s="2" t="str">
        <f>IFERROR(__xludf.DUMMYFUNCTION("GOOGLETRANSLATE(A39796, ""de"", ""en"")"),"For heaven's sake")</f>
        <v>For heaven's sake</v>
      </c>
    </row>
    <row r="39797">
      <c r="A39797" s="1" t="s">
        <v>39796</v>
      </c>
      <c r="B39797" s="2" t="str">
        <f>IFERROR(__xludf.DUMMYFUNCTION("GOOGLETRANSLATE(A39797, ""de"", ""en"")"),"ranges")</f>
        <v>ranges</v>
      </c>
    </row>
    <row r="39798">
      <c r="A39798" s="1" t="s">
        <v>39797</v>
      </c>
      <c r="B39798" s="2" t="str">
        <f>IFERROR(__xludf.DUMMYFUNCTION("GOOGLETRANSLATE(A39798, ""de"", ""en"")"),"clever")</f>
        <v>clever</v>
      </c>
    </row>
    <row r="39799">
      <c r="A39799" s="1" t="s">
        <v>39798</v>
      </c>
      <c r="B39799" s="2" t="str">
        <f>IFERROR(__xludf.DUMMYFUNCTION("GOOGLETRANSLATE(A39799, ""de"", ""en"")"),"ssr")</f>
        <v>ssr</v>
      </c>
    </row>
    <row r="39800">
      <c r="A39800" s="1" t="s">
        <v>39799</v>
      </c>
      <c r="B39800" s="2" t="str">
        <f>IFERROR(__xludf.DUMMYFUNCTION("GOOGLETRANSLATE(A39800, ""de"", ""en"")"),"megaphone")</f>
        <v>megaphone</v>
      </c>
    </row>
    <row r="39801">
      <c r="A39801" s="1" t="s">
        <v>39800</v>
      </c>
      <c r="B39801" s="2" t="str">
        <f>IFERROR(__xludf.DUMMYFUNCTION("GOOGLETRANSLATE(A39801, ""de"", ""en"")"),"collect")</f>
        <v>collect</v>
      </c>
    </row>
    <row r="39802">
      <c r="A39802" s="1" t="s">
        <v>39801</v>
      </c>
      <c r="B39802" s="2" t="str">
        <f>IFERROR(__xludf.DUMMYFUNCTION("GOOGLETRANSLATE(A39802, ""de"", ""en"")"),"park")</f>
        <v>park</v>
      </c>
    </row>
    <row r="39803">
      <c r="A39803" s="1" t="s">
        <v>39802</v>
      </c>
      <c r="B39803" s="2" t="str">
        <f>IFERROR(__xludf.DUMMYFUNCTION("GOOGLETRANSLATE(A39803, ""de"", ""en"")"),"sensitive")</f>
        <v>sensitive</v>
      </c>
    </row>
    <row r="39804">
      <c r="A39804" s="1" t="s">
        <v>39803</v>
      </c>
      <c r="B39804" s="2" t="str">
        <f>IFERROR(__xludf.DUMMYFUNCTION("GOOGLETRANSLATE(A39804, ""de"", ""en"")"),"penultimate")</f>
        <v>penultimate</v>
      </c>
    </row>
    <row r="39805">
      <c r="A39805" s="1" t="s">
        <v>39804</v>
      </c>
      <c r="B39805" s="2" t="str">
        <f>IFERROR(__xludf.DUMMYFUNCTION("GOOGLETRANSLATE(A39805, ""de"", ""en"")"),"history books")</f>
        <v>history books</v>
      </c>
    </row>
    <row r="39806">
      <c r="A39806" s="1" t="s">
        <v>39805</v>
      </c>
      <c r="B39806" s="2" t="str">
        <f>IFERROR(__xludf.DUMMYFUNCTION("GOOGLETRANSLATE(A39806, ""de"", ""en"")"),"sense of orientation")</f>
        <v>sense of orientation</v>
      </c>
    </row>
    <row r="39807">
      <c r="A39807" s="1" t="s">
        <v>39806</v>
      </c>
      <c r="B39807" s="2" t="str">
        <f>IFERROR(__xludf.DUMMYFUNCTION("GOOGLETRANSLATE(A39807, ""de"", ""en"")"),"layman")</f>
        <v>layman</v>
      </c>
    </row>
    <row r="39808">
      <c r="A39808" s="1" t="s">
        <v>39807</v>
      </c>
      <c r="B39808" s="2" t="str">
        <f>IFERROR(__xludf.DUMMYFUNCTION("GOOGLETRANSLATE(A39808, ""de"", ""en"")"),"delivery boy")</f>
        <v>delivery boy</v>
      </c>
    </row>
    <row r="39809">
      <c r="A39809" s="1" t="s">
        <v>39808</v>
      </c>
      <c r="B39809" s="2" t="str">
        <f>IFERROR(__xludf.DUMMYFUNCTION("GOOGLETRANSLATE(A39809, ""de"", ""en"")"),"stray ones")</f>
        <v>stray ones</v>
      </c>
    </row>
    <row r="39810">
      <c r="A39810" s="1" t="s">
        <v>39809</v>
      </c>
      <c r="B39810" s="2" t="str">
        <f>IFERROR(__xludf.DUMMYFUNCTION("GOOGLETRANSLATE(A39810, ""de"", ""en"")"),"barked")</f>
        <v>barked</v>
      </c>
    </row>
    <row r="39811">
      <c r="A39811" s="1" t="s">
        <v>39810</v>
      </c>
      <c r="B39811" s="2" t="str">
        <f>IFERROR(__xludf.DUMMYFUNCTION("GOOGLETRANSLATE(A39811, ""de"", ""en"")"),"bruise")</f>
        <v>bruise</v>
      </c>
    </row>
    <row r="39812">
      <c r="A39812" s="1" t="s">
        <v>39811</v>
      </c>
      <c r="B39812" s="2" t="str">
        <f>IFERROR(__xludf.DUMMYFUNCTION("GOOGLETRANSLATE(A39812, ""de"", ""en"")"),"greasy")</f>
        <v>greasy</v>
      </c>
    </row>
    <row r="39813">
      <c r="A39813" s="1" t="s">
        <v>39812</v>
      </c>
      <c r="B39813" s="2" t="str">
        <f>IFERROR(__xludf.DUMMYFUNCTION("GOOGLETRANSLATE(A39813, ""de"", ""en"")"),"innovative")</f>
        <v>innovative</v>
      </c>
    </row>
    <row r="39814">
      <c r="A39814" s="1" t="s">
        <v>39813</v>
      </c>
      <c r="B39814" s="2" t="str">
        <f>IFERROR(__xludf.DUMMYFUNCTION("GOOGLETRANSLATE(A39814, ""de"", ""en"")"),"foreign legion")</f>
        <v>foreign legion</v>
      </c>
    </row>
    <row r="39815">
      <c r="A39815" s="1" t="s">
        <v>39814</v>
      </c>
      <c r="B39815" s="2" t="str">
        <f>IFERROR(__xludf.DUMMYFUNCTION("GOOGLETRANSLATE(A39815, ""de"", ""en"")"),"smarter")</f>
        <v>smarter</v>
      </c>
    </row>
    <row r="39816">
      <c r="A39816" s="1" t="s">
        <v>39815</v>
      </c>
      <c r="B39816" s="2" t="str">
        <f>IFERROR(__xludf.DUMMYFUNCTION("GOOGLETRANSLATE(A39816, ""de"", ""en"")"),"pornography")</f>
        <v>pornography</v>
      </c>
    </row>
    <row r="39817">
      <c r="A39817" s="1" t="s">
        <v>39816</v>
      </c>
      <c r="B39817" s="2" t="str">
        <f>IFERROR(__xludf.DUMMYFUNCTION("GOOGLETRANSLATE(A39817, ""de"", ""en"")"),"guard")</f>
        <v>guard</v>
      </c>
    </row>
    <row r="39818">
      <c r="A39818" s="1" t="s">
        <v>39817</v>
      </c>
      <c r="B39818" s="2" t="str">
        <f>IFERROR(__xludf.DUMMYFUNCTION("GOOGLETRANSLATE(A39818, ""de"", ""en"")"),"Christmas spirit")</f>
        <v>Christmas spirit</v>
      </c>
    </row>
    <row r="39819">
      <c r="A39819" s="1" t="s">
        <v>39818</v>
      </c>
      <c r="B39819" s="2" t="str">
        <f>IFERROR(__xludf.DUMMYFUNCTION("GOOGLETRANSLATE(A39819, ""de"", ""en"")"),"materials")</f>
        <v>materials</v>
      </c>
    </row>
    <row r="39820">
      <c r="A39820" s="1" t="s">
        <v>39819</v>
      </c>
      <c r="B39820" s="2" t="str">
        <f>IFERROR(__xludf.DUMMYFUNCTION("GOOGLETRANSLATE(A39820, ""de"", ""en"")"),"extraordinary")</f>
        <v>extraordinary</v>
      </c>
    </row>
    <row r="39821">
      <c r="A39821" s="1" t="s">
        <v>39820</v>
      </c>
      <c r="B39821" s="2" t="str">
        <f>IFERROR(__xludf.DUMMYFUNCTION("GOOGLETRANSLATE(A39821, ""de"", ""en"")"),"booby trap")</f>
        <v>booby trap</v>
      </c>
    </row>
    <row r="39822">
      <c r="A39822" s="1" t="s">
        <v>39821</v>
      </c>
      <c r="B39822" s="2" t="str">
        <f>IFERROR(__xludf.DUMMYFUNCTION("GOOGLETRANSLATE(A39822, ""de"", ""en"")"),"uninvited")</f>
        <v>uninvited</v>
      </c>
    </row>
    <row r="39823">
      <c r="A39823" s="1" t="s">
        <v>39822</v>
      </c>
      <c r="B39823" s="2" t="str">
        <f>IFERROR(__xludf.DUMMYFUNCTION("GOOGLETRANSLATE(A39823, ""de"", ""en"")"),"prisoner of war camp")</f>
        <v>prisoner of war camp</v>
      </c>
    </row>
    <row r="39824">
      <c r="A39824" s="1" t="s">
        <v>39823</v>
      </c>
      <c r="B39824" s="2" t="str">
        <f>IFERROR(__xludf.DUMMYFUNCTION("GOOGLETRANSLATE(A39824, ""de"", ""en"")"),"ovens")</f>
        <v>ovens</v>
      </c>
    </row>
    <row r="39825">
      <c r="A39825" s="1" t="s">
        <v>39824</v>
      </c>
      <c r="B39825" s="2" t="str">
        <f>IFERROR(__xludf.DUMMYFUNCTION("GOOGLETRANSLATE(A39825, ""de"", ""en"")"),"20 year old")</f>
        <v>20 year old</v>
      </c>
    </row>
    <row r="39826">
      <c r="A39826" s="1" t="s">
        <v>39825</v>
      </c>
      <c r="B39826" s="2" t="str">
        <f>IFERROR(__xludf.DUMMYFUNCTION("GOOGLETRANSLATE(A39826, ""de"", ""en"")"),"stud")</f>
        <v>stud</v>
      </c>
    </row>
    <row r="39827">
      <c r="A39827" s="1" t="s">
        <v>39826</v>
      </c>
      <c r="B39827" s="2" t="str">
        <f>IFERROR(__xludf.DUMMYFUNCTION("GOOGLETRANSLATE(A39827, ""de"", ""en"")"),"holy")</f>
        <v>holy</v>
      </c>
    </row>
    <row r="39828">
      <c r="A39828" s="1" t="s">
        <v>39827</v>
      </c>
      <c r="B39828" s="2" t="str">
        <f>IFERROR(__xludf.DUMMYFUNCTION("GOOGLETRANSLATE(A39828, ""de"", ""en"")"),"collide")</f>
        <v>collide</v>
      </c>
    </row>
    <row r="39829">
      <c r="A39829" s="1" t="s">
        <v>39828</v>
      </c>
      <c r="B39829" s="2" t="str">
        <f>IFERROR(__xludf.DUMMYFUNCTION("GOOGLETRANSLATE(A39829, ""de"", ""en"")"),"collapsed")</f>
        <v>collapsed</v>
      </c>
    </row>
    <row r="39830">
      <c r="A39830" s="1" t="s">
        <v>39829</v>
      </c>
      <c r="B39830" s="2" t="str">
        <f>IFERROR(__xludf.DUMMYFUNCTION("GOOGLETRANSLATE(A39830, ""de"", ""en"")"),"cc")</f>
        <v>cc</v>
      </c>
    </row>
    <row r="39831">
      <c r="A39831" s="1" t="s">
        <v>39830</v>
      </c>
      <c r="B39831" s="2" t="str">
        <f>IFERROR(__xludf.DUMMYFUNCTION("GOOGLETRANSLATE(A39831, ""de"", ""en"")"),"folds")</f>
        <v>folds</v>
      </c>
    </row>
    <row r="39832">
      <c r="A39832" s="1" t="s">
        <v>39831</v>
      </c>
      <c r="B39832" s="2" t="str">
        <f>IFERROR(__xludf.DUMMYFUNCTION("GOOGLETRANSLATE(A39832, ""de"", ""en"")"),"retreat")</f>
        <v>retreat</v>
      </c>
    </row>
    <row r="39833">
      <c r="A39833" s="1" t="s">
        <v>39832</v>
      </c>
      <c r="B39833" s="2" t="str">
        <f>IFERROR(__xludf.DUMMYFUNCTION("GOOGLETRANSLATE(A39833, ""de"", ""en"")"),"heal")</f>
        <v>heal</v>
      </c>
    </row>
    <row r="39834">
      <c r="A39834" s="1" t="s">
        <v>39833</v>
      </c>
      <c r="B39834" s="2" t="str">
        <f>IFERROR(__xludf.DUMMYFUNCTION("GOOGLETRANSLATE(A39834, ""de"", ""en"")"),"intimate")</f>
        <v>intimate</v>
      </c>
    </row>
    <row r="39835">
      <c r="A39835" s="1" t="s">
        <v>39834</v>
      </c>
      <c r="B39835" s="2" t="str">
        <f>IFERROR(__xludf.DUMMYFUNCTION("GOOGLETRANSLATE(A39835, ""de"", ""en"")"),"railing")</f>
        <v>railing</v>
      </c>
    </row>
    <row r="39836">
      <c r="A39836" s="1" t="s">
        <v>39835</v>
      </c>
      <c r="B39836" s="2" t="str">
        <f>IFERROR(__xludf.DUMMYFUNCTION("GOOGLETRANSLATE(A39836, ""de"", ""en"")"),"sewing")</f>
        <v>sewing</v>
      </c>
    </row>
    <row r="39837">
      <c r="A39837" s="1" t="s">
        <v>39836</v>
      </c>
      <c r="B39837" s="2" t="str">
        <f>IFERROR(__xludf.DUMMYFUNCTION("GOOGLETRANSLATE(A39837, ""de"", ""en"")"),"free tickets")</f>
        <v>free tickets</v>
      </c>
    </row>
    <row r="39838">
      <c r="A39838" s="1" t="s">
        <v>39837</v>
      </c>
      <c r="B39838" s="2" t="str">
        <f>IFERROR(__xludf.DUMMYFUNCTION("GOOGLETRANSLATE(A39838, ""de"", ""en"")"),"svensson")</f>
        <v>svensson</v>
      </c>
    </row>
    <row r="39839">
      <c r="A39839" s="1" t="s">
        <v>39838</v>
      </c>
      <c r="B39839" s="2" t="str">
        <f>IFERROR(__xludf.DUMMYFUNCTION("GOOGLETRANSLATE(A39839, ""de"", ""en"")"),"working conditions")</f>
        <v>working conditions</v>
      </c>
    </row>
    <row r="39840">
      <c r="A39840" s="1" t="s">
        <v>39839</v>
      </c>
      <c r="B39840" s="2" t="str">
        <f>IFERROR(__xludf.DUMMYFUNCTION("GOOGLETRANSLATE(A39840, ""de"", ""en"")"),"sincerely")</f>
        <v>sincerely</v>
      </c>
    </row>
    <row r="39841">
      <c r="A39841" s="1" t="s">
        <v>39840</v>
      </c>
      <c r="B39841" s="2" t="str">
        <f>IFERROR(__xludf.DUMMYFUNCTION("GOOGLETRANSLATE(A39841, ""de"", ""en"")"),"bowling ball")</f>
        <v>bowling ball</v>
      </c>
    </row>
    <row r="39842">
      <c r="A39842" s="1" t="s">
        <v>39841</v>
      </c>
      <c r="B39842" s="2" t="str">
        <f>IFERROR(__xludf.DUMMYFUNCTION("GOOGLETRANSLATE(A39842, ""de"", ""en"")"),"stoney")</f>
        <v>stoney</v>
      </c>
    </row>
    <row r="39843">
      <c r="A39843" s="1" t="s">
        <v>39842</v>
      </c>
      <c r="B39843" s="2" t="str">
        <f>IFERROR(__xludf.DUMMYFUNCTION("GOOGLETRANSLATE(A39843, ""de"", ""en"")"),"block of flats")</f>
        <v>block of flats</v>
      </c>
    </row>
    <row r="39844">
      <c r="A39844" s="1" t="s">
        <v>39843</v>
      </c>
      <c r="B39844" s="2" t="str">
        <f>IFERROR(__xludf.DUMMYFUNCTION("GOOGLETRANSLATE(A39844, ""de"", ""en"")"),"more obsessed")</f>
        <v>more obsessed</v>
      </c>
    </row>
    <row r="39845">
      <c r="A39845" s="1" t="s">
        <v>39844</v>
      </c>
      <c r="B39845" s="2" t="str">
        <f>IFERROR(__xludf.DUMMYFUNCTION("GOOGLETRANSLATE(A39845, ""de"", ""en"")"),"pine trees")</f>
        <v>pine trees</v>
      </c>
    </row>
    <row r="39846">
      <c r="A39846" s="1" t="s">
        <v>39845</v>
      </c>
      <c r="B39846" s="2" t="str">
        <f>IFERROR(__xludf.DUMMYFUNCTION("GOOGLETRANSLATE(A39846, ""de"", ""en"")"),"rake in the dough")</f>
        <v>rake in the dough</v>
      </c>
    </row>
    <row r="39847">
      <c r="A39847" s="1" t="s">
        <v>39846</v>
      </c>
      <c r="B39847" s="2" t="str">
        <f>IFERROR(__xludf.DUMMYFUNCTION("GOOGLETRANSLATE(A39847, ""de"", ""en"")"),"Chauncey")</f>
        <v>Chauncey</v>
      </c>
    </row>
    <row r="39848">
      <c r="A39848" s="1" t="s">
        <v>39847</v>
      </c>
      <c r="B39848" s="2" t="str">
        <f>IFERROR(__xludf.DUMMYFUNCTION("GOOGLETRANSLATE(A39848, ""de"", ""en"")"),"flexibility")</f>
        <v>flexibility</v>
      </c>
    </row>
    <row r="39849">
      <c r="A39849" s="1" t="s">
        <v>39848</v>
      </c>
      <c r="B39849" s="2" t="str">
        <f>IFERROR(__xludf.DUMMYFUNCTION("GOOGLETRANSLATE(A39849, ""de"", ""en"")"),"eckat")</f>
        <v>eckat</v>
      </c>
    </row>
    <row r="39850">
      <c r="A39850" s="1" t="s">
        <v>39849</v>
      </c>
      <c r="B39850" s="2" t="str">
        <f>IFERROR(__xludf.DUMMYFUNCTION("GOOGLETRANSLATE(A39850, ""de"", ""en"")"),"trivial")</f>
        <v>trivial</v>
      </c>
    </row>
    <row r="39851">
      <c r="A39851" s="1" t="s">
        <v>39850</v>
      </c>
      <c r="B39851" s="2" t="str">
        <f>IFERROR(__xludf.DUMMYFUNCTION("GOOGLETRANSLATE(A39851, ""de"", ""en"")"),"trustworthy")</f>
        <v>trustworthy</v>
      </c>
    </row>
    <row r="39852">
      <c r="A39852" s="1" t="s">
        <v>39851</v>
      </c>
      <c r="B39852" s="2" t="str">
        <f>IFERROR(__xludf.DUMMYFUNCTION("GOOGLETRANSLATE(A39852, ""de"", ""en"")"),"lay")</f>
        <v>lay</v>
      </c>
    </row>
    <row r="39853">
      <c r="A39853" s="1" t="s">
        <v>39852</v>
      </c>
      <c r="B39853" s="2" t="str">
        <f>IFERROR(__xludf.DUMMYFUNCTION("GOOGLETRANSLATE(A39853, ""de"", ""en"")"),"c.j.")</f>
        <v>c.j.</v>
      </c>
    </row>
    <row r="39854">
      <c r="A39854" s="1" t="s">
        <v>39853</v>
      </c>
      <c r="B39854" s="2" t="str">
        <f>IFERROR(__xludf.DUMMYFUNCTION("GOOGLETRANSLATE(A39854, ""de"", ""en"")"),"world population")</f>
        <v>world population</v>
      </c>
    </row>
    <row r="39855">
      <c r="A39855" s="1" t="s">
        <v>39854</v>
      </c>
      <c r="B39855" s="2" t="str">
        <f>IFERROR(__xludf.DUMMYFUNCTION("GOOGLETRANSLATE(A39855, ""de"", ""en"")"),"nadir")</f>
        <v>nadir</v>
      </c>
    </row>
    <row r="39856">
      <c r="A39856" s="1" t="s">
        <v>39855</v>
      </c>
      <c r="B39856" s="2" t="str">
        <f>IFERROR(__xludf.DUMMYFUNCTION("GOOGLETRANSLATE(A39856, ""de"", ""en"")"),"eps")</f>
        <v>eps</v>
      </c>
    </row>
    <row r="39857">
      <c r="A39857" s="1" t="s">
        <v>39856</v>
      </c>
      <c r="B39857" s="2" t="str">
        <f>IFERROR(__xludf.DUMMYFUNCTION("GOOGLETRANSLATE(A39857, ""de"", ""en"")"),"dasha")</f>
        <v>dasha</v>
      </c>
    </row>
    <row r="39858">
      <c r="A39858" s="1" t="s">
        <v>39857</v>
      </c>
      <c r="B39858" s="2" t="str">
        <f>IFERROR(__xludf.DUMMYFUNCTION("GOOGLETRANSLATE(A39858, ""de"", ""en"")"),"cortex")</f>
        <v>cortex</v>
      </c>
    </row>
    <row r="39859">
      <c r="A39859" s="1" t="s">
        <v>39858</v>
      </c>
      <c r="B39859" s="2" t="str">
        <f>IFERROR(__xludf.DUMMYFUNCTION("GOOGLETRANSLATE(A39859, ""de"", ""en"")"),"ou")</f>
        <v>ou</v>
      </c>
    </row>
    <row r="39860">
      <c r="A39860" s="1" t="s">
        <v>39859</v>
      </c>
      <c r="B39860" s="2" t="str">
        <f>IFERROR(__xludf.DUMMYFUNCTION("GOOGLETRANSLATE(A39860, ""de"", ""en"")"),"hughie")</f>
        <v>hughie</v>
      </c>
    </row>
    <row r="39861">
      <c r="A39861" s="1" t="s">
        <v>39860</v>
      </c>
      <c r="B39861" s="2" t="str">
        <f>IFERROR(__xludf.DUMMYFUNCTION("GOOGLETRANSLATE(A39861, ""de"", ""en"")"),"threaten")</f>
        <v>threaten</v>
      </c>
    </row>
    <row r="39862">
      <c r="A39862" s="1" t="s">
        <v>39861</v>
      </c>
      <c r="B39862" s="2" t="str">
        <f>IFERROR(__xludf.DUMMYFUNCTION("GOOGLETRANSLATE(A39862, ""de"", ""en"")"),"coffy")</f>
        <v>coffy</v>
      </c>
    </row>
    <row r="39863">
      <c r="A39863" s="1" t="s">
        <v>39862</v>
      </c>
      <c r="B39863" s="2" t="str">
        <f>IFERROR(__xludf.DUMMYFUNCTION("GOOGLETRANSLATE(A39863, ""de"", ""en"")"),"endurance")</f>
        <v>endurance</v>
      </c>
    </row>
    <row r="39864">
      <c r="A39864" s="1" t="s">
        <v>39863</v>
      </c>
      <c r="B39864" s="2" t="str">
        <f>IFERROR(__xludf.DUMMYFUNCTION("GOOGLETRANSLATE(A39864, ""de"", ""en"")"),"minh")</f>
        <v>minh</v>
      </c>
    </row>
    <row r="39865">
      <c r="A39865" s="1" t="s">
        <v>39864</v>
      </c>
      <c r="B39865" s="2" t="str">
        <f>IFERROR(__xludf.DUMMYFUNCTION("GOOGLETRANSLATE(A39865, ""de"", ""en"")"),"english teacher")</f>
        <v>english teacher</v>
      </c>
    </row>
    <row r="39866">
      <c r="A39866" s="1" t="s">
        <v>39865</v>
      </c>
      <c r="B39866" s="2" t="str">
        <f>IFERROR(__xludf.DUMMYFUNCTION("GOOGLETRANSLATE(A39866, ""de"", ""en"")"),"soups")</f>
        <v>soups</v>
      </c>
    </row>
    <row r="39867">
      <c r="A39867" s="1" t="s">
        <v>39866</v>
      </c>
      <c r="B39867" s="2" t="str">
        <f>IFERROR(__xludf.DUMMYFUNCTION("GOOGLETRANSLATE(A39867, ""de"", ""en"")"),"to imitate")</f>
        <v>to imitate</v>
      </c>
    </row>
    <row r="39868">
      <c r="A39868" s="1" t="s">
        <v>39867</v>
      </c>
      <c r="B39868" s="2" t="str">
        <f>IFERROR(__xludf.DUMMYFUNCTION("GOOGLETRANSLATE(A39868, ""de"", ""en"")"),"genny")</f>
        <v>genny</v>
      </c>
    </row>
    <row r="39869">
      <c r="A39869" s="1" t="s">
        <v>39868</v>
      </c>
      <c r="B39869" s="2" t="str">
        <f>IFERROR(__xludf.DUMMYFUNCTION("GOOGLETRANSLATE(A39869, ""de"", ""en"")"),"thugs")</f>
        <v>thugs</v>
      </c>
    </row>
    <row r="39870">
      <c r="A39870" s="1" t="s">
        <v>39869</v>
      </c>
      <c r="B39870" s="2" t="str">
        <f>IFERROR(__xludf.DUMMYFUNCTION("GOOGLETRANSLATE(A39870, ""de"", ""en"")"),"gag")</f>
        <v>gag</v>
      </c>
    </row>
    <row r="39871">
      <c r="A39871" s="1" t="s">
        <v>39870</v>
      </c>
      <c r="B39871" s="2" t="str">
        <f>IFERROR(__xludf.DUMMYFUNCTION("GOOGLETRANSLATE(A39871, ""de"", ""en"")"),"x-rayed")</f>
        <v>x-rayed</v>
      </c>
    </row>
    <row r="39872">
      <c r="A39872" s="1" t="s">
        <v>39871</v>
      </c>
      <c r="B39872" s="2" t="str">
        <f>IFERROR(__xludf.DUMMYFUNCTION("GOOGLETRANSLATE(A39872, ""de"", ""en"")"),"crack")</f>
        <v>crack</v>
      </c>
    </row>
    <row r="39873">
      <c r="A39873" s="1" t="s">
        <v>39872</v>
      </c>
      <c r="B39873" s="2" t="str">
        <f>IFERROR(__xludf.DUMMYFUNCTION("GOOGLETRANSLATE(A39873, ""de"", ""en"")"),"on top")</f>
        <v>on top</v>
      </c>
    </row>
    <row r="39874">
      <c r="A39874" s="1" t="s">
        <v>39873</v>
      </c>
      <c r="B39874" s="2" t="str">
        <f>IFERROR(__xludf.DUMMYFUNCTION("GOOGLETRANSLATE(A39874, ""de"", ""en"")"),"saber")</f>
        <v>saber</v>
      </c>
    </row>
    <row r="39875">
      <c r="A39875" s="1" t="s">
        <v>39874</v>
      </c>
      <c r="B39875" s="2" t="str">
        <f>IFERROR(__xludf.DUMMYFUNCTION("GOOGLETRANSLATE(A39875, ""de"", ""en"")"),"drain pipe")</f>
        <v>drain pipe</v>
      </c>
    </row>
    <row r="39876">
      <c r="A39876" s="1" t="s">
        <v>39875</v>
      </c>
      <c r="B39876" s="2" t="str">
        <f>IFERROR(__xludf.DUMMYFUNCTION("GOOGLETRANSLATE(A39876, ""de"", ""en"")"),"calamity")</f>
        <v>calamity</v>
      </c>
    </row>
    <row r="39877">
      <c r="A39877" s="1" t="s">
        <v>39876</v>
      </c>
      <c r="B39877" s="2" t="str">
        <f>IFERROR(__xludf.DUMMYFUNCTION("GOOGLETRANSLATE(A39877, ""de"", ""en"")"),"tap dance")</f>
        <v>tap dance</v>
      </c>
    </row>
    <row r="39878">
      <c r="A39878" s="1" t="s">
        <v>39877</v>
      </c>
      <c r="B39878" s="2" t="str">
        <f>IFERROR(__xludf.DUMMYFUNCTION("GOOGLETRANSLATE(A39878, ""de"", ""en"")"),"to put up")</f>
        <v>to put up</v>
      </c>
    </row>
    <row r="39879">
      <c r="A39879" s="1" t="s">
        <v>39878</v>
      </c>
      <c r="B39879" s="2" t="str">
        <f>IFERROR(__xludf.DUMMYFUNCTION("GOOGLETRANSLATE(A39879, ""de"", ""en"")"),"comfortable")</f>
        <v>comfortable</v>
      </c>
    </row>
    <row r="39880">
      <c r="A39880" s="1" t="s">
        <v>39879</v>
      </c>
      <c r="B39880" s="2" t="str">
        <f>IFERROR(__xludf.DUMMYFUNCTION("GOOGLETRANSLATE(A39880, ""de"", ""en"")"),"mms")</f>
        <v>mms</v>
      </c>
    </row>
    <row r="39881">
      <c r="A39881" s="1" t="s">
        <v>39880</v>
      </c>
      <c r="B39881" s="2" t="str">
        <f>IFERROR(__xludf.DUMMYFUNCTION("GOOGLETRANSLATE(A39881, ""de"", ""en"")"),"frigate")</f>
        <v>frigate</v>
      </c>
    </row>
    <row r="39882">
      <c r="A39882" s="1" t="s">
        <v>39881</v>
      </c>
      <c r="B39882" s="2" t="str">
        <f>IFERROR(__xludf.DUMMYFUNCTION("GOOGLETRANSLATE(A39882, ""de"", ""en"")"),"leffingwell")</f>
        <v>leffingwell</v>
      </c>
    </row>
    <row r="39883">
      <c r="A39883" s="1" t="s">
        <v>39882</v>
      </c>
      <c r="B39883" s="2" t="str">
        <f>IFERROR(__xludf.DUMMYFUNCTION("GOOGLETRANSLATE(A39883, ""de"", ""en"")"),"goode")</f>
        <v>goode</v>
      </c>
    </row>
    <row r="39884">
      <c r="A39884" s="1" t="s">
        <v>39883</v>
      </c>
      <c r="B39884" s="2" t="str">
        <f>IFERROR(__xludf.DUMMYFUNCTION("GOOGLETRANSLATE(A39884, ""de"", ""en"")"),"electrical tape")</f>
        <v>electrical tape</v>
      </c>
    </row>
    <row r="39885">
      <c r="A39885" s="1" t="s">
        <v>39884</v>
      </c>
      <c r="B39885" s="2" t="str">
        <f>IFERROR(__xludf.DUMMYFUNCTION("GOOGLETRANSLATE(A39885, ""de"", ""en"")"),"government building")</f>
        <v>government building</v>
      </c>
    </row>
    <row r="39886">
      <c r="A39886" s="1" t="s">
        <v>39885</v>
      </c>
      <c r="B39886" s="2" t="str">
        <f>IFERROR(__xludf.DUMMYFUNCTION("GOOGLETRANSLATE(A39886, ""de"", ""en"")"),"sued")</f>
        <v>sued</v>
      </c>
    </row>
    <row r="39887">
      <c r="A39887" s="1" t="s">
        <v>39886</v>
      </c>
      <c r="B39887" s="2" t="str">
        <f>IFERROR(__xludf.DUMMYFUNCTION("GOOGLETRANSLATE(A39887, ""de"", ""en"")"),"tight")</f>
        <v>tight</v>
      </c>
    </row>
    <row r="39888">
      <c r="A39888" s="1" t="s">
        <v>39887</v>
      </c>
      <c r="B39888" s="2" t="str">
        <f>IFERROR(__xludf.DUMMYFUNCTION("GOOGLETRANSLATE(A39888, ""de"", ""en"")"),"grumpy")</f>
        <v>grumpy</v>
      </c>
    </row>
    <row r="39889">
      <c r="A39889" s="1" t="s">
        <v>39888</v>
      </c>
      <c r="B39889" s="2" t="str">
        <f>IFERROR(__xludf.DUMMYFUNCTION("GOOGLETRANSLATE(A39889, ""de"", ""en"")"),"oregano")</f>
        <v>oregano</v>
      </c>
    </row>
    <row r="39890">
      <c r="A39890" s="1" t="s">
        <v>39889</v>
      </c>
      <c r="B39890" s="2" t="str">
        <f>IFERROR(__xludf.DUMMYFUNCTION("GOOGLETRANSLATE(A39890, ""de"", ""en"")"),"chapel")</f>
        <v>chapel</v>
      </c>
    </row>
    <row r="39891">
      <c r="A39891" s="1" t="s">
        <v>39890</v>
      </c>
      <c r="B39891" s="2" t="str">
        <f>IFERROR(__xludf.DUMMYFUNCTION("GOOGLETRANSLATE(A39891, ""de"", ""en"")"),"horizontal")</f>
        <v>horizontal</v>
      </c>
    </row>
    <row r="39892">
      <c r="A39892" s="1" t="s">
        <v>39891</v>
      </c>
      <c r="B39892" s="2" t="str">
        <f>IFERROR(__xludf.DUMMYFUNCTION("GOOGLETRANSLATE(A39892, ""de"", ""en"")"),"charcoal")</f>
        <v>charcoal</v>
      </c>
    </row>
    <row r="39893">
      <c r="A39893" s="1" t="s">
        <v>39892</v>
      </c>
      <c r="B39893" s="2" t="str">
        <f>IFERROR(__xludf.DUMMYFUNCTION("GOOGLETRANSLATE(A39893, ""de"", ""en"")"),"lab rats")</f>
        <v>lab rats</v>
      </c>
    </row>
    <row r="39894">
      <c r="A39894" s="1" t="s">
        <v>39893</v>
      </c>
      <c r="B39894" s="2" t="str">
        <f>IFERROR(__xludf.DUMMYFUNCTION("GOOGLETRANSLATE(A39894, ""de"", ""en"")"),"armbruster")</f>
        <v>armbruster</v>
      </c>
    </row>
    <row r="39895">
      <c r="A39895" s="1" t="s">
        <v>39894</v>
      </c>
      <c r="B39895" s="2" t="str">
        <f>IFERROR(__xludf.DUMMYFUNCTION("GOOGLETRANSLATE(A39895, ""de"", ""en"")"),"based")</f>
        <v>based</v>
      </c>
    </row>
    <row r="39896">
      <c r="A39896" s="1" t="s">
        <v>39895</v>
      </c>
      <c r="B39896" s="2" t="str">
        <f>IFERROR(__xludf.DUMMYFUNCTION("GOOGLETRANSLATE(A39896, ""de"", ""en"")"),"police state")</f>
        <v>police state</v>
      </c>
    </row>
    <row r="39897">
      <c r="A39897" s="1" t="s">
        <v>39896</v>
      </c>
      <c r="B39897" s="2" t="str">
        <f>IFERROR(__xludf.DUMMYFUNCTION("GOOGLETRANSLATE(A39897, ""de"", ""en"")"),"booted up")</f>
        <v>booted up</v>
      </c>
    </row>
    <row r="39898">
      <c r="A39898" s="1" t="s">
        <v>39897</v>
      </c>
      <c r="B39898" s="2" t="str">
        <f>IFERROR(__xludf.DUMMYFUNCTION("GOOGLETRANSLATE(A39898, ""de"", ""en"")"),"relaxed")</f>
        <v>relaxed</v>
      </c>
    </row>
    <row r="39899">
      <c r="A39899" s="1" t="s">
        <v>39898</v>
      </c>
      <c r="B39899" s="2" t="str">
        <f>IFERROR(__xludf.DUMMYFUNCTION("GOOGLETRANSLATE(A39899, ""de"", ""en"")"),"liver failure")</f>
        <v>liver failure</v>
      </c>
    </row>
    <row r="39900">
      <c r="A39900" s="1" t="s">
        <v>39899</v>
      </c>
      <c r="B39900" s="2" t="str">
        <f>IFERROR(__xludf.DUMMYFUNCTION("GOOGLETRANSLATE(A39900, ""de"", ""en"")"),"lazar")</f>
        <v>lazar</v>
      </c>
    </row>
    <row r="39901">
      <c r="A39901" s="1" t="s">
        <v>39900</v>
      </c>
      <c r="B39901" s="2" t="str">
        <f>IFERROR(__xludf.DUMMYFUNCTION("GOOGLETRANSLATE(A39901, ""de"", ""en"")"),"necessary")</f>
        <v>necessary</v>
      </c>
    </row>
    <row r="39902">
      <c r="A39902" s="1" t="s">
        <v>39901</v>
      </c>
      <c r="B39902" s="2" t="str">
        <f>IFERROR(__xludf.DUMMYFUNCTION("GOOGLETRANSLATE(A39902, ""de"", ""en"")"),"cost")</f>
        <v>cost</v>
      </c>
    </row>
    <row r="39903">
      <c r="A39903" s="1" t="s">
        <v>39902</v>
      </c>
      <c r="B39903" s="2" t="str">
        <f>IFERROR(__xludf.DUMMYFUNCTION("GOOGLETRANSLATE(A39903, ""de"", ""en"")"),"lab")</f>
        <v>lab</v>
      </c>
    </row>
    <row r="39904">
      <c r="A39904" s="1" t="s">
        <v>39903</v>
      </c>
      <c r="B39904" s="2" t="str">
        <f>IFERROR(__xludf.DUMMYFUNCTION("GOOGLETRANSLATE(A39904, ""de"", ""en"")"),"lit")</f>
        <v>lit</v>
      </c>
    </row>
    <row r="39905">
      <c r="A39905" s="1" t="s">
        <v>39904</v>
      </c>
      <c r="B39905" s="2" t="str">
        <f>IFERROR(__xludf.DUMMYFUNCTION("GOOGLETRANSLATE(A39905, ""de"", ""en"")"),"incoming")</f>
        <v>incoming</v>
      </c>
    </row>
    <row r="39906">
      <c r="A39906" s="1" t="s">
        <v>39905</v>
      </c>
      <c r="B39906" s="2" t="str">
        <f>IFERROR(__xludf.DUMMYFUNCTION("GOOGLETRANSLATE(A39906, ""de"", ""en"")"),"refuse")</f>
        <v>refuse</v>
      </c>
    </row>
    <row r="39907">
      <c r="A39907" s="1" t="s">
        <v>39906</v>
      </c>
      <c r="B39907" s="2" t="str">
        <f>IFERROR(__xludf.DUMMYFUNCTION("GOOGLETRANSLATE(A39907, ""de"", ""en"")"),"heroic")</f>
        <v>heroic</v>
      </c>
    </row>
    <row r="39908">
      <c r="A39908" s="1" t="s">
        <v>39907</v>
      </c>
      <c r="B39908" s="2" t="str">
        <f>IFERROR(__xludf.DUMMYFUNCTION("GOOGLETRANSLATE(A39908, ""de"", ""en"")"),"starting signal")</f>
        <v>starting signal</v>
      </c>
    </row>
    <row r="39909">
      <c r="A39909" s="1" t="s">
        <v>39908</v>
      </c>
      <c r="B39909" s="2" t="str">
        <f>IFERROR(__xludf.DUMMYFUNCTION("GOOGLETRANSLATE(A39909, ""de"", ""en"")"),"pearly")</f>
        <v>pearly</v>
      </c>
    </row>
    <row r="39910">
      <c r="A39910" s="1" t="s">
        <v>39909</v>
      </c>
      <c r="B39910" s="2" t="str">
        <f>IFERROR(__xludf.DUMMYFUNCTION("GOOGLETRANSLATE(A39910, ""de"", ""en"")"),"couture")</f>
        <v>couture</v>
      </c>
    </row>
    <row r="39911">
      <c r="A39911" s="1" t="s">
        <v>39910</v>
      </c>
      <c r="B39911" s="2" t="str">
        <f>IFERROR(__xludf.DUMMYFUNCTION("GOOGLETRANSLATE(A39911, ""de"", ""en"")"),"spoon")</f>
        <v>spoon</v>
      </c>
    </row>
    <row r="39912">
      <c r="A39912" s="1" t="s">
        <v>39911</v>
      </c>
      <c r="B39912" s="2" t="str">
        <f>IFERROR(__xludf.DUMMYFUNCTION("GOOGLETRANSLATE(A39912, ""de"", ""en"")"),"whispering")</f>
        <v>whispering</v>
      </c>
    </row>
    <row r="39913">
      <c r="A39913" s="1" t="s">
        <v>39912</v>
      </c>
      <c r="B39913" s="2" t="str">
        <f>IFERROR(__xludf.DUMMYFUNCTION("GOOGLETRANSLATE(A39913, ""de"", ""en"")"),"doron")</f>
        <v>doron</v>
      </c>
    </row>
    <row r="39914">
      <c r="A39914" s="1" t="s">
        <v>39913</v>
      </c>
      <c r="B39914" s="2" t="str">
        <f>IFERROR(__xludf.DUMMYFUNCTION("GOOGLETRANSLATE(A39914, ""de"", ""en"")"),"copes")</f>
        <v>copes</v>
      </c>
    </row>
    <row r="39915">
      <c r="A39915" s="1" t="s">
        <v>39914</v>
      </c>
      <c r="B39915" s="2" t="str">
        <f>IFERROR(__xludf.DUMMYFUNCTION("GOOGLETRANSLATE(A39915, ""de"", ""en"")"),"record store")</f>
        <v>record store</v>
      </c>
    </row>
    <row r="39916">
      <c r="A39916" s="1" t="s">
        <v>39915</v>
      </c>
      <c r="B39916" s="2" t="str">
        <f>IFERROR(__xludf.DUMMYFUNCTION("GOOGLETRANSLATE(A39916, ""de"", ""en"")"),"turbines")</f>
        <v>turbines</v>
      </c>
    </row>
    <row r="39917">
      <c r="A39917" s="1" t="s">
        <v>39916</v>
      </c>
      <c r="B39917" s="2" t="str">
        <f>IFERROR(__xludf.DUMMYFUNCTION("GOOGLETRANSLATE(A39917, ""de"", ""en"")"),"anxious")</f>
        <v>anxious</v>
      </c>
    </row>
    <row r="39918">
      <c r="A39918" s="1" t="s">
        <v>39917</v>
      </c>
      <c r="B39918" s="2" t="str">
        <f>IFERROR(__xludf.DUMMYFUNCTION("GOOGLETRANSLATE(A39918, ""de"", ""en"")"),"h.r.")</f>
        <v>h.r.</v>
      </c>
    </row>
    <row r="39919">
      <c r="A39919" s="1" t="s">
        <v>39918</v>
      </c>
      <c r="B39919" s="2" t="str">
        <f>IFERROR(__xludf.DUMMYFUNCTION("GOOGLETRANSLATE(A39919, ""de"", ""en"")"),"water bottle")</f>
        <v>water bottle</v>
      </c>
    </row>
    <row r="39920">
      <c r="A39920" s="1" t="s">
        <v>39919</v>
      </c>
      <c r="B39920" s="2" t="str">
        <f>IFERROR(__xludf.DUMMYFUNCTION("GOOGLETRANSLATE(A39920, ""de"", ""en"")"),"target acquisition")</f>
        <v>target acquisition</v>
      </c>
    </row>
    <row r="39921">
      <c r="A39921" s="1" t="s">
        <v>39920</v>
      </c>
      <c r="B39921" s="2" t="str">
        <f>IFERROR(__xludf.DUMMYFUNCTION("GOOGLETRANSLATE(A39921, ""de"", ""en"")"),"rewinds")</f>
        <v>rewinds</v>
      </c>
    </row>
    <row r="39922">
      <c r="A39922" s="1" t="s">
        <v>39921</v>
      </c>
      <c r="B39922" s="2" t="str">
        <f>IFERROR(__xludf.DUMMYFUNCTION("GOOGLETRANSLATE(A39922, ""de"", ""en"")"),"Ilyich")</f>
        <v>Ilyich</v>
      </c>
    </row>
    <row r="39923">
      <c r="A39923" s="1" t="s">
        <v>39922</v>
      </c>
      <c r="B39923" s="2" t="str">
        <f>IFERROR(__xludf.DUMMYFUNCTION("GOOGLETRANSLATE(A39923, ""de"", ""en"")"),"fairy dust")</f>
        <v>fairy dust</v>
      </c>
    </row>
    <row r="39924">
      <c r="A39924" s="1" t="s">
        <v>39923</v>
      </c>
      <c r="B39924" s="2" t="str">
        <f>IFERROR(__xludf.DUMMYFUNCTION("GOOGLETRANSLATE(A39924, ""de"", ""en"")"),"huge asshole")</f>
        <v>huge asshole</v>
      </c>
    </row>
    <row r="39925">
      <c r="A39925" s="1" t="s">
        <v>39924</v>
      </c>
      <c r="B39925" s="2" t="str">
        <f>IFERROR(__xludf.DUMMYFUNCTION("GOOGLETRANSLATE(A39925, ""de"", ""en"")"),"lax")</f>
        <v>lax</v>
      </c>
    </row>
    <row r="39926">
      <c r="A39926" s="1" t="s">
        <v>39925</v>
      </c>
      <c r="B39926" s="2" t="str">
        <f>IFERROR(__xludf.DUMMYFUNCTION("GOOGLETRANSLATE(A39926, ""de"", ""en"")"),"breed")</f>
        <v>breed</v>
      </c>
    </row>
    <row r="39927">
      <c r="A39927" s="1" t="s">
        <v>39926</v>
      </c>
      <c r="B39927" s="2" t="str">
        <f>IFERROR(__xludf.DUMMYFUNCTION("GOOGLETRANSLATE(A39927, ""de"", ""en"")"),"flats")</f>
        <v>flats</v>
      </c>
    </row>
    <row r="39928">
      <c r="A39928" s="1" t="s">
        <v>39927</v>
      </c>
      <c r="B39928" s="2" t="str">
        <f>IFERROR(__xludf.DUMMYFUNCTION("GOOGLETRANSLATE(A39928, ""de"", ""en"")"),"aeeus")</f>
        <v>aeeus</v>
      </c>
    </row>
    <row r="39929">
      <c r="A39929" s="1" t="s">
        <v>39928</v>
      </c>
      <c r="B39929" s="2" t="str">
        <f>IFERROR(__xludf.DUMMYFUNCTION("GOOGLETRANSLATE(A39929, ""de"", ""en"")"),"accepted")</f>
        <v>accepted</v>
      </c>
    </row>
    <row r="39930">
      <c r="A39930" s="1" t="s">
        <v>39929</v>
      </c>
      <c r="B39930" s="2" t="str">
        <f>IFERROR(__xludf.DUMMYFUNCTION("GOOGLETRANSLATE(A39930, ""de"", ""en"")"),"coziness")</f>
        <v>coziness</v>
      </c>
    </row>
    <row r="39931">
      <c r="A39931" s="1" t="s">
        <v>39930</v>
      </c>
      <c r="B39931" s="2" t="str">
        <f>IFERROR(__xludf.DUMMYFUNCTION("GOOGLETRANSLATE(A39931, ""de"", ""en"")"),"knocked in")</f>
        <v>knocked in</v>
      </c>
    </row>
    <row r="39932">
      <c r="A39932" s="1" t="s">
        <v>39931</v>
      </c>
      <c r="B39932" s="2" t="str">
        <f>IFERROR(__xludf.DUMMYFUNCTION("GOOGLETRANSLATE(A39932, ""de"", ""en"")"),"what")</f>
        <v>what</v>
      </c>
    </row>
    <row r="39933">
      <c r="A39933" s="1" t="s">
        <v>39932</v>
      </c>
      <c r="B39933" s="2" t="str">
        <f>IFERROR(__xludf.DUMMYFUNCTION("GOOGLETRANSLATE(A39933, ""de"", ""en"")"),"stroll")</f>
        <v>stroll</v>
      </c>
    </row>
    <row r="39934">
      <c r="A39934" s="1" t="s">
        <v>39933</v>
      </c>
      <c r="B39934" s="2" t="str">
        <f>IFERROR(__xludf.DUMMYFUNCTION("GOOGLETRANSLATE(A39934, ""de"", ""en"")"),"slipped")</f>
        <v>slipped</v>
      </c>
    </row>
    <row r="39935">
      <c r="A39935" s="1" t="s">
        <v>39934</v>
      </c>
      <c r="B39935" s="2" t="str">
        <f>IFERROR(__xludf.DUMMYFUNCTION("GOOGLETRANSLATE(A39935, ""de"", ""en"")"),"headset")</f>
        <v>headset</v>
      </c>
    </row>
    <row r="39936">
      <c r="A39936" s="1" t="s">
        <v>39935</v>
      </c>
      <c r="B39936" s="2" t="str">
        <f>IFERROR(__xludf.DUMMYFUNCTION("GOOGLETRANSLATE(A39936, ""de"", ""en"")"),"tudor")</f>
        <v>tudor</v>
      </c>
    </row>
    <row r="39937">
      <c r="A39937" s="1" t="s">
        <v>39936</v>
      </c>
      <c r="B39937" s="2" t="str">
        <f>IFERROR(__xludf.DUMMYFUNCTION("GOOGLETRANSLATE(A39937, ""de"", ""en"")"),"keep out")</f>
        <v>keep out</v>
      </c>
    </row>
    <row r="39938">
      <c r="A39938" s="1" t="s">
        <v>39937</v>
      </c>
      <c r="B39938" s="2" t="str">
        <f>IFERROR(__xludf.DUMMYFUNCTION("GOOGLETRANSLATE(A39938, ""de"", ""en"")"),"southfork")</f>
        <v>southfork</v>
      </c>
    </row>
    <row r="39939">
      <c r="A39939" s="1" t="s">
        <v>39938</v>
      </c>
      <c r="B39939" s="2" t="str">
        <f>IFERROR(__xludf.DUMMYFUNCTION("GOOGLETRANSLATE(A39939, ""de"", ""en"")"),"sharma")</f>
        <v>sharma</v>
      </c>
    </row>
    <row r="39940">
      <c r="A39940" s="1" t="s">
        <v>39939</v>
      </c>
      <c r="B39940" s="2" t="str">
        <f>IFERROR(__xludf.DUMMYFUNCTION("GOOGLETRANSLATE(A39940, ""de"", ""en"")"),"spy on")</f>
        <v>spy on</v>
      </c>
    </row>
    <row r="39941">
      <c r="A39941" s="1" t="s">
        <v>39940</v>
      </c>
      <c r="B39941" s="2" t="str">
        <f>IFERROR(__xludf.DUMMYFUNCTION("GOOGLETRANSLATE(A39941, ""de"", ""en"")"),"complicate")</f>
        <v>complicate</v>
      </c>
    </row>
    <row r="39942">
      <c r="A39942" s="1" t="s">
        <v>39941</v>
      </c>
      <c r="B39942" s="2" t="str">
        <f>IFERROR(__xludf.DUMMYFUNCTION("GOOGLETRANSLATE(A39942, ""de"", ""en"")"),"Mirko")</f>
        <v>Mirko</v>
      </c>
    </row>
    <row r="39943">
      <c r="A39943" s="1" t="s">
        <v>39942</v>
      </c>
      <c r="B39943" s="2" t="str">
        <f>IFERROR(__xludf.DUMMYFUNCTION("GOOGLETRANSLATE(A39943, ""de"", ""en"")"),"distributed")</f>
        <v>distributed</v>
      </c>
    </row>
    <row r="39944">
      <c r="A39944" s="1" t="s">
        <v>39943</v>
      </c>
      <c r="B39944" s="2" t="str">
        <f>IFERROR(__xludf.DUMMYFUNCTION("GOOGLETRANSLATE(A39944, ""de"", ""en"")"),"Yiddish")</f>
        <v>Yiddish</v>
      </c>
    </row>
    <row r="39945">
      <c r="A39945" s="1" t="s">
        <v>39944</v>
      </c>
      <c r="B39945" s="2" t="str">
        <f>IFERROR(__xludf.DUMMYFUNCTION("GOOGLETRANSLATE(A39945, ""de"", ""en"")"),"put it on")</f>
        <v>put it on</v>
      </c>
    </row>
    <row r="39946">
      <c r="A39946" s="1" t="s">
        <v>39945</v>
      </c>
      <c r="B39946" s="2" t="str">
        <f>IFERROR(__xludf.DUMMYFUNCTION("GOOGLETRANSLATE(A39946, ""de"", ""en"")"),"spring")</f>
        <v>spring</v>
      </c>
    </row>
    <row r="39947">
      <c r="A39947" s="1" t="s">
        <v>39946</v>
      </c>
      <c r="B39947" s="2" t="str">
        <f>IFERROR(__xludf.DUMMYFUNCTION("GOOGLETRANSLATE(A39947, ""de"", ""en"")"),"albatross")</f>
        <v>albatross</v>
      </c>
    </row>
    <row r="39948">
      <c r="A39948" s="1" t="s">
        <v>39947</v>
      </c>
      <c r="B39948" s="2" t="str">
        <f>IFERROR(__xludf.DUMMYFUNCTION("GOOGLETRANSLATE(A39948, ""de"", ""en"")"),"Fabien")</f>
        <v>Fabien</v>
      </c>
    </row>
    <row r="39949">
      <c r="A39949" s="1" t="s">
        <v>39948</v>
      </c>
      <c r="B39949" s="2" t="str">
        <f>IFERROR(__xludf.DUMMYFUNCTION("GOOGLETRANSLATE(A39949, ""de"", ""en"")"),"know-how")</f>
        <v>know-how</v>
      </c>
    </row>
    <row r="39950">
      <c r="A39950" s="1" t="s">
        <v>39949</v>
      </c>
      <c r="B39950" s="2" t="str">
        <f>IFERROR(__xludf.DUMMYFUNCTION("GOOGLETRANSLATE(A39950, ""de"", ""en"")"),"basic")</f>
        <v>basic</v>
      </c>
    </row>
    <row r="39951">
      <c r="A39951" s="1" t="s">
        <v>39950</v>
      </c>
      <c r="B39951" s="2" t="str">
        <f>IFERROR(__xludf.DUMMYFUNCTION("GOOGLETRANSLATE(A39951, ""de"", ""en"")"),"penetration")</f>
        <v>penetration</v>
      </c>
    </row>
    <row r="39952">
      <c r="A39952" s="1" t="s">
        <v>39951</v>
      </c>
      <c r="B39952" s="2" t="str">
        <f>IFERROR(__xludf.DUMMYFUNCTION("GOOGLETRANSLATE(A39952, ""de"", ""en"")"),"apron")</f>
        <v>apron</v>
      </c>
    </row>
    <row r="39953">
      <c r="A39953" s="1" t="s">
        <v>39952</v>
      </c>
      <c r="B39953" s="2" t="str">
        <f>IFERROR(__xludf.DUMMYFUNCTION("GOOGLETRANSLATE(A39953, ""de"", ""en"")"),"periscope")</f>
        <v>periscope</v>
      </c>
    </row>
    <row r="39954">
      <c r="A39954" s="1" t="s">
        <v>39953</v>
      </c>
      <c r="B39954" s="2" t="str">
        <f>IFERROR(__xludf.DUMMYFUNCTION("GOOGLETRANSLATE(A39954, ""de"", ""en"")"),"cool")</f>
        <v>cool</v>
      </c>
    </row>
    <row r="39955">
      <c r="A39955" s="1" t="s">
        <v>39954</v>
      </c>
      <c r="B39955" s="2" t="str">
        <f>IFERROR(__xludf.DUMMYFUNCTION("GOOGLETRANSLATE(A39955, ""de"", ""en"")"),"babcock")</f>
        <v>babcock</v>
      </c>
    </row>
    <row r="39956">
      <c r="A39956" s="1" t="s">
        <v>39955</v>
      </c>
      <c r="B39956" s="2" t="str">
        <f>IFERROR(__xludf.DUMMYFUNCTION("GOOGLETRANSLATE(A39956, ""de"", ""en"")"),"peddle")</f>
        <v>peddle</v>
      </c>
    </row>
    <row r="39957">
      <c r="A39957" s="1" t="s">
        <v>39956</v>
      </c>
      <c r="B39957" s="2" t="str">
        <f>IFERROR(__xludf.DUMMYFUNCTION("GOOGLETRANSLATE(A39957, ""de"", ""en"")"),"interface")</f>
        <v>interface</v>
      </c>
    </row>
    <row r="39958">
      <c r="A39958" s="1" t="s">
        <v>39957</v>
      </c>
      <c r="B39958" s="2" t="str">
        <f>IFERROR(__xludf.DUMMYFUNCTION("GOOGLETRANSLATE(A39958, ""de"", ""en"")"),"awarded")</f>
        <v>awarded</v>
      </c>
    </row>
    <row r="39959">
      <c r="A39959" s="1" t="s">
        <v>39958</v>
      </c>
      <c r="B39959" s="2" t="str">
        <f>IFERROR(__xludf.DUMMYFUNCTION("GOOGLETRANSLATE(A39959, ""de"", ""en"")"),"sitcom")</f>
        <v>sitcom</v>
      </c>
    </row>
    <row r="39960">
      <c r="A39960" s="1" t="s">
        <v>39959</v>
      </c>
      <c r="B39960" s="2" t="str">
        <f>IFERROR(__xludf.DUMMYFUNCTION("GOOGLETRANSLATE(A39960, ""de"", ""en"")"),"gallon")</f>
        <v>gallon</v>
      </c>
    </row>
    <row r="39961">
      <c r="A39961" s="1" t="s">
        <v>39960</v>
      </c>
      <c r="B39961" s="2" t="str">
        <f>IFERROR(__xludf.DUMMYFUNCTION("GOOGLETRANSLATE(A39961, ""de"", ""en"")"),"forensic pathologist")</f>
        <v>forensic pathologist</v>
      </c>
    </row>
    <row r="39962">
      <c r="A39962" s="1" t="s">
        <v>39961</v>
      </c>
      <c r="B39962" s="2" t="str">
        <f>IFERROR(__xludf.DUMMYFUNCTION("GOOGLETRANSLATE(A39962, ""de"", ""en"")"),"whimsical")</f>
        <v>whimsical</v>
      </c>
    </row>
    <row r="39963">
      <c r="A39963" s="1" t="s">
        <v>39962</v>
      </c>
      <c r="B39963" s="2" t="str">
        <f>IFERROR(__xludf.DUMMYFUNCTION("GOOGLETRANSLATE(A39963, ""de"", ""en"")"),"more stately")</f>
        <v>more stately</v>
      </c>
    </row>
    <row r="39964">
      <c r="A39964" s="1" t="s">
        <v>39963</v>
      </c>
      <c r="B39964" s="2" t="str">
        <f>IFERROR(__xludf.DUMMYFUNCTION("GOOGLETRANSLATE(A39964, ""de"", ""en"")"),"free ticket")</f>
        <v>free ticket</v>
      </c>
    </row>
    <row r="39965">
      <c r="A39965" s="1" t="s">
        <v>39964</v>
      </c>
      <c r="B39965" s="2" t="str">
        <f>IFERROR(__xludf.DUMMYFUNCTION("GOOGLETRANSLATE(A39965, ""de"", ""en"")"),"knee deep")</f>
        <v>knee deep</v>
      </c>
    </row>
    <row r="39966">
      <c r="A39966" s="1" t="s">
        <v>39965</v>
      </c>
      <c r="B39966" s="2" t="str">
        <f>IFERROR(__xludf.DUMMYFUNCTION("GOOGLETRANSLATE(A39966, ""de"", ""en"")"),"resistance")</f>
        <v>resistance</v>
      </c>
    </row>
    <row r="39967">
      <c r="A39967" s="1" t="s">
        <v>39966</v>
      </c>
      <c r="B39967" s="2" t="str">
        <f>IFERROR(__xludf.DUMMYFUNCTION("GOOGLETRANSLATE(A39967, ""de"", ""en"")"),"sali")</f>
        <v>sali</v>
      </c>
    </row>
    <row r="39968">
      <c r="A39968" s="1" t="s">
        <v>39967</v>
      </c>
      <c r="B39968" s="2" t="str">
        <f>IFERROR(__xludf.DUMMYFUNCTION("GOOGLETRANSLATE(A39968, ""de"", ""en"")"),"visited")</f>
        <v>visited</v>
      </c>
    </row>
    <row r="39969">
      <c r="A39969" s="1" t="s">
        <v>39968</v>
      </c>
      <c r="B39969" s="2" t="str">
        <f>IFERROR(__xludf.DUMMYFUNCTION("GOOGLETRANSLATE(A39969, ""de"", ""en"")"),"special agent")</f>
        <v>special agent</v>
      </c>
    </row>
    <row r="39970">
      <c r="A39970" s="1" t="s">
        <v>39969</v>
      </c>
      <c r="B39970" s="2" t="str">
        <f>IFERROR(__xludf.DUMMYFUNCTION("GOOGLETRANSLATE(A39970, ""de"", ""en"")"),"burden")</f>
        <v>burden</v>
      </c>
    </row>
    <row r="39971">
      <c r="A39971" s="1" t="s">
        <v>39970</v>
      </c>
      <c r="B39971" s="2" t="str">
        <f>IFERROR(__xludf.DUMMYFUNCTION("GOOGLETRANSLATE(A39971, ""de"", ""en"")"),"highlight")</f>
        <v>highlight</v>
      </c>
    </row>
    <row r="39972">
      <c r="A39972" s="1" t="s">
        <v>39971</v>
      </c>
      <c r="B39972" s="2" t="str">
        <f>IFERROR(__xludf.DUMMYFUNCTION("GOOGLETRANSLATE(A39972, ""de"", ""en"")"),"street corners")</f>
        <v>street corners</v>
      </c>
    </row>
    <row r="39973">
      <c r="A39973" s="1" t="s">
        <v>39972</v>
      </c>
      <c r="B39973" s="2" t="str">
        <f>IFERROR(__xludf.DUMMYFUNCTION("GOOGLETRANSLATE(A39973, ""de"", ""en"")"),"favorite place")</f>
        <v>favorite place</v>
      </c>
    </row>
    <row r="39974">
      <c r="A39974" s="1" t="s">
        <v>39973</v>
      </c>
      <c r="B39974" s="2" t="str">
        <f>IFERROR(__xludf.DUMMYFUNCTION("GOOGLETRANSLATE(A39974, ""de"", ""en"")"),"parton")</f>
        <v>parton</v>
      </c>
    </row>
    <row r="39975">
      <c r="A39975" s="1" t="s">
        <v>39974</v>
      </c>
      <c r="B39975" s="2" t="str">
        <f>IFERROR(__xludf.DUMMYFUNCTION("GOOGLETRANSLATE(A39975, ""de"", ""en"")"),"representative")</f>
        <v>representative</v>
      </c>
    </row>
    <row r="39976">
      <c r="A39976" s="1" t="s">
        <v>39975</v>
      </c>
      <c r="B39976" s="2" t="str">
        <f>IFERROR(__xludf.DUMMYFUNCTION("GOOGLETRANSLATE(A39976, ""de"", ""en"")"),"contained")</f>
        <v>contained</v>
      </c>
    </row>
    <row r="39977">
      <c r="A39977" s="1" t="s">
        <v>39976</v>
      </c>
      <c r="B39977" s="2" t="str">
        <f>IFERROR(__xludf.DUMMYFUNCTION("GOOGLETRANSLATE(A39977, ""de"", ""en"")"),"delegated")</f>
        <v>delegated</v>
      </c>
    </row>
    <row r="39978">
      <c r="A39978" s="1" t="s">
        <v>39977</v>
      </c>
      <c r="B39978" s="2" t="str">
        <f>IFERROR(__xludf.DUMMYFUNCTION("GOOGLETRANSLATE(A39978, ""de"", ""en"")"),"buried")</f>
        <v>buried</v>
      </c>
    </row>
    <row r="39979">
      <c r="A39979" s="1" t="s">
        <v>39978</v>
      </c>
      <c r="B39979" s="2" t="str">
        <f>IFERROR(__xludf.DUMMYFUNCTION("GOOGLETRANSLATE(A39979, ""de"", ""en"")"),"sheldons")</f>
        <v>sheldons</v>
      </c>
    </row>
    <row r="39980">
      <c r="A39980" s="1" t="s">
        <v>39979</v>
      </c>
      <c r="B39980" s="2" t="str">
        <f>IFERROR(__xludf.DUMMYFUNCTION("GOOGLETRANSLATE(A39980, ""de"", ""en"")"),"darrow")</f>
        <v>darrow</v>
      </c>
    </row>
    <row r="39981">
      <c r="A39981" s="1" t="s">
        <v>39980</v>
      </c>
      <c r="B39981" s="2" t="str">
        <f>IFERROR(__xludf.DUMMYFUNCTION("GOOGLETRANSLATE(A39981, ""de"", ""en"")"),"implant")</f>
        <v>implant</v>
      </c>
    </row>
    <row r="39982">
      <c r="A39982" s="1" t="s">
        <v>39981</v>
      </c>
      <c r="B39982" s="2" t="str">
        <f>IFERROR(__xludf.DUMMYFUNCTION("GOOGLETRANSLATE(A39982, ""de"", ""en"")"),"garvin")</f>
        <v>garvin</v>
      </c>
    </row>
    <row r="39983">
      <c r="A39983" s="1" t="s">
        <v>39982</v>
      </c>
      <c r="B39983" s="2" t="str">
        <f>IFERROR(__xludf.DUMMYFUNCTION("GOOGLETRANSLATE(A39983, ""de"", ""en"")"),"seethes")</f>
        <v>seethes</v>
      </c>
    </row>
    <row r="39984">
      <c r="A39984" s="1" t="s">
        <v>39983</v>
      </c>
      <c r="B39984" s="2" t="str">
        <f>IFERROR(__xludf.DUMMYFUNCTION("GOOGLETRANSLATE(A39984, ""de"", ""en"")"),"refueled")</f>
        <v>refueled</v>
      </c>
    </row>
    <row r="39985">
      <c r="A39985" s="1" t="s">
        <v>39984</v>
      </c>
      <c r="B39985" s="2" t="str">
        <f>IFERROR(__xludf.DUMMYFUNCTION("GOOGLETRANSLATE(A39985, ""de"", ""en"")"),"compensation")</f>
        <v>compensation</v>
      </c>
    </row>
    <row r="39986">
      <c r="A39986" s="1" t="s">
        <v>39985</v>
      </c>
      <c r="B39986" s="2" t="str">
        <f>IFERROR(__xludf.DUMMYFUNCTION("GOOGLETRANSLATE(A39986, ""de"", ""en"")"),"pastry shop")</f>
        <v>pastry shop</v>
      </c>
    </row>
    <row r="39987">
      <c r="A39987" s="1" t="s">
        <v>39986</v>
      </c>
      <c r="B39987" s="2" t="str">
        <f>IFERROR(__xludf.DUMMYFUNCTION("GOOGLETRANSLATE(A39987, ""de"", ""en"")"),"merger")</f>
        <v>merger</v>
      </c>
    </row>
    <row r="39988">
      <c r="A39988" s="1" t="s">
        <v>39987</v>
      </c>
      <c r="B39988" s="2" t="str">
        <f>IFERROR(__xludf.DUMMYFUNCTION("GOOGLETRANSLATE(A39988, ""de"", ""en"")"),"Canton")</f>
        <v>Canton</v>
      </c>
    </row>
    <row r="39989">
      <c r="A39989" s="1" t="s">
        <v>39988</v>
      </c>
      <c r="B39989" s="2" t="str">
        <f>IFERROR(__xludf.DUMMYFUNCTION("GOOGLETRANSLATE(A39989, ""de"", ""en"")"),"chocolate")</f>
        <v>chocolate</v>
      </c>
    </row>
    <row r="39990">
      <c r="A39990" s="1" t="s">
        <v>39989</v>
      </c>
      <c r="B39990" s="2" t="str">
        <f>IFERROR(__xludf.DUMMYFUNCTION("GOOGLETRANSLATE(A39990, ""de"", ""en"")"),"waited")</f>
        <v>waited</v>
      </c>
    </row>
    <row r="39991">
      <c r="A39991" s="1" t="s">
        <v>39990</v>
      </c>
      <c r="B39991" s="2" t="str">
        <f>IFERROR(__xludf.DUMMYFUNCTION("GOOGLETRANSLATE(A39991, ""de"", ""en"")"),"sift through")</f>
        <v>sift through</v>
      </c>
    </row>
    <row r="39992">
      <c r="A39992" s="1" t="s">
        <v>39991</v>
      </c>
      <c r="B39992" s="2" t="str">
        <f>IFERROR(__xludf.DUMMYFUNCTION("GOOGLETRANSLATE(A39992, ""de"", ""en"")"),"matched")</f>
        <v>matched</v>
      </c>
    </row>
    <row r="39993">
      <c r="A39993" s="1" t="s">
        <v>39992</v>
      </c>
      <c r="B39993" s="2" t="str">
        <f>IFERROR(__xludf.DUMMYFUNCTION("GOOGLETRANSLATE(A39993, ""de"", ""en"")"),"approval")</f>
        <v>approval</v>
      </c>
    </row>
    <row r="39994">
      <c r="A39994" s="1" t="s">
        <v>39993</v>
      </c>
      <c r="B39994" s="2" t="str">
        <f>IFERROR(__xludf.DUMMYFUNCTION("GOOGLETRANSLATE(A39994, ""de"", ""en"")"),"borrow")</f>
        <v>borrow</v>
      </c>
    </row>
    <row r="39995">
      <c r="A39995" s="1" t="s">
        <v>39994</v>
      </c>
      <c r="B39995" s="2" t="str">
        <f>IFERROR(__xludf.DUMMYFUNCTION("GOOGLETRANSLATE(A39995, ""de"", ""en"")"),"preferred")</f>
        <v>preferred</v>
      </c>
    </row>
    <row r="39996">
      <c r="A39996" s="1" t="s">
        <v>39995</v>
      </c>
      <c r="B39996" s="2" t="str">
        <f>IFERROR(__xludf.DUMMYFUNCTION("GOOGLETRANSLATE(A39996, ""de"", ""en"")"),"have out")</f>
        <v>have out</v>
      </c>
    </row>
    <row r="39997">
      <c r="A39997" s="1" t="s">
        <v>39996</v>
      </c>
      <c r="B39997" s="2" t="str">
        <f>IFERROR(__xludf.DUMMYFUNCTION("GOOGLETRANSLATE(A39997, ""de"", ""en"")"),"space capsule")</f>
        <v>space capsule</v>
      </c>
    </row>
    <row r="39998">
      <c r="A39998" s="1" t="s">
        <v>39997</v>
      </c>
      <c r="B39998" s="2" t="str">
        <f>IFERROR(__xludf.DUMMYFUNCTION("GOOGLETRANSLATE(A39998, ""de"", ""en"")"),"relief")</f>
        <v>relief</v>
      </c>
    </row>
    <row r="39999">
      <c r="A39999" s="1" t="s">
        <v>39998</v>
      </c>
      <c r="B39999" s="2" t="str">
        <f>IFERROR(__xludf.DUMMYFUNCTION("GOOGLETRANSLATE(A39999, ""de"", ""en"")"),"spray")</f>
        <v>spray</v>
      </c>
    </row>
    <row r="40000">
      <c r="A40000" s="1" t="s">
        <v>39999</v>
      </c>
      <c r="B40000" s="2" t="str">
        <f>IFERROR(__xludf.DUMMYFUNCTION("GOOGLETRANSLATE(A40000, ""de"", ""en"")"),"treasury")</f>
        <v>treasury</v>
      </c>
    </row>
    <row r="40001">
      <c r="A40001" s="1" t="s">
        <v>40000</v>
      </c>
      <c r="B40001" s="2" t="str">
        <f>IFERROR(__xludf.DUMMYFUNCTION("GOOGLETRANSLATE(A40001, ""de"", ""en"")"),"coffee pot")</f>
        <v>coffee pot</v>
      </c>
    </row>
    <row r="40002">
      <c r="A40002" s="1" t="s">
        <v>40001</v>
      </c>
      <c r="B40002" s="2" t="str">
        <f>IFERROR(__xludf.DUMMYFUNCTION("GOOGLETRANSLATE(A40002, ""de"", ""en"")"),"oeuvres")</f>
        <v>oeuvres</v>
      </c>
    </row>
    <row r="40003">
      <c r="A40003" s="1" t="s">
        <v>40002</v>
      </c>
      <c r="B40003" s="2" t="str">
        <f>IFERROR(__xludf.DUMMYFUNCTION("GOOGLETRANSLATE(A40003, ""de"", ""en"")"),"culinary art")</f>
        <v>culinary art</v>
      </c>
    </row>
    <row r="40004">
      <c r="A40004" s="1" t="s">
        <v>40003</v>
      </c>
      <c r="B40004" s="2" t="str">
        <f>IFERROR(__xludf.DUMMYFUNCTION("GOOGLETRANSLATE(A40004, ""de"", ""en"")"),"brought home")</f>
        <v>brought home</v>
      </c>
    </row>
    <row r="40005">
      <c r="A40005" s="1" t="s">
        <v>40004</v>
      </c>
      <c r="B40005" s="2" t="str">
        <f>IFERROR(__xludf.DUMMYFUNCTION("GOOGLETRANSLATE(A40005, ""de"", ""en"")"),"adventure")</f>
        <v>adventure</v>
      </c>
    </row>
    <row r="40006">
      <c r="A40006" s="1" t="s">
        <v>40005</v>
      </c>
      <c r="B40006" s="2" t="str">
        <f>IFERROR(__xludf.DUMMYFUNCTION("GOOGLETRANSLATE(A40006, ""de"", ""en"")"),"suspends")</f>
        <v>suspends</v>
      </c>
    </row>
    <row r="40007">
      <c r="A40007" s="1" t="s">
        <v>40006</v>
      </c>
      <c r="B40007" s="2" t="str">
        <f>IFERROR(__xludf.DUMMYFUNCTION("GOOGLETRANSLATE(A40007, ""de"", ""en"")"),"scrub")</f>
        <v>scrub</v>
      </c>
    </row>
    <row r="40008">
      <c r="A40008" s="1" t="s">
        <v>40007</v>
      </c>
      <c r="B40008" s="2" t="str">
        <f>IFERROR(__xludf.DUMMYFUNCTION("GOOGLETRANSLATE(A40008, ""de"", ""en"")"),"adjoining room")</f>
        <v>adjoining room</v>
      </c>
    </row>
    <row r="40009">
      <c r="A40009" s="1" t="s">
        <v>40008</v>
      </c>
      <c r="B40009" s="2" t="str">
        <f>IFERROR(__xludf.DUMMYFUNCTION("GOOGLETRANSLATE(A40009, ""de"", ""en"")"),"bracken")</f>
        <v>bracken</v>
      </c>
    </row>
    <row r="40010">
      <c r="A40010" s="1" t="s">
        <v>40009</v>
      </c>
      <c r="B40010" s="2" t="str">
        <f>IFERROR(__xludf.DUMMYFUNCTION("GOOGLETRANSLATE(A40010, ""de"", ""en"")"),"panting")</f>
        <v>panting</v>
      </c>
    </row>
    <row r="40011">
      <c r="A40011" s="1" t="s">
        <v>40010</v>
      </c>
      <c r="B40011" s="2" t="str">
        <f>IFERROR(__xludf.DUMMYFUNCTION("GOOGLETRANSLATE(A40011, ""de"", ""en"")"),"hired")</f>
        <v>hired</v>
      </c>
    </row>
    <row r="40012">
      <c r="A40012" s="1" t="s">
        <v>40011</v>
      </c>
      <c r="B40012" s="2" t="str">
        <f>IFERROR(__xludf.DUMMYFUNCTION("GOOGLETRANSLATE(A40012, ""de"", ""en"")"),"duc")</f>
        <v>duc</v>
      </c>
    </row>
    <row r="40013">
      <c r="A40013" s="1" t="s">
        <v>40012</v>
      </c>
      <c r="B40013" s="2" t="str">
        <f>IFERROR(__xludf.DUMMYFUNCTION("GOOGLETRANSLATE(A40013, ""de"", ""en"")"),"stacks")</f>
        <v>stacks</v>
      </c>
    </row>
    <row r="40014">
      <c r="A40014" s="1" t="s">
        <v>40013</v>
      </c>
      <c r="B40014" s="2" t="str">
        <f>IFERROR(__xludf.DUMMYFUNCTION("GOOGLETRANSLATE(A40014, ""de"", ""en"")"),"passages")</f>
        <v>passages</v>
      </c>
    </row>
    <row r="40015">
      <c r="A40015" s="1" t="s">
        <v>40014</v>
      </c>
      <c r="B40015" s="2" t="str">
        <f>IFERROR(__xludf.DUMMYFUNCTION("GOOGLETRANSLATE(A40015, ""de"", ""en"")"),"wasted")</f>
        <v>wasted</v>
      </c>
    </row>
    <row r="40016">
      <c r="A40016" s="1" t="s">
        <v>40015</v>
      </c>
      <c r="B40016" s="2" t="str">
        <f>IFERROR(__xludf.DUMMYFUNCTION("GOOGLETRANSLATE(A40016, ""de"", ""en"")"),"waste away")</f>
        <v>waste away</v>
      </c>
    </row>
    <row r="40017">
      <c r="A40017" s="1" t="s">
        <v>40016</v>
      </c>
      <c r="B40017" s="2" t="str">
        <f>IFERROR(__xludf.DUMMYFUNCTION("GOOGLETRANSLATE(A40017, ""de"", ""en"")"),"albertine")</f>
        <v>albertine</v>
      </c>
    </row>
    <row r="40018">
      <c r="A40018" s="1" t="s">
        <v>40017</v>
      </c>
      <c r="B40018" s="2" t="str">
        <f>IFERROR(__xludf.DUMMYFUNCTION("GOOGLETRANSLATE(A40018, ""de"", ""en"")"),"stragglers")</f>
        <v>stragglers</v>
      </c>
    </row>
    <row r="40019">
      <c r="A40019" s="1" t="s">
        <v>40018</v>
      </c>
      <c r="B40019" s="2" t="str">
        <f>IFERROR(__xludf.DUMMYFUNCTION("GOOGLETRANSLATE(A40019, ""de"", ""en"")"),"Delivery room")</f>
        <v>Delivery room</v>
      </c>
    </row>
    <row r="40020">
      <c r="A40020" s="1" t="s">
        <v>40019</v>
      </c>
      <c r="B40020" s="2" t="str">
        <f>IFERROR(__xludf.DUMMYFUNCTION("GOOGLETRANSLATE(A40020, ""de"", ""en"")"),"original vampire")</f>
        <v>original vampire</v>
      </c>
    </row>
    <row r="40021">
      <c r="A40021" s="1" t="s">
        <v>40020</v>
      </c>
      <c r="B40021" s="2" t="str">
        <f>IFERROR(__xludf.DUMMYFUNCTION("GOOGLETRANSLATE(A40021, ""de"", ""en"")"),"yoyo")</f>
        <v>yoyo</v>
      </c>
    </row>
    <row r="40022">
      <c r="A40022" s="1" t="s">
        <v>40021</v>
      </c>
      <c r="B40022" s="2" t="str">
        <f>IFERROR(__xludf.DUMMYFUNCTION("GOOGLETRANSLATE(A40022, ""de"", ""en"")"),"bathhouse")</f>
        <v>bathhouse</v>
      </c>
    </row>
    <row r="40023">
      <c r="A40023" s="1" t="s">
        <v>40022</v>
      </c>
      <c r="B40023" s="2" t="str">
        <f>IFERROR(__xludf.DUMMYFUNCTION("GOOGLETRANSLATE(A40023, ""de"", ""en"")"),"boos")</f>
        <v>boos</v>
      </c>
    </row>
    <row r="40024">
      <c r="A40024" s="1" t="s">
        <v>40023</v>
      </c>
      <c r="B40024" s="2" t="str">
        <f>IFERROR(__xludf.DUMMYFUNCTION("GOOGLETRANSLATE(A40024, ""de"", ""en"")"),"Cleve")</f>
        <v>Cleve</v>
      </c>
    </row>
    <row r="40025">
      <c r="A40025" s="1" t="s">
        <v>40024</v>
      </c>
      <c r="B40025" s="2" t="str">
        <f>IFERROR(__xludf.DUMMYFUNCTION("GOOGLETRANSLATE(A40025, ""de"", ""en"")"),"painful")</f>
        <v>painful</v>
      </c>
    </row>
    <row r="40026">
      <c r="A40026" s="1" t="s">
        <v>40025</v>
      </c>
      <c r="B40026" s="2" t="str">
        <f>IFERROR(__xludf.DUMMYFUNCTION("GOOGLETRANSLATE(A40026, ""de"", ""en"")"),"strickler")</f>
        <v>strickler</v>
      </c>
    </row>
    <row r="40027">
      <c r="A40027" s="1" t="s">
        <v>40026</v>
      </c>
      <c r="B40027" s="2" t="str">
        <f>IFERROR(__xludf.DUMMYFUNCTION("GOOGLETRANSLATE(A40027, ""de"", ""en"")"),"manly")</f>
        <v>manly</v>
      </c>
    </row>
    <row r="40028">
      <c r="A40028" s="1" t="s">
        <v>40027</v>
      </c>
      <c r="B40028" s="2" t="str">
        <f>IFERROR(__xludf.DUMMYFUNCTION("GOOGLETRANSLATE(A40028, ""de"", ""en"")"),"natural disaster")</f>
        <v>natural disaster</v>
      </c>
    </row>
    <row r="40029">
      <c r="A40029" s="1" t="s">
        <v>40028</v>
      </c>
      <c r="B40029" s="2" t="str">
        <f>IFERROR(__xludf.DUMMYFUNCTION("GOOGLETRANSLATE(A40029, ""de"", ""en"")"),"mantra")</f>
        <v>mantra</v>
      </c>
    </row>
    <row r="40030">
      <c r="A40030" s="1" t="s">
        <v>40029</v>
      </c>
      <c r="B40030" s="2" t="str">
        <f>IFERROR(__xludf.DUMMYFUNCTION("GOOGLETRANSLATE(A40030, ""de"", ""en"")"),"unclean")</f>
        <v>unclean</v>
      </c>
    </row>
    <row r="40031">
      <c r="A40031" s="1" t="s">
        <v>40030</v>
      </c>
      <c r="B40031" s="2" t="str">
        <f>IFERROR(__xludf.DUMMYFUNCTION("GOOGLETRANSLATE(A40031, ""de"", ""en"")"),"singing")</f>
        <v>singing</v>
      </c>
    </row>
    <row r="40032">
      <c r="A40032" s="1" t="s">
        <v>40031</v>
      </c>
      <c r="B40032" s="2" t="str">
        <f>IFERROR(__xludf.DUMMYFUNCTION("GOOGLETRANSLATE(A40032, ""de"", ""en"")"),"softy")</f>
        <v>softy</v>
      </c>
    </row>
    <row r="40033">
      <c r="A40033" s="1" t="s">
        <v>40032</v>
      </c>
      <c r="B40033" s="2" t="str">
        <f>IFERROR(__xludf.DUMMYFUNCTION("GOOGLETRANSLATE(A40033, ""de"", ""en"")"),"pedantic")</f>
        <v>pedantic</v>
      </c>
    </row>
    <row r="40034">
      <c r="A40034" s="1" t="s">
        <v>40033</v>
      </c>
      <c r="B40034" s="2" t="str">
        <f>IFERROR(__xludf.DUMMYFUNCTION("GOOGLETRANSLATE(A40034, ""de"", ""en"")"),"malkovich")</f>
        <v>malkovich</v>
      </c>
    </row>
    <row r="40035">
      <c r="A40035" s="1" t="s">
        <v>40034</v>
      </c>
      <c r="B40035" s="2" t="str">
        <f>IFERROR(__xludf.DUMMYFUNCTION("GOOGLETRANSLATE(A40035, ""de"", ""en"")"),"roarke")</f>
        <v>roarke</v>
      </c>
    </row>
    <row r="40036">
      <c r="A40036" s="1" t="s">
        <v>40035</v>
      </c>
      <c r="B40036" s="2" t="str">
        <f>IFERROR(__xludf.DUMMYFUNCTION("GOOGLETRANSLATE(A40036, ""de"", ""en"")"),"flown over")</f>
        <v>flown over</v>
      </c>
    </row>
    <row r="40037">
      <c r="A40037" s="1" t="s">
        <v>40036</v>
      </c>
      <c r="B40037" s="2" t="str">
        <f>IFERROR(__xludf.DUMMYFUNCTION("GOOGLETRANSLATE(A40037, ""de"", ""en"")"),"top notch")</f>
        <v>top notch</v>
      </c>
    </row>
    <row r="40038">
      <c r="A40038" s="1" t="s">
        <v>40037</v>
      </c>
      <c r="B40038" s="2" t="str">
        <f>IFERROR(__xludf.DUMMYFUNCTION("GOOGLETRANSLATE(A40038, ""de"", ""en"")"),"rasputin")</f>
        <v>rasputin</v>
      </c>
    </row>
    <row r="40039">
      <c r="A40039" s="1" t="s">
        <v>40038</v>
      </c>
      <c r="B40039" s="2" t="str">
        <f>IFERROR(__xludf.DUMMYFUNCTION("GOOGLETRANSLATE(A40039, ""de"", ""en"")"),"ransom")</f>
        <v>ransom</v>
      </c>
    </row>
    <row r="40040">
      <c r="A40040" s="1" t="s">
        <v>40039</v>
      </c>
      <c r="B40040" s="2" t="str">
        <f>IFERROR(__xludf.DUMMYFUNCTION("GOOGLETRANSLATE(A40040, ""de"", ""en"")"),"feels good")</f>
        <v>feels good</v>
      </c>
    </row>
    <row r="40041">
      <c r="A40041" s="1" t="s">
        <v>40040</v>
      </c>
      <c r="B40041" s="2" t="str">
        <f>IFERROR(__xludf.DUMMYFUNCTION("GOOGLETRANSLATE(A40041, ""de"", ""en"")"),"indicates")</f>
        <v>indicates</v>
      </c>
    </row>
    <row r="40042">
      <c r="A40042" s="1" t="s">
        <v>40041</v>
      </c>
      <c r="B40042" s="2" t="str">
        <f>IFERROR(__xludf.DUMMYFUNCTION("GOOGLETRANSLATE(A40042, ""de"", ""en"")"),"bubbles")</f>
        <v>bubbles</v>
      </c>
    </row>
    <row r="40043">
      <c r="A40043" s="1" t="s">
        <v>40042</v>
      </c>
      <c r="B40043" s="2" t="str">
        <f>IFERROR(__xludf.DUMMYFUNCTION("GOOGLETRANSLATE(A40043, ""de"", ""en"")"),"moneypenny")</f>
        <v>moneypenny</v>
      </c>
    </row>
    <row r="40044">
      <c r="A40044" s="1" t="s">
        <v>40043</v>
      </c>
      <c r="B40044" s="2" t="str">
        <f>IFERROR(__xludf.DUMMYFUNCTION("GOOGLETRANSLATE(A40044, ""de"", ""en"")"),"to put forward")</f>
        <v>to put forward</v>
      </c>
    </row>
    <row r="40045">
      <c r="A40045" s="1" t="s">
        <v>40044</v>
      </c>
      <c r="B40045" s="2" t="str">
        <f>IFERROR(__xludf.DUMMYFUNCTION("GOOGLETRANSLATE(A40045, ""de"", ""en"")"),"blood cells")</f>
        <v>blood cells</v>
      </c>
    </row>
    <row r="40046">
      <c r="A40046" s="1" t="s">
        <v>40045</v>
      </c>
      <c r="B40046" s="2" t="str">
        <f>IFERROR(__xludf.DUMMYFUNCTION("GOOGLETRANSLATE(A40046, ""de"", ""en"")"),"guitar")</f>
        <v>guitar</v>
      </c>
    </row>
    <row r="40047">
      <c r="A40047" s="1" t="s">
        <v>40046</v>
      </c>
      <c r="B40047" s="2" t="str">
        <f>IFERROR(__xludf.DUMMYFUNCTION("GOOGLETRANSLATE(A40047, ""de"", ""en"")"),"drunk")</f>
        <v>drunk</v>
      </c>
    </row>
    <row r="40048">
      <c r="A40048" s="1" t="s">
        <v>40047</v>
      </c>
      <c r="B40048" s="2" t="str">
        <f>IFERROR(__xludf.DUMMYFUNCTION("GOOGLETRANSLATE(A40048, ""de"", ""en"")"),"cultural")</f>
        <v>cultural</v>
      </c>
    </row>
    <row r="40049">
      <c r="A40049" s="1" t="s">
        <v>40048</v>
      </c>
      <c r="B40049" s="2" t="str">
        <f>IFERROR(__xludf.DUMMYFUNCTION("GOOGLETRANSLATE(A40049, ""de"", ""en"")"),"Stanfield")</f>
        <v>Stanfield</v>
      </c>
    </row>
    <row r="40050">
      <c r="A40050" s="1" t="s">
        <v>40049</v>
      </c>
      <c r="B40050" s="2" t="str">
        <f>IFERROR(__xludf.DUMMYFUNCTION("GOOGLETRANSLATE(A40050, ""de"", ""en"")"),"ex")</f>
        <v>ex</v>
      </c>
    </row>
    <row r="40051">
      <c r="A40051" s="1" t="s">
        <v>40050</v>
      </c>
      <c r="B40051" s="2" t="str">
        <f>IFERROR(__xludf.DUMMYFUNCTION("GOOGLETRANSLATE(A40051, ""de"", ""en"")"),"caressed")</f>
        <v>caressed</v>
      </c>
    </row>
    <row r="40052">
      <c r="A40052" s="1" t="s">
        <v>40051</v>
      </c>
      <c r="B40052" s="2" t="str">
        <f>IFERROR(__xludf.DUMMYFUNCTION("GOOGLETRANSLATE(A40052, ""de"", ""en"")"),"shrapnel")</f>
        <v>shrapnel</v>
      </c>
    </row>
    <row r="40053">
      <c r="A40053" s="1" t="s">
        <v>40052</v>
      </c>
      <c r="B40053" s="2" t="str">
        <f>IFERROR(__xludf.DUMMYFUNCTION("GOOGLETRANSLATE(A40053, ""de"", ""en"")"),"geographic")</f>
        <v>geographic</v>
      </c>
    </row>
    <row r="40054">
      <c r="A40054" s="1" t="s">
        <v>40053</v>
      </c>
      <c r="B40054" s="2" t="str">
        <f>IFERROR(__xludf.DUMMYFUNCTION("GOOGLETRANSLATE(A40054, ""de"", ""en"")"),"see you again")</f>
        <v>see you again</v>
      </c>
    </row>
    <row r="40055">
      <c r="A40055" s="1" t="s">
        <v>40054</v>
      </c>
      <c r="B40055" s="2" t="str">
        <f>IFERROR(__xludf.DUMMYFUNCTION("GOOGLETRANSLATE(A40055, ""de"", ""en"")"),"murder series")</f>
        <v>murder series</v>
      </c>
    </row>
    <row r="40056">
      <c r="A40056" s="1" t="s">
        <v>40055</v>
      </c>
      <c r="B40056" s="2" t="str">
        <f>IFERROR(__xludf.DUMMYFUNCTION("GOOGLETRANSLATE(A40056, ""de"", ""en"")"),"happier")</f>
        <v>happier</v>
      </c>
    </row>
    <row r="40057">
      <c r="A40057" s="1" t="s">
        <v>40056</v>
      </c>
      <c r="B40057" s="2" t="str">
        <f>IFERROR(__xludf.DUMMYFUNCTION("GOOGLETRANSLATE(A40057, ""de"", ""en"")"),"tsui")</f>
        <v>tsui</v>
      </c>
    </row>
    <row r="40058">
      <c r="A40058" s="1" t="s">
        <v>40057</v>
      </c>
      <c r="B40058" s="2" t="str">
        <f>IFERROR(__xludf.DUMMYFUNCTION("GOOGLETRANSLATE(A40058, ""de"", ""en"")"),"airbags")</f>
        <v>airbags</v>
      </c>
    </row>
    <row r="40059">
      <c r="A40059" s="1" t="s">
        <v>40058</v>
      </c>
      <c r="B40059" s="2" t="str">
        <f>IFERROR(__xludf.DUMMYFUNCTION("GOOGLETRANSLATE(A40059, ""de"", ""en"")"),"moor")</f>
        <v>moor</v>
      </c>
    </row>
    <row r="40060">
      <c r="A40060" s="1" t="s">
        <v>40059</v>
      </c>
      <c r="B40060" s="2" t="str">
        <f>IFERROR(__xludf.DUMMYFUNCTION("GOOGLETRANSLATE(A40060, ""de"", ""en"")"),"rogan")</f>
        <v>rogan</v>
      </c>
    </row>
    <row r="40061">
      <c r="A40061" s="1" t="s">
        <v>40060</v>
      </c>
      <c r="B40061" s="2" t="str">
        <f>IFERROR(__xludf.DUMMYFUNCTION("GOOGLETRANSLATE(A40061, ""de"", ""en"")"),"tyra")</f>
        <v>tyra</v>
      </c>
    </row>
    <row r="40062">
      <c r="A40062" s="1" t="s">
        <v>40061</v>
      </c>
      <c r="B40062" s="2" t="str">
        <f>IFERROR(__xludf.DUMMYFUNCTION("GOOGLETRANSLATE(A40062, ""de"", ""en"")"),"additional")</f>
        <v>additional</v>
      </c>
    </row>
    <row r="40063">
      <c r="A40063" s="1" t="s">
        <v>40062</v>
      </c>
      <c r="B40063" s="2" t="str">
        <f>IFERROR(__xludf.DUMMYFUNCTION("GOOGLETRANSLATE(A40063, ""de"", ""en"")"),"miko")</f>
        <v>miko</v>
      </c>
    </row>
    <row r="40064">
      <c r="A40064" s="1" t="s">
        <v>40063</v>
      </c>
      <c r="B40064" s="2" t="str">
        <f>IFERROR(__xludf.DUMMYFUNCTION("GOOGLETRANSLATE(A40064, ""de"", ""en"")"),"pyle")</f>
        <v>pyle</v>
      </c>
    </row>
    <row r="40065">
      <c r="A40065" s="1" t="s">
        <v>40064</v>
      </c>
      <c r="B40065" s="2" t="str">
        <f>IFERROR(__xludf.DUMMYFUNCTION("GOOGLETRANSLATE(A40065, ""de"", ""en"")"),"gwyneth")</f>
        <v>gwyneth</v>
      </c>
    </row>
    <row r="40066">
      <c r="A40066" s="1" t="s">
        <v>40065</v>
      </c>
      <c r="B40066" s="2" t="str">
        <f>IFERROR(__xludf.DUMMYFUNCTION("GOOGLETRANSLATE(A40066, ""de"", ""en"")"),"swell")</f>
        <v>swell</v>
      </c>
    </row>
    <row r="40067">
      <c r="A40067" s="1" t="s">
        <v>40066</v>
      </c>
      <c r="B40067" s="2" t="str">
        <f>IFERROR(__xludf.DUMMYFUNCTION("GOOGLETRANSLATE(A40067, ""de"", ""en"")"),"datest")</f>
        <v>datest</v>
      </c>
    </row>
    <row r="40068">
      <c r="A40068" s="1" t="s">
        <v>40067</v>
      </c>
      <c r="B40068" s="2" t="str">
        <f>IFERROR(__xludf.DUMMYFUNCTION("GOOGLETRANSLATE(A40068, ""de"", ""en"")"),"chilblains")</f>
        <v>chilblains</v>
      </c>
    </row>
    <row r="40069">
      <c r="A40069" s="1" t="s">
        <v>40068</v>
      </c>
      <c r="B40069" s="2" t="str">
        <f>IFERROR(__xludf.DUMMYFUNCTION("GOOGLETRANSLATE(A40069, ""de"", ""en"")"),"metropolis")</f>
        <v>metropolis</v>
      </c>
    </row>
    <row r="40070">
      <c r="A40070" s="1" t="s">
        <v>40069</v>
      </c>
      <c r="B40070" s="2" t="str">
        <f>IFERROR(__xludf.DUMMYFUNCTION("GOOGLETRANSLATE(A40070, ""de"", ""en"")"),"short story")</f>
        <v>short story</v>
      </c>
    </row>
    <row r="40071">
      <c r="A40071" s="1" t="s">
        <v>40070</v>
      </c>
      <c r="B40071" s="2" t="str">
        <f>IFERROR(__xludf.DUMMYFUNCTION("GOOGLETRANSLATE(A40071, ""de"", ""en"")"),"tough")</f>
        <v>tough</v>
      </c>
    </row>
    <row r="40072">
      <c r="A40072" s="1" t="s">
        <v>40071</v>
      </c>
      <c r="B40072" s="2" t="str">
        <f>IFERROR(__xludf.DUMMYFUNCTION("GOOGLETRANSLATE(A40072, ""de"", ""en"")"),"bump")</f>
        <v>bump</v>
      </c>
    </row>
    <row r="40073">
      <c r="A40073" s="1" t="s">
        <v>40072</v>
      </c>
      <c r="B40073" s="2" t="str">
        <f>IFERROR(__xludf.DUMMYFUNCTION("GOOGLETRANSLATE(A40073, ""de"", ""en"")"),"to accept")</f>
        <v>to accept</v>
      </c>
    </row>
    <row r="40074">
      <c r="A40074" s="1" t="s">
        <v>40073</v>
      </c>
      <c r="B40074" s="2" t="str">
        <f>IFERROR(__xludf.DUMMYFUNCTION("GOOGLETRANSLATE(A40074, ""de"", ""en"")"),"hurled")</f>
        <v>hurled</v>
      </c>
    </row>
    <row r="40075">
      <c r="A40075" s="1" t="s">
        <v>40074</v>
      </c>
      <c r="B40075" s="2" t="str">
        <f>IFERROR(__xludf.DUMMYFUNCTION("GOOGLETRANSLATE(A40075, ""de"", ""en"")"),"rasmussen")</f>
        <v>rasmussen</v>
      </c>
    </row>
    <row r="40076">
      <c r="A40076" s="1" t="s">
        <v>40075</v>
      </c>
      <c r="B40076" s="2" t="str">
        <f>IFERROR(__xludf.DUMMYFUNCTION("GOOGLETRANSLATE(A40076, ""de"", ""en"")"),"amberson")</f>
        <v>amberson</v>
      </c>
    </row>
    <row r="40077">
      <c r="A40077" s="1" t="s">
        <v>40076</v>
      </c>
      <c r="B40077" s="2" t="str">
        <f>IFERROR(__xludf.DUMMYFUNCTION("GOOGLETRANSLATE(A40077, ""de"", ""en"")"),"monasteries")</f>
        <v>monasteries</v>
      </c>
    </row>
    <row r="40078">
      <c r="A40078" s="1" t="s">
        <v>40077</v>
      </c>
      <c r="B40078" s="2" t="str">
        <f>IFERROR(__xludf.DUMMYFUNCTION("GOOGLETRANSLATE(A40078, ""de"", ""en"")"),"British")</f>
        <v>British</v>
      </c>
    </row>
    <row r="40079">
      <c r="A40079" s="1" t="s">
        <v>40078</v>
      </c>
      <c r="B40079" s="2" t="str">
        <f>IFERROR(__xludf.DUMMYFUNCTION("GOOGLETRANSLATE(A40079, ""de"", ""en"")"),"holder")</f>
        <v>holder</v>
      </c>
    </row>
    <row r="40080">
      <c r="A40080" s="1" t="s">
        <v>40079</v>
      </c>
      <c r="B40080" s="2" t="str">
        <f>IFERROR(__xludf.DUMMYFUNCTION("GOOGLETRANSLATE(A40080, ""de"", ""en"")"),"limitation")</f>
        <v>limitation</v>
      </c>
    </row>
    <row r="40081">
      <c r="A40081" s="1" t="s">
        <v>40080</v>
      </c>
      <c r="B40081" s="2" t="str">
        <f>IFERROR(__xludf.DUMMYFUNCTION("GOOGLETRANSLATE(A40081, ""de"", ""en"")"),"cute")</f>
        <v>cute</v>
      </c>
    </row>
    <row r="40082">
      <c r="A40082" s="1" t="s">
        <v>40081</v>
      </c>
      <c r="B40082" s="2" t="str">
        <f>IFERROR(__xludf.DUMMYFUNCTION("GOOGLETRANSLATE(A40082, ""de"", ""en"")"),"stacked")</f>
        <v>stacked</v>
      </c>
    </row>
    <row r="40083">
      <c r="A40083" s="1" t="s">
        <v>40082</v>
      </c>
      <c r="B40083" s="2" t="str">
        <f>IFERROR(__xludf.DUMMYFUNCTION("GOOGLETRANSLATE(A40083, ""de"", ""en"")"),"lures")</f>
        <v>lures</v>
      </c>
    </row>
    <row r="40084">
      <c r="A40084" s="1" t="s">
        <v>40083</v>
      </c>
      <c r="B40084" s="2" t="str">
        <f>IFERROR(__xludf.DUMMYFUNCTION("GOOGLETRANSLATE(A40084, ""de"", ""en"")"),"jogger")</f>
        <v>jogger</v>
      </c>
    </row>
    <row r="40085">
      <c r="A40085" s="1" t="s">
        <v>40084</v>
      </c>
      <c r="B40085" s="2" t="str">
        <f>IFERROR(__xludf.DUMMYFUNCTION("GOOGLETRANSLATE(A40085, ""de"", ""en"")"),"advertisement")</f>
        <v>advertisement</v>
      </c>
    </row>
    <row r="40086">
      <c r="A40086" s="1" t="s">
        <v>40085</v>
      </c>
      <c r="B40086" s="2" t="str">
        <f>IFERROR(__xludf.DUMMYFUNCTION("GOOGLETRANSLATE(A40086, ""de"", ""en"")"),"santa claus")</f>
        <v>santa claus</v>
      </c>
    </row>
    <row r="40087">
      <c r="A40087" s="1" t="s">
        <v>40086</v>
      </c>
      <c r="B40087" s="2" t="str">
        <f>IFERROR(__xludf.DUMMYFUNCTION("GOOGLETRANSLATE(A40087, ""de"", ""en"")"),"subsidies")</f>
        <v>subsidies</v>
      </c>
    </row>
    <row r="40088">
      <c r="A40088" s="1" t="s">
        <v>40087</v>
      </c>
      <c r="B40088" s="2" t="str">
        <f>IFERROR(__xludf.DUMMYFUNCTION("GOOGLETRANSLATE(A40088, ""de"", ""en"")"),"hairline")</f>
        <v>hairline</v>
      </c>
    </row>
    <row r="40089">
      <c r="A40089" s="1" t="s">
        <v>40088</v>
      </c>
      <c r="B40089" s="2" t="str">
        <f>IFERROR(__xludf.DUMMYFUNCTION("GOOGLETRANSLATE(A40089, ""de"", ""en"")"),"spot on")</f>
        <v>spot on</v>
      </c>
    </row>
    <row r="40090">
      <c r="A40090" s="1" t="s">
        <v>40089</v>
      </c>
      <c r="B40090" s="2" t="str">
        <f>IFERROR(__xludf.DUMMYFUNCTION("GOOGLETRANSLATE(A40090, ""de"", ""en"")"),"which")</f>
        <v>which</v>
      </c>
    </row>
    <row r="40091">
      <c r="A40091" s="1" t="s">
        <v>40090</v>
      </c>
      <c r="B40091" s="2" t="str">
        <f>IFERROR(__xludf.DUMMYFUNCTION("GOOGLETRANSLATE(A40091, ""de"", ""en"")"),"shekel")</f>
        <v>shekel</v>
      </c>
    </row>
    <row r="40092">
      <c r="A40092" s="1" t="s">
        <v>40091</v>
      </c>
      <c r="B40092" s="2" t="str">
        <f>IFERROR(__xludf.DUMMYFUNCTION("GOOGLETRANSLATE(A40092, ""de"", ""en"")"),"guilala")</f>
        <v>guilala</v>
      </c>
    </row>
    <row r="40093">
      <c r="A40093" s="1" t="s">
        <v>40092</v>
      </c>
      <c r="B40093" s="2" t="str">
        <f>IFERROR(__xludf.DUMMYFUNCTION("GOOGLETRANSLATE(A40093, ""de"", ""en"")"),"spat on")</f>
        <v>spat on</v>
      </c>
    </row>
    <row r="40094">
      <c r="A40094" s="1" t="s">
        <v>40093</v>
      </c>
      <c r="B40094" s="2" t="str">
        <f>IFERROR(__xludf.DUMMYFUNCTION("GOOGLETRANSLATE(A40094, ""de"", ""en"")"),"dinosaurs")</f>
        <v>dinosaurs</v>
      </c>
    </row>
    <row r="40095">
      <c r="A40095" s="1" t="s">
        <v>40094</v>
      </c>
      <c r="B40095" s="2" t="str">
        <f>IFERROR(__xludf.DUMMYFUNCTION("GOOGLETRANSLATE(A40095, ""de"", ""en"")"),"fault")</f>
        <v>fault</v>
      </c>
    </row>
    <row r="40096">
      <c r="A40096" s="1" t="s">
        <v>40095</v>
      </c>
      <c r="B40096" s="2" t="str">
        <f>IFERROR(__xludf.DUMMYFUNCTION("GOOGLETRANSLATE(A40096, ""de"", ""en"")"),"empowered")</f>
        <v>empowered</v>
      </c>
    </row>
    <row r="40097">
      <c r="A40097" s="1" t="s">
        <v>40096</v>
      </c>
      <c r="B40097" s="2" t="str">
        <f>IFERROR(__xludf.DUMMYFUNCTION("GOOGLETRANSLATE(A40097, ""de"", ""en"")"),"getting")</f>
        <v>getting</v>
      </c>
    </row>
    <row r="40098">
      <c r="A40098" s="1" t="s">
        <v>40097</v>
      </c>
      <c r="B40098" s="2" t="str">
        <f>IFERROR(__xludf.DUMMYFUNCTION("GOOGLETRANSLATE(A40098, ""de"", ""en"")"),"warrick")</f>
        <v>warrick</v>
      </c>
    </row>
    <row r="40099">
      <c r="A40099" s="1" t="s">
        <v>40098</v>
      </c>
      <c r="B40099" s="2" t="str">
        <f>IFERROR(__xludf.DUMMYFUNCTION("GOOGLETRANSLATE(A40099, ""de"", ""en"")"),"disturbing")</f>
        <v>disturbing</v>
      </c>
    </row>
    <row r="40100">
      <c r="A40100" s="1" t="s">
        <v>40099</v>
      </c>
      <c r="B40100" s="2" t="str">
        <f>IFERROR(__xludf.DUMMYFUNCTION("GOOGLETRANSLATE(A40100, ""de"", ""en"")"),"high heels")</f>
        <v>high heels</v>
      </c>
    </row>
    <row r="40101">
      <c r="A40101" s="1" t="s">
        <v>40100</v>
      </c>
      <c r="B40101" s="2" t="str">
        <f>IFERROR(__xludf.DUMMYFUNCTION("GOOGLETRANSLATE(A40101, ""de"", ""en"")"),"clou")</f>
        <v>clou</v>
      </c>
    </row>
    <row r="40102">
      <c r="A40102" s="1" t="s">
        <v>40101</v>
      </c>
      <c r="B40102" s="2" t="str">
        <f>IFERROR(__xludf.DUMMYFUNCTION("GOOGLETRANSLATE(A40102, ""de"", ""en"")"),"acoustics")</f>
        <v>acoustics</v>
      </c>
    </row>
    <row r="40103">
      <c r="A40103" s="1" t="s">
        <v>40102</v>
      </c>
      <c r="B40103" s="2" t="str">
        <f>IFERROR(__xludf.DUMMYFUNCTION("GOOGLETRANSLATE(A40103, ""de"", ""en"")"),"floods")</f>
        <v>floods</v>
      </c>
    </row>
    <row r="40104">
      <c r="A40104" s="1" t="s">
        <v>40103</v>
      </c>
      <c r="B40104" s="2" t="str">
        <f>IFERROR(__xludf.DUMMYFUNCTION("GOOGLETRANSLATE(A40104, ""de"", ""en"")"),"fsb")</f>
        <v>fsb</v>
      </c>
    </row>
    <row r="40105">
      <c r="A40105" s="1" t="s">
        <v>40104</v>
      </c>
      <c r="B40105" s="2" t="str">
        <f>IFERROR(__xludf.DUMMYFUNCTION("GOOGLETRANSLATE(A40105, ""de"", ""en"")"),"back")</f>
        <v>back</v>
      </c>
    </row>
    <row r="40106">
      <c r="A40106" s="1" t="s">
        <v>40105</v>
      </c>
      <c r="B40106" s="2" t="str">
        <f>IFERROR(__xludf.DUMMYFUNCTION("GOOGLETRANSLATE(A40106, ""de"", ""en"")"),"yvon")</f>
        <v>yvon</v>
      </c>
    </row>
    <row r="40107">
      <c r="A40107" s="1" t="s">
        <v>40106</v>
      </c>
      <c r="B40107" s="2" t="str">
        <f>IFERROR(__xludf.DUMMYFUNCTION("GOOGLETRANSLATE(A40107, ""de"", ""en"")"),"drug deal")</f>
        <v>drug deal</v>
      </c>
    </row>
    <row r="40108">
      <c r="A40108" s="1" t="s">
        <v>40107</v>
      </c>
      <c r="B40108" s="2" t="str">
        <f>IFERROR(__xludf.DUMMYFUNCTION("GOOGLETRANSLATE(A40108, ""de"", ""en"")"),"gripper")</f>
        <v>gripper</v>
      </c>
    </row>
    <row r="40109">
      <c r="A40109" s="1" t="s">
        <v>40108</v>
      </c>
      <c r="B40109" s="2" t="str">
        <f>IFERROR(__xludf.DUMMYFUNCTION("GOOGLETRANSLATE(A40109, ""de"", ""en"")"),"more anxious")</f>
        <v>more anxious</v>
      </c>
    </row>
    <row r="40110">
      <c r="A40110" s="1" t="s">
        <v>40109</v>
      </c>
      <c r="B40110" s="2" t="str">
        <f>IFERROR(__xludf.DUMMYFUNCTION("GOOGLETRANSLATE(A40110, ""de"", ""en"")"),"wheaton")</f>
        <v>wheaton</v>
      </c>
    </row>
    <row r="40111">
      <c r="A40111" s="1" t="s">
        <v>40110</v>
      </c>
      <c r="B40111" s="2" t="str">
        <f>IFERROR(__xludf.DUMMYFUNCTION("GOOGLETRANSLATE(A40111, ""de"", ""en"")"),"remote ones")</f>
        <v>remote ones</v>
      </c>
    </row>
    <row r="40112">
      <c r="A40112" s="1" t="s">
        <v>40111</v>
      </c>
      <c r="B40112" s="2" t="str">
        <f>IFERROR(__xludf.DUMMYFUNCTION("GOOGLETRANSLATE(A40112, ""de"", ""en"")"),"delano")</f>
        <v>delano</v>
      </c>
    </row>
    <row r="40113">
      <c r="A40113" s="1" t="s">
        <v>40112</v>
      </c>
      <c r="B40113" s="2" t="str">
        <f>IFERROR(__xludf.DUMMYFUNCTION("GOOGLETRANSLATE(A40113, ""de"", ""en"")"),"time difference")</f>
        <v>time difference</v>
      </c>
    </row>
    <row r="40114">
      <c r="A40114" s="1" t="s">
        <v>40113</v>
      </c>
      <c r="B40114" s="2" t="str">
        <f>IFERROR(__xludf.DUMMYFUNCTION("GOOGLETRANSLATE(A40114, ""de"", ""en"")"),"piety")</f>
        <v>piety</v>
      </c>
    </row>
    <row r="40115">
      <c r="A40115" s="1" t="s">
        <v>40114</v>
      </c>
      <c r="B40115" s="2" t="str">
        <f>IFERROR(__xludf.DUMMYFUNCTION("GOOGLETRANSLATE(A40115, ""de"", ""en"")"),"Mertens")</f>
        <v>Mertens</v>
      </c>
    </row>
    <row r="40116">
      <c r="A40116" s="1" t="s">
        <v>40115</v>
      </c>
      <c r="B40116" s="2" t="str">
        <f>IFERROR(__xludf.DUMMYFUNCTION("GOOGLETRANSLATE(A40116, ""de"", ""en"")"),"hunting dog")</f>
        <v>hunting dog</v>
      </c>
    </row>
    <row r="40117">
      <c r="A40117" s="1" t="s">
        <v>40116</v>
      </c>
      <c r="B40117" s="2" t="str">
        <f>IFERROR(__xludf.DUMMYFUNCTION("GOOGLETRANSLATE(A40117, ""de"", ""en"")"),"finesse")</f>
        <v>finesse</v>
      </c>
    </row>
    <row r="40118">
      <c r="A40118" s="1" t="s">
        <v>40117</v>
      </c>
      <c r="B40118" s="2" t="str">
        <f>IFERROR(__xludf.DUMMYFUNCTION("GOOGLETRANSLATE(A40118, ""de"", ""en"")"),"cleaned")</f>
        <v>cleaned</v>
      </c>
    </row>
    <row r="40119">
      <c r="A40119" s="1" t="s">
        <v>40118</v>
      </c>
      <c r="B40119" s="2" t="str">
        <f>IFERROR(__xludf.DUMMYFUNCTION("GOOGLETRANSLATE(A40119, ""de"", ""en"")"),"commented")</f>
        <v>commented</v>
      </c>
    </row>
    <row r="40120">
      <c r="A40120" s="1" t="s">
        <v>40119</v>
      </c>
      <c r="B40120" s="2" t="str">
        <f>IFERROR(__xludf.DUMMYFUNCTION("GOOGLETRANSLATE(A40120, ""de"", ""en"")"),"virgin")</f>
        <v>virgin</v>
      </c>
    </row>
    <row r="40121">
      <c r="A40121" s="1" t="s">
        <v>40120</v>
      </c>
      <c r="B40121" s="2" t="str">
        <f>IFERROR(__xludf.DUMMYFUNCTION("GOOGLETRANSLATE(A40121, ""de"", ""en"")"),"drawn")</f>
        <v>drawn</v>
      </c>
    </row>
    <row r="40122">
      <c r="A40122" s="1" t="s">
        <v>40121</v>
      </c>
      <c r="B40122" s="2" t="str">
        <f>IFERROR(__xludf.DUMMYFUNCTION("GOOGLETRANSLATE(A40122, ""de"", ""en"")"),"explained")</f>
        <v>explained</v>
      </c>
    </row>
    <row r="40123">
      <c r="A40123" s="1" t="s">
        <v>40122</v>
      </c>
      <c r="B40123" s="2" t="str">
        <f>IFERROR(__xludf.DUMMYFUNCTION("GOOGLETRANSLATE(A40123, ""de"", ""en"")"),"heiner")</f>
        <v>heiner</v>
      </c>
    </row>
    <row r="40124">
      <c r="A40124" s="1" t="s">
        <v>40123</v>
      </c>
      <c r="B40124" s="2" t="str">
        <f>IFERROR(__xludf.DUMMYFUNCTION("GOOGLETRANSLATE(A40124, ""de"", ""en"")"),"fearless")</f>
        <v>fearless</v>
      </c>
    </row>
    <row r="40125">
      <c r="A40125" s="1" t="s">
        <v>40124</v>
      </c>
      <c r="B40125" s="2" t="str">
        <f>IFERROR(__xludf.DUMMYFUNCTION("GOOGLETRANSLATE(A40125, ""de"", ""en"")"),"listen")</f>
        <v>listen</v>
      </c>
    </row>
    <row r="40126">
      <c r="A40126" s="1" t="s">
        <v>40125</v>
      </c>
      <c r="B40126" s="2" t="str">
        <f>IFERROR(__xludf.DUMMYFUNCTION("GOOGLETRANSLATE(A40126, ""de"", ""en"")"),"Galilee")</f>
        <v>Galilee</v>
      </c>
    </row>
    <row r="40127">
      <c r="A40127" s="1" t="s">
        <v>40126</v>
      </c>
      <c r="B40127" s="2" t="str">
        <f>IFERROR(__xludf.DUMMYFUNCTION("GOOGLETRANSLATE(A40127, ""de"", ""en"")"),"potholes")</f>
        <v>potholes</v>
      </c>
    </row>
    <row r="40128">
      <c r="A40128" s="1" t="s">
        <v>40127</v>
      </c>
      <c r="B40128" s="2" t="str">
        <f>IFERROR(__xludf.DUMMYFUNCTION("GOOGLETRANSLATE(A40128, ""de"", ""en"")"),"websites")</f>
        <v>websites</v>
      </c>
    </row>
    <row r="40129">
      <c r="A40129" s="1" t="s">
        <v>40128</v>
      </c>
      <c r="B40129" s="2" t="str">
        <f>IFERROR(__xludf.DUMMYFUNCTION("GOOGLETRANSLATE(A40129, ""de"", ""en"")"),"rajesh")</f>
        <v>rajesh</v>
      </c>
    </row>
    <row r="40130">
      <c r="A40130" s="1" t="s">
        <v>40129</v>
      </c>
      <c r="B40130" s="2" t="str">
        <f>IFERROR(__xludf.DUMMYFUNCTION("GOOGLETRANSLATE(A40130, ""de"", ""en"")"),"mope")</f>
        <v>mope</v>
      </c>
    </row>
    <row r="40131">
      <c r="A40131" s="1" t="s">
        <v>40130</v>
      </c>
      <c r="B40131" s="2" t="str">
        <f>IFERROR(__xludf.DUMMYFUNCTION("GOOGLETRANSLATE(A40131, ""de"", ""en"")"),"consulted")</f>
        <v>consulted</v>
      </c>
    </row>
    <row r="40132">
      <c r="A40132" s="1" t="s">
        <v>40131</v>
      </c>
      <c r="B40132" s="2" t="str">
        <f>IFERROR(__xludf.DUMMYFUNCTION("GOOGLETRANSLATE(A40132, ""de"", ""en"")"),"safety net")</f>
        <v>safety net</v>
      </c>
    </row>
    <row r="40133">
      <c r="A40133" s="1" t="s">
        <v>40132</v>
      </c>
      <c r="B40133" s="2" t="str">
        <f>IFERROR(__xludf.DUMMYFUNCTION("GOOGLETRANSLATE(A40133, ""de"", ""en"")"),"mclaren")</f>
        <v>mclaren</v>
      </c>
    </row>
    <row r="40134">
      <c r="A40134" s="1" t="s">
        <v>40133</v>
      </c>
      <c r="B40134" s="2" t="str">
        <f>IFERROR(__xludf.DUMMYFUNCTION("GOOGLETRANSLATE(A40134, ""de"", ""en"")"),"umbrellas")</f>
        <v>umbrellas</v>
      </c>
    </row>
    <row r="40135">
      <c r="A40135" s="1" t="s">
        <v>40134</v>
      </c>
      <c r="B40135" s="2" t="str">
        <f>IFERROR(__xludf.DUMMYFUNCTION("GOOGLETRANSLATE(A40135, ""de"", ""en"")"),"in no time")</f>
        <v>in no time</v>
      </c>
    </row>
    <row r="40136">
      <c r="A40136" s="1" t="s">
        <v>40135</v>
      </c>
      <c r="B40136" s="2" t="str">
        <f>IFERROR(__xludf.DUMMYFUNCTION("GOOGLETRANSLATE(A40136, ""de"", ""en"")"),"let in")</f>
        <v>let in</v>
      </c>
    </row>
    <row r="40137">
      <c r="A40137" s="1" t="s">
        <v>40136</v>
      </c>
      <c r="B40137" s="2" t="str">
        <f>IFERROR(__xludf.DUMMYFUNCTION("GOOGLETRANSLATE(A40137, ""de"", ""en"")"),"guard")</f>
        <v>guard</v>
      </c>
    </row>
    <row r="40138">
      <c r="A40138" s="1" t="s">
        <v>40137</v>
      </c>
      <c r="B40138" s="2" t="str">
        <f>IFERROR(__xludf.DUMMYFUNCTION("GOOGLETRANSLATE(A40138, ""de"", ""en"")"),"snooped around")</f>
        <v>snooped around</v>
      </c>
    </row>
    <row r="40139">
      <c r="A40139" s="1" t="s">
        <v>40138</v>
      </c>
      <c r="B40139" s="2" t="str">
        <f>IFERROR(__xludf.DUMMYFUNCTION("GOOGLETRANSLATE(A40139, ""de"", ""en"")"),"sightings")</f>
        <v>sightings</v>
      </c>
    </row>
    <row r="40140">
      <c r="A40140" s="1" t="s">
        <v>40139</v>
      </c>
      <c r="B40140" s="2" t="str">
        <f>IFERROR(__xludf.DUMMYFUNCTION("GOOGLETRANSLATE(A40140, ""de"", ""en"")"),"mak")</f>
        <v>mak</v>
      </c>
    </row>
    <row r="40141">
      <c r="A40141" s="1" t="s">
        <v>40140</v>
      </c>
      <c r="B40141" s="2" t="str">
        <f>IFERROR(__xludf.DUMMYFUNCTION("GOOGLETRANSLATE(A40141, ""de"", ""en"")"),"most common")</f>
        <v>most common</v>
      </c>
    </row>
    <row r="40142">
      <c r="A40142" s="1" t="s">
        <v>40141</v>
      </c>
      <c r="B40142" s="2" t="str">
        <f>IFERROR(__xludf.DUMMYFUNCTION("GOOGLETRANSLATE(A40142, ""de"", ""en"")"),"responsibility")</f>
        <v>responsibility</v>
      </c>
    </row>
    <row r="40143">
      <c r="A40143" s="1" t="s">
        <v>40142</v>
      </c>
      <c r="B40143" s="2" t="str">
        <f>IFERROR(__xludf.DUMMYFUNCTION("GOOGLETRANSLATE(A40143, ""de"", ""en"")"),"competitions")</f>
        <v>competitions</v>
      </c>
    </row>
    <row r="40144">
      <c r="A40144" s="1" t="s">
        <v>40143</v>
      </c>
      <c r="B40144" s="2" t="str">
        <f>IFERROR(__xludf.DUMMYFUNCTION("GOOGLETRANSLATE(A40144, ""de"", ""en"")"),"hollys")</f>
        <v>hollys</v>
      </c>
    </row>
    <row r="40145">
      <c r="A40145" s="1" t="s">
        <v>40144</v>
      </c>
      <c r="B40145" s="2" t="str">
        <f>IFERROR(__xludf.DUMMYFUNCTION("GOOGLETRANSLATE(A40145, ""de"", ""en"")"),"stewardesses")</f>
        <v>stewardesses</v>
      </c>
    </row>
    <row r="40146">
      <c r="A40146" s="1" t="s">
        <v>40145</v>
      </c>
      <c r="B40146" s="2" t="str">
        <f>IFERROR(__xludf.DUMMYFUNCTION("GOOGLETRANSLATE(A40146, ""de"", ""en"")"),"stink")</f>
        <v>stink</v>
      </c>
    </row>
    <row r="40147">
      <c r="A40147" s="1" t="s">
        <v>40146</v>
      </c>
      <c r="B40147" s="2" t="str">
        <f>IFERROR(__xludf.DUMMYFUNCTION("GOOGLETRANSLATE(A40147, ""de"", ""en"")"),"raindrops")</f>
        <v>raindrops</v>
      </c>
    </row>
    <row r="40148">
      <c r="A40148" s="1" t="s">
        <v>40147</v>
      </c>
      <c r="B40148" s="2" t="str">
        <f>IFERROR(__xludf.DUMMYFUNCTION("GOOGLETRANSLATE(A40148, ""de"", ""en"")"),"sponsor")</f>
        <v>sponsor</v>
      </c>
    </row>
    <row r="40149">
      <c r="A40149" s="1" t="s">
        <v>40148</v>
      </c>
      <c r="B40149" s="2" t="str">
        <f>IFERROR(__xludf.DUMMYFUNCTION("GOOGLETRANSLATE(A40149, ""de"", ""en"")"),"medicine cabinet")</f>
        <v>medicine cabinet</v>
      </c>
    </row>
    <row r="40150">
      <c r="A40150" s="1" t="s">
        <v>40149</v>
      </c>
      <c r="B40150" s="2" t="str">
        <f>IFERROR(__xludf.DUMMYFUNCTION("GOOGLETRANSLATE(A40150, ""de"", ""en"")"),"pu")</f>
        <v>pu</v>
      </c>
    </row>
    <row r="40151">
      <c r="A40151" s="1" t="s">
        <v>40150</v>
      </c>
      <c r="B40151" s="2" t="str">
        <f>IFERROR(__xludf.DUMMYFUNCTION("GOOGLETRANSLATE(A40151, ""de"", ""en"")"),"tierney")</f>
        <v>tierney</v>
      </c>
    </row>
    <row r="40152">
      <c r="A40152" s="1" t="s">
        <v>40151</v>
      </c>
      <c r="B40152" s="2" t="str">
        <f>IFERROR(__xludf.DUMMYFUNCTION("GOOGLETRANSLATE(A40152, ""de"", ""en"")"),"briens")</f>
        <v>briens</v>
      </c>
    </row>
    <row r="40153">
      <c r="A40153" s="1" t="s">
        <v>40152</v>
      </c>
      <c r="B40153" s="2" t="str">
        <f>IFERROR(__xludf.DUMMYFUNCTION("GOOGLETRANSLATE(A40153, ""de"", ""en"")"),"double agent")</f>
        <v>double agent</v>
      </c>
    </row>
    <row r="40154">
      <c r="A40154" s="1" t="s">
        <v>40153</v>
      </c>
      <c r="B40154" s="2" t="str">
        <f>IFERROR(__xludf.DUMMYFUNCTION("GOOGLETRANSLATE(A40154, ""de"", ""en"")"),"salinas")</f>
        <v>salinas</v>
      </c>
    </row>
    <row r="40155">
      <c r="A40155" s="1" t="s">
        <v>40154</v>
      </c>
      <c r="B40155" s="2" t="str">
        <f>IFERROR(__xludf.DUMMYFUNCTION("GOOGLETRANSLATE(A40155, ""de"", ""en"")"),"piece of shit")</f>
        <v>piece of shit</v>
      </c>
    </row>
    <row r="40156">
      <c r="A40156" s="1" t="s">
        <v>40155</v>
      </c>
      <c r="B40156" s="2" t="str">
        <f>IFERROR(__xludf.DUMMYFUNCTION("GOOGLETRANSLATE(A40156, ""de"", ""en"")"),"bazooka")</f>
        <v>bazooka</v>
      </c>
    </row>
    <row r="40157">
      <c r="A40157" s="1" t="s">
        <v>40156</v>
      </c>
      <c r="B40157" s="2" t="str">
        <f>IFERROR(__xludf.DUMMYFUNCTION("GOOGLETRANSLATE(A40157, ""de"", ""en"")"),"Argentinean")</f>
        <v>Argentinean</v>
      </c>
    </row>
    <row r="40158">
      <c r="A40158" s="1" t="s">
        <v>40157</v>
      </c>
      <c r="B40158" s="2" t="str">
        <f>IFERROR(__xludf.DUMMYFUNCTION("GOOGLETRANSLATE(A40158, ""de"", ""en"")"),"veritas")</f>
        <v>veritas</v>
      </c>
    </row>
    <row r="40159">
      <c r="A40159" s="1" t="s">
        <v>40158</v>
      </c>
      <c r="B40159" s="2" t="str">
        <f>IFERROR(__xludf.DUMMYFUNCTION("GOOGLETRANSLATE(A40159, ""de"", ""en"")"),"Corinna")</f>
        <v>Corinna</v>
      </c>
    </row>
    <row r="40160">
      <c r="A40160" s="1" t="s">
        <v>40159</v>
      </c>
      <c r="B40160" s="2" t="str">
        <f>IFERROR(__xludf.DUMMYFUNCTION("GOOGLETRANSLATE(A40160, ""de"", ""en"")"),"musashi")</f>
        <v>musashi</v>
      </c>
    </row>
    <row r="40161">
      <c r="A40161" s="1" t="s">
        <v>40160</v>
      </c>
      <c r="B40161" s="2" t="str">
        <f>IFERROR(__xludf.DUMMYFUNCTION("GOOGLETRANSLATE(A40161, ""de"", ""en"")"),"kearney")</f>
        <v>kearney</v>
      </c>
    </row>
    <row r="40162">
      <c r="A40162" s="1" t="s">
        <v>40161</v>
      </c>
      <c r="B40162" s="2" t="str">
        <f>IFERROR(__xludf.DUMMYFUNCTION("GOOGLETRANSLATE(A40162, ""de"", ""en"")"),"chewed through")</f>
        <v>chewed through</v>
      </c>
    </row>
    <row r="40163">
      <c r="A40163" s="1" t="s">
        <v>40162</v>
      </c>
      <c r="B40163" s="2" t="str">
        <f>IFERROR(__xludf.DUMMYFUNCTION("GOOGLETRANSLATE(A40163, ""de"", ""en"")"),"satellite images")</f>
        <v>satellite images</v>
      </c>
    </row>
    <row r="40164">
      <c r="A40164" s="1" t="s">
        <v>40163</v>
      </c>
      <c r="B40164" s="2" t="str">
        <f>IFERROR(__xludf.DUMMYFUNCTION("GOOGLETRANSLATE(A40164, ""de"", ""en"")"),"happy ending")</f>
        <v>happy ending</v>
      </c>
    </row>
    <row r="40165">
      <c r="A40165" s="1" t="s">
        <v>40164</v>
      </c>
      <c r="B40165" s="2" t="str">
        <f>IFERROR(__xludf.DUMMYFUNCTION("GOOGLETRANSLATE(A40165, ""de"", ""en"")"),"random")</f>
        <v>random</v>
      </c>
    </row>
    <row r="40166">
      <c r="A40166" s="1" t="s">
        <v>40165</v>
      </c>
      <c r="B40166" s="2" t="str">
        <f>IFERROR(__xludf.DUMMYFUNCTION("GOOGLETRANSLATE(A40166, ""de"", ""en"")"),"defiant")</f>
        <v>defiant</v>
      </c>
    </row>
    <row r="40167">
      <c r="A40167" s="1" t="s">
        <v>40166</v>
      </c>
      <c r="B40167" s="2" t="str">
        <f>IFERROR(__xludf.DUMMYFUNCTION("GOOGLETRANSLATE(A40167, ""de"", ""en"")"),"cream off")</f>
        <v>cream off</v>
      </c>
    </row>
    <row r="40168">
      <c r="A40168" s="1" t="s">
        <v>40167</v>
      </c>
      <c r="B40168" s="2" t="str">
        <f>IFERROR(__xludf.DUMMYFUNCTION("GOOGLETRANSLATE(A40168, ""de"", ""en"")"),"mcgrath")</f>
        <v>mcgrath</v>
      </c>
    </row>
    <row r="40169">
      <c r="A40169" s="1" t="s">
        <v>40168</v>
      </c>
      <c r="B40169" s="2" t="str">
        <f>IFERROR(__xludf.DUMMYFUNCTION("GOOGLETRANSLATE(A40169, ""de"", ""en"")"),"ready to fire")</f>
        <v>ready to fire</v>
      </c>
    </row>
    <row r="40170">
      <c r="A40170" s="1" t="s">
        <v>40169</v>
      </c>
      <c r="B40170" s="2" t="str">
        <f>IFERROR(__xludf.DUMMYFUNCTION("GOOGLETRANSLATE(A40170, ""de"", ""en"")"),"bouncer")</f>
        <v>bouncer</v>
      </c>
    </row>
    <row r="40171">
      <c r="A40171" s="1" t="s">
        <v>40170</v>
      </c>
      <c r="B40171" s="2" t="str">
        <f>IFERROR(__xludf.DUMMYFUNCTION("GOOGLETRANSLATE(A40171, ""de"", ""en"")"),"byproduct")</f>
        <v>byproduct</v>
      </c>
    </row>
    <row r="40172">
      <c r="A40172" s="1" t="s">
        <v>40171</v>
      </c>
      <c r="B40172" s="2" t="str">
        <f>IFERROR(__xludf.DUMMYFUNCTION("GOOGLETRANSLATE(A40172, ""de"", ""en"")"),"potomac")</f>
        <v>potomac</v>
      </c>
    </row>
    <row r="40173">
      <c r="A40173" s="1" t="s">
        <v>40172</v>
      </c>
      <c r="B40173" s="2" t="str">
        <f>IFERROR(__xludf.DUMMYFUNCTION("GOOGLETRANSLATE(A40173, ""de"", ""en"")"),"to prepare")</f>
        <v>to prepare</v>
      </c>
    </row>
    <row r="40174">
      <c r="A40174" s="1" t="s">
        <v>40173</v>
      </c>
      <c r="B40174" s="2" t="str">
        <f>IFERROR(__xludf.DUMMYFUNCTION("GOOGLETRANSLATE(A40174, ""de"", ""en"")"),"orangutan")</f>
        <v>orangutan</v>
      </c>
    </row>
    <row r="40175">
      <c r="A40175" s="1" t="s">
        <v>40174</v>
      </c>
      <c r="B40175" s="2" t="str">
        <f>IFERROR(__xludf.DUMMYFUNCTION("GOOGLETRANSLATE(A40175, ""de"", ""en"")"),"exhume")</f>
        <v>exhume</v>
      </c>
    </row>
    <row r="40176">
      <c r="A40176" s="1" t="s">
        <v>40175</v>
      </c>
      <c r="B40176" s="2" t="str">
        <f>IFERROR(__xludf.DUMMYFUNCTION("GOOGLETRANSLATE(A40176, ""de"", ""en"")"),"Moshe")</f>
        <v>Moshe</v>
      </c>
    </row>
    <row r="40177">
      <c r="A40177" s="1" t="s">
        <v>40176</v>
      </c>
      <c r="B40177" s="2" t="str">
        <f>IFERROR(__xludf.DUMMYFUNCTION("GOOGLETRANSLATE(A40177, ""de"", ""en"")"),"stews")</f>
        <v>stews</v>
      </c>
    </row>
    <row r="40178">
      <c r="A40178" s="1" t="s">
        <v>40177</v>
      </c>
      <c r="B40178" s="2" t="str">
        <f>IFERROR(__xludf.DUMMYFUNCTION("GOOGLETRANSLATE(A40178, ""de"", ""en"")"),"exizor")</f>
        <v>exizor</v>
      </c>
    </row>
    <row r="40179">
      <c r="A40179" s="1" t="s">
        <v>40178</v>
      </c>
      <c r="B40179" s="2" t="str">
        <f>IFERROR(__xludf.DUMMYFUNCTION("GOOGLETRANSLATE(A40179, ""de"", ""en"")"),"felt comfortable")</f>
        <v>felt comfortable</v>
      </c>
    </row>
    <row r="40180">
      <c r="A40180" s="1" t="s">
        <v>40179</v>
      </c>
      <c r="B40180" s="2" t="str">
        <f>IFERROR(__xludf.DUMMYFUNCTION("GOOGLETRANSLATE(A40180, ""de"", ""en"")"),"scrub")</f>
        <v>scrub</v>
      </c>
    </row>
    <row r="40181">
      <c r="A40181" s="1" t="s">
        <v>40180</v>
      </c>
      <c r="B40181" s="2" t="str">
        <f>IFERROR(__xludf.DUMMYFUNCTION("GOOGLETRANSLATE(A40181, ""de"", ""en"")"),"miserably")</f>
        <v>miserably</v>
      </c>
    </row>
    <row r="40182">
      <c r="A40182" s="1" t="s">
        <v>40181</v>
      </c>
      <c r="B40182" s="2" t="str">
        <f>IFERROR(__xludf.DUMMYFUNCTION("GOOGLETRANSLATE(A40182, ""de"", ""en"")"),"kitchen knife")</f>
        <v>kitchen knife</v>
      </c>
    </row>
    <row r="40183">
      <c r="A40183" s="1" t="s">
        <v>40182</v>
      </c>
      <c r="B40183" s="2" t="str">
        <f>IFERROR(__xludf.DUMMYFUNCTION("GOOGLETRANSLATE(A40183, ""de"", ""en"")"),"official route")</f>
        <v>official route</v>
      </c>
    </row>
    <row r="40184">
      <c r="A40184" s="1" t="s">
        <v>40183</v>
      </c>
      <c r="B40184" s="2" t="str">
        <f>IFERROR(__xludf.DUMMYFUNCTION("GOOGLETRANSLATE(A40184, ""de"", ""en"")"),"extensive")</f>
        <v>extensive</v>
      </c>
    </row>
    <row r="40185">
      <c r="A40185" s="1" t="s">
        <v>40184</v>
      </c>
      <c r="B40185" s="2" t="str">
        <f>IFERROR(__xludf.DUMMYFUNCTION("GOOGLETRANSLATE(A40185, ""de"", ""en"")"),"dyle")</f>
        <v>dyle</v>
      </c>
    </row>
    <row r="40186">
      <c r="A40186" s="1" t="s">
        <v>40185</v>
      </c>
      <c r="B40186" s="2" t="str">
        <f>IFERROR(__xludf.DUMMYFUNCTION("GOOGLETRANSLATE(A40186, ""de"", ""en"")"),"flight deck")</f>
        <v>flight deck</v>
      </c>
    </row>
    <row r="40187">
      <c r="A40187" s="1" t="s">
        <v>40186</v>
      </c>
      <c r="B40187" s="2" t="str">
        <f>IFERROR(__xludf.DUMMYFUNCTION("GOOGLETRANSLATE(A40187, ""de"", ""en"")"),"vampires")</f>
        <v>vampires</v>
      </c>
    </row>
    <row r="40188">
      <c r="A40188" s="1" t="s">
        <v>40187</v>
      </c>
      <c r="B40188" s="2" t="str">
        <f>IFERROR(__xludf.DUMMYFUNCTION("GOOGLETRANSLATE(A40188, ""de"", ""en"")"),"get out")</f>
        <v>get out</v>
      </c>
    </row>
    <row r="40189">
      <c r="A40189" s="1" t="s">
        <v>40188</v>
      </c>
      <c r="B40189" s="2" t="str">
        <f>IFERROR(__xludf.DUMMYFUNCTION("GOOGLETRANSLATE(A40189, ""de"", ""en"")"),"toenails")</f>
        <v>toenails</v>
      </c>
    </row>
    <row r="40190">
      <c r="A40190" s="1" t="s">
        <v>40189</v>
      </c>
      <c r="B40190" s="2" t="str">
        <f>IFERROR(__xludf.DUMMYFUNCTION("GOOGLETRANSLATE(A40190, ""de"", ""en"")"),"aurelio")</f>
        <v>aurelio</v>
      </c>
    </row>
    <row r="40191">
      <c r="A40191" s="1" t="s">
        <v>40190</v>
      </c>
      <c r="B40191" s="2" t="str">
        <f>IFERROR(__xludf.DUMMYFUNCTION("GOOGLETRANSLATE(A40191, ""de"", ""en"")"),"nope")</f>
        <v>nope</v>
      </c>
    </row>
    <row r="40192">
      <c r="A40192" s="1" t="s">
        <v>40191</v>
      </c>
      <c r="B40192" s="2" t="str">
        <f>IFERROR(__xludf.DUMMYFUNCTION("GOOGLETRANSLATE(A40192, ""de"", ""en"")"),"pirate ship")</f>
        <v>pirate ship</v>
      </c>
    </row>
    <row r="40193">
      <c r="A40193" s="1" t="s">
        <v>40192</v>
      </c>
      <c r="B40193" s="2" t="str">
        <f>IFERROR(__xludf.DUMMYFUNCTION("GOOGLETRANSLATE(A40193, ""de"", ""en"")"),"blows your mind")</f>
        <v>blows your mind</v>
      </c>
    </row>
    <row r="40194">
      <c r="A40194" s="1" t="s">
        <v>40193</v>
      </c>
      <c r="B40194" s="2" t="str">
        <f>IFERROR(__xludf.DUMMYFUNCTION("GOOGLETRANSLATE(A40194, ""de"", ""en"")"),"peaceful")</f>
        <v>peaceful</v>
      </c>
    </row>
    <row r="40195">
      <c r="A40195" s="1" t="s">
        <v>40194</v>
      </c>
      <c r="B40195" s="2" t="str">
        <f>IFERROR(__xludf.DUMMYFUNCTION("GOOGLETRANSLATE(A40195, ""de"", ""en"")"),"grumpy")</f>
        <v>grumpy</v>
      </c>
    </row>
    <row r="40196">
      <c r="A40196" s="1" t="s">
        <v>40195</v>
      </c>
      <c r="B40196" s="2" t="str">
        <f>IFERROR(__xludf.DUMMYFUNCTION("GOOGLETRANSLATE(A40196, ""de"", ""en"")"),"r-2")</f>
        <v>r-2</v>
      </c>
    </row>
    <row r="40197">
      <c r="A40197" s="1" t="s">
        <v>40196</v>
      </c>
      <c r="B40197" s="2" t="str">
        <f>IFERROR(__xludf.DUMMYFUNCTION("GOOGLETRANSLATE(A40197, ""de"", ""en"")"),"heat up")</f>
        <v>heat up</v>
      </c>
    </row>
    <row r="40198">
      <c r="A40198" s="1" t="s">
        <v>40197</v>
      </c>
      <c r="B40198" s="2" t="str">
        <f>IFERROR(__xludf.DUMMYFUNCTION("GOOGLETRANSLATE(A40198, ""de"", ""en"")"),"gunner")</f>
        <v>gunner</v>
      </c>
    </row>
    <row r="40199">
      <c r="A40199" s="1" t="s">
        <v>40198</v>
      </c>
      <c r="B40199" s="2" t="str">
        <f>IFERROR(__xludf.DUMMYFUNCTION("GOOGLETRANSLATE(A40199, ""de"", ""en"")"),"hydrants")</f>
        <v>hydrants</v>
      </c>
    </row>
    <row r="40200">
      <c r="A40200" s="1" t="s">
        <v>40199</v>
      </c>
      <c r="B40200" s="2" t="str">
        <f>IFERROR(__xludf.DUMMYFUNCTION("GOOGLETRANSLATE(A40200, ""de"", ""en"")"),"botany")</f>
        <v>botany</v>
      </c>
    </row>
    <row r="40201">
      <c r="A40201" s="1" t="s">
        <v>40200</v>
      </c>
      <c r="B40201" s="2" t="str">
        <f>IFERROR(__xludf.DUMMYFUNCTION("GOOGLETRANSLATE(A40201, ""de"", ""en"")"),"taken out")</f>
        <v>taken out</v>
      </c>
    </row>
    <row r="40202">
      <c r="A40202" s="1" t="s">
        <v>40201</v>
      </c>
      <c r="B40202" s="2" t="str">
        <f>IFERROR(__xludf.DUMMYFUNCTION("GOOGLETRANSLATE(A40202, ""de"", ""en"")"),"sophistication")</f>
        <v>sophistication</v>
      </c>
    </row>
    <row r="40203">
      <c r="A40203" s="1" t="s">
        <v>40202</v>
      </c>
      <c r="B40203" s="2" t="str">
        <f>IFERROR(__xludf.DUMMYFUNCTION("GOOGLETRANSLATE(A40203, ""de"", ""en"")"),"quick-witted")</f>
        <v>quick-witted</v>
      </c>
    </row>
    <row r="40204">
      <c r="A40204" s="1" t="s">
        <v>40203</v>
      </c>
      <c r="B40204" s="2" t="str">
        <f>IFERROR(__xludf.DUMMYFUNCTION("GOOGLETRANSLATE(A40204, ""de"", ""en"")"),"jury trial")</f>
        <v>jury trial</v>
      </c>
    </row>
    <row r="40205">
      <c r="A40205" s="1" t="s">
        <v>40204</v>
      </c>
      <c r="B40205" s="2" t="str">
        <f>IFERROR(__xludf.DUMMYFUNCTION("GOOGLETRANSLATE(A40205, ""de"", ""en"")"),"to befriend")</f>
        <v>to befriend</v>
      </c>
    </row>
    <row r="40206">
      <c r="A40206" s="1" t="s">
        <v>40205</v>
      </c>
      <c r="B40206" s="2" t="str">
        <f>IFERROR(__xludf.DUMMYFUNCTION("GOOGLETRANSLATE(A40206, ""de"", ""en"")"),"imposter")</f>
        <v>imposter</v>
      </c>
    </row>
    <row r="40207">
      <c r="A40207" s="1" t="s">
        <v>40206</v>
      </c>
      <c r="B40207" s="2" t="str">
        <f>IFERROR(__xludf.DUMMYFUNCTION("GOOGLETRANSLATE(A40207, ""de"", ""en"")"),"warlocks")</f>
        <v>warlocks</v>
      </c>
    </row>
    <row r="40208">
      <c r="A40208" s="1" t="s">
        <v>40207</v>
      </c>
      <c r="B40208" s="2" t="str">
        <f>IFERROR(__xludf.DUMMYFUNCTION("GOOGLETRANSLATE(A40208, ""de"", ""en"")"),"gaza")</f>
        <v>gaza</v>
      </c>
    </row>
    <row r="40209">
      <c r="A40209" s="1" t="s">
        <v>40208</v>
      </c>
      <c r="B40209" s="2" t="str">
        <f>IFERROR(__xludf.DUMMYFUNCTION("GOOGLETRANSLATE(A40209, ""de"", ""en"")"),"sitting around")</f>
        <v>sitting around</v>
      </c>
    </row>
    <row r="40210">
      <c r="A40210" s="1" t="s">
        <v>40209</v>
      </c>
      <c r="B40210" s="2" t="str">
        <f>IFERROR(__xludf.DUMMYFUNCTION("GOOGLETRANSLATE(A40210, ""de"", ""en"")"),"deny")</f>
        <v>deny</v>
      </c>
    </row>
    <row r="40211">
      <c r="A40211" s="1" t="s">
        <v>40210</v>
      </c>
      <c r="B40211" s="2" t="str">
        <f>IFERROR(__xludf.DUMMYFUNCTION("GOOGLETRANSLATE(A40211, ""de"", ""en"")"),"ibuprofen")</f>
        <v>ibuprofen</v>
      </c>
    </row>
    <row r="40212">
      <c r="A40212" s="1" t="s">
        <v>40211</v>
      </c>
      <c r="B40212" s="2" t="str">
        <f>IFERROR(__xludf.DUMMYFUNCTION("GOOGLETRANSLATE(A40212, ""de"", ""en"")"),"seahorse")</f>
        <v>seahorse</v>
      </c>
    </row>
    <row r="40213">
      <c r="A40213" s="1" t="s">
        <v>40212</v>
      </c>
      <c r="B40213" s="2" t="str">
        <f>IFERROR(__xludf.DUMMYFUNCTION("GOOGLETRANSLATE(A40213, ""de"", ""en"")"),"morning ones")</f>
        <v>morning ones</v>
      </c>
    </row>
    <row r="40214">
      <c r="A40214" s="1" t="s">
        <v>40213</v>
      </c>
      <c r="B40214" s="2" t="str">
        <f>IFERROR(__xludf.DUMMYFUNCTION("GOOGLETRANSLATE(A40214, ""de"", ""en"")"),"syncro")</f>
        <v>syncro</v>
      </c>
    </row>
    <row r="40215">
      <c r="A40215" s="1" t="s">
        <v>40214</v>
      </c>
      <c r="B40215" s="2" t="str">
        <f>IFERROR(__xludf.DUMMYFUNCTION("GOOGLETRANSLATE(A40215, ""de"", ""en"")"),"nidge")</f>
        <v>nidge</v>
      </c>
    </row>
    <row r="40216">
      <c r="A40216" s="1" t="s">
        <v>40215</v>
      </c>
      <c r="B40216" s="2" t="str">
        <f>IFERROR(__xludf.DUMMYFUNCTION("GOOGLETRANSLATE(A40216, ""de"", ""en"")"),"completely")</f>
        <v>completely</v>
      </c>
    </row>
    <row r="40217">
      <c r="A40217" s="1" t="s">
        <v>40216</v>
      </c>
      <c r="B40217" s="2" t="str">
        <f>IFERROR(__xludf.DUMMYFUNCTION("GOOGLETRANSLATE(A40217, ""de"", ""en"")"),"agrestic")</f>
        <v>agrestic</v>
      </c>
    </row>
    <row r="40218">
      <c r="A40218" s="1" t="s">
        <v>40217</v>
      </c>
      <c r="B40218" s="2" t="str">
        <f>IFERROR(__xludf.DUMMYFUNCTION("GOOGLETRANSLATE(A40218, ""de"", ""en"")"),"godmother")</f>
        <v>godmother</v>
      </c>
    </row>
    <row r="40219">
      <c r="A40219" s="1" t="s">
        <v>40218</v>
      </c>
      <c r="B40219" s="2" t="str">
        <f>IFERROR(__xludf.DUMMYFUNCTION("GOOGLETRANSLATE(A40219, ""de"", ""en"")"),"press pass")</f>
        <v>press pass</v>
      </c>
    </row>
    <row r="40220">
      <c r="A40220" s="1" t="s">
        <v>40219</v>
      </c>
      <c r="B40220" s="2" t="str">
        <f>IFERROR(__xludf.DUMMYFUNCTION("GOOGLETRANSLATE(A40220, ""de"", ""en"")"),"motorcycles")</f>
        <v>motorcycles</v>
      </c>
    </row>
    <row r="40221">
      <c r="A40221" s="1" t="s">
        <v>40220</v>
      </c>
      <c r="B40221" s="2" t="str">
        <f>IFERROR(__xludf.DUMMYFUNCTION("GOOGLETRANSLATE(A40221, ""de"", ""en"")"),"clawed")</f>
        <v>clawed</v>
      </c>
    </row>
    <row r="40222">
      <c r="A40222" s="1" t="s">
        <v>40221</v>
      </c>
      <c r="B40222" s="2" t="str">
        <f>IFERROR(__xludf.DUMMYFUNCTION("GOOGLETRANSLATE(A40222, ""de"", ""en"")"),"teaching")</f>
        <v>teaching</v>
      </c>
    </row>
    <row r="40223">
      <c r="A40223" s="1" t="s">
        <v>40222</v>
      </c>
      <c r="B40223" s="2" t="str">
        <f>IFERROR(__xludf.DUMMYFUNCTION("GOOGLETRANSLATE(A40223, ""de"", ""en"")"),"has")</f>
        <v>has</v>
      </c>
    </row>
    <row r="40224">
      <c r="A40224" s="1" t="s">
        <v>40223</v>
      </c>
      <c r="B40224" s="2" t="str">
        <f>IFERROR(__xludf.DUMMYFUNCTION("GOOGLETRANSLATE(A40224, ""de"", ""en"")"),"endures")</f>
        <v>endures</v>
      </c>
    </row>
    <row r="40225">
      <c r="A40225" s="1" t="s">
        <v>40224</v>
      </c>
      <c r="B40225" s="2" t="str">
        <f>IFERROR(__xludf.DUMMYFUNCTION("GOOGLETRANSLATE(A40225, ""de"", ""en"")"),"workshops")</f>
        <v>workshops</v>
      </c>
    </row>
    <row r="40226">
      <c r="A40226" s="1" t="s">
        <v>40225</v>
      </c>
      <c r="B40226" s="2" t="str">
        <f>IFERROR(__xludf.DUMMYFUNCTION("GOOGLETRANSLATE(A40226, ""de"", ""en"")"),"brat")</f>
        <v>brat</v>
      </c>
    </row>
    <row r="40227">
      <c r="A40227" s="1" t="s">
        <v>40226</v>
      </c>
      <c r="B40227" s="2" t="str">
        <f>IFERROR(__xludf.DUMMYFUNCTION("GOOGLETRANSLATE(A40227, ""de"", ""en"")"),"Swedish")</f>
        <v>Swedish</v>
      </c>
    </row>
    <row r="40228">
      <c r="A40228" s="1" t="s">
        <v>40227</v>
      </c>
      <c r="B40228" s="2" t="str">
        <f>IFERROR(__xludf.DUMMYFUNCTION("GOOGLETRANSLATE(A40228, ""de"", ""en"")"),"chuny")</f>
        <v>chuny</v>
      </c>
    </row>
    <row r="40229">
      <c r="A40229" s="1" t="s">
        <v>40228</v>
      </c>
      <c r="B40229" s="2" t="str">
        <f>IFERROR(__xludf.DUMMYFUNCTION("GOOGLETRANSLATE(A40229, ""de"", ""en"")"),"trained")</f>
        <v>trained</v>
      </c>
    </row>
    <row r="40230">
      <c r="A40230" s="1" t="s">
        <v>40229</v>
      </c>
      <c r="B40230" s="2" t="str">
        <f>IFERROR(__xludf.DUMMYFUNCTION("GOOGLETRANSLATE(A40230, ""de"", ""en"")"),"more liberal")</f>
        <v>more liberal</v>
      </c>
    </row>
    <row r="40231">
      <c r="A40231" s="1" t="s">
        <v>40230</v>
      </c>
      <c r="B40231" s="2" t="str">
        <f>IFERROR(__xludf.DUMMYFUNCTION("GOOGLETRANSLATE(A40231, ""de"", ""en"")"),"funny")</f>
        <v>funny</v>
      </c>
    </row>
    <row r="40232">
      <c r="A40232" s="1" t="s">
        <v>40231</v>
      </c>
      <c r="B40232" s="2" t="str">
        <f>IFERROR(__xludf.DUMMYFUNCTION("GOOGLETRANSLATE(A40232, ""de"", ""en"")"),"stubborn")</f>
        <v>stubborn</v>
      </c>
    </row>
    <row r="40233">
      <c r="A40233" s="1" t="s">
        <v>40232</v>
      </c>
      <c r="B40233" s="2" t="str">
        <f>IFERROR(__xludf.DUMMYFUNCTION("GOOGLETRANSLATE(A40233, ""de"", ""en"")"),"replied")</f>
        <v>replied</v>
      </c>
    </row>
    <row r="40234">
      <c r="A40234" s="1" t="s">
        <v>40233</v>
      </c>
      <c r="B40234" s="2" t="str">
        <f>IFERROR(__xludf.DUMMYFUNCTION("GOOGLETRANSLATE(A40234, ""de"", ""en"")"),"zeno")</f>
        <v>zeno</v>
      </c>
    </row>
    <row r="40235">
      <c r="A40235" s="1" t="s">
        <v>40234</v>
      </c>
      <c r="B40235" s="2" t="str">
        <f>IFERROR(__xludf.DUMMYFUNCTION("GOOGLETRANSLATE(A40235, ""de"", ""en"")"),"kubo")</f>
        <v>kubo</v>
      </c>
    </row>
    <row r="40236">
      <c r="A40236" s="1" t="s">
        <v>40235</v>
      </c>
      <c r="B40236" s="2" t="str">
        <f>IFERROR(__xludf.DUMMYFUNCTION("GOOGLETRANSLATE(A40236, ""de"", ""en"")"),"corrine")</f>
        <v>corrine</v>
      </c>
    </row>
    <row r="40237">
      <c r="A40237" s="1" t="s">
        <v>40236</v>
      </c>
      <c r="B40237" s="2" t="str">
        <f>IFERROR(__xludf.DUMMYFUNCTION("GOOGLETRANSLATE(A40237, ""de"", ""en"")"),"seize")</f>
        <v>seize</v>
      </c>
    </row>
    <row r="40238">
      <c r="A40238" s="1" t="s">
        <v>40237</v>
      </c>
      <c r="B40238" s="2" t="str">
        <f>IFERROR(__xludf.DUMMYFUNCTION("GOOGLETRANSLATE(A40238, ""de"", ""en"")"),"leaders")</f>
        <v>leaders</v>
      </c>
    </row>
    <row r="40239">
      <c r="A40239" s="1" t="s">
        <v>40238</v>
      </c>
      <c r="B40239" s="2" t="str">
        <f>IFERROR(__xludf.DUMMYFUNCTION("GOOGLETRANSLATE(A40239, ""de"", ""en"")"),"to add")</f>
        <v>to add</v>
      </c>
    </row>
    <row r="40240">
      <c r="A40240" s="1" t="s">
        <v>40239</v>
      </c>
      <c r="B40240" s="2" t="str">
        <f>IFERROR(__xludf.DUMMYFUNCTION("GOOGLETRANSLATE(A40240, ""de"", ""en"")"),"needy")</f>
        <v>needy</v>
      </c>
    </row>
    <row r="40241">
      <c r="A40241" s="1" t="s">
        <v>40240</v>
      </c>
      <c r="B40241" s="2" t="str">
        <f>IFERROR(__xludf.DUMMYFUNCTION("GOOGLETRANSLATE(A40241, ""de"", ""en"")"),"panting")</f>
        <v>panting</v>
      </c>
    </row>
    <row r="40242">
      <c r="A40242" s="1" t="s">
        <v>40241</v>
      </c>
      <c r="B40242" s="2" t="str">
        <f>IFERROR(__xludf.DUMMYFUNCTION("GOOGLETRANSLATE(A40242, ""de"", ""en"")"),"benevolent")</f>
        <v>benevolent</v>
      </c>
    </row>
    <row r="40243">
      <c r="A40243" s="1" t="s">
        <v>40242</v>
      </c>
      <c r="B40243" s="2" t="str">
        <f>IFERROR(__xludf.DUMMYFUNCTION("GOOGLETRANSLATE(A40243, ""de"", ""en"")"),"acorns")</f>
        <v>acorns</v>
      </c>
    </row>
    <row r="40244">
      <c r="A40244" s="1" t="s">
        <v>40243</v>
      </c>
      <c r="B40244" s="2" t="str">
        <f>IFERROR(__xludf.DUMMYFUNCTION("GOOGLETRANSLATE(A40244, ""de"", ""en"")"),"mentally ill")</f>
        <v>mentally ill</v>
      </c>
    </row>
    <row r="40245">
      <c r="A40245" s="1" t="s">
        <v>40244</v>
      </c>
      <c r="B40245" s="2" t="str">
        <f>IFERROR(__xludf.DUMMYFUNCTION("GOOGLETRANSLATE(A40245, ""de"", ""en"")"),"black powder")</f>
        <v>black powder</v>
      </c>
    </row>
    <row r="40246">
      <c r="A40246" s="1" t="s">
        <v>40245</v>
      </c>
      <c r="B40246" s="2" t="str">
        <f>IFERROR(__xludf.DUMMYFUNCTION("GOOGLETRANSLATE(A40246, ""de"", ""en"")"),"to confront")</f>
        <v>to confront</v>
      </c>
    </row>
    <row r="40247">
      <c r="A40247" s="1" t="s">
        <v>40246</v>
      </c>
      <c r="B40247" s="2" t="str">
        <f>IFERROR(__xludf.DUMMYFUNCTION("GOOGLETRANSLATE(A40247, ""de"", ""en"")"),"obscene")</f>
        <v>obscene</v>
      </c>
    </row>
    <row r="40248">
      <c r="A40248" s="1" t="s">
        <v>40247</v>
      </c>
      <c r="B40248" s="2" t="str">
        <f>IFERROR(__xludf.DUMMYFUNCTION("GOOGLETRANSLATE(A40248, ""de"", ""en"")"),"fenwick")</f>
        <v>fenwick</v>
      </c>
    </row>
    <row r="40249">
      <c r="A40249" s="1" t="s">
        <v>40248</v>
      </c>
      <c r="B40249" s="2" t="str">
        <f>IFERROR(__xludf.DUMMYFUNCTION("GOOGLETRANSLATE(A40249, ""de"", ""en"")"),"hehe")</f>
        <v>hehe</v>
      </c>
    </row>
    <row r="40250">
      <c r="A40250" s="1" t="s">
        <v>40249</v>
      </c>
      <c r="B40250" s="2" t="str">
        <f>IFERROR(__xludf.DUMMYFUNCTION("GOOGLETRANSLATE(A40250, ""de"", ""en"")"),"curse")</f>
        <v>curse</v>
      </c>
    </row>
    <row r="40251">
      <c r="A40251" s="1" t="s">
        <v>40250</v>
      </c>
      <c r="B40251" s="2" t="str">
        <f>IFERROR(__xludf.DUMMYFUNCTION("GOOGLETRANSLATE(A40251, ""de"", ""en"")"),"mulled wine")</f>
        <v>mulled wine</v>
      </c>
    </row>
    <row r="40252">
      <c r="A40252" s="1" t="s">
        <v>40251</v>
      </c>
      <c r="B40252" s="2" t="str">
        <f>IFERROR(__xludf.DUMMYFUNCTION("GOOGLETRANSLATE(A40252, ""de"", ""en"")"),"haruka")</f>
        <v>haruka</v>
      </c>
    </row>
    <row r="40253">
      <c r="A40253" s="1" t="s">
        <v>40252</v>
      </c>
      <c r="B40253" s="2" t="str">
        <f>IFERROR(__xludf.DUMMYFUNCTION("GOOGLETRANSLATE(A40253, ""de"", ""en"")"),"macintosh")</f>
        <v>macintosh</v>
      </c>
    </row>
    <row r="40254">
      <c r="A40254" s="1" t="s">
        <v>40253</v>
      </c>
      <c r="B40254" s="2" t="str">
        <f>IFERROR(__xludf.DUMMYFUNCTION("GOOGLETRANSLATE(A40254, ""de"", ""en"")"),"landru")</f>
        <v>landru</v>
      </c>
    </row>
    <row r="40255">
      <c r="A40255" s="1" t="s">
        <v>40254</v>
      </c>
      <c r="B40255" s="2" t="str">
        <f>IFERROR(__xludf.DUMMYFUNCTION("GOOGLETRANSLATE(A40255, ""de"", ""en"")"),"to clear out")</f>
        <v>to clear out</v>
      </c>
    </row>
    <row r="40256">
      <c r="A40256" s="1" t="s">
        <v>40255</v>
      </c>
      <c r="B40256" s="2" t="str">
        <f>IFERROR(__xludf.DUMMYFUNCTION("GOOGLETRANSLATE(A40256, ""de"", ""en"")"),"more silent")</f>
        <v>more silent</v>
      </c>
    </row>
    <row r="40257">
      <c r="A40257" s="1" t="s">
        <v>40256</v>
      </c>
      <c r="B40257" s="2" t="str">
        <f>IFERROR(__xludf.DUMMYFUNCTION("GOOGLETRANSLATE(A40257, ""de"", ""en"")"),"to nail down")</f>
        <v>to nail down</v>
      </c>
    </row>
    <row r="40258">
      <c r="A40258" s="1" t="s">
        <v>40257</v>
      </c>
      <c r="B40258" s="2" t="str">
        <f>IFERROR(__xludf.DUMMYFUNCTION("GOOGLETRANSLATE(A40258, ""de"", ""en"")"),"godseys")</f>
        <v>godseys</v>
      </c>
    </row>
    <row r="40259">
      <c r="A40259" s="1" t="s">
        <v>40258</v>
      </c>
      <c r="B40259" s="2" t="str">
        <f>IFERROR(__xludf.DUMMYFUNCTION("GOOGLETRANSLATE(A40259, ""de"", ""en"")"),"defile")</f>
        <v>defile</v>
      </c>
    </row>
    <row r="40260">
      <c r="A40260" s="1" t="s">
        <v>40259</v>
      </c>
      <c r="B40260" s="2" t="str">
        <f>IFERROR(__xludf.DUMMYFUNCTION("GOOGLETRANSLATE(A40260, ""de"", ""en"")"),"foggy")</f>
        <v>foggy</v>
      </c>
    </row>
    <row r="40261">
      <c r="A40261" s="1" t="s">
        <v>40260</v>
      </c>
      <c r="B40261" s="2" t="str">
        <f>IFERROR(__xludf.DUMMYFUNCTION("GOOGLETRANSLATE(A40261, ""de"", ""en"")"),"lemmon")</f>
        <v>lemmon</v>
      </c>
    </row>
    <row r="40262">
      <c r="A40262" s="1" t="s">
        <v>40261</v>
      </c>
      <c r="B40262" s="2" t="str">
        <f>IFERROR(__xludf.DUMMYFUNCTION("GOOGLETRANSLATE(A40262, ""de"", ""en"")"),"symphony")</f>
        <v>symphony</v>
      </c>
    </row>
    <row r="40263">
      <c r="A40263" s="1" t="s">
        <v>40262</v>
      </c>
      <c r="B40263" s="2" t="str">
        <f>IFERROR(__xludf.DUMMYFUNCTION("GOOGLETRANSLATE(A40263, ""de"", ""en"")"),"sta")</f>
        <v>sta</v>
      </c>
    </row>
    <row r="40264">
      <c r="A40264" s="1" t="s">
        <v>40263</v>
      </c>
      <c r="B40264" s="2" t="str">
        <f>IFERROR(__xludf.DUMMYFUNCTION("GOOGLETRANSLATE(A40264, ""de"", ""en"")"),"eat along")</f>
        <v>eat along</v>
      </c>
    </row>
    <row r="40265">
      <c r="A40265" s="1" t="s">
        <v>40264</v>
      </c>
      <c r="B40265" s="2" t="str">
        <f>IFERROR(__xludf.DUMMYFUNCTION("GOOGLETRANSLATE(A40265, ""de"", ""en"")"),"service")</f>
        <v>service</v>
      </c>
    </row>
    <row r="40266">
      <c r="A40266" s="1" t="s">
        <v>40265</v>
      </c>
      <c r="B40266" s="2" t="str">
        <f>IFERROR(__xludf.DUMMYFUNCTION("GOOGLETRANSLATE(A40266, ""de"", ""en"")"),"smelly")</f>
        <v>smelly</v>
      </c>
    </row>
    <row r="40267">
      <c r="A40267" s="1" t="s">
        <v>40266</v>
      </c>
      <c r="B40267" s="2" t="str">
        <f>IFERROR(__xludf.DUMMYFUNCTION("GOOGLETRANSLATE(A40267, ""de"", ""en"")"),"Cinderella")</f>
        <v>Cinderella</v>
      </c>
    </row>
    <row r="40268">
      <c r="A40268" s="1" t="s">
        <v>40267</v>
      </c>
      <c r="B40268" s="2" t="str">
        <f>IFERROR(__xludf.DUMMYFUNCTION("GOOGLETRANSLATE(A40268, ""de"", ""en"")"),"ellington")</f>
        <v>ellington</v>
      </c>
    </row>
    <row r="40269">
      <c r="A40269" s="1" t="s">
        <v>40268</v>
      </c>
      <c r="B40269" s="2" t="str">
        <f>IFERROR(__xludf.DUMMYFUNCTION("GOOGLETRANSLATE(A40269, ""de"", ""en"")"),"bearded")</f>
        <v>bearded</v>
      </c>
    </row>
    <row r="40270">
      <c r="A40270" s="1" t="s">
        <v>40269</v>
      </c>
      <c r="B40270" s="2" t="str">
        <f>IFERROR(__xludf.DUMMYFUNCTION("GOOGLETRANSLATE(A40270, ""de"", ""en"")"),"uninvolved")</f>
        <v>uninvolved</v>
      </c>
    </row>
    <row r="40271">
      <c r="A40271" s="1" t="s">
        <v>40270</v>
      </c>
      <c r="B40271" s="2" t="str">
        <f>IFERROR(__xludf.DUMMYFUNCTION("GOOGLETRANSLATE(A40271, ""de"", ""en"")"),"quartermaster")</f>
        <v>quartermaster</v>
      </c>
    </row>
    <row r="40272">
      <c r="A40272" s="1" t="s">
        <v>40271</v>
      </c>
      <c r="B40272" s="2" t="str">
        <f>IFERROR(__xludf.DUMMYFUNCTION("GOOGLETRANSLATE(A40272, ""de"", ""en"")"),"fragile")</f>
        <v>fragile</v>
      </c>
    </row>
    <row r="40273">
      <c r="A40273" s="1" t="s">
        <v>40272</v>
      </c>
      <c r="B40273" s="2" t="str">
        <f>IFERROR(__xludf.DUMMYFUNCTION("GOOGLETRANSLATE(A40273, ""de"", ""en"")"),"follower")</f>
        <v>follower</v>
      </c>
    </row>
    <row r="40274">
      <c r="A40274" s="1" t="s">
        <v>40273</v>
      </c>
      <c r="B40274" s="2" t="str">
        <f>IFERROR(__xludf.DUMMYFUNCTION("GOOGLETRANSLATE(A40274, ""de"", ""en"")"),"saphira")</f>
        <v>saphira</v>
      </c>
    </row>
    <row r="40275">
      <c r="A40275" s="1" t="s">
        <v>40274</v>
      </c>
      <c r="B40275" s="2" t="str">
        <f>IFERROR(__xludf.DUMMYFUNCTION("GOOGLETRANSLATE(A40275, ""de"", ""en"")"),"slips away")</f>
        <v>slips away</v>
      </c>
    </row>
    <row r="40276">
      <c r="A40276" s="1" t="s">
        <v>40275</v>
      </c>
      <c r="B40276" s="2" t="str">
        <f>IFERROR(__xludf.DUMMYFUNCTION("GOOGLETRANSLATE(A40276, ""de"", ""en"")"),"naked")</f>
        <v>naked</v>
      </c>
    </row>
    <row r="40277">
      <c r="A40277" s="1" t="s">
        <v>40276</v>
      </c>
      <c r="B40277" s="2" t="str">
        <f>IFERROR(__xludf.DUMMYFUNCTION("GOOGLETRANSLATE(A40277, ""de"", ""en"")"),"more acidic")</f>
        <v>more acidic</v>
      </c>
    </row>
    <row r="40278">
      <c r="A40278" s="1" t="s">
        <v>40277</v>
      </c>
      <c r="B40278" s="2" t="str">
        <f>IFERROR(__xludf.DUMMYFUNCTION("GOOGLETRANSLATE(A40278, ""de"", ""en"")"),"rougher")</f>
        <v>rougher</v>
      </c>
    </row>
    <row r="40279">
      <c r="A40279" s="1" t="s">
        <v>40278</v>
      </c>
      <c r="B40279" s="2" t="str">
        <f>IFERROR(__xludf.DUMMYFUNCTION("GOOGLETRANSLATE(A40279, ""de"", ""en"")"),"birthday cake")</f>
        <v>birthday cake</v>
      </c>
    </row>
    <row r="40280">
      <c r="A40280" s="1" t="s">
        <v>40279</v>
      </c>
      <c r="B40280" s="2" t="str">
        <f>IFERROR(__xludf.DUMMYFUNCTION("GOOGLETRANSLATE(A40280, ""de"", ""en"")"),"albion")</f>
        <v>albion</v>
      </c>
    </row>
    <row r="40281">
      <c r="A40281" s="1" t="s">
        <v>40280</v>
      </c>
      <c r="B40281" s="2" t="str">
        <f>IFERROR(__xludf.DUMMYFUNCTION("GOOGLETRANSLATE(A40281, ""de"", ""en"")"),"generals")</f>
        <v>generals</v>
      </c>
    </row>
    <row r="40282">
      <c r="A40282" s="1" t="s">
        <v>40281</v>
      </c>
      <c r="B40282" s="2" t="str">
        <f>IFERROR(__xludf.DUMMYFUNCTION("GOOGLETRANSLATE(A40282, ""de"", ""en"")"),"Irisa")</f>
        <v>Irisa</v>
      </c>
    </row>
    <row r="40283">
      <c r="A40283" s="1" t="s">
        <v>40282</v>
      </c>
      <c r="B40283" s="2" t="str">
        <f>IFERROR(__xludf.DUMMYFUNCTION("GOOGLETRANSLATE(A40283, ""de"", ""en"")"),"separate")</f>
        <v>separate</v>
      </c>
    </row>
    <row r="40284">
      <c r="A40284" s="1" t="s">
        <v>40283</v>
      </c>
      <c r="B40284" s="2" t="str">
        <f>IFERROR(__xludf.DUMMYFUNCTION("GOOGLETRANSLATE(A40284, ""de"", ""en"")"),"stoner")</f>
        <v>stoner</v>
      </c>
    </row>
    <row r="40285">
      <c r="A40285" s="1" t="s">
        <v>40284</v>
      </c>
      <c r="B40285" s="2" t="str">
        <f>IFERROR(__xludf.DUMMYFUNCTION("GOOGLETRANSLATE(A40285, ""de"", ""en"")"),"windmills")</f>
        <v>windmills</v>
      </c>
    </row>
    <row r="40286">
      <c r="A40286" s="1" t="s">
        <v>40285</v>
      </c>
      <c r="B40286" s="2" t="str">
        <f>IFERROR(__xludf.DUMMYFUNCTION("GOOGLETRANSLATE(A40286, ""de"", ""en"")"),"replaceable")</f>
        <v>replaceable</v>
      </c>
    </row>
    <row r="40287">
      <c r="A40287" s="1" t="s">
        <v>40286</v>
      </c>
      <c r="B40287" s="2" t="str">
        <f>IFERROR(__xludf.DUMMYFUNCTION("GOOGLETRANSLATE(A40287, ""de"", ""en"")"),"qualify")</f>
        <v>qualify</v>
      </c>
    </row>
    <row r="40288">
      <c r="A40288" s="1" t="s">
        <v>40287</v>
      </c>
      <c r="B40288" s="2" t="str">
        <f>IFERROR(__xludf.DUMMYFUNCTION("GOOGLETRANSLATE(A40288, ""de"", ""en"")"),"to get there")</f>
        <v>to get there</v>
      </c>
    </row>
    <row r="40289">
      <c r="A40289" s="1" t="s">
        <v>40288</v>
      </c>
      <c r="B40289" s="2" t="str">
        <f>IFERROR(__xludf.DUMMYFUNCTION("GOOGLETRANSLATE(A40289, ""de"", ""en"")"),"breather")</f>
        <v>breather</v>
      </c>
    </row>
    <row r="40290">
      <c r="A40290" s="1" t="s">
        <v>40289</v>
      </c>
      <c r="B40290" s="2" t="str">
        <f>IFERROR(__xludf.DUMMYFUNCTION("GOOGLETRANSLATE(A40290, ""de"", ""en"")"),"streisand")</f>
        <v>streisand</v>
      </c>
    </row>
    <row r="40291">
      <c r="A40291" s="1" t="s">
        <v>40290</v>
      </c>
      <c r="B40291" s="2" t="str">
        <f>IFERROR(__xludf.DUMMYFUNCTION("GOOGLETRANSLATE(A40291, ""de"", ""en"")"),"twister")</f>
        <v>twister</v>
      </c>
    </row>
    <row r="40292">
      <c r="A40292" s="1" t="s">
        <v>40291</v>
      </c>
      <c r="B40292" s="2" t="str">
        <f>IFERROR(__xludf.DUMMYFUNCTION("GOOGLETRANSLATE(A40292, ""de"", ""en"")"),"artist")</f>
        <v>artist</v>
      </c>
    </row>
    <row r="40293">
      <c r="A40293" s="1" t="s">
        <v>40292</v>
      </c>
      <c r="B40293" s="2" t="str">
        <f>IFERROR(__xludf.DUMMYFUNCTION("GOOGLETRANSLATE(A40293, ""de"", ""en"")"),"pave")</f>
        <v>pave</v>
      </c>
    </row>
    <row r="40294">
      <c r="A40294" s="1" t="s">
        <v>40293</v>
      </c>
      <c r="B40294" s="2" t="str">
        <f>IFERROR(__xludf.DUMMYFUNCTION("GOOGLETRANSLATE(A40294, ""de"", ""en"")"),"ayesha")</f>
        <v>ayesha</v>
      </c>
    </row>
    <row r="40295">
      <c r="A40295" s="1" t="s">
        <v>40294</v>
      </c>
      <c r="B40295" s="2" t="str">
        <f>IFERROR(__xludf.DUMMYFUNCTION("GOOGLETRANSLATE(A40295, ""de"", ""en"")"),"to get to it")</f>
        <v>to get to it</v>
      </c>
    </row>
    <row r="40296">
      <c r="A40296" s="1" t="s">
        <v>40295</v>
      </c>
      <c r="B40296" s="2" t="str">
        <f>IFERROR(__xludf.DUMMYFUNCTION("GOOGLETRANSLATE(A40296, ""de"", ""en"")"),"family members")</f>
        <v>family members</v>
      </c>
    </row>
    <row r="40297">
      <c r="A40297" s="1" t="s">
        <v>40296</v>
      </c>
      <c r="B40297" s="2" t="str">
        <f>IFERROR(__xludf.DUMMYFUNCTION("GOOGLETRANSLATE(A40297, ""de"", ""en"")"),"breathing sounds")</f>
        <v>breathing sounds</v>
      </c>
    </row>
    <row r="40298">
      <c r="A40298" s="1" t="s">
        <v>40297</v>
      </c>
      <c r="B40298" s="2" t="str">
        <f>IFERROR(__xludf.DUMMYFUNCTION("GOOGLETRANSLATE(A40298, ""de"", ""en"")"),"penned in")</f>
        <v>penned in</v>
      </c>
    </row>
    <row r="40299">
      <c r="A40299" s="1" t="s">
        <v>40298</v>
      </c>
      <c r="B40299" s="2" t="str">
        <f>IFERROR(__xludf.DUMMYFUNCTION("GOOGLETRANSLATE(A40299, ""de"", ""en"")"),"editor")</f>
        <v>editor</v>
      </c>
    </row>
    <row r="40300">
      <c r="A40300" s="1" t="s">
        <v>40299</v>
      </c>
      <c r="B40300" s="2" t="str">
        <f>IFERROR(__xludf.DUMMYFUNCTION("GOOGLETRANSLATE(A40300, ""de"", ""en"")"),"corruptible")</f>
        <v>corruptible</v>
      </c>
    </row>
    <row r="40301">
      <c r="A40301" s="1" t="s">
        <v>40300</v>
      </c>
      <c r="B40301" s="2" t="str">
        <f>IFERROR(__xludf.DUMMYFUNCTION("GOOGLETRANSLATE(A40301, ""de"", ""en"")"),"count")</f>
        <v>count</v>
      </c>
    </row>
    <row r="40302">
      <c r="A40302" s="1" t="s">
        <v>40301</v>
      </c>
      <c r="B40302" s="2" t="str">
        <f>IFERROR(__xludf.DUMMYFUNCTION("GOOGLETRANSLATE(A40302, ""de"", ""en"")"),"faxes")</f>
        <v>faxes</v>
      </c>
    </row>
    <row r="40303">
      <c r="A40303" s="1" t="s">
        <v>40302</v>
      </c>
      <c r="B40303" s="2" t="str">
        <f>IFERROR(__xludf.DUMMYFUNCTION("GOOGLETRANSLATE(A40303, ""de"", ""en"")"),"lynched")</f>
        <v>lynched</v>
      </c>
    </row>
    <row r="40304">
      <c r="A40304" s="1" t="s">
        <v>40303</v>
      </c>
      <c r="B40304" s="2" t="str">
        <f>IFERROR(__xludf.DUMMYFUNCTION("GOOGLETRANSLATE(A40304, ""de"", ""en"")"),"shot away")</f>
        <v>shot away</v>
      </c>
    </row>
    <row r="40305">
      <c r="A40305" s="1" t="s">
        <v>40304</v>
      </c>
      <c r="B40305" s="2" t="str">
        <f>IFERROR(__xludf.DUMMYFUNCTION("GOOGLETRANSLATE(A40305, ""de"", ""en"")"),"candy")</f>
        <v>candy</v>
      </c>
    </row>
    <row r="40306">
      <c r="A40306" s="1" t="s">
        <v>40305</v>
      </c>
      <c r="B40306" s="2" t="str">
        <f>IFERROR(__xludf.DUMMYFUNCTION("GOOGLETRANSLATE(A40306, ""de"", ""en"")"),"sour")</f>
        <v>sour</v>
      </c>
    </row>
    <row r="40307">
      <c r="A40307" s="1" t="s">
        <v>40306</v>
      </c>
      <c r="B40307" s="2" t="str">
        <f>IFERROR(__xludf.DUMMYFUNCTION("GOOGLETRANSLATE(A40307, ""de"", ""en"")"),"gypsies")</f>
        <v>gypsies</v>
      </c>
    </row>
    <row r="40308">
      <c r="A40308" s="1" t="s">
        <v>40307</v>
      </c>
      <c r="B40308" s="2" t="str">
        <f>IFERROR(__xludf.DUMMYFUNCTION("GOOGLETRANSLATE(A40308, ""de"", ""en"")"),"behaviors")</f>
        <v>behaviors</v>
      </c>
    </row>
    <row r="40309">
      <c r="A40309" s="1" t="s">
        <v>40308</v>
      </c>
      <c r="B40309" s="2" t="str">
        <f>IFERROR(__xludf.DUMMYFUNCTION("GOOGLETRANSLATE(A40309, ""de"", ""en"")"),"craigslist")</f>
        <v>craigslist</v>
      </c>
    </row>
    <row r="40310">
      <c r="A40310" s="1" t="s">
        <v>40309</v>
      </c>
      <c r="B40310" s="2" t="str">
        <f>IFERROR(__xludf.DUMMYFUNCTION("GOOGLETRANSLATE(A40310, ""de"", ""en"")"),"acts of terrorism")</f>
        <v>acts of terrorism</v>
      </c>
    </row>
    <row r="40311">
      <c r="A40311" s="1" t="s">
        <v>40310</v>
      </c>
      <c r="B40311" s="2" t="str">
        <f>IFERROR(__xludf.DUMMYFUNCTION("GOOGLETRANSLATE(A40311, ""de"", ""en"")"),"imp")</f>
        <v>imp</v>
      </c>
    </row>
    <row r="40312">
      <c r="A40312" s="1" t="s">
        <v>40311</v>
      </c>
      <c r="B40312" s="2" t="str">
        <f>IFERROR(__xludf.DUMMYFUNCTION("GOOGLETRANSLATE(A40312, ""de"", ""en"")"),"abstinence")</f>
        <v>abstinence</v>
      </c>
    </row>
    <row r="40313">
      <c r="A40313" s="1" t="s">
        <v>40312</v>
      </c>
      <c r="B40313" s="2" t="str">
        <f>IFERROR(__xludf.DUMMYFUNCTION("GOOGLETRANSLATE(A40313, ""de"", ""en"")"),"hail of bullets")</f>
        <v>hail of bullets</v>
      </c>
    </row>
    <row r="40314">
      <c r="A40314" s="1" t="s">
        <v>40313</v>
      </c>
      <c r="B40314" s="2" t="str">
        <f>IFERROR(__xludf.DUMMYFUNCTION("GOOGLETRANSLATE(A40314, ""de"", ""en"")"),"undergrowth")</f>
        <v>undergrowth</v>
      </c>
    </row>
    <row r="40315">
      <c r="A40315" s="1" t="s">
        <v>40314</v>
      </c>
      <c r="B40315" s="2" t="str">
        <f>IFERROR(__xludf.DUMMYFUNCTION("GOOGLETRANSLATE(A40315, ""de"", ""en"")"),"exotic")</f>
        <v>exotic</v>
      </c>
    </row>
    <row r="40316">
      <c r="A40316" s="1" t="s">
        <v>40315</v>
      </c>
      <c r="B40316" s="2" t="str">
        <f>IFERROR(__xludf.DUMMYFUNCTION("GOOGLETRANSLATE(A40316, ""de"", ""en"")"),"favorite")</f>
        <v>favorite</v>
      </c>
    </row>
    <row r="40317">
      <c r="A40317" s="1" t="s">
        <v>40316</v>
      </c>
      <c r="B40317" s="2" t="str">
        <f>IFERROR(__xludf.DUMMYFUNCTION("GOOGLETRANSLATE(A40317, ""de"", ""en"")"),"ruler")</f>
        <v>ruler</v>
      </c>
    </row>
    <row r="40318">
      <c r="A40318" s="1" t="s">
        <v>40317</v>
      </c>
      <c r="B40318" s="2" t="str">
        <f>IFERROR(__xludf.DUMMYFUNCTION("GOOGLETRANSLATE(A40318, ""de"", ""en"")"),"ethnic")</f>
        <v>ethnic</v>
      </c>
    </row>
    <row r="40319">
      <c r="A40319" s="1" t="s">
        <v>40318</v>
      </c>
      <c r="B40319" s="2" t="str">
        <f>IFERROR(__xludf.DUMMYFUNCTION("GOOGLETRANSLATE(A40319, ""de"", ""en"")"),"school trip")</f>
        <v>school trip</v>
      </c>
    </row>
    <row r="40320">
      <c r="A40320" s="1" t="s">
        <v>40319</v>
      </c>
      <c r="B40320" s="2" t="str">
        <f>IFERROR(__xludf.DUMMYFUNCTION("GOOGLETRANSLATE(A40320, ""de"", ""en"")"),"silicon")</f>
        <v>silicon</v>
      </c>
    </row>
    <row r="40321">
      <c r="A40321" s="1" t="s">
        <v>40320</v>
      </c>
      <c r="B40321" s="2" t="str">
        <f>IFERROR(__xludf.DUMMYFUNCTION("GOOGLETRANSLATE(A40321, ""de"", ""en"")"),"datai")</f>
        <v>datai</v>
      </c>
    </row>
    <row r="40322">
      <c r="A40322" s="1" t="s">
        <v>40321</v>
      </c>
      <c r="B40322" s="2" t="str">
        <f>IFERROR(__xludf.DUMMYFUNCTION("GOOGLETRANSLATE(A40322, ""de"", ""en"")"),"ute")</f>
        <v>ute</v>
      </c>
    </row>
    <row r="40323">
      <c r="A40323" s="1" t="s">
        <v>40322</v>
      </c>
      <c r="B40323" s="2" t="str">
        <f>IFERROR(__xludf.DUMMYFUNCTION("GOOGLETRANSLATE(A40323, ""de"", ""en"")"),"bent")</f>
        <v>bent</v>
      </c>
    </row>
    <row r="40324">
      <c r="A40324" s="1" t="s">
        <v>40323</v>
      </c>
      <c r="B40324" s="2" t="str">
        <f>IFERROR(__xludf.DUMMYFUNCTION("GOOGLETRANSLATE(A40324, ""de"", ""en"")"),"pei")</f>
        <v>pei</v>
      </c>
    </row>
    <row r="40325">
      <c r="A40325" s="1" t="s">
        <v>40324</v>
      </c>
      <c r="B40325" s="2" t="str">
        <f>IFERROR(__xludf.DUMMYFUNCTION("GOOGLETRANSLATE(A40325, ""de"", ""en"")"),"more peculiar")</f>
        <v>more peculiar</v>
      </c>
    </row>
    <row r="40326">
      <c r="A40326" s="1" t="s">
        <v>40325</v>
      </c>
      <c r="B40326" s="2" t="str">
        <f>IFERROR(__xludf.DUMMYFUNCTION("GOOGLETRANSLATE(A40326, ""de"", ""en"")"),"magazines")</f>
        <v>magazines</v>
      </c>
    </row>
    <row r="40327">
      <c r="A40327" s="1" t="s">
        <v>40326</v>
      </c>
      <c r="B40327" s="2" t="str">
        <f>IFERROR(__xludf.DUMMYFUNCTION("GOOGLETRANSLATE(A40327, ""de"", ""en"")"),"superstars")</f>
        <v>superstars</v>
      </c>
    </row>
    <row r="40328">
      <c r="A40328" s="1" t="s">
        <v>40327</v>
      </c>
      <c r="B40328" s="2" t="str">
        <f>IFERROR(__xludf.DUMMYFUNCTION("GOOGLETRANSLATE(A40328, ""de"", ""en"")"),"sideboard")</f>
        <v>sideboard</v>
      </c>
    </row>
    <row r="40329">
      <c r="A40329" s="1" t="s">
        <v>40328</v>
      </c>
      <c r="B40329" s="2" t="str">
        <f>IFERROR(__xludf.DUMMYFUNCTION("GOOGLETRANSLATE(A40329, ""de"", ""en"")"),"bearded")</f>
        <v>bearded</v>
      </c>
    </row>
    <row r="40330">
      <c r="A40330" s="1" t="s">
        <v>40329</v>
      </c>
      <c r="B40330" s="2" t="str">
        <f>IFERROR(__xludf.DUMMYFUNCTION("GOOGLETRANSLATE(A40330, ""de"", ""en"")"),"mott")</f>
        <v>mott</v>
      </c>
    </row>
    <row r="40331">
      <c r="A40331" s="1" t="s">
        <v>40330</v>
      </c>
      <c r="B40331" s="2" t="str">
        <f>IFERROR(__xludf.DUMMYFUNCTION("GOOGLETRANSLATE(A40331, ""de"", ""en"")"),"oxygen saturation")</f>
        <v>oxygen saturation</v>
      </c>
    </row>
    <row r="40332">
      <c r="A40332" s="1" t="s">
        <v>40331</v>
      </c>
      <c r="B40332" s="2" t="str">
        <f>IFERROR(__xludf.DUMMYFUNCTION("GOOGLETRANSLATE(A40332, ""de"", ""en"")"),"alarm systems")</f>
        <v>alarm systems</v>
      </c>
    </row>
    <row r="40333">
      <c r="A40333" s="1" t="s">
        <v>40332</v>
      </c>
      <c r="B40333" s="2" t="str">
        <f>IFERROR(__xludf.DUMMYFUNCTION("GOOGLETRANSLATE(A40333, ""de"", ""en"")"),"noren")</f>
        <v>noren</v>
      </c>
    </row>
    <row r="40334">
      <c r="A40334" s="1" t="s">
        <v>40333</v>
      </c>
      <c r="B40334" s="2" t="str">
        <f>IFERROR(__xludf.DUMMYFUNCTION("GOOGLETRANSLATE(A40334, ""de"", ""en"")"),"fabricated")</f>
        <v>fabricated</v>
      </c>
    </row>
    <row r="40335">
      <c r="A40335" s="1" t="s">
        <v>40334</v>
      </c>
      <c r="B40335" s="2" t="str">
        <f>IFERROR(__xludf.DUMMYFUNCTION("GOOGLETRANSLATE(A40335, ""de"", ""en"")"),"resistance")</f>
        <v>resistance</v>
      </c>
    </row>
    <row r="40336">
      <c r="A40336" s="1" t="s">
        <v>40335</v>
      </c>
      <c r="B40336" s="2" t="str">
        <f>IFERROR(__xludf.DUMMYFUNCTION("GOOGLETRANSLATE(A40336, ""de"", ""en"")"),"leftovers")</f>
        <v>leftovers</v>
      </c>
    </row>
    <row r="40337">
      <c r="A40337" s="1" t="s">
        <v>40336</v>
      </c>
      <c r="B40337" s="2" t="str">
        <f>IFERROR(__xludf.DUMMYFUNCTION("GOOGLETRANSLATE(A40337, ""de"", ""en"")"),"stinky finger")</f>
        <v>stinky finger</v>
      </c>
    </row>
    <row r="40338">
      <c r="A40338" s="1" t="s">
        <v>40337</v>
      </c>
      <c r="B40338" s="2" t="str">
        <f>IFERROR(__xludf.DUMMYFUNCTION("GOOGLETRANSLATE(A40338, ""de"", ""en"")"),"picnics")</f>
        <v>picnics</v>
      </c>
    </row>
    <row r="40339">
      <c r="A40339" s="1" t="s">
        <v>40338</v>
      </c>
      <c r="B40339" s="2" t="str">
        <f>IFERROR(__xludf.DUMMYFUNCTION("GOOGLETRANSLATE(A40339, ""de"", ""en"")"),"pedophile")</f>
        <v>pedophile</v>
      </c>
    </row>
    <row r="40340">
      <c r="A40340" s="1" t="s">
        <v>40339</v>
      </c>
      <c r="B40340" s="2" t="str">
        <f>IFERROR(__xludf.DUMMYFUNCTION("GOOGLETRANSLATE(A40340, ""de"", ""en"")"),"drives away")</f>
        <v>drives away</v>
      </c>
    </row>
    <row r="40341">
      <c r="A40341" s="1" t="s">
        <v>40340</v>
      </c>
      <c r="B40341" s="2" t="str">
        <f>IFERROR(__xludf.DUMMYFUNCTION("GOOGLETRANSLATE(A40341, ""de"", ""en"")"),"came here")</f>
        <v>came here</v>
      </c>
    </row>
    <row r="40342">
      <c r="A40342" s="1" t="s">
        <v>40341</v>
      </c>
      <c r="B40342" s="2" t="str">
        <f>IFERROR(__xludf.DUMMYFUNCTION("GOOGLETRANSLATE(A40342, ""de"", ""en"")"),"sche")</f>
        <v>sche</v>
      </c>
    </row>
    <row r="40343">
      <c r="A40343" s="1" t="s">
        <v>40342</v>
      </c>
      <c r="B40343" s="2" t="str">
        <f>IFERROR(__xludf.DUMMYFUNCTION("GOOGLETRANSLATE(A40343, ""de"", ""en"")"),"spice")</f>
        <v>spice</v>
      </c>
    </row>
    <row r="40344">
      <c r="A40344" s="1" t="s">
        <v>40343</v>
      </c>
      <c r="B40344" s="2" t="str">
        <f>IFERROR(__xludf.DUMMYFUNCTION("GOOGLETRANSLATE(A40344, ""de"", ""en"")"),"merritt")</f>
        <v>merritt</v>
      </c>
    </row>
    <row r="40345">
      <c r="A40345" s="1" t="s">
        <v>40344</v>
      </c>
      <c r="B40345" s="2" t="str">
        <f>IFERROR(__xludf.DUMMYFUNCTION("GOOGLETRANSLATE(A40345, ""de"", ""en"")"),"far")</f>
        <v>far</v>
      </c>
    </row>
    <row r="40346">
      <c r="A40346" s="1" t="s">
        <v>40345</v>
      </c>
      <c r="B40346" s="2" t="str">
        <f>IFERROR(__xludf.DUMMYFUNCTION("GOOGLETRANSLATE(A40346, ""de"", ""en"")"),"chou")</f>
        <v>chou</v>
      </c>
    </row>
    <row r="40347">
      <c r="A40347" s="1" t="s">
        <v>40346</v>
      </c>
      <c r="B40347" s="2" t="str">
        <f>IFERROR(__xludf.DUMMYFUNCTION("GOOGLETRANSLATE(A40347, ""de"", ""en"")"),"old wives tale")</f>
        <v>old wives tale</v>
      </c>
    </row>
    <row r="40348">
      <c r="A40348" s="1" t="s">
        <v>40347</v>
      </c>
      <c r="B40348" s="2" t="str">
        <f>IFERROR(__xludf.DUMMYFUNCTION("GOOGLETRANSLATE(A40348, ""de"", ""en"")"),"sesame")</f>
        <v>sesame</v>
      </c>
    </row>
    <row r="40349">
      <c r="A40349" s="1" t="s">
        <v>40348</v>
      </c>
      <c r="B40349" s="2" t="str">
        <f>IFERROR(__xludf.DUMMYFUNCTION("GOOGLETRANSLATE(A40349, ""de"", ""en"")"),"amish")</f>
        <v>amish</v>
      </c>
    </row>
    <row r="40350">
      <c r="A40350" s="1" t="s">
        <v>40349</v>
      </c>
      <c r="B40350" s="2" t="str">
        <f>IFERROR(__xludf.DUMMYFUNCTION("GOOGLETRANSLATE(A40350, ""de"", ""en"")"),"cooling")</f>
        <v>cooling</v>
      </c>
    </row>
    <row r="40351">
      <c r="A40351" s="1" t="s">
        <v>40350</v>
      </c>
      <c r="B40351" s="2" t="str">
        <f>IFERROR(__xludf.DUMMYFUNCTION("GOOGLETRANSLATE(A40351, ""de"", ""en"")"),"chanson")</f>
        <v>chanson</v>
      </c>
    </row>
    <row r="40352">
      <c r="A40352" s="1" t="s">
        <v>40351</v>
      </c>
      <c r="B40352" s="2" t="str">
        <f>IFERROR(__xludf.DUMMYFUNCTION("GOOGLETRANSLATE(A40352, ""de"", ""en"")"),"maharajah")</f>
        <v>maharajah</v>
      </c>
    </row>
    <row r="40353">
      <c r="A40353" s="1" t="s">
        <v>40352</v>
      </c>
      <c r="B40353" s="2" t="str">
        <f>IFERROR(__xludf.DUMMYFUNCTION("GOOGLETRANSLATE(A40353, ""de"", ""en"")"),"hindenburg")</f>
        <v>hindenburg</v>
      </c>
    </row>
    <row r="40354">
      <c r="A40354" s="1" t="s">
        <v>40353</v>
      </c>
      <c r="B40354" s="2" t="str">
        <f>IFERROR(__xludf.DUMMYFUNCTION("GOOGLETRANSLATE(A40354, ""de"", ""en"")"),"violent")</f>
        <v>violent</v>
      </c>
    </row>
    <row r="40355">
      <c r="A40355" s="1" t="s">
        <v>40354</v>
      </c>
      <c r="B40355" s="2" t="str">
        <f>IFERROR(__xludf.DUMMYFUNCTION("GOOGLETRANSLATE(A40355, ""de"", ""en"")"),"traditional")</f>
        <v>traditional</v>
      </c>
    </row>
    <row r="40356">
      <c r="A40356" s="1" t="s">
        <v>40355</v>
      </c>
      <c r="B40356" s="2" t="str">
        <f>IFERROR(__xludf.DUMMYFUNCTION("GOOGLETRANSLATE(A40356, ""de"", ""en"")"),"deauville")</f>
        <v>deauville</v>
      </c>
    </row>
    <row r="40357">
      <c r="A40357" s="1" t="s">
        <v>40356</v>
      </c>
      <c r="B40357" s="2" t="str">
        <f>IFERROR(__xludf.DUMMYFUNCTION("GOOGLETRANSLATE(A40357, ""de"", ""en"")"),"unauthorized")</f>
        <v>unauthorized</v>
      </c>
    </row>
    <row r="40358">
      <c r="A40358" s="1" t="s">
        <v>40357</v>
      </c>
      <c r="B40358" s="2" t="str">
        <f>IFERROR(__xludf.DUMMYFUNCTION("GOOGLETRANSLATE(A40358, ""de"", ""en"")"),"all around")</f>
        <v>all around</v>
      </c>
    </row>
    <row r="40359">
      <c r="A40359" s="1" t="s">
        <v>40358</v>
      </c>
      <c r="B40359" s="2" t="str">
        <f>IFERROR(__xludf.DUMMYFUNCTION("GOOGLETRANSLATE(A40359, ""de"", ""en"")"),"unshakable")</f>
        <v>unshakable</v>
      </c>
    </row>
    <row r="40360">
      <c r="A40360" s="1" t="s">
        <v>40359</v>
      </c>
      <c r="B40360" s="2" t="str">
        <f>IFERROR(__xludf.DUMMYFUNCTION("GOOGLETRANSLATE(A40360, ""de"", ""en"")"),"kanaken")</f>
        <v>kanaken</v>
      </c>
    </row>
    <row r="40361">
      <c r="A40361" s="1" t="s">
        <v>40360</v>
      </c>
      <c r="B40361" s="2" t="str">
        <f>IFERROR(__xludf.DUMMYFUNCTION("GOOGLETRANSLATE(A40361, ""de"", ""en"")"),"Jin Sung")</f>
        <v>Jin Sung</v>
      </c>
    </row>
    <row r="40362">
      <c r="A40362" s="1" t="s">
        <v>40361</v>
      </c>
      <c r="B40362" s="2" t="str">
        <f>IFERROR(__xludf.DUMMYFUNCTION("GOOGLETRANSLATE(A40362, ""de"", ""en"")"),"Christian")</f>
        <v>Christian</v>
      </c>
    </row>
    <row r="40363">
      <c r="A40363" s="1" t="s">
        <v>40362</v>
      </c>
      <c r="B40363" s="2" t="str">
        <f>IFERROR(__xludf.DUMMYFUNCTION("GOOGLETRANSLATE(A40363, ""de"", ""en"")"),"doom")</f>
        <v>doom</v>
      </c>
    </row>
    <row r="40364">
      <c r="A40364" s="1" t="s">
        <v>40363</v>
      </c>
      <c r="B40364" s="2" t="str">
        <f>IFERROR(__xludf.DUMMYFUNCTION("GOOGLETRANSLATE(A40364, ""de"", ""en"")"),"sprouted")</f>
        <v>sprouted</v>
      </c>
    </row>
    <row r="40365">
      <c r="A40365" s="1" t="s">
        <v>40364</v>
      </c>
      <c r="B40365" s="2" t="str">
        <f>IFERROR(__xludf.DUMMYFUNCTION("GOOGLETRANSLATE(A40365, ""de"", ""en"")"),"loosens")</f>
        <v>loosens</v>
      </c>
    </row>
    <row r="40366">
      <c r="A40366" s="1" t="s">
        <v>40365</v>
      </c>
      <c r="B40366" s="2" t="str">
        <f>IFERROR(__xludf.DUMMYFUNCTION("GOOGLETRANSLATE(A40366, ""de"", ""en"")"),"dress code")</f>
        <v>dress code</v>
      </c>
    </row>
    <row r="40367">
      <c r="A40367" s="1" t="s">
        <v>40366</v>
      </c>
      <c r="B40367" s="2" t="str">
        <f>IFERROR(__xludf.DUMMYFUNCTION("GOOGLETRANSLATE(A40367, ""de"", ""en"")"),"freedom of the press")</f>
        <v>freedom of the press</v>
      </c>
    </row>
    <row r="40368">
      <c r="A40368" s="1" t="s">
        <v>40367</v>
      </c>
      <c r="B40368" s="2" t="str">
        <f>IFERROR(__xludf.DUMMYFUNCTION("GOOGLETRANSLATE(A40368, ""de"", ""en"")"),"equip")</f>
        <v>equip</v>
      </c>
    </row>
    <row r="40369">
      <c r="A40369" s="1" t="s">
        <v>40368</v>
      </c>
      <c r="B40369" s="2" t="str">
        <f>IFERROR(__xludf.DUMMYFUNCTION("GOOGLETRANSLATE(A40369, ""de"", ""en"")"),"ravines")</f>
        <v>ravines</v>
      </c>
    </row>
    <row r="40370">
      <c r="A40370" s="1" t="s">
        <v>40369</v>
      </c>
      <c r="B40370" s="2" t="str">
        <f>IFERROR(__xludf.DUMMYFUNCTION("GOOGLETRANSLATE(A40370, ""de"", ""en"")"),"neat")</f>
        <v>neat</v>
      </c>
    </row>
    <row r="40371">
      <c r="A40371" s="1" t="s">
        <v>40370</v>
      </c>
      <c r="B40371" s="2" t="str">
        <f>IFERROR(__xludf.DUMMYFUNCTION("GOOGLETRANSLATE(A40371, ""de"", ""en"")"),"Ignaz")</f>
        <v>Ignaz</v>
      </c>
    </row>
    <row r="40372">
      <c r="A40372" s="1" t="s">
        <v>40371</v>
      </c>
      <c r="B40372" s="2" t="str">
        <f>IFERROR(__xludf.DUMMYFUNCTION("GOOGLETRANSLATE(A40372, ""de"", ""en"")"),"synchronize")</f>
        <v>synchronize</v>
      </c>
    </row>
    <row r="40373">
      <c r="A40373" s="1" t="s">
        <v>40372</v>
      </c>
      <c r="B40373" s="2" t="str">
        <f>IFERROR(__xludf.DUMMYFUNCTION("GOOGLETRANSLATE(A40373, ""de"", ""en"")"),"schen")</f>
        <v>schen</v>
      </c>
    </row>
    <row r="40374">
      <c r="A40374" s="1" t="s">
        <v>40373</v>
      </c>
      <c r="B40374" s="2" t="str">
        <f>IFERROR(__xludf.DUMMYFUNCTION("GOOGLETRANSLATE(A40374, ""de"", ""en"")"),"breathe a sigh of relief")</f>
        <v>breathe a sigh of relief</v>
      </c>
    </row>
    <row r="40375">
      <c r="A40375" s="1" t="s">
        <v>40374</v>
      </c>
      <c r="B40375" s="2" t="str">
        <f>IFERROR(__xludf.DUMMYFUNCTION("GOOGLETRANSLATE(A40375, ""de"", ""en"")"),"held on")</f>
        <v>held on</v>
      </c>
    </row>
    <row r="40376">
      <c r="A40376" s="1" t="s">
        <v>40375</v>
      </c>
      <c r="B40376" s="2" t="str">
        <f>IFERROR(__xludf.DUMMYFUNCTION("GOOGLETRANSLATE(A40376, ""de"", ""en"")"),"remedy")</f>
        <v>remedy</v>
      </c>
    </row>
    <row r="40377">
      <c r="A40377" s="1" t="s">
        <v>40376</v>
      </c>
      <c r="B40377" s="2" t="str">
        <f>IFERROR(__xludf.DUMMYFUNCTION("GOOGLETRANSLATE(A40377, ""de"", ""en"")"),"undefeated")</f>
        <v>undefeated</v>
      </c>
    </row>
    <row r="40378">
      <c r="A40378" s="1" t="s">
        <v>40377</v>
      </c>
      <c r="B40378" s="2" t="str">
        <f>IFERROR(__xludf.DUMMYFUNCTION("GOOGLETRANSLATE(A40378, ""de"", ""en"")"),"os")</f>
        <v>os</v>
      </c>
    </row>
    <row r="40379">
      <c r="A40379" s="1" t="s">
        <v>40378</v>
      </c>
      <c r="B40379" s="2" t="str">
        <f>IFERROR(__xludf.DUMMYFUNCTION("GOOGLETRANSLATE(A40379, ""de"", ""en"")"),"prehistoric times")</f>
        <v>prehistoric times</v>
      </c>
    </row>
    <row r="40380">
      <c r="A40380" s="1" t="s">
        <v>40379</v>
      </c>
      <c r="B40380" s="2" t="str">
        <f>IFERROR(__xludf.DUMMYFUNCTION("GOOGLETRANSLATE(A40380, ""de"", ""en"")"),"comedian")</f>
        <v>comedian</v>
      </c>
    </row>
    <row r="40381">
      <c r="A40381" s="1" t="s">
        <v>40380</v>
      </c>
      <c r="B40381" s="2" t="str">
        <f>IFERROR(__xludf.DUMMYFUNCTION("GOOGLETRANSLATE(A40381, ""de"", ""en"")"),"escalation")</f>
        <v>escalation</v>
      </c>
    </row>
    <row r="40382">
      <c r="A40382" s="1" t="s">
        <v>40381</v>
      </c>
      <c r="B40382" s="2" t="str">
        <f>IFERROR(__xludf.DUMMYFUNCTION("GOOGLETRANSLATE(A40382, ""de"", ""en"")"),"Geraldine")</f>
        <v>Geraldine</v>
      </c>
    </row>
    <row r="40383">
      <c r="A40383" s="1" t="s">
        <v>40382</v>
      </c>
      <c r="B40383" s="2" t="str">
        <f>IFERROR(__xludf.DUMMYFUNCTION("GOOGLETRANSLATE(A40383, ""de"", ""en"")"),"thiel")</f>
        <v>thiel</v>
      </c>
    </row>
    <row r="40384">
      <c r="A40384" s="1" t="s">
        <v>40383</v>
      </c>
      <c r="B40384" s="2" t="str">
        <f>IFERROR(__xludf.DUMMYFUNCTION("GOOGLETRANSLATE(A40384, ""de"", ""en"")"),"humming-bird")</f>
        <v>humming-bird</v>
      </c>
    </row>
    <row r="40385">
      <c r="A40385" s="1" t="s">
        <v>40384</v>
      </c>
      <c r="B40385" s="2" t="str">
        <f>IFERROR(__xludf.DUMMYFUNCTION("GOOGLETRANSLATE(A40385, ""de"", ""en"")"),"dismiss")</f>
        <v>dismiss</v>
      </c>
    </row>
    <row r="40386">
      <c r="A40386" s="1" t="s">
        <v>40385</v>
      </c>
      <c r="B40386" s="2" t="str">
        <f>IFERROR(__xludf.DUMMYFUNCTION("GOOGLETRANSLATE(A40386, ""de"", ""en"")"),"inland")</f>
        <v>inland</v>
      </c>
    </row>
    <row r="40387">
      <c r="A40387" s="1" t="s">
        <v>40386</v>
      </c>
      <c r="B40387" s="2" t="str">
        <f>IFERROR(__xludf.DUMMYFUNCTION("GOOGLETRANSLATE(A40387, ""de"", ""en"")"),"serious")</f>
        <v>serious</v>
      </c>
    </row>
    <row r="40388">
      <c r="A40388" s="1" t="s">
        <v>40387</v>
      </c>
      <c r="B40388" s="2" t="str">
        <f>IFERROR(__xludf.DUMMYFUNCTION("GOOGLETRANSLATE(A40388, ""de"", ""en"")"),"separate")</f>
        <v>separate</v>
      </c>
    </row>
    <row r="40389">
      <c r="A40389" s="1" t="s">
        <v>40388</v>
      </c>
      <c r="B40389" s="2" t="str">
        <f>IFERROR(__xludf.DUMMYFUNCTION("GOOGLETRANSLATE(A40389, ""de"", ""en"")"),"condos")</f>
        <v>condos</v>
      </c>
    </row>
    <row r="40390">
      <c r="A40390" s="1" t="s">
        <v>40389</v>
      </c>
      <c r="B40390" s="2" t="str">
        <f>IFERROR(__xludf.DUMMYFUNCTION("GOOGLETRANSLATE(A40390, ""de"", ""en"")"),"undeniable")</f>
        <v>undeniable</v>
      </c>
    </row>
    <row r="40391">
      <c r="A40391" s="1" t="s">
        <v>40390</v>
      </c>
      <c r="B40391" s="2" t="str">
        <f>IFERROR(__xludf.DUMMYFUNCTION("GOOGLETRANSLATE(A40391, ""de"", ""en"")"),"doorknob")</f>
        <v>doorknob</v>
      </c>
    </row>
    <row r="40392">
      <c r="A40392" s="1" t="s">
        <v>40391</v>
      </c>
      <c r="B40392" s="2" t="str">
        <f>IFERROR(__xludf.DUMMYFUNCTION("GOOGLETRANSLATE(A40392, ""de"", ""en"")"),"lower")</f>
        <v>lower</v>
      </c>
    </row>
    <row r="40393">
      <c r="A40393" s="1" t="s">
        <v>40392</v>
      </c>
      <c r="B40393" s="2" t="str">
        <f>IFERROR(__xludf.DUMMYFUNCTION("GOOGLETRANSLATE(A40393, ""de"", ""en"")"),"cold as hell")</f>
        <v>cold as hell</v>
      </c>
    </row>
    <row r="40394">
      <c r="A40394" s="1" t="s">
        <v>40393</v>
      </c>
      <c r="B40394" s="2" t="str">
        <f>IFERROR(__xludf.DUMMYFUNCTION("GOOGLETRANSLATE(A40394, ""de"", ""en"")"),"ochmonek")</f>
        <v>ochmonek</v>
      </c>
    </row>
    <row r="40395">
      <c r="A40395" s="1" t="s">
        <v>40394</v>
      </c>
      <c r="B40395" s="2" t="str">
        <f>IFERROR(__xludf.DUMMYFUNCTION("GOOGLETRANSLATE(A40395, ""de"", ""en"")"),"clubs")</f>
        <v>clubs</v>
      </c>
    </row>
    <row r="40396">
      <c r="A40396" s="1" t="s">
        <v>40395</v>
      </c>
      <c r="B40396" s="2" t="str">
        <f>IFERROR(__xludf.DUMMYFUNCTION("GOOGLETRANSLATE(A40396, ""de"", ""en"")"),"dashing")</f>
        <v>dashing</v>
      </c>
    </row>
    <row r="40397">
      <c r="A40397" s="1" t="s">
        <v>40396</v>
      </c>
      <c r="B40397" s="2" t="str">
        <f>IFERROR(__xludf.DUMMYFUNCTION("GOOGLETRANSLATE(A40397, ""de"", ""en"")"),"willing")</f>
        <v>willing</v>
      </c>
    </row>
    <row r="40398">
      <c r="A40398" s="1" t="s">
        <v>40397</v>
      </c>
      <c r="B40398" s="2" t="str">
        <f>IFERROR(__xludf.DUMMYFUNCTION("GOOGLETRANSLATE(A40398, ""de"", ""en"")"),"Trinity")</f>
        <v>Trinity</v>
      </c>
    </row>
    <row r="40399">
      <c r="A40399" s="1" t="s">
        <v>40398</v>
      </c>
      <c r="B40399" s="2" t="str">
        <f>IFERROR(__xludf.DUMMYFUNCTION("GOOGLETRANSLATE(A40399, ""de"", ""en"")"),"vow")</f>
        <v>vow</v>
      </c>
    </row>
    <row r="40400">
      <c r="A40400" s="1" t="s">
        <v>40399</v>
      </c>
      <c r="B40400" s="2" t="str">
        <f>IFERROR(__xludf.DUMMYFUNCTION("GOOGLETRANSLATE(A40400, ""de"", ""en"")"),"1a")</f>
        <v>1a</v>
      </c>
    </row>
    <row r="40401">
      <c r="A40401" s="1" t="s">
        <v>40400</v>
      </c>
      <c r="B40401" s="2" t="str">
        <f>IFERROR(__xludf.DUMMYFUNCTION("GOOGLETRANSLATE(A40401, ""de"", ""en"")"),"water pressure")</f>
        <v>water pressure</v>
      </c>
    </row>
    <row r="40402">
      <c r="A40402" s="1" t="s">
        <v>40401</v>
      </c>
      <c r="B40402" s="2" t="str">
        <f>IFERROR(__xludf.DUMMYFUNCTION("GOOGLETRANSLATE(A40402, ""de"", ""en"")"),"retail")</f>
        <v>retail</v>
      </c>
    </row>
    <row r="40403">
      <c r="A40403" s="1" t="s">
        <v>40402</v>
      </c>
      <c r="B40403" s="2" t="str">
        <f>IFERROR(__xludf.DUMMYFUNCTION("GOOGLETRANSLATE(A40403, ""de"", ""en"")"),"criticize")</f>
        <v>criticize</v>
      </c>
    </row>
    <row r="40404">
      <c r="A40404" s="1" t="s">
        <v>40403</v>
      </c>
      <c r="B40404" s="2" t="str">
        <f>IFERROR(__xludf.DUMMYFUNCTION("GOOGLETRANSLATE(A40404, ""de"", ""en"")"),"arises")</f>
        <v>arises</v>
      </c>
    </row>
    <row r="40405">
      <c r="A40405" s="1" t="s">
        <v>40404</v>
      </c>
      <c r="B40405" s="2" t="str">
        <f>IFERROR(__xludf.DUMMYFUNCTION("GOOGLETRANSLATE(A40405, ""de"", ""en"")"),"umpteen times")</f>
        <v>umpteen times</v>
      </c>
    </row>
    <row r="40406">
      <c r="A40406" s="1" t="s">
        <v>40405</v>
      </c>
      <c r="B40406" s="2" t="str">
        <f>IFERROR(__xludf.DUMMYFUNCTION("GOOGLETRANSLATE(A40406, ""de"", ""en"")"),"front line")</f>
        <v>front line</v>
      </c>
    </row>
    <row r="40407">
      <c r="A40407" s="1" t="s">
        <v>40406</v>
      </c>
      <c r="B40407" s="2" t="str">
        <f>IFERROR(__xludf.DUMMYFUNCTION("GOOGLETRANSLATE(A40407, ""de"", ""en"")"),"nods")</f>
        <v>nods</v>
      </c>
    </row>
    <row r="40408">
      <c r="A40408" s="1" t="s">
        <v>40407</v>
      </c>
      <c r="B40408" s="2" t="str">
        <f>IFERROR(__xludf.DUMMYFUNCTION("GOOGLETRANSLATE(A40408, ""de"", ""en"")"),"synapses")</f>
        <v>synapses</v>
      </c>
    </row>
    <row r="40409">
      <c r="A40409" s="1" t="s">
        <v>40408</v>
      </c>
      <c r="B40409" s="2" t="str">
        <f>IFERROR(__xludf.DUMMYFUNCTION("GOOGLETRANSLATE(A40409, ""de"", ""en"")"),"fumble")</f>
        <v>fumble</v>
      </c>
    </row>
    <row r="40410">
      <c r="A40410" s="1" t="s">
        <v>40409</v>
      </c>
      <c r="B40410" s="2" t="str">
        <f>IFERROR(__xludf.DUMMYFUNCTION("GOOGLETRANSLATE(A40410, ""de"", ""en"")"),"halve")</f>
        <v>halve</v>
      </c>
    </row>
    <row r="40411">
      <c r="A40411" s="1" t="s">
        <v>40410</v>
      </c>
      <c r="B40411" s="2" t="str">
        <f>IFERROR(__xludf.DUMMYFUNCTION("GOOGLETRANSLATE(A40411, ""de"", ""en"")"),"suggestion")</f>
        <v>suggestion</v>
      </c>
    </row>
    <row r="40412">
      <c r="A40412" s="1" t="s">
        <v>40411</v>
      </c>
      <c r="B40412" s="2" t="str">
        <f>IFERROR(__xludf.DUMMYFUNCTION("GOOGLETRANSLATE(A40412, ""de"", ""en"")"),"title deed")</f>
        <v>title deed</v>
      </c>
    </row>
    <row r="40413">
      <c r="A40413" s="1" t="s">
        <v>40412</v>
      </c>
      <c r="B40413" s="2" t="str">
        <f>IFERROR(__xludf.DUMMYFUNCTION("GOOGLETRANSLATE(A40413, ""de"", ""en"")"),"mosquito")</f>
        <v>mosquito</v>
      </c>
    </row>
    <row r="40414">
      <c r="A40414" s="1" t="s">
        <v>40413</v>
      </c>
      <c r="B40414" s="2" t="str">
        <f>IFERROR(__xludf.DUMMYFUNCTION("GOOGLETRANSLATE(A40414, ""de"", ""en"")"),"personal")</f>
        <v>personal</v>
      </c>
    </row>
    <row r="40415">
      <c r="A40415" s="1" t="s">
        <v>40414</v>
      </c>
      <c r="B40415" s="2" t="str">
        <f>IFERROR(__xludf.DUMMYFUNCTION("GOOGLETRANSLATE(A40415, ""de"", ""en"")"),"napier")</f>
        <v>napier</v>
      </c>
    </row>
    <row r="40416">
      <c r="A40416" s="1" t="s">
        <v>40415</v>
      </c>
      <c r="B40416" s="2" t="str">
        <f>IFERROR(__xludf.DUMMYFUNCTION("GOOGLETRANSLATE(A40416, ""de"", ""en"")"),"more mangy")</f>
        <v>more mangy</v>
      </c>
    </row>
    <row r="40417">
      <c r="A40417" s="1" t="s">
        <v>40416</v>
      </c>
      <c r="B40417" s="2" t="str">
        <f>IFERROR(__xludf.DUMMYFUNCTION("GOOGLETRANSLATE(A40417, ""de"", ""en"")"),"uncontrolled")</f>
        <v>uncontrolled</v>
      </c>
    </row>
    <row r="40418">
      <c r="A40418" s="1" t="s">
        <v>40417</v>
      </c>
      <c r="B40418" s="2" t="str">
        <f>IFERROR(__xludf.DUMMYFUNCTION("GOOGLETRANSLATE(A40418, ""de"", ""en"")"),"cooperate")</f>
        <v>cooperate</v>
      </c>
    </row>
    <row r="40419">
      <c r="A40419" s="1" t="s">
        <v>40418</v>
      </c>
      <c r="B40419" s="2" t="str">
        <f>IFERROR(__xludf.DUMMYFUNCTION("GOOGLETRANSLATE(A40419, ""de"", ""en"")"),"abrasions")</f>
        <v>abrasions</v>
      </c>
    </row>
    <row r="40420">
      <c r="A40420" s="1" t="s">
        <v>40419</v>
      </c>
      <c r="B40420" s="2" t="str">
        <f>IFERROR(__xludf.DUMMYFUNCTION("GOOGLETRANSLATE(A40420, ""de"", ""en"")"),"persistent")</f>
        <v>persistent</v>
      </c>
    </row>
    <row r="40421">
      <c r="A40421" s="1" t="s">
        <v>40420</v>
      </c>
      <c r="B40421" s="2" t="str">
        <f>IFERROR(__xludf.DUMMYFUNCTION("GOOGLETRANSLATE(A40421, ""de"", ""en"")"),"wallpapers")</f>
        <v>wallpapers</v>
      </c>
    </row>
    <row r="40422">
      <c r="A40422" s="1" t="s">
        <v>40421</v>
      </c>
      <c r="B40422" s="2" t="str">
        <f>IFERROR(__xludf.DUMMYFUNCTION("GOOGLETRANSLATE(A40422, ""de"", ""en"")"),"faker")</f>
        <v>faker</v>
      </c>
    </row>
    <row r="40423">
      <c r="A40423" s="1" t="s">
        <v>40422</v>
      </c>
      <c r="B40423" s="2" t="str">
        <f>IFERROR(__xludf.DUMMYFUNCTION("GOOGLETRANSLATE(A40423, ""de"", ""en"")"),"conflict")</f>
        <v>conflict</v>
      </c>
    </row>
    <row r="40424">
      <c r="A40424" s="1" t="s">
        <v>40423</v>
      </c>
      <c r="B40424" s="2" t="str">
        <f>IFERROR(__xludf.DUMMYFUNCTION("GOOGLETRANSLATE(A40424, ""de"", ""en"")"),"gargle")</f>
        <v>gargle</v>
      </c>
    </row>
    <row r="40425">
      <c r="A40425" s="1" t="s">
        <v>40424</v>
      </c>
      <c r="B40425" s="2" t="str">
        <f>IFERROR(__xludf.DUMMYFUNCTION("GOOGLETRANSLATE(A40425, ""de"", ""en"")"),"plant")</f>
        <v>plant</v>
      </c>
    </row>
    <row r="40426">
      <c r="A40426" s="1" t="s">
        <v>40425</v>
      </c>
      <c r="B40426" s="2" t="str">
        <f>IFERROR(__xludf.DUMMYFUNCTION("GOOGLETRANSLATE(A40426, ""de"", ""en"")"),"fauna")</f>
        <v>fauna</v>
      </c>
    </row>
    <row r="40427">
      <c r="A40427" s="1" t="s">
        <v>40426</v>
      </c>
      <c r="B40427" s="2" t="str">
        <f>IFERROR(__xludf.DUMMYFUNCTION("GOOGLETRANSLATE(A40427, ""de"", ""en"")"),"endure")</f>
        <v>endure</v>
      </c>
    </row>
    <row r="40428">
      <c r="A40428" s="1" t="s">
        <v>40427</v>
      </c>
      <c r="B40428" s="2" t="str">
        <f>IFERROR(__xludf.DUMMYFUNCTION("GOOGLETRANSLATE(A40428, ""de"", ""en"")"),"jabba")</f>
        <v>jabba</v>
      </c>
    </row>
    <row r="40429">
      <c r="A40429" s="1" t="s">
        <v>40428</v>
      </c>
      <c r="B40429" s="2" t="str">
        <f>IFERROR(__xludf.DUMMYFUNCTION("GOOGLETRANSLATE(A40429, ""de"", ""en"")"),"impending")</f>
        <v>impending</v>
      </c>
    </row>
    <row r="40430">
      <c r="A40430" s="1" t="s">
        <v>40429</v>
      </c>
      <c r="B40430" s="2" t="str">
        <f>IFERROR(__xludf.DUMMYFUNCTION("GOOGLETRANSLATE(A40430, ""de"", ""en"")"),"sweeter")</f>
        <v>sweeter</v>
      </c>
    </row>
    <row r="40431">
      <c r="A40431" s="1" t="s">
        <v>40430</v>
      </c>
      <c r="B40431" s="2" t="str">
        <f>IFERROR(__xludf.DUMMYFUNCTION("GOOGLETRANSLATE(A40431, ""de"", ""en"")"),"previous day")</f>
        <v>previous day</v>
      </c>
    </row>
    <row r="40432">
      <c r="A40432" s="1" t="s">
        <v>40431</v>
      </c>
      <c r="B40432" s="2" t="str">
        <f>IFERROR(__xludf.DUMMYFUNCTION("GOOGLETRANSLATE(A40432, ""de"", ""en"")"),"giant")</f>
        <v>giant</v>
      </c>
    </row>
    <row r="40433">
      <c r="A40433" s="1" t="s">
        <v>40432</v>
      </c>
      <c r="B40433" s="2" t="str">
        <f>IFERROR(__xludf.DUMMYFUNCTION("GOOGLETRANSLATE(A40433, ""de"", ""en"")"),"driving style")</f>
        <v>driving style</v>
      </c>
    </row>
    <row r="40434">
      <c r="A40434" s="1" t="s">
        <v>40433</v>
      </c>
      <c r="B40434" s="2" t="str">
        <f>IFERROR(__xludf.DUMMYFUNCTION("GOOGLETRANSLATE(A40434, ""de"", ""en"")"),"second key")</f>
        <v>second key</v>
      </c>
    </row>
    <row r="40435">
      <c r="A40435" s="1" t="s">
        <v>40434</v>
      </c>
      <c r="B40435" s="2" t="str">
        <f>IFERROR(__xludf.DUMMYFUNCTION("GOOGLETRANSLATE(A40435, ""de"", ""en"")"),"tupac")</f>
        <v>tupac</v>
      </c>
    </row>
    <row r="40436">
      <c r="A40436" s="1" t="s">
        <v>40435</v>
      </c>
      <c r="B40436" s="2" t="str">
        <f>IFERROR(__xludf.DUMMYFUNCTION("GOOGLETRANSLATE(A40436, ""de"", ""en"")"),"temporal")</f>
        <v>temporal</v>
      </c>
    </row>
    <row r="40437">
      <c r="A40437" s="1" t="s">
        <v>40436</v>
      </c>
      <c r="B40437" s="2" t="str">
        <f>IFERROR(__xludf.DUMMYFUNCTION("GOOGLETRANSLATE(A40437, ""de"", ""en"")"),"pax")</f>
        <v>pax</v>
      </c>
    </row>
    <row r="40438">
      <c r="A40438" s="1" t="s">
        <v>40437</v>
      </c>
      <c r="B40438" s="2" t="str">
        <f>IFERROR(__xludf.DUMMYFUNCTION("GOOGLETRANSLATE(A40438, ""de"", ""en"")"),"spacecenter")</f>
        <v>spacecenter</v>
      </c>
    </row>
    <row r="40439">
      <c r="A40439" s="1" t="s">
        <v>40438</v>
      </c>
      <c r="B40439" s="2" t="str">
        <f>IFERROR(__xludf.DUMMYFUNCTION("GOOGLETRANSLATE(A40439, ""de"", ""en"")"),"minbar")</f>
        <v>minbar</v>
      </c>
    </row>
    <row r="40440">
      <c r="A40440" s="1" t="s">
        <v>40439</v>
      </c>
      <c r="B40440" s="2" t="str">
        <f>IFERROR(__xludf.DUMMYFUNCTION("GOOGLETRANSLATE(A40440, ""de"", ""en"")"),"deodorant")</f>
        <v>deodorant</v>
      </c>
    </row>
    <row r="40441">
      <c r="A40441" s="1" t="s">
        <v>40440</v>
      </c>
      <c r="B40441" s="2" t="str">
        <f>IFERROR(__xludf.DUMMYFUNCTION("GOOGLETRANSLATE(A40441, ""de"", ""en"")"),"monkshood")</f>
        <v>monkshood</v>
      </c>
    </row>
    <row r="40442">
      <c r="A40442" s="1" t="s">
        <v>40441</v>
      </c>
      <c r="B40442" s="2" t="str">
        <f>IFERROR(__xludf.DUMMYFUNCTION("GOOGLETRANSLATE(A40442, ""de"", ""en"")"),"favorite dish")</f>
        <v>favorite dish</v>
      </c>
    </row>
    <row r="40443">
      <c r="A40443" s="1" t="s">
        <v>40442</v>
      </c>
      <c r="B40443" s="2" t="str">
        <f>IFERROR(__xludf.DUMMYFUNCTION("GOOGLETRANSLATE(A40443, ""de"", ""en"")"),"guitarists")</f>
        <v>guitarists</v>
      </c>
    </row>
    <row r="40444">
      <c r="A40444" s="1" t="s">
        <v>40443</v>
      </c>
      <c r="B40444" s="2" t="str">
        <f>IFERROR(__xludf.DUMMYFUNCTION("GOOGLETRANSLATE(A40444, ""de"", ""en"")"),"comfortable")</f>
        <v>comfortable</v>
      </c>
    </row>
    <row r="40445">
      <c r="A40445" s="1" t="s">
        <v>40444</v>
      </c>
      <c r="B40445" s="2" t="str">
        <f>IFERROR(__xludf.DUMMYFUNCTION("GOOGLETRANSLATE(A40445, ""de"", ""en"")"),"daedalus")</f>
        <v>daedalus</v>
      </c>
    </row>
    <row r="40446">
      <c r="A40446" s="1" t="s">
        <v>40445</v>
      </c>
      <c r="B40446" s="2" t="str">
        <f>IFERROR(__xludf.DUMMYFUNCTION("GOOGLETRANSLATE(A40446, ""de"", ""en"")"),"recalled")</f>
        <v>recalled</v>
      </c>
    </row>
    <row r="40447">
      <c r="A40447" s="1" t="s">
        <v>40446</v>
      </c>
      <c r="B40447" s="2" t="str">
        <f>IFERROR(__xludf.DUMMYFUNCTION("GOOGLETRANSLATE(A40447, ""de"", ""en"")"),"cerebral hemorrhage")</f>
        <v>cerebral hemorrhage</v>
      </c>
    </row>
    <row r="40448">
      <c r="A40448" s="1" t="s">
        <v>40447</v>
      </c>
      <c r="B40448" s="2" t="str">
        <f>IFERROR(__xludf.DUMMYFUNCTION("GOOGLETRANSLATE(A40448, ""de"", ""en"")"),"americano")</f>
        <v>americano</v>
      </c>
    </row>
    <row r="40449">
      <c r="A40449" s="1" t="s">
        <v>40448</v>
      </c>
      <c r="B40449" s="2" t="str">
        <f>IFERROR(__xludf.DUMMYFUNCTION("GOOGLETRANSLATE(A40449, ""de"", ""en"")"),"thought voice")</f>
        <v>thought voice</v>
      </c>
    </row>
    <row r="40450">
      <c r="A40450" s="1" t="s">
        <v>40449</v>
      </c>
      <c r="B40450" s="2" t="str">
        <f>IFERROR(__xludf.DUMMYFUNCTION("GOOGLETRANSLATE(A40450, ""de"", ""en"")"),"hobbits")</f>
        <v>hobbits</v>
      </c>
    </row>
    <row r="40451">
      <c r="A40451" s="1" t="s">
        <v>40450</v>
      </c>
      <c r="B40451" s="2" t="str">
        <f>IFERROR(__xludf.DUMMYFUNCTION("GOOGLETRANSLATE(A40451, ""de"", ""en"")"),"more hideous")</f>
        <v>more hideous</v>
      </c>
    </row>
    <row r="40452">
      <c r="A40452" s="1" t="s">
        <v>40451</v>
      </c>
      <c r="B40452" s="2" t="str">
        <f>IFERROR(__xludf.DUMMYFUNCTION("GOOGLETRANSLATE(A40452, ""de"", ""en"")"),"put forward")</f>
        <v>put forward</v>
      </c>
    </row>
    <row r="40453">
      <c r="A40453" s="1" t="s">
        <v>40452</v>
      </c>
      <c r="B40453" s="2" t="str">
        <f>IFERROR(__xludf.DUMMYFUNCTION("GOOGLETRANSLATE(A40453, ""de"", ""en"")"),"failed")</f>
        <v>failed</v>
      </c>
    </row>
    <row r="40454">
      <c r="A40454" s="1" t="s">
        <v>40453</v>
      </c>
      <c r="B40454" s="2" t="str">
        <f>IFERROR(__xludf.DUMMYFUNCTION("GOOGLETRANSLATE(A40454, ""de"", ""en"")"),"finns")</f>
        <v>finns</v>
      </c>
    </row>
    <row r="40455">
      <c r="A40455" s="1" t="s">
        <v>40454</v>
      </c>
      <c r="B40455" s="2" t="str">
        <f>IFERROR(__xludf.DUMMYFUNCTION("GOOGLETRANSLATE(A40455, ""de"", ""en"")"),"occult")</f>
        <v>occult</v>
      </c>
    </row>
    <row r="40456">
      <c r="A40456" s="1" t="s">
        <v>40455</v>
      </c>
      <c r="B40456" s="2" t="str">
        <f>IFERROR(__xludf.DUMMYFUNCTION("GOOGLETRANSLATE(A40456, ""de"", ""en"")"),"acres")</f>
        <v>acres</v>
      </c>
    </row>
    <row r="40457">
      <c r="A40457" s="1" t="s">
        <v>40456</v>
      </c>
      <c r="B40457" s="2" t="str">
        <f>IFERROR(__xludf.DUMMYFUNCTION("GOOGLETRANSLATE(A40457, ""de"", ""en"")"),"ishii")</f>
        <v>ishii</v>
      </c>
    </row>
    <row r="40458">
      <c r="A40458" s="1" t="s">
        <v>40457</v>
      </c>
      <c r="B40458" s="2" t="str">
        <f>IFERROR(__xludf.DUMMYFUNCTION("GOOGLETRANSLATE(A40458, ""de"", ""en"")"),"played")</f>
        <v>played</v>
      </c>
    </row>
    <row r="40459">
      <c r="A40459" s="1" t="s">
        <v>40458</v>
      </c>
      <c r="B40459" s="2" t="str">
        <f>IFERROR(__xludf.DUMMYFUNCTION("GOOGLETRANSLATE(A40459, ""de"", ""en"")"),"floor")</f>
        <v>floor</v>
      </c>
    </row>
    <row r="40460">
      <c r="A40460" s="1" t="s">
        <v>40459</v>
      </c>
      <c r="B40460" s="2" t="str">
        <f>IFERROR(__xludf.DUMMYFUNCTION("GOOGLETRANSLATE(A40460, ""de"", ""en"")"),"stereo")</f>
        <v>stereo</v>
      </c>
    </row>
    <row r="40461">
      <c r="A40461" s="1" t="s">
        <v>40460</v>
      </c>
      <c r="B40461" s="2" t="str">
        <f>IFERROR(__xludf.DUMMYFUNCTION("GOOGLETRANSLATE(A40461, ""de"", ""en"")"),"critters")</f>
        <v>critters</v>
      </c>
    </row>
    <row r="40462">
      <c r="A40462" s="1" t="s">
        <v>40461</v>
      </c>
      <c r="B40462" s="2" t="str">
        <f>IFERROR(__xludf.DUMMYFUNCTION("GOOGLETRANSLATE(A40462, ""de"", ""en"")"),"ten year old")</f>
        <v>ten year old</v>
      </c>
    </row>
    <row r="40463">
      <c r="A40463" s="1" t="s">
        <v>40462</v>
      </c>
      <c r="B40463" s="2" t="str">
        <f>IFERROR(__xludf.DUMMYFUNCTION("GOOGLETRANSLATE(A40463, ""de"", ""en"")"),"peck")</f>
        <v>peck</v>
      </c>
    </row>
    <row r="40464">
      <c r="A40464" s="1" t="s">
        <v>40463</v>
      </c>
      <c r="B40464" s="2" t="str">
        <f>IFERROR(__xludf.DUMMYFUNCTION("GOOGLETRANSLATE(A40464, ""de"", ""en"")"),"cantor")</f>
        <v>cantor</v>
      </c>
    </row>
    <row r="40465">
      <c r="A40465" s="1" t="s">
        <v>40464</v>
      </c>
      <c r="B40465" s="2" t="str">
        <f>IFERROR(__xludf.DUMMYFUNCTION("GOOGLETRANSLATE(A40465, ""de"", ""en"")"),"cheats")</f>
        <v>cheats</v>
      </c>
    </row>
    <row r="40466">
      <c r="A40466" s="1" t="s">
        <v>40465</v>
      </c>
      <c r="B40466" s="2" t="str">
        <f>IFERROR(__xludf.DUMMYFUNCTION("GOOGLETRANSLATE(A40466, ""de"", ""en"")"),"encounter")</f>
        <v>encounter</v>
      </c>
    </row>
    <row r="40467">
      <c r="A40467" s="1" t="s">
        <v>40466</v>
      </c>
      <c r="B40467" s="2" t="str">
        <f>IFERROR(__xludf.DUMMYFUNCTION("GOOGLETRANSLATE(A40467, ""de"", ""en"")"),"galaxy")</f>
        <v>galaxy</v>
      </c>
    </row>
    <row r="40468">
      <c r="A40468" s="1" t="s">
        <v>40467</v>
      </c>
      <c r="B40468" s="2" t="str">
        <f>IFERROR(__xludf.DUMMYFUNCTION("GOOGLETRANSLATE(A40468, ""de"", ""en"")"),"spectacular")</f>
        <v>spectacular</v>
      </c>
    </row>
    <row r="40469">
      <c r="A40469" s="1" t="s">
        <v>40468</v>
      </c>
      <c r="B40469" s="2" t="str">
        <f>IFERROR(__xludf.DUMMYFUNCTION("GOOGLETRANSLATE(A40469, ""de"", ""en"")"),"hairier")</f>
        <v>hairier</v>
      </c>
    </row>
    <row r="40470">
      <c r="A40470" s="1" t="s">
        <v>40469</v>
      </c>
      <c r="B40470" s="2" t="str">
        <f>IFERROR(__xludf.DUMMYFUNCTION("GOOGLETRANSLATE(A40470, ""de"", ""en"")"),"same")</f>
        <v>same</v>
      </c>
    </row>
    <row r="40471">
      <c r="A40471" s="1" t="s">
        <v>40470</v>
      </c>
      <c r="B40471" s="2" t="str">
        <f>IFERROR(__xludf.DUMMYFUNCTION("GOOGLETRANSLATE(A40471, ""de"", ""en"")"),"ecclesiastical")</f>
        <v>ecclesiastical</v>
      </c>
    </row>
    <row r="40472">
      <c r="A40472" s="1" t="s">
        <v>40471</v>
      </c>
      <c r="B40472" s="2" t="str">
        <f>IFERROR(__xludf.DUMMYFUNCTION("GOOGLETRANSLATE(A40472, ""de"", ""en"")"),"wounding")</f>
        <v>wounding</v>
      </c>
    </row>
    <row r="40473">
      <c r="A40473" s="1" t="s">
        <v>40472</v>
      </c>
      <c r="B40473" s="2" t="str">
        <f>IFERROR(__xludf.DUMMYFUNCTION("GOOGLETRANSLATE(A40473, ""de"", ""en"")"),"Russian")</f>
        <v>Russian</v>
      </c>
    </row>
    <row r="40474">
      <c r="A40474" s="1" t="s">
        <v>40473</v>
      </c>
      <c r="B40474" s="2" t="str">
        <f>IFERROR(__xludf.DUMMYFUNCTION("GOOGLETRANSLATE(A40474, ""de"", ""en"")"),"excusez-moi")</f>
        <v>excusez-moi</v>
      </c>
    </row>
    <row r="40475">
      <c r="A40475" s="1" t="s">
        <v>40474</v>
      </c>
      <c r="B40475" s="2" t="str">
        <f>IFERROR(__xludf.DUMMYFUNCTION("GOOGLETRANSLATE(A40475, ""de"", ""en"")"),"jeremys")</f>
        <v>jeremys</v>
      </c>
    </row>
    <row r="40476">
      <c r="A40476" s="1" t="s">
        <v>40475</v>
      </c>
      <c r="B40476" s="2" t="str">
        <f>IFERROR(__xludf.DUMMYFUNCTION("GOOGLETRANSLATE(A40476, ""de"", ""en"")"),"gives")</f>
        <v>gives</v>
      </c>
    </row>
    <row r="40477">
      <c r="A40477" s="1" t="s">
        <v>40476</v>
      </c>
      <c r="B40477" s="2" t="str">
        <f>IFERROR(__xludf.DUMMYFUNCTION("GOOGLETRANSLATE(A40477, ""de"", ""en"")"),"provider")</f>
        <v>provider</v>
      </c>
    </row>
    <row r="40478">
      <c r="A40478" s="1" t="s">
        <v>40477</v>
      </c>
      <c r="B40478" s="2" t="str">
        <f>IFERROR(__xludf.DUMMYFUNCTION("GOOGLETRANSLATE(A40478, ""de"", ""en"")"),"despair")</f>
        <v>despair</v>
      </c>
    </row>
    <row r="40479">
      <c r="A40479" s="1" t="s">
        <v>40478</v>
      </c>
      <c r="B40479" s="2" t="str">
        <f>IFERROR(__xludf.DUMMYFUNCTION("GOOGLETRANSLATE(A40479, ""de"", ""en"")"),"adversities")</f>
        <v>adversities</v>
      </c>
    </row>
    <row r="40480">
      <c r="A40480" s="1" t="s">
        <v>40479</v>
      </c>
      <c r="B40480" s="2" t="str">
        <f>IFERROR(__xludf.DUMMYFUNCTION("GOOGLETRANSLATE(A40480, ""de"", ""en"")"),"turns")</f>
        <v>turns</v>
      </c>
    </row>
    <row r="40481">
      <c r="A40481" s="1" t="s">
        <v>40480</v>
      </c>
      <c r="B40481" s="2" t="str">
        <f>IFERROR(__xludf.DUMMYFUNCTION("GOOGLETRANSLATE(A40481, ""de"", ""en"")"),"Pippin")</f>
        <v>Pippin</v>
      </c>
    </row>
    <row r="40482">
      <c r="A40482" s="1" t="s">
        <v>40481</v>
      </c>
      <c r="B40482" s="2" t="str">
        <f>IFERROR(__xludf.DUMMYFUNCTION("GOOGLETRANSLATE(A40482, ""de"", ""en"")"),"common")</f>
        <v>common</v>
      </c>
    </row>
    <row r="40483">
      <c r="A40483" s="1" t="s">
        <v>40482</v>
      </c>
      <c r="B40483" s="2" t="str">
        <f>IFERROR(__xludf.DUMMYFUNCTION("GOOGLETRANSLATE(A40483, ""de"", ""en"")"),"optimus")</f>
        <v>optimus</v>
      </c>
    </row>
    <row r="40484">
      <c r="A40484" s="1" t="s">
        <v>40483</v>
      </c>
      <c r="B40484" s="2" t="str">
        <f>IFERROR(__xludf.DUMMYFUNCTION("GOOGLETRANSLATE(A40484, ""de"", ""en"")"),"fable")</f>
        <v>fable</v>
      </c>
    </row>
    <row r="40485">
      <c r="A40485" s="1" t="s">
        <v>40484</v>
      </c>
      <c r="B40485" s="2" t="str">
        <f>IFERROR(__xludf.DUMMYFUNCTION("GOOGLETRANSLATE(A40485, ""de"", ""en"")"),"soundproof")</f>
        <v>soundproof</v>
      </c>
    </row>
    <row r="40486">
      <c r="A40486" s="1" t="s">
        <v>40485</v>
      </c>
      <c r="B40486" s="2" t="str">
        <f>IFERROR(__xludf.DUMMYFUNCTION("GOOGLETRANSLATE(A40486, ""de"", ""en"")"),"forges")</f>
        <v>forges</v>
      </c>
    </row>
    <row r="40487">
      <c r="A40487" s="1" t="s">
        <v>40486</v>
      </c>
      <c r="B40487" s="2" t="str">
        <f>IFERROR(__xludf.DUMMYFUNCTION("GOOGLETRANSLATE(A40487, ""de"", ""en"")"),"weaker")</f>
        <v>weaker</v>
      </c>
    </row>
    <row r="40488">
      <c r="A40488" s="1" t="s">
        <v>40487</v>
      </c>
      <c r="B40488" s="2" t="str">
        <f>IFERROR(__xludf.DUMMYFUNCTION("GOOGLETRANSLATE(A40488, ""de"", ""en"")"),"snoopy")</f>
        <v>snoopy</v>
      </c>
    </row>
    <row r="40489">
      <c r="A40489" s="1" t="s">
        <v>40488</v>
      </c>
      <c r="B40489" s="2" t="str">
        <f>IFERROR(__xludf.DUMMYFUNCTION("GOOGLETRANSLATE(A40489, ""de"", ""en"")"),"edmunds")</f>
        <v>edmunds</v>
      </c>
    </row>
    <row r="40490">
      <c r="A40490" s="1" t="s">
        <v>40489</v>
      </c>
      <c r="B40490" s="2" t="str">
        <f>IFERROR(__xludf.DUMMYFUNCTION("GOOGLETRANSLATE(A40490, ""de"", ""en"")"),"maggy")</f>
        <v>maggy</v>
      </c>
    </row>
    <row r="40491">
      <c r="A40491" s="1" t="s">
        <v>40490</v>
      </c>
      <c r="B40491" s="2" t="str">
        <f>IFERROR(__xludf.DUMMYFUNCTION("GOOGLETRANSLATE(A40491, ""de"", ""en"")"),"tuna")</f>
        <v>tuna</v>
      </c>
    </row>
    <row r="40492">
      <c r="A40492" s="1" t="s">
        <v>40491</v>
      </c>
      <c r="B40492" s="2" t="str">
        <f>IFERROR(__xludf.DUMMYFUNCTION("GOOGLETRANSLATE(A40492, ""de"", ""en"")"),"tietjens")</f>
        <v>tietjens</v>
      </c>
    </row>
    <row r="40493">
      <c r="A40493" s="1" t="s">
        <v>40492</v>
      </c>
      <c r="B40493" s="2" t="str">
        <f>IFERROR(__xludf.DUMMYFUNCTION("GOOGLETRANSLATE(A40493, ""de"", ""en"")"),"ooh")</f>
        <v>ooh</v>
      </c>
    </row>
    <row r="40494">
      <c r="A40494" s="1" t="s">
        <v>40493</v>
      </c>
      <c r="B40494" s="2" t="str">
        <f>IFERROR(__xludf.DUMMYFUNCTION("GOOGLETRANSLATE(A40494, ""de"", ""en"")"),"deadshot")</f>
        <v>deadshot</v>
      </c>
    </row>
    <row r="40495">
      <c r="A40495" s="1" t="s">
        <v>40494</v>
      </c>
      <c r="B40495" s="2" t="str">
        <f>IFERROR(__xludf.DUMMYFUNCTION("GOOGLETRANSLATE(A40495, ""de"", ""en"")"),"glump")</f>
        <v>glump</v>
      </c>
    </row>
    <row r="40496">
      <c r="A40496" s="1" t="s">
        <v>40495</v>
      </c>
      <c r="B40496" s="2" t="str">
        <f>IFERROR(__xludf.DUMMYFUNCTION("GOOGLETRANSLATE(A40496, ""de"", ""en"")"),"Indian")</f>
        <v>Indian</v>
      </c>
    </row>
    <row r="40497">
      <c r="A40497" s="1" t="s">
        <v>40496</v>
      </c>
      <c r="B40497" s="2" t="str">
        <f>IFERROR(__xludf.DUMMYFUNCTION("GOOGLETRANSLATE(A40497, ""de"", ""en"")"),"warned")</f>
        <v>warned</v>
      </c>
    </row>
    <row r="40498">
      <c r="A40498" s="1" t="s">
        <v>40497</v>
      </c>
      <c r="B40498" s="2" t="str">
        <f>IFERROR(__xludf.DUMMYFUNCTION("GOOGLETRANSLATE(A40498, ""de"", ""en"")"),"universal")</f>
        <v>universal</v>
      </c>
    </row>
    <row r="40499">
      <c r="A40499" s="1" t="s">
        <v>40498</v>
      </c>
      <c r="B40499" s="2" t="str">
        <f>IFERROR(__xludf.DUMMYFUNCTION("GOOGLETRANSLATE(A40499, ""de"", ""en"")"),"hammonds")</f>
        <v>hammonds</v>
      </c>
    </row>
    <row r="40500">
      <c r="A40500" s="1" t="s">
        <v>40499</v>
      </c>
      <c r="B40500" s="2" t="str">
        <f>IFERROR(__xludf.DUMMYFUNCTION("GOOGLETRANSLATE(A40500, ""de"", ""en"")"),"assfucking")</f>
        <v>assfucking</v>
      </c>
    </row>
    <row r="40501">
      <c r="A40501" s="1" t="s">
        <v>40500</v>
      </c>
      <c r="B40501" s="2" t="str">
        <f>IFERROR(__xludf.DUMMYFUNCTION("GOOGLETRANSLATE(A40501, ""de"", ""en"")"),"bubby")</f>
        <v>bubby</v>
      </c>
    </row>
    <row r="40502">
      <c r="A40502" s="1" t="s">
        <v>40501</v>
      </c>
      <c r="B40502" s="2" t="str">
        <f>IFERROR(__xludf.DUMMYFUNCTION("GOOGLETRANSLATE(A40502, ""de"", ""en"")"),"pringle")</f>
        <v>pringle</v>
      </c>
    </row>
    <row r="40503">
      <c r="A40503" s="1" t="s">
        <v>40502</v>
      </c>
      <c r="B40503" s="2" t="str">
        <f>IFERROR(__xludf.DUMMYFUNCTION("GOOGLETRANSLATE(A40503, ""de"", ""en"")"),"done")</f>
        <v>done</v>
      </c>
    </row>
    <row r="40504">
      <c r="A40504" s="1" t="s">
        <v>40503</v>
      </c>
      <c r="B40504" s="2" t="str">
        <f>IFERROR(__xludf.DUMMYFUNCTION("GOOGLETRANSLATE(A40504, ""de"", ""en"")"),"brackett")</f>
        <v>brackett</v>
      </c>
    </row>
    <row r="40505">
      <c r="A40505" s="1" t="s">
        <v>40504</v>
      </c>
      <c r="B40505" s="2" t="str">
        <f>IFERROR(__xludf.DUMMYFUNCTION("GOOGLETRANSLATE(A40505, ""de"", ""en"")"),"porcupine")</f>
        <v>porcupine</v>
      </c>
    </row>
    <row r="40506">
      <c r="A40506" s="1" t="s">
        <v>40505</v>
      </c>
      <c r="B40506" s="2" t="str">
        <f>IFERROR(__xludf.DUMMYFUNCTION("GOOGLETRANSLATE(A40506, ""de"", ""en"")"),"knocked out")</f>
        <v>knocked out</v>
      </c>
    </row>
    <row r="40507">
      <c r="A40507" s="1" t="s">
        <v>40506</v>
      </c>
      <c r="B40507" s="2" t="str">
        <f>IFERROR(__xludf.DUMMYFUNCTION("GOOGLETRANSLATE(A40507, ""de"", ""en"")"),"tactical")</f>
        <v>tactical</v>
      </c>
    </row>
    <row r="40508">
      <c r="A40508" s="1" t="s">
        <v>40507</v>
      </c>
      <c r="B40508" s="2" t="str">
        <f>IFERROR(__xludf.DUMMYFUNCTION("GOOGLETRANSLATE(A40508, ""de"", ""en"")"),"elba")</f>
        <v>elba</v>
      </c>
    </row>
    <row r="40509">
      <c r="A40509" s="1" t="s">
        <v>40508</v>
      </c>
      <c r="B40509" s="2" t="str">
        <f>IFERROR(__xludf.DUMMYFUNCTION("GOOGLETRANSLATE(A40509, ""de"", ""en"")"),"contra")</f>
        <v>contra</v>
      </c>
    </row>
    <row r="40510">
      <c r="A40510" s="1" t="s">
        <v>40509</v>
      </c>
      <c r="B40510" s="2" t="str">
        <f>IFERROR(__xludf.DUMMYFUNCTION("GOOGLETRANSLATE(A40510, ""de"", ""en"")"),"slaves")</f>
        <v>slaves</v>
      </c>
    </row>
    <row r="40511">
      <c r="A40511" s="1" t="s">
        <v>40510</v>
      </c>
      <c r="B40511" s="2" t="str">
        <f>IFERROR(__xludf.DUMMYFUNCTION("GOOGLETRANSLATE(A40511, ""de"", ""en"")"),"drive in")</f>
        <v>drive in</v>
      </c>
    </row>
    <row r="40512">
      <c r="A40512" s="1" t="s">
        <v>40511</v>
      </c>
      <c r="B40512" s="2" t="str">
        <f>IFERROR(__xludf.DUMMYFUNCTION("GOOGLETRANSLATE(A40512, ""de"", ""en"")"),"hunting lodge")</f>
        <v>hunting lodge</v>
      </c>
    </row>
    <row r="40513">
      <c r="A40513" s="1" t="s">
        <v>40512</v>
      </c>
      <c r="B40513" s="2" t="str">
        <f>IFERROR(__xludf.DUMMYFUNCTION("GOOGLETRANSLATE(A40513, ""de"", ""en"")"),"masons")</f>
        <v>masons</v>
      </c>
    </row>
    <row r="40514">
      <c r="A40514" s="1" t="s">
        <v>40513</v>
      </c>
      <c r="B40514" s="2" t="str">
        <f>IFERROR(__xludf.DUMMYFUNCTION("GOOGLETRANSLATE(A40514, ""de"", ""en"")"),"athletic")</f>
        <v>athletic</v>
      </c>
    </row>
    <row r="40515">
      <c r="A40515" s="1" t="s">
        <v>40514</v>
      </c>
      <c r="B40515" s="2" t="str">
        <f>IFERROR(__xludf.DUMMYFUNCTION("GOOGLETRANSLATE(A40515, ""de"", ""en"")"),"morland")</f>
        <v>morland</v>
      </c>
    </row>
    <row r="40516">
      <c r="A40516" s="1" t="s">
        <v>40515</v>
      </c>
      <c r="B40516" s="2" t="str">
        <f>IFERROR(__xludf.DUMMYFUNCTION("GOOGLETRANSLATE(A40516, ""de"", ""en"")"),"ice cold")</f>
        <v>ice cold</v>
      </c>
    </row>
    <row r="40517">
      <c r="A40517" s="1" t="s">
        <v>40516</v>
      </c>
      <c r="B40517" s="2" t="str">
        <f>IFERROR(__xludf.DUMMYFUNCTION("GOOGLETRANSLATE(A40517, ""de"", ""en"")"),"generated")</f>
        <v>generated</v>
      </c>
    </row>
    <row r="40518">
      <c r="A40518" s="1" t="s">
        <v>40517</v>
      </c>
      <c r="B40518" s="2" t="str">
        <f>IFERROR(__xludf.DUMMYFUNCTION("GOOGLETRANSLATE(A40518, ""de"", ""en"")"),"ludovico")</f>
        <v>ludovico</v>
      </c>
    </row>
    <row r="40519">
      <c r="A40519" s="1" t="s">
        <v>40518</v>
      </c>
      <c r="B40519" s="2" t="str">
        <f>IFERROR(__xludf.DUMMYFUNCTION("GOOGLETRANSLATE(A40519, ""de"", ""en"")"),"selfless")</f>
        <v>selfless</v>
      </c>
    </row>
    <row r="40520">
      <c r="A40520" s="1" t="s">
        <v>40519</v>
      </c>
      <c r="B40520" s="2" t="str">
        <f>IFERROR(__xludf.DUMMYFUNCTION("GOOGLETRANSLATE(A40520, ""de"", ""en"")"),"hire")</f>
        <v>hire</v>
      </c>
    </row>
    <row r="40521">
      <c r="A40521" s="1" t="s">
        <v>40520</v>
      </c>
      <c r="B40521" s="2" t="str">
        <f>IFERROR(__xludf.DUMMYFUNCTION("GOOGLETRANSLATE(A40521, ""de"", ""en"")"),"thirsts")</f>
        <v>thirsts</v>
      </c>
    </row>
    <row r="40522">
      <c r="A40522" s="1" t="s">
        <v>40521</v>
      </c>
      <c r="B40522" s="2" t="str">
        <f>IFERROR(__xludf.DUMMYFUNCTION("GOOGLETRANSLATE(A40522, ""de"", ""en"")"),"farragut")</f>
        <v>farragut</v>
      </c>
    </row>
    <row r="40523">
      <c r="A40523" s="1" t="s">
        <v>40522</v>
      </c>
      <c r="B40523" s="2" t="str">
        <f>IFERROR(__xludf.DUMMYFUNCTION("GOOGLETRANSLATE(A40523, ""de"", ""en"")"),"splattered")</f>
        <v>splattered</v>
      </c>
    </row>
    <row r="40524">
      <c r="A40524" s="1" t="s">
        <v>40523</v>
      </c>
      <c r="B40524" s="2" t="str">
        <f>IFERROR(__xludf.DUMMYFUNCTION("GOOGLETRANSLATE(A40524, ""de"", ""en"")"),"fundraising gala")</f>
        <v>fundraising gala</v>
      </c>
    </row>
    <row r="40525">
      <c r="A40525" s="1" t="s">
        <v>40524</v>
      </c>
      <c r="B40525" s="2" t="str">
        <f>IFERROR(__xludf.DUMMYFUNCTION("GOOGLETRANSLATE(A40525, ""de"", ""en"")"),"wit")</f>
        <v>wit</v>
      </c>
    </row>
    <row r="40526">
      <c r="A40526" s="1" t="s">
        <v>40525</v>
      </c>
      <c r="B40526" s="2" t="str">
        <f>IFERROR(__xludf.DUMMYFUNCTION("GOOGLETRANSLATE(A40526, ""de"", ""en"")"),"mark")</f>
        <v>mark</v>
      </c>
    </row>
    <row r="40527">
      <c r="A40527" s="1" t="s">
        <v>40526</v>
      </c>
      <c r="B40527" s="2" t="str">
        <f>IFERROR(__xludf.DUMMYFUNCTION("GOOGLETRANSLATE(A40527, ""de"", ""en"")"),"gribble")</f>
        <v>gribble</v>
      </c>
    </row>
    <row r="40528">
      <c r="A40528" s="1" t="s">
        <v>40527</v>
      </c>
      <c r="B40528" s="2" t="str">
        <f>IFERROR(__xludf.DUMMYFUNCTION("GOOGLETRANSLATE(A40528, ""de"", ""en"")"),"contact lens")</f>
        <v>contact lens</v>
      </c>
    </row>
    <row r="40529">
      <c r="A40529" s="1" t="s">
        <v>40528</v>
      </c>
      <c r="B40529" s="2" t="str">
        <f>IFERROR(__xludf.DUMMYFUNCTION("GOOGLETRANSLATE(A40529, ""de"", ""en"")"),"hopped")</f>
        <v>hopped</v>
      </c>
    </row>
    <row r="40530">
      <c r="A40530" s="1" t="s">
        <v>40529</v>
      </c>
      <c r="B40530" s="2" t="str">
        <f>IFERROR(__xludf.DUMMYFUNCTION("GOOGLETRANSLATE(A40530, ""de"", ""en"")"),"to kill")</f>
        <v>to kill</v>
      </c>
    </row>
    <row r="40531">
      <c r="A40531" s="1" t="s">
        <v>40530</v>
      </c>
      <c r="B40531" s="2" t="str">
        <f>IFERROR(__xludf.DUMMYFUNCTION("GOOGLETRANSLATE(A40531, ""de"", ""en"")"),"carp")</f>
        <v>carp</v>
      </c>
    </row>
    <row r="40532">
      <c r="A40532" s="1" t="s">
        <v>40531</v>
      </c>
      <c r="B40532" s="2" t="str">
        <f>IFERROR(__xludf.DUMMYFUNCTION("GOOGLETRANSLATE(A40532, ""de"", ""en"")"),"decreased")</f>
        <v>decreased</v>
      </c>
    </row>
    <row r="40533">
      <c r="A40533" s="1" t="s">
        <v>40532</v>
      </c>
      <c r="B40533" s="2" t="str">
        <f>IFERROR(__xludf.DUMMYFUNCTION("GOOGLETRANSLATE(A40533, ""de"", ""en"")"),"friedman")</f>
        <v>friedman</v>
      </c>
    </row>
    <row r="40534">
      <c r="A40534" s="1" t="s">
        <v>40533</v>
      </c>
      <c r="B40534" s="2" t="str">
        <f>IFERROR(__xludf.DUMMYFUNCTION("GOOGLETRANSLATE(A40534, ""de"", ""en"")"),"fuma")</f>
        <v>fuma</v>
      </c>
    </row>
    <row r="40535">
      <c r="A40535" s="1" t="s">
        <v>40534</v>
      </c>
      <c r="B40535" s="2" t="str">
        <f>IFERROR(__xludf.DUMMYFUNCTION("GOOGLETRANSLATE(A40535, ""de"", ""en"")"),"beautician")</f>
        <v>beautician</v>
      </c>
    </row>
    <row r="40536">
      <c r="A40536" s="1" t="s">
        <v>40535</v>
      </c>
      <c r="B40536" s="2" t="str">
        <f>IFERROR(__xludf.DUMMYFUNCTION("GOOGLETRANSLATE(A40536, ""de"", ""en"")"),"more reserved")</f>
        <v>more reserved</v>
      </c>
    </row>
    <row r="40537">
      <c r="A40537" s="1" t="s">
        <v>40536</v>
      </c>
      <c r="B40537" s="2" t="str">
        <f>IFERROR(__xludf.DUMMYFUNCTION("GOOGLETRANSLATE(A40537, ""de"", ""en"")"),"misdeeds")</f>
        <v>misdeeds</v>
      </c>
    </row>
    <row r="40538">
      <c r="A40538" s="1" t="s">
        <v>40537</v>
      </c>
      <c r="B40538" s="2" t="str">
        <f>IFERROR(__xludf.DUMMYFUNCTION("GOOGLETRANSLATE(A40538, ""de"", ""en"")"),"congenital")</f>
        <v>congenital</v>
      </c>
    </row>
    <row r="40539">
      <c r="A40539" s="1" t="s">
        <v>40538</v>
      </c>
      <c r="B40539" s="2" t="str">
        <f>IFERROR(__xludf.DUMMYFUNCTION("GOOGLETRANSLATE(A40539, ""de"", ""en"")"),"tomb")</f>
        <v>tomb</v>
      </c>
    </row>
    <row r="40540">
      <c r="A40540" s="1" t="s">
        <v>40539</v>
      </c>
      <c r="B40540" s="2" t="str">
        <f>IFERROR(__xludf.DUMMYFUNCTION("GOOGLETRANSLATE(A40540, ""de"", ""en"")"),"herein")</f>
        <v>herein</v>
      </c>
    </row>
    <row r="40541">
      <c r="A40541" s="1" t="s">
        <v>40540</v>
      </c>
      <c r="B40541" s="2" t="str">
        <f>IFERROR(__xludf.DUMMYFUNCTION("GOOGLETRANSLATE(A40541, ""de"", ""en"")"),"sandrigo")</f>
        <v>sandrigo</v>
      </c>
    </row>
    <row r="40542">
      <c r="A40542" s="1" t="s">
        <v>40541</v>
      </c>
      <c r="B40542" s="2" t="str">
        <f>IFERROR(__xludf.DUMMYFUNCTION("GOOGLETRANSLATE(A40542, ""de"", ""en"")"),"fountain")</f>
        <v>fountain</v>
      </c>
    </row>
    <row r="40543">
      <c r="A40543" s="1" t="s">
        <v>40542</v>
      </c>
      <c r="B40543" s="2" t="str">
        <f>IFERROR(__xludf.DUMMYFUNCTION("GOOGLETRANSLATE(A40543, ""de"", ""en"")"),"tetanus")</f>
        <v>tetanus</v>
      </c>
    </row>
    <row r="40544">
      <c r="A40544" s="1" t="s">
        <v>40543</v>
      </c>
      <c r="B40544" s="2" t="str">
        <f>IFERROR(__xludf.DUMMYFUNCTION("GOOGLETRANSLATE(A40544, ""de"", ""en"")"),"straight away")</f>
        <v>straight away</v>
      </c>
    </row>
    <row r="40545">
      <c r="A40545" s="1" t="s">
        <v>40544</v>
      </c>
      <c r="B40545" s="2" t="str">
        <f>IFERROR(__xludf.DUMMYFUNCTION("GOOGLETRANSLATE(A40545, ""de"", ""en"")"),"sound of the sea")</f>
        <v>sound of the sea</v>
      </c>
    </row>
    <row r="40546">
      <c r="A40546" s="1" t="s">
        <v>40545</v>
      </c>
      <c r="B40546" s="2" t="str">
        <f>IFERROR(__xludf.DUMMYFUNCTION("GOOGLETRANSLATE(A40546, ""de"", ""en"")"),"Ricard")</f>
        <v>Ricard</v>
      </c>
    </row>
    <row r="40547">
      <c r="A40547" s="1" t="s">
        <v>40546</v>
      </c>
      <c r="B40547" s="2" t="str">
        <f>IFERROR(__xludf.DUMMYFUNCTION("GOOGLETRANSLATE(A40547, ""de"", ""en"")"),"grandmas")</f>
        <v>grandmas</v>
      </c>
    </row>
    <row r="40548">
      <c r="A40548" s="1" t="s">
        <v>40547</v>
      </c>
      <c r="B40548" s="2" t="str">
        <f>IFERROR(__xludf.DUMMYFUNCTION("GOOGLETRANSLATE(A40548, ""de"", ""en"")"),"vogt")</f>
        <v>vogt</v>
      </c>
    </row>
    <row r="40549">
      <c r="A40549" s="1" t="s">
        <v>40548</v>
      </c>
      <c r="B40549" s="2" t="str">
        <f>IFERROR(__xludf.DUMMYFUNCTION("GOOGLETRANSLATE(A40549, ""de"", ""en"")"),"emmit")</f>
        <v>emmit</v>
      </c>
    </row>
    <row r="40550">
      <c r="A40550" s="1" t="s">
        <v>40549</v>
      </c>
      <c r="B40550" s="2" t="str">
        <f>IFERROR(__xludf.DUMMYFUNCTION("GOOGLETRANSLATE(A40550, ""de"", ""en"")"),"tippin")</f>
        <v>tippin</v>
      </c>
    </row>
    <row r="40551">
      <c r="A40551" s="1" t="s">
        <v>40550</v>
      </c>
      <c r="B40551" s="2" t="str">
        <f>IFERROR(__xludf.DUMMYFUNCTION("GOOGLETRANSLATE(A40551, ""de"", ""en"")"),"stick")</f>
        <v>stick</v>
      </c>
    </row>
    <row r="40552">
      <c r="A40552" s="1" t="s">
        <v>40551</v>
      </c>
      <c r="B40552" s="2" t="str">
        <f>IFERROR(__xludf.DUMMYFUNCTION("GOOGLETRANSLATE(A40552, ""de"", ""en"")"),"ursus")</f>
        <v>ursus</v>
      </c>
    </row>
    <row r="40553">
      <c r="A40553" s="1" t="s">
        <v>40552</v>
      </c>
      <c r="B40553" s="2" t="str">
        <f>IFERROR(__xludf.DUMMYFUNCTION("GOOGLETRANSLATE(A40553, ""de"", ""en"")"),"rash")</f>
        <v>rash</v>
      </c>
    </row>
    <row r="40554">
      <c r="A40554" s="1" t="s">
        <v>40553</v>
      </c>
      <c r="B40554" s="2" t="str">
        <f>IFERROR(__xludf.DUMMYFUNCTION("GOOGLETRANSLATE(A40554, ""de"", ""en"")"),"sameen")</f>
        <v>sameen</v>
      </c>
    </row>
    <row r="40555">
      <c r="A40555" s="1" t="s">
        <v>40554</v>
      </c>
      <c r="B40555" s="2" t="str">
        <f>IFERROR(__xludf.DUMMYFUNCTION("GOOGLETRANSLATE(A40555, ""de"", ""en"")"),"dolph")</f>
        <v>dolph</v>
      </c>
    </row>
    <row r="40556">
      <c r="A40556" s="1" t="s">
        <v>40555</v>
      </c>
      <c r="B40556" s="2" t="str">
        <f>IFERROR(__xludf.DUMMYFUNCTION("GOOGLETRANSLATE(A40556, ""de"", ""en"")"),"take away")</f>
        <v>take away</v>
      </c>
    </row>
    <row r="40557">
      <c r="A40557" s="1" t="s">
        <v>40556</v>
      </c>
      <c r="B40557" s="2" t="str">
        <f>IFERROR(__xludf.DUMMYFUNCTION("GOOGLETRANSLATE(A40557, ""de"", ""en"")"),"literally")</f>
        <v>literally</v>
      </c>
    </row>
    <row r="40558">
      <c r="A40558" s="1" t="s">
        <v>40557</v>
      </c>
      <c r="B40558" s="2" t="str">
        <f>IFERROR(__xludf.DUMMYFUNCTION("GOOGLETRANSLATE(A40558, ""de"", ""en"")"),"munro")</f>
        <v>munro</v>
      </c>
    </row>
    <row r="40559">
      <c r="A40559" s="1" t="s">
        <v>40558</v>
      </c>
      <c r="B40559" s="2" t="str">
        <f>IFERROR(__xludf.DUMMYFUNCTION("GOOGLETRANSLATE(A40559, ""de"", ""en"")"),"pygmies")</f>
        <v>pygmies</v>
      </c>
    </row>
    <row r="40560">
      <c r="A40560" s="1" t="s">
        <v>40559</v>
      </c>
      <c r="B40560" s="2" t="str">
        <f>IFERROR(__xludf.DUMMYFUNCTION("GOOGLETRANSLATE(A40560, ""de"", ""en"")"),"chisel")</f>
        <v>chisel</v>
      </c>
    </row>
    <row r="40561">
      <c r="A40561" s="1" t="s">
        <v>40560</v>
      </c>
      <c r="B40561" s="2" t="str">
        <f>IFERROR(__xludf.DUMMYFUNCTION("GOOGLETRANSLATE(A40561, ""de"", ""en"")"),"ambrosia")</f>
        <v>ambrosia</v>
      </c>
    </row>
    <row r="40562">
      <c r="A40562" s="1" t="s">
        <v>40561</v>
      </c>
      <c r="B40562" s="2" t="str">
        <f>IFERROR(__xludf.DUMMYFUNCTION("GOOGLETRANSLATE(A40562, ""de"", ""en"")"),"warlord")</f>
        <v>warlord</v>
      </c>
    </row>
    <row r="40563">
      <c r="A40563" s="1" t="s">
        <v>40562</v>
      </c>
      <c r="B40563" s="2" t="str">
        <f>IFERROR(__xludf.DUMMYFUNCTION("GOOGLETRANSLATE(A40563, ""de"", ""en"")"),"petros")</f>
        <v>petros</v>
      </c>
    </row>
    <row r="40564">
      <c r="A40564" s="1" t="s">
        <v>40563</v>
      </c>
      <c r="B40564" s="2" t="str">
        <f>IFERROR(__xludf.DUMMYFUNCTION("GOOGLETRANSLATE(A40564, ""de"", ""en"")"),"apartment door")</f>
        <v>apartment door</v>
      </c>
    </row>
    <row r="40565">
      <c r="A40565" s="1" t="s">
        <v>40564</v>
      </c>
      <c r="B40565" s="2" t="str">
        <f>IFERROR(__xludf.DUMMYFUNCTION("GOOGLETRANSLATE(A40565, ""de"", ""en"")"),"department")</f>
        <v>department</v>
      </c>
    </row>
    <row r="40566">
      <c r="A40566" s="1" t="s">
        <v>40565</v>
      </c>
      <c r="B40566" s="2" t="str">
        <f>IFERROR(__xludf.DUMMYFUNCTION("GOOGLETRANSLATE(A40566, ""de"", ""en"")"),"summer camp")</f>
        <v>summer camp</v>
      </c>
    </row>
    <row r="40567">
      <c r="A40567" s="1" t="s">
        <v>40566</v>
      </c>
      <c r="B40567" s="2" t="str">
        <f>IFERROR(__xludf.DUMMYFUNCTION("GOOGLETRANSLATE(A40567, ""de"", ""en"")"),"favorite variety")</f>
        <v>favorite variety</v>
      </c>
    </row>
    <row r="40568">
      <c r="A40568" s="1" t="s">
        <v>40567</v>
      </c>
      <c r="B40568" s="2" t="str">
        <f>IFERROR(__xludf.DUMMYFUNCTION("GOOGLETRANSLATE(A40568, ""de"", ""en"")"),"Ministry of Health")</f>
        <v>Ministry of Health</v>
      </c>
    </row>
    <row r="40569">
      <c r="A40569" s="1" t="s">
        <v>40568</v>
      </c>
      <c r="B40569" s="2" t="str">
        <f>IFERROR(__xludf.DUMMYFUNCTION("GOOGLETRANSLATE(A40569, ""de"", ""en"")"),"working group")</f>
        <v>working group</v>
      </c>
    </row>
    <row r="40570">
      <c r="A40570" s="1" t="s">
        <v>40569</v>
      </c>
      <c r="B40570" s="2" t="str">
        <f>IFERROR(__xludf.DUMMYFUNCTION("GOOGLETRANSLATE(A40570, ""de"", ""en"")"),"physical")</f>
        <v>physical</v>
      </c>
    </row>
    <row r="40571">
      <c r="A40571" s="1" t="s">
        <v>40570</v>
      </c>
      <c r="B40571" s="2" t="str">
        <f>IFERROR(__xludf.DUMMYFUNCTION("GOOGLETRANSLATE(A40571, ""de"", ""en"")"),"smalls")</f>
        <v>smalls</v>
      </c>
    </row>
    <row r="40572">
      <c r="A40572" s="1" t="s">
        <v>40571</v>
      </c>
      <c r="B40572" s="2" t="str">
        <f>IFERROR(__xludf.DUMMYFUNCTION("GOOGLETRANSLATE(A40572, ""de"", ""en"")"),"to unload")</f>
        <v>to unload</v>
      </c>
    </row>
    <row r="40573">
      <c r="A40573" s="1" t="s">
        <v>40572</v>
      </c>
      <c r="B40573" s="2" t="str">
        <f>IFERROR(__xludf.DUMMYFUNCTION("GOOGLETRANSLATE(A40573, ""de"", ""en"")"),"perfect")</f>
        <v>perfect</v>
      </c>
    </row>
    <row r="40574">
      <c r="A40574" s="1" t="s">
        <v>40573</v>
      </c>
      <c r="B40574" s="2" t="str">
        <f>IFERROR(__xludf.DUMMYFUNCTION("GOOGLETRANSLATE(A40574, ""de"", ""en"")"),"scalped")</f>
        <v>scalped</v>
      </c>
    </row>
    <row r="40575">
      <c r="A40575" s="1" t="s">
        <v>40574</v>
      </c>
      <c r="B40575" s="2" t="str">
        <f>IFERROR(__xludf.DUMMYFUNCTION("GOOGLETRANSLATE(A40575, ""de"", ""en"")"),"approximate")</f>
        <v>approximate</v>
      </c>
    </row>
    <row r="40576">
      <c r="A40576" s="1" t="s">
        <v>40575</v>
      </c>
      <c r="B40576" s="2" t="str">
        <f>IFERROR(__xludf.DUMMYFUNCTION("GOOGLETRANSLATE(A40576, ""de"", ""en"")"),"issa")</f>
        <v>issa</v>
      </c>
    </row>
    <row r="40577">
      <c r="A40577" s="1" t="s">
        <v>40576</v>
      </c>
      <c r="B40577" s="2" t="str">
        <f>IFERROR(__xludf.DUMMYFUNCTION("GOOGLETRANSLATE(A40577, ""de"", ""en"")"),"illegitimate")</f>
        <v>illegitimate</v>
      </c>
    </row>
    <row r="40578">
      <c r="A40578" s="1" t="s">
        <v>40577</v>
      </c>
      <c r="B40578" s="2" t="str">
        <f>IFERROR(__xludf.DUMMYFUNCTION("GOOGLETRANSLATE(A40578, ""de"", ""en"")"),"number")</f>
        <v>number</v>
      </c>
    </row>
    <row r="40579">
      <c r="A40579" s="1" t="s">
        <v>40578</v>
      </c>
      <c r="B40579" s="2" t="str">
        <f>IFERROR(__xludf.DUMMYFUNCTION("GOOGLETRANSLATE(A40579, ""de"", ""en"")"),"babu")</f>
        <v>babu</v>
      </c>
    </row>
    <row r="40580">
      <c r="A40580" s="1" t="s">
        <v>40579</v>
      </c>
      <c r="B40580" s="2" t="str">
        <f>IFERROR(__xludf.DUMMYFUNCTION("GOOGLETRANSLATE(A40580, ""de"", ""en"")"),"vino")</f>
        <v>vino</v>
      </c>
    </row>
    <row r="40581">
      <c r="A40581" s="1" t="s">
        <v>40580</v>
      </c>
      <c r="B40581" s="2" t="str">
        <f>IFERROR(__xludf.DUMMYFUNCTION("GOOGLETRANSLATE(A40581, ""de"", ""en"")"),"vik")</f>
        <v>vik</v>
      </c>
    </row>
    <row r="40582">
      <c r="A40582" s="1" t="s">
        <v>40581</v>
      </c>
      <c r="B40582" s="2" t="str">
        <f>IFERROR(__xludf.DUMMYFUNCTION("GOOGLETRANSLATE(A40582, ""de"", ""en"")"),"Machiavelli")</f>
        <v>Machiavelli</v>
      </c>
    </row>
    <row r="40583">
      <c r="A40583" s="1" t="s">
        <v>40582</v>
      </c>
      <c r="B40583" s="2" t="str">
        <f>IFERROR(__xludf.DUMMYFUNCTION("GOOGLETRANSLATE(A40583, ""de"", ""en"")"),"forklift")</f>
        <v>forklift</v>
      </c>
    </row>
    <row r="40584">
      <c r="A40584" s="1" t="s">
        <v>40583</v>
      </c>
      <c r="B40584" s="2" t="str">
        <f>IFERROR(__xludf.DUMMYFUNCTION("GOOGLETRANSLATE(A40584, ""de"", ""en"")"),"spaceships")</f>
        <v>spaceships</v>
      </c>
    </row>
    <row r="40585">
      <c r="A40585" s="1" t="s">
        <v>40584</v>
      </c>
      <c r="B40585" s="2" t="str">
        <f>IFERROR(__xludf.DUMMYFUNCTION("GOOGLETRANSLATE(A40585, ""de"", ""en"")"),"misleading")</f>
        <v>misleading</v>
      </c>
    </row>
    <row r="40586">
      <c r="A40586" s="1" t="s">
        <v>40585</v>
      </c>
      <c r="B40586" s="2" t="str">
        <f>IFERROR(__xludf.DUMMYFUNCTION("GOOGLETRANSLATE(A40586, ""de"", ""en"")"),"stasis")</f>
        <v>stasis</v>
      </c>
    </row>
    <row r="40587">
      <c r="A40587" s="1" t="s">
        <v>40586</v>
      </c>
      <c r="B40587" s="2" t="str">
        <f>IFERROR(__xludf.DUMMYFUNCTION("GOOGLETRANSLATE(A40587, ""de"", ""en"")"),"loren")</f>
        <v>loren</v>
      </c>
    </row>
    <row r="40588">
      <c r="A40588" s="1" t="s">
        <v>40587</v>
      </c>
      <c r="B40588" s="2" t="str">
        <f>IFERROR(__xludf.DUMMYFUNCTION("GOOGLETRANSLATE(A40588, ""de"", ""en"")"),"doctored")</f>
        <v>doctored</v>
      </c>
    </row>
    <row r="40589">
      <c r="A40589" s="1" t="s">
        <v>40588</v>
      </c>
      <c r="B40589" s="2" t="str">
        <f>IFERROR(__xludf.DUMMYFUNCTION("GOOGLETRANSLATE(A40589, ""de"", ""en"")"),"fisherman")</f>
        <v>fisherman</v>
      </c>
    </row>
    <row r="40590">
      <c r="A40590" s="1" t="s">
        <v>40589</v>
      </c>
      <c r="B40590" s="2" t="str">
        <f>IFERROR(__xludf.DUMMYFUNCTION("GOOGLETRANSLATE(A40590, ""de"", ""en"")"),"estrogen")</f>
        <v>estrogen</v>
      </c>
    </row>
    <row r="40591">
      <c r="A40591" s="1" t="s">
        <v>40590</v>
      </c>
      <c r="B40591" s="2" t="str">
        <f>IFERROR(__xludf.DUMMYFUNCTION("GOOGLETRANSLATE(A40591, ""de"", ""en"")"),"dawn")</f>
        <v>dawn</v>
      </c>
    </row>
    <row r="40592">
      <c r="A40592" s="1" t="s">
        <v>40591</v>
      </c>
      <c r="B40592" s="2" t="str">
        <f>IFERROR(__xludf.DUMMYFUNCTION("GOOGLETRANSLATE(A40592, ""de"", ""en"")"),"kikuchiyo")</f>
        <v>kikuchiyo</v>
      </c>
    </row>
    <row r="40593">
      <c r="A40593" s="1" t="s">
        <v>40592</v>
      </c>
      <c r="B40593" s="2" t="str">
        <f>IFERROR(__xludf.DUMMYFUNCTION("GOOGLETRANSLATE(A40593, ""de"", ""en"")"),"Marie")</f>
        <v>Marie</v>
      </c>
    </row>
    <row r="40594">
      <c r="A40594" s="1" t="s">
        <v>40593</v>
      </c>
      <c r="B40594" s="2" t="str">
        <f>IFERROR(__xludf.DUMMYFUNCTION("GOOGLETRANSLATE(A40594, ""de"", ""en"")"),"marched")</f>
        <v>marched</v>
      </c>
    </row>
    <row r="40595">
      <c r="A40595" s="1" t="s">
        <v>40594</v>
      </c>
      <c r="B40595" s="2" t="str">
        <f>IFERROR(__xludf.DUMMYFUNCTION("GOOGLETRANSLATE(A40595, ""de"", ""en"")"),"elway")</f>
        <v>elway</v>
      </c>
    </row>
    <row r="40596">
      <c r="A40596" s="1" t="s">
        <v>40595</v>
      </c>
      <c r="B40596" s="2" t="str">
        <f>IFERROR(__xludf.DUMMYFUNCTION("GOOGLETRANSLATE(A40596, ""de"", ""en"")"),"gato")</f>
        <v>gato</v>
      </c>
    </row>
    <row r="40597">
      <c r="A40597" s="1" t="s">
        <v>40596</v>
      </c>
      <c r="B40597" s="2" t="str">
        <f>IFERROR(__xludf.DUMMYFUNCTION("GOOGLETRANSLATE(A40597, ""de"", ""en"")"),"Fords")</f>
        <v>Fords</v>
      </c>
    </row>
    <row r="40598">
      <c r="A40598" s="1" t="s">
        <v>40597</v>
      </c>
      <c r="B40598" s="2" t="str">
        <f>IFERROR(__xludf.DUMMYFUNCTION("GOOGLETRANSLATE(A40598, ""de"", ""en"")"),"oops")</f>
        <v>oops</v>
      </c>
    </row>
    <row r="40599">
      <c r="A40599" s="1" t="s">
        <v>40598</v>
      </c>
      <c r="B40599" s="2" t="str">
        <f>IFERROR(__xludf.DUMMYFUNCTION("GOOGLETRANSLATE(A40599, ""de"", ""en"")"),"flower girl")</f>
        <v>flower girl</v>
      </c>
    </row>
    <row r="40600">
      <c r="A40600" s="1" t="s">
        <v>40599</v>
      </c>
      <c r="B40600" s="2" t="str">
        <f>IFERROR(__xludf.DUMMYFUNCTION("GOOGLETRANSLATE(A40600, ""de"", ""en"")"),"vanderbilt")</f>
        <v>vanderbilt</v>
      </c>
    </row>
    <row r="40601">
      <c r="A40601" s="1" t="s">
        <v>40600</v>
      </c>
      <c r="B40601" s="2" t="str">
        <f>IFERROR(__xludf.DUMMYFUNCTION("GOOGLETRANSLATE(A40601, ""de"", ""en"")"),"Fiji")</f>
        <v>Fiji</v>
      </c>
    </row>
    <row r="40602">
      <c r="A40602" s="1" t="s">
        <v>40601</v>
      </c>
      <c r="B40602" s="2" t="str">
        <f>IFERROR(__xludf.DUMMYFUNCTION("GOOGLETRANSLATE(A40602, ""de"", ""en"")"),"underlined")</f>
        <v>underlined</v>
      </c>
    </row>
    <row r="40603">
      <c r="A40603" s="1" t="s">
        <v>40602</v>
      </c>
      <c r="B40603" s="2" t="str">
        <f>IFERROR(__xludf.DUMMYFUNCTION("GOOGLETRANSLATE(A40603, ""de"", ""en"")"),"apu")</f>
        <v>apu</v>
      </c>
    </row>
    <row r="40604">
      <c r="A40604" s="1" t="s">
        <v>40603</v>
      </c>
      <c r="B40604" s="2" t="str">
        <f>IFERROR(__xludf.DUMMYFUNCTION("GOOGLETRANSLATE(A40604, ""de"", ""en"")"),"donkey")</f>
        <v>donkey</v>
      </c>
    </row>
    <row r="40605">
      <c r="A40605" s="1" t="s">
        <v>40604</v>
      </c>
      <c r="B40605" s="2" t="str">
        <f>IFERROR(__xludf.DUMMYFUNCTION("GOOGLETRANSLATE(A40605, ""de"", ""en"")"),"pocket watch")</f>
        <v>pocket watch</v>
      </c>
    </row>
    <row r="40606">
      <c r="A40606" s="1" t="s">
        <v>40605</v>
      </c>
      <c r="B40606" s="2" t="str">
        <f>IFERROR(__xludf.DUMMYFUNCTION("GOOGLETRANSLATE(A40606, ""de"", ""en"")"),"mohinder")</f>
        <v>mohinder</v>
      </c>
    </row>
    <row r="40607">
      <c r="A40607" s="1" t="s">
        <v>40606</v>
      </c>
      <c r="B40607" s="2" t="str">
        <f>IFERROR(__xludf.DUMMYFUNCTION("GOOGLETRANSLATE(A40607, ""de"", ""en"")"),"blackwood")</f>
        <v>blackwood</v>
      </c>
    </row>
    <row r="40608">
      <c r="A40608" s="1" t="s">
        <v>40607</v>
      </c>
      <c r="B40608" s="2" t="str">
        <f>IFERROR(__xludf.DUMMYFUNCTION("GOOGLETRANSLATE(A40608, ""de"", ""en"")"),"to know")</f>
        <v>to know</v>
      </c>
    </row>
    <row r="40609">
      <c r="A40609" s="1" t="s">
        <v>40608</v>
      </c>
      <c r="B40609" s="2" t="str">
        <f>IFERROR(__xludf.DUMMYFUNCTION("GOOGLETRANSLATE(A40609, ""de"", ""en"")"),"addams")</f>
        <v>addams</v>
      </c>
    </row>
    <row r="40610">
      <c r="A40610" s="1" t="s">
        <v>40609</v>
      </c>
      <c r="B40610" s="2" t="str">
        <f>IFERROR(__xludf.DUMMYFUNCTION("GOOGLETRANSLATE(A40610, ""de"", ""en"")"),"garbage chute")</f>
        <v>garbage chute</v>
      </c>
    </row>
    <row r="40611">
      <c r="A40611" s="1" t="s">
        <v>40610</v>
      </c>
      <c r="B40611" s="2" t="str">
        <f>IFERROR(__xludf.DUMMYFUNCTION("GOOGLETRANSLATE(A40611, ""de"", ""en"")"),"techtelmechtel")</f>
        <v>techtelmechtel</v>
      </c>
    </row>
    <row r="40612">
      <c r="A40612" s="1" t="s">
        <v>40611</v>
      </c>
      <c r="B40612" s="2" t="str">
        <f>IFERROR(__xludf.DUMMYFUNCTION("GOOGLETRANSLATE(A40612, ""de"", ""en"")"),"hertz")</f>
        <v>hertz</v>
      </c>
    </row>
    <row r="40613">
      <c r="A40613" s="1" t="s">
        <v>40612</v>
      </c>
      <c r="B40613" s="2" t="str">
        <f>IFERROR(__xludf.DUMMYFUNCTION("GOOGLETRANSLATE(A40613, ""de"", ""en"")"),"showdown")</f>
        <v>showdown</v>
      </c>
    </row>
    <row r="40614">
      <c r="A40614" s="1" t="s">
        <v>40613</v>
      </c>
      <c r="B40614" s="2" t="str">
        <f>IFERROR(__xludf.DUMMYFUNCTION("GOOGLETRANSLATE(A40614, ""de"", ""en"")"),"casual")</f>
        <v>casual</v>
      </c>
    </row>
    <row r="40615">
      <c r="A40615" s="1" t="s">
        <v>40614</v>
      </c>
      <c r="B40615" s="2" t="str">
        <f>IFERROR(__xludf.DUMMYFUNCTION("GOOGLETRANSLATE(A40615, ""de"", ""en"")"),"bimbo")</f>
        <v>bimbo</v>
      </c>
    </row>
    <row r="40616">
      <c r="A40616" s="1" t="s">
        <v>40615</v>
      </c>
      <c r="B40616" s="2" t="str">
        <f>IFERROR(__xludf.DUMMYFUNCTION("GOOGLETRANSLATE(A40616, ""de"", ""en"")"),"send away")</f>
        <v>send away</v>
      </c>
    </row>
    <row r="40617">
      <c r="A40617" s="1" t="s">
        <v>40616</v>
      </c>
      <c r="B40617" s="2" t="str">
        <f>IFERROR(__xludf.DUMMYFUNCTION("GOOGLETRANSLATE(A40617, ""de"", ""en"")"),"tin man")</f>
        <v>tin man</v>
      </c>
    </row>
    <row r="40618">
      <c r="A40618" s="1" t="s">
        <v>40617</v>
      </c>
      <c r="B40618" s="2" t="str">
        <f>IFERROR(__xludf.DUMMYFUNCTION("GOOGLETRANSLATE(A40618, ""de"", ""en"")"),"lead")</f>
        <v>lead</v>
      </c>
    </row>
    <row r="40619">
      <c r="A40619" s="1" t="s">
        <v>40618</v>
      </c>
      <c r="B40619" s="2" t="str">
        <f>IFERROR(__xludf.DUMMYFUNCTION("GOOGLETRANSLATE(A40619, ""de"", ""en"")"),"wine")</f>
        <v>wine</v>
      </c>
    </row>
    <row r="40620">
      <c r="A40620" s="1" t="s">
        <v>40619</v>
      </c>
      <c r="B40620" s="2" t="str">
        <f>IFERROR(__xludf.DUMMYFUNCTION("GOOGLETRANSLATE(A40620, ""de"", ""en"")"),"snore")</f>
        <v>snore</v>
      </c>
    </row>
    <row r="40621">
      <c r="A40621" s="1" t="s">
        <v>40620</v>
      </c>
      <c r="B40621" s="2" t="str">
        <f>IFERROR(__xludf.DUMMYFUNCTION("GOOGLETRANSLATE(A40621, ""de"", ""en"")"),"burglaries")</f>
        <v>burglaries</v>
      </c>
    </row>
    <row r="40622">
      <c r="A40622" s="1" t="s">
        <v>40621</v>
      </c>
      <c r="B40622" s="2" t="str">
        <f>IFERROR(__xludf.DUMMYFUNCTION("GOOGLETRANSLATE(A40622, ""de"", ""en"")"),"fatten")</f>
        <v>fatten</v>
      </c>
    </row>
    <row r="40623">
      <c r="A40623" s="1" t="s">
        <v>40622</v>
      </c>
      <c r="B40623" s="2" t="str">
        <f>IFERROR(__xludf.DUMMYFUNCTION("GOOGLETRANSLATE(A40623, ""de"", ""en"")"),"coddle")</f>
        <v>coddle</v>
      </c>
    </row>
    <row r="40624">
      <c r="A40624" s="1" t="s">
        <v>40623</v>
      </c>
      <c r="B40624" s="2" t="str">
        <f>IFERROR(__xludf.DUMMYFUNCTION("GOOGLETRANSLATE(A40624, ""de"", ""en"")"),"Thor")</f>
        <v>Thor</v>
      </c>
    </row>
    <row r="40625">
      <c r="A40625" s="1" t="s">
        <v>40624</v>
      </c>
      <c r="B40625" s="2" t="str">
        <f>IFERROR(__xludf.DUMMYFUNCTION("GOOGLETRANSLATE(A40625, ""de"", ""en"")"),"extraction")</f>
        <v>extraction</v>
      </c>
    </row>
    <row r="40626">
      <c r="A40626" s="1" t="s">
        <v>40625</v>
      </c>
      <c r="B40626" s="2" t="str">
        <f>IFERROR(__xludf.DUMMYFUNCTION("GOOGLETRANSLATE(A40626, ""de"", ""en"")"),"nationalists")</f>
        <v>nationalists</v>
      </c>
    </row>
    <row r="40627">
      <c r="A40627" s="1" t="s">
        <v>40626</v>
      </c>
      <c r="B40627" s="2" t="str">
        <f>IFERROR(__xludf.DUMMYFUNCTION("GOOGLETRANSLATE(A40627, ""de"", ""en"")"),"outbid")</f>
        <v>outbid</v>
      </c>
    </row>
    <row r="40628">
      <c r="A40628" s="1" t="s">
        <v>40627</v>
      </c>
      <c r="B40628" s="2" t="str">
        <f>IFERROR(__xludf.DUMMYFUNCTION("GOOGLETRANSLATE(A40628, ""de"", ""en"")"),"possessed")</f>
        <v>possessed</v>
      </c>
    </row>
    <row r="40629">
      <c r="A40629" s="1" t="s">
        <v>40628</v>
      </c>
      <c r="B40629" s="2" t="str">
        <f>IFERROR(__xludf.DUMMYFUNCTION("GOOGLETRANSLATE(A40629, ""de"", ""en"")"),"sounds")</f>
        <v>sounds</v>
      </c>
    </row>
    <row r="40630">
      <c r="A40630" s="1" t="s">
        <v>40629</v>
      </c>
      <c r="B40630" s="2" t="str">
        <f>IFERROR(__xludf.DUMMYFUNCTION("GOOGLETRANSLATE(A40630, ""de"", ""en"")"),"car wash")</f>
        <v>car wash</v>
      </c>
    </row>
    <row r="40631">
      <c r="A40631" s="1" t="s">
        <v>40630</v>
      </c>
      <c r="B40631" s="2" t="str">
        <f>IFERROR(__xludf.DUMMYFUNCTION("GOOGLETRANSLATE(A40631, ""de"", ""en"")"),"this year")</f>
        <v>this year</v>
      </c>
    </row>
    <row r="40632">
      <c r="A40632" s="1" t="s">
        <v>40631</v>
      </c>
      <c r="B40632" s="2" t="str">
        <f>IFERROR(__xludf.DUMMYFUNCTION("GOOGLETRANSLATE(A40632, ""de"", ""en"")"),"overrun")</f>
        <v>overrun</v>
      </c>
    </row>
    <row r="40633">
      <c r="A40633" s="1" t="s">
        <v>40632</v>
      </c>
      <c r="B40633" s="2" t="str">
        <f>IFERROR(__xludf.DUMMYFUNCTION("GOOGLETRANSLATE(A40633, ""de"", ""en"")"),"burner")</f>
        <v>burner</v>
      </c>
    </row>
    <row r="40634">
      <c r="A40634" s="1" t="s">
        <v>40633</v>
      </c>
      <c r="B40634" s="2" t="str">
        <f>IFERROR(__xludf.DUMMYFUNCTION("GOOGLETRANSLATE(A40634, ""de"", ""en"")"),"security measure")</f>
        <v>security measure</v>
      </c>
    </row>
    <row r="40635">
      <c r="A40635" s="1" t="s">
        <v>40634</v>
      </c>
      <c r="B40635" s="2" t="str">
        <f>IFERROR(__xludf.DUMMYFUNCTION("GOOGLETRANSLATE(A40635, ""de"", ""en"")"),"neurosurgeon")</f>
        <v>neurosurgeon</v>
      </c>
    </row>
    <row r="40636">
      <c r="A40636" s="1" t="s">
        <v>40635</v>
      </c>
      <c r="B40636" s="2" t="str">
        <f>IFERROR(__xludf.DUMMYFUNCTION("GOOGLETRANSLATE(A40636, ""de"", ""en"")"),"without notice")</f>
        <v>without notice</v>
      </c>
    </row>
    <row r="40637">
      <c r="A40637" s="1" t="s">
        <v>40636</v>
      </c>
      <c r="B40637" s="2" t="str">
        <f>IFERROR(__xludf.DUMMYFUNCTION("GOOGLETRANSLATE(A40637, ""de"", ""en"")"),"wyatts")</f>
        <v>wyatts</v>
      </c>
    </row>
    <row r="40638">
      <c r="A40638" s="1" t="s">
        <v>40637</v>
      </c>
      <c r="B40638" s="2" t="str">
        <f>IFERROR(__xludf.DUMMYFUNCTION("GOOGLETRANSLATE(A40638, ""de"", ""en"")"),"protectress")</f>
        <v>protectress</v>
      </c>
    </row>
    <row r="40639">
      <c r="A40639" s="1" t="s">
        <v>40638</v>
      </c>
      <c r="B40639" s="2" t="str">
        <f>IFERROR(__xludf.DUMMYFUNCTION("GOOGLETRANSLATE(A40639, ""de"", ""en"")"),"roller skates")</f>
        <v>roller skates</v>
      </c>
    </row>
    <row r="40640">
      <c r="A40640" s="1" t="s">
        <v>40639</v>
      </c>
      <c r="B40640" s="2" t="str">
        <f>IFERROR(__xludf.DUMMYFUNCTION("GOOGLETRANSLATE(A40640, ""de"", ""en"")"),"confused")</f>
        <v>confused</v>
      </c>
    </row>
    <row r="40641">
      <c r="A40641" s="1" t="s">
        <v>40640</v>
      </c>
      <c r="B40641" s="2" t="str">
        <f>IFERROR(__xludf.DUMMYFUNCTION("GOOGLETRANSLATE(A40641, ""de"", ""en"")"),"chatty")</f>
        <v>chatty</v>
      </c>
    </row>
    <row r="40642">
      <c r="A40642" s="1" t="s">
        <v>40641</v>
      </c>
      <c r="B40642" s="2" t="str">
        <f>IFERROR(__xludf.DUMMYFUNCTION("GOOGLETRANSLATE(A40642, ""de"", ""en"")"),"let it go")</f>
        <v>let it go</v>
      </c>
    </row>
    <row r="40643">
      <c r="A40643" s="1" t="s">
        <v>40642</v>
      </c>
      <c r="B40643" s="2" t="str">
        <f>IFERROR(__xludf.DUMMYFUNCTION("GOOGLETRANSLATE(A40643, ""de"", ""en"")"),"apricots")</f>
        <v>apricots</v>
      </c>
    </row>
    <row r="40644">
      <c r="A40644" s="1" t="s">
        <v>40643</v>
      </c>
      <c r="B40644" s="2" t="str">
        <f>IFERROR(__xludf.DUMMYFUNCTION("GOOGLETRANSLATE(A40644, ""de"", ""en"")"),"malware")</f>
        <v>malware</v>
      </c>
    </row>
    <row r="40645">
      <c r="A40645" s="1" t="s">
        <v>40644</v>
      </c>
      <c r="B40645" s="2" t="str">
        <f>IFERROR(__xludf.DUMMYFUNCTION("GOOGLETRANSLATE(A40645, ""de"", ""en"")"),"Pashto")</f>
        <v>Pashto</v>
      </c>
    </row>
    <row r="40646">
      <c r="A40646" s="1" t="s">
        <v>40645</v>
      </c>
      <c r="B40646" s="2" t="str">
        <f>IFERROR(__xludf.DUMMYFUNCTION("GOOGLETRANSLATE(A40646, ""de"", ""en"")"),"badass")</f>
        <v>badass</v>
      </c>
    </row>
    <row r="40647">
      <c r="A40647" s="1" t="s">
        <v>40646</v>
      </c>
      <c r="B40647" s="2" t="str">
        <f>IFERROR(__xludf.DUMMYFUNCTION("GOOGLETRANSLATE(A40647, ""de"", ""en"")"),"hrafn")</f>
        <v>hrafn</v>
      </c>
    </row>
    <row r="40648">
      <c r="A40648" s="1" t="s">
        <v>40647</v>
      </c>
      <c r="B40648" s="2" t="str">
        <f>IFERROR(__xludf.DUMMYFUNCTION("GOOGLETRANSLATE(A40648, ""de"", ""en"")"),"dearest")</f>
        <v>dearest</v>
      </c>
    </row>
    <row r="40649">
      <c r="A40649" s="1" t="s">
        <v>40648</v>
      </c>
      <c r="B40649" s="2" t="str">
        <f>IFERROR(__xludf.DUMMYFUNCTION("GOOGLETRANSLATE(A40649, ""de"", ""en"")"),"fan")</f>
        <v>fan</v>
      </c>
    </row>
    <row r="40650">
      <c r="A40650" s="1" t="s">
        <v>40649</v>
      </c>
      <c r="B40650" s="2" t="str">
        <f>IFERROR(__xludf.DUMMYFUNCTION("GOOGLETRANSLATE(A40650, ""de"", ""en"")"),"wounded")</f>
        <v>wounded</v>
      </c>
    </row>
    <row r="40651">
      <c r="A40651" s="1" t="s">
        <v>40650</v>
      </c>
      <c r="B40651" s="2" t="str">
        <f>IFERROR(__xludf.DUMMYFUNCTION("GOOGLETRANSLATE(A40651, ""de"", ""en"")"),"arlen")</f>
        <v>arlen</v>
      </c>
    </row>
    <row r="40652">
      <c r="A40652" s="1" t="s">
        <v>40651</v>
      </c>
      <c r="B40652" s="2" t="str">
        <f>IFERROR(__xludf.DUMMYFUNCTION("GOOGLETRANSLATE(A40652, ""de"", ""en"")"),"gleefully")</f>
        <v>gleefully</v>
      </c>
    </row>
    <row r="40653">
      <c r="A40653" s="1" t="s">
        <v>40652</v>
      </c>
      <c r="B40653" s="2" t="str">
        <f>IFERROR(__xludf.DUMMYFUNCTION("GOOGLETRANSLATE(A40653, ""de"", ""en"")"),"salmon")</f>
        <v>salmon</v>
      </c>
    </row>
    <row r="40654">
      <c r="A40654" s="1" t="s">
        <v>40653</v>
      </c>
      <c r="B40654" s="2" t="str">
        <f>IFERROR(__xludf.DUMMYFUNCTION("GOOGLETRANSLATE(A40654, ""de"", ""en"")"),"to advance")</f>
        <v>to advance</v>
      </c>
    </row>
    <row r="40655">
      <c r="A40655" s="1" t="s">
        <v>40654</v>
      </c>
      <c r="B40655" s="2" t="str">
        <f>IFERROR(__xludf.DUMMYFUNCTION("GOOGLETRANSLATE(A40655, ""de"", ""en"")"),"fallen one")</f>
        <v>fallen one</v>
      </c>
    </row>
    <row r="40656">
      <c r="A40656" s="1" t="s">
        <v>40655</v>
      </c>
      <c r="B40656" s="2" t="str">
        <f>IFERROR(__xludf.DUMMYFUNCTION("GOOGLETRANSLATE(A40656, ""de"", ""en"")"),"to find")</f>
        <v>to find</v>
      </c>
    </row>
    <row r="40657">
      <c r="A40657" s="1" t="s">
        <v>40656</v>
      </c>
      <c r="B40657" s="2" t="str">
        <f>IFERROR(__xludf.DUMMYFUNCTION("GOOGLETRANSLATE(A40657, ""de"", ""en"")"),"pretended")</f>
        <v>pretended</v>
      </c>
    </row>
    <row r="40658">
      <c r="A40658" s="1" t="s">
        <v>40657</v>
      </c>
      <c r="B40658" s="2" t="str">
        <f>IFERROR(__xludf.DUMMYFUNCTION("GOOGLETRANSLATE(A40658, ""de"", ""en"")"),"hung")</f>
        <v>hung</v>
      </c>
    </row>
    <row r="40659">
      <c r="A40659" s="1" t="s">
        <v>40658</v>
      </c>
      <c r="B40659" s="2" t="str">
        <f>IFERROR(__xludf.DUMMYFUNCTION("GOOGLETRANSLATE(A40659, ""de"", ""en"")"),"fabulous")</f>
        <v>fabulous</v>
      </c>
    </row>
    <row r="40660">
      <c r="A40660" s="1" t="s">
        <v>40659</v>
      </c>
      <c r="B40660" s="2" t="str">
        <f>IFERROR(__xludf.DUMMYFUNCTION("GOOGLETRANSLATE(A40660, ""de"", ""en"")"),"add")</f>
        <v>add</v>
      </c>
    </row>
    <row r="40661">
      <c r="A40661" s="1" t="s">
        <v>40660</v>
      </c>
      <c r="B40661" s="2" t="str">
        <f>IFERROR(__xludf.DUMMYFUNCTION("GOOGLETRANSLATE(A40661, ""de"", ""en"")"),"paper")</f>
        <v>paper</v>
      </c>
    </row>
    <row r="40662">
      <c r="A40662" s="1" t="s">
        <v>40661</v>
      </c>
      <c r="B40662" s="2" t="str">
        <f>IFERROR(__xludf.DUMMYFUNCTION("GOOGLETRANSLATE(A40662, ""de"", ""en"")"),"x times")</f>
        <v>x times</v>
      </c>
    </row>
    <row r="40663">
      <c r="A40663" s="1" t="s">
        <v>40662</v>
      </c>
      <c r="B40663" s="2" t="str">
        <f>IFERROR(__xludf.DUMMYFUNCTION("GOOGLETRANSLATE(A40663, ""de"", ""en"")"),"idle")</f>
        <v>idle</v>
      </c>
    </row>
    <row r="40664">
      <c r="A40664" s="1" t="s">
        <v>40663</v>
      </c>
      <c r="B40664" s="2" t="str">
        <f>IFERROR(__xludf.DUMMYFUNCTION("GOOGLETRANSLATE(A40664, ""de"", ""en"")"),"junker")</f>
        <v>junker</v>
      </c>
    </row>
    <row r="40665">
      <c r="A40665" s="1" t="s">
        <v>40664</v>
      </c>
      <c r="B40665" s="2" t="str">
        <f>IFERROR(__xludf.DUMMYFUNCTION("GOOGLETRANSLATE(A40665, ""de"", ""en"")"),"stalked")</f>
        <v>stalked</v>
      </c>
    </row>
    <row r="40666">
      <c r="A40666" s="1" t="s">
        <v>40665</v>
      </c>
      <c r="B40666" s="2" t="str">
        <f>IFERROR(__xludf.DUMMYFUNCTION("GOOGLETRANSLATE(A40666, ""de"", ""en"")"),"lionheart")</f>
        <v>lionheart</v>
      </c>
    </row>
    <row r="40667">
      <c r="A40667" s="1" t="s">
        <v>40666</v>
      </c>
      <c r="B40667" s="2" t="str">
        <f>IFERROR(__xludf.DUMMYFUNCTION("GOOGLETRANSLATE(A40667, ""de"", ""en"")"),"clatters")</f>
        <v>clatters</v>
      </c>
    </row>
    <row r="40668">
      <c r="A40668" s="1" t="s">
        <v>40667</v>
      </c>
      <c r="B40668" s="2" t="str">
        <f>IFERROR(__xludf.DUMMYFUNCTION("GOOGLETRANSLATE(A40668, ""de"", ""en"")"),"apparatus")</f>
        <v>apparatus</v>
      </c>
    </row>
    <row r="40669">
      <c r="A40669" s="1" t="s">
        <v>40668</v>
      </c>
      <c r="B40669" s="2" t="str">
        <f>IFERROR(__xludf.DUMMYFUNCTION("GOOGLETRANSLATE(A40669, ""de"", ""en"")"),"references")</f>
        <v>references</v>
      </c>
    </row>
    <row r="40670">
      <c r="A40670" s="1" t="s">
        <v>40669</v>
      </c>
      <c r="B40670" s="2" t="str">
        <f>IFERROR(__xludf.DUMMYFUNCTION("GOOGLETRANSLATE(A40670, ""de"", ""en"")"),"vanilla")</f>
        <v>vanilla</v>
      </c>
    </row>
    <row r="40671">
      <c r="A40671" s="1" t="s">
        <v>40670</v>
      </c>
      <c r="B40671" s="2" t="str">
        <f>IFERROR(__xludf.DUMMYFUNCTION("GOOGLETRANSLATE(A40671, ""de"", ""en"")"),"television")</f>
        <v>television</v>
      </c>
    </row>
    <row r="40672">
      <c r="A40672" s="1" t="s">
        <v>40671</v>
      </c>
      <c r="B40672" s="2" t="str">
        <f>IFERROR(__xludf.DUMMYFUNCTION("GOOGLETRANSLATE(A40672, ""de"", ""en"")"),"expected")</f>
        <v>expected</v>
      </c>
    </row>
    <row r="40673">
      <c r="A40673" s="1" t="s">
        <v>40672</v>
      </c>
      <c r="B40673" s="2" t="str">
        <f>IFERROR(__xludf.DUMMYFUNCTION("GOOGLETRANSLATE(A40673, ""de"", ""en"")"),"nixie")</f>
        <v>nixie</v>
      </c>
    </row>
    <row r="40674">
      <c r="A40674" s="1" t="s">
        <v>40673</v>
      </c>
      <c r="B40674" s="2" t="str">
        <f>IFERROR(__xludf.DUMMYFUNCTION("GOOGLETRANSLATE(A40674, ""de"", ""en"")"),"come in")</f>
        <v>come in</v>
      </c>
    </row>
    <row r="40675">
      <c r="A40675" s="1" t="s">
        <v>40674</v>
      </c>
      <c r="B40675" s="2" t="str">
        <f>IFERROR(__xludf.DUMMYFUNCTION("GOOGLETRANSLATE(A40675, ""de"", ""en"")"),"boucher")</f>
        <v>boucher</v>
      </c>
    </row>
    <row r="40676">
      <c r="A40676" s="1" t="s">
        <v>40675</v>
      </c>
      <c r="B40676" s="2" t="str">
        <f>IFERROR(__xludf.DUMMYFUNCTION("GOOGLETRANSLATE(A40676, ""de"", ""en"")"),"Shih")</f>
        <v>Shih</v>
      </c>
    </row>
    <row r="40677">
      <c r="A40677" s="1" t="s">
        <v>40676</v>
      </c>
      <c r="B40677" s="2" t="str">
        <f>IFERROR(__xludf.DUMMYFUNCTION("GOOGLETRANSLATE(A40677, ""de"", ""en"")"),"double agents")</f>
        <v>double agents</v>
      </c>
    </row>
    <row r="40678">
      <c r="A40678" s="1" t="s">
        <v>40677</v>
      </c>
      <c r="B40678" s="2" t="str">
        <f>IFERROR(__xludf.DUMMYFUNCTION("GOOGLETRANSLATE(A40678, ""de"", ""en"")"),"consumption")</f>
        <v>consumption</v>
      </c>
    </row>
    <row r="40679">
      <c r="A40679" s="1" t="s">
        <v>40678</v>
      </c>
      <c r="B40679" s="2" t="str">
        <f>IFERROR(__xludf.DUMMYFUNCTION("GOOGLETRANSLATE(A40679, ""de"", ""en"")"),"cup")</f>
        <v>cup</v>
      </c>
    </row>
    <row r="40680">
      <c r="A40680" s="1" t="s">
        <v>40679</v>
      </c>
      <c r="B40680" s="2" t="str">
        <f>IFERROR(__xludf.DUMMYFUNCTION("GOOGLETRANSLATE(A40680, ""de"", ""en"")"),"burn up")</f>
        <v>burn up</v>
      </c>
    </row>
    <row r="40681">
      <c r="A40681" s="1" t="s">
        <v>40680</v>
      </c>
      <c r="B40681" s="2" t="str">
        <f>IFERROR(__xludf.DUMMYFUNCTION("GOOGLETRANSLATE(A40681, ""de"", ""en"")"),"strike")</f>
        <v>strike</v>
      </c>
    </row>
    <row r="40682">
      <c r="A40682" s="1" t="s">
        <v>40681</v>
      </c>
      <c r="B40682" s="2" t="str">
        <f>IFERROR(__xludf.DUMMYFUNCTION("GOOGLETRANSLATE(A40682, ""de"", ""en"")"),"curves")</f>
        <v>curves</v>
      </c>
    </row>
    <row r="40683">
      <c r="A40683" s="1" t="s">
        <v>40682</v>
      </c>
      <c r="B40683" s="2" t="str">
        <f>IFERROR(__xludf.DUMMYFUNCTION("GOOGLETRANSLATE(A40683, ""de"", ""en"")"),"ramble")</f>
        <v>ramble</v>
      </c>
    </row>
    <row r="40684">
      <c r="A40684" s="1" t="s">
        <v>40683</v>
      </c>
      <c r="B40684" s="2" t="str">
        <f>IFERROR(__xludf.DUMMYFUNCTION("GOOGLETRANSLATE(A40684, ""de"", ""en"")"),"dilated")</f>
        <v>dilated</v>
      </c>
    </row>
    <row r="40685">
      <c r="A40685" s="1" t="s">
        <v>40684</v>
      </c>
      <c r="B40685" s="2" t="str">
        <f>IFERROR(__xludf.DUMMYFUNCTION("GOOGLETRANSLATE(A40685, ""de"", ""en"")"),"torsten")</f>
        <v>torsten</v>
      </c>
    </row>
    <row r="40686">
      <c r="A40686" s="1" t="s">
        <v>40685</v>
      </c>
      <c r="B40686" s="2" t="str">
        <f>IFERROR(__xludf.DUMMYFUNCTION("GOOGLETRANSLATE(A40686, ""de"", ""en"")"),"ria")</f>
        <v>ria</v>
      </c>
    </row>
    <row r="40687">
      <c r="A40687" s="1" t="s">
        <v>40686</v>
      </c>
      <c r="B40687" s="2" t="str">
        <f>IFERROR(__xludf.DUMMYFUNCTION("GOOGLETRANSLATE(A40687, ""de"", ""en"")"),"childhood memories")</f>
        <v>childhood memories</v>
      </c>
    </row>
    <row r="40688">
      <c r="A40688" s="1" t="s">
        <v>40687</v>
      </c>
      <c r="B40688" s="2" t="str">
        <f>IFERROR(__xludf.DUMMYFUNCTION("GOOGLETRANSLATE(A40688, ""de"", ""en"")"),"water skiing")</f>
        <v>water skiing</v>
      </c>
    </row>
    <row r="40689">
      <c r="A40689" s="1" t="s">
        <v>40688</v>
      </c>
      <c r="B40689" s="2" t="str">
        <f>IFERROR(__xludf.DUMMYFUNCTION("GOOGLETRANSLATE(A40689, ""de"", ""en"")"),"convenio")</f>
        <v>convenio</v>
      </c>
    </row>
    <row r="40690">
      <c r="A40690" s="1" t="s">
        <v>40689</v>
      </c>
      <c r="B40690" s="2" t="str">
        <f>IFERROR(__xludf.DUMMYFUNCTION("GOOGLETRANSLATE(A40690, ""de"", ""en"")"),"soiree")</f>
        <v>soiree</v>
      </c>
    </row>
    <row r="40691">
      <c r="A40691" s="1" t="s">
        <v>40690</v>
      </c>
      <c r="B40691" s="2" t="str">
        <f>IFERROR(__xludf.DUMMYFUNCTION("GOOGLETRANSLATE(A40691, ""de"", ""en"")"),"drugstore")</f>
        <v>drugstore</v>
      </c>
    </row>
    <row r="40692">
      <c r="A40692" s="1" t="s">
        <v>40691</v>
      </c>
      <c r="B40692" s="2" t="str">
        <f>IFERROR(__xludf.DUMMYFUNCTION("GOOGLETRANSLATE(A40692, ""de"", ""en"")"),"pilgrimage")</f>
        <v>pilgrimage</v>
      </c>
    </row>
    <row r="40693">
      <c r="A40693" s="1" t="s">
        <v>40692</v>
      </c>
      <c r="B40693" s="2" t="str">
        <f>IFERROR(__xludf.DUMMYFUNCTION("GOOGLETRANSLATE(A40693, ""de"", ""en"")"),"flight control")</f>
        <v>flight control</v>
      </c>
    </row>
    <row r="40694">
      <c r="A40694" s="1" t="s">
        <v>40693</v>
      </c>
      <c r="B40694" s="2" t="str">
        <f>IFERROR(__xludf.DUMMYFUNCTION("GOOGLETRANSLATE(A40694, ""de"", ""en"")"),"to prepare")</f>
        <v>to prepare</v>
      </c>
    </row>
    <row r="40695">
      <c r="A40695" s="1" t="s">
        <v>40694</v>
      </c>
      <c r="B40695" s="2" t="str">
        <f>IFERROR(__xludf.DUMMYFUNCTION("GOOGLETRANSLATE(A40695, ""de"", ""en"")"),"traumatic")</f>
        <v>traumatic</v>
      </c>
    </row>
    <row r="40696">
      <c r="A40696" s="1" t="s">
        <v>40695</v>
      </c>
      <c r="B40696" s="2" t="str">
        <f>IFERROR(__xludf.DUMMYFUNCTION("GOOGLETRANSLATE(A40696, ""de"", ""en"")"),"consolidated")</f>
        <v>consolidated</v>
      </c>
    </row>
    <row r="40697">
      <c r="A40697" s="1" t="s">
        <v>40696</v>
      </c>
      <c r="B40697" s="2" t="str">
        <f>IFERROR(__xludf.DUMMYFUNCTION("GOOGLETRANSLATE(A40697, ""de"", ""en"")"),"men's evening")</f>
        <v>men's evening</v>
      </c>
    </row>
    <row r="40698">
      <c r="A40698" s="1" t="s">
        <v>40697</v>
      </c>
      <c r="B40698" s="2" t="str">
        <f>IFERROR(__xludf.DUMMYFUNCTION("GOOGLETRANSLATE(A40698, ""de"", ""en"")"),"protect")</f>
        <v>protect</v>
      </c>
    </row>
    <row r="40699">
      <c r="A40699" s="1" t="s">
        <v>40698</v>
      </c>
      <c r="B40699" s="2" t="str">
        <f>IFERROR(__xludf.DUMMYFUNCTION("GOOGLETRANSLATE(A40699, ""de"", ""en"")"),"tweaks")</f>
        <v>tweaks</v>
      </c>
    </row>
    <row r="40700">
      <c r="A40700" s="1" t="s">
        <v>40699</v>
      </c>
      <c r="B40700" s="2" t="str">
        <f>IFERROR(__xludf.DUMMYFUNCTION("GOOGLETRANSLATE(A40700, ""de"", ""en"")"),"suicide bomber")</f>
        <v>suicide bomber</v>
      </c>
    </row>
    <row r="40701">
      <c r="A40701" s="1" t="s">
        <v>40700</v>
      </c>
      <c r="B40701" s="2" t="str">
        <f>IFERROR(__xludf.DUMMYFUNCTION("GOOGLETRANSLATE(A40701, ""de"", ""en"")"),"court")</f>
        <v>court</v>
      </c>
    </row>
    <row r="40702">
      <c r="A40702" s="1" t="s">
        <v>40701</v>
      </c>
      <c r="B40702" s="2" t="str">
        <f>IFERROR(__xludf.DUMMYFUNCTION("GOOGLETRANSLATE(A40702, ""de"", ""en"")"),"more adorable")</f>
        <v>more adorable</v>
      </c>
    </row>
    <row r="40703">
      <c r="A40703" s="1" t="s">
        <v>40702</v>
      </c>
      <c r="B40703" s="2" t="str">
        <f>IFERROR(__xludf.DUMMYFUNCTION("GOOGLETRANSLATE(A40703, ""de"", ""en"")"),"henk")</f>
        <v>henk</v>
      </c>
    </row>
    <row r="40704">
      <c r="A40704" s="1" t="s">
        <v>40703</v>
      </c>
      <c r="B40704" s="2" t="str">
        <f>IFERROR(__xludf.DUMMYFUNCTION("GOOGLETRANSLATE(A40704, ""de"", ""en"")"),"Nobel Prize winner")</f>
        <v>Nobel Prize winner</v>
      </c>
    </row>
    <row r="40705">
      <c r="A40705" s="1" t="s">
        <v>40704</v>
      </c>
      <c r="B40705" s="2" t="str">
        <f>IFERROR(__xludf.DUMMYFUNCTION("GOOGLETRANSLATE(A40705, ""de"", ""en"")"),"magna")</f>
        <v>magna</v>
      </c>
    </row>
    <row r="40706">
      <c r="A40706" s="1" t="s">
        <v>40705</v>
      </c>
      <c r="B40706" s="2" t="str">
        <f>IFERROR(__xludf.DUMMYFUNCTION("GOOGLETRANSLATE(A40706, ""de"", ""en"")"),"Karls")</f>
        <v>Karls</v>
      </c>
    </row>
    <row r="40707">
      <c r="A40707" s="1" t="s">
        <v>40706</v>
      </c>
      <c r="B40707" s="2" t="str">
        <f>IFERROR(__xludf.DUMMYFUNCTION("GOOGLETRANSLATE(A40707, ""de"", ""en"")"),"colossus")</f>
        <v>colossus</v>
      </c>
    </row>
    <row r="40708">
      <c r="A40708" s="1" t="s">
        <v>40707</v>
      </c>
      <c r="B40708" s="2" t="str">
        <f>IFERROR(__xludf.DUMMYFUNCTION("GOOGLETRANSLATE(A40708, ""de"", ""en"")"),"dance lessons")</f>
        <v>dance lessons</v>
      </c>
    </row>
    <row r="40709">
      <c r="A40709" s="1" t="s">
        <v>40708</v>
      </c>
      <c r="B40709" s="2" t="str">
        <f>IFERROR(__xludf.DUMMYFUNCTION("GOOGLETRANSLATE(A40709, ""de"", ""en"")"),"appealing")</f>
        <v>appealing</v>
      </c>
    </row>
    <row r="40710">
      <c r="A40710" s="1" t="s">
        <v>40709</v>
      </c>
      <c r="B40710" s="2" t="str">
        <f>IFERROR(__xludf.DUMMYFUNCTION("GOOGLETRANSLATE(A40710, ""de"", ""en"")"),"pictured")</f>
        <v>pictured</v>
      </c>
    </row>
    <row r="40711">
      <c r="A40711" s="1" t="s">
        <v>40710</v>
      </c>
      <c r="B40711" s="2" t="str">
        <f>IFERROR(__xludf.DUMMYFUNCTION("GOOGLETRANSLATE(A40711, ""de"", ""en"")"),"dolphins")</f>
        <v>dolphins</v>
      </c>
    </row>
    <row r="40712">
      <c r="A40712" s="1" t="s">
        <v>40711</v>
      </c>
      <c r="B40712" s="2" t="str">
        <f>IFERROR(__xludf.DUMMYFUNCTION("GOOGLETRANSLATE(A40712, ""de"", ""en"")"),"dchen")</f>
        <v>dchen</v>
      </c>
    </row>
    <row r="40713">
      <c r="A40713" s="1" t="s">
        <v>40712</v>
      </c>
      <c r="B40713" s="2" t="str">
        <f>IFERROR(__xludf.DUMMYFUNCTION("GOOGLETRANSLATE(A40713, ""de"", ""en"")"),"deceive you")</f>
        <v>deceive you</v>
      </c>
    </row>
    <row r="40714">
      <c r="A40714" s="1" t="s">
        <v>40713</v>
      </c>
      <c r="B40714" s="2" t="str">
        <f>IFERROR(__xludf.DUMMYFUNCTION("GOOGLETRANSLATE(A40714, ""de"", ""en"")"),"picks")</f>
        <v>picks</v>
      </c>
    </row>
    <row r="40715">
      <c r="A40715" s="1" t="s">
        <v>40714</v>
      </c>
      <c r="B40715" s="2" t="str">
        <f>IFERROR(__xludf.DUMMYFUNCTION("GOOGLETRANSLATE(A40715, ""de"", ""en"")"),"hang around")</f>
        <v>hang around</v>
      </c>
    </row>
    <row r="40716">
      <c r="A40716" s="1" t="s">
        <v>40715</v>
      </c>
      <c r="B40716" s="2" t="str">
        <f>IFERROR(__xludf.DUMMYFUNCTION("GOOGLETRANSLATE(A40716, ""de"", ""en"")"),"sideline")</f>
        <v>sideline</v>
      </c>
    </row>
    <row r="40717">
      <c r="A40717" s="1" t="s">
        <v>40716</v>
      </c>
      <c r="B40717" s="2" t="str">
        <f>IFERROR(__xludf.DUMMYFUNCTION("GOOGLETRANSLATE(A40717, ""de"", ""en"")"),"falafel")</f>
        <v>falafel</v>
      </c>
    </row>
    <row r="40718">
      <c r="A40718" s="1" t="s">
        <v>40717</v>
      </c>
      <c r="B40718" s="2" t="str">
        <f>IFERROR(__xludf.DUMMYFUNCTION("GOOGLETRANSLATE(A40718, ""de"", ""en"")"),"wealth")</f>
        <v>wealth</v>
      </c>
    </row>
    <row r="40719">
      <c r="A40719" s="1" t="s">
        <v>40718</v>
      </c>
      <c r="B40719" s="2" t="str">
        <f>IFERROR(__xludf.DUMMYFUNCTION("GOOGLETRANSLATE(A40719, ""de"", ""en"")"),"beaver head")</f>
        <v>beaver head</v>
      </c>
    </row>
    <row r="40720">
      <c r="A40720" s="1" t="s">
        <v>40719</v>
      </c>
      <c r="B40720" s="2" t="str">
        <f>IFERROR(__xludf.DUMMYFUNCTION("GOOGLETRANSLATE(A40720, ""de"", ""en"")"),"mud")</f>
        <v>mud</v>
      </c>
    </row>
    <row r="40721">
      <c r="A40721" s="1" t="s">
        <v>40720</v>
      </c>
      <c r="B40721" s="2" t="str">
        <f>IFERROR(__xludf.DUMMYFUNCTION("GOOGLETRANSLATE(A40721, ""de"", ""en"")"),"made up")</f>
        <v>made up</v>
      </c>
    </row>
    <row r="40722">
      <c r="A40722" s="1" t="s">
        <v>40721</v>
      </c>
      <c r="B40722" s="2" t="str">
        <f>IFERROR(__xludf.DUMMYFUNCTION("GOOGLETRANSLATE(A40722, ""de"", ""en"")"),"vipers")</f>
        <v>vipers</v>
      </c>
    </row>
    <row r="40723">
      <c r="A40723" s="1" t="s">
        <v>40722</v>
      </c>
      <c r="B40723" s="2" t="str">
        <f>IFERROR(__xludf.DUMMYFUNCTION("GOOGLETRANSLATE(A40723, ""de"", ""en"")"),"halliday")</f>
        <v>halliday</v>
      </c>
    </row>
    <row r="40724">
      <c r="A40724" s="1" t="s">
        <v>40723</v>
      </c>
      <c r="B40724" s="2" t="str">
        <f>IFERROR(__xludf.DUMMYFUNCTION("GOOGLETRANSLATE(A40724, ""de"", ""en"")"),"talk shows")</f>
        <v>talk shows</v>
      </c>
    </row>
    <row r="40725">
      <c r="A40725" s="1" t="s">
        <v>40724</v>
      </c>
      <c r="B40725" s="2" t="str">
        <f>IFERROR(__xludf.DUMMYFUNCTION("GOOGLETRANSLATE(A40725, ""de"", ""en"")"),"expanded")</f>
        <v>expanded</v>
      </c>
    </row>
    <row r="40726">
      <c r="A40726" s="1" t="s">
        <v>40725</v>
      </c>
      <c r="B40726" s="2" t="str">
        <f>IFERROR(__xludf.DUMMYFUNCTION("GOOGLETRANSLATE(A40726, ""de"", ""en"")"),"lagos")</f>
        <v>lagos</v>
      </c>
    </row>
    <row r="40727">
      <c r="A40727" s="1" t="s">
        <v>40726</v>
      </c>
      <c r="B40727" s="2" t="str">
        <f>IFERROR(__xludf.DUMMYFUNCTION("GOOGLETRANSLATE(A40727, ""de"", ""en"")"),"Mandalore")</f>
        <v>Mandalore</v>
      </c>
    </row>
    <row r="40728">
      <c r="A40728" s="1" t="s">
        <v>40727</v>
      </c>
      <c r="B40728" s="2" t="str">
        <f>IFERROR(__xludf.DUMMYFUNCTION("GOOGLETRANSLATE(A40728, ""de"", ""en"")"),"nativity play")</f>
        <v>nativity play</v>
      </c>
    </row>
    <row r="40729">
      <c r="A40729" s="1" t="s">
        <v>40728</v>
      </c>
      <c r="B40729" s="2" t="str">
        <f>IFERROR(__xludf.DUMMYFUNCTION("GOOGLETRANSLATE(A40729, ""de"", ""en"")"),"more enchanting")</f>
        <v>more enchanting</v>
      </c>
    </row>
    <row r="40730">
      <c r="A40730" s="1" t="s">
        <v>40729</v>
      </c>
      <c r="B40730" s="2" t="str">
        <f>IFERROR(__xludf.DUMMYFUNCTION("GOOGLETRANSLATE(A40730, ""de"", ""en"")"),"villefort")</f>
        <v>villefort</v>
      </c>
    </row>
    <row r="40731">
      <c r="A40731" s="1" t="s">
        <v>40730</v>
      </c>
      <c r="B40731" s="2" t="str">
        <f>IFERROR(__xludf.DUMMYFUNCTION("GOOGLETRANSLATE(A40731, ""de"", ""en"")"),"lose")</f>
        <v>lose</v>
      </c>
    </row>
    <row r="40732">
      <c r="A40732" s="1" t="s">
        <v>40731</v>
      </c>
      <c r="B40732" s="2" t="str">
        <f>IFERROR(__xludf.DUMMYFUNCTION("GOOGLETRANSLATE(A40732, ""de"", ""en"")"),"laboratory values")</f>
        <v>laboratory values</v>
      </c>
    </row>
    <row r="40733">
      <c r="A40733" s="1" t="s">
        <v>40732</v>
      </c>
      <c r="B40733" s="2" t="str">
        <f>IFERROR(__xludf.DUMMYFUNCTION("GOOGLETRANSLATE(A40733, ""de"", ""en"")"),"holding hands")</f>
        <v>holding hands</v>
      </c>
    </row>
    <row r="40734">
      <c r="A40734" s="1" t="s">
        <v>40733</v>
      </c>
      <c r="B40734" s="2" t="str">
        <f>IFERROR(__xludf.DUMMYFUNCTION("GOOGLETRANSLATE(A40734, ""de"", ""en"")"),"sophisticated")</f>
        <v>sophisticated</v>
      </c>
    </row>
    <row r="40735">
      <c r="A40735" s="1" t="s">
        <v>40734</v>
      </c>
      <c r="B40735" s="2" t="str">
        <f>IFERROR(__xludf.DUMMYFUNCTION("GOOGLETRANSLATE(A40735, ""de"", ""en"")"),"well liked")</f>
        <v>well liked</v>
      </c>
    </row>
    <row r="40736">
      <c r="A40736" s="1" t="s">
        <v>40735</v>
      </c>
      <c r="B40736" s="2" t="str">
        <f>IFERROR(__xludf.DUMMYFUNCTION("GOOGLETRANSLATE(A40736, ""de"", ""en"")"),"iron out")</f>
        <v>iron out</v>
      </c>
    </row>
    <row r="40737">
      <c r="A40737" s="1" t="s">
        <v>40736</v>
      </c>
      <c r="B40737" s="2" t="str">
        <f>IFERROR(__xludf.DUMMYFUNCTION("GOOGLETRANSLATE(A40737, ""de"", ""en"")"),"multiplied")</f>
        <v>multiplied</v>
      </c>
    </row>
    <row r="40738">
      <c r="A40738" s="1" t="s">
        <v>40737</v>
      </c>
      <c r="B40738" s="2" t="str">
        <f>IFERROR(__xludf.DUMMYFUNCTION("GOOGLETRANSLATE(A40738, ""de"", ""en"")"),"Susan")</f>
        <v>Susan</v>
      </c>
    </row>
    <row r="40739">
      <c r="A40739" s="1" t="s">
        <v>40738</v>
      </c>
      <c r="B40739" s="2" t="str">
        <f>IFERROR(__xludf.DUMMYFUNCTION("GOOGLETRANSLATE(A40739, ""de"", ""en"")"),"bloch")</f>
        <v>bloch</v>
      </c>
    </row>
    <row r="40740">
      <c r="A40740" s="1" t="s">
        <v>40739</v>
      </c>
      <c r="B40740" s="2" t="str">
        <f>IFERROR(__xludf.DUMMYFUNCTION("GOOGLETRANSLATE(A40740, ""de"", ""en"")"),"warrior")</f>
        <v>warrior</v>
      </c>
    </row>
    <row r="40741">
      <c r="A40741" s="1" t="s">
        <v>40740</v>
      </c>
      <c r="B40741" s="2" t="str">
        <f>IFERROR(__xludf.DUMMYFUNCTION("GOOGLETRANSLATE(A40741, ""de"", ""en"")"),"incredulous")</f>
        <v>incredulous</v>
      </c>
    </row>
    <row r="40742">
      <c r="A40742" s="1" t="s">
        <v>40741</v>
      </c>
      <c r="B40742" s="2" t="str">
        <f>IFERROR(__xludf.DUMMYFUNCTION("GOOGLETRANSLATE(A40742, ""de"", ""en"")"),"means of transport")</f>
        <v>means of transport</v>
      </c>
    </row>
    <row r="40743">
      <c r="A40743" s="1" t="s">
        <v>40742</v>
      </c>
      <c r="B40743" s="2" t="str">
        <f>IFERROR(__xludf.DUMMYFUNCTION("GOOGLETRANSLATE(A40743, ""de"", ""en"")"),"heavenly lord")</f>
        <v>heavenly lord</v>
      </c>
    </row>
    <row r="40744">
      <c r="A40744" s="1" t="s">
        <v>40743</v>
      </c>
      <c r="B40744" s="2" t="str">
        <f>IFERROR(__xludf.DUMMYFUNCTION("GOOGLETRANSLATE(A40744, ""de"", ""en"")"),"peacefully")</f>
        <v>peacefully</v>
      </c>
    </row>
    <row r="40745">
      <c r="A40745" s="1" t="s">
        <v>40744</v>
      </c>
      <c r="B40745" s="2" t="str">
        <f>IFERROR(__xludf.DUMMYFUNCTION("GOOGLETRANSLATE(A40745, ""de"", ""en"")"),"freeze to death")</f>
        <v>freeze to death</v>
      </c>
    </row>
    <row r="40746">
      <c r="A40746" s="1" t="s">
        <v>40745</v>
      </c>
      <c r="B40746" s="2" t="str">
        <f>IFERROR(__xludf.DUMMYFUNCTION("GOOGLETRANSLATE(A40746, ""de"", ""en"")"),"streaks")</f>
        <v>streaks</v>
      </c>
    </row>
    <row r="40747">
      <c r="A40747" s="1" t="s">
        <v>40746</v>
      </c>
      <c r="B40747" s="2" t="str">
        <f>IFERROR(__xludf.DUMMYFUNCTION("GOOGLETRANSLATE(A40747, ""de"", ""en"")"),"tighten")</f>
        <v>tighten</v>
      </c>
    </row>
    <row r="40748">
      <c r="A40748" s="1" t="s">
        <v>40747</v>
      </c>
      <c r="B40748" s="2" t="str">
        <f>IFERROR(__xludf.DUMMYFUNCTION("GOOGLETRANSLATE(A40748, ""de"", ""en"")"),"explode")</f>
        <v>explode</v>
      </c>
    </row>
    <row r="40749">
      <c r="A40749" s="1" t="s">
        <v>40748</v>
      </c>
      <c r="B40749" s="2" t="str">
        <f>IFERROR(__xludf.DUMMYFUNCTION("GOOGLETRANSLATE(A40749, ""de"", ""en"")"),"shocks")</f>
        <v>shocks</v>
      </c>
    </row>
    <row r="40750">
      <c r="A40750" s="1" t="s">
        <v>40749</v>
      </c>
      <c r="B40750" s="2" t="str">
        <f>IFERROR(__xludf.DUMMYFUNCTION("GOOGLETRANSLATE(A40750, ""de"", ""en"")"),"resumption")</f>
        <v>resumption</v>
      </c>
    </row>
    <row r="40751">
      <c r="A40751" s="1" t="s">
        <v>40750</v>
      </c>
      <c r="B40751" s="2" t="str">
        <f>IFERROR(__xludf.DUMMYFUNCTION("GOOGLETRANSLATE(A40751, ""de"", ""en"")"),"drive here")</f>
        <v>drive here</v>
      </c>
    </row>
    <row r="40752">
      <c r="A40752" s="1" t="s">
        <v>40751</v>
      </c>
      <c r="B40752" s="2" t="str">
        <f>IFERROR(__xludf.DUMMYFUNCTION("GOOGLETRANSLATE(A40752, ""de"", ""en"")"),"hermetically")</f>
        <v>hermetically</v>
      </c>
    </row>
    <row r="40753">
      <c r="A40753" s="1" t="s">
        <v>40752</v>
      </c>
      <c r="B40753" s="2" t="str">
        <f>IFERROR(__xludf.DUMMYFUNCTION("GOOGLETRANSLATE(A40753, ""de"", ""en"")"),"lacroix")</f>
        <v>lacroix</v>
      </c>
    </row>
    <row r="40754">
      <c r="A40754" s="1" t="s">
        <v>40753</v>
      </c>
      <c r="B40754" s="2" t="str">
        <f>IFERROR(__xludf.DUMMYFUNCTION("GOOGLETRANSLATE(A40754, ""de"", ""en"")"),"ravn")</f>
        <v>ravn</v>
      </c>
    </row>
    <row r="40755">
      <c r="A40755" s="1" t="s">
        <v>40754</v>
      </c>
      <c r="B40755" s="2" t="str">
        <f>IFERROR(__xludf.DUMMYFUNCTION("GOOGLETRANSLATE(A40755, ""de"", ""en"")"),"colts")</f>
        <v>colts</v>
      </c>
    </row>
    <row r="40756">
      <c r="A40756" s="1" t="s">
        <v>40755</v>
      </c>
      <c r="B40756" s="2" t="str">
        <f>IFERROR(__xludf.DUMMYFUNCTION("GOOGLETRANSLATE(A40756, ""de"", ""en"")"),"approve")</f>
        <v>approve</v>
      </c>
    </row>
    <row r="40757">
      <c r="A40757" s="1" t="s">
        <v>40756</v>
      </c>
      <c r="B40757" s="2" t="str">
        <f>IFERROR(__xludf.DUMMYFUNCTION("GOOGLETRANSLATE(A40757, ""de"", ""en"")"),"give")</f>
        <v>give</v>
      </c>
    </row>
    <row r="40758">
      <c r="A40758" s="1" t="s">
        <v>40757</v>
      </c>
      <c r="B40758" s="2" t="str">
        <f>IFERROR(__xludf.DUMMYFUNCTION("GOOGLETRANSLATE(A40758, ""de"", ""en"")"),"bathe")</f>
        <v>bathe</v>
      </c>
    </row>
    <row r="40759">
      <c r="A40759" s="1" t="s">
        <v>40758</v>
      </c>
      <c r="B40759" s="2" t="str">
        <f>IFERROR(__xludf.DUMMYFUNCTION("GOOGLETRANSLATE(A40759, ""de"", ""en"")"),"Beatrice")</f>
        <v>Beatrice</v>
      </c>
    </row>
    <row r="40760">
      <c r="A40760" s="1" t="s">
        <v>40759</v>
      </c>
      <c r="B40760" s="2" t="str">
        <f>IFERROR(__xludf.DUMMYFUNCTION("GOOGLETRANSLATE(A40760, ""de"", ""en"")"),"crackles")</f>
        <v>crackles</v>
      </c>
    </row>
    <row r="40761">
      <c r="A40761" s="1" t="s">
        <v>40760</v>
      </c>
      <c r="B40761" s="2" t="str">
        <f>IFERROR(__xludf.DUMMYFUNCTION("GOOGLETRANSLATE(A40761, ""de"", ""en"")"),"actress")</f>
        <v>actress</v>
      </c>
    </row>
    <row r="40762">
      <c r="A40762" s="1" t="s">
        <v>40761</v>
      </c>
      <c r="B40762" s="2" t="str">
        <f>IFERROR(__xludf.DUMMYFUNCTION("GOOGLETRANSLATE(A40762, ""de"", ""en"")"),"situation")</f>
        <v>situation</v>
      </c>
    </row>
    <row r="40763">
      <c r="A40763" s="1" t="s">
        <v>40762</v>
      </c>
      <c r="B40763" s="2" t="str">
        <f>IFERROR(__xludf.DUMMYFUNCTION("GOOGLETRANSLATE(A40763, ""de"", ""en"")"),"unworthy")</f>
        <v>unworthy</v>
      </c>
    </row>
    <row r="40764">
      <c r="A40764" s="1" t="s">
        <v>40763</v>
      </c>
      <c r="B40764" s="2" t="str">
        <f>IFERROR(__xludf.DUMMYFUNCTION("GOOGLETRANSLATE(A40764, ""de"", ""en"")"),"pretended")</f>
        <v>pretended</v>
      </c>
    </row>
    <row r="40765">
      <c r="A40765" s="1" t="s">
        <v>40764</v>
      </c>
      <c r="B40765" s="2" t="str">
        <f>IFERROR(__xludf.DUMMYFUNCTION("GOOGLETRANSLATE(A40765, ""de"", ""en"")"),"miners")</f>
        <v>miners</v>
      </c>
    </row>
    <row r="40766">
      <c r="A40766" s="1" t="s">
        <v>40765</v>
      </c>
      <c r="B40766" s="2" t="str">
        <f>IFERROR(__xludf.DUMMYFUNCTION("GOOGLETRANSLATE(A40766, ""de"", ""en"")"),"18 year olds")</f>
        <v>18 year olds</v>
      </c>
    </row>
    <row r="40767">
      <c r="A40767" s="1" t="s">
        <v>40766</v>
      </c>
      <c r="B40767" s="2" t="str">
        <f>IFERROR(__xludf.DUMMYFUNCTION("GOOGLETRANSLATE(A40767, ""de"", ""en"")"),"sensuality")</f>
        <v>sensuality</v>
      </c>
    </row>
    <row r="40768">
      <c r="A40768" s="1" t="s">
        <v>40767</v>
      </c>
      <c r="B40768" s="2" t="str">
        <f>IFERROR(__xludf.DUMMYFUNCTION("GOOGLETRANSLATE(A40768, ""de"", ""en"")"),"bixby")</f>
        <v>bixby</v>
      </c>
    </row>
    <row r="40769">
      <c r="A40769" s="1" t="s">
        <v>40768</v>
      </c>
      <c r="B40769" s="2" t="str">
        <f>IFERROR(__xludf.DUMMYFUNCTION("GOOGLETRANSLATE(A40769, ""de"", ""en"")"),"buford")</f>
        <v>buford</v>
      </c>
    </row>
    <row r="40770">
      <c r="A40770" s="1" t="s">
        <v>40769</v>
      </c>
      <c r="B40770" s="2" t="str">
        <f>IFERROR(__xludf.DUMMYFUNCTION("GOOGLETRANSLATE(A40770, ""de"", ""en"")"),"grave robber")</f>
        <v>grave robber</v>
      </c>
    </row>
    <row r="40771">
      <c r="A40771" s="1" t="s">
        <v>40770</v>
      </c>
      <c r="B40771" s="2" t="str">
        <f>IFERROR(__xludf.DUMMYFUNCTION("GOOGLETRANSLATE(A40771, ""de"", ""en"")"),"brand new")</f>
        <v>brand new</v>
      </c>
    </row>
    <row r="40772">
      <c r="A40772" s="1" t="s">
        <v>40771</v>
      </c>
      <c r="B40772" s="2" t="str">
        <f>IFERROR(__xludf.DUMMYFUNCTION("GOOGLETRANSLATE(A40772, ""de"", ""en"")"),"frozen")</f>
        <v>frozen</v>
      </c>
    </row>
    <row r="40773">
      <c r="A40773" s="1" t="s">
        <v>40772</v>
      </c>
      <c r="B40773" s="2" t="str">
        <f>IFERROR(__xludf.DUMMYFUNCTION("GOOGLETRANSLATE(A40773, ""de"", ""en"")"),"to include")</f>
        <v>to include</v>
      </c>
    </row>
    <row r="40774">
      <c r="A40774" s="1" t="s">
        <v>40773</v>
      </c>
      <c r="B40774" s="2" t="str">
        <f>IFERROR(__xludf.DUMMYFUNCTION("GOOGLETRANSLATE(A40774, ""de"", ""en"")"),"active")</f>
        <v>active</v>
      </c>
    </row>
    <row r="40775">
      <c r="A40775" s="1" t="s">
        <v>40774</v>
      </c>
      <c r="B40775" s="2" t="str">
        <f>IFERROR(__xludf.DUMMYFUNCTION("GOOGLETRANSLATE(A40775, ""de"", ""en"")"),"Janni")</f>
        <v>Janni</v>
      </c>
    </row>
    <row r="40776">
      <c r="A40776" s="1" t="s">
        <v>40775</v>
      </c>
      <c r="B40776" s="2" t="str">
        <f>IFERROR(__xludf.DUMMYFUNCTION("GOOGLETRANSLATE(A40776, ""de"", ""en"")"),"snowflakes")</f>
        <v>snowflakes</v>
      </c>
    </row>
    <row r="40777">
      <c r="A40777" s="1" t="s">
        <v>40776</v>
      </c>
      <c r="B40777" s="2" t="str">
        <f>IFERROR(__xludf.DUMMYFUNCTION("GOOGLETRANSLATE(A40777, ""de"", ""en"")"),"survive")</f>
        <v>survive</v>
      </c>
    </row>
    <row r="40778">
      <c r="A40778" s="1" t="s">
        <v>40777</v>
      </c>
      <c r="B40778" s="2" t="str">
        <f>IFERROR(__xludf.DUMMYFUNCTION("GOOGLETRANSLATE(A40778, ""de"", ""en"")"),"idolize")</f>
        <v>idolize</v>
      </c>
    </row>
    <row r="40779">
      <c r="A40779" s="1" t="s">
        <v>40778</v>
      </c>
      <c r="B40779" s="2" t="str">
        <f>IFERROR(__xludf.DUMMYFUNCTION("GOOGLETRANSLATE(A40779, ""de"", ""en"")"),"Kafka")</f>
        <v>Kafka</v>
      </c>
    </row>
    <row r="40780">
      <c r="A40780" s="1" t="s">
        <v>40779</v>
      </c>
      <c r="B40780" s="2" t="str">
        <f>IFERROR(__xludf.DUMMYFUNCTION("GOOGLETRANSLATE(A40780, ""de"", ""en"")"),"to exchange")</f>
        <v>to exchange</v>
      </c>
    </row>
    <row r="40781">
      <c r="A40781" s="1" t="s">
        <v>40780</v>
      </c>
      <c r="B40781" s="2" t="str">
        <f>IFERROR(__xludf.DUMMYFUNCTION("GOOGLETRANSLATE(A40781, ""de"", ""en"")"),"legitimate")</f>
        <v>legitimate</v>
      </c>
    </row>
    <row r="40782">
      <c r="A40782" s="1" t="s">
        <v>40781</v>
      </c>
      <c r="B40782" s="2" t="str">
        <f>IFERROR(__xludf.DUMMYFUNCTION("GOOGLETRANSLATE(A40782, ""de"", ""en"")"),"shade")</f>
        <v>shade</v>
      </c>
    </row>
    <row r="40783">
      <c r="A40783" s="1" t="s">
        <v>40782</v>
      </c>
      <c r="B40783" s="2" t="str">
        <f>IFERROR(__xludf.DUMMYFUNCTION("GOOGLETRANSLATE(A40783, ""de"", ""en"")"),"save up")</f>
        <v>save up</v>
      </c>
    </row>
    <row r="40784">
      <c r="A40784" s="1" t="s">
        <v>40783</v>
      </c>
      <c r="B40784" s="2" t="str">
        <f>IFERROR(__xludf.DUMMYFUNCTION("GOOGLETRANSLATE(A40784, ""de"", ""en"")"),"emphatically")</f>
        <v>emphatically</v>
      </c>
    </row>
    <row r="40785">
      <c r="A40785" s="1" t="s">
        <v>40784</v>
      </c>
      <c r="B40785" s="2" t="str">
        <f>IFERROR(__xludf.DUMMYFUNCTION("GOOGLETRANSLATE(A40785, ""de"", ""en"")"),"advocates")</f>
        <v>advocates</v>
      </c>
    </row>
    <row r="40786">
      <c r="A40786" s="1" t="s">
        <v>40785</v>
      </c>
      <c r="B40786" s="2" t="str">
        <f>IFERROR(__xludf.DUMMYFUNCTION("GOOGLETRANSLATE(A40786, ""de"", ""en"")"),"threatening letters")</f>
        <v>threatening letters</v>
      </c>
    </row>
    <row r="40787">
      <c r="A40787" s="1" t="s">
        <v>40786</v>
      </c>
      <c r="B40787" s="2" t="str">
        <f>IFERROR(__xludf.DUMMYFUNCTION("GOOGLETRANSLATE(A40787, ""de"", ""en"")"),"dales")</f>
        <v>dales</v>
      </c>
    </row>
    <row r="40788">
      <c r="A40788" s="1" t="s">
        <v>40787</v>
      </c>
      <c r="B40788" s="2" t="str">
        <f>IFERROR(__xludf.DUMMYFUNCTION("GOOGLETRANSLATE(A40788, ""de"", ""en"")"),"mutate")</f>
        <v>mutate</v>
      </c>
    </row>
    <row r="40789">
      <c r="A40789" s="1" t="s">
        <v>40788</v>
      </c>
      <c r="B40789" s="2" t="str">
        <f>IFERROR(__xludf.DUMMYFUNCTION("GOOGLETRANSLATE(A40789, ""de"", ""en"")"),"barris")</f>
        <v>barris</v>
      </c>
    </row>
    <row r="40790">
      <c r="A40790" s="1" t="s">
        <v>40789</v>
      </c>
      <c r="B40790" s="2" t="str">
        <f>IFERROR(__xludf.DUMMYFUNCTION("GOOGLETRANSLATE(A40790, ""de"", ""en"")"),"applied")</f>
        <v>applied</v>
      </c>
    </row>
    <row r="40791">
      <c r="A40791" s="1" t="s">
        <v>40790</v>
      </c>
      <c r="B40791" s="2" t="str">
        <f>IFERROR(__xludf.DUMMYFUNCTION("GOOGLETRANSLATE(A40791, ""de"", ""en"")"),"islamabad")</f>
        <v>islamabad</v>
      </c>
    </row>
    <row r="40792">
      <c r="A40792" s="1" t="s">
        <v>40791</v>
      </c>
      <c r="B40792" s="2" t="str">
        <f>IFERROR(__xludf.DUMMYFUNCTION("GOOGLETRANSLATE(A40792, ""de"", ""en"")"),"steep")</f>
        <v>steep</v>
      </c>
    </row>
    <row r="40793">
      <c r="A40793" s="1" t="s">
        <v>40792</v>
      </c>
      <c r="B40793" s="2" t="str">
        <f>IFERROR(__xludf.DUMMYFUNCTION("GOOGLETRANSLATE(A40793, ""de"", ""en"")"),"doormat")</f>
        <v>doormat</v>
      </c>
    </row>
    <row r="40794">
      <c r="A40794" s="1" t="s">
        <v>40793</v>
      </c>
      <c r="B40794" s="2" t="str">
        <f>IFERROR(__xludf.DUMMYFUNCTION("GOOGLETRANSLATE(A40794, ""de"", ""en"")"),"entrench")</f>
        <v>entrench</v>
      </c>
    </row>
    <row r="40795">
      <c r="A40795" s="1" t="s">
        <v>40794</v>
      </c>
      <c r="B40795" s="2" t="str">
        <f>IFERROR(__xludf.DUMMYFUNCTION("GOOGLETRANSLATE(A40795, ""de"", ""en"")"),"succubus")</f>
        <v>succubus</v>
      </c>
    </row>
    <row r="40796">
      <c r="A40796" s="1" t="s">
        <v>40795</v>
      </c>
      <c r="B40796" s="2" t="str">
        <f>IFERROR(__xludf.DUMMYFUNCTION("GOOGLETRANSLATE(A40796, ""de"", ""en"")"),"tops")</f>
        <v>tops</v>
      </c>
    </row>
    <row r="40797">
      <c r="A40797" s="1" t="s">
        <v>40796</v>
      </c>
      <c r="B40797" s="2" t="str">
        <f>IFERROR(__xludf.DUMMYFUNCTION("GOOGLETRANSLATE(A40797, ""de"", ""en"")"),"monotonous")</f>
        <v>monotonous</v>
      </c>
    </row>
    <row r="40798">
      <c r="A40798" s="1" t="s">
        <v>40797</v>
      </c>
      <c r="B40798" s="2" t="str">
        <f>IFERROR(__xludf.DUMMYFUNCTION("GOOGLETRANSLATE(A40798, ""de"", ""en"")"),"wolfs")</f>
        <v>wolfs</v>
      </c>
    </row>
    <row r="40799">
      <c r="A40799" s="1" t="s">
        <v>40798</v>
      </c>
      <c r="B40799" s="2" t="str">
        <f>IFERROR(__xludf.DUMMYFUNCTION("GOOGLETRANSLATE(A40799, ""de"", ""en"")"),"rocks")</f>
        <v>rocks</v>
      </c>
    </row>
    <row r="40800">
      <c r="A40800" s="1" t="s">
        <v>40799</v>
      </c>
      <c r="B40800" s="2" t="str">
        <f>IFERROR(__xludf.DUMMYFUNCTION("GOOGLETRANSLATE(A40800, ""de"", ""en"")"),"machine guns")</f>
        <v>machine guns</v>
      </c>
    </row>
    <row r="40801">
      <c r="A40801" s="1" t="s">
        <v>40800</v>
      </c>
      <c r="B40801" s="2" t="str">
        <f>IFERROR(__xludf.DUMMYFUNCTION("GOOGLETRANSLATE(A40801, ""de"", ""en"")"),"alarm signal")</f>
        <v>alarm signal</v>
      </c>
    </row>
    <row r="40802">
      <c r="A40802" s="1" t="s">
        <v>40801</v>
      </c>
      <c r="B40802" s="2" t="str">
        <f>IFERROR(__xludf.DUMMYFUNCTION("GOOGLETRANSLATE(A40802, ""de"", ""en"")"),"maritime")</f>
        <v>maritime</v>
      </c>
    </row>
    <row r="40803">
      <c r="A40803" s="1" t="s">
        <v>40802</v>
      </c>
      <c r="B40803" s="2" t="str">
        <f>IFERROR(__xludf.DUMMYFUNCTION("GOOGLETRANSLATE(A40803, ""de"", ""en"")"),"darken")</f>
        <v>darken</v>
      </c>
    </row>
    <row r="40804">
      <c r="A40804" s="1" t="s">
        <v>40803</v>
      </c>
      <c r="B40804" s="2" t="str">
        <f>IFERROR(__xludf.DUMMYFUNCTION("GOOGLETRANSLATE(A40804, ""de"", ""en"")"),"martyr")</f>
        <v>martyr</v>
      </c>
    </row>
    <row r="40805">
      <c r="A40805" s="1" t="s">
        <v>40804</v>
      </c>
      <c r="B40805" s="2" t="str">
        <f>IFERROR(__xludf.DUMMYFUNCTION("GOOGLETRANSLATE(A40805, ""de"", ""en"")"),"women's prison")</f>
        <v>women's prison</v>
      </c>
    </row>
    <row r="40806">
      <c r="A40806" s="1" t="s">
        <v>40805</v>
      </c>
      <c r="B40806" s="2" t="str">
        <f>IFERROR(__xludf.DUMMYFUNCTION("GOOGLETRANSLATE(A40806, ""de"", ""en"")"),"irreparable")</f>
        <v>irreparable</v>
      </c>
    </row>
    <row r="40807">
      <c r="A40807" s="1" t="s">
        <v>40806</v>
      </c>
      <c r="B40807" s="2" t="str">
        <f>IFERROR(__xludf.DUMMYFUNCTION("GOOGLETRANSLATE(A40807, ""de"", ""en"")"),"battosai")</f>
        <v>battosai</v>
      </c>
    </row>
    <row r="40808">
      <c r="A40808" s="1" t="s">
        <v>40807</v>
      </c>
      <c r="B40808" s="2" t="str">
        <f>IFERROR(__xludf.DUMMYFUNCTION("GOOGLETRANSLATE(A40808, ""de"", ""en"")"),"promotion")</f>
        <v>promotion</v>
      </c>
    </row>
    <row r="40809">
      <c r="A40809" s="1" t="s">
        <v>40808</v>
      </c>
      <c r="B40809" s="2" t="str">
        <f>IFERROR(__xludf.DUMMYFUNCTION("GOOGLETRANSLATE(A40809, ""de"", ""en"")"),"driver")</f>
        <v>driver</v>
      </c>
    </row>
    <row r="40810">
      <c r="A40810" s="1" t="s">
        <v>40809</v>
      </c>
      <c r="B40810" s="2" t="str">
        <f>IFERROR(__xludf.DUMMYFUNCTION("GOOGLETRANSLATE(A40810, ""de"", ""en"")"),"goat cheese")</f>
        <v>goat cheese</v>
      </c>
    </row>
    <row r="40811">
      <c r="A40811" s="1" t="s">
        <v>40810</v>
      </c>
      <c r="B40811" s="2" t="str">
        <f>IFERROR(__xludf.DUMMYFUNCTION("GOOGLETRANSLATE(A40811, ""de"", ""en"")"),"un-lun")</f>
        <v>un-lun</v>
      </c>
    </row>
    <row r="40812">
      <c r="A40812" s="1" t="s">
        <v>40811</v>
      </c>
      <c r="B40812" s="2" t="str">
        <f>IFERROR(__xludf.DUMMYFUNCTION("GOOGLETRANSLATE(A40812, ""de"", ""en"")"),"to knock")</f>
        <v>to knock</v>
      </c>
    </row>
    <row r="40813">
      <c r="A40813" s="1" t="s">
        <v>40812</v>
      </c>
      <c r="B40813" s="2" t="str">
        <f>IFERROR(__xludf.DUMMYFUNCTION("GOOGLETRANSLATE(A40813, ""de"", ""en"")"),"drunk as hell")</f>
        <v>drunk as hell</v>
      </c>
    </row>
    <row r="40814">
      <c r="A40814" s="1" t="s">
        <v>40813</v>
      </c>
      <c r="B40814" s="2" t="str">
        <f>IFERROR(__xludf.DUMMYFUNCTION("GOOGLETRANSLATE(A40814, ""de"", ""en"")"),"aarons")</f>
        <v>aarons</v>
      </c>
    </row>
    <row r="40815">
      <c r="A40815" s="1" t="s">
        <v>40814</v>
      </c>
      <c r="B40815" s="2" t="str">
        <f>IFERROR(__xludf.DUMMYFUNCTION("GOOGLETRANSLATE(A40815, ""de"", ""en"")"),"foster child")</f>
        <v>foster child</v>
      </c>
    </row>
    <row r="40816">
      <c r="A40816" s="1" t="s">
        <v>40815</v>
      </c>
      <c r="B40816" s="2" t="str">
        <f>IFERROR(__xludf.DUMMYFUNCTION("GOOGLETRANSLATE(A40816, ""de"", ""en"")"),"more reliable")</f>
        <v>more reliable</v>
      </c>
    </row>
    <row r="40817">
      <c r="A40817" s="1" t="s">
        <v>40816</v>
      </c>
      <c r="B40817" s="2" t="str">
        <f>IFERROR(__xludf.DUMMYFUNCTION("GOOGLETRANSLATE(A40817, ""de"", ""en"")"),"last meal")</f>
        <v>last meal</v>
      </c>
    </row>
    <row r="40818">
      <c r="A40818" s="1" t="s">
        <v>40817</v>
      </c>
      <c r="B40818" s="2" t="str">
        <f>IFERROR(__xludf.DUMMYFUNCTION("GOOGLETRANSLATE(A40818, ""de"", ""en"")"),"wave")</f>
        <v>wave</v>
      </c>
    </row>
    <row r="40819">
      <c r="A40819" s="1" t="s">
        <v>40818</v>
      </c>
      <c r="B40819" s="2" t="str">
        <f>IFERROR(__xludf.DUMMYFUNCTION("GOOGLETRANSLATE(A40819, ""de"", ""en"")"),"hours")</f>
        <v>hours</v>
      </c>
    </row>
    <row r="40820">
      <c r="A40820" s="1" t="s">
        <v>40819</v>
      </c>
      <c r="B40820" s="2" t="str">
        <f>IFERROR(__xludf.DUMMYFUNCTION("GOOGLETRANSLATE(A40820, ""de"", ""en"")"),"influenced")</f>
        <v>influenced</v>
      </c>
    </row>
    <row r="40821">
      <c r="A40821" s="1" t="s">
        <v>40820</v>
      </c>
      <c r="B40821" s="2" t="str">
        <f>IFERROR(__xludf.DUMMYFUNCTION("GOOGLETRANSLATE(A40821, ""de"", ""en"")"),"sailed")</f>
        <v>sailed</v>
      </c>
    </row>
    <row r="40822">
      <c r="A40822" s="1" t="s">
        <v>40821</v>
      </c>
      <c r="B40822" s="2" t="str">
        <f>IFERROR(__xludf.DUMMYFUNCTION("GOOGLETRANSLATE(A40822, ""de"", ""en"")"),"considered")</f>
        <v>considered</v>
      </c>
    </row>
    <row r="40823">
      <c r="A40823" s="1" t="s">
        <v>40822</v>
      </c>
      <c r="B40823" s="2" t="str">
        <f>IFERROR(__xludf.DUMMYFUNCTION("GOOGLETRANSLATE(A40823, ""de"", ""en"")"),"Finnish")</f>
        <v>Finnish</v>
      </c>
    </row>
    <row r="40824">
      <c r="A40824" s="1" t="s">
        <v>40823</v>
      </c>
      <c r="B40824" s="2" t="str">
        <f>IFERROR(__xludf.DUMMYFUNCTION("GOOGLETRANSLATE(A40824, ""de"", ""en"")"),"admired")</f>
        <v>admired</v>
      </c>
    </row>
    <row r="40825">
      <c r="A40825" s="1" t="s">
        <v>40824</v>
      </c>
      <c r="B40825" s="2" t="str">
        <f>IFERROR(__xludf.DUMMYFUNCTION("GOOGLETRANSLATE(A40825, ""de"", ""en"")"),"read more")</f>
        <v>read more</v>
      </c>
    </row>
    <row r="40826">
      <c r="A40826" s="1" t="s">
        <v>40825</v>
      </c>
      <c r="B40826" s="2" t="str">
        <f>IFERROR(__xludf.DUMMYFUNCTION("GOOGLETRANSLATE(A40826, ""de"", ""en"")"),"cattle")</f>
        <v>cattle</v>
      </c>
    </row>
    <row r="40827">
      <c r="A40827" s="1" t="s">
        <v>40826</v>
      </c>
      <c r="B40827" s="2" t="str">
        <f>IFERROR(__xludf.DUMMYFUNCTION("GOOGLETRANSLATE(A40827, ""de"", ""en"")"),"polyester")</f>
        <v>polyester</v>
      </c>
    </row>
    <row r="40828">
      <c r="A40828" s="1" t="s">
        <v>40827</v>
      </c>
      <c r="B40828" s="2" t="str">
        <f>IFERROR(__xludf.DUMMYFUNCTION("GOOGLETRANSLATE(A40828, ""de"", ""en"")"),"pcp")</f>
        <v>pcp</v>
      </c>
    </row>
    <row r="40829">
      <c r="A40829" s="1" t="s">
        <v>40828</v>
      </c>
      <c r="B40829" s="2" t="str">
        <f>IFERROR(__xludf.DUMMYFUNCTION("GOOGLETRANSLATE(A40829, ""de"", ""en"")"),"written")</f>
        <v>written</v>
      </c>
    </row>
    <row r="40830">
      <c r="A40830" s="1" t="s">
        <v>40829</v>
      </c>
      <c r="B40830" s="2" t="str">
        <f>IFERROR(__xludf.DUMMYFUNCTION("GOOGLETRANSLATE(A40830, ""de"", ""en"")"),"r.j.")</f>
        <v>r.j.</v>
      </c>
    </row>
    <row r="40831">
      <c r="A40831" s="1" t="s">
        <v>40830</v>
      </c>
      <c r="B40831" s="2" t="str">
        <f>IFERROR(__xludf.DUMMYFUNCTION("GOOGLETRANSLATE(A40831, ""de"", ""en"")"),"privatization")</f>
        <v>privatization</v>
      </c>
    </row>
    <row r="40832">
      <c r="A40832" s="1" t="s">
        <v>40831</v>
      </c>
      <c r="B40832" s="2" t="str">
        <f>IFERROR(__xludf.DUMMYFUNCTION("GOOGLETRANSLATE(A40832, ""de"", ""en"")"),"stalking")</f>
        <v>stalking</v>
      </c>
    </row>
    <row r="40833">
      <c r="A40833" s="1" t="s">
        <v>40832</v>
      </c>
      <c r="B40833" s="2" t="str">
        <f>IFERROR(__xludf.DUMMYFUNCTION("GOOGLETRANSLATE(A40833, ""de"", ""en"")"),"skin")</f>
        <v>skin</v>
      </c>
    </row>
    <row r="40834">
      <c r="A40834" s="1" t="s">
        <v>40833</v>
      </c>
      <c r="B40834" s="2" t="str">
        <f>IFERROR(__xludf.DUMMYFUNCTION("GOOGLETRANSLATE(A40834, ""de"", ""en"")"),"overshadowed")</f>
        <v>overshadowed</v>
      </c>
    </row>
    <row r="40835">
      <c r="A40835" s="1" t="s">
        <v>40834</v>
      </c>
      <c r="B40835" s="2" t="str">
        <f>IFERROR(__xludf.DUMMYFUNCTION("GOOGLETRANSLATE(A40835, ""de"", ""en"")"),"intense")</f>
        <v>intense</v>
      </c>
    </row>
    <row r="40836">
      <c r="A40836" s="1" t="s">
        <v>40835</v>
      </c>
      <c r="B40836" s="2" t="str">
        <f>IFERROR(__xludf.DUMMYFUNCTION("GOOGLETRANSLATE(A40836, ""de"", ""en"")"),"rickwaert")</f>
        <v>rickwaert</v>
      </c>
    </row>
    <row r="40837">
      <c r="A40837" s="1" t="s">
        <v>40836</v>
      </c>
      <c r="B40837" s="2" t="str">
        <f>IFERROR(__xludf.DUMMYFUNCTION("GOOGLETRANSLATE(A40837, ""de"", ""en"")"),"blinded")</f>
        <v>blinded</v>
      </c>
    </row>
    <row r="40838">
      <c r="A40838" s="1" t="s">
        <v>40837</v>
      </c>
      <c r="B40838" s="2" t="str">
        <f>IFERROR(__xludf.DUMMYFUNCTION("GOOGLETRANSLATE(A40838, ""de"", ""en"")"),"vips")</f>
        <v>vips</v>
      </c>
    </row>
    <row r="40839">
      <c r="A40839" s="1" t="s">
        <v>40838</v>
      </c>
      <c r="B40839" s="2" t="str">
        <f>IFERROR(__xludf.DUMMYFUNCTION("GOOGLETRANSLATE(A40839, ""de"", ""en"")"),"tailor-made")</f>
        <v>tailor-made</v>
      </c>
    </row>
    <row r="40840">
      <c r="A40840" s="1" t="s">
        <v>40839</v>
      </c>
      <c r="B40840" s="2" t="str">
        <f>IFERROR(__xludf.DUMMYFUNCTION("GOOGLETRANSLATE(A40840, ""de"", ""en"")"),"putt")</f>
        <v>putt</v>
      </c>
    </row>
    <row r="40841">
      <c r="A40841" s="1" t="s">
        <v>40840</v>
      </c>
      <c r="B40841" s="2" t="str">
        <f>IFERROR(__xludf.DUMMYFUNCTION("GOOGLETRANSLATE(A40841, ""de"", ""en"")"),"menopause")</f>
        <v>menopause</v>
      </c>
    </row>
    <row r="40842">
      <c r="A40842" s="1" t="s">
        <v>40841</v>
      </c>
      <c r="B40842" s="2" t="str">
        <f>IFERROR(__xludf.DUMMYFUNCTION("GOOGLETRANSLATE(A40842, ""de"", ""en"")"),"mojito")</f>
        <v>mojito</v>
      </c>
    </row>
    <row r="40843">
      <c r="A40843" s="1" t="s">
        <v>40842</v>
      </c>
      <c r="B40843" s="2" t="str">
        <f>IFERROR(__xludf.DUMMYFUNCTION("GOOGLETRANSLATE(A40843, ""de"", ""en"")"),"lookout")</f>
        <v>lookout</v>
      </c>
    </row>
    <row r="40844">
      <c r="A40844" s="1" t="s">
        <v>40843</v>
      </c>
      <c r="B40844" s="2" t="str">
        <f>IFERROR(__xludf.DUMMYFUNCTION("GOOGLETRANSLATE(A40844, ""de"", ""en"")"),"farrow")</f>
        <v>farrow</v>
      </c>
    </row>
    <row r="40845">
      <c r="A40845" s="1" t="s">
        <v>40844</v>
      </c>
      <c r="B40845" s="2" t="str">
        <f>IFERROR(__xludf.DUMMYFUNCTION("GOOGLETRANSLATE(A40845, ""de"", ""en"")"),"war council")</f>
        <v>war council</v>
      </c>
    </row>
    <row r="40846">
      <c r="A40846" s="1" t="s">
        <v>40845</v>
      </c>
      <c r="B40846" s="2" t="str">
        <f>IFERROR(__xludf.DUMMYFUNCTION("GOOGLETRANSLATE(A40846, ""de"", ""en"")"),"Jaclyn")</f>
        <v>Jaclyn</v>
      </c>
    </row>
    <row r="40847">
      <c r="A40847" s="1" t="s">
        <v>40846</v>
      </c>
      <c r="B40847" s="2" t="str">
        <f>IFERROR(__xludf.DUMMYFUNCTION("GOOGLETRANSLATE(A40847, ""de"", ""en"")"),"zilong")</f>
        <v>zilong</v>
      </c>
    </row>
    <row r="40848">
      <c r="A40848" s="1" t="s">
        <v>40847</v>
      </c>
      <c r="B40848" s="2" t="str">
        <f>IFERROR(__xludf.DUMMYFUNCTION("GOOGLETRANSLATE(A40848, ""de"", ""en"")"),"defiant")</f>
        <v>defiant</v>
      </c>
    </row>
    <row r="40849">
      <c r="A40849" s="1" t="s">
        <v>40848</v>
      </c>
      <c r="B40849" s="2" t="str">
        <f>IFERROR(__xludf.DUMMYFUNCTION("GOOGLETRANSLATE(A40849, ""de"", ""en"")"),"Muslim")</f>
        <v>Muslim</v>
      </c>
    </row>
    <row r="40850">
      <c r="A40850" s="1" t="s">
        <v>40849</v>
      </c>
      <c r="B40850" s="2" t="str">
        <f>IFERROR(__xludf.DUMMYFUNCTION("GOOGLETRANSLATE(A40850, ""de"", ""en"")"),"hilliard")</f>
        <v>hilliard</v>
      </c>
    </row>
    <row r="40851">
      <c r="A40851" s="1" t="s">
        <v>40850</v>
      </c>
      <c r="B40851" s="2" t="str">
        <f>IFERROR(__xludf.DUMMYFUNCTION("GOOGLETRANSLATE(A40851, ""de"", ""en"")"),"deprivations")</f>
        <v>deprivations</v>
      </c>
    </row>
    <row r="40852">
      <c r="A40852" s="1" t="s">
        <v>40851</v>
      </c>
      <c r="B40852" s="2" t="str">
        <f>IFERROR(__xludf.DUMMYFUNCTION("GOOGLETRANSLATE(A40852, ""de"", ""en"")"),"foot massage")</f>
        <v>foot massage</v>
      </c>
    </row>
    <row r="40853">
      <c r="A40853" s="1" t="s">
        <v>40852</v>
      </c>
      <c r="B40853" s="2" t="str">
        <f>IFERROR(__xludf.DUMMYFUNCTION("GOOGLETRANSLATE(A40853, ""de"", ""en"")"),"maniac")</f>
        <v>maniac</v>
      </c>
    </row>
    <row r="40854">
      <c r="A40854" s="1" t="s">
        <v>40853</v>
      </c>
      <c r="B40854" s="2" t="str">
        <f>IFERROR(__xludf.DUMMYFUNCTION("GOOGLETRANSLATE(A40854, ""de"", ""en"")"),"company car")</f>
        <v>company car</v>
      </c>
    </row>
    <row r="40855">
      <c r="A40855" s="1" t="s">
        <v>40854</v>
      </c>
      <c r="B40855" s="2" t="str">
        <f>IFERROR(__xludf.DUMMYFUNCTION("GOOGLETRANSLATE(A40855, ""de"", ""en"")"),"cleaned")</f>
        <v>cleaned</v>
      </c>
    </row>
    <row r="40856">
      <c r="A40856" s="1" t="s">
        <v>40855</v>
      </c>
      <c r="B40856" s="2" t="str">
        <f>IFERROR(__xludf.DUMMYFUNCTION("GOOGLETRANSLATE(A40856, ""de"", ""en"")"),"military academy")</f>
        <v>military academy</v>
      </c>
    </row>
    <row r="40857">
      <c r="A40857" s="1" t="s">
        <v>40856</v>
      </c>
      <c r="B40857" s="2" t="str">
        <f>IFERROR(__xludf.DUMMYFUNCTION("GOOGLETRANSLATE(A40857, ""de"", ""en"")"),"physical")</f>
        <v>physical</v>
      </c>
    </row>
    <row r="40858">
      <c r="A40858" s="1" t="s">
        <v>40857</v>
      </c>
      <c r="B40858" s="2" t="str">
        <f>IFERROR(__xludf.DUMMYFUNCTION("GOOGLETRANSLATE(A40858, ""de"", ""en"")"),"conners")</f>
        <v>conners</v>
      </c>
    </row>
    <row r="40859">
      <c r="A40859" s="1" t="s">
        <v>40858</v>
      </c>
      <c r="B40859" s="2" t="str">
        <f>IFERROR(__xludf.DUMMYFUNCTION("GOOGLETRANSLATE(A40859, ""de"", ""en"")"),"ugo")</f>
        <v>ugo</v>
      </c>
    </row>
    <row r="40860">
      <c r="A40860" s="1" t="s">
        <v>40859</v>
      </c>
      <c r="B40860" s="2" t="str">
        <f>IFERROR(__xludf.DUMMYFUNCTION("GOOGLETRANSLATE(A40860, ""de"", ""en"")"),"more intimate")</f>
        <v>more intimate</v>
      </c>
    </row>
    <row r="40861">
      <c r="A40861" s="1" t="s">
        <v>40860</v>
      </c>
      <c r="B40861" s="2" t="str">
        <f>IFERROR(__xludf.DUMMYFUNCTION("GOOGLETRANSLATE(A40861, ""de"", ""en"")"),"piers")</f>
        <v>piers</v>
      </c>
    </row>
    <row r="40862">
      <c r="A40862" s="1" t="s">
        <v>40861</v>
      </c>
      <c r="B40862" s="2" t="str">
        <f>IFERROR(__xludf.DUMMYFUNCTION("GOOGLETRANSLATE(A40862, ""de"", ""en"")"),"went")</f>
        <v>went</v>
      </c>
    </row>
    <row r="40863">
      <c r="A40863" s="1" t="s">
        <v>40862</v>
      </c>
      <c r="B40863" s="2" t="str">
        <f>IFERROR(__xludf.DUMMYFUNCTION("GOOGLETRANSLATE(A40863, ""de"", ""en"")"),"flying hours")</f>
        <v>flying hours</v>
      </c>
    </row>
    <row r="40864">
      <c r="A40864" s="1" t="s">
        <v>40863</v>
      </c>
      <c r="B40864" s="2" t="str">
        <f>IFERROR(__xludf.DUMMYFUNCTION("GOOGLETRANSLATE(A40864, ""de"", ""en"")"),"ac")</f>
        <v>ac</v>
      </c>
    </row>
    <row r="40865">
      <c r="A40865" s="1" t="s">
        <v>40864</v>
      </c>
      <c r="B40865" s="2" t="str">
        <f>IFERROR(__xludf.DUMMYFUNCTION("GOOGLETRANSLATE(A40865, ""de"", ""en"")"),"secret hiding place")</f>
        <v>secret hiding place</v>
      </c>
    </row>
    <row r="40866">
      <c r="A40866" s="1" t="s">
        <v>40865</v>
      </c>
      <c r="B40866" s="2" t="str">
        <f>IFERROR(__xludf.DUMMYFUNCTION("GOOGLETRANSLATE(A40866, ""de"", ""en"")"),"film")</f>
        <v>film</v>
      </c>
    </row>
    <row r="40867">
      <c r="A40867" s="1" t="s">
        <v>40866</v>
      </c>
      <c r="B40867" s="2" t="str">
        <f>IFERROR(__xludf.DUMMYFUNCTION("GOOGLETRANSLATE(A40867, ""de"", ""en"")"),"pluck")</f>
        <v>pluck</v>
      </c>
    </row>
    <row r="40868">
      <c r="A40868" s="1" t="s">
        <v>40867</v>
      </c>
      <c r="B40868" s="2" t="str">
        <f>IFERROR(__xludf.DUMMYFUNCTION("GOOGLETRANSLATE(A40868, ""de"", ""en"")"),"mindful")</f>
        <v>mindful</v>
      </c>
    </row>
    <row r="40869">
      <c r="A40869" s="1" t="s">
        <v>40868</v>
      </c>
      <c r="B40869" s="2" t="str">
        <f>IFERROR(__xludf.DUMMYFUNCTION("GOOGLETRANSLATE(A40869, ""de"", ""en"")"),"gas masks")</f>
        <v>gas masks</v>
      </c>
    </row>
    <row r="40870">
      <c r="A40870" s="1" t="s">
        <v>40869</v>
      </c>
      <c r="B40870" s="2" t="str">
        <f>IFERROR(__xludf.DUMMYFUNCTION("GOOGLETRANSLATE(A40870, ""de"", ""en"")"),"save")</f>
        <v>save</v>
      </c>
    </row>
    <row r="40871">
      <c r="A40871" s="1" t="s">
        <v>40870</v>
      </c>
      <c r="B40871" s="2" t="str">
        <f>IFERROR(__xludf.DUMMYFUNCTION("GOOGLETRANSLATE(A40871, ""de"", ""en"")"),"bond")</f>
        <v>bond</v>
      </c>
    </row>
    <row r="40872">
      <c r="A40872" s="1" t="s">
        <v>40871</v>
      </c>
      <c r="B40872" s="2" t="str">
        <f>IFERROR(__xludf.DUMMYFUNCTION("GOOGLETRANSLATE(A40872, ""de"", ""en"")"),"winds")</f>
        <v>winds</v>
      </c>
    </row>
    <row r="40873">
      <c r="A40873" s="1" t="s">
        <v>40872</v>
      </c>
      <c r="B40873" s="2" t="str">
        <f>IFERROR(__xludf.DUMMYFUNCTION("GOOGLETRANSLATE(A40873, ""de"", ""en"")"),"aurel")</f>
        <v>aurel</v>
      </c>
    </row>
    <row r="40874">
      <c r="A40874" s="1" t="s">
        <v>40873</v>
      </c>
      <c r="B40874" s="2" t="str">
        <f>IFERROR(__xludf.DUMMYFUNCTION("GOOGLETRANSLATE(A40874, ""de"", ""en"")"),"homemade")</f>
        <v>homemade</v>
      </c>
    </row>
    <row r="40875">
      <c r="A40875" s="1" t="s">
        <v>40874</v>
      </c>
      <c r="B40875" s="2" t="str">
        <f>IFERROR(__xludf.DUMMYFUNCTION("GOOGLETRANSLATE(A40875, ""de"", ""en"")"),"smelling salts")</f>
        <v>smelling salts</v>
      </c>
    </row>
    <row r="40876">
      <c r="A40876" s="1" t="s">
        <v>40875</v>
      </c>
      <c r="B40876" s="2" t="str">
        <f>IFERROR(__xludf.DUMMYFUNCTION("GOOGLETRANSLATE(A40876, ""de"", ""en"")"),"sedja")</f>
        <v>sedja</v>
      </c>
    </row>
    <row r="40877">
      <c r="A40877" s="1" t="s">
        <v>40876</v>
      </c>
      <c r="B40877" s="2" t="str">
        <f>IFERROR(__xludf.DUMMYFUNCTION("GOOGLETRANSLATE(A40877, ""de"", ""en"")"),"pezuela")</f>
        <v>pezuela</v>
      </c>
    </row>
    <row r="40878">
      <c r="A40878" s="1" t="s">
        <v>40877</v>
      </c>
      <c r="B40878" s="2" t="str">
        <f>IFERROR(__xludf.DUMMYFUNCTION("GOOGLETRANSLATE(A40878, ""de"", ""en"")"),"effendi")</f>
        <v>effendi</v>
      </c>
    </row>
    <row r="40879">
      <c r="A40879" s="1" t="s">
        <v>40878</v>
      </c>
      <c r="B40879" s="2" t="str">
        <f>IFERROR(__xludf.DUMMYFUNCTION("GOOGLETRANSLATE(A40879, ""de"", ""en"")"),"sabina")</f>
        <v>sabina</v>
      </c>
    </row>
    <row r="40880">
      <c r="A40880" s="1" t="s">
        <v>40879</v>
      </c>
      <c r="B40880" s="2" t="str">
        <f>IFERROR(__xludf.DUMMYFUNCTION("GOOGLETRANSLATE(A40880, ""de"", ""en"")"),"digest")</f>
        <v>digest</v>
      </c>
    </row>
    <row r="40881">
      <c r="A40881" s="1" t="s">
        <v>40880</v>
      </c>
      <c r="B40881" s="2" t="str">
        <f>IFERROR(__xludf.DUMMYFUNCTION("GOOGLETRANSLATE(A40881, ""de"", ""en"")"),"Kirara")</f>
        <v>Kirara</v>
      </c>
    </row>
    <row r="40882">
      <c r="A40882" s="1" t="s">
        <v>40881</v>
      </c>
      <c r="B40882" s="2" t="str">
        <f>IFERROR(__xludf.DUMMYFUNCTION("GOOGLETRANSLATE(A40882, ""de"", ""en"")"),"rapha")</f>
        <v>rapha</v>
      </c>
    </row>
    <row r="40883">
      <c r="A40883" s="1" t="s">
        <v>40882</v>
      </c>
      <c r="B40883" s="2" t="str">
        <f>IFERROR(__xludf.DUMMYFUNCTION("GOOGLETRANSLATE(A40883, ""de"", ""en"")"),"firewood")</f>
        <v>firewood</v>
      </c>
    </row>
    <row r="40884">
      <c r="A40884" s="1" t="s">
        <v>40883</v>
      </c>
      <c r="B40884" s="2" t="str">
        <f>IFERROR(__xludf.DUMMYFUNCTION("GOOGLETRANSLATE(A40884, ""de"", ""en"")"),"rubbers")</f>
        <v>rubbers</v>
      </c>
    </row>
    <row r="40885">
      <c r="A40885" s="1" t="s">
        <v>40884</v>
      </c>
      <c r="B40885" s="2" t="str">
        <f>IFERROR(__xludf.DUMMYFUNCTION("GOOGLETRANSLATE(A40885, ""de"", ""en"")"),"drift")</f>
        <v>drift</v>
      </c>
    </row>
    <row r="40886">
      <c r="A40886" s="1" t="s">
        <v>40885</v>
      </c>
      <c r="B40886" s="2" t="str">
        <f>IFERROR(__xludf.DUMMYFUNCTION("GOOGLETRANSLATE(A40886, ""de"", ""en"")"),"to present")</f>
        <v>to present</v>
      </c>
    </row>
    <row r="40887">
      <c r="A40887" s="1" t="s">
        <v>40886</v>
      </c>
      <c r="B40887" s="2" t="str">
        <f>IFERROR(__xludf.DUMMYFUNCTION("GOOGLETRANSLATE(A40887, ""de"", ""en"")"),"highlights")</f>
        <v>highlights</v>
      </c>
    </row>
    <row r="40888">
      <c r="A40888" s="1" t="s">
        <v>40887</v>
      </c>
      <c r="B40888" s="2" t="str">
        <f>IFERROR(__xludf.DUMMYFUNCTION("GOOGLETRANSLATE(A40888, ""de"", ""en"")"),"Swedish")</f>
        <v>Swedish</v>
      </c>
    </row>
    <row r="40889">
      <c r="A40889" s="1" t="s">
        <v>40888</v>
      </c>
      <c r="B40889" s="2" t="str">
        <f>IFERROR(__xludf.DUMMYFUNCTION("GOOGLETRANSLATE(A40889, ""de"", ""en"")"),"edi")</f>
        <v>edi</v>
      </c>
    </row>
    <row r="40890">
      <c r="A40890" s="1" t="s">
        <v>40889</v>
      </c>
      <c r="B40890" s="2" t="str">
        <f>IFERROR(__xludf.DUMMYFUNCTION("GOOGLETRANSLATE(A40890, ""de"", ""en"")"),"Ritalin")</f>
        <v>Ritalin</v>
      </c>
    </row>
    <row r="40891">
      <c r="A40891" s="1" t="s">
        <v>40890</v>
      </c>
      <c r="B40891" s="2" t="str">
        <f>IFERROR(__xludf.DUMMYFUNCTION("GOOGLETRANSLATE(A40891, ""de"", ""en"")"),"lobbyists")</f>
        <v>lobbyists</v>
      </c>
    </row>
    <row r="40892">
      <c r="A40892" s="1" t="s">
        <v>40891</v>
      </c>
      <c r="B40892" s="2" t="str">
        <f>IFERROR(__xludf.DUMMYFUNCTION("GOOGLETRANSLATE(A40892, ""de"", ""en"")"),"natural gas")</f>
        <v>natural gas</v>
      </c>
    </row>
    <row r="40893">
      <c r="A40893" s="1" t="s">
        <v>40892</v>
      </c>
      <c r="B40893" s="2" t="str">
        <f>IFERROR(__xludf.DUMMYFUNCTION("GOOGLETRANSLATE(A40893, ""de"", ""en"")"),"cor")</f>
        <v>cor</v>
      </c>
    </row>
    <row r="40894">
      <c r="A40894" s="1" t="s">
        <v>40893</v>
      </c>
      <c r="B40894" s="2" t="str">
        <f>IFERROR(__xludf.DUMMYFUNCTION("GOOGLETRANSLATE(A40894, ""de"", ""en"")"),"utopia")</f>
        <v>utopia</v>
      </c>
    </row>
    <row r="40895">
      <c r="A40895" s="1" t="s">
        <v>40894</v>
      </c>
      <c r="B40895" s="2" t="str">
        <f>IFERROR(__xludf.DUMMYFUNCTION("GOOGLETRANSLATE(A40895, ""de"", ""en"")"),"mutated")</f>
        <v>mutated</v>
      </c>
    </row>
    <row r="40896">
      <c r="A40896" s="1" t="s">
        <v>40895</v>
      </c>
      <c r="B40896" s="2" t="str">
        <f>IFERROR(__xludf.DUMMYFUNCTION("GOOGLETRANSLATE(A40896, ""de"", ""en"")"),"incite")</f>
        <v>incite</v>
      </c>
    </row>
    <row r="40897">
      <c r="A40897" s="1" t="s">
        <v>40896</v>
      </c>
      <c r="B40897" s="2" t="str">
        <f>IFERROR(__xludf.DUMMYFUNCTION("GOOGLETRANSLATE(A40897, ""de"", ""en"")"),"t.p.")</f>
        <v>t.p.</v>
      </c>
    </row>
    <row r="40898">
      <c r="A40898" s="1" t="s">
        <v>40897</v>
      </c>
      <c r="B40898" s="2" t="str">
        <f>IFERROR(__xludf.DUMMYFUNCTION("GOOGLETRANSLATE(A40898, ""de"", ""en"")"),"swarms")</f>
        <v>swarms</v>
      </c>
    </row>
    <row r="40899">
      <c r="A40899" s="1" t="s">
        <v>40898</v>
      </c>
      <c r="B40899" s="2" t="str">
        <f>IFERROR(__xludf.DUMMYFUNCTION("GOOGLETRANSLATE(A40899, ""de"", ""en"")"),"juicy")</f>
        <v>juicy</v>
      </c>
    </row>
    <row r="40900">
      <c r="A40900" s="1" t="s">
        <v>40899</v>
      </c>
      <c r="B40900" s="2" t="str">
        <f>IFERROR(__xludf.DUMMYFUNCTION("GOOGLETRANSLATE(A40900, ""de"", ""en"")"),"ventilation")</f>
        <v>ventilation</v>
      </c>
    </row>
    <row r="40901">
      <c r="A40901" s="1" t="s">
        <v>40900</v>
      </c>
      <c r="B40901" s="2" t="str">
        <f>IFERROR(__xludf.DUMMYFUNCTION("GOOGLETRANSLATE(A40901, ""de"", ""en"")"),"sent")</f>
        <v>sent</v>
      </c>
    </row>
    <row r="40902">
      <c r="A40902" s="1" t="s">
        <v>40901</v>
      </c>
      <c r="B40902" s="2" t="str">
        <f>IFERROR(__xludf.DUMMYFUNCTION("GOOGLETRANSLATE(A40902, ""de"", ""en"")"),"noodle soup")</f>
        <v>noodle soup</v>
      </c>
    </row>
    <row r="40903">
      <c r="A40903" s="1" t="s">
        <v>40902</v>
      </c>
      <c r="B40903" s="2" t="str">
        <f>IFERROR(__xludf.DUMMYFUNCTION("GOOGLETRANSLATE(A40903, ""de"", ""en"")"),"naughty")</f>
        <v>naughty</v>
      </c>
    </row>
    <row r="40904">
      <c r="A40904" s="1" t="s">
        <v>40903</v>
      </c>
      <c r="B40904" s="2" t="str">
        <f>IFERROR(__xludf.DUMMYFUNCTION("GOOGLETRANSLATE(A40904, ""de"", ""en"")"),"hessington")</f>
        <v>hessington</v>
      </c>
    </row>
    <row r="40905">
      <c r="A40905" s="1" t="s">
        <v>40904</v>
      </c>
      <c r="B40905" s="2" t="str">
        <f>IFERROR(__xludf.DUMMYFUNCTION("GOOGLETRANSLATE(A40905, ""de"", ""en"")"),"perforate")</f>
        <v>perforate</v>
      </c>
    </row>
    <row r="40906">
      <c r="A40906" s="1" t="s">
        <v>40905</v>
      </c>
      <c r="B40906" s="2" t="str">
        <f>IFERROR(__xludf.DUMMYFUNCTION("GOOGLETRANSLATE(A40906, ""de"", ""en"")"),"kept free")</f>
        <v>kept free</v>
      </c>
    </row>
    <row r="40907">
      <c r="A40907" s="1" t="s">
        <v>40906</v>
      </c>
      <c r="B40907" s="2" t="str">
        <f>IFERROR(__xludf.DUMMYFUNCTION("GOOGLETRANSLATE(A40907, ""de"", ""en"")"),"competitions")</f>
        <v>competitions</v>
      </c>
    </row>
    <row r="40908">
      <c r="A40908" s="1" t="s">
        <v>40907</v>
      </c>
      <c r="B40908" s="2" t="str">
        <f>IFERROR(__xludf.DUMMYFUNCTION("GOOGLETRANSLATE(A40908, ""de"", ""en"")"),"lovell")</f>
        <v>lovell</v>
      </c>
    </row>
    <row r="40909">
      <c r="A40909" s="1" t="s">
        <v>40908</v>
      </c>
      <c r="B40909" s="2" t="str">
        <f>IFERROR(__xludf.DUMMYFUNCTION("GOOGLETRANSLATE(A40909, ""de"", ""en"")"),"calibrate")</f>
        <v>calibrate</v>
      </c>
    </row>
    <row r="40910">
      <c r="A40910" s="1" t="s">
        <v>40909</v>
      </c>
      <c r="B40910" s="2" t="str">
        <f>IFERROR(__xludf.DUMMYFUNCTION("GOOGLETRANSLATE(A40910, ""de"", ""en"")"),"queue jumping")</f>
        <v>queue jumping</v>
      </c>
    </row>
    <row r="40911">
      <c r="A40911" s="1" t="s">
        <v>40910</v>
      </c>
      <c r="B40911" s="2" t="str">
        <f>IFERROR(__xludf.DUMMYFUNCTION("GOOGLETRANSLATE(A40911, ""de"", ""en"")"),"Vasilievich")</f>
        <v>Vasilievich</v>
      </c>
    </row>
    <row r="40912">
      <c r="A40912" s="1" t="s">
        <v>40911</v>
      </c>
      <c r="B40912" s="2" t="str">
        <f>IFERROR(__xludf.DUMMYFUNCTION("GOOGLETRANSLATE(A40912, ""de"", ""en"")"),"body")</f>
        <v>body</v>
      </c>
    </row>
    <row r="40913">
      <c r="A40913" s="1" t="s">
        <v>40912</v>
      </c>
      <c r="B40913" s="2" t="str">
        <f>IFERROR(__xludf.DUMMYFUNCTION("GOOGLETRANSLATE(A40913, ""de"", ""en"")"),"psychological")</f>
        <v>psychological</v>
      </c>
    </row>
    <row r="40914">
      <c r="A40914" s="1" t="s">
        <v>40913</v>
      </c>
      <c r="B40914" s="2" t="str">
        <f>IFERROR(__xludf.DUMMYFUNCTION("GOOGLETRANSLATE(A40914, ""de"", ""en"")"),"jakarta")</f>
        <v>jakarta</v>
      </c>
    </row>
    <row r="40915">
      <c r="A40915" s="1" t="s">
        <v>40914</v>
      </c>
      <c r="B40915" s="2" t="str">
        <f>IFERROR(__xludf.DUMMYFUNCTION("GOOGLETRANSLATE(A40915, ""de"", ""en"")"),"tum")</f>
        <v>tum</v>
      </c>
    </row>
    <row r="40916">
      <c r="A40916" s="1" t="s">
        <v>40915</v>
      </c>
      <c r="B40916" s="2" t="str">
        <f>IFERROR(__xludf.DUMMYFUNCTION("GOOGLETRANSLATE(A40916, ""de"", ""en"")"),"rapids")</f>
        <v>rapids</v>
      </c>
    </row>
    <row r="40917">
      <c r="A40917" s="1" t="s">
        <v>40916</v>
      </c>
      <c r="B40917" s="2" t="str">
        <f>IFERROR(__xludf.DUMMYFUNCTION("GOOGLETRANSLATE(A40917, ""de"", ""en"")"),"contradicted")</f>
        <v>contradicted</v>
      </c>
    </row>
    <row r="40918">
      <c r="A40918" s="1" t="s">
        <v>40917</v>
      </c>
      <c r="B40918" s="2" t="str">
        <f>IFERROR(__xludf.DUMMYFUNCTION("GOOGLETRANSLATE(A40918, ""de"", ""en"")"),"needy")</f>
        <v>needy</v>
      </c>
    </row>
    <row r="40919">
      <c r="A40919" s="1" t="s">
        <v>40918</v>
      </c>
      <c r="B40919" s="2" t="str">
        <f>IFERROR(__xludf.DUMMYFUNCTION("GOOGLETRANSLATE(A40919, ""de"", ""en"")"),"steffi")</f>
        <v>steffi</v>
      </c>
    </row>
    <row r="40920">
      <c r="A40920" s="1" t="s">
        <v>40919</v>
      </c>
      <c r="B40920" s="2" t="str">
        <f>IFERROR(__xludf.DUMMYFUNCTION("GOOGLETRANSLATE(A40920, ""de"", ""en"")"),"bonuses")</f>
        <v>bonuses</v>
      </c>
    </row>
    <row r="40921">
      <c r="A40921" s="1" t="s">
        <v>40920</v>
      </c>
      <c r="B40921" s="2" t="str">
        <f>IFERROR(__xludf.DUMMYFUNCTION("GOOGLETRANSLATE(A40921, ""de"", ""en"")"),"knife")</f>
        <v>knife</v>
      </c>
    </row>
    <row r="40922">
      <c r="A40922" s="1" t="s">
        <v>40921</v>
      </c>
      <c r="B40922" s="2" t="str">
        <f>IFERROR(__xludf.DUMMYFUNCTION("GOOGLETRANSLATE(A40922, ""de"", ""en"")"),"teachers")</f>
        <v>teachers</v>
      </c>
    </row>
    <row r="40923">
      <c r="A40923" s="1" t="s">
        <v>40922</v>
      </c>
      <c r="B40923" s="2" t="str">
        <f>IFERROR(__xludf.DUMMYFUNCTION("GOOGLETRANSLATE(A40923, ""de"", ""en"")"),"quatermass")</f>
        <v>quatermass</v>
      </c>
    </row>
    <row r="40924">
      <c r="A40924" s="1" t="s">
        <v>40923</v>
      </c>
      <c r="B40924" s="2" t="str">
        <f>IFERROR(__xludf.DUMMYFUNCTION("GOOGLETRANSLATE(A40924, ""de"", ""en"")"),"productions")</f>
        <v>productions</v>
      </c>
    </row>
    <row r="40925">
      <c r="A40925" s="1" t="s">
        <v>40924</v>
      </c>
      <c r="B40925" s="2" t="str">
        <f>IFERROR(__xludf.DUMMYFUNCTION("GOOGLETRANSLATE(A40925, ""de"", ""en"")"),"ians")</f>
        <v>ians</v>
      </c>
    </row>
    <row r="40926">
      <c r="A40926" s="1" t="s">
        <v>40925</v>
      </c>
      <c r="B40926" s="2" t="str">
        <f>IFERROR(__xludf.DUMMYFUNCTION("GOOGLETRANSLATE(A40926, ""de"", ""en"")"),"discard")</f>
        <v>discard</v>
      </c>
    </row>
    <row r="40927">
      <c r="A40927" s="1" t="s">
        <v>40926</v>
      </c>
      <c r="B40927" s="2" t="str">
        <f>IFERROR(__xludf.DUMMYFUNCTION("GOOGLETRANSLATE(A40927, ""de"", ""en"")"),"radiant")</f>
        <v>radiant</v>
      </c>
    </row>
    <row r="40928">
      <c r="A40928" s="1" t="s">
        <v>40927</v>
      </c>
      <c r="B40928" s="2" t="str">
        <f>IFERROR(__xludf.DUMMYFUNCTION("GOOGLETRANSLATE(A40928, ""de"", ""en"")"),"devoted")</f>
        <v>devoted</v>
      </c>
    </row>
    <row r="40929">
      <c r="A40929" s="1" t="s">
        <v>40928</v>
      </c>
      <c r="B40929" s="2" t="str">
        <f>IFERROR(__xludf.DUMMYFUNCTION("GOOGLETRANSLATE(A40929, ""de"", ""en"")"),"shone")</f>
        <v>shone</v>
      </c>
    </row>
    <row r="40930">
      <c r="A40930" s="1" t="s">
        <v>40929</v>
      </c>
      <c r="B40930" s="2" t="str">
        <f>IFERROR(__xludf.DUMMYFUNCTION("GOOGLETRANSLATE(A40930, ""de"", ""en"")"),"to reject")</f>
        <v>to reject</v>
      </c>
    </row>
    <row r="40931">
      <c r="A40931" s="1" t="s">
        <v>40930</v>
      </c>
      <c r="B40931" s="2" t="str">
        <f>IFERROR(__xludf.DUMMYFUNCTION("GOOGLETRANSLATE(A40931, ""de"", ""en"")"),"assign")</f>
        <v>assign</v>
      </c>
    </row>
    <row r="40932">
      <c r="A40932" s="1" t="s">
        <v>40931</v>
      </c>
      <c r="B40932" s="2" t="str">
        <f>IFERROR(__xludf.DUMMYFUNCTION("GOOGLETRANSLATE(A40932, ""de"", ""en"")"),"Dachau")</f>
        <v>Dachau</v>
      </c>
    </row>
    <row r="40933">
      <c r="A40933" s="1" t="s">
        <v>40932</v>
      </c>
      <c r="B40933" s="2" t="str">
        <f>IFERROR(__xludf.DUMMYFUNCTION("GOOGLETRANSLATE(A40933, ""de"", ""en"")"),"throw down")</f>
        <v>throw down</v>
      </c>
    </row>
    <row r="40934">
      <c r="A40934" s="1" t="s">
        <v>40933</v>
      </c>
      <c r="B40934" s="2" t="str">
        <f>IFERROR(__xludf.DUMMYFUNCTION("GOOGLETRANSLATE(A40934, ""de"", ""en"")"),"problem")</f>
        <v>problem</v>
      </c>
    </row>
    <row r="40935">
      <c r="A40935" s="1" t="s">
        <v>40934</v>
      </c>
      <c r="B40935" s="2" t="str">
        <f>IFERROR(__xludf.DUMMYFUNCTION("GOOGLETRANSLATE(A40935, ""de"", ""en"")"),"empathy")</f>
        <v>empathy</v>
      </c>
    </row>
    <row r="40936">
      <c r="A40936" s="1" t="s">
        <v>40935</v>
      </c>
      <c r="B40936" s="2" t="str">
        <f>IFERROR(__xludf.DUMMYFUNCTION("GOOGLETRANSLATE(A40936, ""de"", ""en"")"),"branches")</f>
        <v>branches</v>
      </c>
    </row>
    <row r="40937">
      <c r="A40937" s="1" t="s">
        <v>40936</v>
      </c>
      <c r="B40937" s="2" t="str">
        <f>IFERROR(__xludf.DUMMYFUNCTION("GOOGLETRANSLATE(A40937, ""de"", ""en"")"),"abjured")</f>
        <v>abjured</v>
      </c>
    </row>
    <row r="40938">
      <c r="A40938" s="1" t="s">
        <v>40937</v>
      </c>
      <c r="B40938" s="2" t="str">
        <f>IFERROR(__xludf.DUMMYFUNCTION("GOOGLETRANSLATE(A40938, ""de"", ""en"")"),"rabbi")</f>
        <v>rabbi</v>
      </c>
    </row>
    <row r="40939">
      <c r="A40939" s="1" t="s">
        <v>40938</v>
      </c>
      <c r="B40939" s="2" t="str">
        <f>IFERROR(__xludf.DUMMYFUNCTION("GOOGLETRANSLATE(A40939, ""de"", ""en"")"),"intruders")</f>
        <v>intruders</v>
      </c>
    </row>
    <row r="40940">
      <c r="A40940" s="1" t="s">
        <v>40939</v>
      </c>
      <c r="B40940" s="2" t="str">
        <f>IFERROR(__xludf.DUMMYFUNCTION("GOOGLETRANSLATE(A40940, ""de"", ""en"")"),"cumbersome")</f>
        <v>cumbersome</v>
      </c>
    </row>
    <row r="40941">
      <c r="A40941" s="1" t="s">
        <v>40940</v>
      </c>
      <c r="B40941" s="2" t="str">
        <f>IFERROR(__xludf.DUMMYFUNCTION("GOOGLETRANSLATE(A40941, ""de"", ""en"")"),"manned")</f>
        <v>manned</v>
      </c>
    </row>
    <row r="40942">
      <c r="A40942" s="1" t="s">
        <v>40941</v>
      </c>
      <c r="B40942" s="2" t="str">
        <f>IFERROR(__xludf.DUMMYFUNCTION("GOOGLETRANSLATE(A40942, ""de"", ""en"")"),"deeds")</f>
        <v>deeds</v>
      </c>
    </row>
    <row r="40943">
      <c r="A40943" s="1" t="s">
        <v>40942</v>
      </c>
      <c r="B40943" s="2" t="str">
        <f>IFERROR(__xludf.DUMMYFUNCTION("GOOGLETRANSLATE(A40943, ""de"", ""en"")"),"barbecue party")</f>
        <v>barbecue party</v>
      </c>
    </row>
    <row r="40944">
      <c r="A40944" s="1" t="s">
        <v>40943</v>
      </c>
      <c r="B40944" s="2" t="str">
        <f>IFERROR(__xludf.DUMMYFUNCTION("GOOGLETRANSLATE(A40944, ""de"", ""en"")"),"district court")</f>
        <v>district court</v>
      </c>
    </row>
    <row r="40945">
      <c r="A40945" s="1" t="s">
        <v>40944</v>
      </c>
      <c r="B40945" s="2" t="str">
        <f>IFERROR(__xludf.DUMMYFUNCTION("GOOGLETRANSLATE(A40945, ""de"", ""en"")"),"department")</f>
        <v>department</v>
      </c>
    </row>
    <row r="40946">
      <c r="A40946" s="1" t="s">
        <v>40945</v>
      </c>
      <c r="B40946" s="2" t="str">
        <f>IFERROR(__xludf.DUMMYFUNCTION("GOOGLETRANSLATE(A40946, ""de"", ""en"")"),"prosecutor")</f>
        <v>prosecutor</v>
      </c>
    </row>
    <row r="40947">
      <c r="A40947" s="1" t="s">
        <v>40946</v>
      </c>
      <c r="B40947" s="2" t="str">
        <f>IFERROR(__xludf.DUMMYFUNCTION("GOOGLETRANSLATE(A40947, ""de"", ""en"")"),"apart")</f>
        <v>apart</v>
      </c>
    </row>
    <row r="40948">
      <c r="A40948" s="1" t="s">
        <v>40947</v>
      </c>
      <c r="B40948" s="2" t="str">
        <f>IFERROR(__xludf.DUMMYFUNCTION("GOOGLETRANSLATE(A40948, ""de"", ""en"")"),"ineffective")</f>
        <v>ineffective</v>
      </c>
    </row>
    <row r="40949">
      <c r="A40949" s="1" t="s">
        <v>40948</v>
      </c>
      <c r="B40949" s="2" t="str">
        <f>IFERROR(__xludf.DUMMYFUNCTION("GOOGLETRANSLATE(A40949, ""de"", ""en"")"),"control")</f>
        <v>control</v>
      </c>
    </row>
    <row r="40950">
      <c r="A40950" s="1" t="s">
        <v>40949</v>
      </c>
      <c r="B40950" s="2" t="str">
        <f>IFERROR(__xludf.DUMMYFUNCTION("GOOGLETRANSLATE(A40950, ""de"", ""en"")"),"author")</f>
        <v>author</v>
      </c>
    </row>
    <row r="40951">
      <c r="A40951" s="1" t="s">
        <v>40950</v>
      </c>
      <c r="B40951" s="2" t="str">
        <f>IFERROR(__xludf.DUMMYFUNCTION("GOOGLETRANSLATE(A40951, ""de"", ""en"")"),"hourglass")</f>
        <v>hourglass</v>
      </c>
    </row>
    <row r="40952">
      <c r="A40952" s="1" t="s">
        <v>40951</v>
      </c>
      <c r="B40952" s="2" t="str">
        <f>IFERROR(__xludf.DUMMYFUNCTION("GOOGLETRANSLATE(A40952, ""de"", ""en"")"),"penrose")</f>
        <v>penrose</v>
      </c>
    </row>
    <row r="40953">
      <c r="A40953" s="1" t="s">
        <v>40952</v>
      </c>
      <c r="B40953" s="2" t="str">
        <f>IFERROR(__xludf.DUMMYFUNCTION("GOOGLETRANSLATE(A40953, ""de"", ""en"")"),"water pipe")</f>
        <v>water pipe</v>
      </c>
    </row>
    <row r="40954">
      <c r="A40954" s="1" t="s">
        <v>40953</v>
      </c>
      <c r="B40954" s="2" t="str">
        <f>IFERROR(__xludf.DUMMYFUNCTION("GOOGLETRANSLATE(A40954, ""de"", ""en"")"),"pool of blood")</f>
        <v>pool of blood</v>
      </c>
    </row>
    <row r="40955">
      <c r="A40955" s="1" t="s">
        <v>40954</v>
      </c>
      <c r="B40955" s="2" t="str">
        <f>IFERROR(__xludf.DUMMYFUNCTION("GOOGLETRANSLATE(A40955, ""de"", ""en"")"),"to go along")</f>
        <v>to go along</v>
      </c>
    </row>
    <row r="40956">
      <c r="A40956" s="1" t="s">
        <v>40955</v>
      </c>
      <c r="B40956" s="2" t="str">
        <f>IFERROR(__xludf.DUMMYFUNCTION("GOOGLETRANSLATE(A40956, ""de"", ""en"")"),"professional")</f>
        <v>professional</v>
      </c>
    </row>
    <row r="40957">
      <c r="A40957" s="1" t="s">
        <v>40956</v>
      </c>
      <c r="B40957" s="2" t="str">
        <f>IFERROR(__xludf.DUMMYFUNCTION("GOOGLETRANSLATE(A40957, ""de"", ""en"")"),"walked")</f>
        <v>walked</v>
      </c>
    </row>
    <row r="40958">
      <c r="A40958" s="1" t="s">
        <v>40957</v>
      </c>
      <c r="B40958" s="2" t="str">
        <f>IFERROR(__xludf.DUMMYFUNCTION("GOOGLETRANSLATE(A40958, ""de"", ""en"")"),"permanent")</f>
        <v>permanent</v>
      </c>
    </row>
    <row r="40959">
      <c r="A40959" s="1" t="s">
        <v>40958</v>
      </c>
      <c r="B40959" s="2" t="str">
        <f>IFERROR(__xludf.DUMMYFUNCTION("GOOGLETRANSLATE(A40959, ""de"", ""en"")"),"leading")</f>
        <v>leading</v>
      </c>
    </row>
    <row r="40960">
      <c r="A40960" s="1" t="s">
        <v>40959</v>
      </c>
      <c r="B40960" s="2" t="str">
        <f>IFERROR(__xludf.DUMMYFUNCTION("GOOGLETRANSLATE(A40960, ""de"", ""en"")"),"Dredd")</f>
        <v>Dredd</v>
      </c>
    </row>
    <row r="40961">
      <c r="A40961" s="1" t="s">
        <v>40960</v>
      </c>
      <c r="B40961" s="2" t="str">
        <f>IFERROR(__xludf.DUMMYFUNCTION("GOOGLETRANSLATE(A40961, ""de"", ""en"")"),"do magic")</f>
        <v>do magic</v>
      </c>
    </row>
    <row r="40962">
      <c r="A40962" s="1" t="s">
        <v>40961</v>
      </c>
      <c r="B40962" s="2" t="str">
        <f>IFERROR(__xludf.DUMMYFUNCTION("GOOGLETRANSLATE(A40962, ""de"", ""en"")"),"case file")</f>
        <v>case file</v>
      </c>
    </row>
    <row r="40963">
      <c r="A40963" s="1" t="s">
        <v>40962</v>
      </c>
      <c r="B40963" s="2" t="str">
        <f>IFERROR(__xludf.DUMMYFUNCTION("GOOGLETRANSLATE(A40963, ""de"", ""en"")"),"raised")</f>
        <v>raised</v>
      </c>
    </row>
    <row r="40964">
      <c r="A40964" s="1" t="s">
        <v>40963</v>
      </c>
      <c r="B40964" s="2" t="str">
        <f>IFERROR(__xludf.DUMMYFUNCTION("GOOGLETRANSLATE(A40964, ""de"", ""en"")"),"workhorse")</f>
        <v>workhorse</v>
      </c>
    </row>
    <row r="40965">
      <c r="A40965" s="1" t="s">
        <v>40964</v>
      </c>
      <c r="B40965" s="2" t="str">
        <f>IFERROR(__xludf.DUMMYFUNCTION("GOOGLETRANSLATE(A40965, ""de"", ""en"")"),"sweet")</f>
        <v>sweet</v>
      </c>
    </row>
    <row r="40966">
      <c r="A40966" s="1" t="s">
        <v>40965</v>
      </c>
      <c r="B40966" s="2" t="str">
        <f>IFERROR(__xludf.DUMMYFUNCTION("GOOGLETRANSLATE(A40966, ""de"", ""en"")"),"glitter")</f>
        <v>glitter</v>
      </c>
    </row>
    <row r="40967">
      <c r="A40967" s="1" t="s">
        <v>40966</v>
      </c>
      <c r="B40967" s="2" t="str">
        <f>IFERROR(__xludf.DUMMYFUNCTION("GOOGLETRANSLATE(A40967, ""de"", ""en"")"),"unmarried")</f>
        <v>unmarried</v>
      </c>
    </row>
    <row r="40968">
      <c r="A40968" s="1" t="s">
        <v>40967</v>
      </c>
      <c r="B40968" s="2" t="str">
        <f>IFERROR(__xludf.DUMMYFUNCTION("GOOGLETRANSLATE(A40968, ""de"", ""en"")"),"look again")</f>
        <v>look again</v>
      </c>
    </row>
    <row r="40969">
      <c r="A40969" s="1" t="s">
        <v>40968</v>
      </c>
      <c r="B40969" s="2" t="str">
        <f>IFERROR(__xludf.DUMMYFUNCTION("GOOGLETRANSLATE(A40969, ""de"", ""en"")"),"groped")</f>
        <v>groped</v>
      </c>
    </row>
    <row r="40970">
      <c r="A40970" s="1" t="s">
        <v>40969</v>
      </c>
      <c r="B40970" s="2" t="str">
        <f>IFERROR(__xludf.DUMMYFUNCTION("GOOGLETRANSLATE(A40970, ""de"", ""en"")"),"leads")</f>
        <v>leads</v>
      </c>
    </row>
    <row r="40971">
      <c r="A40971" s="1" t="s">
        <v>40970</v>
      </c>
      <c r="B40971" s="2" t="str">
        <f>IFERROR(__xludf.DUMMYFUNCTION("GOOGLETRANSLATE(A40971, ""de"", ""en"")"),"x-ray vision")</f>
        <v>x-ray vision</v>
      </c>
    </row>
    <row r="40972">
      <c r="A40972" s="1" t="s">
        <v>40971</v>
      </c>
      <c r="B40972" s="2" t="str">
        <f>IFERROR(__xludf.DUMMYFUNCTION("GOOGLETRANSLATE(A40972, ""de"", ""en"")"),"hunchbacked")</f>
        <v>hunchbacked</v>
      </c>
    </row>
    <row r="40973">
      <c r="A40973" s="1" t="s">
        <v>40972</v>
      </c>
      <c r="B40973" s="2" t="str">
        <f>IFERROR(__xludf.DUMMYFUNCTION("GOOGLETRANSLATE(A40973, ""de"", ""en"")"),"not be")</f>
        <v>not be</v>
      </c>
    </row>
    <row r="40974">
      <c r="A40974" s="1" t="s">
        <v>40973</v>
      </c>
      <c r="B40974" s="2" t="str">
        <f>IFERROR(__xludf.DUMMYFUNCTION("GOOGLETRANSLATE(A40974, ""de"", ""en"")"),"expires")</f>
        <v>expires</v>
      </c>
    </row>
    <row r="40975">
      <c r="A40975" s="1" t="s">
        <v>40974</v>
      </c>
      <c r="B40975" s="2" t="str">
        <f>IFERROR(__xludf.DUMMYFUNCTION("GOOGLETRANSLATE(A40975, ""de"", ""en"")"),"chew")</f>
        <v>chew</v>
      </c>
    </row>
    <row r="40976">
      <c r="A40976" s="1" t="s">
        <v>40975</v>
      </c>
      <c r="B40976" s="2" t="str">
        <f>IFERROR(__xludf.DUMMYFUNCTION("GOOGLETRANSLATE(A40976, ""de"", ""en"")"),"helplessness")</f>
        <v>helplessness</v>
      </c>
    </row>
    <row r="40977">
      <c r="A40977" s="1" t="s">
        <v>40976</v>
      </c>
      <c r="B40977" s="2" t="str">
        <f>IFERROR(__xludf.DUMMYFUNCTION("GOOGLETRANSLATE(A40977, ""de"", ""en"")"),"moments")</f>
        <v>moments</v>
      </c>
    </row>
    <row r="40978">
      <c r="A40978" s="1" t="s">
        <v>40977</v>
      </c>
      <c r="B40978" s="2" t="str">
        <f>IFERROR(__xludf.DUMMYFUNCTION("GOOGLETRANSLATE(A40978, ""de"", ""en"")"),"walled up")</f>
        <v>walled up</v>
      </c>
    </row>
    <row r="40979">
      <c r="A40979" s="1" t="s">
        <v>40978</v>
      </c>
      <c r="B40979" s="2" t="str">
        <f>IFERROR(__xludf.DUMMYFUNCTION("GOOGLETRANSLATE(A40979, ""de"", ""en"")"),"spiritual")</f>
        <v>spiritual</v>
      </c>
    </row>
    <row r="40980">
      <c r="A40980" s="1" t="s">
        <v>40979</v>
      </c>
      <c r="B40980" s="2" t="str">
        <f>IFERROR(__xludf.DUMMYFUNCTION("GOOGLETRANSLATE(A40980, ""de"", ""en"")"),"extra costs")</f>
        <v>extra costs</v>
      </c>
    </row>
    <row r="40981">
      <c r="A40981" s="1" t="s">
        <v>40980</v>
      </c>
      <c r="B40981" s="2" t="str">
        <f>IFERROR(__xludf.DUMMYFUNCTION("GOOGLETRANSLATE(A40981, ""de"", ""en"")"),"wires")</f>
        <v>wires</v>
      </c>
    </row>
    <row r="40982">
      <c r="A40982" s="1" t="s">
        <v>40981</v>
      </c>
      <c r="B40982" s="2" t="str">
        <f>IFERROR(__xludf.DUMMYFUNCTION("GOOGLETRANSLATE(A40982, ""de"", ""en"")"),"upset")</f>
        <v>upset</v>
      </c>
    </row>
    <row r="40983">
      <c r="A40983" s="1" t="s">
        <v>40982</v>
      </c>
      <c r="B40983" s="2" t="str">
        <f>IFERROR(__xludf.DUMMYFUNCTION("GOOGLETRANSLATE(A40983, ""de"", ""en"")"),"deception")</f>
        <v>deception</v>
      </c>
    </row>
    <row r="40984">
      <c r="A40984" s="1" t="s">
        <v>40983</v>
      </c>
      <c r="B40984" s="2" t="str">
        <f>IFERROR(__xludf.DUMMYFUNCTION("GOOGLETRANSLATE(A40984, ""de"", ""en"")"),"nantucket")</f>
        <v>nantucket</v>
      </c>
    </row>
    <row r="40985">
      <c r="A40985" s="1" t="s">
        <v>40984</v>
      </c>
      <c r="B40985" s="2" t="str">
        <f>IFERROR(__xludf.DUMMYFUNCTION("GOOGLETRANSLATE(A40985, ""de"", ""en"")"),"to blow up")</f>
        <v>to blow up</v>
      </c>
    </row>
    <row r="40986">
      <c r="A40986" s="1" t="s">
        <v>40985</v>
      </c>
      <c r="B40986" s="2" t="str">
        <f>IFERROR(__xludf.DUMMYFUNCTION("GOOGLETRANSLATE(A40986, ""de"", ""en"")"),"emotionally")</f>
        <v>emotionally</v>
      </c>
    </row>
    <row r="40987">
      <c r="A40987" s="1" t="s">
        <v>40986</v>
      </c>
      <c r="B40987" s="2" t="str">
        <f>IFERROR(__xludf.DUMMYFUNCTION("GOOGLETRANSLATE(A40987, ""de"", ""en"")"),"geir")</f>
        <v>geir</v>
      </c>
    </row>
    <row r="40988">
      <c r="A40988" s="1" t="s">
        <v>40987</v>
      </c>
      <c r="B40988" s="2" t="str">
        <f>IFERROR(__xludf.DUMMYFUNCTION("GOOGLETRANSLATE(A40988, ""de"", ""en"")"),"12 year old")</f>
        <v>12 year old</v>
      </c>
    </row>
    <row r="40989">
      <c r="A40989" s="1" t="s">
        <v>40988</v>
      </c>
      <c r="B40989" s="2" t="str">
        <f>IFERROR(__xludf.DUMMYFUNCTION("GOOGLETRANSLATE(A40989, ""de"", ""en"")"),"prescribes")</f>
        <v>prescribes</v>
      </c>
    </row>
    <row r="40990">
      <c r="A40990" s="1" t="s">
        <v>40989</v>
      </c>
      <c r="B40990" s="2" t="str">
        <f>IFERROR(__xludf.DUMMYFUNCTION("GOOGLETRANSLATE(A40990, ""de"", ""en"")"),"estimate")</f>
        <v>estimate</v>
      </c>
    </row>
    <row r="40991">
      <c r="A40991" s="1" t="s">
        <v>40990</v>
      </c>
      <c r="B40991" s="2" t="str">
        <f>IFERROR(__xludf.DUMMYFUNCTION("GOOGLETRANSLATE(A40991, ""de"", ""en"")"),"ugh")</f>
        <v>ugh</v>
      </c>
    </row>
    <row r="40992">
      <c r="A40992" s="1" t="s">
        <v>40991</v>
      </c>
      <c r="B40992" s="2" t="str">
        <f>IFERROR(__xludf.DUMMYFUNCTION("GOOGLETRANSLATE(A40992, ""de"", ""en"")"),"Pulitzer Prize")</f>
        <v>Pulitzer Prize</v>
      </c>
    </row>
    <row r="40993">
      <c r="A40993" s="1" t="s">
        <v>40992</v>
      </c>
      <c r="B40993" s="2" t="str">
        <f>IFERROR(__xludf.DUMMYFUNCTION("GOOGLETRANSLATE(A40993, ""de"", ""en"")"),"trafalgar")</f>
        <v>trafalgar</v>
      </c>
    </row>
    <row r="40994">
      <c r="A40994" s="1" t="s">
        <v>40993</v>
      </c>
      <c r="B40994" s="2" t="str">
        <f>IFERROR(__xludf.DUMMYFUNCTION("GOOGLETRANSLATE(A40994, ""de"", ""en"")"),"collection")</f>
        <v>collection</v>
      </c>
    </row>
    <row r="40995">
      <c r="A40995" s="1" t="s">
        <v>40994</v>
      </c>
      <c r="B40995" s="2" t="str">
        <f>IFERROR(__xludf.DUMMYFUNCTION("GOOGLETRANSLATE(A40995, ""de"", ""en"")"),"tracksuit")</f>
        <v>tracksuit</v>
      </c>
    </row>
    <row r="40996">
      <c r="A40996" s="1" t="s">
        <v>40995</v>
      </c>
      <c r="B40996" s="2" t="str">
        <f>IFERROR(__xludf.DUMMYFUNCTION("GOOGLETRANSLATE(A40996, ""de"", ""en"")"),"Gridley")</f>
        <v>Gridley</v>
      </c>
    </row>
    <row r="40997">
      <c r="A40997" s="1" t="s">
        <v>40996</v>
      </c>
      <c r="B40997" s="2" t="str">
        <f>IFERROR(__xludf.DUMMYFUNCTION("GOOGLETRANSLATE(A40997, ""de"", ""en"")"),"to get away")</f>
        <v>to get away</v>
      </c>
    </row>
    <row r="40998">
      <c r="A40998" s="1" t="s">
        <v>40997</v>
      </c>
      <c r="B40998" s="2" t="str">
        <f>IFERROR(__xludf.DUMMYFUNCTION("GOOGLETRANSLATE(A40998, ""de"", ""en"")"),"exorcist")</f>
        <v>exorcist</v>
      </c>
    </row>
    <row r="40999">
      <c r="A40999" s="1" t="s">
        <v>40998</v>
      </c>
      <c r="B40999" s="2" t="str">
        <f>IFERROR(__xludf.DUMMYFUNCTION("GOOGLETRANSLATE(A40999, ""de"", ""en"")"),"states")</f>
        <v>states</v>
      </c>
    </row>
    <row r="41000">
      <c r="A41000" s="1" t="s">
        <v>40999</v>
      </c>
      <c r="B41000" s="2" t="str">
        <f>IFERROR(__xludf.DUMMYFUNCTION("GOOGLETRANSLATE(A41000, ""de"", ""en"")"),"forgave")</f>
        <v>forgave</v>
      </c>
    </row>
    <row r="41001">
      <c r="A41001" s="1" t="s">
        <v>41000</v>
      </c>
      <c r="B41001" s="2" t="str">
        <f>IFERROR(__xludf.DUMMYFUNCTION("GOOGLETRANSLATE(A41001, ""de"", ""en"")"),"22s")</f>
        <v>22s</v>
      </c>
    </row>
    <row r="41002">
      <c r="A41002" s="1" t="s">
        <v>41001</v>
      </c>
      <c r="B41002" s="2" t="str">
        <f>IFERROR(__xludf.DUMMYFUNCTION("GOOGLETRANSLATE(A41002, ""de"", ""en"")"),"spring roll")</f>
        <v>spring roll</v>
      </c>
    </row>
    <row r="41003">
      <c r="A41003" s="1" t="s">
        <v>41002</v>
      </c>
      <c r="B41003" s="2" t="str">
        <f>IFERROR(__xludf.DUMMYFUNCTION("GOOGLETRANSLATE(A41003, ""de"", ""en"")"),"verdict")</f>
        <v>verdict</v>
      </c>
    </row>
    <row r="41004">
      <c r="A41004" s="1" t="s">
        <v>41003</v>
      </c>
      <c r="B41004" s="2" t="str">
        <f>IFERROR(__xludf.DUMMYFUNCTION("GOOGLETRANSLATE(A41004, ""de"", ""en"")"),"unconsciousness")</f>
        <v>unconsciousness</v>
      </c>
    </row>
    <row r="41005">
      <c r="A41005" s="1" t="s">
        <v>41004</v>
      </c>
      <c r="B41005" s="2" t="str">
        <f>IFERROR(__xludf.DUMMYFUNCTION("GOOGLETRANSLATE(A41005, ""de"", ""en"")"),"amina")</f>
        <v>amina</v>
      </c>
    </row>
    <row r="41006">
      <c r="A41006" s="1" t="s">
        <v>41005</v>
      </c>
      <c r="B41006" s="2" t="str">
        <f>IFERROR(__xludf.DUMMYFUNCTION("GOOGLETRANSLATE(A41006, ""de"", ""en"")"),"comprehensive")</f>
        <v>comprehensive</v>
      </c>
    </row>
    <row r="41007">
      <c r="A41007" s="1" t="s">
        <v>41006</v>
      </c>
      <c r="B41007" s="2" t="str">
        <f>IFERROR(__xludf.DUMMYFUNCTION("GOOGLETRANSLATE(A41007, ""de"", ""en"")"),"massacred")</f>
        <v>massacred</v>
      </c>
    </row>
    <row r="41008">
      <c r="A41008" s="1" t="s">
        <v>41007</v>
      </c>
      <c r="B41008" s="2" t="str">
        <f>IFERROR(__xludf.DUMMYFUNCTION("GOOGLETRANSLATE(A41008, ""de"", ""en"")"),"armament")</f>
        <v>armament</v>
      </c>
    </row>
    <row r="41009">
      <c r="A41009" s="1" t="s">
        <v>41008</v>
      </c>
      <c r="B41009" s="2" t="str">
        <f>IFERROR(__xludf.DUMMYFUNCTION("GOOGLETRANSLATE(A41009, ""de"", ""en"")"),"put in")</f>
        <v>put in</v>
      </c>
    </row>
    <row r="41010">
      <c r="A41010" s="1" t="s">
        <v>41009</v>
      </c>
      <c r="B41010" s="2" t="str">
        <f>IFERROR(__xludf.DUMMYFUNCTION("GOOGLETRANSLATE(A41010, ""de"", ""en"")"),"embroider")</f>
        <v>embroider</v>
      </c>
    </row>
    <row r="41011">
      <c r="A41011" s="1" t="s">
        <v>41010</v>
      </c>
      <c r="B41011" s="2" t="str">
        <f>IFERROR(__xludf.DUMMYFUNCTION("GOOGLETRANSLATE(A41011, ""de"", ""en"")"),"of Great Britain")</f>
        <v>of Great Britain</v>
      </c>
    </row>
    <row r="41012">
      <c r="A41012" s="1" t="s">
        <v>41011</v>
      </c>
      <c r="B41012" s="2" t="str">
        <f>IFERROR(__xludf.DUMMYFUNCTION("GOOGLETRANSLATE(A41012, ""de"", ""en"")"),"Spanish")</f>
        <v>Spanish</v>
      </c>
    </row>
    <row r="41013">
      <c r="A41013" s="1" t="s">
        <v>41012</v>
      </c>
      <c r="B41013" s="2" t="str">
        <f>IFERROR(__xludf.DUMMYFUNCTION("GOOGLETRANSLATE(A41013, ""de"", ""en"")"),"slaughterhouse")</f>
        <v>slaughterhouse</v>
      </c>
    </row>
    <row r="41014">
      <c r="A41014" s="1" t="s">
        <v>41013</v>
      </c>
      <c r="B41014" s="2" t="str">
        <f>IFERROR(__xludf.DUMMYFUNCTION("GOOGLETRANSLATE(A41014, ""de"", ""en"")"),"fair game")</f>
        <v>fair game</v>
      </c>
    </row>
    <row r="41015">
      <c r="A41015" s="1" t="s">
        <v>41014</v>
      </c>
      <c r="B41015" s="2" t="str">
        <f>IFERROR(__xludf.DUMMYFUNCTION("GOOGLETRANSLATE(A41015, ""de"", ""en"")"),"exposed")</f>
        <v>exposed</v>
      </c>
    </row>
    <row r="41016">
      <c r="A41016" s="1" t="s">
        <v>41015</v>
      </c>
      <c r="B41016" s="2" t="str">
        <f>IFERROR(__xludf.DUMMYFUNCTION("GOOGLETRANSLATE(A41016, ""de"", ""en"")"),"fbis")</f>
        <v>fbis</v>
      </c>
    </row>
    <row r="41017">
      <c r="A41017" s="1" t="s">
        <v>41016</v>
      </c>
      <c r="B41017" s="2" t="str">
        <f>IFERROR(__xludf.DUMMYFUNCTION("GOOGLETRANSLATE(A41017, ""de"", ""en"")"),"scans")</f>
        <v>scans</v>
      </c>
    </row>
    <row r="41018">
      <c r="A41018" s="1" t="s">
        <v>41017</v>
      </c>
      <c r="B41018" s="2" t="str">
        <f>IFERROR(__xludf.DUMMYFUNCTION("GOOGLETRANSLATE(A41018, ""de"", ""en"")"),"coupled")</f>
        <v>coupled</v>
      </c>
    </row>
    <row r="41019">
      <c r="A41019" s="1" t="s">
        <v>41018</v>
      </c>
      <c r="B41019" s="2" t="str">
        <f>IFERROR(__xludf.DUMMYFUNCTION("GOOGLETRANSLATE(A41019, ""de"", ""en"")"),"exceed")</f>
        <v>exceed</v>
      </c>
    </row>
    <row r="41020">
      <c r="A41020" s="1" t="s">
        <v>41019</v>
      </c>
      <c r="B41020" s="2" t="str">
        <f>IFERROR(__xludf.DUMMYFUNCTION("GOOGLETRANSLATE(A41020, ""de"", ""en"")"),"baptists")</f>
        <v>baptists</v>
      </c>
    </row>
    <row r="41021">
      <c r="A41021" s="1" t="s">
        <v>41020</v>
      </c>
      <c r="B41021" s="2" t="str">
        <f>IFERROR(__xludf.DUMMYFUNCTION("GOOGLETRANSLATE(A41021, ""de"", ""en"")"),"blessed")</f>
        <v>blessed</v>
      </c>
    </row>
    <row r="41022">
      <c r="A41022" s="1" t="s">
        <v>41021</v>
      </c>
      <c r="B41022" s="2" t="str">
        <f>IFERROR(__xludf.DUMMYFUNCTION("GOOGLETRANSLATE(A41022, ""de"", ""en"")"),"andiamo")</f>
        <v>andiamo</v>
      </c>
    </row>
    <row r="41023">
      <c r="A41023" s="1" t="s">
        <v>41022</v>
      </c>
      <c r="B41023" s="2" t="str">
        <f>IFERROR(__xludf.DUMMYFUNCTION("GOOGLETRANSLATE(A41023, ""de"", ""en"")"),"pianist")</f>
        <v>pianist</v>
      </c>
    </row>
    <row r="41024">
      <c r="A41024" s="1" t="s">
        <v>41023</v>
      </c>
      <c r="B41024" s="2" t="str">
        <f>IFERROR(__xludf.DUMMYFUNCTION("GOOGLETRANSLATE(A41024, ""de"", ""en"")"),"drifter")</f>
        <v>drifter</v>
      </c>
    </row>
    <row r="41025">
      <c r="A41025" s="1" t="s">
        <v>41024</v>
      </c>
      <c r="B41025" s="2" t="str">
        <f>IFERROR(__xludf.DUMMYFUNCTION("GOOGLETRANSLATE(A41025, ""de"", ""en"")"),"music box")</f>
        <v>music box</v>
      </c>
    </row>
    <row r="41026">
      <c r="A41026" s="1" t="s">
        <v>41025</v>
      </c>
      <c r="B41026" s="2" t="str">
        <f>IFERROR(__xludf.DUMMYFUNCTION("GOOGLETRANSLATE(A41026, ""de"", ""en"")"),"morello")</f>
        <v>morello</v>
      </c>
    </row>
    <row r="41027">
      <c r="A41027" s="1" t="s">
        <v>41026</v>
      </c>
      <c r="B41027" s="2" t="str">
        <f>IFERROR(__xludf.DUMMYFUNCTION("GOOGLETRANSLATE(A41027, ""de"", ""en"")"),"Gillingham")</f>
        <v>Gillingham</v>
      </c>
    </row>
    <row r="41028">
      <c r="A41028" s="1" t="s">
        <v>41027</v>
      </c>
      <c r="B41028" s="2" t="str">
        <f>IFERROR(__xludf.DUMMYFUNCTION("GOOGLETRANSLATE(A41028, ""de"", ""en"")"),"breaks")</f>
        <v>breaks</v>
      </c>
    </row>
    <row r="41029">
      <c r="A41029" s="1" t="s">
        <v>41028</v>
      </c>
      <c r="B41029" s="2" t="str">
        <f>IFERROR(__xludf.DUMMYFUNCTION("GOOGLETRANSLATE(A41029, ""de"", ""en"")"),"rival")</f>
        <v>rival</v>
      </c>
    </row>
    <row r="41030">
      <c r="A41030" s="1" t="s">
        <v>41029</v>
      </c>
      <c r="B41030" s="2" t="str">
        <f>IFERROR(__xludf.DUMMYFUNCTION("GOOGLETRANSLATE(A41030, ""de"", ""en"")"),"pagan")</f>
        <v>pagan</v>
      </c>
    </row>
    <row r="41031">
      <c r="A41031" s="1" t="s">
        <v>41030</v>
      </c>
      <c r="B41031" s="2" t="str">
        <f>IFERROR(__xludf.DUMMYFUNCTION("GOOGLETRANSLATE(A41031, ""de"", ""en"")"),"pointed out")</f>
        <v>pointed out</v>
      </c>
    </row>
    <row r="41032">
      <c r="A41032" s="1" t="s">
        <v>41031</v>
      </c>
      <c r="B41032" s="2" t="str">
        <f>IFERROR(__xludf.DUMMYFUNCTION("GOOGLETRANSLATE(A41032, ""de"", ""en"")"),"little tree")</f>
        <v>little tree</v>
      </c>
    </row>
    <row r="41033">
      <c r="A41033" s="1" t="s">
        <v>41032</v>
      </c>
      <c r="B41033" s="2" t="str">
        <f>IFERROR(__xludf.DUMMYFUNCTION("GOOGLETRANSLATE(A41033, ""de"", ""en"")"),"shuttle ramp")</f>
        <v>shuttle ramp</v>
      </c>
    </row>
    <row r="41034">
      <c r="A41034" s="1" t="s">
        <v>41033</v>
      </c>
      <c r="B41034" s="2" t="str">
        <f>IFERROR(__xludf.DUMMYFUNCTION("GOOGLETRANSLATE(A41034, ""de"", ""en"")"),"to pull in")</f>
        <v>to pull in</v>
      </c>
    </row>
    <row r="41035">
      <c r="A41035" s="1" t="s">
        <v>41034</v>
      </c>
      <c r="B41035" s="2" t="str">
        <f>IFERROR(__xludf.DUMMYFUNCTION("GOOGLETRANSLATE(A41035, ""de"", ""en"")"),"rena")</f>
        <v>rena</v>
      </c>
    </row>
    <row r="41036">
      <c r="A41036" s="1" t="s">
        <v>41035</v>
      </c>
      <c r="B41036" s="2" t="str">
        <f>IFERROR(__xludf.DUMMYFUNCTION("GOOGLETRANSLATE(A41036, ""de"", ""en"")"),"certainly")</f>
        <v>certainly</v>
      </c>
    </row>
    <row r="41037">
      <c r="A41037" s="1" t="s">
        <v>41036</v>
      </c>
      <c r="B41037" s="2" t="str">
        <f>IFERROR(__xludf.DUMMYFUNCTION("GOOGLETRANSLATE(A41037, ""de"", ""en"")"),"tact")</f>
        <v>tact</v>
      </c>
    </row>
    <row r="41038">
      <c r="A41038" s="1" t="s">
        <v>41037</v>
      </c>
      <c r="B41038" s="2" t="str">
        <f>IFERROR(__xludf.DUMMYFUNCTION("GOOGLETRANSLATE(A41038, ""de"", ""en"")"),"remains")</f>
        <v>remains</v>
      </c>
    </row>
    <row r="41039">
      <c r="A41039" s="1" t="s">
        <v>41038</v>
      </c>
      <c r="B41039" s="2" t="str">
        <f>IFERROR(__xludf.DUMMYFUNCTION("GOOGLETRANSLATE(A41039, ""de"", ""en"")"),"Ronson")</f>
        <v>Ronson</v>
      </c>
    </row>
    <row r="41040">
      <c r="A41040" s="1" t="s">
        <v>41039</v>
      </c>
      <c r="B41040" s="2" t="str">
        <f>IFERROR(__xludf.DUMMYFUNCTION("GOOGLETRANSLATE(A41040, ""de"", ""en"")"),"squints")</f>
        <v>squints</v>
      </c>
    </row>
    <row r="41041">
      <c r="A41041" s="1" t="s">
        <v>41040</v>
      </c>
      <c r="B41041" s="2" t="str">
        <f>IFERROR(__xludf.DUMMYFUNCTION("GOOGLETRANSLATE(A41041, ""de"", ""en"")"),"girl scout")</f>
        <v>girl scout</v>
      </c>
    </row>
    <row r="41042">
      <c r="A41042" s="1" t="s">
        <v>41041</v>
      </c>
      <c r="B41042" s="2" t="str">
        <f>IFERROR(__xludf.DUMMYFUNCTION("GOOGLETRANSLATE(A41042, ""de"", ""en"")"),"whistle")</f>
        <v>whistle</v>
      </c>
    </row>
    <row r="41043">
      <c r="A41043" s="1" t="s">
        <v>41042</v>
      </c>
      <c r="B41043" s="2" t="str">
        <f>IFERROR(__xludf.DUMMYFUNCTION("GOOGLETRANSLATE(A41043, ""de"", ""en"")"),"drill")</f>
        <v>drill</v>
      </c>
    </row>
    <row r="41044">
      <c r="A41044" s="1" t="s">
        <v>41043</v>
      </c>
      <c r="B41044" s="2" t="str">
        <f>IFERROR(__xludf.DUMMYFUNCTION("GOOGLETRANSLATE(A41044, ""de"", ""en"")"),"legs")</f>
        <v>legs</v>
      </c>
    </row>
    <row r="41045">
      <c r="A41045" s="1" t="s">
        <v>41044</v>
      </c>
      <c r="B41045" s="2" t="str">
        <f>IFERROR(__xludf.DUMMYFUNCTION("GOOGLETRANSLATE(A41045, ""de"", ""en"")"),"interrogation")</f>
        <v>interrogation</v>
      </c>
    </row>
    <row r="41046">
      <c r="A41046" s="1" t="s">
        <v>41045</v>
      </c>
      <c r="B41046" s="2" t="str">
        <f>IFERROR(__xludf.DUMMYFUNCTION("GOOGLETRANSLATE(A41046, ""de"", ""en"")"),"bros")</f>
        <v>bros</v>
      </c>
    </row>
    <row r="41047">
      <c r="A41047" s="1" t="s">
        <v>41046</v>
      </c>
      <c r="B41047" s="2" t="str">
        <f>IFERROR(__xludf.DUMMYFUNCTION("GOOGLETRANSLATE(A41047, ""de"", ""en"")"),"calling")</f>
        <v>calling</v>
      </c>
    </row>
    <row r="41048">
      <c r="A41048" s="1" t="s">
        <v>41047</v>
      </c>
      <c r="B41048" s="2" t="str">
        <f>IFERROR(__xludf.DUMMYFUNCTION("GOOGLETRANSLATE(A41048, ""de"", ""en"")"),"rock hard")</f>
        <v>rock hard</v>
      </c>
    </row>
    <row r="41049">
      <c r="A41049" s="1" t="s">
        <v>41048</v>
      </c>
      <c r="B41049" s="2" t="str">
        <f>IFERROR(__xludf.DUMMYFUNCTION("GOOGLETRANSLATE(A41049, ""de"", ""en"")"),"interest")</f>
        <v>interest</v>
      </c>
    </row>
    <row r="41050">
      <c r="A41050" s="1" t="s">
        <v>41049</v>
      </c>
      <c r="B41050" s="2" t="str">
        <f>IFERROR(__xludf.DUMMYFUNCTION("GOOGLETRANSLATE(A41050, ""de"", ""en"")"),"Strasbourg")</f>
        <v>Strasbourg</v>
      </c>
    </row>
    <row r="41051">
      <c r="A41051" s="1" t="s">
        <v>41050</v>
      </c>
      <c r="B41051" s="2" t="str">
        <f>IFERROR(__xludf.DUMMYFUNCTION("GOOGLETRANSLATE(A41051, ""de"", ""en"")"),"women's clothes")</f>
        <v>women's clothes</v>
      </c>
    </row>
    <row r="41052">
      <c r="A41052" s="1" t="s">
        <v>41051</v>
      </c>
      <c r="B41052" s="2" t="str">
        <f>IFERROR(__xludf.DUMMYFUNCTION("GOOGLETRANSLATE(A41052, ""de"", ""en"")"),"belt")</f>
        <v>belt</v>
      </c>
    </row>
    <row r="41053">
      <c r="A41053" s="1" t="s">
        <v>41052</v>
      </c>
      <c r="B41053" s="2" t="str">
        <f>IFERROR(__xludf.DUMMYFUNCTION("GOOGLETRANSLATE(A41053, ""de"", ""en"")"),"tend")</f>
        <v>tend</v>
      </c>
    </row>
    <row r="41054">
      <c r="A41054" s="1" t="s">
        <v>41053</v>
      </c>
      <c r="B41054" s="2" t="str">
        <f>IFERROR(__xludf.DUMMYFUNCTION("GOOGLETRANSLATE(A41054, ""de"", ""en"")"),"vector")</f>
        <v>vector</v>
      </c>
    </row>
    <row r="41055">
      <c r="A41055" s="1" t="s">
        <v>41054</v>
      </c>
      <c r="B41055" s="2" t="str">
        <f>IFERROR(__xludf.DUMMYFUNCTION("GOOGLETRANSLATE(A41055, ""de"", ""en"")"),"schibetta")</f>
        <v>schibetta</v>
      </c>
    </row>
    <row r="41056">
      <c r="A41056" s="1" t="s">
        <v>41055</v>
      </c>
      <c r="B41056" s="2" t="str">
        <f>IFERROR(__xludf.DUMMYFUNCTION("GOOGLETRANSLATE(A41056, ""de"", ""en"")"),"fez")</f>
        <v>fez</v>
      </c>
    </row>
    <row r="41057">
      <c r="A41057" s="1" t="s">
        <v>41056</v>
      </c>
      <c r="B41057" s="2" t="str">
        <f>IFERROR(__xludf.DUMMYFUNCTION("GOOGLETRANSLATE(A41057, ""de"", ""en"")"),"dream")</f>
        <v>dream</v>
      </c>
    </row>
    <row r="41058">
      <c r="A41058" s="1" t="s">
        <v>41057</v>
      </c>
      <c r="B41058" s="2" t="str">
        <f>IFERROR(__xludf.DUMMYFUNCTION("GOOGLETRANSLATE(A41058, ""de"", ""en"")"),"sickbed")</f>
        <v>sickbed</v>
      </c>
    </row>
    <row r="41059">
      <c r="A41059" s="1" t="s">
        <v>41058</v>
      </c>
      <c r="B41059" s="2" t="str">
        <f>IFERROR(__xludf.DUMMYFUNCTION("GOOGLETRANSLATE(A41059, ""de"", ""en"")"),"failed")</f>
        <v>failed</v>
      </c>
    </row>
    <row r="41060">
      <c r="A41060" s="1" t="s">
        <v>41059</v>
      </c>
      <c r="B41060" s="2" t="str">
        <f>IFERROR(__xludf.DUMMYFUNCTION("GOOGLETRANSLATE(A41060, ""de"", ""en"")"),"eene")</f>
        <v>eene</v>
      </c>
    </row>
    <row r="41061">
      <c r="A41061" s="1" t="s">
        <v>41060</v>
      </c>
      <c r="B41061" s="2" t="str">
        <f>IFERROR(__xludf.DUMMYFUNCTION("GOOGLETRANSLATE(A41061, ""de"", ""en"")"),"maybourne")</f>
        <v>maybourne</v>
      </c>
    </row>
    <row r="41062">
      <c r="A41062" s="1" t="s">
        <v>41061</v>
      </c>
      <c r="B41062" s="2" t="str">
        <f>IFERROR(__xludf.DUMMYFUNCTION("GOOGLETRANSLATE(A41062, ""de"", ""en"")"),"mystical")</f>
        <v>mystical</v>
      </c>
    </row>
    <row r="41063">
      <c r="A41063" s="1" t="s">
        <v>41062</v>
      </c>
      <c r="B41063" s="2" t="str">
        <f>IFERROR(__xludf.DUMMYFUNCTION("GOOGLETRANSLATE(A41063, ""de"", ""en"")"),"guard")</f>
        <v>guard</v>
      </c>
    </row>
    <row r="41064">
      <c r="A41064" s="1" t="s">
        <v>41063</v>
      </c>
      <c r="B41064" s="2" t="str">
        <f>IFERROR(__xludf.DUMMYFUNCTION("GOOGLETRANSLATE(A41064, ""de"", ""en"")"),"announced")</f>
        <v>announced</v>
      </c>
    </row>
    <row r="41065">
      <c r="A41065" s="1" t="s">
        <v>41064</v>
      </c>
      <c r="B41065" s="2" t="str">
        <f>IFERROR(__xludf.DUMMYFUNCTION("GOOGLETRANSLATE(A41065, ""de"", ""en"")"),"to release")</f>
        <v>to release</v>
      </c>
    </row>
    <row r="41066">
      <c r="A41066" s="1" t="s">
        <v>41065</v>
      </c>
      <c r="B41066" s="2" t="str">
        <f>IFERROR(__xludf.DUMMYFUNCTION("GOOGLETRANSLATE(A41066, ""de"", ""en"")"),"changing of the guard")</f>
        <v>changing of the guard</v>
      </c>
    </row>
    <row r="41067">
      <c r="A41067" s="1" t="s">
        <v>41066</v>
      </c>
      <c r="B41067" s="2" t="str">
        <f>IFERROR(__xludf.DUMMYFUNCTION("GOOGLETRANSLATE(A41067, ""de"", ""en"")"),"gardening")</f>
        <v>gardening</v>
      </c>
    </row>
    <row r="41068">
      <c r="A41068" s="1" t="s">
        <v>41067</v>
      </c>
      <c r="B41068" s="2" t="str">
        <f>IFERROR(__xludf.DUMMYFUNCTION("GOOGLETRANSLATE(A41068, ""de"", ""en"")"),"analyst")</f>
        <v>analyst</v>
      </c>
    </row>
    <row r="41069">
      <c r="A41069" s="1" t="s">
        <v>41068</v>
      </c>
      <c r="B41069" s="2" t="str">
        <f>IFERROR(__xludf.DUMMYFUNCTION("GOOGLETRANSLATE(A41069, ""de"", ""en"")"),"sprays")</f>
        <v>sprays</v>
      </c>
    </row>
    <row r="41070">
      <c r="A41070" s="1" t="s">
        <v>41069</v>
      </c>
      <c r="B41070" s="2" t="str">
        <f>IFERROR(__xludf.DUMMYFUNCTION("GOOGLETRANSLATE(A41070, ""de"", ""en"")"),"immaculate")</f>
        <v>immaculate</v>
      </c>
    </row>
    <row r="41071">
      <c r="A41071" s="1" t="s">
        <v>41070</v>
      </c>
      <c r="B41071" s="2" t="str">
        <f>IFERROR(__xludf.DUMMYFUNCTION("GOOGLETRANSLATE(A41071, ""de"", ""en"")"),"don't give a fuck")</f>
        <v>don't give a fuck</v>
      </c>
    </row>
    <row r="41072">
      <c r="A41072" s="1" t="s">
        <v>41071</v>
      </c>
      <c r="B41072" s="2" t="str">
        <f>IFERROR(__xludf.DUMMYFUNCTION("GOOGLETRANSLATE(A41072, ""de"", ""en"")"),"gets in")</f>
        <v>gets in</v>
      </c>
    </row>
    <row r="41073">
      <c r="A41073" s="1" t="s">
        <v>41072</v>
      </c>
      <c r="B41073" s="2" t="str">
        <f>IFERROR(__xludf.DUMMYFUNCTION("GOOGLETRANSLATE(A41073, ""de"", ""en"")"),"cackles")</f>
        <v>cackles</v>
      </c>
    </row>
    <row r="41074">
      <c r="A41074" s="1" t="s">
        <v>41073</v>
      </c>
      <c r="B41074" s="2" t="str">
        <f>IFERROR(__xludf.DUMMYFUNCTION("GOOGLETRANSLATE(A41074, ""de"", ""en"")"),"existing")</f>
        <v>existing</v>
      </c>
    </row>
    <row r="41075">
      <c r="A41075" s="1" t="s">
        <v>41074</v>
      </c>
      <c r="B41075" s="2" t="str">
        <f>IFERROR(__xludf.DUMMYFUNCTION("GOOGLETRANSLATE(A41075, ""de"", ""en"")"),"here")</f>
        <v>here</v>
      </c>
    </row>
    <row r="41076">
      <c r="A41076" s="1" t="s">
        <v>41075</v>
      </c>
      <c r="B41076" s="2" t="str">
        <f>IFERROR(__xludf.DUMMYFUNCTION("GOOGLETRANSLATE(A41076, ""de"", ""en"")"),"perfectionist")</f>
        <v>perfectionist</v>
      </c>
    </row>
    <row r="41077">
      <c r="A41077" s="1" t="s">
        <v>41076</v>
      </c>
      <c r="B41077" s="2" t="str">
        <f>IFERROR(__xludf.DUMMYFUNCTION("GOOGLETRANSLATE(A41077, ""de"", ""en"")"),"soto")</f>
        <v>soto</v>
      </c>
    </row>
    <row r="41078">
      <c r="A41078" s="1" t="s">
        <v>41077</v>
      </c>
      <c r="B41078" s="2" t="str">
        <f>IFERROR(__xludf.DUMMYFUNCTION("GOOGLETRANSLATE(A41078, ""de"", ""en"")"),"dov")</f>
        <v>dov</v>
      </c>
    </row>
    <row r="41079">
      <c r="A41079" s="1" t="s">
        <v>41078</v>
      </c>
      <c r="B41079" s="2" t="str">
        <f>IFERROR(__xludf.DUMMYFUNCTION("GOOGLETRANSLATE(A41079, ""de"", ""en"")"),"industrial area")</f>
        <v>industrial area</v>
      </c>
    </row>
    <row r="41080">
      <c r="A41080" s="1" t="s">
        <v>41079</v>
      </c>
      <c r="B41080" s="2" t="str">
        <f>IFERROR(__xludf.DUMMYFUNCTION("GOOGLETRANSLATE(A41080, ""de"", ""en"")"),"hybrid")</f>
        <v>hybrid</v>
      </c>
    </row>
    <row r="41081">
      <c r="A41081" s="1" t="s">
        <v>41080</v>
      </c>
      <c r="B41081" s="2" t="str">
        <f>IFERROR(__xludf.DUMMYFUNCTION("GOOGLETRANSLATE(A41081, ""de"", ""en"")"),"zephyr")</f>
        <v>zephyr</v>
      </c>
    </row>
    <row r="41082">
      <c r="A41082" s="1" t="s">
        <v>41081</v>
      </c>
      <c r="B41082" s="2" t="str">
        <f>IFERROR(__xludf.DUMMYFUNCTION("GOOGLETRANSLATE(A41082, ""de"", ""en"")"),"haunted house")</f>
        <v>haunted house</v>
      </c>
    </row>
    <row r="41083">
      <c r="A41083" s="1" t="s">
        <v>41082</v>
      </c>
      <c r="B41083" s="2" t="str">
        <f>IFERROR(__xludf.DUMMYFUNCTION("GOOGLETRANSLATE(A41083, ""de"", ""en"")"),"coming")</f>
        <v>coming</v>
      </c>
    </row>
    <row r="41084">
      <c r="A41084" s="1" t="s">
        <v>41083</v>
      </c>
      <c r="B41084" s="2" t="str">
        <f>IFERROR(__xludf.DUMMYFUNCTION("GOOGLETRANSLATE(A41084, ""de"", ""en"")"),"hunters")</f>
        <v>hunters</v>
      </c>
    </row>
    <row r="41085">
      <c r="A41085" s="1" t="s">
        <v>41084</v>
      </c>
      <c r="B41085" s="2" t="str">
        <f>IFERROR(__xludf.DUMMYFUNCTION("GOOGLETRANSLATE(A41085, ""de"", ""en"")"),"tariff")</f>
        <v>tariff</v>
      </c>
    </row>
    <row r="41086">
      <c r="A41086" s="1" t="s">
        <v>41085</v>
      </c>
      <c r="B41086" s="2" t="str">
        <f>IFERROR(__xludf.DUMMYFUNCTION("GOOGLETRANSLATE(A41086, ""de"", ""en"")"),"left sitting")</f>
        <v>left sitting</v>
      </c>
    </row>
    <row r="41087">
      <c r="A41087" s="1" t="s">
        <v>41086</v>
      </c>
      <c r="B41087" s="2" t="str">
        <f>IFERROR(__xludf.DUMMYFUNCTION("GOOGLETRANSLATE(A41087, ""de"", ""en"")"),"late")</f>
        <v>late</v>
      </c>
    </row>
    <row r="41088">
      <c r="A41088" s="1" t="s">
        <v>41087</v>
      </c>
      <c r="B41088" s="2" t="str">
        <f>IFERROR(__xludf.DUMMYFUNCTION("GOOGLETRANSLATE(A41088, ""de"", ""en"")"),"usury")</f>
        <v>usury</v>
      </c>
    </row>
    <row r="41089">
      <c r="A41089" s="1" t="s">
        <v>41088</v>
      </c>
      <c r="B41089" s="2" t="str">
        <f>IFERROR(__xludf.DUMMYFUNCTION("GOOGLETRANSLATE(A41089, ""de"", ""en"")"),"show around")</f>
        <v>show around</v>
      </c>
    </row>
    <row r="41090">
      <c r="A41090" s="1" t="s">
        <v>41089</v>
      </c>
      <c r="B41090" s="2" t="str">
        <f>IFERROR(__xludf.DUMMYFUNCTION("GOOGLETRANSLATE(A41090, ""de"", ""en"")"),"stabs")</f>
        <v>stabs</v>
      </c>
    </row>
    <row r="41091">
      <c r="A41091" s="1" t="s">
        <v>41090</v>
      </c>
      <c r="B41091" s="2" t="str">
        <f>IFERROR(__xludf.DUMMYFUNCTION("GOOGLETRANSLATE(A41091, ""de"", ""en"")"),"rubber cell")</f>
        <v>rubber cell</v>
      </c>
    </row>
    <row r="41092">
      <c r="A41092" s="1" t="s">
        <v>41091</v>
      </c>
      <c r="B41092" s="2" t="str">
        <f>IFERROR(__xludf.DUMMYFUNCTION("GOOGLETRANSLATE(A41092, ""de"", ""en"")"),"cremation")</f>
        <v>cremation</v>
      </c>
    </row>
    <row r="41093">
      <c r="A41093" s="1" t="s">
        <v>41092</v>
      </c>
      <c r="B41093" s="2" t="str">
        <f>IFERROR(__xludf.DUMMYFUNCTION("GOOGLETRANSLATE(A41093, ""de"", ""en"")"),"wink")</f>
        <v>wink</v>
      </c>
    </row>
    <row r="41094">
      <c r="A41094" s="1" t="s">
        <v>41093</v>
      </c>
      <c r="B41094" s="2" t="str">
        <f>IFERROR(__xludf.DUMMYFUNCTION("GOOGLETRANSLATE(A41094, ""de"", ""en"")"),"spencers")</f>
        <v>spencers</v>
      </c>
    </row>
    <row r="41095">
      <c r="A41095" s="1" t="s">
        <v>41094</v>
      </c>
      <c r="B41095" s="2" t="str">
        <f>IFERROR(__xludf.DUMMYFUNCTION("GOOGLETRANSLATE(A41095, ""de"", ""en"")"),"chat")</f>
        <v>chat</v>
      </c>
    </row>
    <row r="41096">
      <c r="A41096" s="1" t="s">
        <v>41095</v>
      </c>
      <c r="B41096" s="2" t="str">
        <f>IFERROR(__xludf.DUMMYFUNCTION("GOOGLETRANSLATE(A41096, ""de"", ""en"")"),"wasteful")</f>
        <v>wasteful</v>
      </c>
    </row>
    <row r="41097">
      <c r="A41097" s="1" t="s">
        <v>41096</v>
      </c>
      <c r="B41097" s="2" t="str">
        <f>IFERROR(__xludf.DUMMYFUNCTION("GOOGLETRANSLATE(A41097, ""de"", ""en"")"),"thought")</f>
        <v>thought</v>
      </c>
    </row>
    <row r="41098">
      <c r="A41098" s="1" t="s">
        <v>41097</v>
      </c>
      <c r="B41098" s="2" t="str">
        <f>IFERROR(__xludf.DUMMYFUNCTION("GOOGLETRANSLATE(A41098, ""de"", ""en"")"),"robbery")</f>
        <v>robbery</v>
      </c>
    </row>
    <row r="41099">
      <c r="A41099" s="1" t="s">
        <v>41098</v>
      </c>
      <c r="B41099" s="2" t="str">
        <f>IFERROR(__xludf.DUMMYFUNCTION("GOOGLETRANSLATE(A41099, ""de"", ""en"")"),"bastards")</f>
        <v>bastards</v>
      </c>
    </row>
    <row r="41100">
      <c r="A41100" s="1" t="s">
        <v>41099</v>
      </c>
      <c r="B41100" s="2" t="str">
        <f>IFERROR(__xludf.DUMMYFUNCTION("GOOGLETRANSLATE(A41100, ""de"", ""en"")"),"hug")</f>
        <v>hug</v>
      </c>
    </row>
    <row r="41101">
      <c r="A41101" s="1" t="s">
        <v>41100</v>
      </c>
      <c r="B41101" s="2" t="str">
        <f>IFERROR(__xludf.DUMMYFUNCTION("GOOGLETRANSLATE(A41101, ""de"", ""en"")"),"condition")</f>
        <v>condition</v>
      </c>
    </row>
    <row r="41102">
      <c r="A41102" s="1" t="s">
        <v>41101</v>
      </c>
      <c r="B41102" s="2" t="str">
        <f>IFERROR(__xludf.DUMMYFUNCTION("GOOGLETRANSLATE(A41102, ""de"", ""en"")"),"scents")</f>
        <v>scents</v>
      </c>
    </row>
    <row r="41103">
      <c r="A41103" s="1" t="s">
        <v>41102</v>
      </c>
      <c r="B41103" s="2" t="str">
        <f>IFERROR(__xludf.DUMMYFUNCTION("GOOGLETRANSLATE(A41103, ""de"", ""en"")"),"sounds")</f>
        <v>sounds</v>
      </c>
    </row>
    <row r="41104">
      <c r="A41104" s="1" t="s">
        <v>41103</v>
      </c>
      <c r="B41104" s="2" t="str">
        <f>IFERROR(__xludf.DUMMYFUNCTION("GOOGLETRANSLATE(A41104, ""de"", ""en"")"),"copy")</f>
        <v>copy</v>
      </c>
    </row>
    <row r="41105">
      <c r="A41105" s="1" t="s">
        <v>41104</v>
      </c>
      <c r="B41105" s="2" t="str">
        <f>IFERROR(__xludf.DUMMYFUNCTION("GOOGLETRANSLATE(A41105, ""de"", ""en"")"),"boss")</f>
        <v>boss</v>
      </c>
    </row>
    <row r="41106">
      <c r="A41106" s="1" t="s">
        <v>41105</v>
      </c>
      <c r="B41106" s="2" t="str">
        <f>IFERROR(__xludf.DUMMYFUNCTION("GOOGLETRANSLATE(A41106, ""de"", ""en"")"),"faxed")</f>
        <v>faxed</v>
      </c>
    </row>
    <row r="41107">
      <c r="A41107" s="1" t="s">
        <v>41106</v>
      </c>
      <c r="B41107" s="2" t="str">
        <f>IFERROR(__xludf.DUMMYFUNCTION("GOOGLETRANSLATE(A41107, ""de"", ""en"")"),"kaidu")</f>
        <v>kaidu</v>
      </c>
    </row>
    <row r="41108">
      <c r="A41108" s="1" t="s">
        <v>41107</v>
      </c>
      <c r="B41108" s="2" t="str">
        <f>IFERROR(__xludf.DUMMYFUNCTION("GOOGLETRANSLATE(A41108, ""de"", ""en"")"),"fame")</f>
        <v>fame</v>
      </c>
    </row>
    <row r="41109">
      <c r="A41109" s="1" t="s">
        <v>41108</v>
      </c>
      <c r="B41109" s="2" t="str">
        <f>IFERROR(__xludf.DUMMYFUNCTION("GOOGLETRANSLATE(A41109, ""de"", ""en"")"),"metals")</f>
        <v>metals</v>
      </c>
    </row>
    <row r="41110">
      <c r="A41110" s="1" t="s">
        <v>41109</v>
      </c>
      <c r="B41110" s="2" t="str">
        <f>IFERROR(__xludf.DUMMYFUNCTION("GOOGLETRANSLATE(A41110, ""de"", ""en"")"),"knock out")</f>
        <v>knock out</v>
      </c>
    </row>
    <row r="41111">
      <c r="A41111" s="1" t="s">
        <v>41110</v>
      </c>
      <c r="B41111" s="2" t="str">
        <f>IFERROR(__xludf.DUMMYFUNCTION("GOOGLETRANSLATE(A41111, ""de"", ""en"")"),"Lieberman")</f>
        <v>Lieberman</v>
      </c>
    </row>
    <row r="41112">
      <c r="A41112" s="1" t="s">
        <v>41111</v>
      </c>
      <c r="B41112" s="2" t="str">
        <f>IFERROR(__xludf.DUMMYFUNCTION("GOOGLETRANSLATE(A41112, ""de"", ""en"")"),"private detective")</f>
        <v>private detective</v>
      </c>
    </row>
    <row r="41113">
      <c r="A41113" s="1" t="s">
        <v>41112</v>
      </c>
      <c r="B41113" s="2" t="str">
        <f>IFERROR(__xludf.DUMMYFUNCTION("GOOGLETRANSLATE(A41113, ""de"", ""en"")"),"rental")</f>
        <v>rental</v>
      </c>
    </row>
    <row r="41114">
      <c r="A41114" s="1" t="s">
        <v>41113</v>
      </c>
      <c r="B41114" s="2" t="str">
        <f>IFERROR(__xludf.DUMMYFUNCTION("GOOGLETRANSLATE(A41114, ""de"", ""en"")"),"farmer's")</f>
        <v>farmer's</v>
      </c>
    </row>
    <row r="41115">
      <c r="A41115" s="1" t="s">
        <v>41114</v>
      </c>
      <c r="B41115" s="2" t="str">
        <f>IFERROR(__xludf.DUMMYFUNCTION("GOOGLETRANSLATE(A41115, ""de"", ""en"")"),"neon")</f>
        <v>neon</v>
      </c>
    </row>
    <row r="41116">
      <c r="A41116" s="1" t="s">
        <v>41115</v>
      </c>
      <c r="B41116" s="2" t="str">
        <f>IFERROR(__xludf.DUMMYFUNCTION("GOOGLETRANSLATE(A41116, ""de"", ""en"")"),"complex")</f>
        <v>complex</v>
      </c>
    </row>
    <row r="41117">
      <c r="A41117" s="1" t="s">
        <v>41116</v>
      </c>
      <c r="B41117" s="2" t="str">
        <f>IFERROR(__xludf.DUMMYFUNCTION("GOOGLETRANSLATE(A41117, ""de"", ""en"")"),"mime")</f>
        <v>mime</v>
      </c>
    </row>
    <row r="41118">
      <c r="A41118" s="1" t="s">
        <v>41117</v>
      </c>
      <c r="B41118" s="2" t="str">
        <f>IFERROR(__xludf.DUMMYFUNCTION("GOOGLETRANSLATE(A41118, ""de"", ""en"")"),"great-grandchildren")</f>
        <v>great-grandchildren</v>
      </c>
    </row>
    <row r="41119">
      <c r="A41119" s="1" t="s">
        <v>41118</v>
      </c>
      <c r="B41119" s="2" t="str">
        <f>IFERROR(__xludf.DUMMYFUNCTION("GOOGLETRANSLATE(A41119, ""de"", ""en"")"),"milk face")</f>
        <v>milk face</v>
      </c>
    </row>
    <row r="41120">
      <c r="A41120" s="1" t="s">
        <v>41119</v>
      </c>
      <c r="B41120" s="2" t="str">
        <f>IFERROR(__xludf.DUMMYFUNCTION("GOOGLETRANSLATE(A41120, ""de"", ""en"")"),"inhale")</f>
        <v>inhale</v>
      </c>
    </row>
    <row r="41121">
      <c r="A41121" s="1" t="s">
        <v>41120</v>
      </c>
      <c r="B41121" s="2" t="str">
        <f>IFERROR(__xludf.DUMMYFUNCTION("GOOGLETRANSLATE(A41121, ""de"", ""en"")"),"structured")</f>
        <v>structured</v>
      </c>
    </row>
    <row r="41122">
      <c r="A41122" s="1" t="s">
        <v>41121</v>
      </c>
      <c r="B41122" s="2" t="str">
        <f>IFERROR(__xludf.DUMMYFUNCTION("GOOGLETRANSLATE(A41122, ""de"", ""en"")"),"bilaterally")</f>
        <v>bilaterally</v>
      </c>
    </row>
    <row r="41123">
      <c r="A41123" s="1" t="s">
        <v>41122</v>
      </c>
      <c r="B41123" s="2" t="str">
        <f>IFERROR(__xludf.DUMMYFUNCTION("GOOGLETRANSLATE(A41123, ""de"", ""en"")"),"comlink")</f>
        <v>comlink</v>
      </c>
    </row>
    <row r="41124">
      <c r="A41124" s="1" t="s">
        <v>41123</v>
      </c>
      <c r="B41124" s="2" t="str">
        <f>IFERROR(__xludf.DUMMYFUNCTION("GOOGLETRANSLATE(A41124, ""de"", ""en"")"),"sets up")</f>
        <v>sets up</v>
      </c>
    </row>
    <row r="41125">
      <c r="A41125" s="1" t="s">
        <v>41124</v>
      </c>
      <c r="B41125" s="2" t="str">
        <f>IFERROR(__xludf.DUMMYFUNCTION("GOOGLETRANSLATE(A41125, ""de"", ""en"")"),"wobbled")</f>
        <v>wobbled</v>
      </c>
    </row>
    <row r="41126">
      <c r="A41126" s="1" t="s">
        <v>41125</v>
      </c>
      <c r="B41126" s="2" t="str">
        <f>IFERROR(__xludf.DUMMYFUNCTION("GOOGLETRANSLATE(A41126, ""de"", ""en"")"),"to freak out")</f>
        <v>to freak out</v>
      </c>
    </row>
    <row r="41127">
      <c r="A41127" s="1" t="s">
        <v>41126</v>
      </c>
      <c r="B41127" s="2" t="str">
        <f>IFERROR(__xludf.DUMMYFUNCTION("GOOGLETRANSLATE(A41127, ""de"", ""en"")"),"claremont")</f>
        <v>claremont</v>
      </c>
    </row>
    <row r="41128">
      <c r="A41128" s="1" t="s">
        <v>41127</v>
      </c>
      <c r="B41128" s="2" t="str">
        <f>IFERROR(__xludf.DUMMYFUNCTION("GOOGLETRANSLATE(A41128, ""de"", ""en"")"),"wm")</f>
        <v>wm</v>
      </c>
    </row>
    <row r="41129">
      <c r="A41129" s="1" t="s">
        <v>41128</v>
      </c>
      <c r="B41129" s="2" t="str">
        <f>IFERROR(__xludf.DUMMYFUNCTION("GOOGLETRANSLATE(A41129, ""de"", ""en"")"),"wendy's")</f>
        <v>wendy's</v>
      </c>
    </row>
    <row r="41130">
      <c r="A41130" s="1" t="s">
        <v>41129</v>
      </c>
      <c r="B41130" s="2" t="str">
        <f>IFERROR(__xludf.DUMMYFUNCTION("GOOGLETRANSLATE(A41130, ""de"", ""en"")"),"giant baby")</f>
        <v>giant baby</v>
      </c>
    </row>
    <row r="41131">
      <c r="A41131" s="1" t="s">
        <v>41130</v>
      </c>
      <c r="B41131" s="2" t="str">
        <f>IFERROR(__xludf.DUMMYFUNCTION("GOOGLETRANSLATE(A41131, ""de"", ""en"")"),"scorch")</f>
        <v>scorch</v>
      </c>
    </row>
    <row r="41132">
      <c r="A41132" s="1" t="s">
        <v>41131</v>
      </c>
      <c r="B41132" s="2" t="str">
        <f>IFERROR(__xludf.DUMMYFUNCTION("GOOGLETRANSLATE(A41132, ""de"", ""en"")"),"oceanic")</f>
        <v>oceanic</v>
      </c>
    </row>
    <row r="41133">
      <c r="A41133" s="1" t="s">
        <v>41132</v>
      </c>
      <c r="B41133" s="2" t="str">
        <f>IFERROR(__xludf.DUMMYFUNCTION("GOOGLETRANSLATE(A41133, ""de"", ""en"")"),"early bird")</f>
        <v>early bird</v>
      </c>
    </row>
    <row r="41134">
      <c r="A41134" s="1" t="s">
        <v>41133</v>
      </c>
      <c r="B41134" s="2" t="str">
        <f>IFERROR(__xludf.DUMMYFUNCTION("GOOGLETRANSLATE(A41134, ""de"", ""en"")"),"hand over")</f>
        <v>hand over</v>
      </c>
    </row>
    <row r="41135">
      <c r="A41135" s="1" t="s">
        <v>41134</v>
      </c>
      <c r="B41135" s="2" t="str">
        <f>IFERROR(__xludf.DUMMYFUNCTION("GOOGLETRANSLATE(A41135, ""de"", ""en"")"),"screens")</f>
        <v>screens</v>
      </c>
    </row>
    <row r="41136">
      <c r="A41136" s="1" t="s">
        <v>41135</v>
      </c>
      <c r="B41136" s="2" t="str">
        <f>IFERROR(__xludf.DUMMYFUNCTION("GOOGLETRANSLATE(A41136, ""de"", ""en"")"),"Belarus")</f>
        <v>Belarus</v>
      </c>
    </row>
    <row r="41137">
      <c r="A41137" s="1" t="s">
        <v>41136</v>
      </c>
      <c r="B41137" s="2" t="str">
        <f>IFERROR(__xludf.DUMMYFUNCTION("GOOGLETRANSLATE(A41137, ""de"", ""en"")"),"more serious")</f>
        <v>more serious</v>
      </c>
    </row>
    <row r="41138">
      <c r="A41138" s="1" t="s">
        <v>41137</v>
      </c>
      <c r="B41138" s="2" t="str">
        <f>IFERROR(__xludf.DUMMYFUNCTION("GOOGLETRANSLATE(A41138, ""de"", ""en"")"),"remi")</f>
        <v>remi</v>
      </c>
    </row>
    <row r="41139">
      <c r="A41139" s="1" t="s">
        <v>41138</v>
      </c>
      <c r="B41139" s="2" t="str">
        <f>IFERROR(__xludf.DUMMYFUNCTION("GOOGLETRANSLATE(A41139, ""de"", ""en"")"),"works")</f>
        <v>works</v>
      </c>
    </row>
    <row r="41140">
      <c r="A41140" s="1" t="s">
        <v>41139</v>
      </c>
      <c r="B41140" s="2" t="str">
        <f>IFERROR(__xludf.DUMMYFUNCTION("GOOGLETRANSLATE(A41140, ""de"", ""en"")"),"sentimentality")</f>
        <v>sentimentality</v>
      </c>
    </row>
    <row r="41141">
      <c r="A41141" s="1" t="s">
        <v>41140</v>
      </c>
      <c r="B41141" s="2" t="str">
        <f>IFERROR(__xludf.DUMMYFUNCTION("GOOGLETRANSLATE(A41141, ""de"", ""en"")"),"retriever")</f>
        <v>retriever</v>
      </c>
    </row>
    <row r="41142">
      <c r="A41142" s="1" t="s">
        <v>41141</v>
      </c>
      <c r="B41142" s="2" t="str">
        <f>IFERROR(__xludf.DUMMYFUNCTION("GOOGLETRANSLATE(A41142, ""de"", ""en"")"),"to plug in")</f>
        <v>to plug in</v>
      </c>
    </row>
    <row r="41143">
      <c r="A41143" s="1" t="s">
        <v>41142</v>
      </c>
      <c r="B41143" s="2" t="str">
        <f>IFERROR(__xludf.DUMMYFUNCTION("GOOGLETRANSLATE(A41143, ""de"", ""en"")"),"stillwater")</f>
        <v>stillwater</v>
      </c>
    </row>
    <row r="41144">
      <c r="A41144" s="1" t="s">
        <v>41143</v>
      </c>
      <c r="B41144" s="2" t="str">
        <f>IFERROR(__xludf.DUMMYFUNCTION("GOOGLETRANSLATE(A41144, ""de"", ""en"")"),"body")</f>
        <v>body</v>
      </c>
    </row>
    <row r="41145">
      <c r="A41145" s="1" t="s">
        <v>41144</v>
      </c>
      <c r="B41145" s="2" t="str">
        <f>IFERROR(__xludf.DUMMYFUNCTION("GOOGLETRANSLATE(A41145, ""de"", ""en"")"),"stack.stack")</f>
        <v>stack.stack</v>
      </c>
    </row>
    <row r="41146">
      <c r="A41146" s="1" t="s">
        <v>41145</v>
      </c>
      <c r="B41146" s="2" t="str">
        <f>IFERROR(__xludf.DUMMYFUNCTION("GOOGLETRANSLATE(A41146, ""de"", ""en"")"),"harumi")</f>
        <v>harumi</v>
      </c>
    </row>
    <row r="41147">
      <c r="A41147" s="1" t="s">
        <v>41146</v>
      </c>
      <c r="B41147" s="2" t="str">
        <f>IFERROR(__xludf.DUMMYFUNCTION("GOOGLETRANSLATE(A41147, ""de"", ""en"")"),"painkillers")</f>
        <v>painkillers</v>
      </c>
    </row>
    <row r="41148">
      <c r="A41148" s="1" t="s">
        <v>41147</v>
      </c>
      <c r="B41148" s="2" t="str">
        <f>IFERROR(__xludf.DUMMYFUNCTION("GOOGLETRANSLATE(A41148, ""de"", ""en"")"),"quinton")</f>
        <v>quinton</v>
      </c>
    </row>
    <row r="41149">
      <c r="A41149" s="1" t="s">
        <v>41148</v>
      </c>
      <c r="B41149" s="2" t="str">
        <f>IFERROR(__xludf.DUMMYFUNCTION("GOOGLETRANSLATE(A41149, ""de"", ""en"")"),"medical bills")</f>
        <v>medical bills</v>
      </c>
    </row>
    <row r="41150">
      <c r="A41150" s="1" t="s">
        <v>41149</v>
      </c>
      <c r="B41150" s="2" t="str">
        <f>IFERROR(__xludf.DUMMYFUNCTION("GOOGLETRANSLATE(A41150, ""de"", ""en"")"),"compost")</f>
        <v>compost</v>
      </c>
    </row>
    <row r="41151">
      <c r="A41151" s="1" t="s">
        <v>41150</v>
      </c>
      <c r="B41151" s="2" t="str">
        <f>IFERROR(__xludf.DUMMYFUNCTION("GOOGLETRANSLATE(A41151, ""de"", ""en"")"),"chon")</f>
        <v>chon</v>
      </c>
    </row>
    <row r="41152">
      <c r="A41152" s="1" t="s">
        <v>41151</v>
      </c>
      <c r="B41152" s="2" t="str">
        <f>IFERROR(__xludf.DUMMYFUNCTION("GOOGLETRANSLATE(A41152, ""de"", ""en"")"),"yoshi")</f>
        <v>yoshi</v>
      </c>
    </row>
    <row r="41153">
      <c r="A41153" s="1" t="s">
        <v>41152</v>
      </c>
      <c r="B41153" s="2" t="str">
        <f>IFERROR(__xludf.DUMMYFUNCTION("GOOGLETRANSLATE(A41153, ""de"", ""en"")"),"oranges")</f>
        <v>oranges</v>
      </c>
    </row>
    <row r="41154">
      <c r="A41154" s="1" t="s">
        <v>41153</v>
      </c>
      <c r="B41154" s="2" t="str">
        <f>IFERROR(__xludf.DUMMYFUNCTION("GOOGLETRANSLATE(A41154, ""de"", ""en"")"),"plunder")</f>
        <v>plunder</v>
      </c>
    </row>
    <row r="41155">
      <c r="A41155" s="1" t="s">
        <v>41154</v>
      </c>
      <c r="B41155" s="2" t="str">
        <f>IFERROR(__xludf.DUMMYFUNCTION("GOOGLETRANSLATE(A41155, ""de"", ""en"")"),"preysing")</f>
        <v>preysing</v>
      </c>
    </row>
    <row r="41156">
      <c r="A41156" s="1" t="s">
        <v>41155</v>
      </c>
      <c r="B41156" s="2" t="str">
        <f>IFERROR(__xludf.DUMMYFUNCTION("GOOGLETRANSLATE(A41156, ""de"", ""en"")"),"viii.")</f>
        <v>viii.</v>
      </c>
    </row>
    <row r="41157">
      <c r="A41157" s="1" t="s">
        <v>41156</v>
      </c>
      <c r="B41157" s="2" t="str">
        <f>IFERROR(__xludf.DUMMYFUNCTION("GOOGLETRANSLATE(A41157, ""de"", ""en"")"),"blossom")</f>
        <v>blossom</v>
      </c>
    </row>
    <row r="41158">
      <c r="A41158" s="1" t="s">
        <v>41157</v>
      </c>
      <c r="B41158" s="2" t="str">
        <f>IFERROR(__xludf.DUMMYFUNCTION("GOOGLETRANSLATE(A41158, ""de"", ""en"")"),"stitch")</f>
        <v>stitch</v>
      </c>
    </row>
    <row r="41159">
      <c r="A41159" s="1" t="s">
        <v>41158</v>
      </c>
      <c r="B41159" s="2" t="str">
        <f>IFERROR(__xludf.DUMMYFUNCTION("GOOGLETRANSLATE(A41159, ""de"", ""en"")"),"local time")</f>
        <v>local time</v>
      </c>
    </row>
    <row r="41160">
      <c r="A41160" s="1" t="s">
        <v>41159</v>
      </c>
      <c r="B41160" s="2" t="str">
        <f>IFERROR(__xludf.DUMMYFUNCTION("GOOGLETRANSLATE(A41160, ""de"", ""en"")"),"you mentioned")</f>
        <v>you mentioned</v>
      </c>
    </row>
    <row r="41161">
      <c r="A41161" s="1" t="s">
        <v>41160</v>
      </c>
      <c r="B41161" s="2" t="str">
        <f>IFERROR(__xludf.DUMMYFUNCTION("GOOGLETRANSLATE(A41161, ""de"", ""en"")"),"overexert")</f>
        <v>overexert</v>
      </c>
    </row>
    <row r="41162">
      <c r="A41162" s="1" t="s">
        <v>41161</v>
      </c>
      <c r="B41162" s="2" t="str">
        <f>IFERROR(__xludf.DUMMYFUNCTION("GOOGLETRANSLATE(A41162, ""de"", ""en"")"),"Khalil")</f>
        <v>Khalil</v>
      </c>
    </row>
    <row r="41163">
      <c r="A41163" s="1" t="s">
        <v>41162</v>
      </c>
      <c r="B41163" s="2" t="str">
        <f>IFERROR(__xludf.DUMMYFUNCTION("GOOGLETRANSLATE(A41163, ""de"", ""en"")"),"juliens")</f>
        <v>juliens</v>
      </c>
    </row>
    <row r="41164">
      <c r="A41164" s="1" t="s">
        <v>41163</v>
      </c>
      <c r="B41164" s="2" t="str">
        <f>IFERROR(__xludf.DUMMYFUNCTION("GOOGLETRANSLATE(A41164, ""de"", ""en"")"),"struck")</f>
        <v>struck</v>
      </c>
    </row>
    <row r="41165">
      <c r="A41165" s="1" t="s">
        <v>41164</v>
      </c>
      <c r="B41165" s="2" t="str">
        <f>IFERROR(__xludf.DUMMYFUNCTION("GOOGLETRANSLATE(A41165, ""de"", ""en"")"),"get out")</f>
        <v>get out</v>
      </c>
    </row>
    <row r="41166">
      <c r="A41166" s="1" t="s">
        <v>41165</v>
      </c>
      <c r="B41166" s="2" t="str">
        <f>IFERROR(__xludf.DUMMYFUNCTION("GOOGLETRANSLATE(A41166, ""de"", ""en"")"),"bleats")</f>
        <v>bleats</v>
      </c>
    </row>
    <row r="41167">
      <c r="A41167" s="1" t="s">
        <v>41166</v>
      </c>
      <c r="B41167" s="2" t="str">
        <f>IFERROR(__xludf.DUMMYFUNCTION("GOOGLETRANSLATE(A41167, ""de"", ""en"")"),"criminal law")</f>
        <v>criminal law</v>
      </c>
    </row>
    <row r="41168">
      <c r="A41168" s="1" t="s">
        <v>41167</v>
      </c>
      <c r="B41168" s="2" t="str">
        <f>IFERROR(__xludf.DUMMYFUNCTION("GOOGLETRANSLATE(A41168, ""de"", ""en"")"),"photoshop")</f>
        <v>photoshop</v>
      </c>
    </row>
    <row r="41169">
      <c r="A41169" s="1" t="s">
        <v>41168</v>
      </c>
      <c r="B41169" s="2" t="str">
        <f>IFERROR(__xludf.DUMMYFUNCTION("GOOGLETRANSLATE(A41169, ""de"", ""en"")"),"encouragement")</f>
        <v>encouragement</v>
      </c>
    </row>
    <row r="41170">
      <c r="A41170" s="1" t="s">
        <v>41169</v>
      </c>
      <c r="B41170" s="2" t="str">
        <f>IFERROR(__xludf.DUMMYFUNCTION("GOOGLETRANSLATE(A41170, ""de"", ""en"")"),"French")</f>
        <v>French</v>
      </c>
    </row>
    <row r="41171">
      <c r="A41171" s="1" t="s">
        <v>41170</v>
      </c>
      <c r="B41171" s="2" t="str">
        <f>IFERROR(__xludf.DUMMYFUNCTION("GOOGLETRANSLATE(A41171, ""de"", ""en"")"),"helped")</f>
        <v>helped</v>
      </c>
    </row>
    <row r="41172">
      <c r="A41172" s="1" t="s">
        <v>41171</v>
      </c>
      <c r="B41172" s="2" t="str">
        <f>IFERROR(__xludf.DUMMYFUNCTION("GOOGLETRANSLATE(A41172, ""de"", ""en"")"),"odyssey")</f>
        <v>odyssey</v>
      </c>
    </row>
    <row r="41173">
      <c r="A41173" s="1" t="s">
        <v>41172</v>
      </c>
      <c r="B41173" s="2" t="str">
        <f>IFERROR(__xludf.DUMMYFUNCTION("GOOGLETRANSLATE(A41173, ""de"", ""en"")"),"mannequin")</f>
        <v>mannequin</v>
      </c>
    </row>
    <row r="41174">
      <c r="A41174" s="1" t="s">
        <v>41173</v>
      </c>
      <c r="B41174" s="2" t="str">
        <f>IFERROR(__xludf.DUMMYFUNCTION("GOOGLETRANSLATE(A41174, ""de"", ""en"")"),"outstanding")</f>
        <v>outstanding</v>
      </c>
    </row>
    <row r="41175">
      <c r="A41175" s="1" t="s">
        <v>41174</v>
      </c>
      <c r="B41175" s="2" t="str">
        <f>IFERROR(__xludf.DUMMYFUNCTION("GOOGLETRANSLATE(A41175, ""de"", ""en"")"),"feudal lord")</f>
        <v>feudal lord</v>
      </c>
    </row>
    <row r="41176">
      <c r="A41176" s="1" t="s">
        <v>41175</v>
      </c>
      <c r="B41176" s="2" t="str">
        <f>IFERROR(__xludf.DUMMYFUNCTION("GOOGLETRANSLATE(A41176, ""de"", ""en"")"),"caffeine-free")</f>
        <v>caffeine-free</v>
      </c>
    </row>
    <row r="41177">
      <c r="A41177" s="1" t="s">
        <v>41176</v>
      </c>
      <c r="B41177" s="2" t="str">
        <f>IFERROR(__xludf.DUMMYFUNCTION("GOOGLETRANSLATE(A41177, ""de"", ""en"")"),"capture")</f>
        <v>capture</v>
      </c>
    </row>
    <row r="41178">
      <c r="A41178" s="1" t="s">
        <v>41177</v>
      </c>
      <c r="B41178" s="2" t="str">
        <f>IFERROR(__xludf.DUMMYFUNCTION("GOOGLETRANSLATE(A41178, ""de"", ""en"")"),"blood circulation")</f>
        <v>blood circulation</v>
      </c>
    </row>
    <row r="41179">
      <c r="A41179" s="1" t="s">
        <v>41178</v>
      </c>
      <c r="B41179" s="2" t="str">
        <f>IFERROR(__xludf.DUMMYFUNCTION("GOOGLETRANSLATE(A41179, ""de"", ""en"")"),"tickled")</f>
        <v>tickled</v>
      </c>
    </row>
    <row r="41180">
      <c r="A41180" s="1" t="s">
        <v>41179</v>
      </c>
      <c r="B41180" s="2" t="str">
        <f>IFERROR(__xludf.DUMMYFUNCTION("GOOGLETRANSLATE(A41180, ""de"", ""en"")"),"soap")</f>
        <v>soap</v>
      </c>
    </row>
    <row r="41181">
      <c r="A41181" s="1" t="s">
        <v>41180</v>
      </c>
      <c r="B41181" s="2" t="str">
        <f>IFERROR(__xludf.DUMMYFUNCTION("GOOGLETRANSLATE(A41181, ""de"", ""en"")"),"sections")</f>
        <v>sections</v>
      </c>
    </row>
    <row r="41182">
      <c r="A41182" s="1" t="s">
        <v>41181</v>
      </c>
      <c r="B41182" s="2" t="str">
        <f>IFERROR(__xludf.DUMMYFUNCTION("GOOGLETRANSLATE(A41182, ""de"", ""en"")"),"Mclintock")</f>
        <v>Mclintock</v>
      </c>
    </row>
    <row r="41183">
      <c r="A41183" s="1" t="s">
        <v>41182</v>
      </c>
      <c r="B41183" s="2" t="str">
        <f>IFERROR(__xludf.DUMMYFUNCTION("GOOGLETRANSLATE(A41183, ""de"", ""en"")"),"Kristian")</f>
        <v>Kristian</v>
      </c>
    </row>
    <row r="41184">
      <c r="A41184" s="1" t="s">
        <v>41183</v>
      </c>
      <c r="B41184" s="2" t="str">
        <f>IFERROR(__xludf.DUMMYFUNCTION("GOOGLETRANSLATE(A41184, ""de"", ""en"")"),"get hold of")</f>
        <v>get hold of</v>
      </c>
    </row>
    <row r="41185">
      <c r="A41185" s="1" t="s">
        <v>41184</v>
      </c>
      <c r="B41185" s="2" t="str">
        <f>IFERROR(__xludf.DUMMYFUNCTION("GOOGLETRANSLATE(A41185, ""de"", ""en"")"),"middle mountain")</f>
        <v>middle mountain</v>
      </c>
    </row>
    <row r="41186">
      <c r="A41186" s="1" t="s">
        <v>41185</v>
      </c>
      <c r="B41186" s="2" t="str">
        <f>IFERROR(__xludf.DUMMYFUNCTION("GOOGLETRANSLATE(A41186, ""de"", ""en"")"),"sentox")</f>
        <v>sentox</v>
      </c>
    </row>
    <row r="41187">
      <c r="A41187" s="1" t="s">
        <v>41186</v>
      </c>
      <c r="B41187" s="2" t="str">
        <f>IFERROR(__xludf.DUMMYFUNCTION("GOOGLETRANSLATE(A41187, ""de"", ""en"")"),"gigantic")</f>
        <v>gigantic</v>
      </c>
    </row>
    <row r="41188">
      <c r="A41188" s="1" t="s">
        <v>41187</v>
      </c>
      <c r="B41188" s="2" t="str">
        <f>IFERROR(__xludf.DUMMYFUNCTION("GOOGLETRANSLATE(A41188, ""de"", ""en"")"),"pleasing")</f>
        <v>pleasing</v>
      </c>
    </row>
    <row r="41189">
      <c r="A41189" s="1" t="s">
        <v>41188</v>
      </c>
      <c r="B41189" s="2" t="str">
        <f>IFERROR(__xludf.DUMMYFUNCTION("GOOGLETRANSLATE(A41189, ""de"", ""en"")"),"found")</f>
        <v>found</v>
      </c>
    </row>
    <row r="41190">
      <c r="A41190" s="1" t="s">
        <v>41189</v>
      </c>
      <c r="B41190" s="2" t="str">
        <f>IFERROR(__xludf.DUMMYFUNCTION("GOOGLETRANSLATE(A41190, ""de"", ""en"")"),"shipping")</f>
        <v>shipping</v>
      </c>
    </row>
    <row r="41191">
      <c r="A41191" s="1" t="s">
        <v>41190</v>
      </c>
      <c r="B41191" s="2" t="str">
        <f>IFERROR(__xludf.DUMMYFUNCTION("GOOGLETRANSLATE(A41191, ""de"", ""en"")"),"treville")</f>
        <v>treville</v>
      </c>
    </row>
    <row r="41192">
      <c r="A41192" s="1" t="s">
        <v>41191</v>
      </c>
      <c r="B41192" s="2" t="str">
        <f>IFERROR(__xludf.DUMMYFUNCTION("GOOGLETRANSLATE(A41192, ""de"", ""en"")"),"underplayed")</f>
        <v>underplayed</v>
      </c>
    </row>
    <row r="41193">
      <c r="A41193" s="1" t="s">
        <v>41192</v>
      </c>
      <c r="B41193" s="2" t="str">
        <f>IFERROR(__xludf.DUMMYFUNCTION("GOOGLETRANSLATE(A41193, ""de"", ""en"")"),"polente")</f>
        <v>polente</v>
      </c>
    </row>
    <row r="41194">
      <c r="A41194" s="1" t="s">
        <v>41193</v>
      </c>
      <c r="B41194" s="2" t="str">
        <f>IFERROR(__xludf.DUMMYFUNCTION("GOOGLETRANSLATE(A41194, ""de"", ""en"")"),"blanco")</f>
        <v>blanco</v>
      </c>
    </row>
    <row r="41195">
      <c r="A41195" s="1" t="s">
        <v>41194</v>
      </c>
      <c r="B41195" s="2" t="str">
        <f>IFERROR(__xludf.DUMMYFUNCTION("GOOGLETRANSLATE(A41195, ""de"", ""en"")"),"comic con")</f>
        <v>comic con</v>
      </c>
    </row>
    <row r="41196">
      <c r="A41196" s="1" t="s">
        <v>41195</v>
      </c>
      <c r="B41196" s="2" t="str">
        <f>IFERROR(__xludf.DUMMYFUNCTION("GOOGLETRANSLATE(A41196, ""de"", ""en"")"),"nautical miles")</f>
        <v>nautical miles</v>
      </c>
    </row>
    <row r="41197">
      <c r="A41197" s="1" t="s">
        <v>41196</v>
      </c>
      <c r="B41197" s="2" t="str">
        <f>IFERROR(__xludf.DUMMYFUNCTION("GOOGLETRANSLATE(A41197, ""de"", ""en"")"),"Austrian")</f>
        <v>Austrian</v>
      </c>
    </row>
    <row r="41198">
      <c r="A41198" s="1" t="s">
        <v>41197</v>
      </c>
      <c r="B41198" s="2" t="str">
        <f>IFERROR(__xludf.DUMMYFUNCTION("GOOGLETRANSLATE(A41198, ""de"", ""en"")"),"Lithuania")</f>
        <v>Lithuania</v>
      </c>
    </row>
    <row r="41199">
      <c r="A41199" s="1" t="s">
        <v>41198</v>
      </c>
      <c r="B41199" s="2" t="str">
        <f>IFERROR(__xludf.DUMMYFUNCTION("GOOGLETRANSLATE(A41199, ""de"", ""en"")"),"came in")</f>
        <v>came in</v>
      </c>
    </row>
    <row r="41200">
      <c r="A41200" s="1" t="s">
        <v>41199</v>
      </c>
      <c r="B41200" s="2" t="str">
        <f>IFERROR(__xludf.DUMMYFUNCTION("GOOGLETRANSLATE(A41200, ""de"", ""en"")"),"snowplow")</f>
        <v>snowplow</v>
      </c>
    </row>
    <row r="41201">
      <c r="A41201" s="1" t="s">
        <v>41200</v>
      </c>
      <c r="B41201" s="2" t="str">
        <f>IFERROR(__xludf.DUMMYFUNCTION("GOOGLETRANSLATE(A41201, ""de"", ""en"")"),"enigma")</f>
        <v>enigma</v>
      </c>
    </row>
    <row r="41202">
      <c r="A41202" s="1" t="s">
        <v>41201</v>
      </c>
      <c r="B41202" s="2" t="str">
        <f>IFERROR(__xludf.DUMMYFUNCTION("GOOGLETRANSLATE(A41202, ""de"", ""en"")"),"decided")</f>
        <v>decided</v>
      </c>
    </row>
    <row r="41203">
      <c r="A41203" s="1" t="s">
        <v>41202</v>
      </c>
      <c r="B41203" s="2" t="str">
        <f>IFERROR(__xludf.DUMMYFUNCTION("GOOGLETRANSLATE(A41203, ""de"", ""en"")"),"requested")</f>
        <v>requested</v>
      </c>
    </row>
    <row r="41204">
      <c r="A41204" s="1" t="s">
        <v>41203</v>
      </c>
      <c r="B41204" s="2" t="str">
        <f>IFERROR(__xludf.DUMMYFUNCTION("GOOGLETRANSLATE(A41204, ""de"", ""en"")"),"lymphoma")</f>
        <v>lymphoma</v>
      </c>
    </row>
    <row r="41205">
      <c r="A41205" s="1" t="s">
        <v>41204</v>
      </c>
      <c r="B41205" s="2" t="str">
        <f>IFERROR(__xludf.DUMMYFUNCTION("GOOGLETRANSLATE(A41205, ""de"", ""en"")"),"eleventh")</f>
        <v>eleventh</v>
      </c>
    </row>
    <row r="41206">
      <c r="A41206" s="1" t="s">
        <v>41205</v>
      </c>
      <c r="B41206" s="2" t="str">
        <f>IFERROR(__xludf.DUMMYFUNCTION("GOOGLETRANSLATE(A41206, ""de"", ""en"")"),"quote")</f>
        <v>quote</v>
      </c>
    </row>
    <row r="41207">
      <c r="A41207" s="1" t="s">
        <v>41206</v>
      </c>
      <c r="B41207" s="2" t="str">
        <f>IFERROR(__xludf.DUMMYFUNCTION("GOOGLETRANSLATE(A41207, ""de"", ""en"")"),"layton")</f>
        <v>layton</v>
      </c>
    </row>
    <row r="41208">
      <c r="A41208" s="1" t="s">
        <v>41207</v>
      </c>
      <c r="B41208" s="2" t="str">
        <f>IFERROR(__xludf.DUMMYFUNCTION("GOOGLETRANSLATE(A41208, ""de"", ""en"")"),"closest")</f>
        <v>closest</v>
      </c>
    </row>
    <row r="41209">
      <c r="A41209" s="1" t="s">
        <v>41208</v>
      </c>
      <c r="B41209" s="2" t="str">
        <f>IFERROR(__xludf.DUMMYFUNCTION("GOOGLETRANSLATE(A41209, ""de"", ""en"")"),"grade point average")</f>
        <v>grade point average</v>
      </c>
    </row>
    <row r="41210">
      <c r="A41210" s="1" t="s">
        <v>41209</v>
      </c>
      <c r="B41210" s="2" t="str">
        <f>IFERROR(__xludf.DUMMYFUNCTION("GOOGLETRANSLATE(A41210, ""de"", ""en"")"),"subscription")</f>
        <v>subscription</v>
      </c>
    </row>
    <row r="41211">
      <c r="A41211" s="1" t="s">
        <v>41210</v>
      </c>
      <c r="B41211" s="2" t="str">
        <f>IFERROR(__xludf.DUMMYFUNCTION("GOOGLETRANSLATE(A41211, ""de"", ""en"")"),"bows")</f>
        <v>bows</v>
      </c>
    </row>
    <row r="41212">
      <c r="A41212" s="1" t="s">
        <v>41211</v>
      </c>
      <c r="B41212" s="2" t="str">
        <f>IFERROR(__xludf.DUMMYFUNCTION("GOOGLETRANSLATE(A41212, ""de"", ""en"")"),"recycle")</f>
        <v>recycle</v>
      </c>
    </row>
    <row r="41213">
      <c r="A41213" s="1" t="s">
        <v>41212</v>
      </c>
      <c r="B41213" s="2" t="str">
        <f>IFERROR(__xludf.DUMMYFUNCTION("GOOGLETRANSLATE(A41213, ""de"", ""en"")"),"convinced")</f>
        <v>convinced</v>
      </c>
    </row>
    <row r="41214">
      <c r="A41214" s="1" t="s">
        <v>41213</v>
      </c>
      <c r="B41214" s="2" t="str">
        <f>IFERROR(__xludf.DUMMYFUNCTION("GOOGLETRANSLATE(A41214, ""de"", ""en"")"),"property manager")</f>
        <v>property manager</v>
      </c>
    </row>
    <row r="41215">
      <c r="A41215" s="1" t="s">
        <v>41214</v>
      </c>
      <c r="B41215" s="2" t="str">
        <f>IFERROR(__xludf.DUMMYFUNCTION("GOOGLETRANSLATE(A41215, ""de"", ""en"")"),"fabulous")</f>
        <v>fabulous</v>
      </c>
    </row>
    <row r="41216">
      <c r="A41216" s="1" t="s">
        <v>41215</v>
      </c>
      <c r="B41216" s="2" t="str">
        <f>IFERROR(__xludf.DUMMYFUNCTION("GOOGLETRANSLATE(A41216, ""de"", ""en"")"),"rottweiler")</f>
        <v>rottweiler</v>
      </c>
    </row>
    <row r="41217">
      <c r="A41217" s="1" t="s">
        <v>41216</v>
      </c>
      <c r="B41217" s="2" t="str">
        <f>IFERROR(__xludf.DUMMYFUNCTION("GOOGLETRANSLATE(A41217, ""de"", ""en"")"),"responsible")</f>
        <v>responsible</v>
      </c>
    </row>
    <row r="41218">
      <c r="A41218" s="1" t="s">
        <v>41217</v>
      </c>
      <c r="B41218" s="2" t="str">
        <f>IFERROR(__xludf.DUMMYFUNCTION("GOOGLETRANSLATE(A41218, ""de"", ""en"")"),"manni")</f>
        <v>manni</v>
      </c>
    </row>
    <row r="41219">
      <c r="A41219" s="1" t="s">
        <v>41218</v>
      </c>
      <c r="B41219" s="2" t="str">
        <f>IFERROR(__xludf.DUMMYFUNCTION("GOOGLETRANSLATE(A41219, ""de"", ""en"")"),"understood")</f>
        <v>understood</v>
      </c>
    </row>
    <row r="41220">
      <c r="A41220" s="1" t="s">
        <v>41219</v>
      </c>
      <c r="B41220" s="2" t="str">
        <f>IFERROR(__xludf.DUMMYFUNCTION("GOOGLETRANSLATE(A41220, ""de"", ""en"")"),"to fill up")</f>
        <v>to fill up</v>
      </c>
    </row>
    <row r="41221">
      <c r="A41221" s="1" t="s">
        <v>41220</v>
      </c>
      <c r="B41221" s="2" t="str">
        <f>IFERROR(__xludf.DUMMYFUNCTION("GOOGLETRANSLATE(A41221, ""de"", ""en"")"),"flow")</f>
        <v>flow</v>
      </c>
    </row>
    <row r="41222">
      <c r="A41222" s="1" t="s">
        <v>41221</v>
      </c>
      <c r="B41222" s="2" t="str">
        <f>IFERROR(__xludf.DUMMYFUNCTION("GOOGLETRANSLATE(A41222, ""de"", ""en"")"),"animalistic")</f>
        <v>animalistic</v>
      </c>
    </row>
    <row r="41223">
      <c r="A41223" s="1" t="s">
        <v>41222</v>
      </c>
      <c r="B41223" s="2" t="str">
        <f>IFERROR(__xludf.DUMMYFUNCTION("GOOGLETRANSLATE(A41223, ""de"", ""en"")"),"sales")</f>
        <v>sales</v>
      </c>
    </row>
    <row r="41224">
      <c r="A41224" s="1" t="s">
        <v>41223</v>
      </c>
      <c r="B41224" s="2" t="str">
        <f>IFERROR(__xludf.DUMMYFUNCTION("GOOGLETRANSLATE(A41224, ""de"", ""en"")"),"smoked")</f>
        <v>smoked</v>
      </c>
    </row>
    <row r="41225">
      <c r="A41225" s="1" t="s">
        <v>41224</v>
      </c>
      <c r="B41225" s="2" t="str">
        <f>IFERROR(__xludf.DUMMYFUNCTION("GOOGLETRANSLATE(A41225, ""de"", ""en"")"),"cover")</f>
        <v>cover</v>
      </c>
    </row>
    <row r="41226">
      <c r="A41226" s="1" t="s">
        <v>41225</v>
      </c>
      <c r="B41226" s="2" t="str">
        <f>IFERROR(__xludf.DUMMYFUNCTION("GOOGLETRANSLATE(A41226, ""de"", ""en"")"),"empathize")</f>
        <v>empathize</v>
      </c>
    </row>
    <row r="41227">
      <c r="A41227" s="1" t="s">
        <v>41226</v>
      </c>
      <c r="B41227" s="2" t="str">
        <f>IFERROR(__xludf.DUMMYFUNCTION("GOOGLETRANSLATE(A41227, ""de"", ""en"")"),"most revered")</f>
        <v>most revered</v>
      </c>
    </row>
    <row r="41228">
      <c r="A41228" s="1" t="s">
        <v>41227</v>
      </c>
      <c r="B41228" s="2" t="str">
        <f>IFERROR(__xludf.DUMMYFUNCTION("GOOGLETRANSLATE(A41228, ""de"", ""en"")"),"to talk")</f>
        <v>to talk</v>
      </c>
    </row>
    <row r="41229">
      <c r="A41229" s="1" t="s">
        <v>41228</v>
      </c>
      <c r="B41229" s="2" t="str">
        <f>IFERROR(__xludf.DUMMYFUNCTION("GOOGLETRANSLATE(A41229, ""de"", ""en"")"),"cheers")</f>
        <v>cheers</v>
      </c>
    </row>
    <row r="41230">
      <c r="A41230" s="1" t="s">
        <v>41229</v>
      </c>
      <c r="B41230" s="2" t="str">
        <f>IFERROR(__xludf.DUMMYFUNCTION("GOOGLETRANSLATE(A41230, ""de"", ""en"")"),"catfish")</f>
        <v>catfish</v>
      </c>
    </row>
    <row r="41231">
      <c r="A41231" s="1" t="s">
        <v>41230</v>
      </c>
      <c r="B41231" s="2" t="str">
        <f>IFERROR(__xludf.DUMMYFUNCTION("GOOGLETRANSLATE(A41231, ""de"", ""en"")"),"Christian")</f>
        <v>Christian</v>
      </c>
    </row>
    <row r="41232">
      <c r="A41232" s="1" t="s">
        <v>41231</v>
      </c>
      <c r="B41232" s="2" t="str">
        <f>IFERROR(__xludf.DUMMYFUNCTION("GOOGLETRANSLATE(A41232, ""de"", ""en"")"),"refresh")</f>
        <v>refresh</v>
      </c>
    </row>
    <row r="41233">
      <c r="A41233" s="1" t="s">
        <v>41232</v>
      </c>
      <c r="B41233" s="2" t="str">
        <f>IFERROR(__xludf.DUMMYFUNCTION("GOOGLETRANSLATE(A41233, ""de"", ""en"")"),"school bell")</f>
        <v>school bell</v>
      </c>
    </row>
    <row r="41234">
      <c r="A41234" s="1" t="s">
        <v>41233</v>
      </c>
      <c r="B41234" s="2" t="str">
        <f>IFERROR(__xludf.DUMMYFUNCTION("GOOGLETRANSLATE(A41234, ""de"", ""en"")"),"hawk")</f>
        <v>hawk</v>
      </c>
    </row>
    <row r="41235">
      <c r="A41235" s="1" t="s">
        <v>41234</v>
      </c>
      <c r="B41235" s="2" t="str">
        <f>IFERROR(__xludf.DUMMYFUNCTION("GOOGLETRANSLATE(A41235, ""de"", ""en"")"),"Mozzarella")</f>
        <v>Mozzarella</v>
      </c>
    </row>
    <row r="41236">
      <c r="A41236" s="1" t="s">
        <v>41235</v>
      </c>
      <c r="B41236" s="2" t="str">
        <f>IFERROR(__xludf.DUMMYFUNCTION("GOOGLETRANSLATE(A41236, ""de"", ""en"")"),"styles")</f>
        <v>styles</v>
      </c>
    </row>
    <row r="41237">
      <c r="A41237" s="1" t="s">
        <v>41236</v>
      </c>
      <c r="B41237" s="2" t="str">
        <f>IFERROR(__xludf.DUMMYFUNCTION("GOOGLETRANSLATE(A41237, ""de"", ""en"")"),"earth-2")</f>
        <v>earth-2</v>
      </c>
    </row>
    <row r="41238">
      <c r="A41238" s="1" t="s">
        <v>41237</v>
      </c>
      <c r="B41238" s="2" t="str">
        <f>IFERROR(__xludf.DUMMYFUNCTION("GOOGLETRANSLATE(A41238, ""de"", ""en"")"),"flooded")</f>
        <v>flooded</v>
      </c>
    </row>
    <row r="41239">
      <c r="A41239" s="1" t="s">
        <v>41238</v>
      </c>
      <c r="B41239" s="2" t="str">
        <f>IFERROR(__xludf.DUMMYFUNCTION("GOOGLETRANSLATE(A41239, ""de"", ""en"")"),"ventilation")</f>
        <v>ventilation</v>
      </c>
    </row>
    <row r="41240">
      <c r="A41240" s="1" t="s">
        <v>41239</v>
      </c>
      <c r="B41240" s="2" t="str">
        <f>IFERROR(__xludf.DUMMYFUNCTION("GOOGLETRANSLATE(A41240, ""de"", ""en"")"),"disgusting")</f>
        <v>disgusting</v>
      </c>
    </row>
    <row r="41241">
      <c r="A41241" s="1" t="s">
        <v>41240</v>
      </c>
      <c r="B41241" s="2" t="str">
        <f>IFERROR(__xludf.DUMMYFUNCTION("GOOGLETRANSLATE(A41241, ""de"", ""en"")"),"put")</f>
        <v>put</v>
      </c>
    </row>
    <row r="41242">
      <c r="A41242" s="1" t="s">
        <v>41241</v>
      </c>
      <c r="B41242" s="2" t="str">
        <f>IFERROR(__xludf.DUMMYFUNCTION("GOOGLETRANSLATE(A41242, ""de"", ""en"")"),"smyth")</f>
        <v>smyth</v>
      </c>
    </row>
    <row r="41243">
      <c r="A41243" s="1" t="s">
        <v>41242</v>
      </c>
      <c r="B41243" s="2" t="str">
        <f>IFERROR(__xludf.DUMMYFUNCTION("GOOGLETRANSLATE(A41243, ""de"", ""en"")"),"galina")</f>
        <v>galina</v>
      </c>
    </row>
    <row r="41244">
      <c r="A41244" s="1" t="s">
        <v>41243</v>
      </c>
      <c r="B41244" s="2" t="str">
        <f>IFERROR(__xludf.DUMMYFUNCTION("GOOGLETRANSLATE(A41244, ""de"", ""en"")"),"julianna")</f>
        <v>julianna</v>
      </c>
    </row>
    <row r="41245">
      <c r="A41245" s="1" t="s">
        <v>41244</v>
      </c>
      <c r="B41245" s="2" t="str">
        <f>IFERROR(__xludf.DUMMYFUNCTION("GOOGLETRANSLATE(A41245, ""de"", ""en"")"),"lexx")</f>
        <v>lexx</v>
      </c>
    </row>
    <row r="41246">
      <c r="A41246" s="1" t="s">
        <v>41245</v>
      </c>
      <c r="B41246" s="2" t="str">
        <f>IFERROR(__xludf.DUMMYFUNCTION("GOOGLETRANSLATE(A41246, ""de"", ""en"")"),"slid")</f>
        <v>slid</v>
      </c>
    </row>
    <row r="41247">
      <c r="A41247" s="1" t="s">
        <v>41246</v>
      </c>
      <c r="B41247" s="2" t="str">
        <f>IFERROR(__xludf.DUMMYFUNCTION("GOOGLETRANSLATE(A41247, ""de"", ""en"")"),"generous")</f>
        <v>generous</v>
      </c>
    </row>
    <row r="41248">
      <c r="A41248" s="1" t="s">
        <v>41247</v>
      </c>
      <c r="B41248" s="2" t="str">
        <f>IFERROR(__xludf.DUMMYFUNCTION("GOOGLETRANSLATE(A41248, ""de"", ""en"")"),"openings")</f>
        <v>openings</v>
      </c>
    </row>
    <row r="41249">
      <c r="A41249" s="1" t="s">
        <v>41248</v>
      </c>
      <c r="B41249" s="2" t="str">
        <f>IFERROR(__xludf.DUMMYFUNCTION("GOOGLETRANSLATE(A41249, ""de"", ""en"")"),"free")</f>
        <v>free</v>
      </c>
    </row>
    <row r="41250">
      <c r="A41250" s="1" t="s">
        <v>41249</v>
      </c>
      <c r="B41250" s="2" t="str">
        <f>IFERROR(__xludf.DUMMYFUNCTION("GOOGLETRANSLATE(A41250, ""de"", ""en"")"),"secretariat")</f>
        <v>secretariat</v>
      </c>
    </row>
    <row r="41251">
      <c r="A41251" s="1" t="s">
        <v>41250</v>
      </c>
      <c r="B41251" s="2" t="str">
        <f>IFERROR(__xludf.DUMMYFUNCTION("GOOGLETRANSLATE(A41251, ""de"", ""en"")"),"bud")</f>
        <v>bud</v>
      </c>
    </row>
    <row r="41252">
      <c r="A41252" s="1" t="s">
        <v>41251</v>
      </c>
      <c r="B41252" s="2" t="str">
        <f>IFERROR(__xludf.DUMMYFUNCTION("GOOGLETRANSLATE(A41252, ""de"", ""en"")"),"hypothermic")</f>
        <v>hypothermic</v>
      </c>
    </row>
    <row r="41253">
      <c r="A41253" s="1" t="s">
        <v>41252</v>
      </c>
      <c r="B41253" s="2" t="str">
        <f>IFERROR(__xludf.DUMMYFUNCTION("GOOGLETRANSLATE(A41253, ""de"", ""en"")"),"mousse")</f>
        <v>mousse</v>
      </c>
    </row>
    <row r="41254">
      <c r="A41254" s="1" t="s">
        <v>41253</v>
      </c>
      <c r="B41254" s="2" t="str">
        <f>IFERROR(__xludf.DUMMYFUNCTION("GOOGLETRANSLATE(A41254, ""de"", ""en"")"),"habitation")</f>
        <v>habitation</v>
      </c>
    </row>
    <row r="41255">
      <c r="A41255" s="1" t="s">
        <v>41254</v>
      </c>
      <c r="B41255" s="2" t="str">
        <f>IFERROR(__xludf.DUMMYFUNCTION("GOOGLETRANSLATE(A41255, ""de"", ""en"")"),"boarding pass")</f>
        <v>boarding pass</v>
      </c>
    </row>
    <row r="41256">
      <c r="A41256" s="1" t="s">
        <v>41255</v>
      </c>
      <c r="B41256" s="2" t="str">
        <f>IFERROR(__xludf.DUMMYFUNCTION("GOOGLETRANSLATE(A41256, ""de"", ""en"")"),"fredo")</f>
        <v>fredo</v>
      </c>
    </row>
    <row r="41257">
      <c r="A41257" s="1" t="s">
        <v>41256</v>
      </c>
      <c r="B41257" s="2" t="str">
        <f>IFERROR(__xludf.DUMMYFUNCTION("GOOGLETRANSLATE(A41257, ""de"", ""en"")"),"sole")</f>
        <v>sole</v>
      </c>
    </row>
    <row r="41258">
      <c r="A41258" s="1" t="s">
        <v>41257</v>
      </c>
      <c r="B41258" s="2" t="str">
        <f>IFERROR(__xludf.DUMMYFUNCTION("GOOGLETRANSLATE(A41258, ""de"", ""en"")"),"snickers")</f>
        <v>snickers</v>
      </c>
    </row>
    <row r="41259">
      <c r="A41259" s="1" t="s">
        <v>41258</v>
      </c>
      <c r="B41259" s="2" t="str">
        <f>IFERROR(__xludf.DUMMYFUNCTION("GOOGLETRANSLATE(A41259, ""de"", ""en"")"),"fertile")</f>
        <v>fertile</v>
      </c>
    </row>
    <row r="41260">
      <c r="A41260" s="1" t="s">
        <v>41259</v>
      </c>
      <c r="B41260" s="2" t="str">
        <f>IFERROR(__xludf.DUMMYFUNCTION("GOOGLETRANSLATE(A41260, ""de"", ""en"")"),"miss")</f>
        <v>miss</v>
      </c>
    </row>
    <row r="41261">
      <c r="A41261" s="1" t="s">
        <v>41260</v>
      </c>
      <c r="B41261" s="2" t="str">
        <f>IFERROR(__xludf.DUMMYFUNCTION("GOOGLETRANSLATE(A41261, ""de"", ""en"")"),"sashi")</f>
        <v>sashi</v>
      </c>
    </row>
    <row r="41262">
      <c r="A41262" s="1" t="s">
        <v>41261</v>
      </c>
      <c r="B41262" s="2" t="str">
        <f>IFERROR(__xludf.DUMMYFUNCTION("GOOGLETRANSLATE(A41262, ""de"", ""en"")"),"crime")</f>
        <v>crime</v>
      </c>
    </row>
    <row r="41263">
      <c r="A41263" s="1" t="s">
        <v>41262</v>
      </c>
      <c r="B41263" s="2" t="str">
        <f>IFERROR(__xludf.DUMMYFUNCTION("GOOGLETRANSLATE(A41263, ""de"", ""en"")"),"carte blanche")</f>
        <v>carte blanche</v>
      </c>
    </row>
    <row r="41264">
      <c r="A41264" s="1" t="s">
        <v>41263</v>
      </c>
      <c r="B41264" s="2" t="str">
        <f>IFERROR(__xludf.DUMMYFUNCTION("GOOGLETRANSLATE(A41264, ""de"", ""en"")"),"nomi")</f>
        <v>nomi</v>
      </c>
    </row>
    <row r="41265">
      <c r="A41265" s="1" t="s">
        <v>41264</v>
      </c>
      <c r="B41265" s="2" t="str">
        <f>IFERROR(__xludf.DUMMYFUNCTION("GOOGLETRANSLATE(A41265, ""de"", ""en"")"),"catholic")</f>
        <v>catholic</v>
      </c>
    </row>
    <row r="41266">
      <c r="A41266" s="1" t="s">
        <v>41265</v>
      </c>
      <c r="B41266" s="2" t="str">
        <f>IFERROR(__xludf.DUMMYFUNCTION("GOOGLETRANSLATE(A41266, ""de"", ""en"")"),"overalls")</f>
        <v>overalls</v>
      </c>
    </row>
    <row r="41267">
      <c r="A41267" s="1" t="s">
        <v>41266</v>
      </c>
      <c r="B41267" s="2" t="str">
        <f>IFERROR(__xludf.DUMMYFUNCTION("GOOGLETRANSLATE(A41267, ""de"", ""en"")"),"award")</f>
        <v>award</v>
      </c>
    </row>
    <row r="41268">
      <c r="A41268" s="1" t="s">
        <v>41267</v>
      </c>
      <c r="B41268" s="2" t="str">
        <f>IFERROR(__xludf.DUMMYFUNCTION("GOOGLETRANSLATE(A41268, ""de"", ""en"")"),"robespierre")</f>
        <v>robespierre</v>
      </c>
    </row>
    <row r="41269">
      <c r="A41269" s="1" t="s">
        <v>41268</v>
      </c>
      <c r="B41269" s="2" t="str">
        <f>IFERROR(__xludf.DUMMYFUNCTION("GOOGLETRANSLATE(A41269, ""de"", ""en"")"),"junuh")</f>
        <v>junuh</v>
      </c>
    </row>
    <row r="41270">
      <c r="A41270" s="1" t="s">
        <v>41269</v>
      </c>
      <c r="B41270" s="2" t="str">
        <f>IFERROR(__xludf.DUMMYFUNCTION("GOOGLETRANSLATE(A41270, ""de"", ""en"")"),"ackroyd")</f>
        <v>ackroyd</v>
      </c>
    </row>
    <row r="41271">
      <c r="A41271" s="1" t="s">
        <v>41270</v>
      </c>
      <c r="B41271" s="2" t="str">
        <f>IFERROR(__xludf.DUMMYFUNCTION("GOOGLETRANSLATE(A41271, ""de"", ""en"")"),"depravity")</f>
        <v>depravity</v>
      </c>
    </row>
    <row r="41272">
      <c r="A41272" s="1" t="s">
        <v>41271</v>
      </c>
      <c r="B41272" s="2" t="str">
        <f>IFERROR(__xludf.DUMMYFUNCTION("GOOGLETRANSLATE(A41272, ""de"", ""en"")"),"far away")</f>
        <v>far away</v>
      </c>
    </row>
    <row r="41273">
      <c r="A41273" s="1" t="s">
        <v>41272</v>
      </c>
      <c r="B41273" s="2" t="str">
        <f>IFERROR(__xludf.DUMMYFUNCTION("GOOGLETRANSLATE(A41273, ""de"", ""en"")"),"angle")</f>
        <v>angle</v>
      </c>
    </row>
    <row r="41274">
      <c r="A41274" s="1" t="s">
        <v>41273</v>
      </c>
      <c r="B41274" s="2" t="str">
        <f>IFERROR(__xludf.DUMMYFUNCTION("GOOGLETRANSLATE(A41274, ""de"", ""en"")"),"garbo")</f>
        <v>garbo</v>
      </c>
    </row>
    <row r="41275">
      <c r="A41275" s="1" t="s">
        <v>41274</v>
      </c>
      <c r="B41275" s="2" t="str">
        <f>IFERROR(__xludf.DUMMYFUNCTION("GOOGLETRANSLATE(A41275, ""de"", ""en"")"),"grilled")</f>
        <v>grilled</v>
      </c>
    </row>
    <row r="41276">
      <c r="A41276" s="1" t="s">
        <v>41275</v>
      </c>
      <c r="B41276" s="2" t="str">
        <f>IFERROR(__xludf.DUMMYFUNCTION("GOOGLETRANSLATE(A41276, ""de"", ""en"")"),"bitterly")</f>
        <v>bitterly</v>
      </c>
    </row>
    <row r="41277">
      <c r="A41277" s="1" t="s">
        <v>41276</v>
      </c>
      <c r="B41277" s="2" t="str">
        <f>IFERROR(__xludf.DUMMYFUNCTION("GOOGLETRANSLATE(A41277, ""de"", ""en"")"),"winkelmann")</f>
        <v>winkelmann</v>
      </c>
    </row>
    <row r="41278">
      <c r="A41278" s="1" t="s">
        <v>41277</v>
      </c>
      <c r="B41278" s="2" t="str">
        <f>IFERROR(__xludf.DUMMYFUNCTION("GOOGLETRANSLATE(A41278, ""de"", ""en"")"),"randal")</f>
        <v>randal</v>
      </c>
    </row>
    <row r="41279">
      <c r="A41279" s="1" t="s">
        <v>41278</v>
      </c>
      <c r="B41279" s="2" t="str">
        <f>IFERROR(__xludf.DUMMYFUNCTION("GOOGLETRANSLATE(A41279, ""de"", ""en"")"),"finally")</f>
        <v>finally</v>
      </c>
    </row>
    <row r="41280">
      <c r="A41280" s="1" t="s">
        <v>41279</v>
      </c>
      <c r="B41280" s="2" t="str">
        <f>IFERROR(__xludf.DUMMYFUNCTION("GOOGLETRANSLATE(A41280, ""de"", ""en"")"),"escapes")</f>
        <v>escapes</v>
      </c>
    </row>
    <row r="41281">
      <c r="A41281" s="1" t="s">
        <v>41280</v>
      </c>
      <c r="B41281" s="2" t="str">
        <f>IFERROR(__xludf.DUMMYFUNCTION("GOOGLETRANSLATE(A41281, ""de"", ""en"")"),"buttocks")</f>
        <v>buttocks</v>
      </c>
    </row>
    <row r="41282">
      <c r="A41282" s="1" t="s">
        <v>41281</v>
      </c>
      <c r="B41282" s="2" t="str">
        <f>IFERROR(__xludf.DUMMYFUNCTION("GOOGLETRANSLATE(A41282, ""de"", ""en"")"),"julians")</f>
        <v>julians</v>
      </c>
    </row>
    <row r="41283">
      <c r="A41283" s="1" t="s">
        <v>41282</v>
      </c>
      <c r="B41283" s="2" t="str">
        <f>IFERROR(__xludf.DUMMYFUNCTION("GOOGLETRANSLATE(A41283, ""de"", ""en"")"),"closing time")</f>
        <v>closing time</v>
      </c>
    </row>
    <row r="41284">
      <c r="A41284" s="1" t="s">
        <v>41283</v>
      </c>
      <c r="B41284" s="2" t="str">
        <f>IFERROR(__xludf.DUMMYFUNCTION("GOOGLETRANSLATE(A41284, ""de"", ""en"")"),"brilliance")</f>
        <v>brilliance</v>
      </c>
    </row>
    <row r="41285">
      <c r="A41285" s="1" t="s">
        <v>41284</v>
      </c>
      <c r="B41285" s="2" t="str">
        <f>IFERROR(__xludf.DUMMYFUNCTION("GOOGLETRANSLATE(A41285, ""de"", ""en"")"),"destructive")</f>
        <v>destructive</v>
      </c>
    </row>
    <row r="41286">
      <c r="A41286" s="1" t="s">
        <v>41285</v>
      </c>
      <c r="B41286" s="2" t="str">
        <f>IFERROR(__xludf.DUMMYFUNCTION("GOOGLETRANSLATE(A41286, ""de"", ""en"")"),"investigation")</f>
        <v>investigation</v>
      </c>
    </row>
    <row r="41287">
      <c r="A41287" s="1" t="s">
        <v>41286</v>
      </c>
      <c r="B41287" s="2" t="str">
        <f>IFERROR(__xludf.DUMMYFUNCTION("GOOGLETRANSLATE(A41287, ""de"", ""en"")"),"gourmet")</f>
        <v>gourmet</v>
      </c>
    </row>
    <row r="41288">
      <c r="A41288" s="1" t="s">
        <v>41287</v>
      </c>
      <c r="B41288" s="2" t="str">
        <f>IFERROR(__xludf.DUMMYFUNCTION("GOOGLETRANSLATE(A41288, ""de"", ""en"")"),"some")</f>
        <v>some</v>
      </c>
    </row>
    <row r="41289">
      <c r="A41289" s="1" t="s">
        <v>41288</v>
      </c>
      <c r="B41289" s="2" t="str">
        <f>IFERROR(__xludf.DUMMYFUNCTION("GOOGLETRANSLATE(A41289, ""de"", ""en"")"),"had")</f>
        <v>had</v>
      </c>
    </row>
    <row r="41290">
      <c r="A41290" s="1" t="s">
        <v>41289</v>
      </c>
      <c r="B41290" s="2" t="str">
        <f>IFERROR(__xludf.DUMMYFUNCTION("GOOGLETRANSLATE(A41290, ""de"", ""en"")"),"cheer up")</f>
        <v>cheer up</v>
      </c>
    </row>
    <row r="41291">
      <c r="A41291" s="1" t="s">
        <v>41290</v>
      </c>
      <c r="B41291" s="2" t="str">
        <f>IFERROR(__xludf.DUMMYFUNCTION("GOOGLETRANSLATE(A41291, ""de"", ""en"")"),"had to")</f>
        <v>had to</v>
      </c>
    </row>
    <row r="41292">
      <c r="A41292" s="1" t="s">
        <v>41291</v>
      </c>
      <c r="B41292" s="2" t="str">
        <f>IFERROR(__xludf.DUMMYFUNCTION("GOOGLETRANSLATE(A41292, ""de"", ""en"")"),"to look through")</f>
        <v>to look through</v>
      </c>
    </row>
    <row r="41293">
      <c r="A41293" s="1" t="s">
        <v>41292</v>
      </c>
      <c r="B41293" s="2" t="str">
        <f>IFERROR(__xludf.DUMMYFUNCTION("GOOGLETRANSLATE(A41293, ""de"", ""en"")"),"lindholm")</f>
        <v>lindholm</v>
      </c>
    </row>
    <row r="41294">
      <c r="A41294" s="1" t="s">
        <v>41293</v>
      </c>
      <c r="B41294" s="2" t="str">
        <f>IFERROR(__xludf.DUMMYFUNCTION("GOOGLETRANSLATE(A41294, ""de"", ""en"")"),"waterbed")</f>
        <v>waterbed</v>
      </c>
    </row>
    <row r="41295">
      <c r="A41295" s="1" t="s">
        <v>41294</v>
      </c>
      <c r="B41295" s="2" t="str">
        <f>IFERROR(__xludf.DUMMYFUNCTION("GOOGLETRANSLATE(A41295, ""de"", ""en"")"),"tenfold")</f>
        <v>tenfold</v>
      </c>
    </row>
    <row r="41296">
      <c r="A41296" s="1" t="s">
        <v>41295</v>
      </c>
      <c r="B41296" s="2" t="str">
        <f>IFERROR(__xludf.DUMMYFUNCTION("GOOGLETRANSLATE(A41296, ""de"", ""en"")"),"termination")</f>
        <v>termination</v>
      </c>
    </row>
    <row r="41297">
      <c r="A41297" s="1" t="s">
        <v>41296</v>
      </c>
      <c r="B41297" s="2" t="str">
        <f>IFERROR(__xludf.DUMMYFUNCTION("GOOGLETRANSLATE(A41297, ""de"", ""en"")"),"fully grown")</f>
        <v>fully grown</v>
      </c>
    </row>
    <row r="41298">
      <c r="A41298" s="1" t="s">
        <v>41297</v>
      </c>
      <c r="B41298" s="2" t="str">
        <f>IFERROR(__xludf.DUMMYFUNCTION("GOOGLETRANSLATE(A41298, ""de"", ""en"")"),"krishan")</f>
        <v>krishan</v>
      </c>
    </row>
    <row r="41299">
      <c r="A41299" s="1" t="s">
        <v>41298</v>
      </c>
      <c r="B41299" s="2" t="str">
        <f>IFERROR(__xludf.DUMMYFUNCTION("GOOGLETRANSLATE(A41299, ""de"", ""en"")"),"Balzac")</f>
        <v>Balzac</v>
      </c>
    </row>
    <row r="41300">
      <c r="A41300" s="1" t="s">
        <v>41299</v>
      </c>
      <c r="B41300" s="2" t="str">
        <f>IFERROR(__xludf.DUMMYFUNCTION("GOOGLETRANSLATE(A41300, ""de"", ""en"")"),"settle in")</f>
        <v>settle in</v>
      </c>
    </row>
    <row r="41301">
      <c r="A41301" s="1" t="s">
        <v>41300</v>
      </c>
      <c r="B41301" s="2" t="str">
        <f>IFERROR(__xludf.DUMMYFUNCTION("GOOGLETRANSLATE(A41301, ""de"", ""en"")"),"bulstrode")</f>
        <v>bulstrode</v>
      </c>
    </row>
    <row r="41302">
      <c r="A41302" s="1" t="s">
        <v>41301</v>
      </c>
      <c r="B41302" s="2" t="str">
        <f>IFERROR(__xludf.DUMMYFUNCTION("GOOGLETRANSLATE(A41302, ""de"", ""en"")"),"Tanzania")</f>
        <v>Tanzania</v>
      </c>
    </row>
    <row r="41303">
      <c r="A41303" s="1" t="s">
        <v>41302</v>
      </c>
      <c r="B41303" s="2" t="str">
        <f>IFERROR(__xludf.DUMMYFUNCTION("GOOGLETRANSLATE(A41303, ""de"", ""en"")"),"risk")</f>
        <v>risk</v>
      </c>
    </row>
    <row r="41304">
      <c r="A41304" s="1" t="s">
        <v>41303</v>
      </c>
      <c r="B41304" s="2" t="str">
        <f>IFERROR(__xludf.DUMMYFUNCTION("GOOGLETRANSLATE(A41304, ""de"", ""en"")"),"terrors")</f>
        <v>terrors</v>
      </c>
    </row>
    <row r="41305">
      <c r="A41305" s="1" t="s">
        <v>41304</v>
      </c>
      <c r="B41305" s="2" t="str">
        <f>IFERROR(__xludf.DUMMYFUNCTION("GOOGLETRANSLATE(A41305, ""de"", ""en"")"),"millennium group")</f>
        <v>millennium group</v>
      </c>
    </row>
    <row r="41306">
      <c r="A41306" s="1" t="s">
        <v>41305</v>
      </c>
      <c r="B41306" s="2" t="str">
        <f>IFERROR(__xludf.DUMMYFUNCTION("GOOGLETRANSLATE(A41306, ""de"", ""en"")"),"safe")</f>
        <v>safe</v>
      </c>
    </row>
    <row r="41307">
      <c r="A41307" s="1" t="s">
        <v>41306</v>
      </c>
      <c r="B41307" s="2" t="str">
        <f>IFERROR(__xludf.DUMMYFUNCTION("GOOGLETRANSLATE(A41307, ""de"", ""en"")"),"outdoor use")</f>
        <v>outdoor use</v>
      </c>
    </row>
    <row r="41308">
      <c r="A41308" s="1" t="s">
        <v>41307</v>
      </c>
      <c r="B41308" s="2" t="str">
        <f>IFERROR(__xludf.DUMMYFUNCTION("GOOGLETRANSLATE(A41308, ""de"", ""en"")"),"paymaster")</f>
        <v>paymaster</v>
      </c>
    </row>
    <row r="41309">
      <c r="A41309" s="1" t="s">
        <v>41308</v>
      </c>
      <c r="B41309" s="2" t="str">
        <f>IFERROR(__xludf.DUMMYFUNCTION("GOOGLETRANSLATE(A41309, ""de"", ""en"")"),"trigger")</f>
        <v>trigger</v>
      </c>
    </row>
    <row r="41310">
      <c r="A41310" s="1" t="s">
        <v>41309</v>
      </c>
      <c r="B41310" s="2" t="str">
        <f>IFERROR(__xludf.DUMMYFUNCTION("GOOGLETRANSLATE(A41310, ""de"", ""en"")"),"molar")</f>
        <v>molar</v>
      </c>
    </row>
    <row r="41311">
      <c r="A41311" s="1" t="s">
        <v>41310</v>
      </c>
      <c r="B41311" s="2" t="str">
        <f>IFERROR(__xludf.DUMMYFUNCTION("GOOGLETRANSLATE(A41311, ""de"", ""en"")"),"Thebes")</f>
        <v>Thebes</v>
      </c>
    </row>
    <row r="41312">
      <c r="A41312" s="1" t="s">
        <v>41311</v>
      </c>
      <c r="B41312" s="2" t="str">
        <f>IFERROR(__xludf.DUMMYFUNCTION("GOOGLETRANSLATE(A41312, ""de"", ""en"")"),"Josiah")</f>
        <v>Josiah</v>
      </c>
    </row>
    <row r="41313">
      <c r="A41313" s="1" t="s">
        <v>41312</v>
      </c>
      <c r="B41313" s="2" t="str">
        <f>IFERROR(__xludf.DUMMYFUNCTION("GOOGLETRANSLATE(A41313, ""de"", ""en"")"),"math teacher")</f>
        <v>math teacher</v>
      </c>
    </row>
    <row r="41314">
      <c r="A41314" s="1" t="s">
        <v>41313</v>
      </c>
      <c r="B41314" s="2" t="str">
        <f>IFERROR(__xludf.DUMMYFUNCTION("GOOGLETRANSLATE(A41314, ""de"", ""en"")"),"henson")</f>
        <v>henson</v>
      </c>
    </row>
    <row r="41315">
      <c r="A41315" s="1" t="s">
        <v>41314</v>
      </c>
      <c r="B41315" s="2" t="str">
        <f>IFERROR(__xludf.DUMMYFUNCTION("GOOGLETRANSLATE(A41315, ""de"", ""en"")"),"eyey")</f>
        <v>eyey</v>
      </c>
    </row>
    <row r="41316">
      <c r="A41316" s="1" t="s">
        <v>41315</v>
      </c>
      <c r="B41316" s="2" t="str">
        <f>IFERROR(__xludf.DUMMYFUNCTION("GOOGLETRANSLATE(A41316, ""de"", ""en"")"),"stuff")</f>
        <v>stuff</v>
      </c>
    </row>
    <row r="41317">
      <c r="A41317" s="1" t="s">
        <v>41316</v>
      </c>
      <c r="B41317" s="2" t="str">
        <f>IFERROR(__xludf.DUMMYFUNCTION("GOOGLETRANSLATE(A41317, ""de"", ""en"")"),"Sartre")</f>
        <v>Sartre</v>
      </c>
    </row>
    <row r="41318">
      <c r="A41318" s="1" t="s">
        <v>41317</v>
      </c>
      <c r="B41318" s="2" t="str">
        <f>IFERROR(__xludf.DUMMYFUNCTION("GOOGLETRANSLATE(A41318, ""de"", ""en"")"),"cooperative")</f>
        <v>cooperative</v>
      </c>
    </row>
    <row r="41319">
      <c r="A41319" s="1" t="s">
        <v>41318</v>
      </c>
      <c r="B41319" s="2" t="str">
        <f>IFERROR(__xludf.DUMMYFUNCTION("GOOGLETRANSLATE(A41319, ""de"", ""en"")"),"soy milk")</f>
        <v>soy milk</v>
      </c>
    </row>
    <row r="41320">
      <c r="A41320" s="1" t="s">
        <v>41319</v>
      </c>
      <c r="B41320" s="2" t="str">
        <f>IFERROR(__xludf.DUMMYFUNCTION("GOOGLETRANSLATE(A41320, ""de"", ""en"")"),"great")</f>
        <v>great</v>
      </c>
    </row>
    <row r="41321">
      <c r="A41321" s="1" t="s">
        <v>41320</v>
      </c>
      <c r="B41321" s="2" t="str">
        <f>IFERROR(__xludf.DUMMYFUNCTION("GOOGLETRANSLATE(A41321, ""de"", ""en"")"),"coffins")</f>
        <v>coffins</v>
      </c>
    </row>
    <row r="41322">
      <c r="A41322" s="1" t="s">
        <v>41321</v>
      </c>
      <c r="B41322" s="2" t="str">
        <f>IFERROR(__xludf.DUMMYFUNCTION("GOOGLETRANSLATE(A41322, ""de"", ""en"")"),"Aryan")</f>
        <v>Aryan</v>
      </c>
    </row>
    <row r="41323">
      <c r="A41323" s="1" t="s">
        <v>41322</v>
      </c>
      <c r="B41323" s="2" t="str">
        <f>IFERROR(__xludf.DUMMYFUNCTION("GOOGLETRANSLATE(A41323, ""de"", ""en"")"),"deaf")</f>
        <v>deaf</v>
      </c>
    </row>
    <row r="41324">
      <c r="A41324" s="1" t="s">
        <v>41323</v>
      </c>
      <c r="B41324" s="2" t="str">
        <f>IFERROR(__xludf.DUMMYFUNCTION("GOOGLETRANSLATE(A41324, ""de"", ""en"")"),"flight time")</f>
        <v>flight time</v>
      </c>
    </row>
    <row r="41325">
      <c r="A41325" s="1" t="s">
        <v>41324</v>
      </c>
      <c r="B41325" s="2" t="str">
        <f>IFERROR(__xludf.DUMMYFUNCTION("GOOGLETRANSLATE(A41325, ""de"", ""en"")"),"nondescript")</f>
        <v>nondescript</v>
      </c>
    </row>
    <row r="41326">
      <c r="A41326" s="1" t="s">
        <v>41325</v>
      </c>
      <c r="B41326" s="2" t="str">
        <f>IFERROR(__xludf.DUMMYFUNCTION("GOOGLETRANSLATE(A41326, ""de"", ""en"")"),"to confuse")</f>
        <v>to confuse</v>
      </c>
    </row>
    <row r="41327">
      <c r="A41327" s="1" t="s">
        <v>41326</v>
      </c>
      <c r="B41327" s="2" t="str">
        <f>IFERROR(__xludf.DUMMYFUNCTION("GOOGLETRANSLATE(A41327, ""de"", ""en"")"),"steep")</f>
        <v>steep</v>
      </c>
    </row>
    <row r="41328">
      <c r="A41328" s="1" t="s">
        <v>41327</v>
      </c>
      <c r="B41328" s="2" t="str">
        <f>IFERROR(__xludf.DUMMYFUNCTION("GOOGLETRANSLATE(A41328, ""de"", ""en"")"),"displacement")</f>
        <v>displacement</v>
      </c>
    </row>
    <row r="41329">
      <c r="A41329" s="1" t="s">
        <v>41328</v>
      </c>
      <c r="B41329" s="2" t="str">
        <f>IFERROR(__xludf.DUMMYFUNCTION("GOOGLETRANSLATE(A41329, ""de"", ""en"")"),"in stock")</f>
        <v>in stock</v>
      </c>
    </row>
    <row r="41330">
      <c r="A41330" s="1" t="s">
        <v>41329</v>
      </c>
      <c r="B41330" s="2" t="str">
        <f>IFERROR(__xludf.DUMMYFUNCTION("GOOGLETRANSLATE(A41330, ""de"", ""en"")"),"Montez")</f>
        <v>Montez</v>
      </c>
    </row>
    <row r="41331">
      <c r="A41331" s="1" t="s">
        <v>41330</v>
      </c>
      <c r="B41331" s="2" t="str">
        <f>IFERROR(__xludf.DUMMYFUNCTION("GOOGLETRANSLATE(A41331, ""de"", ""en"")"),"influence")</f>
        <v>influence</v>
      </c>
    </row>
    <row r="41332">
      <c r="A41332" s="1" t="s">
        <v>41331</v>
      </c>
      <c r="B41332" s="2" t="str">
        <f>IFERROR(__xludf.DUMMYFUNCTION("GOOGLETRANSLATE(A41332, ""de"", ""en"")"),"masseuse")</f>
        <v>masseuse</v>
      </c>
    </row>
    <row r="41333">
      <c r="A41333" s="1" t="s">
        <v>41332</v>
      </c>
      <c r="B41333" s="2" t="str">
        <f>IFERROR(__xludf.DUMMYFUNCTION("GOOGLETRANSLATE(A41333, ""de"", ""en"")"),"liberation front")</f>
        <v>liberation front</v>
      </c>
    </row>
    <row r="41334">
      <c r="A41334" s="1" t="s">
        <v>41333</v>
      </c>
      <c r="B41334" s="2" t="str">
        <f>IFERROR(__xludf.DUMMYFUNCTION("GOOGLETRANSLATE(A41334, ""de"", ""en"")"),"captured")</f>
        <v>captured</v>
      </c>
    </row>
    <row r="41335">
      <c r="A41335" s="1" t="s">
        <v>41334</v>
      </c>
      <c r="B41335" s="2" t="str">
        <f>IFERROR(__xludf.DUMMYFUNCTION("GOOGLETRANSLATE(A41335, ""de"", ""en"")"),"con artist")</f>
        <v>con artist</v>
      </c>
    </row>
    <row r="41336">
      <c r="A41336" s="1" t="s">
        <v>41335</v>
      </c>
      <c r="B41336" s="2" t="str">
        <f>IFERROR(__xludf.DUMMYFUNCTION("GOOGLETRANSLATE(A41336, ""de"", ""en"")"),"maximum")</f>
        <v>maximum</v>
      </c>
    </row>
    <row r="41337">
      <c r="A41337" s="1" t="s">
        <v>41336</v>
      </c>
      <c r="B41337" s="2" t="str">
        <f>IFERROR(__xludf.DUMMYFUNCTION("GOOGLETRANSLATE(A41337, ""de"", ""en"")"),"flatten")</f>
        <v>flatten</v>
      </c>
    </row>
    <row r="41338">
      <c r="A41338" s="1" t="s">
        <v>41337</v>
      </c>
      <c r="B41338" s="2" t="str">
        <f>IFERROR(__xludf.DUMMYFUNCTION("GOOGLETRANSLATE(A41338, ""de"", ""en"")"),"paramedic")</f>
        <v>paramedic</v>
      </c>
    </row>
    <row r="41339">
      <c r="A41339" s="1" t="s">
        <v>41338</v>
      </c>
      <c r="B41339" s="2" t="str">
        <f>IFERROR(__xludf.DUMMYFUNCTION("GOOGLETRANSLATE(A41339, ""de"", ""en"")"),"listen")</f>
        <v>listen</v>
      </c>
    </row>
    <row r="41340">
      <c r="A41340" s="1" t="s">
        <v>41339</v>
      </c>
      <c r="B41340" s="2" t="str">
        <f>IFERROR(__xludf.DUMMYFUNCTION("GOOGLETRANSLATE(A41340, ""de"", ""en"")"),"valid")</f>
        <v>valid</v>
      </c>
    </row>
    <row r="41341">
      <c r="A41341" s="1" t="s">
        <v>41340</v>
      </c>
      <c r="B41341" s="2" t="str">
        <f>IFERROR(__xludf.DUMMYFUNCTION("GOOGLETRANSLATE(A41341, ""de"", ""en"")"),"foreskin")</f>
        <v>foreskin</v>
      </c>
    </row>
    <row r="41342">
      <c r="A41342" s="1" t="s">
        <v>41341</v>
      </c>
      <c r="B41342" s="2" t="str">
        <f>IFERROR(__xludf.DUMMYFUNCTION("GOOGLETRANSLATE(A41342, ""de"", ""en"")"),"weaker")</f>
        <v>weaker</v>
      </c>
    </row>
    <row r="41343">
      <c r="A41343" s="1" t="s">
        <v>41342</v>
      </c>
      <c r="B41343" s="2" t="str">
        <f>IFERROR(__xludf.DUMMYFUNCTION("GOOGLETRANSLATE(A41343, ""de"", ""en"")"),"tons")</f>
        <v>tons</v>
      </c>
    </row>
    <row r="41344">
      <c r="A41344" s="1" t="s">
        <v>41343</v>
      </c>
      <c r="B41344" s="2" t="str">
        <f>IFERROR(__xludf.DUMMYFUNCTION("GOOGLETRANSLATE(A41344, ""de"", ""en"")"),"alfalfa")</f>
        <v>alfalfa</v>
      </c>
    </row>
    <row r="41345">
      <c r="A41345" s="1" t="s">
        <v>41344</v>
      </c>
      <c r="B41345" s="2" t="str">
        <f>IFERROR(__xludf.DUMMYFUNCTION("GOOGLETRANSLATE(A41345, ""de"", ""en"")"),"close")</f>
        <v>close</v>
      </c>
    </row>
    <row r="41346">
      <c r="A41346" s="1" t="s">
        <v>41345</v>
      </c>
      <c r="B41346" s="2" t="str">
        <f>IFERROR(__xludf.DUMMYFUNCTION("GOOGLETRANSLATE(A41346, ""de"", ""en"")"),"liliane")</f>
        <v>liliane</v>
      </c>
    </row>
    <row r="41347">
      <c r="A41347" s="1" t="s">
        <v>41346</v>
      </c>
      <c r="B41347" s="2" t="str">
        <f>IFERROR(__xludf.DUMMYFUNCTION("GOOGLETRANSLATE(A41347, ""de"", ""en"")"),"mourned")</f>
        <v>mourned</v>
      </c>
    </row>
    <row r="41348">
      <c r="A41348" s="1" t="s">
        <v>41347</v>
      </c>
      <c r="B41348" s="2" t="str">
        <f>IFERROR(__xludf.DUMMYFUNCTION("GOOGLETRANSLATE(A41348, ""de"", ""en"")"),"canteen")</f>
        <v>canteen</v>
      </c>
    </row>
    <row r="41349">
      <c r="A41349" s="1" t="s">
        <v>41348</v>
      </c>
      <c r="B41349" s="2" t="str">
        <f>IFERROR(__xludf.DUMMYFUNCTION("GOOGLETRANSLATE(A41349, ""de"", ""en"")"),"bonsai")</f>
        <v>bonsai</v>
      </c>
    </row>
    <row r="41350">
      <c r="A41350" s="1" t="s">
        <v>41349</v>
      </c>
      <c r="B41350" s="2" t="str">
        <f>IFERROR(__xludf.DUMMYFUNCTION("GOOGLETRANSLATE(A41350, ""de"", ""en"")"),"habituated")</f>
        <v>habituated</v>
      </c>
    </row>
    <row r="41351">
      <c r="A41351" s="1" t="s">
        <v>41350</v>
      </c>
      <c r="B41351" s="2" t="str">
        <f>IFERROR(__xludf.DUMMYFUNCTION("GOOGLETRANSLATE(A41351, ""de"", ""en"")"),"unloaded")</f>
        <v>unloaded</v>
      </c>
    </row>
    <row r="41352">
      <c r="A41352" s="1" t="s">
        <v>41351</v>
      </c>
      <c r="B41352" s="2" t="str">
        <f>IFERROR(__xludf.DUMMYFUNCTION("GOOGLETRANSLATE(A41352, ""de"", ""en"")"),"men")</f>
        <v>men</v>
      </c>
    </row>
    <row r="41353">
      <c r="A41353" s="1" t="s">
        <v>41352</v>
      </c>
      <c r="B41353" s="2" t="str">
        <f>IFERROR(__xludf.DUMMYFUNCTION("GOOGLETRANSLATE(A41353, ""de"", ""en"")"),"vikings")</f>
        <v>vikings</v>
      </c>
    </row>
    <row r="41354">
      <c r="A41354" s="1" t="s">
        <v>41353</v>
      </c>
      <c r="B41354" s="2" t="str">
        <f>IFERROR(__xludf.DUMMYFUNCTION("GOOGLETRANSLATE(A41354, ""de"", ""en"")"),"strangle")</f>
        <v>strangle</v>
      </c>
    </row>
    <row r="41355">
      <c r="A41355" s="1" t="s">
        <v>41354</v>
      </c>
      <c r="B41355" s="2" t="str">
        <f>IFERROR(__xludf.DUMMYFUNCTION("GOOGLETRANSLATE(A41355, ""de"", ""en"")"),"seriousness")</f>
        <v>seriousness</v>
      </c>
    </row>
    <row r="41356">
      <c r="A41356" s="1" t="s">
        <v>41355</v>
      </c>
      <c r="B41356" s="2" t="str">
        <f>IFERROR(__xludf.DUMMYFUNCTION("GOOGLETRANSLATE(A41356, ""de"", ""en"")"),"kiwi")</f>
        <v>kiwi</v>
      </c>
    </row>
    <row r="41357">
      <c r="A41357" s="1" t="s">
        <v>41356</v>
      </c>
      <c r="B41357" s="2" t="str">
        <f>IFERROR(__xludf.DUMMYFUNCTION("GOOGLETRANSLATE(A41357, ""de"", ""en"")"),"picture book")</f>
        <v>picture book</v>
      </c>
    </row>
    <row r="41358">
      <c r="A41358" s="1" t="s">
        <v>41357</v>
      </c>
      <c r="B41358" s="2" t="str">
        <f>IFERROR(__xludf.DUMMYFUNCTION("GOOGLETRANSLATE(A41358, ""de"", ""en"")"),"tv show")</f>
        <v>tv show</v>
      </c>
    </row>
    <row r="41359">
      <c r="A41359" s="1" t="s">
        <v>41358</v>
      </c>
      <c r="B41359" s="2" t="str">
        <f>IFERROR(__xludf.DUMMYFUNCTION("GOOGLETRANSLATE(A41359, ""de"", ""en"")"),"martial arts")</f>
        <v>martial arts</v>
      </c>
    </row>
    <row r="41360">
      <c r="A41360" s="1" t="s">
        <v>41359</v>
      </c>
      <c r="B41360" s="2" t="str">
        <f>IFERROR(__xludf.DUMMYFUNCTION("GOOGLETRANSLATE(A41360, ""de"", ""en"")"),"Rwanda")</f>
        <v>Rwanda</v>
      </c>
    </row>
    <row r="41361">
      <c r="A41361" s="1" t="s">
        <v>41360</v>
      </c>
      <c r="B41361" s="2" t="str">
        <f>IFERROR(__xludf.DUMMYFUNCTION("GOOGLETRANSLATE(A41361, ""de"", ""en"")"),"guaranteed")</f>
        <v>guaranteed</v>
      </c>
    </row>
    <row r="41362">
      <c r="A41362" s="1" t="s">
        <v>41361</v>
      </c>
      <c r="B41362" s="2" t="str">
        <f>IFERROR(__xludf.DUMMYFUNCTION("GOOGLETRANSLATE(A41362, ""de"", ""en"")"),"washed")</f>
        <v>washed</v>
      </c>
    </row>
    <row r="41363">
      <c r="A41363" s="1" t="s">
        <v>41362</v>
      </c>
      <c r="B41363" s="2" t="str">
        <f>IFERROR(__xludf.DUMMYFUNCTION("GOOGLETRANSLATE(A41363, ""de"", ""en"")"),"in love")</f>
        <v>in love</v>
      </c>
    </row>
    <row r="41364">
      <c r="A41364" s="1" t="s">
        <v>41363</v>
      </c>
      <c r="B41364" s="2" t="str">
        <f>IFERROR(__xludf.DUMMYFUNCTION("GOOGLETRANSLATE(A41364, ""de"", ""en"")"),"clips")</f>
        <v>clips</v>
      </c>
    </row>
    <row r="41365">
      <c r="A41365" s="1" t="s">
        <v>41364</v>
      </c>
      <c r="B41365" s="2" t="str">
        <f>IFERROR(__xludf.DUMMYFUNCTION("GOOGLETRANSLATE(A41365, ""de"", ""en"")"),"rethink")</f>
        <v>rethink</v>
      </c>
    </row>
    <row r="41366">
      <c r="A41366" s="1" t="s">
        <v>41365</v>
      </c>
      <c r="B41366" s="2" t="str">
        <f>IFERROR(__xludf.DUMMYFUNCTION("GOOGLETRANSLATE(A41366, ""de"", ""en"")"),"siren wail")</f>
        <v>siren wail</v>
      </c>
    </row>
    <row r="41367">
      <c r="A41367" s="1" t="s">
        <v>41366</v>
      </c>
      <c r="B41367" s="2" t="str">
        <f>IFERROR(__xludf.DUMMYFUNCTION("GOOGLETRANSLATE(A41367, ""de"", ""en"")"),"partial print")</f>
        <v>partial print</v>
      </c>
    </row>
    <row r="41368">
      <c r="A41368" s="1" t="s">
        <v>41367</v>
      </c>
      <c r="B41368" s="2" t="str">
        <f>IFERROR(__xludf.DUMMYFUNCTION("GOOGLETRANSLATE(A41368, ""de"", ""en"")"),"crepes")</f>
        <v>crepes</v>
      </c>
    </row>
    <row r="41369">
      <c r="A41369" s="1" t="s">
        <v>41368</v>
      </c>
      <c r="B41369" s="2" t="str">
        <f>IFERROR(__xludf.DUMMYFUNCTION("GOOGLETRANSLATE(A41369, ""de"", ""en"")"),"thug types")</f>
        <v>thug types</v>
      </c>
    </row>
    <row r="41370">
      <c r="A41370" s="1" t="s">
        <v>41369</v>
      </c>
      <c r="B41370" s="2" t="str">
        <f>IFERROR(__xludf.DUMMYFUNCTION("GOOGLETRANSLATE(A41370, ""de"", ""en"")"),"thimble")</f>
        <v>thimble</v>
      </c>
    </row>
    <row r="41371">
      <c r="A41371" s="1" t="s">
        <v>41370</v>
      </c>
      <c r="B41371" s="2" t="str">
        <f>IFERROR(__xludf.DUMMYFUNCTION("GOOGLETRANSLATE(A41371, ""de"", ""en"")"),"eyeshadow")</f>
        <v>eyeshadow</v>
      </c>
    </row>
    <row r="41372">
      <c r="A41372" s="1" t="s">
        <v>41371</v>
      </c>
      <c r="B41372" s="2" t="str">
        <f>IFERROR(__xludf.DUMMYFUNCTION("GOOGLETRANSLATE(A41372, ""de"", ""en"")"),"bleek")</f>
        <v>bleek</v>
      </c>
    </row>
    <row r="41373">
      <c r="A41373" s="1" t="s">
        <v>41372</v>
      </c>
      <c r="B41373" s="2" t="str">
        <f>IFERROR(__xludf.DUMMYFUNCTION("GOOGLETRANSLATE(A41373, ""de"", ""en"")"),"sparkling")</f>
        <v>sparkling</v>
      </c>
    </row>
    <row r="41374">
      <c r="A41374" s="1" t="s">
        <v>41373</v>
      </c>
      <c r="B41374" s="2" t="str">
        <f>IFERROR(__xludf.DUMMYFUNCTION("GOOGLETRANSLATE(A41374, ""de"", ""en"")"),"hodes")</f>
        <v>hodes</v>
      </c>
    </row>
    <row r="41375">
      <c r="A41375" s="1" t="s">
        <v>41374</v>
      </c>
      <c r="B41375" s="2" t="str">
        <f>IFERROR(__xludf.DUMMYFUNCTION("GOOGLETRANSLATE(A41375, ""de"", ""en"")"),"heaves")</f>
        <v>heaves</v>
      </c>
    </row>
    <row r="41376">
      <c r="A41376" s="1" t="s">
        <v>41375</v>
      </c>
      <c r="B41376" s="2" t="str">
        <f>IFERROR(__xludf.DUMMYFUNCTION("GOOGLETRANSLATE(A41376, ""de"", ""en"")"),"useless")</f>
        <v>useless</v>
      </c>
    </row>
    <row r="41377">
      <c r="A41377" s="1" t="s">
        <v>41376</v>
      </c>
      <c r="B41377" s="2" t="str">
        <f>IFERROR(__xludf.DUMMYFUNCTION("GOOGLETRANSLATE(A41377, ""de"", ""en"")"),"sleeping bags")</f>
        <v>sleeping bags</v>
      </c>
    </row>
    <row r="41378">
      <c r="A41378" s="1" t="s">
        <v>41377</v>
      </c>
      <c r="B41378" s="2" t="str">
        <f>IFERROR(__xludf.DUMMYFUNCTION("GOOGLETRANSLATE(A41378, ""de"", ""en"")"),"outstanding")</f>
        <v>outstanding</v>
      </c>
    </row>
    <row r="41379">
      <c r="A41379" s="1" t="s">
        <v>41378</v>
      </c>
      <c r="B41379" s="2" t="str">
        <f>IFERROR(__xludf.DUMMYFUNCTION("GOOGLETRANSLATE(A41379, ""de"", ""en"")"),"roar")</f>
        <v>roar</v>
      </c>
    </row>
    <row r="41380">
      <c r="A41380" s="1" t="s">
        <v>41379</v>
      </c>
      <c r="B41380" s="2" t="str">
        <f>IFERROR(__xludf.DUMMYFUNCTION("GOOGLETRANSLATE(A41380, ""de"", ""en"")"),"beds")</f>
        <v>beds</v>
      </c>
    </row>
    <row r="41381">
      <c r="A41381" s="1" t="s">
        <v>41380</v>
      </c>
      <c r="B41381" s="2" t="str">
        <f>IFERROR(__xludf.DUMMYFUNCTION("GOOGLETRANSLATE(A41381, ""de"", ""en"")"),"resettled")</f>
        <v>resettled</v>
      </c>
    </row>
    <row r="41382">
      <c r="A41382" s="1" t="s">
        <v>41381</v>
      </c>
      <c r="B41382" s="2" t="str">
        <f>IFERROR(__xludf.DUMMYFUNCTION("GOOGLETRANSLATE(A41382, ""de"", ""en"")"),"Greek")</f>
        <v>Greek</v>
      </c>
    </row>
    <row r="41383">
      <c r="A41383" s="1" t="s">
        <v>41382</v>
      </c>
      <c r="B41383" s="2" t="str">
        <f>IFERROR(__xludf.DUMMYFUNCTION("GOOGLETRANSLATE(A41383, ""de"", ""en"")"),"onion rings")</f>
        <v>onion rings</v>
      </c>
    </row>
    <row r="41384">
      <c r="A41384" s="1" t="s">
        <v>41383</v>
      </c>
      <c r="B41384" s="2" t="str">
        <f>IFERROR(__xludf.DUMMYFUNCTION("GOOGLETRANSLATE(A41384, ""de"", ""en"")"),"grave")</f>
        <v>grave</v>
      </c>
    </row>
    <row r="41385">
      <c r="A41385" s="1" t="s">
        <v>41384</v>
      </c>
      <c r="B41385" s="2" t="str">
        <f>IFERROR(__xludf.DUMMYFUNCTION("GOOGLETRANSLATE(A41385, ""de"", ""en"")"),"master key")</f>
        <v>master key</v>
      </c>
    </row>
    <row r="41386">
      <c r="A41386" s="1" t="s">
        <v>41385</v>
      </c>
      <c r="B41386" s="2" t="str">
        <f>IFERROR(__xludf.DUMMYFUNCTION("GOOGLETRANSLATE(A41386, ""de"", ""en"")"),"treat")</f>
        <v>treat</v>
      </c>
    </row>
    <row r="41387">
      <c r="A41387" s="1" t="s">
        <v>41386</v>
      </c>
      <c r="B41387" s="2" t="str">
        <f>IFERROR(__xludf.DUMMYFUNCTION("GOOGLETRANSLATE(A41387, ""de"", ""en"")"),"nutmeg")</f>
        <v>nutmeg</v>
      </c>
    </row>
    <row r="41388">
      <c r="A41388" s="1" t="s">
        <v>41387</v>
      </c>
      <c r="B41388" s="2" t="str">
        <f>IFERROR(__xludf.DUMMYFUNCTION("GOOGLETRANSLATE(A41388, ""de"", ""en"")"),"litter box")</f>
        <v>litter box</v>
      </c>
    </row>
    <row r="41389">
      <c r="A41389" s="1" t="s">
        <v>41388</v>
      </c>
      <c r="B41389" s="2" t="str">
        <f>IFERROR(__xludf.DUMMYFUNCTION("GOOGLETRANSLATE(A41389, ""de"", ""en"")"),"duce")</f>
        <v>duce</v>
      </c>
    </row>
    <row r="41390">
      <c r="A41390" s="1" t="s">
        <v>41389</v>
      </c>
      <c r="B41390" s="2" t="str">
        <f>IFERROR(__xludf.DUMMYFUNCTION("GOOGLETRANSLATE(A41390, ""de"", ""en"")"),"thunderbird")</f>
        <v>thunderbird</v>
      </c>
    </row>
    <row r="41391">
      <c r="A41391" s="1" t="s">
        <v>41390</v>
      </c>
      <c r="B41391" s="2" t="str">
        <f>IFERROR(__xludf.DUMMYFUNCTION("GOOGLETRANSLATE(A41391, ""de"", ""en"")"),"godwyn")</f>
        <v>godwyn</v>
      </c>
    </row>
    <row r="41392">
      <c r="A41392" s="1" t="s">
        <v>41391</v>
      </c>
      <c r="B41392" s="2" t="str">
        <f>IFERROR(__xludf.DUMMYFUNCTION("GOOGLETRANSLATE(A41392, ""de"", ""en"")"),"populate")</f>
        <v>populate</v>
      </c>
    </row>
    <row r="41393">
      <c r="A41393" s="1" t="s">
        <v>41392</v>
      </c>
      <c r="B41393" s="2" t="str">
        <f>IFERROR(__xludf.DUMMYFUNCTION("GOOGLETRANSLATE(A41393, ""de"", ""en"")"),"swung")</f>
        <v>swung</v>
      </c>
    </row>
    <row r="41394">
      <c r="A41394" s="1" t="s">
        <v>41393</v>
      </c>
      <c r="B41394" s="2" t="str">
        <f>IFERROR(__xludf.DUMMYFUNCTION("GOOGLETRANSLATE(A41394, ""de"", ""en"")"),"doran")</f>
        <v>doran</v>
      </c>
    </row>
    <row r="41395">
      <c r="A41395" s="1" t="s">
        <v>41394</v>
      </c>
      <c r="B41395" s="2" t="str">
        <f>IFERROR(__xludf.DUMMYFUNCTION("GOOGLETRANSLATE(A41395, ""de"", ""en"")"),"swain")</f>
        <v>swain</v>
      </c>
    </row>
    <row r="41396">
      <c r="A41396" s="1" t="s">
        <v>41395</v>
      </c>
      <c r="B41396" s="2" t="str">
        <f>IFERROR(__xludf.DUMMYFUNCTION("GOOGLETRANSLATE(A41396, ""de"", ""en"")"),"feels")</f>
        <v>feels</v>
      </c>
    </row>
    <row r="41397">
      <c r="A41397" s="1" t="s">
        <v>41396</v>
      </c>
      <c r="B41397" s="2" t="str">
        <f>IFERROR(__xludf.DUMMYFUNCTION("GOOGLETRANSLATE(A41397, ""de"", ""en"")"),"assured")</f>
        <v>assured</v>
      </c>
    </row>
    <row r="41398">
      <c r="A41398" s="1" t="s">
        <v>41397</v>
      </c>
      <c r="B41398" s="2" t="str">
        <f>IFERROR(__xludf.DUMMYFUNCTION("GOOGLETRANSLATE(A41398, ""de"", ""en"")"),"sink")</f>
        <v>sink</v>
      </c>
    </row>
    <row r="41399">
      <c r="A41399" s="1" t="s">
        <v>41398</v>
      </c>
      <c r="B41399" s="2" t="str">
        <f>IFERROR(__xludf.DUMMYFUNCTION("GOOGLETRANSLATE(A41399, ""de"", ""en"")"),"voyeur")</f>
        <v>voyeur</v>
      </c>
    </row>
    <row r="41400">
      <c r="A41400" s="1" t="s">
        <v>41399</v>
      </c>
      <c r="B41400" s="2" t="str">
        <f>IFERROR(__xludf.DUMMYFUNCTION("GOOGLETRANSLATE(A41400, ""de"", ""en"")"),"isolated")</f>
        <v>isolated</v>
      </c>
    </row>
    <row r="41401">
      <c r="A41401" s="1" t="s">
        <v>41400</v>
      </c>
      <c r="B41401" s="2" t="str">
        <f>IFERROR(__xludf.DUMMYFUNCTION("GOOGLETRANSLATE(A41401, ""de"", ""en"")"),"pathetic")</f>
        <v>pathetic</v>
      </c>
    </row>
    <row r="41402">
      <c r="A41402" s="1" t="s">
        <v>41401</v>
      </c>
      <c r="B41402" s="2" t="str">
        <f>IFERROR(__xludf.DUMMYFUNCTION("GOOGLETRANSLATE(A41402, ""de"", ""en"")"),"cover")</f>
        <v>cover</v>
      </c>
    </row>
    <row r="41403">
      <c r="A41403" s="1" t="s">
        <v>41402</v>
      </c>
      <c r="B41403" s="2" t="str">
        <f>IFERROR(__xludf.DUMMYFUNCTION("GOOGLETRANSLATE(A41403, ""de"", ""en"")"),"malcom")</f>
        <v>malcom</v>
      </c>
    </row>
    <row r="41404">
      <c r="A41404" s="1" t="s">
        <v>41403</v>
      </c>
      <c r="B41404" s="2" t="str">
        <f>IFERROR(__xludf.DUMMYFUNCTION("GOOGLETRANSLATE(A41404, ""de"", ""en"")"),"privateer")</f>
        <v>privateer</v>
      </c>
    </row>
    <row r="41405">
      <c r="A41405" s="1" t="s">
        <v>41404</v>
      </c>
      <c r="B41405" s="2" t="str">
        <f>IFERROR(__xludf.DUMMYFUNCTION("GOOGLETRANSLATE(A41405, ""de"", ""en"")"),"damage to property")</f>
        <v>damage to property</v>
      </c>
    </row>
    <row r="41406">
      <c r="A41406" s="1" t="s">
        <v>41405</v>
      </c>
      <c r="B41406" s="2" t="str">
        <f>IFERROR(__xludf.DUMMYFUNCTION("GOOGLETRANSLATE(A41406, ""de"", ""en"")"),"pug")</f>
        <v>pug</v>
      </c>
    </row>
    <row r="41407">
      <c r="A41407" s="1" t="s">
        <v>41406</v>
      </c>
      <c r="B41407" s="2" t="str">
        <f>IFERROR(__xludf.DUMMYFUNCTION("GOOGLETRANSLATE(A41407, ""de"", ""en"")"),"go around")</f>
        <v>go around</v>
      </c>
    </row>
    <row r="41408">
      <c r="A41408" s="1" t="s">
        <v>41407</v>
      </c>
      <c r="B41408" s="2" t="str">
        <f>IFERROR(__xludf.DUMMYFUNCTION("GOOGLETRANSLATE(A41408, ""de"", ""en"")"),"Ambrose")</f>
        <v>Ambrose</v>
      </c>
    </row>
    <row r="41409">
      <c r="A41409" s="1" t="s">
        <v>41408</v>
      </c>
      <c r="B41409" s="2" t="str">
        <f>IFERROR(__xludf.DUMMYFUNCTION("GOOGLETRANSLATE(A41409, ""de"", ""en"")"),"transform")</f>
        <v>transform</v>
      </c>
    </row>
    <row r="41410">
      <c r="A41410" s="1" t="s">
        <v>41409</v>
      </c>
      <c r="B41410" s="2" t="str">
        <f>IFERROR(__xludf.DUMMYFUNCTION("GOOGLETRANSLATE(A41410, ""de"", ""en"")"),"bath water")</f>
        <v>bath water</v>
      </c>
    </row>
    <row r="41411">
      <c r="A41411" s="1" t="s">
        <v>41410</v>
      </c>
      <c r="B41411" s="2" t="str">
        <f>IFERROR(__xludf.DUMMYFUNCTION("GOOGLETRANSLATE(A41411, ""de"", ""en"")"),"mathews")</f>
        <v>mathews</v>
      </c>
    </row>
    <row r="41412">
      <c r="A41412" s="1" t="s">
        <v>41411</v>
      </c>
      <c r="B41412" s="2" t="str">
        <f>IFERROR(__xludf.DUMMYFUNCTION("GOOGLETRANSLATE(A41412, ""de"", ""en"")"),"stalker")</f>
        <v>stalker</v>
      </c>
    </row>
    <row r="41413">
      <c r="A41413" s="1" t="s">
        <v>41412</v>
      </c>
      <c r="B41413" s="2" t="str">
        <f>IFERROR(__xludf.DUMMYFUNCTION("GOOGLETRANSLATE(A41413, ""de"", ""en"")"),"to act out")</f>
        <v>to act out</v>
      </c>
    </row>
    <row r="41414">
      <c r="A41414" s="1" t="s">
        <v>41413</v>
      </c>
      <c r="B41414" s="2" t="str">
        <f>IFERROR(__xludf.DUMMYFUNCTION("GOOGLETRANSLATE(A41414, ""de"", ""en"")"),"ebola")</f>
        <v>ebola</v>
      </c>
    </row>
    <row r="41415">
      <c r="A41415" s="1" t="s">
        <v>41414</v>
      </c>
      <c r="B41415" s="2" t="str">
        <f>IFERROR(__xludf.DUMMYFUNCTION("GOOGLETRANSLATE(A41415, ""de"", ""en"")"),"chicka")</f>
        <v>chicka</v>
      </c>
    </row>
    <row r="41416">
      <c r="A41416" s="1" t="s">
        <v>41415</v>
      </c>
      <c r="B41416" s="2" t="str">
        <f>IFERROR(__xludf.DUMMYFUNCTION("GOOGLETRANSLATE(A41416, ""de"", ""en"")"),"boomerang")</f>
        <v>boomerang</v>
      </c>
    </row>
    <row r="41417">
      <c r="A41417" s="1" t="s">
        <v>41416</v>
      </c>
      <c r="B41417" s="2" t="str">
        <f>IFERROR(__xludf.DUMMYFUNCTION("GOOGLETRANSLATE(A41417, ""de"", ""en"")"),"source of information")</f>
        <v>source of information</v>
      </c>
    </row>
    <row r="41418">
      <c r="A41418" s="1" t="s">
        <v>41417</v>
      </c>
      <c r="B41418" s="2" t="str">
        <f>IFERROR(__xludf.DUMMYFUNCTION("GOOGLETRANSLATE(A41418, ""de"", ""en"")"),"glitch")</f>
        <v>glitch</v>
      </c>
    </row>
    <row r="41419">
      <c r="A41419" s="1" t="s">
        <v>41418</v>
      </c>
      <c r="B41419" s="2" t="str">
        <f>IFERROR(__xludf.DUMMYFUNCTION("GOOGLETRANSLATE(A41419, ""de"", ""en"")"),"Grisham")</f>
        <v>Grisham</v>
      </c>
    </row>
    <row r="41420">
      <c r="A41420" s="1" t="s">
        <v>41419</v>
      </c>
      <c r="B41420" s="2" t="str">
        <f>IFERROR(__xludf.DUMMYFUNCTION("GOOGLETRANSLATE(A41420, ""de"", ""en"")"),"background")</f>
        <v>background</v>
      </c>
    </row>
    <row r="41421">
      <c r="A41421" s="1" t="s">
        <v>41420</v>
      </c>
      <c r="B41421" s="2" t="str">
        <f>IFERROR(__xludf.DUMMYFUNCTION("GOOGLETRANSLATE(A41421, ""de"", ""en"")"),"player")</f>
        <v>player</v>
      </c>
    </row>
    <row r="41422">
      <c r="A41422" s="1" t="s">
        <v>41421</v>
      </c>
      <c r="B41422" s="2" t="str">
        <f>IFERROR(__xludf.DUMMYFUNCTION("GOOGLETRANSLATE(A41422, ""de"", ""en"")"),"wimbledon")</f>
        <v>wimbledon</v>
      </c>
    </row>
    <row r="41423">
      <c r="A41423" s="1" t="s">
        <v>41422</v>
      </c>
      <c r="B41423" s="2" t="str">
        <f>IFERROR(__xludf.DUMMYFUNCTION("GOOGLETRANSLATE(A41423, ""de"", ""en"")"),"colonoscopy")</f>
        <v>colonoscopy</v>
      </c>
    </row>
    <row r="41424">
      <c r="A41424" s="1" t="s">
        <v>41423</v>
      </c>
      <c r="B41424" s="2" t="str">
        <f>IFERROR(__xludf.DUMMYFUNCTION("GOOGLETRANSLATE(A41424, ""de"", ""en"")"),"advocate")</f>
        <v>advocate</v>
      </c>
    </row>
    <row r="41425">
      <c r="A41425" s="1" t="s">
        <v>41424</v>
      </c>
      <c r="B41425" s="2" t="str">
        <f>IFERROR(__xludf.DUMMYFUNCTION("GOOGLETRANSLATE(A41425, ""de"", ""en"")"),"cyber")</f>
        <v>cyber</v>
      </c>
    </row>
    <row r="41426">
      <c r="A41426" s="1" t="s">
        <v>41425</v>
      </c>
      <c r="B41426" s="2" t="str">
        <f>IFERROR(__xludf.DUMMYFUNCTION("GOOGLETRANSLATE(A41426, ""de"", ""en"")"),"gita")</f>
        <v>gita</v>
      </c>
    </row>
    <row r="41427">
      <c r="A41427" s="1" t="s">
        <v>41426</v>
      </c>
      <c r="B41427" s="2" t="str">
        <f>IFERROR(__xludf.DUMMYFUNCTION("GOOGLETRANSLATE(A41427, ""de"", ""en"")"),"stored")</f>
        <v>stored</v>
      </c>
    </row>
    <row r="41428">
      <c r="A41428" s="1" t="s">
        <v>41427</v>
      </c>
      <c r="B41428" s="2" t="str">
        <f>IFERROR(__xludf.DUMMYFUNCTION("GOOGLETRANSLATE(A41428, ""de"", ""en"")"),"dust")</f>
        <v>dust</v>
      </c>
    </row>
    <row r="41429">
      <c r="A41429" s="1" t="s">
        <v>41428</v>
      </c>
      <c r="B41429" s="2" t="str">
        <f>IFERROR(__xludf.DUMMYFUNCTION("GOOGLETRANSLATE(A41429, ""de"", ""en"")"),"force fields")</f>
        <v>force fields</v>
      </c>
    </row>
    <row r="41430">
      <c r="A41430" s="1" t="s">
        <v>41429</v>
      </c>
      <c r="B41430" s="2" t="str">
        <f>IFERROR(__xludf.DUMMYFUNCTION("GOOGLETRANSLATE(A41430, ""de"", ""en"")"),"happened")</f>
        <v>happened</v>
      </c>
    </row>
    <row r="41431">
      <c r="A41431" s="1" t="s">
        <v>41430</v>
      </c>
      <c r="B41431" s="2" t="str">
        <f>IFERROR(__xludf.DUMMYFUNCTION("GOOGLETRANSLATE(A41431, ""de"", ""en"")"),"christoffer")</f>
        <v>christoffer</v>
      </c>
    </row>
    <row r="41432">
      <c r="A41432" s="1" t="s">
        <v>41431</v>
      </c>
      <c r="B41432" s="2" t="str">
        <f>IFERROR(__xludf.DUMMYFUNCTION("GOOGLETRANSLATE(A41432, ""de"", ""en"")"),"kovak")</f>
        <v>kovak</v>
      </c>
    </row>
    <row r="41433">
      <c r="A41433" s="1" t="s">
        <v>41432</v>
      </c>
      <c r="B41433" s="2" t="str">
        <f>IFERROR(__xludf.DUMMYFUNCTION("GOOGLETRANSLATE(A41433, ""de"", ""en"")"),"welcomed")</f>
        <v>welcomed</v>
      </c>
    </row>
    <row r="41434">
      <c r="A41434" s="1" t="s">
        <v>41433</v>
      </c>
      <c r="B41434" s="2" t="str">
        <f>IFERROR(__xludf.DUMMYFUNCTION("GOOGLETRANSLATE(A41434, ""de"", ""en"")"),"more credible")</f>
        <v>more credible</v>
      </c>
    </row>
    <row r="41435">
      <c r="A41435" s="1" t="s">
        <v>41434</v>
      </c>
      <c r="B41435" s="2" t="str">
        <f>IFERROR(__xludf.DUMMYFUNCTION("GOOGLETRANSLATE(A41435, ""de"", ""en"")"),"demanding")</f>
        <v>demanding</v>
      </c>
    </row>
    <row r="41436">
      <c r="A41436" s="1" t="s">
        <v>41435</v>
      </c>
      <c r="B41436" s="2" t="str">
        <f>IFERROR(__xludf.DUMMYFUNCTION("GOOGLETRANSLATE(A41436, ""de"", ""en"")"),"paley")</f>
        <v>paley</v>
      </c>
    </row>
    <row r="41437">
      <c r="A41437" s="1" t="s">
        <v>41436</v>
      </c>
      <c r="B41437" s="2" t="str">
        <f>IFERROR(__xludf.DUMMYFUNCTION("GOOGLETRANSLATE(A41437, ""de"", ""en"")"),"major general")</f>
        <v>major general</v>
      </c>
    </row>
    <row r="41438">
      <c r="A41438" s="1" t="s">
        <v>41437</v>
      </c>
      <c r="B41438" s="2" t="str">
        <f>IFERROR(__xludf.DUMMYFUNCTION("GOOGLETRANSLATE(A41438, ""de"", ""en"")"),"nascar")</f>
        <v>nascar</v>
      </c>
    </row>
    <row r="41439">
      <c r="A41439" s="1" t="s">
        <v>41438</v>
      </c>
      <c r="B41439" s="2" t="str">
        <f>IFERROR(__xludf.DUMMYFUNCTION("GOOGLETRANSLATE(A41439, ""de"", ""en"")"),"power")</f>
        <v>power</v>
      </c>
    </row>
    <row r="41440">
      <c r="A41440" s="1" t="s">
        <v>41439</v>
      </c>
      <c r="B41440" s="2" t="str">
        <f>IFERROR(__xludf.DUMMYFUNCTION("GOOGLETRANSLATE(A41440, ""de"", ""en"")"),"kilos")</f>
        <v>kilos</v>
      </c>
    </row>
    <row r="41441">
      <c r="A41441" s="1" t="s">
        <v>41440</v>
      </c>
      <c r="B41441" s="2" t="str">
        <f>IFERROR(__xludf.DUMMYFUNCTION("GOOGLETRANSLATE(A41441, ""de"", ""en"")"),"mandrake")</f>
        <v>mandrake</v>
      </c>
    </row>
    <row r="41442">
      <c r="A41442" s="1" t="s">
        <v>41441</v>
      </c>
      <c r="B41442" s="2" t="str">
        <f>IFERROR(__xludf.DUMMYFUNCTION("GOOGLETRANSLATE(A41442, ""de"", ""en"")"),"loading dock")</f>
        <v>loading dock</v>
      </c>
    </row>
    <row r="41443">
      <c r="A41443" s="1" t="s">
        <v>41442</v>
      </c>
      <c r="B41443" s="2" t="str">
        <f>IFERROR(__xludf.DUMMYFUNCTION("GOOGLETRANSLATE(A41443, ""de"", ""en"")"),"pregnancies")</f>
        <v>pregnancies</v>
      </c>
    </row>
    <row r="41444">
      <c r="A41444" s="1" t="s">
        <v>41443</v>
      </c>
      <c r="B41444" s="2" t="str">
        <f>IFERROR(__xludf.DUMMYFUNCTION("GOOGLETRANSLATE(A41444, ""de"", ""en"")"),"funds")</f>
        <v>funds</v>
      </c>
    </row>
    <row r="41445">
      <c r="A41445" s="1" t="s">
        <v>41444</v>
      </c>
      <c r="B41445" s="2" t="str">
        <f>IFERROR(__xludf.DUMMYFUNCTION("GOOGLETRANSLATE(A41445, ""de"", ""en"")"),"imperfect")</f>
        <v>imperfect</v>
      </c>
    </row>
    <row r="41446">
      <c r="A41446" s="1" t="s">
        <v>41445</v>
      </c>
      <c r="B41446" s="2" t="str">
        <f>IFERROR(__xludf.DUMMYFUNCTION("GOOGLETRANSLATE(A41446, ""de"", ""en"")"),"robes")</f>
        <v>robes</v>
      </c>
    </row>
    <row r="41447">
      <c r="A41447" s="1" t="s">
        <v>41446</v>
      </c>
      <c r="B41447" s="2" t="str">
        <f>IFERROR(__xludf.DUMMYFUNCTION("GOOGLETRANSLATE(A41447, ""de"", ""en"")"),"conductors")</f>
        <v>conductors</v>
      </c>
    </row>
    <row r="41448">
      <c r="A41448" s="1" t="s">
        <v>41447</v>
      </c>
      <c r="B41448" s="2" t="str">
        <f>IFERROR(__xludf.DUMMYFUNCTION("GOOGLETRANSLATE(A41448, ""de"", ""en"")"),"more concise")</f>
        <v>more concise</v>
      </c>
    </row>
    <row r="41449">
      <c r="A41449" s="1" t="s">
        <v>41448</v>
      </c>
      <c r="B41449" s="2" t="str">
        <f>IFERROR(__xludf.DUMMYFUNCTION("GOOGLETRANSLATE(A41449, ""de"", ""en"")"),"snapdudel")</f>
        <v>snapdudel</v>
      </c>
    </row>
    <row r="41450">
      <c r="A41450" s="1" t="s">
        <v>41449</v>
      </c>
      <c r="B41450" s="2" t="str">
        <f>IFERROR(__xludf.DUMMYFUNCTION("GOOGLETRANSLATE(A41450, ""de"", ""en"")"),"alisha")</f>
        <v>alisha</v>
      </c>
    </row>
    <row r="41451">
      <c r="A41451" s="1" t="s">
        <v>41450</v>
      </c>
      <c r="B41451" s="2" t="str">
        <f>IFERROR(__xludf.DUMMYFUNCTION("GOOGLETRANSLATE(A41451, ""de"", ""en"")"),"crushed")</f>
        <v>crushed</v>
      </c>
    </row>
    <row r="41452">
      <c r="A41452" s="1" t="s">
        <v>41451</v>
      </c>
      <c r="B41452" s="2" t="str">
        <f>IFERROR(__xludf.DUMMYFUNCTION("GOOGLETRANSLATE(A41452, ""de"", ""en"")"),"Polish")</f>
        <v>Polish</v>
      </c>
    </row>
    <row r="41453">
      <c r="A41453" s="1" t="s">
        <v>41452</v>
      </c>
      <c r="B41453" s="2" t="str">
        <f>IFERROR(__xludf.DUMMYFUNCTION("GOOGLETRANSLATE(A41453, ""de"", ""en"")"),"andrés")</f>
        <v>andrés</v>
      </c>
    </row>
    <row r="41454">
      <c r="A41454" s="1" t="s">
        <v>41453</v>
      </c>
      <c r="B41454" s="2" t="str">
        <f>IFERROR(__xludf.DUMMYFUNCTION("GOOGLETRANSLATE(A41454, ""de"", ""en"")"),"go around")</f>
        <v>go around</v>
      </c>
    </row>
    <row r="41455">
      <c r="A41455" s="1" t="s">
        <v>41454</v>
      </c>
      <c r="B41455" s="2" t="str">
        <f>IFERROR(__xludf.DUMMYFUNCTION("GOOGLETRANSLATE(A41455, ""de"", ""en"")"),"impotence")</f>
        <v>impotence</v>
      </c>
    </row>
    <row r="41456">
      <c r="A41456" s="1" t="s">
        <v>41455</v>
      </c>
      <c r="B41456" s="2" t="str">
        <f>IFERROR(__xludf.DUMMYFUNCTION("GOOGLETRANSLATE(A41456, ""de"", ""en"")"),"hurt")</f>
        <v>hurt</v>
      </c>
    </row>
    <row r="41457">
      <c r="A41457" s="1" t="s">
        <v>41456</v>
      </c>
      <c r="B41457" s="2" t="str">
        <f>IFERROR(__xludf.DUMMYFUNCTION("GOOGLETRANSLATE(A41457, ""de"", ""en"")"),"matches")</f>
        <v>matches</v>
      </c>
    </row>
    <row r="41458">
      <c r="A41458" s="1" t="s">
        <v>41457</v>
      </c>
      <c r="B41458" s="2" t="str">
        <f>IFERROR(__xludf.DUMMYFUNCTION("GOOGLETRANSLATE(A41458, ""de"", ""en"")"),"grimace")</f>
        <v>grimace</v>
      </c>
    </row>
    <row r="41459">
      <c r="A41459" s="1" t="s">
        <v>41458</v>
      </c>
      <c r="B41459" s="2" t="str">
        <f>IFERROR(__xludf.DUMMYFUNCTION("GOOGLETRANSLATE(A41459, ""de"", ""en"")"),"entire")</f>
        <v>entire</v>
      </c>
    </row>
    <row r="41460">
      <c r="A41460" s="1" t="s">
        <v>41459</v>
      </c>
      <c r="B41460" s="2" t="str">
        <f>IFERROR(__xludf.DUMMYFUNCTION("GOOGLETRANSLATE(A41460, ""de"", ""en"")"),"buried")</f>
        <v>buried</v>
      </c>
    </row>
    <row r="41461">
      <c r="A41461" s="1" t="s">
        <v>41460</v>
      </c>
      <c r="B41461" s="2" t="str">
        <f>IFERROR(__xludf.DUMMYFUNCTION("GOOGLETRANSLATE(A41461, ""de"", ""en"")"),"pucci")</f>
        <v>pucci</v>
      </c>
    </row>
    <row r="41462">
      <c r="A41462" s="1" t="s">
        <v>41461</v>
      </c>
      <c r="B41462" s="2" t="str">
        <f>IFERROR(__xludf.DUMMYFUNCTION("GOOGLETRANSLATE(A41462, ""de"", ""en"")"),"unruly")</f>
        <v>unruly</v>
      </c>
    </row>
    <row r="41463">
      <c r="A41463" s="1" t="s">
        <v>41462</v>
      </c>
      <c r="B41463" s="2" t="str">
        <f>IFERROR(__xludf.DUMMYFUNCTION("GOOGLETRANSLATE(A41463, ""de"", ""en"")"),"water")</f>
        <v>water</v>
      </c>
    </row>
    <row r="41464">
      <c r="A41464" s="1" t="s">
        <v>41463</v>
      </c>
      <c r="B41464" s="2" t="str">
        <f>IFERROR(__xludf.DUMMYFUNCTION("GOOGLETRANSLATE(A41464, ""de"", ""en"")"),"scratch")</f>
        <v>scratch</v>
      </c>
    </row>
    <row r="41465">
      <c r="A41465" s="1" t="s">
        <v>41464</v>
      </c>
      <c r="B41465" s="2" t="str">
        <f>IFERROR(__xludf.DUMMYFUNCTION("GOOGLETRANSLATE(A41465, ""de"", ""en"")"),"memory")</f>
        <v>memory</v>
      </c>
    </row>
    <row r="41466">
      <c r="A41466" s="1" t="s">
        <v>41465</v>
      </c>
      <c r="B41466" s="2" t="str">
        <f>IFERROR(__xludf.DUMMYFUNCTION("GOOGLETRANSLATE(A41466, ""de"", ""en"")"),"household help")</f>
        <v>household help</v>
      </c>
    </row>
    <row r="41467">
      <c r="A41467" s="1" t="s">
        <v>41466</v>
      </c>
      <c r="B41467" s="2" t="str">
        <f>IFERROR(__xludf.DUMMYFUNCTION("GOOGLETRANSLATE(A41467, ""de"", ""en"")"),"unimagined")</f>
        <v>unimagined</v>
      </c>
    </row>
    <row r="41468">
      <c r="A41468" s="1" t="s">
        <v>41467</v>
      </c>
      <c r="B41468" s="2" t="str">
        <f>IFERROR(__xludf.DUMMYFUNCTION("GOOGLETRANSLATE(A41468, ""de"", ""en"")"),"Boeing")</f>
        <v>Boeing</v>
      </c>
    </row>
    <row r="41469">
      <c r="A41469" s="1" t="s">
        <v>41468</v>
      </c>
      <c r="B41469" s="2" t="str">
        <f>IFERROR(__xludf.DUMMYFUNCTION("GOOGLETRANSLATE(A41469, ""de"", ""en"")"),"hasi")</f>
        <v>hasi</v>
      </c>
    </row>
    <row r="41470">
      <c r="A41470" s="1" t="s">
        <v>41469</v>
      </c>
      <c r="B41470" s="2" t="str">
        <f>IFERROR(__xludf.DUMMYFUNCTION("GOOGLETRANSLATE(A41470, ""de"", ""en"")"),"bushel")</f>
        <v>bushel</v>
      </c>
    </row>
    <row r="41471">
      <c r="A41471" s="1" t="s">
        <v>41470</v>
      </c>
      <c r="B41471" s="2" t="str">
        <f>IFERROR(__xludf.DUMMYFUNCTION("GOOGLETRANSLATE(A41471, ""de"", ""en"")"),"exchange")</f>
        <v>exchange</v>
      </c>
    </row>
    <row r="41472">
      <c r="A41472" s="1" t="s">
        <v>41471</v>
      </c>
      <c r="B41472" s="2" t="str">
        <f>IFERROR(__xludf.DUMMYFUNCTION("GOOGLETRANSLATE(A41472, ""de"", ""en"")"),"board members")</f>
        <v>board members</v>
      </c>
    </row>
    <row r="41473">
      <c r="A41473" s="1" t="s">
        <v>41472</v>
      </c>
      <c r="B41473" s="2" t="str">
        <f>IFERROR(__xludf.DUMMYFUNCTION("GOOGLETRANSLATE(A41473, ""de"", ""en"")"),"l.a")</f>
        <v>l.a</v>
      </c>
    </row>
    <row r="41474">
      <c r="A41474" s="1" t="s">
        <v>41473</v>
      </c>
      <c r="B41474" s="2" t="str">
        <f>IFERROR(__xludf.DUMMYFUNCTION("GOOGLETRANSLATE(A41474, ""de"", ""en"")"),"mother cell")</f>
        <v>mother cell</v>
      </c>
    </row>
    <row r="41475">
      <c r="A41475" s="1" t="s">
        <v>41474</v>
      </c>
      <c r="B41475" s="2" t="str">
        <f>IFERROR(__xludf.DUMMYFUNCTION("GOOGLETRANSLATE(A41475, ""de"", ""en"")"),"caden")</f>
        <v>caden</v>
      </c>
    </row>
    <row r="41476">
      <c r="A41476" s="1" t="s">
        <v>41475</v>
      </c>
      <c r="B41476" s="2" t="str">
        <f>IFERROR(__xludf.DUMMYFUNCTION("GOOGLETRANSLATE(A41476, ""de"", ""en"")"),"grundy")</f>
        <v>grundy</v>
      </c>
    </row>
    <row r="41477">
      <c r="A41477" s="1" t="s">
        <v>41476</v>
      </c>
      <c r="B41477" s="2" t="str">
        <f>IFERROR(__xludf.DUMMYFUNCTION("GOOGLETRANSLATE(A41477, ""de"", ""en"")"),"promising")</f>
        <v>promising</v>
      </c>
    </row>
    <row r="41478">
      <c r="A41478" s="1" t="s">
        <v>41477</v>
      </c>
      <c r="B41478" s="2" t="str">
        <f>IFERROR(__xludf.DUMMYFUNCTION("GOOGLETRANSLATE(A41478, ""de"", ""en"")"),"odi")</f>
        <v>odi</v>
      </c>
    </row>
    <row r="41479">
      <c r="A41479" s="1" t="s">
        <v>41478</v>
      </c>
      <c r="B41479" s="2" t="str">
        <f>IFERROR(__xludf.DUMMYFUNCTION("GOOGLETRANSLATE(A41479, ""de"", ""en"")"),"philosophical")</f>
        <v>philosophical</v>
      </c>
    </row>
    <row r="41480">
      <c r="A41480" s="1" t="s">
        <v>41479</v>
      </c>
      <c r="B41480" s="2" t="str">
        <f>IFERROR(__xludf.DUMMYFUNCTION("GOOGLETRANSLATE(A41480, ""de"", ""en"")"),"push-ups")</f>
        <v>push-ups</v>
      </c>
    </row>
    <row r="41481">
      <c r="A41481" s="1" t="s">
        <v>41480</v>
      </c>
      <c r="B41481" s="2" t="str">
        <f>IFERROR(__xludf.DUMMYFUNCTION("GOOGLETRANSLATE(A41481, ""de"", ""en"")"),"combed")</f>
        <v>combed</v>
      </c>
    </row>
    <row r="41482">
      <c r="A41482" s="1" t="s">
        <v>41481</v>
      </c>
      <c r="B41482" s="2" t="str">
        <f>IFERROR(__xludf.DUMMYFUNCTION("GOOGLETRANSLATE(A41482, ""de"", ""en"")"),"shhh")</f>
        <v>shhh</v>
      </c>
    </row>
    <row r="41483">
      <c r="A41483" s="1" t="s">
        <v>41482</v>
      </c>
      <c r="B41483" s="2" t="str">
        <f>IFERROR(__xludf.DUMMYFUNCTION("GOOGLETRANSLATE(A41483, ""de"", ""en"")"),"playing")</f>
        <v>playing</v>
      </c>
    </row>
    <row r="41484">
      <c r="A41484" s="1" t="s">
        <v>41483</v>
      </c>
      <c r="B41484" s="2" t="str">
        <f>IFERROR(__xludf.DUMMYFUNCTION("GOOGLETRANSLATE(A41484, ""de"", ""en"")"),"council")</f>
        <v>council</v>
      </c>
    </row>
    <row r="41485">
      <c r="A41485" s="1" t="s">
        <v>41484</v>
      </c>
      <c r="B41485" s="2" t="str">
        <f>IFERROR(__xludf.DUMMYFUNCTION("GOOGLETRANSLATE(A41485, ""de"", ""en"")"),"upswing")</f>
        <v>upswing</v>
      </c>
    </row>
    <row r="41486">
      <c r="A41486" s="1" t="s">
        <v>41485</v>
      </c>
      <c r="B41486" s="2" t="str">
        <f>IFERROR(__xludf.DUMMYFUNCTION("GOOGLETRANSLATE(A41486, ""de"", ""en"")"),"margy")</f>
        <v>margy</v>
      </c>
    </row>
    <row r="41487">
      <c r="A41487" s="1" t="s">
        <v>41486</v>
      </c>
      <c r="B41487" s="2" t="str">
        <f>IFERROR(__xludf.DUMMYFUNCTION("GOOGLETRANSLATE(A41487, ""de"", ""en"")"),"selfish ones")</f>
        <v>selfish ones</v>
      </c>
    </row>
    <row r="41488">
      <c r="A41488" s="1" t="s">
        <v>41487</v>
      </c>
      <c r="B41488" s="2" t="str">
        <f>IFERROR(__xludf.DUMMYFUNCTION("GOOGLETRANSLATE(A41488, ""de"", ""en"")"),"tormentor")</f>
        <v>tormentor</v>
      </c>
    </row>
    <row r="41489">
      <c r="A41489" s="1" t="s">
        <v>41488</v>
      </c>
      <c r="B41489" s="2" t="str">
        <f>IFERROR(__xludf.DUMMYFUNCTION("GOOGLETRANSLATE(A41489, ""de"", ""en"")"),"television star")</f>
        <v>television star</v>
      </c>
    </row>
    <row r="41490">
      <c r="A41490" s="1" t="s">
        <v>41489</v>
      </c>
      <c r="B41490" s="2" t="str">
        <f>IFERROR(__xludf.DUMMYFUNCTION("GOOGLETRANSLATE(A41490, ""de"", ""en"")"),"worked up")</f>
        <v>worked up</v>
      </c>
    </row>
    <row r="41491">
      <c r="A41491" s="1" t="s">
        <v>41490</v>
      </c>
      <c r="B41491" s="2" t="str">
        <f>IFERROR(__xludf.DUMMYFUNCTION("GOOGLETRANSLATE(A41491, ""de"", ""en"")"),"seb")</f>
        <v>seb</v>
      </c>
    </row>
    <row r="41492">
      <c r="A41492" s="1" t="s">
        <v>41491</v>
      </c>
      <c r="B41492" s="2" t="str">
        <f>IFERROR(__xludf.DUMMYFUNCTION("GOOGLETRANSLATE(A41492, ""de"", ""en"")"),"credit")</f>
        <v>credit</v>
      </c>
    </row>
    <row r="41493">
      <c r="A41493" s="1" t="s">
        <v>41492</v>
      </c>
      <c r="B41493" s="2" t="str">
        <f>IFERROR(__xludf.DUMMYFUNCTION("GOOGLETRANSLATE(A41493, ""de"", ""en"")"),"buff")</f>
        <v>buff</v>
      </c>
    </row>
    <row r="41494">
      <c r="A41494" s="1" t="s">
        <v>41493</v>
      </c>
      <c r="B41494" s="2" t="str">
        <f>IFERROR(__xludf.DUMMYFUNCTION("GOOGLETRANSLATE(A41494, ""de"", ""en"")"),"Stauffenberg")</f>
        <v>Stauffenberg</v>
      </c>
    </row>
    <row r="41495">
      <c r="A41495" s="1" t="s">
        <v>41494</v>
      </c>
      <c r="B41495" s="2" t="str">
        <f>IFERROR(__xludf.DUMMYFUNCTION("GOOGLETRANSLATE(A41495, ""de"", ""en"")"),"fast lane")</f>
        <v>fast lane</v>
      </c>
    </row>
    <row r="41496">
      <c r="A41496" s="1" t="s">
        <v>41495</v>
      </c>
      <c r="B41496" s="2" t="str">
        <f>IFERROR(__xludf.DUMMYFUNCTION("GOOGLETRANSLATE(A41496, ""de"", ""en"")"),"donut")</f>
        <v>donut</v>
      </c>
    </row>
    <row r="41497">
      <c r="A41497" s="1" t="s">
        <v>41496</v>
      </c>
      <c r="B41497" s="2" t="str">
        <f>IFERROR(__xludf.DUMMYFUNCTION("GOOGLETRANSLATE(A41497, ""de"", ""en"")"),"get out")</f>
        <v>get out</v>
      </c>
    </row>
    <row r="41498">
      <c r="A41498" s="1" t="s">
        <v>41497</v>
      </c>
      <c r="B41498" s="2" t="str">
        <f>IFERROR(__xludf.DUMMYFUNCTION("GOOGLETRANSLATE(A41498, ""de"", ""en"")"),"not now")</f>
        <v>not now</v>
      </c>
    </row>
    <row r="41499">
      <c r="A41499" s="1" t="s">
        <v>41498</v>
      </c>
      <c r="B41499" s="2" t="str">
        <f>IFERROR(__xludf.DUMMYFUNCTION("GOOGLETRANSLATE(A41499, ""de"", ""en"")"),"nino")</f>
        <v>nino</v>
      </c>
    </row>
    <row r="41500">
      <c r="A41500" s="1" t="s">
        <v>41499</v>
      </c>
      <c r="B41500" s="2" t="str">
        <f>IFERROR(__xludf.DUMMYFUNCTION("GOOGLETRANSLATE(A41500, ""de"", ""en"")"),"Hermano")</f>
        <v>Hermano</v>
      </c>
    </row>
    <row r="41501">
      <c r="A41501" s="1" t="s">
        <v>41500</v>
      </c>
      <c r="B41501" s="2" t="str">
        <f>IFERROR(__xludf.DUMMYFUNCTION("GOOGLETRANSLATE(A41501, ""de"", ""en"")"),"free spirit")</f>
        <v>free spirit</v>
      </c>
    </row>
    <row r="41502">
      <c r="A41502" s="1" t="s">
        <v>41501</v>
      </c>
      <c r="B41502" s="2" t="str">
        <f>IFERROR(__xludf.DUMMYFUNCTION("GOOGLETRANSLATE(A41502, ""de"", ""en"")"),"katsu")</f>
        <v>katsu</v>
      </c>
    </row>
    <row r="41503">
      <c r="A41503" s="1" t="s">
        <v>41502</v>
      </c>
      <c r="B41503" s="2" t="str">
        <f>IFERROR(__xludf.DUMMYFUNCTION("GOOGLETRANSLATE(A41503, ""de"", ""en"")"),"palaces")</f>
        <v>palaces</v>
      </c>
    </row>
    <row r="41504">
      <c r="A41504" s="1" t="s">
        <v>41503</v>
      </c>
      <c r="B41504" s="2" t="str">
        <f>IFERROR(__xludf.DUMMYFUNCTION("GOOGLETRANSLATE(A41504, ""de"", ""en"")"),"screw up")</f>
        <v>screw up</v>
      </c>
    </row>
    <row r="41505">
      <c r="A41505" s="1" t="s">
        <v>41504</v>
      </c>
      <c r="B41505" s="2" t="str">
        <f>IFERROR(__xludf.DUMMYFUNCTION("GOOGLETRANSLATE(A41505, ""de"", ""en"")"),"Buddhist")</f>
        <v>Buddhist</v>
      </c>
    </row>
    <row r="41506">
      <c r="A41506" s="1" t="s">
        <v>41505</v>
      </c>
      <c r="B41506" s="2" t="str">
        <f>IFERROR(__xludf.DUMMYFUNCTION("GOOGLETRANSLATE(A41506, ""de"", ""en"")"),"katsushiro")</f>
        <v>katsushiro</v>
      </c>
    </row>
    <row r="41507">
      <c r="A41507" s="1" t="s">
        <v>41506</v>
      </c>
      <c r="B41507" s="2" t="str">
        <f>IFERROR(__xludf.DUMMYFUNCTION("GOOGLETRANSLATE(A41507, ""de"", ""en"")"),"Hindu")</f>
        <v>Hindu</v>
      </c>
    </row>
    <row r="41508">
      <c r="A41508" s="1" t="s">
        <v>41507</v>
      </c>
      <c r="B41508" s="2" t="str">
        <f>IFERROR(__xludf.DUMMYFUNCTION("GOOGLETRANSLATE(A41508, ""de"", ""en"")"),"forbid")</f>
        <v>forbid</v>
      </c>
    </row>
    <row r="41509">
      <c r="A41509" s="1" t="s">
        <v>41508</v>
      </c>
      <c r="B41509" s="2" t="str">
        <f>IFERROR(__xludf.DUMMYFUNCTION("GOOGLETRANSLATE(A41509, ""de"", ""en"")"),"Greggs")</f>
        <v>Greggs</v>
      </c>
    </row>
    <row r="41510">
      <c r="A41510" s="1" t="s">
        <v>41509</v>
      </c>
      <c r="B41510" s="2" t="str">
        <f>IFERROR(__xludf.DUMMYFUNCTION("GOOGLETRANSLATE(A41510, ""de"", ""en"")"),"prose")</f>
        <v>prose</v>
      </c>
    </row>
    <row r="41511">
      <c r="A41511" s="1" t="s">
        <v>41510</v>
      </c>
      <c r="B41511" s="2" t="str">
        <f>IFERROR(__xludf.DUMMYFUNCTION("GOOGLETRANSLATE(A41511, ""de"", ""en"")"),"surprise")</f>
        <v>surprise</v>
      </c>
    </row>
    <row r="41512">
      <c r="A41512" s="1" t="s">
        <v>41511</v>
      </c>
      <c r="B41512" s="2" t="str">
        <f>IFERROR(__xludf.DUMMYFUNCTION("GOOGLETRANSLATE(A41512, ""de"", ""en"")"),"loser")</f>
        <v>loser</v>
      </c>
    </row>
    <row r="41513">
      <c r="A41513" s="1" t="s">
        <v>41512</v>
      </c>
      <c r="B41513" s="2" t="str">
        <f>IFERROR(__xludf.DUMMYFUNCTION("GOOGLETRANSLATE(A41513, ""de"", ""en"")"),"shabbier")</f>
        <v>shabbier</v>
      </c>
    </row>
    <row r="41514">
      <c r="A41514" s="1" t="s">
        <v>41513</v>
      </c>
      <c r="B41514" s="2" t="str">
        <f>IFERROR(__xludf.DUMMYFUNCTION("GOOGLETRANSLATE(A41514, ""de"", ""en"")"),"Sinai")</f>
        <v>Sinai</v>
      </c>
    </row>
    <row r="41515">
      <c r="A41515" s="1" t="s">
        <v>41514</v>
      </c>
      <c r="B41515" s="2" t="str">
        <f>IFERROR(__xludf.DUMMYFUNCTION("GOOGLETRANSLATE(A41515, ""de"", ""en"")"),"fox red")</f>
        <v>fox red</v>
      </c>
    </row>
    <row r="41516">
      <c r="A41516" s="1" t="s">
        <v>41515</v>
      </c>
      <c r="B41516" s="2" t="str">
        <f>IFERROR(__xludf.DUMMYFUNCTION("GOOGLETRANSLATE(A41516, ""de"", ""en"")"),"babes")</f>
        <v>babes</v>
      </c>
    </row>
    <row r="41517">
      <c r="A41517" s="1" t="s">
        <v>41516</v>
      </c>
      <c r="B41517" s="2" t="str">
        <f>IFERROR(__xludf.DUMMYFUNCTION("GOOGLETRANSLATE(A41517, ""de"", ""en"")"),"leftover food")</f>
        <v>leftover food</v>
      </c>
    </row>
    <row r="41518">
      <c r="A41518" s="1" t="s">
        <v>41517</v>
      </c>
      <c r="B41518" s="2" t="str">
        <f>IFERROR(__xludf.DUMMYFUNCTION("GOOGLETRANSLATE(A41518, ""de"", ""en"")"),"returns")</f>
        <v>returns</v>
      </c>
    </row>
    <row r="41519">
      <c r="A41519" s="1" t="s">
        <v>41518</v>
      </c>
      <c r="B41519" s="2" t="str">
        <f>IFERROR(__xludf.DUMMYFUNCTION("GOOGLETRANSLATE(A41519, ""de"", ""en"")"),"traumatic")</f>
        <v>traumatic</v>
      </c>
    </row>
    <row r="41520">
      <c r="A41520" s="1" t="s">
        <v>41519</v>
      </c>
      <c r="B41520" s="2" t="str">
        <f>IFERROR(__xludf.DUMMYFUNCTION("GOOGLETRANSLATE(A41520, ""de"", ""en"")"),"1,000 times")</f>
        <v>1,000 times</v>
      </c>
    </row>
    <row r="41521">
      <c r="A41521" s="1" t="s">
        <v>41520</v>
      </c>
      <c r="B41521" s="2" t="str">
        <f>IFERROR(__xludf.DUMMYFUNCTION("GOOGLETRANSLATE(A41521, ""de"", ""en"")"),"armed forces")</f>
        <v>armed forces</v>
      </c>
    </row>
    <row r="41522">
      <c r="A41522" s="1" t="s">
        <v>41521</v>
      </c>
      <c r="B41522" s="2" t="str">
        <f>IFERROR(__xludf.DUMMYFUNCTION("GOOGLETRANSLATE(A41522, ""de"", ""en"")"),"v8")</f>
        <v>v8</v>
      </c>
    </row>
    <row r="41523">
      <c r="A41523" s="1" t="s">
        <v>41522</v>
      </c>
      <c r="B41523" s="2" t="str">
        <f>IFERROR(__xludf.DUMMYFUNCTION("GOOGLETRANSLATE(A41523, ""de"", ""en"")"),"wow")</f>
        <v>wow</v>
      </c>
    </row>
    <row r="41524">
      <c r="A41524" s="1" t="s">
        <v>41523</v>
      </c>
      <c r="B41524" s="2" t="str">
        <f>IFERROR(__xludf.DUMMYFUNCTION("GOOGLETRANSLATE(A41524, ""de"", ""en"")"),"Sydney")</f>
        <v>Sydney</v>
      </c>
    </row>
    <row r="41525">
      <c r="A41525" s="1" t="s">
        <v>41524</v>
      </c>
      <c r="B41525" s="2" t="str">
        <f>IFERROR(__xludf.DUMMYFUNCTION("GOOGLETRANSLATE(A41525, ""de"", ""en"")"),"surveillance tapes")</f>
        <v>surveillance tapes</v>
      </c>
    </row>
    <row r="41526">
      <c r="A41526" s="1" t="s">
        <v>41525</v>
      </c>
      <c r="B41526" s="2" t="str">
        <f>IFERROR(__xludf.DUMMYFUNCTION("GOOGLETRANSLATE(A41526, ""de"", ""en"")"),"heart defect")</f>
        <v>heart defect</v>
      </c>
    </row>
    <row r="41527">
      <c r="A41527" s="1" t="s">
        <v>41526</v>
      </c>
      <c r="B41527" s="2" t="str">
        <f>IFERROR(__xludf.DUMMYFUNCTION("GOOGLETRANSLATE(A41527, ""de"", ""en"")"),"flatbed")</f>
        <v>flatbed</v>
      </c>
    </row>
    <row r="41528">
      <c r="A41528" s="1" t="s">
        <v>41527</v>
      </c>
      <c r="B41528" s="2" t="str">
        <f>IFERROR(__xludf.DUMMYFUNCTION("GOOGLETRANSLATE(A41528, ""de"", ""en"")"),"containment")</f>
        <v>containment</v>
      </c>
    </row>
    <row r="41529">
      <c r="A41529" s="1" t="s">
        <v>41528</v>
      </c>
      <c r="B41529" s="2" t="str">
        <f>IFERROR(__xludf.DUMMYFUNCTION("GOOGLETRANSLATE(A41529, ""de"", ""en"")"),"mamiya")</f>
        <v>mamiya</v>
      </c>
    </row>
    <row r="41530">
      <c r="A41530" s="1" t="s">
        <v>41529</v>
      </c>
      <c r="B41530" s="2" t="str">
        <f>IFERROR(__xludf.DUMMYFUNCTION("GOOGLETRANSLATE(A41530, ""de"", ""en"")"),"compressor")</f>
        <v>compressor</v>
      </c>
    </row>
    <row r="41531">
      <c r="A41531" s="1" t="s">
        <v>41530</v>
      </c>
      <c r="B41531" s="2" t="str">
        <f>IFERROR(__xludf.DUMMYFUNCTION("GOOGLETRANSLATE(A41531, ""de"", ""en"")"),"effeminate")</f>
        <v>effeminate</v>
      </c>
    </row>
    <row r="41532">
      <c r="A41532" s="1" t="s">
        <v>41531</v>
      </c>
      <c r="B41532" s="2" t="str">
        <f>IFERROR(__xludf.DUMMYFUNCTION("GOOGLETRANSLATE(A41532, ""de"", ""en"")"),"ceramic")</f>
        <v>ceramic</v>
      </c>
    </row>
    <row r="41533">
      <c r="A41533" s="1" t="s">
        <v>41532</v>
      </c>
      <c r="B41533" s="2" t="str">
        <f>IFERROR(__xludf.DUMMYFUNCTION("GOOGLETRANSLATE(A41533, ""de"", ""en"")"),"dirty finch")</f>
        <v>dirty finch</v>
      </c>
    </row>
    <row r="41534">
      <c r="A41534" s="1" t="s">
        <v>41533</v>
      </c>
      <c r="B41534" s="2" t="str">
        <f>IFERROR(__xludf.DUMMYFUNCTION("GOOGLETRANSLATE(A41534, ""de"", ""en"")"),"landfill")</f>
        <v>landfill</v>
      </c>
    </row>
    <row r="41535">
      <c r="A41535" s="1" t="s">
        <v>41534</v>
      </c>
      <c r="B41535" s="2" t="str">
        <f>IFERROR(__xludf.DUMMYFUNCTION("GOOGLETRANSLATE(A41535, ""de"", ""en"")"),"nipple")</f>
        <v>nipple</v>
      </c>
    </row>
    <row r="41536">
      <c r="A41536" s="1" t="s">
        <v>41535</v>
      </c>
      <c r="B41536" s="2" t="str">
        <f>IFERROR(__xludf.DUMMYFUNCTION("GOOGLETRANSLATE(A41536, ""de"", ""en"")"),"felt")</f>
        <v>felt</v>
      </c>
    </row>
    <row r="41537">
      <c r="A41537" s="1" t="s">
        <v>41536</v>
      </c>
      <c r="B41537" s="2" t="str">
        <f>IFERROR(__xludf.DUMMYFUNCTION("GOOGLETRANSLATE(A41537, ""de"", ""en"")"),"chief inspector")</f>
        <v>chief inspector</v>
      </c>
    </row>
    <row r="41538">
      <c r="A41538" s="1" t="s">
        <v>41537</v>
      </c>
      <c r="B41538" s="2" t="str">
        <f>IFERROR(__xludf.DUMMYFUNCTION("GOOGLETRANSLATE(A41538, ""de"", ""en"")"),"access")</f>
        <v>access</v>
      </c>
    </row>
    <row r="41539">
      <c r="A41539" s="1" t="s">
        <v>41538</v>
      </c>
      <c r="B41539" s="2" t="str">
        <f>IFERROR(__xludf.DUMMYFUNCTION("GOOGLETRANSLATE(A41539, ""de"", ""en"")"),"cash cow")</f>
        <v>cash cow</v>
      </c>
    </row>
    <row r="41540">
      <c r="A41540" s="1" t="s">
        <v>41539</v>
      </c>
      <c r="B41540" s="2" t="str">
        <f>IFERROR(__xludf.DUMMYFUNCTION("GOOGLETRANSLATE(A41540, ""de"", ""en"")"),"more honorable")</f>
        <v>more honorable</v>
      </c>
    </row>
    <row r="41541">
      <c r="A41541" s="1" t="s">
        <v>41540</v>
      </c>
      <c r="B41541" s="2" t="str">
        <f>IFERROR(__xludf.DUMMYFUNCTION("GOOGLETRANSLATE(A41541, ""de"", ""en"")"),"Russia")</f>
        <v>Russia</v>
      </c>
    </row>
    <row r="41542">
      <c r="A41542" s="1" t="s">
        <v>41541</v>
      </c>
      <c r="B41542" s="2" t="str">
        <f>IFERROR(__xludf.DUMMYFUNCTION("GOOGLETRANSLATE(A41542, ""de"", ""en"")"),"to accommodate")</f>
        <v>to accommodate</v>
      </c>
    </row>
    <row r="41543">
      <c r="A41543" s="1" t="s">
        <v>41542</v>
      </c>
      <c r="B41543" s="2" t="str">
        <f>IFERROR(__xludf.DUMMYFUNCTION("GOOGLETRANSLATE(A41543, ""de"", ""en"")"),"ingvar")</f>
        <v>ingvar</v>
      </c>
    </row>
    <row r="41544">
      <c r="A41544" s="1" t="s">
        <v>41543</v>
      </c>
      <c r="B41544" s="2" t="str">
        <f>IFERROR(__xludf.DUMMYFUNCTION("GOOGLETRANSLATE(A41544, ""de"", ""en"")"),"intro")</f>
        <v>intro</v>
      </c>
    </row>
    <row r="41545">
      <c r="A41545" s="1" t="s">
        <v>41544</v>
      </c>
      <c r="B41545" s="2" t="str">
        <f>IFERROR(__xludf.DUMMYFUNCTION("GOOGLETRANSLATE(A41545, ""de"", ""en"")"),"frogs")</f>
        <v>frogs</v>
      </c>
    </row>
    <row r="41546">
      <c r="A41546" s="1" t="s">
        <v>41545</v>
      </c>
      <c r="B41546" s="2" t="str">
        <f>IFERROR(__xludf.DUMMYFUNCTION("GOOGLETRANSLATE(A41546, ""de"", ""en"")"),"present")</f>
        <v>present</v>
      </c>
    </row>
    <row r="41547">
      <c r="A41547" s="1" t="s">
        <v>41546</v>
      </c>
      <c r="B41547" s="2" t="str">
        <f>IFERROR(__xludf.DUMMYFUNCTION("GOOGLETRANSLATE(A41547, ""de"", ""en"")"),"soulmate")</f>
        <v>soulmate</v>
      </c>
    </row>
    <row r="41548">
      <c r="A41548" s="1" t="s">
        <v>41547</v>
      </c>
      <c r="B41548" s="2" t="str">
        <f>IFERROR(__xludf.DUMMYFUNCTION("GOOGLETRANSLATE(A41548, ""de"", ""en"")"),"mehdi")</f>
        <v>mehdi</v>
      </c>
    </row>
    <row r="41549">
      <c r="A41549" s="1" t="s">
        <v>41548</v>
      </c>
      <c r="B41549" s="2" t="str">
        <f>IFERROR(__xludf.DUMMYFUNCTION("GOOGLETRANSLATE(A41549, ""de"", ""en"")"),"autopsies")</f>
        <v>autopsies</v>
      </c>
    </row>
    <row r="41550">
      <c r="A41550" s="1" t="s">
        <v>41549</v>
      </c>
      <c r="B41550" s="2" t="str">
        <f>IFERROR(__xludf.DUMMYFUNCTION("GOOGLETRANSLATE(A41550, ""de"", ""en"")"),"Sundays")</f>
        <v>Sundays</v>
      </c>
    </row>
    <row r="41551">
      <c r="A41551" s="1" t="s">
        <v>41550</v>
      </c>
      <c r="B41551" s="2" t="str">
        <f>IFERROR(__xludf.DUMMYFUNCTION("GOOGLETRANSLATE(A41551, ""de"", ""en"")"),"targeted")</f>
        <v>targeted</v>
      </c>
    </row>
    <row r="41552">
      <c r="A41552" s="1" t="s">
        <v>41551</v>
      </c>
      <c r="B41552" s="2" t="str">
        <f>IFERROR(__xludf.DUMMYFUNCTION("GOOGLETRANSLATE(A41552, ""de"", ""en"")"),"grills")</f>
        <v>grills</v>
      </c>
    </row>
    <row r="41553">
      <c r="A41553" s="1" t="s">
        <v>41552</v>
      </c>
      <c r="B41553" s="2" t="str">
        <f>IFERROR(__xludf.DUMMYFUNCTION("GOOGLETRANSLATE(A41553, ""de"", ""en"")"),"torah")</f>
        <v>torah</v>
      </c>
    </row>
    <row r="41554">
      <c r="A41554" s="1" t="s">
        <v>41553</v>
      </c>
      <c r="B41554" s="2" t="str">
        <f>IFERROR(__xludf.DUMMYFUNCTION("GOOGLETRANSLATE(A41554, ""de"", ""en"")"),"freeze")</f>
        <v>freeze</v>
      </c>
    </row>
    <row r="41555">
      <c r="A41555" s="1" t="s">
        <v>41554</v>
      </c>
      <c r="B41555" s="2" t="str">
        <f>IFERROR(__xludf.DUMMYFUNCTION("GOOGLETRANSLATE(A41555, ""de"", ""en"")"),"spy")</f>
        <v>spy</v>
      </c>
    </row>
    <row r="41556">
      <c r="A41556" s="1" t="s">
        <v>41555</v>
      </c>
      <c r="B41556" s="2" t="str">
        <f>IFERROR(__xludf.DUMMYFUNCTION("GOOGLETRANSLATE(A41556, ""de"", ""en"")"),"disoriented")</f>
        <v>disoriented</v>
      </c>
    </row>
    <row r="41557">
      <c r="A41557" s="1" t="s">
        <v>41556</v>
      </c>
      <c r="B41557" s="2" t="str">
        <f>IFERROR(__xludf.DUMMYFUNCTION("GOOGLETRANSLATE(A41557, ""de"", ""en"")"),"horrible")</f>
        <v>horrible</v>
      </c>
    </row>
    <row r="41558">
      <c r="A41558" s="1" t="s">
        <v>41557</v>
      </c>
      <c r="B41558" s="2" t="str">
        <f>IFERROR(__xludf.DUMMYFUNCTION("GOOGLETRANSLATE(A41558, ""de"", ""en"")"),"20 year olds")</f>
        <v>20 year olds</v>
      </c>
    </row>
    <row r="41559">
      <c r="A41559" s="1" t="s">
        <v>41558</v>
      </c>
      <c r="B41559" s="2" t="str">
        <f>IFERROR(__xludf.DUMMYFUNCTION("GOOGLETRANSLATE(A41559, ""de"", ""en"")"),"dressing gown")</f>
        <v>dressing gown</v>
      </c>
    </row>
    <row r="41560">
      <c r="A41560" s="1" t="s">
        <v>41559</v>
      </c>
      <c r="B41560" s="2" t="str">
        <f>IFERROR(__xludf.DUMMYFUNCTION("GOOGLETRANSLATE(A41560, ""de"", ""en"")"),"compliments")</f>
        <v>compliments</v>
      </c>
    </row>
    <row r="41561">
      <c r="A41561" s="1" t="s">
        <v>41560</v>
      </c>
      <c r="B41561" s="2" t="str">
        <f>IFERROR(__xludf.DUMMYFUNCTION("GOOGLETRANSLATE(A41561, ""de"", ""en"")"),"elected")</f>
        <v>elected</v>
      </c>
    </row>
    <row r="41562">
      <c r="A41562" s="1" t="s">
        <v>41561</v>
      </c>
      <c r="B41562" s="2" t="str">
        <f>IFERROR(__xludf.DUMMYFUNCTION("GOOGLETRANSLATE(A41562, ""de"", ""en"")"),"tita")</f>
        <v>tita</v>
      </c>
    </row>
    <row r="41563">
      <c r="A41563" s="1" t="s">
        <v>41562</v>
      </c>
      <c r="B41563" s="2" t="str">
        <f>IFERROR(__xludf.DUMMYFUNCTION("GOOGLETRANSLATE(A41563, ""de"", ""en"")"),"tatsu")</f>
        <v>tatsu</v>
      </c>
    </row>
    <row r="41564">
      <c r="A41564" s="1" t="s">
        <v>41563</v>
      </c>
      <c r="B41564" s="2" t="str">
        <f>IFERROR(__xludf.DUMMYFUNCTION("GOOGLETRANSLATE(A41564, ""de"", ""en"")"),"cyndee")</f>
        <v>cyndee</v>
      </c>
    </row>
    <row r="41565">
      <c r="A41565" s="1" t="s">
        <v>41564</v>
      </c>
      <c r="B41565" s="2" t="str">
        <f>IFERROR(__xludf.DUMMYFUNCTION("GOOGLETRANSLATE(A41565, ""de"", ""en"")"),"park")</f>
        <v>park</v>
      </c>
    </row>
    <row r="41566">
      <c r="A41566" s="1" t="s">
        <v>41565</v>
      </c>
      <c r="B41566" s="2" t="str">
        <f>IFERROR(__xludf.DUMMYFUNCTION("GOOGLETRANSLATE(A41566, ""de"", ""en"")"),"horse")</f>
        <v>horse</v>
      </c>
    </row>
    <row r="41567">
      <c r="A41567" s="1" t="s">
        <v>41566</v>
      </c>
      <c r="B41567" s="2" t="str">
        <f>IFERROR(__xludf.DUMMYFUNCTION("GOOGLETRANSLATE(A41567, ""de"", ""en"")"),"those on duty")</f>
        <v>those on duty</v>
      </c>
    </row>
    <row r="41568">
      <c r="A41568" s="1" t="s">
        <v>41567</v>
      </c>
      <c r="B41568" s="2" t="str">
        <f>IFERROR(__xludf.DUMMYFUNCTION("GOOGLETRANSLATE(A41568, ""de"", ""en"")"),"get rid of")</f>
        <v>get rid of</v>
      </c>
    </row>
    <row r="41569">
      <c r="A41569" s="1" t="s">
        <v>41568</v>
      </c>
      <c r="B41569" s="2" t="str">
        <f>IFERROR(__xludf.DUMMYFUNCTION("GOOGLETRANSLATE(A41569, ""de"", ""en"")"),"fell in love")</f>
        <v>fell in love</v>
      </c>
    </row>
    <row r="41570">
      <c r="A41570" s="1" t="s">
        <v>41569</v>
      </c>
      <c r="B41570" s="2" t="str">
        <f>IFERROR(__xludf.DUMMYFUNCTION("GOOGLETRANSLATE(A41570, ""de"", ""en"")"),"arrogance")</f>
        <v>arrogance</v>
      </c>
    </row>
    <row r="41571">
      <c r="A41571" s="1" t="s">
        <v>41570</v>
      </c>
      <c r="B41571" s="2" t="str">
        <f>IFERROR(__xludf.DUMMYFUNCTION("GOOGLETRANSLATE(A41571, ""de"", ""en"")"),"not far")</f>
        <v>not far</v>
      </c>
    </row>
    <row r="41572">
      <c r="A41572" s="1" t="s">
        <v>41571</v>
      </c>
      <c r="B41572" s="2" t="str">
        <f>IFERROR(__xludf.DUMMYFUNCTION("GOOGLETRANSLATE(A41572, ""de"", ""en"")"),"continuously")</f>
        <v>continuously</v>
      </c>
    </row>
    <row r="41573">
      <c r="A41573" s="1" t="s">
        <v>41572</v>
      </c>
      <c r="B41573" s="2" t="str">
        <f>IFERROR(__xludf.DUMMYFUNCTION("GOOGLETRANSLATE(A41573, ""de"", ""en"")"),"Hanoi")</f>
        <v>Hanoi</v>
      </c>
    </row>
    <row r="41574">
      <c r="A41574" s="1" t="s">
        <v>41573</v>
      </c>
      <c r="B41574" s="2" t="str">
        <f>IFERROR(__xludf.DUMMYFUNCTION("GOOGLETRANSLATE(A41574, ""de"", ""en"")"),"involved")</f>
        <v>involved</v>
      </c>
    </row>
    <row r="41575">
      <c r="A41575" s="1" t="s">
        <v>41574</v>
      </c>
      <c r="B41575" s="2" t="str">
        <f>IFERROR(__xludf.DUMMYFUNCTION("GOOGLETRANSLATE(A41575, ""de"", ""en"")"),"Crimea")</f>
        <v>Crimea</v>
      </c>
    </row>
    <row r="41576">
      <c r="A41576" s="1" t="s">
        <v>41575</v>
      </c>
      <c r="B41576" s="2" t="str">
        <f>IFERROR(__xludf.DUMMYFUNCTION("GOOGLETRANSLATE(A41576, ""de"", ""en"")"),"stimulants")</f>
        <v>stimulants</v>
      </c>
    </row>
    <row r="41577">
      <c r="A41577" s="1" t="s">
        <v>41576</v>
      </c>
      <c r="B41577" s="2" t="str">
        <f>IFERROR(__xludf.DUMMYFUNCTION("GOOGLETRANSLATE(A41577, ""de"", ""en"")"),"turned")</f>
        <v>turned</v>
      </c>
    </row>
    <row r="41578">
      <c r="A41578" s="1" t="s">
        <v>41577</v>
      </c>
      <c r="B41578" s="2" t="str">
        <f>IFERROR(__xludf.DUMMYFUNCTION("GOOGLETRANSLATE(A41578, ""de"", ""en"")"),"threatening")</f>
        <v>threatening</v>
      </c>
    </row>
    <row r="41579">
      <c r="A41579" s="1" t="s">
        <v>41578</v>
      </c>
      <c r="B41579" s="2" t="str">
        <f>IFERROR(__xludf.DUMMYFUNCTION("GOOGLETRANSLATE(A41579, ""de"", ""en"")"),"unauthorized")</f>
        <v>unauthorized</v>
      </c>
    </row>
    <row r="41580">
      <c r="A41580" s="1" t="s">
        <v>41579</v>
      </c>
      <c r="B41580" s="2" t="str">
        <f>IFERROR(__xludf.DUMMYFUNCTION("GOOGLETRANSLATE(A41580, ""de"", ""en"")"),"nibble")</f>
        <v>nibble</v>
      </c>
    </row>
    <row r="41581">
      <c r="A41581" s="1" t="s">
        <v>41580</v>
      </c>
      <c r="B41581" s="2" t="str">
        <f>IFERROR(__xludf.DUMMYFUNCTION("GOOGLETRANSLATE(A41581, ""de"", ""en"")"),"riding")</f>
        <v>riding</v>
      </c>
    </row>
    <row r="41582">
      <c r="A41582" s="1" t="s">
        <v>41581</v>
      </c>
      <c r="B41582" s="2" t="str">
        <f>IFERROR(__xludf.DUMMYFUNCTION("GOOGLETRANSLATE(A41582, ""de"", ""en"")"),"shoot-out")</f>
        <v>shoot-out</v>
      </c>
    </row>
    <row r="41583">
      <c r="A41583" s="1" t="s">
        <v>41582</v>
      </c>
      <c r="B41583" s="2" t="str">
        <f>IFERROR(__xludf.DUMMYFUNCTION("GOOGLETRANSLATE(A41583, ""de"", ""en"")"),"very best")</f>
        <v>very best</v>
      </c>
    </row>
    <row r="41584">
      <c r="A41584" s="1" t="s">
        <v>41583</v>
      </c>
      <c r="B41584" s="2" t="str">
        <f>IFERROR(__xludf.DUMMYFUNCTION("GOOGLETRANSLATE(A41584, ""de"", ""en"")"),"more helpful")</f>
        <v>more helpful</v>
      </c>
    </row>
    <row r="41585">
      <c r="A41585" s="1" t="s">
        <v>41584</v>
      </c>
      <c r="B41585" s="2" t="str">
        <f>IFERROR(__xludf.DUMMYFUNCTION("GOOGLETRANSLATE(A41585, ""de"", ""en"")"),"carrera")</f>
        <v>carrera</v>
      </c>
    </row>
    <row r="41586">
      <c r="A41586" s="1" t="s">
        <v>41585</v>
      </c>
      <c r="B41586" s="2" t="str">
        <f>IFERROR(__xludf.DUMMYFUNCTION("GOOGLETRANSLATE(A41586, ""de"", ""en"")"),"lost their way")</f>
        <v>lost their way</v>
      </c>
    </row>
    <row r="41587">
      <c r="A41587" s="1" t="s">
        <v>41586</v>
      </c>
      <c r="B41587" s="2" t="str">
        <f>IFERROR(__xludf.DUMMYFUNCTION("GOOGLETRANSLATE(A41587, ""de"", ""en"")"),"spread")</f>
        <v>spread</v>
      </c>
    </row>
    <row r="41588">
      <c r="A41588" s="1" t="s">
        <v>41587</v>
      </c>
      <c r="B41588" s="2" t="str">
        <f>IFERROR(__xludf.DUMMYFUNCTION("GOOGLETRANSLATE(A41588, ""de"", ""en"")"),"eldritch")</f>
        <v>eldritch</v>
      </c>
    </row>
    <row r="41589">
      <c r="A41589" s="1" t="s">
        <v>41588</v>
      </c>
      <c r="B41589" s="2" t="str">
        <f>IFERROR(__xludf.DUMMYFUNCTION("GOOGLETRANSLATE(A41589, ""de"", ""en"")"),"checked")</f>
        <v>checked</v>
      </c>
    </row>
    <row r="41590">
      <c r="A41590" s="1" t="s">
        <v>41589</v>
      </c>
      <c r="B41590" s="2" t="str">
        <f>IFERROR(__xludf.DUMMYFUNCTION("GOOGLETRANSLATE(A41590, ""de"", ""en"")"),"jinx")</f>
        <v>jinx</v>
      </c>
    </row>
    <row r="41591">
      <c r="A41591" s="1" t="s">
        <v>41590</v>
      </c>
      <c r="B41591" s="2" t="str">
        <f>IFERROR(__xludf.DUMMYFUNCTION("GOOGLETRANSLATE(A41591, ""de"", ""en"")"),"lollipop")</f>
        <v>lollipop</v>
      </c>
    </row>
    <row r="41592">
      <c r="A41592" s="1" t="s">
        <v>41591</v>
      </c>
      <c r="B41592" s="2" t="str">
        <f>IFERROR(__xludf.DUMMYFUNCTION("GOOGLETRANSLATE(A41592, ""de"", ""en"")"),"premature")</f>
        <v>premature</v>
      </c>
    </row>
    <row r="41593">
      <c r="A41593" s="1" t="s">
        <v>41592</v>
      </c>
      <c r="B41593" s="2" t="str">
        <f>IFERROR(__xludf.DUMMYFUNCTION("GOOGLETRANSLATE(A41593, ""de"", ""en"")"),"ruler")</f>
        <v>ruler</v>
      </c>
    </row>
    <row r="41594">
      <c r="A41594" s="1" t="s">
        <v>41593</v>
      </c>
      <c r="B41594" s="2" t="str">
        <f>IFERROR(__xludf.DUMMYFUNCTION("GOOGLETRANSLATE(A41594, ""de"", ""en"")"),"philosophical")</f>
        <v>philosophical</v>
      </c>
    </row>
    <row r="41595">
      <c r="A41595" s="1" t="s">
        <v>41594</v>
      </c>
      <c r="B41595" s="2" t="str">
        <f>IFERROR(__xludf.DUMMYFUNCTION("GOOGLETRANSLATE(A41595, ""de"", ""en"")"),"latrine")</f>
        <v>latrine</v>
      </c>
    </row>
    <row r="41596">
      <c r="A41596" s="1" t="s">
        <v>41595</v>
      </c>
      <c r="B41596" s="2" t="str">
        <f>IFERROR(__xludf.DUMMYFUNCTION("GOOGLETRANSLATE(A41596, ""de"", ""en"")"),"Alas")</f>
        <v>Alas</v>
      </c>
    </row>
    <row r="41597">
      <c r="A41597" s="1" t="s">
        <v>41596</v>
      </c>
      <c r="B41597" s="2" t="str">
        <f>IFERROR(__xludf.DUMMYFUNCTION("GOOGLETRANSLATE(A41597, ""de"", ""en"")"),"changed my mind")</f>
        <v>changed my mind</v>
      </c>
    </row>
    <row r="41598">
      <c r="A41598" s="1" t="s">
        <v>41597</v>
      </c>
      <c r="B41598" s="2" t="str">
        <f>IFERROR(__xludf.DUMMYFUNCTION("GOOGLETRANSLATE(A41598, ""de"", ""en"")"),"petite")</f>
        <v>petite</v>
      </c>
    </row>
    <row r="41599">
      <c r="A41599" s="1" t="s">
        <v>41598</v>
      </c>
      <c r="B41599" s="2" t="str">
        <f>IFERROR(__xludf.DUMMYFUNCTION("GOOGLETRANSLATE(A41599, ""de"", ""en"")"),"multiply")</f>
        <v>multiply</v>
      </c>
    </row>
    <row r="41600">
      <c r="A41600" s="1" t="s">
        <v>41599</v>
      </c>
      <c r="B41600" s="2" t="str">
        <f>IFERROR(__xludf.DUMMYFUNCTION("GOOGLETRANSLATE(A41600, ""de"", ""en"")"),"entry")</f>
        <v>entry</v>
      </c>
    </row>
    <row r="41601">
      <c r="A41601" s="1" t="s">
        <v>41600</v>
      </c>
      <c r="B41601" s="2" t="str">
        <f>IFERROR(__xludf.DUMMYFUNCTION("GOOGLETRANSLATE(A41601, ""de"", ""en"")"),"born")</f>
        <v>born</v>
      </c>
    </row>
    <row r="41602">
      <c r="A41602" s="1" t="s">
        <v>41601</v>
      </c>
      <c r="B41602" s="2" t="str">
        <f>IFERROR(__xludf.DUMMYFUNCTION("GOOGLETRANSLATE(A41602, ""de"", ""en"")"),"fifth")</f>
        <v>fifth</v>
      </c>
    </row>
    <row r="41603">
      <c r="A41603" s="1" t="s">
        <v>41602</v>
      </c>
      <c r="B41603" s="2" t="str">
        <f>IFERROR(__xludf.DUMMYFUNCTION("GOOGLETRANSLATE(A41603, ""de"", ""en"")"),"wrestling")</f>
        <v>wrestling</v>
      </c>
    </row>
    <row r="41604">
      <c r="A41604" s="1" t="s">
        <v>41603</v>
      </c>
      <c r="B41604" s="2" t="str">
        <f>IFERROR(__xludf.DUMMYFUNCTION("GOOGLETRANSLATE(A41604, ""de"", ""en"")"),"posters")</f>
        <v>posters</v>
      </c>
    </row>
    <row r="41605">
      <c r="A41605" s="1" t="s">
        <v>41604</v>
      </c>
      <c r="B41605" s="2" t="str">
        <f>IFERROR(__xludf.DUMMYFUNCTION("GOOGLETRANSLATE(A41605, ""de"", ""en"")"),"automobiles")</f>
        <v>automobiles</v>
      </c>
    </row>
    <row r="41606">
      <c r="A41606" s="1" t="s">
        <v>41605</v>
      </c>
      <c r="B41606" s="2" t="str">
        <f>IFERROR(__xludf.DUMMYFUNCTION("GOOGLETRANSLATE(A41606, ""de"", ""en"")"),"barbaric")</f>
        <v>barbaric</v>
      </c>
    </row>
    <row r="41607">
      <c r="A41607" s="1" t="s">
        <v>41606</v>
      </c>
      <c r="B41607" s="2" t="str">
        <f>IFERROR(__xludf.DUMMYFUNCTION("GOOGLETRANSLATE(A41607, ""de"", ""en"")"),"desirable")</f>
        <v>desirable</v>
      </c>
    </row>
    <row r="41608">
      <c r="A41608" s="1" t="s">
        <v>41607</v>
      </c>
      <c r="B41608" s="2" t="str">
        <f>IFERROR(__xludf.DUMMYFUNCTION("GOOGLETRANSLATE(A41608, ""de"", ""en"")"),"Avignon")</f>
        <v>Avignon</v>
      </c>
    </row>
    <row r="41609">
      <c r="A41609" s="1" t="s">
        <v>41608</v>
      </c>
      <c r="B41609" s="2" t="str">
        <f>IFERROR(__xludf.DUMMYFUNCTION("GOOGLETRANSLATE(A41609, ""de"", ""en"")"),"bell rang")</f>
        <v>bell rang</v>
      </c>
    </row>
    <row r="41610">
      <c r="A41610" s="1" t="s">
        <v>41609</v>
      </c>
      <c r="B41610" s="2" t="str">
        <f>IFERROR(__xludf.DUMMYFUNCTION("GOOGLETRANSLATE(A41610, ""de"", ""en"")"),"promoter")</f>
        <v>promoter</v>
      </c>
    </row>
    <row r="41611">
      <c r="A41611" s="1" t="s">
        <v>41610</v>
      </c>
      <c r="B41611" s="2" t="str">
        <f>IFERROR(__xludf.DUMMYFUNCTION("GOOGLETRANSLATE(A41611, ""de"", ""en"")"),"lieutenant general")</f>
        <v>lieutenant general</v>
      </c>
    </row>
    <row r="41612">
      <c r="A41612" s="1" t="s">
        <v>41611</v>
      </c>
      <c r="B41612" s="2" t="str">
        <f>IFERROR(__xludf.DUMMYFUNCTION("GOOGLETRANSLATE(A41612, ""de"", ""en"")"),"valance")</f>
        <v>valance</v>
      </c>
    </row>
    <row r="41613">
      <c r="A41613" s="1" t="s">
        <v>41612</v>
      </c>
      <c r="B41613" s="2" t="str">
        <f>IFERROR(__xludf.DUMMYFUNCTION("GOOGLETRANSLATE(A41613, ""de"", ""en"")"),"leonora")</f>
        <v>leonora</v>
      </c>
    </row>
    <row r="41614">
      <c r="A41614" s="1" t="s">
        <v>41613</v>
      </c>
      <c r="B41614" s="2" t="str">
        <f>IFERROR(__xludf.DUMMYFUNCTION("GOOGLETRANSLATE(A41614, ""de"", ""en"")"),"n/a")</f>
        <v>n/a</v>
      </c>
    </row>
    <row r="41615">
      <c r="A41615" s="1" t="s">
        <v>41614</v>
      </c>
      <c r="B41615" s="2" t="str">
        <f>IFERROR(__xludf.DUMMYFUNCTION("GOOGLETRANSLATE(A41615, ""de"", ""en"")"),"compiled")</f>
        <v>compiled</v>
      </c>
    </row>
    <row r="41616">
      <c r="A41616" s="1" t="s">
        <v>41615</v>
      </c>
      <c r="B41616" s="2" t="str">
        <f>IFERROR(__xludf.DUMMYFUNCTION("GOOGLETRANSLATE(A41616, ""de"", ""en"")"),"sacrificed")</f>
        <v>sacrificed</v>
      </c>
    </row>
    <row r="41617">
      <c r="A41617" s="1" t="s">
        <v>41616</v>
      </c>
      <c r="B41617" s="2" t="str">
        <f>IFERROR(__xludf.DUMMYFUNCTION("GOOGLETRANSLATE(A41617, ""de"", ""en"")"),"michonne")</f>
        <v>michonne</v>
      </c>
    </row>
    <row r="41618">
      <c r="A41618" s="1" t="s">
        <v>41617</v>
      </c>
      <c r="B41618" s="2" t="str">
        <f>IFERROR(__xludf.DUMMYFUNCTION("GOOGLETRANSLATE(A41618, ""de"", ""en"")"),"classify")</f>
        <v>classify</v>
      </c>
    </row>
    <row r="41619">
      <c r="A41619" s="1" t="s">
        <v>41618</v>
      </c>
      <c r="B41619" s="2" t="str">
        <f>IFERROR(__xludf.DUMMYFUNCTION("GOOGLETRANSLATE(A41619, ""de"", ""en"")"),"Ramiro")</f>
        <v>Ramiro</v>
      </c>
    </row>
    <row r="41620">
      <c r="A41620" s="1" t="s">
        <v>41619</v>
      </c>
      <c r="B41620" s="2" t="str">
        <f>IFERROR(__xludf.DUMMYFUNCTION("GOOGLETRANSLATE(A41620, ""de"", ""en"")"),"satire")</f>
        <v>satire</v>
      </c>
    </row>
    <row r="41621">
      <c r="A41621" s="1" t="s">
        <v>41620</v>
      </c>
      <c r="B41621" s="2" t="str">
        <f>IFERROR(__xludf.DUMMYFUNCTION("GOOGLETRANSLATE(A41621, ""de"", ""en"")"),"feminism")</f>
        <v>feminism</v>
      </c>
    </row>
    <row r="41622">
      <c r="A41622" s="1" t="s">
        <v>41621</v>
      </c>
      <c r="B41622" s="2" t="str">
        <f>IFERROR(__xludf.DUMMYFUNCTION("GOOGLETRANSLATE(A41622, ""de"", ""en"")"),"decadent")</f>
        <v>decadent</v>
      </c>
    </row>
    <row r="41623">
      <c r="A41623" s="1" t="s">
        <v>41622</v>
      </c>
      <c r="B41623" s="2" t="str">
        <f>IFERROR(__xludf.DUMMYFUNCTION("GOOGLETRANSLATE(A41623, ""de"", ""en"")"),"playboys")</f>
        <v>playboys</v>
      </c>
    </row>
    <row r="41624">
      <c r="A41624" s="1" t="s">
        <v>41623</v>
      </c>
      <c r="B41624" s="2" t="str">
        <f>IFERROR(__xludf.DUMMYFUNCTION("GOOGLETRANSLATE(A41624, ""de"", ""en"")"),"ramble")</f>
        <v>ramble</v>
      </c>
    </row>
    <row r="41625">
      <c r="A41625" s="1" t="s">
        <v>41624</v>
      </c>
      <c r="B41625" s="2" t="str">
        <f>IFERROR(__xludf.DUMMYFUNCTION("GOOGLETRANSLATE(A41625, ""de"", ""en"")"),"combat operations")</f>
        <v>combat operations</v>
      </c>
    </row>
    <row r="41626">
      <c r="A41626" s="1" t="s">
        <v>41625</v>
      </c>
      <c r="B41626" s="2" t="str">
        <f>IFERROR(__xludf.DUMMYFUNCTION("GOOGLETRANSLATE(A41626, ""de"", ""en"")"),"psychotherapy")</f>
        <v>psychotherapy</v>
      </c>
    </row>
    <row r="41627">
      <c r="A41627" s="1" t="s">
        <v>41626</v>
      </c>
      <c r="B41627" s="2" t="str">
        <f>IFERROR(__xludf.DUMMYFUNCTION("GOOGLETRANSLATE(A41627, ""de"", ""en"")"),"mcc")</f>
        <v>mcc</v>
      </c>
    </row>
    <row r="41628">
      <c r="A41628" s="1" t="s">
        <v>41627</v>
      </c>
      <c r="B41628" s="2" t="str">
        <f>IFERROR(__xludf.DUMMYFUNCTION("GOOGLETRANSLATE(A41628, ""de"", ""en"")"),"alarm bells")</f>
        <v>alarm bells</v>
      </c>
    </row>
    <row r="41629">
      <c r="A41629" s="1" t="s">
        <v>41628</v>
      </c>
      <c r="B41629" s="2" t="str">
        <f>IFERROR(__xludf.DUMMYFUNCTION("GOOGLETRANSLATE(A41629, ""de"", ""en"")"),"activist")</f>
        <v>activist</v>
      </c>
    </row>
    <row r="41630">
      <c r="A41630" s="1" t="s">
        <v>41629</v>
      </c>
      <c r="B41630" s="2" t="str">
        <f>IFERROR(__xludf.DUMMYFUNCTION("GOOGLETRANSLATE(A41630, ""de"", ""en"")"),"nazi swastika")</f>
        <v>nazi swastika</v>
      </c>
    </row>
    <row r="41631">
      <c r="A41631" s="1" t="s">
        <v>41630</v>
      </c>
      <c r="B41631" s="2" t="str">
        <f>IFERROR(__xludf.DUMMYFUNCTION("GOOGLETRANSLATE(A41631, ""de"", ""en"")"),"whiteside")</f>
        <v>whiteside</v>
      </c>
    </row>
    <row r="41632">
      <c r="A41632" s="1" t="s">
        <v>41631</v>
      </c>
      <c r="B41632" s="2" t="str">
        <f>IFERROR(__xludf.DUMMYFUNCTION("GOOGLETRANSLATE(A41632, ""de"", ""en"")"),"sky blue")</f>
        <v>sky blue</v>
      </c>
    </row>
    <row r="41633">
      <c r="A41633" s="1" t="s">
        <v>41632</v>
      </c>
      <c r="B41633" s="2" t="str">
        <f>IFERROR(__xludf.DUMMYFUNCTION("GOOGLETRANSLATE(A41633, ""de"", ""en"")"),"smart")</f>
        <v>smart</v>
      </c>
    </row>
    <row r="41634">
      <c r="A41634" s="1" t="s">
        <v>41633</v>
      </c>
      <c r="B41634" s="2" t="str">
        <f>IFERROR(__xludf.DUMMYFUNCTION("GOOGLETRANSLATE(A41634, ""de"", ""en"")"),"end of duty")</f>
        <v>end of duty</v>
      </c>
    </row>
    <row r="41635">
      <c r="A41635" s="1" t="s">
        <v>41634</v>
      </c>
      <c r="B41635" s="2" t="str">
        <f>IFERROR(__xludf.DUMMYFUNCTION("GOOGLETRANSLATE(A41635, ""de"", ""en"")"),"unscrupulous")</f>
        <v>unscrupulous</v>
      </c>
    </row>
    <row r="41636">
      <c r="A41636" s="1" t="s">
        <v>41635</v>
      </c>
      <c r="B41636" s="2" t="str">
        <f>IFERROR(__xludf.DUMMYFUNCTION("GOOGLETRANSLATE(A41636, ""de"", ""en"")"),"eleven")</f>
        <v>eleven</v>
      </c>
    </row>
    <row r="41637">
      <c r="A41637" s="1" t="s">
        <v>41636</v>
      </c>
      <c r="B41637" s="2" t="str">
        <f>IFERROR(__xludf.DUMMYFUNCTION("GOOGLETRANSLATE(A41637, ""de"", ""en"")"),"sprague")</f>
        <v>sprague</v>
      </c>
    </row>
    <row r="41638">
      <c r="A41638" s="1" t="s">
        <v>41637</v>
      </c>
      <c r="B41638" s="2" t="str">
        <f>IFERROR(__xludf.DUMMYFUNCTION("GOOGLETRANSLATE(A41638, ""de"", ""en"")"),"incense sticks")</f>
        <v>incense sticks</v>
      </c>
    </row>
    <row r="41639">
      <c r="A41639" s="1" t="s">
        <v>41638</v>
      </c>
      <c r="B41639" s="2" t="str">
        <f>IFERROR(__xludf.DUMMYFUNCTION("GOOGLETRANSLATE(A41639, ""de"", ""en"")"),"shasta")</f>
        <v>shasta</v>
      </c>
    </row>
    <row r="41640">
      <c r="A41640" s="1" t="s">
        <v>41639</v>
      </c>
      <c r="B41640" s="2" t="str">
        <f>IFERROR(__xludf.DUMMYFUNCTION("GOOGLETRANSLATE(A41640, ""de"", ""en"")"),"stimulating")</f>
        <v>stimulating</v>
      </c>
    </row>
    <row r="41641">
      <c r="A41641" s="1" t="s">
        <v>41640</v>
      </c>
      <c r="B41641" s="2" t="str">
        <f>IFERROR(__xludf.DUMMYFUNCTION("GOOGLETRANSLATE(A41641, ""de"", ""en"")"),"steals")</f>
        <v>steals</v>
      </c>
    </row>
    <row r="41642">
      <c r="A41642" s="1" t="s">
        <v>41641</v>
      </c>
      <c r="B41642" s="2" t="str">
        <f>IFERROR(__xludf.DUMMYFUNCTION("GOOGLETRANSLATE(A41642, ""de"", ""en"")"),"juvenile detention center")</f>
        <v>juvenile detention center</v>
      </c>
    </row>
    <row r="41643">
      <c r="A41643" s="1" t="s">
        <v>41642</v>
      </c>
      <c r="B41643" s="2" t="str">
        <f>IFERROR(__xludf.DUMMYFUNCTION("GOOGLETRANSLATE(A41643, ""de"", ""en"")"),"pastis")</f>
        <v>pastis</v>
      </c>
    </row>
    <row r="41644">
      <c r="A41644" s="1" t="s">
        <v>41643</v>
      </c>
      <c r="B41644" s="2" t="str">
        <f>IFERROR(__xludf.DUMMYFUNCTION("GOOGLETRANSLATE(A41644, ""de"", ""en"")"),"cemil")</f>
        <v>cemil</v>
      </c>
    </row>
    <row r="41645">
      <c r="A41645" s="1" t="s">
        <v>41644</v>
      </c>
      <c r="B41645" s="2" t="str">
        <f>IFERROR(__xludf.DUMMYFUNCTION("GOOGLETRANSLATE(A41645, ""de"", ""en"")"),"sifted through")</f>
        <v>sifted through</v>
      </c>
    </row>
    <row r="41646">
      <c r="A41646" s="1" t="s">
        <v>41645</v>
      </c>
      <c r="B41646" s="2" t="str">
        <f>IFERROR(__xludf.DUMMYFUNCTION("GOOGLETRANSLATE(A41646, ""de"", ""en"")"),"mummies")</f>
        <v>mummies</v>
      </c>
    </row>
    <row r="41647">
      <c r="A41647" s="1" t="s">
        <v>41646</v>
      </c>
      <c r="B41647" s="2" t="str">
        <f>IFERROR(__xludf.DUMMYFUNCTION("GOOGLETRANSLATE(A41647, ""de"", ""en"")"),"lounds")</f>
        <v>lounds</v>
      </c>
    </row>
    <row r="41648">
      <c r="A41648" s="1" t="s">
        <v>41647</v>
      </c>
      <c r="B41648" s="2" t="str">
        <f>IFERROR(__xludf.DUMMYFUNCTION("GOOGLETRANSLATE(A41648, ""de"", ""en"")"),"little child")</f>
        <v>little child</v>
      </c>
    </row>
    <row r="41649">
      <c r="A41649" s="1" t="s">
        <v>41648</v>
      </c>
      <c r="B41649" s="2" t="str">
        <f>IFERROR(__xludf.DUMMYFUNCTION("GOOGLETRANSLATE(A41649, ""de"", ""en"")"),"favorite restaurant")</f>
        <v>favorite restaurant</v>
      </c>
    </row>
    <row r="41650">
      <c r="A41650" s="1" t="s">
        <v>41649</v>
      </c>
      <c r="B41650" s="2" t="str">
        <f>IFERROR(__xludf.DUMMYFUNCTION("GOOGLETRANSLATE(A41650, ""de"", ""en"")"),"vacuum")</f>
        <v>vacuum</v>
      </c>
    </row>
    <row r="41651">
      <c r="A41651" s="1" t="s">
        <v>41650</v>
      </c>
      <c r="B41651" s="2" t="str">
        <f>IFERROR(__xludf.DUMMYFUNCTION("GOOGLETRANSLATE(A41651, ""de"", ""en"")"),"blackened")</f>
        <v>blackened</v>
      </c>
    </row>
    <row r="41652">
      <c r="A41652" s="1" t="s">
        <v>41651</v>
      </c>
      <c r="B41652" s="2" t="str">
        <f>IFERROR(__xludf.DUMMYFUNCTION("GOOGLETRANSLATE(A41652, ""de"", ""en"")"),"operational")</f>
        <v>operational</v>
      </c>
    </row>
    <row r="41653">
      <c r="A41653" s="1" t="s">
        <v>41652</v>
      </c>
      <c r="B41653" s="2" t="str">
        <f>IFERROR(__xludf.DUMMYFUNCTION("GOOGLETRANSLATE(A41653, ""de"", ""en"")"),"hofstadter")</f>
        <v>hofstadter</v>
      </c>
    </row>
    <row r="41654">
      <c r="A41654" s="1" t="s">
        <v>41653</v>
      </c>
      <c r="B41654" s="2" t="str">
        <f>IFERROR(__xludf.DUMMYFUNCTION("GOOGLETRANSLATE(A41654, ""de"", ""en"")"),"lucky ones")</f>
        <v>lucky ones</v>
      </c>
    </row>
    <row r="41655">
      <c r="A41655" s="1" t="s">
        <v>41654</v>
      </c>
      <c r="B41655" s="2" t="str">
        <f>IFERROR(__xludf.DUMMYFUNCTION("GOOGLETRANSLATE(A41655, ""de"", ""en"")"),"wormholes")</f>
        <v>wormholes</v>
      </c>
    </row>
    <row r="41656">
      <c r="A41656" s="1" t="s">
        <v>41655</v>
      </c>
      <c r="B41656" s="2" t="str">
        <f>IFERROR(__xludf.DUMMYFUNCTION("GOOGLETRANSLATE(A41656, ""de"", ""en"")"),"milena")</f>
        <v>milena</v>
      </c>
    </row>
    <row r="41657">
      <c r="A41657" s="1" t="s">
        <v>41656</v>
      </c>
      <c r="B41657" s="2" t="str">
        <f>IFERROR(__xludf.DUMMYFUNCTION("GOOGLETRANSLATE(A41657, ""de"", ""en"")"),"support")</f>
        <v>support</v>
      </c>
    </row>
    <row r="41658">
      <c r="A41658" s="1" t="s">
        <v>41657</v>
      </c>
      <c r="B41658" s="2" t="str">
        <f>IFERROR(__xludf.DUMMYFUNCTION("GOOGLETRANSLATE(A41658, ""de"", ""en"")"),"more infinite")</f>
        <v>more infinite</v>
      </c>
    </row>
    <row r="41659">
      <c r="A41659" s="1" t="s">
        <v>41658</v>
      </c>
      <c r="B41659" s="2" t="str">
        <f>IFERROR(__xludf.DUMMYFUNCTION("GOOGLETRANSLATE(A41659, ""de"", ""en"")"),"nuts")</f>
        <v>nuts</v>
      </c>
    </row>
    <row r="41660">
      <c r="A41660" s="1" t="s">
        <v>41659</v>
      </c>
      <c r="B41660" s="2" t="str">
        <f>IFERROR(__xludf.DUMMYFUNCTION("GOOGLETRANSLATE(A41660, ""de"", ""en"")"),"demon blood")</f>
        <v>demon blood</v>
      </c>
    </row>
    <row r="41661">
      <c r="A41661" s="1" t="s">
        <v>41660</v>
      </c>
      <c r="B41661" s="2" t="str">
        <f>IFERROR(__xludf.DUMMYFUNCTION("GOOGLETRANSLATE(A41661, ""de"", ""en"")"),"first best")</f>
        <v>first best</v>
      </c>
    </row>
    <row r="41662">
      <c r="A41662" s="1" t="s">
        <v>41661</v>
      </c>
      <c r="B41662" s="2" t="str">
        <f>IFERROR(__xludf.DUMMYFUNCTION("GOOGLETRANSLATE(A41662, ""de"", ""en"")"),"jarrett")</f>
        <v>jarrett</v>
      </c>
    </row>
    <row r="41663">
      <c r="A41663" s="1" t="s">
        <v>41662</v>
      </c>
      <c r="B41663" s="2" t="str">
        <f>IFERROR(__xludf.DUMMYFUNCTION("GOOGLETRANSLATE(A41663, ""de"", ""en"")"),"tabby")</f>
        <v>tabby</v>
      </c>
    </row>
    <row r="41664">
      <c r="A41664" s="1" t="s">
        <v>41663</v>
      </c>
      <c r="B41664" s="2" t="str">
        <f>IFERROR(__xludf.DUMMYFUNCTION("GOOGLETRANSLATE(A41664, ""de"", ""en"")"),"open up")</f>
        <v>open up</v>
      </c>
    </row>
    <row r="41665">
      <c r="A41665" s="1" t="s">
        <v>41664</v>
      </c>
      <c r="B41665" s="2" t="str">
        <f>IFERROR(__xludf.DUMMYFUNCTION("GOOGLETRANSLATE(A41665, ""de"", ""en"")"),"rubbed")</f>
        <v>rubbed</v>
      </c>
    </row>
    <row r="41666">
      <c r="A41666" s="1" t="s">
        <v>41665</v>
      </c>
      <c r="B41666" s="2" t="str">
        <f>IFERROR(__xludf.DUMMYFUNCTION("GOOGLETRANSLATE(A41666, ""de"", ""en"")"),"security protocol")</f>
        <v>security protocol</v>
      </c>
    </row>
    <row r="41667">
      <c r="A41667" s="1" t="s">
        <v>41666</v>
      </c>
      <c r="B41667" s="2" t="str">
        <f>IFERROR(__xludf.DUMMYFUNCTION("GOOGLETRANSLATE(A41667, ""de"", ""en"")"),"streak")</f>
        <v>streak</v>
      </c>
    </row>
    <row r="41668">
      <c r="A41668" s="1" t="s">
        <v>41667</v>
      </c>
      <c r="B41668" s="2" t="str">
        <f>IFERROR(__xludf.DUMMYFUNCTION("GOOGLETRANSLATE(A41668, ""de"", ""en"")"),"seismic")</f>
        <v>seismic</v>
      </c>
    </row>
    <row r="41669">
      <c r="A41669" s="1" t="s">
        <v>41668</v>
      </c>
      <c r="B41669" s="2" t="str">
        <f>IFERROR(__xludf.DUMMYFUNCTION("GOOGLETRANSLATE(A41669, ""de"", ""en"")"),"lifestyle")</f>
        <v>lifestyle</v>
      </c>
    </row>
    <row r="41670">
      <c r="A41670" s="1" t="s">
        <v>41669</v>
      </c>
      <c r="B41670" s="2" t="str">
        <f>IFERROR(__xludf.DUMMYFUNCTION("GOOGLETRANSLATE(A41670, ""de"", ""en"")"),"assessment")</f>
        <v>assessment</v>
      </c>
    </row>
    <row r="41671">
      <c r="A41671" s="1" t="s">
        <v>41670</v>
      </c>
      <c r="B41671" s="2" t="str">
        <f>IFERROR(__xludf.DUMMYFUNCTION("GOOGLETRANSLATE(A41671, ""de"", ""en"")"),"calculating")</f>
        <v>calculating</v>
      </c>
    </row>
    <row r="41672">
      <c r="A41672" s="1" t="s">
        <v>41671</v>
      </c>
      <c r="B41672" s="2" t="str">
        <f>IFERROR(__xludf.DUMMYFUNCTION("GOOGLETRANSLATE(A41672, ""de"", ""en"")"),"to take off")</f>
        <v>to take off</v>
      </c>
    </row>
    <row r="41673">
      <c r="A41673" s="1" t="s">
        <v>41672</v>
      </c>
      <c r="B41673" s="2" t="str">
        <f>IFERROR(__xludf.DUMMYFUNCTION("GOOGLETRANSLATE(A41673, ""de"", ""en"")"),"cousins")</f>
        <v>cousins</v>
      </c>
    </row>
    <row r="41674">
      <c r="A41674" s="1" t="s">
        <v>41673</v>
      </c>
      <c r="B41674" s="2" t="str">
        <f>IFERROR(__xludf.DUMMYFUNCTION("GOOGLETRANSLATE(A41674, ""de"", ""en"")"),"whined")</f>
        <v>whined</v>
      </c>
    </row>
    <row r="41675">
      <c r="A41675" s="1" t="s">
        <v>41674</v>
      </c>
      <c r="B41675" s="2" t="str">
        <f>IFERROR(__xludf.DUMMYFUNCTION("GOOGLETRANSLATE(A41675, ""de"", ""en"")"),"animal cruelty")</f>
        <v>animal cruelty</v>
      </c>
    </row>
    <row r="41676">
      <c r="A41676" s="1" t="s">
        <v>41675</v>
      </c>
      <c r="B41676" s="2" t="str">
        <f>IFERROR(__xludf.DUMMYFUNCTION("GOOGLETRANSLATE(A41676, ""de"", ""en"")"),"Ismael")</f>
        <v>Ismael</v>
      </c>
    </row>
    <row r="41677">
      <c r="A41677" s="1" t="s">
        <v>41676</v>
      </c>
      <c r="B41677" s="2" t="str">
        <f>IFERROR(__xludf.DUMMYFUNCTION("GOOGLETRANSLATE(A41677, ""de"", ""en"")"),"family business")</f>
        <v>family business</v>
      </c>
    </row>
    <row r="41678">
      <c r="A41678" s="1" t="s">
        <v>41677</v>
      </c>
      <c r="B41678" s="2" t="str">
        <f>IFERROR(__xludf.DUMMYFUNCTION("GOOGLETRANSLATE(A41678, ""de"", ""en"")"),"clip")</f>
        <v>clip</v>
      </c>
    </row>
    <row r="41679">
      <c r="A41679" s="1" t="s">
        <v>41678</v>
      </c>
      <c r="B41679" s="2" t="str">
        <f>IFERROR(__xludf.DUMMYFUNCTION("GOOGLETRANSLATE(A41679, ""de"", ""en"")"),"denzel")</f>
        <v>denzel</v>
      </c>
    </row>
    <row r="41680">
      <c r="A41680" s="1" t="s">
        <v>41679</v>
      </c>
      <c r="B41680" s="2" t="str">
        <f>IFERROR(__xludf.DUMMYFUNCTION("GOOGLETRANSLATE(A41680, ""de"", ""en"")"),"junk")</f>
        <v>junk</v>
      </c>
    </row>
    <row r="41681">
      <c r="A41681" s="1" t="s">
        <v>41680</v>
      </c>
      <c r="B41681" s="2" t="str">
        <f>IFERROR(__xludf.DUMMYFUNCTION("GOOGLETRANSLATE(A41681, ""de"", ""en"")"),"auda")</f>
        <v>auda</v>
      </c>
    </row>
    <row r="41682">
      <c r="A41682" s="1" t="s">
        <v>41681</v>
      </c>
      <c r="B41682" s="2" t="str">
        <f>IFERROR(__xludf.DUMMYFUNCTION("GOOGLETRANSLATE(A41682, ""de"", ""en"")"),"dangles")</f>
        <v>dangles</v>
      </c>
    </row>
    <row r="41683">
      <c r="A41683" s="1" t="s">
        <v>41682</v>
      </c>
      <c r="B41683" s="2" t="str">
        <f>IFERROR(__xludf.DUMMYFUNCTION("GOOGLETRANSLATE(A41683, ""de"", ""en"")"),"division")</f>
        <v>division</v>
      </c>
    </row>
    <row r="41684">
      <c r="A41684" s="1" t="s">
        <v>41683</v>
      </c>
      <c r="B41684" s="2" t="str">
        <f>IFERROR(__xludf.DUMMYFUNCTION("GOOGLETRANSLATE(A41684, ""de"", ""en"")"),"Jamaican")</f>
        <v>Jamaican</v>
      </c>
    </row>
    <row r="41685">
      <c r="A41685" s="1" t="s">
        <v>41684</v>
      </c>
      <c r="B41685" s="2" t="str">
        <f>IFERROR(__xludf.DUMMYFUNCTION("GOOGLETRANSLATE(A41685, ""de"", ""en"")"),"lhasa")</f>
        <v>lhasa</v>
      </c>
    </row>
    <row r="41686">
      <c r="A41686" s="1" t="s">
        <v>41685</v>
      </c>
      <c r="B41686" s="2" t="str">
        <f>IFERROR(__xludf.DUMMYFUNCTION("GOOGLETRANSLATE(A41686, ""de"", ""en"")"),"ten year olds")</f>
        <v>ten year olds</v>
      </c>
    </row>
    <row r="41687">
      <c r="A41687" s="1" t="s">
        <v>41686</v>
      </c>
      <c r="B41687" s="2" t="str">
        <f>IFERROR(__xludf.DUMMYFUNCTION("GOOGLETRANSLATE(A41687, ""de"", ""en"")"),"purdy")</f>
        <v>purdy</v>
      </c>
    </row>
    <row r="41688">
      <c r="A41688" s="1" t="s">
        <v>41687</v>
      </c>
      <c r="B41688" s="2" t="str">
        <f>IFERROR(__xludf.DUMMYFUNCTION("GOOGLETRANSLATE(A41688, ""de"", ""en"")"),"water gun")</f>
        <v>water gun</v>
      </c>
    </row>
    <row r="41689">
      <c r="A41689" s="1" t="s">
        <v>41688</v>
      </c>
      <c r="B41689" s="2" t="str">
        <f>IFERROR(__xludf.DUMMYFUNCTION("GOOGLETRANSLATE(A41689, ""de"", ""en"")"),"toy store")</f>
        <v>toy store</v>
      </c>
    </row>
    <row r="41690">
      <c r="A41690" s="1" t="s">
        <v>41689</v>
      </c>
      <c r="B41690" s="2" t="str">
        <f>IFERROR(__xludf.DUMMYFUNCTION("GOOGLETRANSLATE(A41690, ""de"", ""en"")"),"musicians")</f>
        <v>musicians</v>
      </c>
    </row>
    <row r="41691">
      <c r="A41691" s="1" t="s">
        <v>41690</v>
      </c>
      <c r="B41691" s="2" t="str">
        <f>IFERROR(__xludf.DUMMYFUNCTION("GOOGLETRANSLATE(A41691, ""de"", ""en"")"),"oral")</f>
        <v>oral</v>
      </c>
    </row>
    <row r="41692">
      <c r="A41692" s="1" t="s">
        <v>41691</v>
      </c>
      <c r="B41692" s="2" t="str">
        <f>IFERROR(__xludf.DUMMYFUNCTION("GOOGLETRANSLATE(A41692, ""de"", ""en"")"),"superheroine")</f>
        <v>superheroine</v>
      </c>
    </row>
    <row r="41693">
      <c r="A41693" s="1" t="s">
        <v>41692</v>
      </c>
      <c r="B41693" s="2" t="str">
        <f>IFERROR(__xludf.DUMMYFUNCTION("GOOGLETRANSLATE(A41693, ""de"", ""en"")"),"lusty newt")</f>
        <v>lusty newt</v>
      </c>
    </row>
    <row r="41694">
      <c r="A41694" s="1" t="s">
        <v>41693</v>
      </c>
      <c r="B41694" s="2" t="str">
        <f>IFERROR(__xludf.DUMMYFUNCTION("GOOGLETRANSLATE(A41694, ""de"", ""en"")"),"space")</f>
        <v>space</v>
      </c>
    </row>
    <row r="41695">
      <c r="A41695" s="1" t="s">
        <v>41694</v>
      </c>
      <c r="B41695" s="2" t="str">
        <f>IFERROR(__xludf.DUMMYFUNCTION("GOOGLETRANSLATE(A41695, ""de"", ""en"")"),"heeyong")</f>
        <v>heeyong</v>
      </c>
    </row>
    <row r="41696">
      <c r="A41696" s="1" t="s">
        <v>41695</v>
      </c>
      <c r="B41696" s="2" t="str">
        <f>IFERROR(__xludf.DUMMYFUNCTION("GOOGLETRANSLATE(A41696, ""de"", ""en"")"),"majesty")</f>
        <v>majesty</v>
      </c>
    </row>
    <row r="41697">
      <c r="A41697" s="1" t="s">
        <v>41696</v>
      </c>
      <c r="B41697" s="2" t="str">
        <f>IFERROR(__xludf.DUMMYFUNCTION("GOOGLETRANSLATE(A41697, ""de"", ""en"")"),"search for clues")</f>
        <v>search for clues</v>
      </c>
    </row>
    <row r="41698">
      <c r="A41698" s="1" t="s">
        <v>41697</v>
      </c>
      <c r="B41698" s="2" t="str">
        <f>IFERROR(__xludf.DUMMYFUNCTION("GOOGLETRANSLATE(A41698, ""de"", ""en"")"),"temporarily")</f>
        <v>temporarily</v>
      </c>
    </row>
    <row r="41699">
      <c r="A41699" s="1" t="s">
        <v>41698</v>
      </c>
      <c r="B41699" s="2" t="str">
        <f>IFERROR(__xludf.DUMMYFUNCTION("GOOGLETRANSLATE(A41699, ""de"", ""en"")"),"treacherous")</f>
        <v>treacherous</v>
      </c>
    </row>
    <row r="41700">
      <c r="A41700" s="1" t="s">
        <v>41699</v>
      </c>
      <c r="B41700" s="2" t="str">
        <f>IFERROR(__xludf.DUMMYFUNCTION("GOOGLETRANSLATE(A41700, ""de"", ""en"")"),"smithy")</f>
        <v>smithy</v>
      </c>
    </row>
    <row r="41701">
      <c r="A41701" s="1" t="s">
        <v>41700</v>
      </c>
      <c r="B41701" s="2" t="str">
        <f>IFERROR(__xludf.DUMMYFUNCTION("GOOGLETRANSLATE(A41701, ""de"", ""en"")"),"piece of furniture")</f>
        <v>piece of furniture</v>
      </c>
    </row>
    <row r="41702">
      <c r="A41702" s="1" t="s">
        <v>41701</v>
      </c>
      <c r="B41702" s="2" t="str">
        <f>IFERROR(__xludf.DUMMYFUNCTION("GOOGLETRANSLATE(A41702, ""de"", ""en"")"),"disturbed")</f>
        <v>disturbed</v>
      </c>
    </row>
    <row r="41703">
      <c r="A41703" s="1" t="s">
        <v>41702</v>
      </c>
      <c r="B41703" s="2" t="str">
        <f>IFERROR(__xludf.DUMMYFUNCTION("GOOGLETRANSLATE(A41703, ""de"", ""en"")"),"burchell")</f>
        <v>burchell</v>
      </c>
    </row>
    <row r="41704">
      <c r="A41704" s="1" t="s">
        <v>41703</v>
      </c>
      <c r="B41704" s="2" t="str">
        <f>IFERROR(__xludf.DUMMYFUNCTION("GOOGLETRANSLATE(A41704, ""de"", ""en"")"),"shrub")</f>
        <v>shrub</v>
      </c>
    </row>
    <row r="41705">
      <c r="A41705" s="1" t="s">
        <v>41704</v>
      </c>
      <c r="B41705" s="2" t="str">
        <f>IFERROR(__xludf.DUMMYFUNCTION("GOOGLETRANSLATE(A41705, ""de"", ""en"")"),"fruitless")</f>
        <v>fruitless</v>
      </c>
    </row>
    <row r="41706">
      <c r="A41706" s="1" t="s">
        <v>41705</v>
      </c>
      <c r="B41706" s="2" t="str">
        <f>IFERROR(__xludf.DUMMYFUNCTION("GOOGLETRANSLATE(A41706, ""de"", ""en"")"),"sleepy")</f>
        <v>sleepy</v>
      </c>
    </row>
    <row r="41707">
      <c r="A41707" s="1" t="s">
        <v>41706</v>
      </c>
      <c r="B41707" s="2" t="str">
        <f>IFERROR(__xludf.DUMMYFUNCTION("GOOGLETRANSLATE(A41707, ""de"", ""en"")"),"breathtaking")</f>
        <v>breathtaking</v>
      </c>
    </row>
    <row r="41708">
      <c r="A41708" s="1" t="s">
        <v>41707</v>
      </c>
      <c r="B41708" s="2" t="str">
        <f>IFERROR(__xludf.DUMMYFUNCTION("GOOGLETRANSLATE(A41708, ""de"", ""en"")"),"hello")</f>
        <v>hello</v>
      </c>
    </row>
    <row r="41709">
      <c r="A41709" s="1" t="s">
        <v>41708</v>
      </c>
      <c r="B41709" s="2" t="str">
        <f>IFERROR(__xludf.DUMMYFUNCTION("GOOGLETRANSLATE(A41709, ""de"", ""en"")"),"head injuries")</f>
        <v>head injuries</v>
      </c>
    </row>
    <row r="41710">
      <c r="A41710" s="1" t="s">
        <v>41709</v>
      </c>
      <c r="B41710" s="2" t="str">
        <f>IFERROR(__xludf.DUMMYFUNCTION("GOOGLETRANSLATE(A41710, ""de"", ""en"")"),"blacky")</f>
        <v>blacky</v>
      </c>
    </row>
    <row r="41711">
      <c r="A41711" s="1" t="s">
        <v>41710</v>
      </c>
      <c r="B41711" s="2" t="str">
        <f>IFERROR(__xludf.DUMMYFUNCTION("GOOGLETRANSLATE(A41711, ""de"", ""en"")"),"suggests")</f>
        <v>suggests</v>
      </c>
    </row>
    <row r="41712">
      <c r="A41712" s="1" t="s">
        <v>41711</v>
      </c>
      <c r="B41712" s="2" t="str">
        <f>IFERROR(__xludf.DUMMYFUNCTION("GOOGLETRANSLATE(A41712, ""de"", ""en"")"),"clamped")</f>
        <v>clamped</v>
      </c>
    </row>
    <row r="41713">
      <c r="A41713" s="1" t="s">
        <v>41712</v>
      </c>
      <c r="B41713" s="2" t="str">
        <f>IFERROR(__xludf.DUMMYFUNCTION("GOOGLETRANSLATE(A41713, ""de"", ""en"")"),"ciark")</f>
        <v>ciark</v>
      </c>
    </row>
    <row r="41714">
      <c r="A41714" s="1" t="s">
        <v>41713</v>
      </c>
      <c r="B41714" s="2" t="str">
        <f>IFERROR(__xludf.DUMMYFUNCTION("GOOGLETRANSLATE(A41714, ""de"", ""en"")"),"made")</f>
        <v>made</v>
      </c>
    </row>
    <row r="41715">
      <c r="A41715" s="1" t="s">
        <v>41714</v>
      </c>
      <c r="B41715" s="2" t="str">
        <f>IFERROR(__xludf.DUMMYFUNCTION("GOOGLETRANSLATE(A41715, ""de"", ""en"")"),"wildlings")</f>
        <v>wildlings</v>
      </c>
    </row>
    <row r="41716">
      <c r="A41716" s="1" t="s">
        <v>41715</v>
      </c>
      <c r="B41716" s="2" t="str">
        <f>IFERROR(__xludf.DUMMYFUNCTION("GOOGLETRANSLATE(A41716, ""de"", ""en"")"),"thrust force")</f>
        <v>thrust force</v>
      </c>
    </row>
    <row r="41717">
      <c r="A41717" s="1" t="s">
        <v>41716</v>
      </c>
      <c r="B41717" s="2" t="str">
        <f>IFERROR(__xludf.DUMMYFUNCTION("GOOGLETRANSLATE(A41717, ""de"", ""en"")"),"unintentionally")</f>
        <v>unintentionally</v>
      </c>
    </row>
    <row r="41718">
      <c r="A41718" s="1" t="s">
        <v>41717</v>
      </c>
      <c r="B41718" s="2" t="str">
        <f>IFERROR(__xludf.DUMMYFUNCTION("GOOGLETRANSLATE(A41718, ""de"", ""en"")"),"winch")</f>
        <v>winch</v>
      </c>
    </row>
    <row r="41719">
      <c r="A41719" s="1" t="s">
        <v>41718</v>
      </c>
      <c r="B41719" s="2" t="str">
        <f>IFERROR(__xludf.DUMMYFUNCTION("GOOGLETRANSLATE(A41719, ""de"", ""en"")"),"ester")</f>
        <v>ester</v>
      </c>
    </row>
    <row r="41720">
      <c r="A41720" s="1" t="s">
        <v>41719</v>
      </c>
      <c r="B41720" s="2" t="str">
        <f>IFERROR(__xludf.DUMMYFUNCTION("GOOGLETRANSLATE(A41720, ""de"", ""en"")"),"gambling")</f>
        <v>gambling</v>
      </c>
    </row>
    <row r="41721">
      <c r="A41721" s="1" t="s">
        <v>41720</v>
      </c>
      <c r="B41721" s="2" t="str">
        <f>IFERROR(__xludf.DUMMYFUNCTION("GOOGLETRANSLATE(A41721, ""de"", ""en"")"),"Camembert")</f>
        <v>Camembert</v>
      </c>
    </row>
    <row r="41722">
      <c r="A41722" s="1" t="s">
        <v>41721</v>
      </c>
      <c r="B41722" s="2" t="str">
        <f>IFERROR(__xludf.DUMMYFUNCTION("GOOGLETRANSLATE(A41722, ""de"", ""en"")"),"past")</f>
        <v>past</v>
      </c>
    </row>
    <row r="41723">
      <c r="A41723" s="1" t="s">
        <v>41722</v>
      </c>
      <c r="B41723" s="2" t="str">
        <f>IFERROR(__xludf.DUMMYFUNCTION("GOOGLETRANSLATE(A41723, ""de"", ""en"")"),"rolls")</f>
        <v>rolls</v>
      </c>
    </row>
    <row r="41724">
      <c r="A41724" s="1" t="s">
        <v>41723</v>
      </c>
      <c r="B41724" s="2" t="str">
        <f>IFERROR(__xludf.DUMMYFUNCTION("GOOGLETRANSLATE(A41724, ""de"", ""en"")"),"lefebvre")</f>
        <v>lefebvre</v>
      </c>
    </row>
    <row r="41725">
      <c r="A41725" s="1" t="s">
        <v>41724</v>
      </c>
      <c r="B41725" s="2" t="str">
        <f>IFERROR(__xludf.DUMMYFUNCTION("GOOGLETRANSLATE(A41725, ""de"", ""en"")"),"reliability")</f>
        <v>reliability</v>
      </c>
    </row>
    <row r="41726">
      <c r="A41726" s="1" t="s">
        <v>41725</v>
      </c>
      <c r="B41726" s="2" t="str">
        <f>IFERROR(__xludf.DUMMYFUNCTION("GOOGLETRANSLATE(A41726, ""de"", ""en"")"),"produces")</f>
        <v>produces</v>
      </c>
    </row>
    <row r="41727">
      <c r="A41727" s="1" t="s">
        <v>41726</v>
      </c>
      <c r="B41727" s="2" t="str">
        <f>IFERROR(__xludf.DUMMYFUNCTION("GOOGLETRANSLATE(A41727, ""de"", ""en"")"),"caboose")</f>
        <v>caboose</v>
      </c>
    </row>
    <row r="41728">
      <c r="A41728" s="1" t="s">
        <v>41727</v>
      </c>
      <c r="B41728" s="2" t="str">
        <f>IFERROR(__xludf.DUMMYFUNCTION("GOOGLETRANSLATE(A41728, ""de"", ""en"")"),"abnormal")</f>
        <v>abnormal</v>
      </c>
    </row>
    <row r="41729">
      <c r="A41729" s="1" t="s">
        <v>41728</v>
      </c>
      <c r="B41729" s="2" t="str">
        <f>IFERROR(__xludf.DUMMYFUNCTION("GOOGLETRANSLATE(A41729, ""de"", ""en"")"),"survive")</f>
        <v>survive</v>
      </c>
    </row>
    <row r="41730">
      <c r="A41730" s="1" t="s">
        <v>41729</v>
      </c>
      <c r="B41730" s="2" t="str">
        <f>IFERROR(__xludf.DUMMYFUNCTION("GOOGLETRANSLATE(A41730, ""de"", ""en"")"),"Persian")</f>
        <v>Persian</v>
      </c>
    </row>
    <row r="41731">
      <c r="A41731" s="1" t="s">
        <v>41730</v>
      </c>
      <c r="B41731" s="2" t="str">
        <f>IFERROR(__xludf.DUMMYFUNCTION("GOOGLETRANSLATE(A41731, ""de"", ""en"")"),"deflector")</f>
        <v>deflector</v>
      </c>
    </row>
    <row r="41732">
      <c r="A41732" s="1" t="s">
        <v>41731</v>
      </c>
      <c r="B41732" s="2" t="str">
        <f>IFERROR(__xludf.DUMMYFUNCTION("GOOGLETRANSLATE(A41732, ""de"", ""en"")"),"wolfman")</f>
        <v>wolfman</v>
      </c>
    </row>
    <row r="41733">
      <c r="A41733" s="1" t="s">
        <v>41732</v>
      </c>
      <c r="B41733" s="2" t="str">
        <f>IFERROR(__xludf.DUMMYFUNCTION("GOOGLETRANSLATE(A41733, ""de"", ""en"")"),"rager")</f>
        <v>rager</v>
      </c>
    </row>
    <row r="41734">
      <c r="A41734" s="1" t="s">
        <v>41733</v>
      </c>
      <c r="B41734" s="2" t="str">
        <f>IFERROR(__xludf.DUMMYFUNCTION("GOOGLETRANSLATE(A41734, ""de"", ""en"")"),"structure")</f>
        <v>structure</v>
      </c>
    </row>
    <row r="41735">
      <c r="A41735" s="1" t="s">
        <v>41734</v>
      </c>
      <c r="B41735" s="2" t="str">
        <f>IFERROR(__xludf.DUMMYFUNCTION("GOOGLETRANSLATE(A41735, ""de"", ""en"")"),"armored")</f>
        <v>armored</v>
      </c>
    </row>
    <row r="41736">
      <c r="A41736" s="1" t="s">
        <v>41735</v>
      </c>
      <c r="B41736" s="2" t="str">
        <f>IFERROR(__xludf.DUMMYFUNCTION("GOOGLETRANSLATE(A41736, ""de"", ""en"")"),"mafia boss")</f>
        <v>mafia boss</v>
      </c>
    </row>
    <row r="41737">
      <c r="A41737" s="1" t="s">
        <v>41736</v>
      </c>
      <c r="B41737" s="2" t="str">
        <f>IFERROR(__xludf.DUMMYFUNCTION("GOOGLETRANSLATE(A41737, ""de"", ""en"")"),"Dostoyevsky")</f>
        <v>Dostoyevsky</v>
      </c>
    </row>
    <row r="41738">
      <c r="A41738" s="1" t="s">
        <v>41737</v>
      </c>
      <c r="B41738" s="2" t="str">
        <f>IFERROR(__xludf.DUMMYFUNCTION("GOOGLETRANSLATE(A41738, ""de"", ""en"")"),"cherry")</f>
        <v>cherry</v>
      </c>
    </row>
    <row r="41739">
      <c r="A41739" s="1" t="s">
        <v>41738</v>
      </c>
      <c r="B41739" s="2" t="str">
        <f>IFERROR(__xludf.DUMMYFUNCTION("GOOGLETRANSLATE(A41739, ""de"", ""en"")"),"gives in")</f>
        <v>gives in</v>
      </c>
    </row>
    <row r="41740">
      <c r="A41740" s="1" t="s">
        <v>41739</v>
      </c>
      <c r="B41740" s="2" t="str">
        <f>IFERROR(__xludf.DUMMYFUNCTION("GOOGLETRANSLATE(A41740, ""de"", ""en"")"),"dance")</f>
        <v>dance</v>
      </c>
    </row>
    <row r="41741">
      <c r="A41741" s="1" t="s">
        <v>41740</v>
      </c>
      <c r="B41741" s="2" t="str">
        <f>IFERROR(__xludf.DUMMYFUNCTION("GOOGLETRANSLATE(A41741, ""de"", ""en"")"),"stapleton")</f>
        <v>stapleton</v>
      </c>
    </row>
    <row r="41742">
      <c r="A41742" s="1" t="s">
        <v>41741</v>
      </c>
      <c r="B41742" s="2" t="str">
        <f>IFERROR(__xludf.DUMMYFUNCTION("GOOGLETRANSLATE(A41742, ""de"", ""en"")"),"hannas")</f>
        <v>hannas</v>
      </c>
    </row>
    <row r="41743">
      <c r="A41743" s="1" t="s">
        <v>41742</v>
      </c>
      <c r="B41743" s="2" t="str">
        <f>IFERROR(__xludf.DUMMYFUNCTION("GOOGLETRANSLATE(A41743, ""de"", ""en"")"),"porgy")</f>
        <v>porgy</v>
      </c>
    </row>
    <row r="41744">
      <c r="A41744" s="1" t="s">
        <v>41743</v>
      </c>
      <c r="B41744" s="2" t="str">
        <f>IFERROR(__xludf.DUMMYFUNCTION("GOOGLETRANSLATE(A41744, ""de"", ""en"")"),"torrio")</f>
        <v>torrio</v>
      </c>
    </row>
    <row r="41745">
      <c r="A41745" s="1" t="s">
        <v>41744</v>
      </c>
      <c r="B41745" s="2" t="str">
        <f>IFERROR(__xludf.DUMMYFUNCTION("GOOGLETRANSLATE(A41745, ""de"", ""en"")"),"prettiest")</f>
        <v>prettiest</v>
      </c>
    </row>
    <row r="41746">
      <c r="A41746" s="1" t="s">
        <v>41745</v>
      </c>
      <c r="B41746" s="2" t="str">
        <f>IFERROR(__xludf.DUMMYFUNCTION("GOOGLETRANSLATE(A41746, ""de"", ""en"")"),"overwhelmed")</f>
        <v>overwhelmed</v>
      </c>
    </row>
    <row r="41747">
      <c r="A41747" s="1" t="s">
        <v>41746</v>
      </c>
      <c r="B41747" s="2" t="str">
        <f>IFERROR(__xludf.DUMMYFUNCTION("GOOGLETRANSLATE(A41747, ""de"", ""en"")"),"zsa")</f>
        <v>zsa</v>
      </c>
    </row>
    <row r="41748">
      <c r="A41748" s="1" t="s">
        <v>41747</v>
      </c>
      <c r="B41748" s="2" t="str">
        <f>IFERROR(__xludf.DUMMYFUNCTION("GOOGLETRANSLATE(A41748, ""de"", ""en"")"),"orm")</f>
        <v>orm</v>
      </c>
    </row>
    <row r="41749">
      <c r="A41749" s="1" t="s">
        <v>41748</v>
      </c>
      <c r="B41749" s="2" t="str">
        <f>IFERROR(__xludf.DUMMYFUNCTION("GOOGLETRANSLATE(A41749, ""de"", ""en"")"),"keanu")</f>
        <v>keanu</v>
      </c>
    </row>
    <row r="41750">
      <c r="A41750" s="1" t="s">
        <v>41749</v>
      </c>
      <c r="B41750" s="2" t="str">
        <f>IFERROR(__xludf.DUMMYFUNCTION("GOOGLETRANSLATE(A41750, ""de"", ""en"")"),"threw")</f>
        <v>threw</v>
      </c>
    </row>
    <row r="41751">
      <c r="A41751" s="1" t="s">
        <v>41750</v>
      </c>
      <c r="B41751" s="2" t="str">
        <f>IFERROR(__xludf.DUMMYFUNCTION("GOOGLETRANSLATE(A41751, ""de"", ""en"")"),"Friday night")</f>
        <v>Friday night</v>
      </c>
    </row>
    <row r="41752">
      <c r="A41752" s="1" t="s">
        <v>41751</v>
      </c>
      <c r="B41752" s="2" t="str">
        <f>IFERROR(__xludf.DUMMYFUNCTION("GOOGLETRANSLATE(A41752, ""de"", ""en"")"),"child abuse")</f>
        <v>child abuse</v>
      </c>
    </row>
    <row r="41753">
      <c r="A41753" s="1" t="s">
        <v>41752</v>
      </c>
      <c r="B41753" s="2" t="str">
        <f>IFERROR(__xludf.DUMMYFUNCTION("GOOGLETRANSLATE(A41753, ""de"", ""en"")"),"ovulation")</f>
        <v>ovulation</v>
      </c>
    </row>
    <row r="41754">
      <c r="A41754" s="1" t="s">
        <v>41753</v>
      </c>
      <c r="B41754" s="2" t="str">
        <f>IFERROR(__xludf.DUMMYFUNCTION("GOOGLETRANSLATE(A41754, ""de"", ""en"")"),"reluctant")</f>
        <v>reluctant</v>
      </c>
    </row>
    <row r="41755">
      <c r="A41755" s="1" t="s">
        <v>41754</v>
      </c>
      <c r="B41755" s="2" t="str">
        <f>IFERROR(__xludf.DUMMYFUNCTION("GOOGLETRANSLATE(A41755, ""de"", ""en"")"),"sat")</f>
        <v>sat</v>
      </c>
    </row>
    <row r="41756">
      <c r="A41756" s="1" t="s">
        <v>41755</v>
      </c>
      <c r="B41756" s="2" t="str">
        <f>IFERROR(__xludf.DUMMYFUNCTION("GOOGLETRANSLATE(A41756, ""de"", ""en"")"),"accumulated")</f>
        <v>accumulated</v>
      </c>
    </row>
    <row r="41757">
      <c r="A41757" s="1" t="s">
        <v>41756</v>
      </c>
      <c r="B41757" s="2" t="str">
        <f>IFERROR(__xludf.DUMMYFUNCTION("GOOGLETRANSLATE(A41757, ""de"", ""en"")"),"kovar")</f>
        <v>kovar</v>
      </c>
    </row>
    <row r="41758">
      <c r="A41758" s="1" t="s">
        <v>41757</v>
      </c>
      <c r="B41758" s="2" t="str">
        <f>IFERROR(__xludf.DUMMYFUNCTION("GOOGLETRANSLATE(A41758, ""de"", ""en"")"),"straighter")</f>
        <v>straighter</v>
      </c>
    </row>
    <row r="41759">
      <c r="A41759" s="1" t="s">
        <v>41758</v>
      </c>
      <c r="B41759" s="2" t="str">
        <f>IFERROR(__xludf.DUMMYFUNCTION("GOOGLETRANSLATE(A41759, ""de"", ""en"")"),"opponent")</f>
        <v>opponent</v>
      </c>
    </row>
    <row r="41760">
      <c r="A41760" s="1" t="s">
        <v>41759</v>
      </c>
      <c r="B41760" s="2" t="str">
        <f>IFERROR(__xludf.DUMMYFUNCTION("GOOGLETRANSLATE(A41760, ""de"", ""en"")"),"zuru")</f>
        <v>zuru</v>
      </c>
    </row>
    <row r="41761">
      <c r="A41761" s="1" t="s">
        <v>41760</v>
      </c>
      <c r="B41761" s="2" t="str">
        <f>IFERROR(__xludf.DUMMYFUNCTION("GOOGLETRANSLATE(A41761, ""de"", ""en"")"),"universe")</f>
        <v>universe</v>
      </c>
    </row>
    <row r="41762">
      <c r="A41762" s="1" t="s">
        <v>41761</v>
      </c>
      <c r="B41762" s="2" t="str">
        <f>IFERROR(__xludf.DUMMYFUNCTION("GOOGLETRANSLATE(A41762, ""de"", ""en"")"),"adjustments")</f>
        <v>adjustments</v>
      </c>
    </row>
    <row r="41763">
      <c r="A41763" s="1" t="s">
        <v>41762</v>
      </c>
      <c r="B41763" s="2" t="str">
        <f>IFERROR(__xludf.DUMMYFUNCTION("GOOGLETRANSLATE(A41763, ""de"", ""en"")"),"complain")</f>
        <v>complain</v>
      </c>
    </row>
    <row r="41764">
      <c r="A41764" s="1" t="s">
        <v>41763</v>
      </c>
      <c r="B41764" s="2" t="str">
        <f>IFERROR(__xludf.DUMMYFUNCTION("GOOGLETRANSLATE(A41764, ""de"", ""en"")"),"Indian")</f>
        <v>Indian</v>
      </c>
    </row>
    <row r="41765">
      <c r="A41765" s="1" t="s">
        <v>41764</v>
      </c>
      <c r="B41765" s="2" t="str">
        <f>IFERROR(__xludf.DUMMYFUNCTION("GOOGLETRANSLATE(A41765, ""de"", ""en"")"),"headmistress")</f>
        <v>headmistress</v>
      </c>
    </row>
    <row r="41766">
      <c r="A41766" s="1" t="s">
        <v>41765</v>
      </c>
      <c r="B41766" s="2" t="str">
        <f>IFERROR(__xludf.DUMMYFUNCTION("GOOGLETRANSLATE(A41766, ""de"", ""en"")"),"to catch")</f>
        <v>to catch</v>
      </c>
    </row>
    <row r="41767">
      <c r="A41767" s="1" t="s">
        <v>41766</v>
      </c>
      <c r="B41767" s="2" t="str">
        <f>IFERROR(__xludf.DUMMYFUNCTION("GOOGLETRANSLATE(A41767, ""de"", ""en"")"),"denounce")</f>
        <v>denounce</v>
      </c>
    </row>
    <row r="41768">
      <c r="A41768" s="1" t="s">
        <v>41767</v>
      </c>
      <c r="B41768" s="2" t="str">
        <f>IFERROR(__xludf.DUMMYFUNCTION("GOOGLETRANSLATE(A41768, ""de"", ""en"")"),"tweak")</f>
        <v>tweak</v>
      </c>
    </row>
    <row r="41769">
      <c r="A41769" s="1" t="s">
        <v>41768</v>
      </c>
      <c r="B41769" s="2" t="str">
        <f>IFERROR(__xludf.DUMMYFUNCTION("GOOGLETRANSLATE(A41769, ""de"", ""en"")"),"stab")</f>
        <v>stab</v>
      </c>
    </row>
    <row r="41770">
      <c r="A41770" s="1" t="s">
        <v>41769</v>
      </c>
      <c r="B41770" s="2" t="str">
        <f>IFERROR(__xludf.DUMMYFUNCTION("GOOGLETRANSLATE(A41770, ""de"", ""en"")"),"northeast")</f>
        <v>northeast</v>
      </c>
    </row>
    <row r="41771">
      <c r="A41771" s="1" t="s">
        <v>41770</v>
      </c>
      <c r="B41771" s="2" t="str">
        <f>IFERROR(__xludf.DUMMYFUNCTION("GOOGLETRANSLATE(A41771, ""de"", ""en"")"),"mes")</f>
        <v>mes</v>
      </c>
    </row>
    <row r="41772">
      <c r="A41772" s="1" t="s">
        <v>41771</v>
      </c>
      <c r="B41772" s="2" t="str">
        <f>IFERROR(__xludf.DUMMYFUNCTION("GOOGLETRANSLATE(A41772, ""de"", ""en"")"),"campos")</f>
        <v>campos</v>
      </c>
    </row>
    <row r="41773">
      <c r="A41773" s="1" t="s">
        <v>41772</v>
      </c>
      <c r="B41773" s="2" t="str">
        <f>IFERROR(__xludf.DUMMYFUNCTION("GOOGLETRANSLATE(A41773, ""de"", ""en"")"),"dirty pigs")</f>
        <v>dirty pigs</v>
      </c>
    </row>
    <row r="41774">
      <c r="A41774" s="1" t="s">
        <v>41773</v>
      </c>
      <c r="B41774" s="2" t="str">
        <f>IFERROR(__xludf.DUMMYFUNCTION("GOOGLETRANSLATE(A41774, ""de"", ""en"")"),"shit")</f>
        <v>shit</v>
      </c>
    </row>
    <row r="41775">
      <c r="A41775" s="1" t="s">
        <v>41774</v>
      </c>
      <c r="B41775" s="2" t="str">
        <f>IFERROR(__xludf.DUMMYFUNCTION("GOOGLETRANSLATE(A41775, ""de"", ""en"")"),"wataru")</f>
        <v>wataru</v>
      </c>
    </row>
    <row r="41776">
      <c r="A41776" s="1" t="s">
        <v>41775</v>
      </c>
      <c r="B41776" s="2" t="str">
        <f>IFERROR(__xludf.DUMMYFUNCTION("GOOGLETRANSLATE(A41776, ""de"", ""en"")"),"job interviews")</f>
        <v>job interviews</v>
      </c>
    </row>
    <row r="41777">
      <c r="A41777" s="1" t="s">
        <v>41776</v>
      </c>
      <c r="B41777" s="2" t="str">
        <f>IFERROR(__xludf.DUMMYFUNCTION("GOOGLETRANSLATE(A41777, ""de"", ""en"")"),"inattentive")</f>
        <v>inattentive</v>
      </c>
    </row>
    <row r="41778">
      <c r="A41778" s="1" t="s">
        <v>41777</v>
      </c>
      <c r="B41778" s="2" t="str">
        <f>IFERROR(__xludf.DUMMYFUNCTION("GOOGLETRANSLATE(A41778, ""de"", ""en"")"),"slack")</f>
        <v>slack</v>
      </c>
    </row>
    <row r="41779">
      <c r="A41779" s="1" t="s">
        <v>41778</v>
      </c>
      <c r="B41779" s="2" t="str">
        <f>IFERROR(__xludf.DUMMYFUNCTION("GOOGLETRANSLATE(A41779, ""de"", ""en"")"),"cardiologist")</f>
        <v>cardiologist</v>
      </c>
    </row>
    <row r="41780">
      <c r="A41780" s="1" t="s">
        <v>41779</v>
      </c>
      <c r="B41780" s="2" t="str">
        <f>IFERROR(__xludf.DUMMYFUNCTION("GOOGLETRANSLATE(A41780, ""de"", ""en"")"),"blogs")</f>
        <v>blogs</v>
      </c>
    </row>
    <row r="41781">
      <c r="A41781" s="1" t="s">
        <v>41780</v>
      </c>
      <c r="B41781" s="2" t="str">
        <f>IFERROR(__xludf.DUMMYFUNCTION("GOOGLETRANSLATE(A41781, ""de"", ""en"")"),"pre-programmed")</f>
        <v>pre-programmed</v>
      </c>
    </row>
    <row r="41782">
      <c r="A41782" s="1" t="s">
        <v>41781</v>
      </c>
      <c r="B41782" s="2" t="str">
        <f>IFERROR(__xludf.DUMMYFUNCTION("GOOGLETRANSLATE(A41782, ""de"", ""en"")"),"middle class")</f>
        <v>middle class</v>
      </c>
    </row>
    <row r="41783">
      <c r="A41783" s="1" t="s">
        <v>41782</v>
      </c>
      <c r="B41783" s="2" t="str">
        <f>IFERROR(__xludf.DUMMYFUNCTION("GOOGLETRANSLATE(A41783, ""de"", ""en"")"),"forest fire")</f>
        <v>forest fire</v>
      </c>
    </row>
    <row r="41784">
      <c r="A41784" s="1" t="s">
        <v>41783</v>
      </c>
      <c r="B41784" s="2" t="str">
        <f>IFERROR(__xludf.DUMMYFUNCTION("GOOGLETRANSLATE(A41784, ""de"", ""en"")"),"Iraqi")</f>
        <v>Iraqi</v>
      </c>
    </row>
    <row r="41785">
      <c r="A41785" s="1" t="s">
        <v>41784</v>
      </c>
      <c r="B41785" s="2" t="str">
        <f>IFERROR(__xludf.DUMMYFUNCTION("GOOGLETRANSLATE(A41785, ""de"", ""en"")"),"robocop")</f>
        <v>robocop</v>
      </c>
    </row>
    <row r="41786">
      <c r="A41786" s="1" t="s">
        <v>41785</v>
      </c>
      <c r="B41786" s="2" t="str">
        <f>IFERROR(__xludf.DUMMYFUNCTION("GOOGLETRANSLATE(A41786, ""de"", ""en"")"),"donates")</f>
        <v>donates</v>
      </c>
    </row>
    <row r="41787">
      <c r="A41787" s="1" t="s">
        <v>41786</v>
      </c>
      <c r="B41787" s="2" t="str">
        <f>IFERROR(__xludf.DUMMYFUNCTION("GOOGLETRANSLATE(A41787, ""de"", ""en"")"),"rusts")</f>
        <v>rusts</v>
      </c>
    </row>
    <row r="41788">
      <c r="A41788" s="1" t="s">
        <v>41787</v>
      </c>
      <c r="B41788" s="2" t="str">
        <f>IFERROR(__xludf.DUMMYFUNCTION("GOOGLETRANSLATE(A41788, ""de"", ""en"")"),"more ruthless")</f>
        <v>more ruthless</v>
      </c>
    </row>
    <row r="41789">
      <c r="A41789" s="1" t="s">
        <v>41788</v>
      </c>
      <c r="B41789" s="2" t="str">
        <f>IFERROR(__xludf.DUMMYFUNCTION("GOOGLETRANSLATE(A41789, ""de"", ""en"")"),"praline")</f>
        <v>praline</v>
      </c>
    </row>
    <row r="41790">
      <c r="A41790" s="1" t="s">
        <v>41789</v>
      </c>
      <c r="B41790" s="2" t="str">
        <f>IFERROR(__xludf.DUMMYFUNCTION("GOOGLETRANSLATE(A41790, ""de"", ""en"")"),"sloppiness")</f>
        <v>sloppiness</v>
      </c>
    </row>
    <row r="41791">
      <c r="A41791" s="1" t="s">
        <v>41790</v>
      </c>
      <c r="B41791" s="2" t="str">
        <f>IFERROR(__xludf.DUMMYFUNCTION("GOOGLETRANSLATE(A41791, ""de"", ""en"")"),"lada")</f>
        <v>lada</v>
      </c>
    </row>
    <row r="41792">
      <c r="A41792" s="1" t="s">
        <v>41791</v>
      </c>
      <c r="B41792" s="2" t="str">
        <f>IFERROR(__xludf.DUMMYFUNCTION("GOOGLETRANSLATE(A41792, ""de"", ""en"")"),"networked")</f>
        <v>networked</v>
      </c>
    </row>
    <row r="41793">
      <c r="A41793" s="1" t="s">
        <v>41792</v>
      </c>
      <c r="B41793" s="2" t="str">
        <f>IFERROR(__xludf.DUMMYFUNCTION("GOOGLETRANSLATE(A41793, ""de"", ""en"")"),"rinse off")</f>
        <v>rinse off</v>
      </c>
    </row>
    <row r="41794">
      <c r="A41794" s="1" t="s">
        <v>41793</v>
      </c>
      <c r="B41794" s="2" t="str">
        <f>IFERROR(__xludf.DUMMYFUNCTION("GOOGLETRANSLATE(A41794, ""de"", ""en"")"),"martel")</f>
        <v>martel</v>
      </c>
    </row>
    <row r="41795">
      <c r="A41795" s="1" t="s">
        <v>41794</v>
      </c>
      <c r="B41795" s="2" t="str">
        <f>IFERROR(__xludf.DUMMYFUNCTION("GOOGLETRANSLATE(A41795, ""de"", ""en"")"),"rios")</f>
        <v>rios</v>
      </c>
    </row>
    <row r="41796">
      <c r="A41796" s="1" t="s">
        <v>41795</v>
      </c>
      <c r="B41796" s="2" t="str">
        <f>IFERROR(__xludf.DUMMYFUNCTION("GOOGLETRANSLATE(A41796, ""de"", ""en"")"),"published")</f>
        <v>published</v>
      </c>
    </row>
    <row r="41797">
      <c r="A41797" s="1" t="s">
        <v>41796</v>
      </c>
      <c r="B41797" s="2" t="str">
        <f>IFERROR(__xludf.DUMMYFUNCTION("GOOGLETRANSLATE(A41797, ""de"", ""en"")"),"washed clean")</f>
        <v>washed clean</v>
      </c>
    </row>
    <row r="41798">
      <c r="A41798" s="1" t="s">
        <v>41797</v>
      </c>
      <c r="B41798" s="2" t="str">
        <f>IFERROR(__xludf.DUMMYFUNCTION("GOOGLETRANSLATE(A41798, ""de"", ""en"")"),"luann")</f>
        <v>luann</v>
      </c>
    </row>
    <row r="41799">
      <c r="A41799" s="1" t="s">
        <v>41798</v>
      </c>
      <c r="B41799" s="2" t="str">
        <f>IFERROR(__xludf.DUMMYFUNCTION("GOOGLETRANSLATE(A41799, ""de"", ""en"")"),"itchy")</f>
        <v>itchy</v>
      </c>
    </row>
    <row r="41800">
      <c r="A41800" s="1" t="s">
        <v>41799</v>
      </c>
      <c r="B41800" s="2" t="str">
        <f>IFERROR(__xludf.DUMMYFUNCTION("GOOGLETRANSLATE(A41800, ""de"", ""en"")"),"nameless")</f>
        <v>nameless</v>
      </c>
    </row>
    <row r="41801">
      <c r="A41801" s="1" t="s">
        <v>41800</v>
      </c>
      <c r="B41801" s="2" t="str">
        <f>IFERROR(__xludf.DUMMYFUNCTION("GOOGLETRANSLATE(A41801, ""de"", ""en"")"),"drakes")</f>
        <v>drakes</v>
      </c>
    </row>
    <row r="41802">
      <c r="A41802" s="1" t="s">
        <v>41801</v>
      </c>
      <c r="B41802" s="2" t="str">
        <f>IFERROR(__xludf.DUMMYFUNCTION("GOOGLETRANSLATE(A41802, ""de"", ""en"")"),"love affairs")</f>
        <v>love affairs</v>
      </c>
    </row>
    <row r="41803">
      <c r="A41803" s="1" t="s">
        <v>41802</v>
      </c>
      <c r="B41803" s="2" t="str">
        <f>IFERROR(__xludf.DUMMYFUNCTION("GOOGLETRANSLATE(A41803, ""de"", ""en"")"),"ignorant")</f>
        <v>ignorant</v>
      </c>
    </row>
    <row r="41804">
      <c r="A41804" s="1" t="s">
        <v>41803</v>
      </c>
      <c r="B41804" s="2" t="str">
        <f>IFERROR(__xludf.DUMMYFUNCTION("GOOGLETRANSLATE(A41804, ""de"", ""en"")"),"gramophone")</f>
        <v>gramophone</v>
      </c>
    </row>
    <row r="41805">
      <c r="A41805" s="1" t="s">
        <v>41804</v>
      </c>
      <c r="B41805" s="2" t="str">
        <f>IFERROR(__xludf.DUMMYFUNCTION("GOOGLETRANSLATE(A41805, ""de"", ""en"")"),"amadeus")</f>
        <v>amadeus</v>
      </c>
    </row>
    <row r="41806">
      <c r="A41806" s="1" t="s">
        <v>41805</v>
      </c>
      <c r="B41806" s="2" t="str">
        <f>IFERROR(__xludf.DUMMYFUNCTION("GOOGLETRANSLATE(A41806, ""de"", ""en"")"),"blocked")</f>
        <v>blocked</v>
      </c>
    </row>
    <row r="41807">
      <c r="A41807" s="1" t="s">
        <v>41806</v>
      </c>
      <c r="B41807" s="2" t="str">
        <f>IFERROR(__xludf.DUMMYFUNCTION("GOOGLETRANSLATE(A41807, ""de"", ""en"")"),"terrorist attacks")</f>
        <v>terrorist attacks</v>
      </c>
    </row>
    <row r="41808">
      <c r="A41808" s="1" t="s">
        <v>41807</v>
      </c>
      <c r="B41808" s="2" t="str">
        <f>IFERROR(__xludf.DUMMYFUNCTION("GOOGLETRANSLATE(A41808, ""de"", ""en"")"),"fined")</f>
        <v>fined</v>
      </c>
    </row>
    <row r="41809">
      <c r="A41809" s="1" t="s">
        <v>41808</v>
      </c>
      <c r="B41809" s="2" t="str">
        <f>IFERROR(__xludf.DUMMYFUNCTION("GOOGLETRANSLATE(A41809, ""de"", ""en"")"),"x5")</f>
        <v>x5</v>
      </c>
    </row>
    <row r="41810">
      <c r="A41810" s="1" t="s">
        <v>41809</v>
      </c>
      <c r="B41810" s="2" t="str">
        <f>IFERROR(__xludf.DUMMYFUNCTION("GOOGLETRANSLATE(A41810, ""de"", ""en"")"),"sec")</f>
        <v>sec</v>
      </c>
    </row>
    <row r="41811">
      <c r="A41811" s="1" t="s">
        <v>41810</v>
      </c>
      <c r="B41811" s="2" t="str">
        <f>IFERROR(__xludf.DUMMYFUNCTION("GOOGLETRANSLATE(A41811, ""de"", ""en"")"),"mint")</f>
        <v>mint</v>
      </c>
    </row>
    <row r="41812">
      <c r="A41812" s="1" t="s">
        <v>41811</v>
      </c>
      <c r="B41812" s="2" t="str">
        <f>IFERROR(__xludf.DUMMYFUNCTION("GOOGLETRANSLATE(A41812, ""de"", ""en"")"),"Warlow")</f>
        <v>Warlow</v>
      </c>
    </row>
    <row r="41813">
      <c r="A41813" s="1" t="s">
        <v>41812</v>
      </c>
      <c r="B41813" s="2" t="str">
        <f>IFERROR(__xludf.DUMMYFUNCTION("GOOGLETRANSLATE(A41813, ""de"", ""en"")"),"zoran")</f>
        <v>zoran</v>
      </c>
    </row>
    <row r="41814">
      <c r="A41814" s="1" t="s">
        <v>41813</v>
      </c>
      <c r="B41814" s="2" t="str">
        <f>IFERROR(__xludf.DUMMYFUNCTION("GOOGLETRANSLATE(A41814, ""de"", ""en"")"),"ruled")</f>
        <v>ruled</v>
      </c>
    </row>
    <row r="41815">
      <c r="A41815" s="1" t="s">
        <v>41814</v>
      </c>
      <c r="B41815" s="2" t="str">
        <f>IFERROR(__xludf.DUMMYFUNCTION("GOOGLETRANSLATE(A41815, ""de"", ""en"")"),"seas")</f>
        <v>seas</v>
      </c>
    </row>
    <row r="41816">
      <c r="A41816" s="1" t="s">
        <v>41815</v>
      </c>
      <c r="B41816" s="2" t="str">
        <f>IFERROR(__xludf.DUMMYFUNCTION("GOOGLETRANSLATE(A41816, ""de"", ""en"")"),"timbuktu")</f>
        <v>timbuktu</v>
      </c>
    </row>
    <row r="41817">
      <c r="A41817" s="1" t="s">
        <v>41816</v>
      </c>
      <c r="B41817" s="2" t="str">
        <f>IFERROR(__xludf.DUMMYFUNCTION("GOOGLETRANSLATE(A41817, ""de"", ""en"")"),"edgware")</f>
        <v>edgware</v>
      </c>
    </row>
    <row r="41818">
      <c r="A41818" s="1" t="s">
        <v>41817</v>
      </c>
      <c r="B41818" s="2" t="str">
        <f>IFERROR(__xludf.DUMMYFUNCTION("GOOGLETRANSLATE(A41818, ""de"", ""en"")"),"piotr")</f>
        <v>piotr</v>
      </c>
    </row>
    <row r="41819">
      <c r="A41819" s="1" t="s">
        <v>41818</v>
      </c>
      <c r="B41819" s="2" t="str">
        <f>IFERROR(__xludf.DUMMYFUNCTION("GOOGLETRANSLATE(A41819, ""de"", ""en"")"),"handed down")</f>
        <v>handed down</v>
      </c>
    </row>
    <row r="41820">
      <c r="A41820" s="1" t="s">
        <v>41819</v>
      </c>
      <c r="B41820" s="2" t="str">
        <f>IFERROR(__xludf.DUMMYFUNCTION("GOOGLETRANSLATE(A41820, ""de"", ""en"")"),"Vietnamese Cong")</f>
        <v>Vietnamese Cong</v>
      </c>
    </row>
    <row r="41821">
      <c r="A41821" s="1" t="s">
        <v>41820</v>
      </c>
      <c r="B41821" s="2" t="str">
        <f>IFERROR(__xludf.DUMMYFUNCTION("GOOGLETRANSLATE(A41821, ""de"", ""en"")"),"break away")</f>
        <v>break away</v>
      </c>
    </row>
    <row r="41822">
      <c r="A41822" s="1" t="s">
        <v>41821</v>
      </c>
      <c r="B41822" s="2" t="str">
        <f>IFERROR(__xludf.DUMMYFUNCTION("GOOGLETRANSLATE(A41822, ""de"", ""en"")"),"slaves")</f>
        <v>slaves</v>
      </c>
    </row>
    <row r="41823">
      <c r="A41823" s="1" t="s">
        <v>41822</v>
      </c>
      <c r="B41823" s="2" t="str">
        <f>IFERROR(__xludf.DUMMYFUNCTION("GOOGLETRANSLATE(A41823, ""de"", ""en"")"),"property")</f>
        <v>property</v>
      </c>
    </row>
    <row r="41824">
      <c r="A41824" s="1" t="s">
        <v>41823</v>
      </c>
      <c r="B41824" s="2" t="str">
        <f>IFERROR(__xludf.DUMMYFUNCTION("GOOGLETRANSLATE(A41824, ""de"", ""en"")"),"macs")</f>
        <v>macs</v>
      </c>
    </row>
    <row r="41825">
      <c r="A41825" s="1" t="s">
        <v>41824</v>
      </c>
      <c r="B41825" s="2" t="str">
        <f>IFERROR(__xludf.DUMMYFUNCTION("GOOGLETRANSLATE(A41825, ""de"", ""en"")"),"round")</f>
        <v>round</v>
      </c>
    </row>
    <row r="41826">
      <c r="A41826" s="1" t="s">
        <v>41825</v>
      </c>
      <c r="B41826" s="2" t="str">
        <f>IFERROR(__xludf.DUMMYFUNCTION("GOOGLETRANSLATE(A41826, ""de"", ""en"")"),"Barrymore")</f>
        <v>Barrymore</v>
      </c>
    </row>
    <row r="41827">
      <c r="A41827" s="1" t="s">
        <v>41826</v>
      </c>
      <c r="B41827" s="2" t="str">
        <f>IFERROR(__xludf.DUMMYFUNCTION("GOOGLETRANSLATE(A41827, ""de"", ""en"")"),"flares")</f>
        <v>flares</v>
      </c>
    </row>
    <row r="41828">
      <c r="A41828" s="1" t="s">
        <v>41827</v>
      </c>
      <c r="B41828" s="2" t="str">
        <f>IFERROR(__xludf.DUMMYFUNCTION("GOOGLETRANSLATE(A41828, ""de"", ""en"")"),"smoke")</f>
        <v>smoke</v>
      </c>
    </row>
    <row r="41829">
      <c r="A41829" s="1" t="s">
        <v>41828</v>
      </c>
      <c r="B41829" s="2" t="str">
        <f>IFERROR(__xludf.DUMMYFUNCTION("GOOGLETRANSLATE(A41829, ""de"", ""en"")"),"table")</f>
        <v>table</v>
      </c>
    </row>
    <row r="41830">
      <c r="A41830" s="1" t="s">
        <v>41829</v>
      </c>
      <c r="B41830" s="2" t="str">
        <f>IFERROR(__xludf.DUMMYFUNCTION("GOOGLETRANSLATE(A41830, ""de"", ""en"")"),"instruct")</f>
        <v>instruct</v>
      </c>
    </row>
    <row r="41831">
      <c r="A41831" s="1" t="s">
        <v>41830</v>
      </c>
      <c r="B41831" s="2" t="str">
        <f>IFERROR(__xludf.DUMMYFUNCTION("GOOGLETRANSLATE(A41831, ""de"", ""en"")"),"ziegler")</f>
        <v>ziegler</v>
      </c>
    </row>
    <row r="41832">
      <c r="A41832" s="1" t="s">
        <v>41831</v>
      </c>
      <c r="B41832" s="2" t="str">
        <f>IFERROR(__xludf.DUMMYFUNCTION("GOOGLETRANSLATE(A41832, ""de"", ""en"")"),"post it")</f>
        <v>post it</v>
      </c>
    </row>
    <row r="41833">
      <c r="A41833" s="1" t="s">
        <v>41832</v>
      </c>
      <c r="B41833" s="2" t="str">
        <f>IFERROR(__xludf.DUMMYFUNCTION("GOOGLETRANSLATE(A41833, ""de"", ""en"")"),"m5")</f>
        <v>m5</v>
      </c>
    </row>
    <row r="41834">
      <c r="A41834" s="1" t="s">
        <v>41833</v>
      </c>
      <c r="B41834" s="2" t="str">
        <f>IFERROR(__xludf.DUMMYFUNCTION("GOOGLETRANSLATE(A41834, ""de"", ""en"")"),"graze")</f>
        <v>graze</v>
      </c>
    </row>
    <row r="41835">
      <c r="A41835" s="1" t="s">
        <v>41834</v>
      </c>
      <c r="B41835" s="2" t="str">
        <f>IFERROR(__xludf.DUMMYFUNCTION("GOOGLETRANSLATE(A41835, ""de"", ""en"")"),"odd")</f>
        <v>odd</v>
      </c>
    </row>
    <row r="41836">
      <c r="A41836" s="1" t="s">
        <v>41835</v>
      </c>
      <c r="B41836" s="2" t="str">
        <f>IFERROR(__xludf.DUMMYFUNCTION("GOOGLETRANSLATE(A41836, ""de"", ""en"")"),"crashed")</f>
        <v>crashed</v>
      </c>
    </row>
    <row r="41837">
      <c r="A41837" s="1" t="s">
        <v>41836</v>
      </c>
      <c r="B41837" s="2" t="str">
        <f>IFERROR(__xludf.DUMMYFUNCTION("GOOGLETRANSLATE(A41837, ""de"", ""en"")"),"edition")</f>
        <v>edition</v>
      </c>
    </row>
    <row r="41838">
      <c r="A41838" s="1" t="s">
        <v>41837</v>
      </c>
      <c r="B41838" s="2" t="str">
        <f>IFERROR(__xludf.DUMMYFUNCTION("GOOGLETRANSLATE(A41838, ""de"", ""en"")"),"stunted")</f>
        <v>stunted</v>
      </c>
    </row>
    <row r="41839">
      <c r="A41839" s="1" t="s">
        <v>41838</v>
      </c>
      <c r="B41839" s="2" t="str">
        <f>IFERROR(__xludf.DUMMYFUNCTION("GOOGLETRANSLATE(A41839, ""de"", ""en"")"),"French")</f>
        <v>French</v>
      </c>
    </row>
    <row r="41840">
      <c r="A41840" s="1" t="s">
        <v>41839</v>
      </c>
      <c r="B41840" s="2" t="str">
        <f>IFERROR(__xludf.DUMMYFUNCTION("GOOGLETRANSLATE(A41840, ""de"", ""en"")"),"consultations")</f>
        <v>consultations</v>
      </c>
    </row>
    <row r="41841">
      <c r="A41841" s="1" t="s">
        <v>41840</v>
      </c>
      <c r="B41841" s="2" t="str">
        <f>IFERROR(__xludf.DUMMYFUNCTION("GOOGLETRANSLATE(A41841, ""de"", ""en"")"),"Muldoon")</f>
        <v>Muldoon</v>
      </c>
    </row>
    <row r="41842">
      <c r="A41842" s="1" t="s">
        <v>41841</v>
      </c>
      <c r="B41842" s="2" t="str">
        <f>IFERROR(__xludf.DUMMYFUNCTION("GOOGLETRANSLATE(A41842, ""de"", ""en"")"),"pampered")</f>
        <v>pampered</v>
      </c>
    </row>
    <row r="41843">
      <c r="A41843" s="1" t="s">
        <v>41842</v>
      </c>
      <c r="B41843" s="2" t="str">
        <f>IFERROR(__xludf.DUMMYFUNCTION("GOOGLETRANSLATE(A41843, ""de"", ""en"")"),"goines")</f>
        <v>goines</v>
      </c>
    </row>
    <row r="41844">
      <c r="A41844" s="1" t="s">
        <v>41843</v>
      </c>
      <c r="B41844" s="2" t="str">
        <f>IFERROR(__xludf.DUMMYFUNCTION("GOOGLETRANSLATE(A41844, ""de"", ""en"")"),"sufficient")</f>
        <v>sufficient</v>
      </c>
    </row>
    <row r="41845">
      <c r="A41845" s="1" t="s">
        <v>41844</v>
      </c>
      <c r="B41845" s="2" t="str">
        <f>IFERROR(__xludf.DUMMYFUNCTION("GOOGLETRANSLATE(A41845, ""de"", ""en"")"),"gallery")</f>
        <v>gallery</v>
      </c>
    </row>
    <row r="41846">
      <c r="A41846" s="1" t="s">
        <v>41845</v>
      </c>
      <c r="B41846" s="2" t="str">
        <f>IFERROR(__xludf.DUMMYFUNCTION("GOOGLETRANSLATE(A41846, ""de"", ""en"")"),"spe")</f>
        <v>spe</v>
      </c>
    </row>
    <row r="41847">
      <c r="A41847" s="1" t="s">
        <v>41846</v>
      </c>
      <c r="B41847" s="2" t="str">
        <f>IFERROR(__xludf.DUMMYFUNCTION("GOOGLETRANSLATE(A41847, ""de"", ""en"")"),"requirement")</f>
        <v>requirement</v>
      </c>
    </row>
    <row r="41848">
      <c r="A41848" s="1" t="s">
        <v>41847</v>
      </c>
      <c r="B41848" s="2" t="str">
        <f>IFERROR(__xludf.DUMMYFUNCTION("GOOGLETRANSLATE(A41848, ""de"", ""en"")"),"radio signal")</f>
        <v>radio signal</v>
      </c>
    </row>
    <row r="41849">
      <c r="A41849" s="1" t="s">
        <v>41848</v>
      </c>
      <c r="B41849" s="2" t="str">
        <f>IFERROR(__xludf.DUMMYFUNCTION("GOOGLETRANSLATE(A41849, ""de"", ""en"")"),"kaida")</f>
        <v>kaida</v>
      </c>
    </row>
    <row r="41850">
      <c r="A41850" s="1" t="s">
        <v>41849</v>
      </c>
      <c r="B41850" s="2" t="str">
        <f>IFERROR(__xludf.DUMMYFUNCTION("GOOGLETRANSLATE(A41850, ""de"", ""en"")"),"inflated")</f>
        <v>inflated</v>
      </c>
    </row>
    <row r="41851">
      <c r="A41851" s="1" t="s">
        <v>41850</v>
      </c>
      <c r="B41851" s="2" t="str">
        <f>IFERROR(__xludf.DUMMYFUNCTION("GOOGLETRANSLATE(A41851, ""de"", ""en"")"),"dog")</f>
        <v>dog</v>
      </c>
    </row>
    <row r="41852">
      <c r="A41852" s="1" t="s">
        <v>41851</v>
      </c>
      <c r="B41852" s="2" t="str">
        <f>IFERROR(__xludf.DUMMYFUNCTION("GOOGLETRANSLATE(A41852, ""de"", ""en"")"),"masterpieces")</f>
        <v>masterpieces</v>
      </c>
    </row>
    <row r="41853">
      <c r="A41853" s="1" t="s">
        <v>41852</v>
      </c>
      <c r="B41853" s="2" t="str">
        <f>IFERROR(__xludf.DUMMYFUNCTION("GOOGLETRANSLATE(A41853, ""de"", ""en"")"),"techno")</f>
        <v>techno</v>
      </c>
    </row>
    <row r="41854">
      <c r="A41854" s="1" t="s">
        <v>41853</v>
      </c>
      <c r="B41854" s="2" t="str">
        <f>IFERROR(__xludf.DUMMYFUNCTION("GOOGLETRANSLATE(A41854, ""de"", ""en"")"),"sto")</f>
        <v>sto</v>
      </c>
    </row>
    <row r="41855">
      <c r="A41855" s="1" t="s">
        <v>41854</v>
      </c>
      <c r="B41855" s="2" t="str">
        <f>IFERROR(__xludf.DUMMYFUNCTION("GOOGLETRANSLATE(A41855, ""de"", ""en"")"),"patron saint")</f>
        <v>patron saint</v>
      </c>
    </row>
    <row r="41856">
      <c r="A41856" s="1" t="s">
        <v>41855</v>
      </c>
      <c r="B41856" s="2" t="str">
        <f>IFERROR(__xludf.DUMMYFUNCTION("GOOGLETRANSLATE(A41856, ""de"", ""en"")"),"fianders")</f>
        <v>fianders</v>
      </c>
    </row>
    <row r="41857">
      <c r="A41857" s="1" t="s">
        <v>41856</v>
      </c>
      <c r="B41857" s="2" t="str">
        <f>IFERROR(__xludf.DUMMYFUNCTION("GOOGLETRANSLATE(A41857, ""de"", ""en"")"),"darur")</f>
        <v>darur</v>
      </c>
    </row>
    <row r="41858">
      <c r="A41858" s="1" t="s">
        <v>41857</v>
      </c>
      <c r="B41858" s="2" t="str">
        <f>IFERROR(__xludf.DUMMYFUNCTION("GOOGLETRANSLATE(A41858, ""de"", ""en"")"),"poltergeist")</f>
        <v>poltergeist</v>
      </c>
    </row>
    <row r="41859">
      <c r="A41859" s="1" t="s">
        <v>41858</v>
      </c>
      <c r="B41859" s="2" t="str">
        <f>IFERROR(__xludf.DUMMYFUNCTION("GOOGLETRANSLATE(A41859, ""de"", ""en"")"),"rattle off")</f>
        <v>rattle off</v>
      </c>
    </row>
    <row r="41860">
      <c r="A41860" s="1" t="s">
        <v>41859</v>
      </c>
      <c r="B41860" s="2" t="str">
        <f>IFERROR(__xludf.DUMMYFUNCTION("GOOGLETRANSLATE(A41860, ""de"", ""en"")"),"care")</f>
        <v>care</v>
      </c>
    </row>
    <row r="41861">
      <c r="A41861" s="1" t="s">
        <v>41860</v>
      </c>
      <c r="B41861" s="2" t="str">
        <f>IFERROR(__xludf.DUMMYFUNCTION("GOOGLETRANSLATE(A41861, ""de"", ""en"")"),"sent home")</f>
        <v>sent home</v>
      </c>
    </row>
    <row r="41862">
      <c r="A41862" s="1" t="s">
        <v>41861</v>
      </c>
      <c r="B41862" s="2" t="str">
        <f>IFERROR(__xludf.DUMMYFUNCTION("GOOGLETRANSLATE(A41862, ""de"", ""en"")"),"choked")</f>
        <v>choked</v>
      </c>
    </row>
    <row r="41863">
      <c r="A41863" s="1" t="s">
        <v>41862</v>
      </c>
      <c r="B41863" s="2" t="str">
        <f>IFERROR(__xludf.DUMMYFUNCTION("GOOGLETRANSLATE(A41863, ""de"", ""en"")"),"dispute")</f>
        <v>dispute</v>
      </c>
    </row>
    <row r="41864">
      <c r="A41864" s="1" t="s">
        <v>41863</v>
      </c>
      <c r="B41864" s="2" t="str">
        <f>IFERROR(__xludf.DUMMYFUNCTION("GOOGLETRANSLATE(A41864, ""de"", ""en"")"),"seafaring")</f>
        <v>seafaring</v>
      </c>
    </row>
    <row r="41865">
      <c r="A41865" s="1" t="s">
        <v>41864</v>
      </c>
      <c r="B41865" s="2" t="str">
        <f>IFERROR(__xludf.DUMMYFUNCTION("GOOGLETRANSLATE(A41865, ""de"", ""en"")"),"battle stations")</f>
        <v>battle stations</v>
      </c>
    </row>
    <row r="41866">
      <c r="A41866" s="1" t="s">
        <v>41865</v>
      </c>
      <c r="B41866" s="2" t="str">
        <f>IFERROR(__xludf.DUMMYFUNCTION("GOOGLETRANSLATE(A41866, ""de"", ""en"")"),"lye")</f>
        <v>lye</v>
      </c>
    </row>
    <row r="41867">
      <c r="A41867" s="1" t="s">
        <v>41866</v>
      </c>
      <c r="B41867" s="2" t="str">
        <f>IFERROR(__xludf.DUMMYFUNCTION("GOOGLETRANSLATE(A41867, ""de"", ""en"")"),"boast")</f>
        <v>boast</v>
      </c>
    </row>
    <row r="41868">
      <c r="A41868" s="1" t="s">
        <v>41867</v>
      </c>
      <c r="B41868" s="2" t="str">
        <f>IFERROR(__xludf.DUMMYFUNCTION("GOOGLETRANSLATE(A41868, ""de"", ""en"")"),"Tony")</f>
        <v>Tony</v>
      </c>
    </row>
    <row r="41869">
      <c r="A41869" s="1" t="s">
        <v>41868</v>
      </c>
      <c r="B41869" s="2" t="str">
        <f>IFERROR(__xludf.DUMMYFUNCTION("GOOGLETRANSLATE(A41869, ""de"", ""en"")"),"ready to hand")</f>
        <v>ready to hand</v>
      </c>
    </row>
    <row r="41870">
      <c r="A41870" s="1" t="s">
        <v>41869</v>
      </c>
      <c r="B41870" s="2" t="str">
        <f>IFERROR(__xludf.DUMMYFUNCTION("GOOGLETRANSLATE(A41870, ""de"", ""en"")"),"thickest")</f>
        <v>thickest</v>
      </c>
    </row>
    <row r="41871">
      <c r="A41871" s="1" t="s">
        <v>41870</v>
      </c>
      <c r="B41871" s="2" t="str">
        <f>IFERROR(__xludf.DUMMYFUNCTION("GOOGLETRANSLATE(A41871, ""de"", ""en"")"),"sustainable")</f>
        <v>sustainable</v>
      </c>
    </row>
    <row r="41872">
      <c r="A41872" s="1" t="s">
        <v>41871</v>
      </c>
      <c r="B41872" s="2" t="str">
        <f>IFERROR(__xludf.DUMMYFUNCTION("GOOGLETRANSLATE(A41872, ""de"", ""en"")"),"ramen")</f>
        <v>ramen</v>
      </c>
    </row>
    <row r="41873">
      <c r="A41873" s="1" t="s">
        <v>41872</v>
      </c>
      <c r="B41873" s="2" t="str">
        <f>IFERROR(__xludf.DUMMYFUNCTION("GOOGLETRANSLATE(A41873, ""de"", ""en"")"),"pretending")</f>
        <v>pretending</v>
      </c>
    </row>
    <row r="41874">
      <c r="A41874" s="1" t="s">
        <v>41873</v>
      </c>
      <c r="B41874" s="2" t="str">
        <f>IFERROR(__xludf.DUMMYFUNCTION("GOOGLETRANSLATE(A41874, ""de"", ""en"")"),"Tropez")</f>
        <v>Tropez</v>
      </c>
    </row>
    <row r="41875">
      <c r="A41875" s="1" t="s">
        <v>41874</v>
      </c>
      <c r="B41875" s="2" t="str">
        <f>IFERROR(__xludf.DUMMYFUNCTION("GOOGLETRANSLATE(A41875, ""de"", ""en"")"),"slider")</f>
        <v>slider</v>
      </c>
    </row>
    <row r="41876">
      <c r="A41876" s="1" t="s">
        <v>41875</v>
      </c>
      <c r="B41876" s="2" t="str">
        <f>IFERROR(__xludf.DUMMYFUNCTION("GOOGLETRANSLATE(A41876, ""de"", ""en"")"),"identical")</f>
        <v>identical</v>
      </c>
    </row>
    <row r="41877">
      <c r="A41877" s="1" t="s">
        <v>41876</v>
      </c>
      <c r="B41877" s="2" t="str">
        <f>IFERROR(__xludf.DUMMYFUNCTION("GOOGLETRANSLATE(A41877, ""de"", ""en"")"),"swells")</f>
        <v>swells</v>
      </c>
    </row>
    <row r="41878">
      <c r="A41878" s="1" t="s">
        <v>41877</v>
      </c>
      <c r="B41878" s="2" t="str">
        <f>IFERROR(__xludf.DUMMYFUNCTION("GOOGLETRANSLATE(A41878, ""de"", ""en"")"),"pretend")</f>
        <v>pretend</v>
      </c>
    </row>
    <row r="41879">
      <c r="A41879" s="1" t="s">
        <v>41878</v>
      </c>
      <c r="B41879" s="2" t="str">
        <f>IFERROR(__xludf.DUMMYFUNCTION("GOOGLETRANSLATE(A41879, ""de"", ""en"")"),"bligh")</f>
        <v>bligh</v>
      </c>
    </row>
    <row r="41880">
      <c r="A41880" s="1" t="s">
        <v>41879</v>
      </c>
      <c r="B41880" s="2" t="str">
        <f>IFERROR(__xludf.DUMMYFUNCTION("GOOGLETRANSLATE(A41880, ""de"", ""en"")"),"to predict")</f>
        <v>to predict</v>
      </c>
    </row>
    <row r="41881">
      <c r="A41881" s="1" t="s">
        <v>41880</v>
      </c>
      <c r="B41881" s="2" t="str">
        <f>IFERROR(__xludf.DUMMYFUNCTION("GOOGLETRANSLATE(A41881, ""de"", ""en"")"),"burst")</f>
        <v>burst</v>
      </c>
    </row>
    <row r="41882">
      <c r="A41882" s="1" t="s">
        <v>41881</v>
      </c>
      <c r="B41882" s="2" t="str">
        <f>IFERROR(__xludf.DUMMYFUNCTION("GOOGLETRANSLATE(A41882, ""de"", ""en"")"),"potters")</f>
        <v>potters</v>
      </c>
    </row>
    <row r="41883">
      <c r="A41883" s="1" t="s">
        <v>41882</v>
      </c>
      <c r="B41883" s="2" t="str">
        <f>IFERROR(__xludf.DUMMYFUNCTION("GOOGLETRANSLATE(A41883, ""de"", ""en"")"),"perth")</f>
        <v>perth</v>
      </c>
    </row>
    <row r="41884">
      <c r="A41884" s="1" t="s">
        <v>41883</v>
      </c>
      <c r="B41884" s="2" t="str">
        <f>IFERROR(__xludf.DUMMYFUNCTION("GOOGLETRANSLATE(A41884, ""de"", ""en"")"),"continuously")</f>
        <v>continuously</v>
      </c>
    </row>
    <row r="41885">
      <c r="A41885" s="1" t="s">
        <v>41884</v>
      </c>
      <c r="B41885" s="2" t="str">
        <f>IFERROR(__xludf.DUMMYFUNCTION("GOOGLETRANSLATE(A41885, ""de"", ""en"")"),"overlook")</f>
        <v>overlook</v>
      </c>
    </row>
    <row r="41886">
      <c r="A41886" s="1" t="s">
        <v>41885</v>
      </c>
      <c r="B41886" s="2" t="str">
        <f>IFERROR(__xludf.DUMMYFUNCTION("GOOGLETRANSLATE(A41886, ""de"", ""en"")"),"damn")</f>
        <v>damn</v>
      </c>
    </row>
    <row r="41887">
      <c r="A41887" s="1" t="s">
        <v>41886</v>
      </c>
      <c r="B41887" s="2" t="str">
        <f>IFERROR(__xludf.DUMMYFUNCTION("GOOGLETRANSLATE(A41887, ""de"", ""en"")"),"fly")</f>
        <v>fly</v>
      </c>
    </row>
    <row r="41888">
      <c r="A41888" s="1" t="s">
        <v>41887</v>
      </c>
      <c r="B41888" s="2" t="str">
        <f>IFERROR(__xludf.DUMMYFUNCTION("GOOGLETRANSLATE(A41888, ""de"", ""en"")"),"unstable")</f>
        <v>unstable</v>
      </c>
    </row>
    <row r="41889">
      <c r="A41889" s="1" t="s">
        <v>41888</v>
      </c>
      <c r="B41889" s="2" t="str">
        <f>IFERROR(__xludf.DUMMYFUNCTION("GOOGLETRANSLATE(A41889, ""de"", ""en"")"),"hopelessness")</f>
        <v>hopelessness</v>
      </c>
    </row>
    <row r="41890">
      <c r="A41890" s="1" t="s">
        <v>41889</v>
      </c>
      <c r="B41890" s="2" t="str">
        <f>IFERROR(__xludf.DUMMYFUNCTION("GOOGLETRANSLATE(A41890, ""de"", ""en"")"),"equivalent")</f>
        <v>equivalent</v>
      </c>
    </row>
    <row r="41891">
      <c r="A41891" s="1" t="s">
        <v>41890</v>
      </c>
      <c r="B41891" s="2" t="str">
        <f>IFERROR(__xludf.DUMMYFUNCTION("GOOGLETRANSLATE(A41891, ""de"", ""en"")"),"thicket")</f>
        <v>thicket</v>
      </c>
    </row>
    <row r="41892">
      <c r="A41892" s="1" t="s">
        <v>41891</v>
      </c>
      <c r="B41892" s="2" t="str">
        <f>IFERROR(__xludf.DUMMYFUNCTION("GOOGLETRANSLATE(A41892, ""de"", ""en"")"),"comes")</f>
        <v>comes</v>
      </c>
    </row>
    <row r="41893">
      <c r="A41893" s="1" t="s">
        <v>41892</v>
      </c>
      <c r="B41893" s="2" t="str">
        <f>IFERROR(__xludf.DUMMYFUNCTION("GOOGLETRANSLATE(A41893, ""de"", ""en"")"),"margherita")</f>
        <v>margherita</v>
      </c>
    </row>
    <row r="41894">
      <c r="A41894" s="1" t="s">
        <v>41893</v>
      </c>
      <c r="B41894" s="2" t="str">
        <f>IFERROR(__xludf.DUMMYFUNCTION("GOOGLETRANSLATE(A41894, ""de"", ""en"")"),"scandalous")</f>
        <v>scandalous</v>
      </c>
    </row>
    <row r="41895">
      <c r="A41895" s="1" t="s">
        <v>41894</v>
      </c>
      <c r="B41895" s="2" t="str">
        <f>IFERROR(__xludf.DUMMYFUNCTION("GOOGLETRANSLATE(A41895, ""de"", ""en"")"),"critical")</f>
        <v>critical</v>
      </c>
    </row>
    <row r="41896">
      <c r="A41896" s="1" t="s">
        <v>41895</v>
      </c>
      <c r="B41896" s="2" t="str">
        <f>IFERROR(__xludf.DUMMYFUNCTION("GOOGLETRANSLATE(A41896, ""de"", ""en"")"),"wildcats")</f>
        <v>wildcats</v>
      </c>
    </row>
    <row r="41897">
      <c r="A41897" s="1" t="s">
        <v>41896</v>
      </c>
      <c r="B41897" s="2" t="str">
        <f>IFERROR(__xludf.DUMMYFUNCTION("GOOGLETRANSLATE(A41897, ""de"", ""en"")"),"cheerios")</f>
        <v>cheerios</v>
      </c>
    </row>
    <row r="41898">
      <c r="A41898" s="1" t="s">
        <v>41897</v>
      </c>
      <c r="B41898" s="2" t="str">
        <f>IFERROR(__xludf.DUMMYFUNCTION("GOOGLETRANSLATE(A41898, ""de"", ""en"")"),"served")</f>
        <v>served</v>
      </c>
    </row>
    <row r="41899">
      <c r="A41899" s="1" t="s">
        <v>41898</v>
      </c>
      <c r="B41899" s="2" t="str">
        <f>IFERROR(__xludf.DUMMYFUNCTION("GOOGLETRANSLATE(A41899, ""de"", ""en"")"),"apply")</f>
        <v>apply</v>
      </c>
    </row>
    <row r="41900">
      <c r="A41900" s="1" t="s">
        <v>41899</v>
      </c>
      <c r="B41900" s="2" t="str">
        <f>IFERROR(__xludf.DUMMYFUNCTION("GOOGLETRANSLATE(A41900, ""de"", ""en"")"),"marceau")</f>
        <v>marceau</v>
      </c>
    </row>
    <row r="41901">
      <c r="A41901" s="1" t="s">
        <v>41900</v>
      </c>
      <c r="B41901" s="2" t="str">
        <f>IFERROR(__xludf.DUMMYFUNCTION("GOOGLETRANSLATE(A41901, ""de"", ""en"")"),"turn over")</f>
        <v>turn over</v>
      </c>
    </row>
    <row r="41902">
      <c r="A41902" s="1" t="s">
        <v>41901</v>
      </c>
      <c r="B41902" s="2" t="str">
        <f>IFERROR(__xludf.DUMMYFUNCTION("GOOGLETRANSLATE(A41902, ""de"", ""en"")"),"xifeng")</f>
        <v>xifeng</v>
      </c>
    </row>
    <row r="41903">
      <c r="A41903" s="1" t="s">
        <v>41902</v>
      </c>
      <c r="B41903" s="2" t="str">
        <f>IFERROR(__xludf.DUMMYFUNCTION("GOOGLETRANSLATE(A41903, ""de"", ""en"")"),"estes")</f>
        <v>estes</v>
      </c>
    </row>
    <row r="41904">
      <c r="A41904" s="1" t="s">
        <v>41903</v>
      </c>
      <c r="B41904" s="2" t="str">
        <f>IFERROR(__xludf.DUMMYFUNCTION("GOOGLETRANSLATE(A41904, ""de"", ""en"")"),"climbed up")</f>
        <v>climbed up</v>
      </c>
    </row>
    <row r="41905">
      <c r="A41905" s="1" t="s">
        <v>41904</v>
      </c>
      <c r="B41905" s="2" t="str">
        <f>IFERROR(__xludf.DUMMYFUNCTION("GOOGLETRANSLATE(A41905, ""de"", ""en"")"),"imprint")</f>
        <v>imprint</v>
      </c>
    </row>
    <row r="41906">
      <c r="A41906" s="1" t="s">
        <v>41905</v>
      </c>
      <c r="B41906" s="2" t="str">
        <f>IFERROR(__xludf.DUMMYFUNCTION("GOOGLETRANSLATE(A41906, ""de"", ""en"")"),"settlers")</f>
        <v>settlers</v>
      </c>
    </row>
    <row r="41907">
      <c r="A41907" s="1" t="s">
        <v>41906</v>
      </c>
      <c r="B41907" s="2" t="str">
        <f>IFERROR(__xludf.DUMMYFUNCTION("GOOGLETRANSLATE(A41907, ""de"", ""en"")"),"bases")</f>
        <v>bases</v>
      </c>
    </row>
    <row r="41908">
      <c r="A41908" s="1" t="s">
        <v>41907</v>
      </c>
      <c r="B41908" s="2" t="str">
        <f>IFERROR(__xludf.DUMMYFUNCTION("GOOGLETRANSLATE(A41908, ""de"", ""en"")"),"sheltered")</f>
        <v>sheltered</v>
      </c>
    </row>
    <row r="41909">
      <c r="A41909" s="1" t="s">
        <v>41908</v>
      </c>
      <c r="B41909" s="2" t="str">
        <f>IFERROR(__xludf.DUMMYFUNCTION("GOOGLETRANSLATE(A41909, ""de"", ""en"")"),"rock wall")</f>
        <v>rock wall</v>
      </c>
    </row>
    <row r="41910">
      <c r="A41910" s="1" t="s">
        <v>41909</v>
      </c>
      <c r="B41910" s="2" t="str">
        <f>IFERROR(__xludf.DUMMYFUNCTION("GOOGLETRANSLATE(A41910, ""de"", ""en"")"),"edge of the forest")</f>
        <v>edge of the forest</v>
      </c>
    </row>
    <row r="41911">
      <c r="A41911" s="1" t="s">
        <v>41910</v>
      </c>
      <c r="B41911" s="2" t="str">
        <f>IFERROR(__xludf.DUMMYFUNCTION("GOOGLETRANSLATE(A41911, ""de"", ""en"")"),"chorus")</f>
        <v>chorus</v>
      </c>
    </row>
    <row r="41912">
      <c r="A41912" s="1" t="s">
        <v>41911</v>
      </c>
      <c r="B41912" s="2" t="str">
        <f>IFERROR(__xludf.DUMMYFUNCTION("GOOGLETRANSLATE(A41912, ""de"", ""en"")"),"tanned")</f>
        <v>tanned</v>
      </c>
    </row>
    <row r="41913">
      <c r="A41913" s="1" t="s">
        <v>41912</v>
      </c>
      <c r="B41913" s="2" t="str">
        <f>IFERROR(__xludf.DUMMYFUNCTION("GOOGLETRANSLATE(A41913, ""de"", ""en"")"),"richelieu")</f>
        <v>richelieu</v>
      </c>
    </row>
    <row r="41914">
      <c r="A41914" s="1" t="s">
        <v>41913</v>
      </c>
      <c r="B41914" s="2" t="str">
        <f>IFERROR(__xludf.DUMMYFUNCTION("GOOGLETRANSLATE(A41914, ""de"", ""en"")"),"catapulted")</f>
        <v>catapulted</v>
      </c>
    </row>
    <row r="41915">
      <c r="A41915" s="1" t="s">
        <v>41914</v>
      </c>
      <c r="B41915" s="2" t="str">
        <f>IFERROR(__xludf.DUMMYFUNCTION("GOOGLETRANSLATE(A41915, ""de"", ""en"")"),"Asian")</f>
        <v>Asian</v>
      </c>
    </row>
    <row r="41916">
      <c r="A41916" s="1" t="s">
        <v>41915</v>
      </c>
      <c r="B41916" s="2" t="str">
        <f>IFERROR(__xludf.DUMMYFUNCTION("GOOGLETRANSLATE(A41916, ""de"", ""en"")"),"boa")</f>
        <v>boa</v>
      </c>
    </row>
    <row r="41917">
      <c r="A41917" s="1" t="s">
        <v>41916</v>
      </c>
      <c r="B41917" s="2" t="str">
        <f>IFERROR(__xludf.DUMMYFUNCTION("GOOGLETRANSLATE(A41917, ""de"", ""en"")"),"trout")</f>
        <v>trout</v>
      </c>
    </row>
    <row r="41918">
      <c r="A41918" s="1" t="s">
        <v>41917</v>
      </c>
      <c r="B41918" s="2" t="str">
        <f>IFERROR(__xludf.DUMMYFUNCTION("GOOGLETRANSLATE(A41918, ""de"", ""en"")"),"wooden")</f>
        <v>wooden</v>
      </c>
    </row>
    <row r="41919">
      <c r="A41919" s="1" t="s">
        <v>41918</v>
      </c>
      <c r="B41919" s="2" t="str">
        <f>IFERROR(__xludf.DUMMYFUNCTION("GOOGLETRANSLATE(A41919, ""de"", ""en"")"),"pennies")</f>
        <v>pennies</v>
      </c>
    </row>
    <row r="41920">
      <c r="A41920" s="1" t="s">
        <v>41919</v>
      </c>
      <c r="B41920" s="2" t="str">
        <f>IFERROR(__xludf.DUMMYFUNCTION("GOOGLETRANSLATE(A41920, ""de"", ""en"")"),"children's books")</f>
        <v>children's books</v>
      </c>
    </row>
    <row r="41921">
      <c r="A41921" s="1" t="s">
        <v>41920</v>
      </c>
      <c r="B41921" s="2" t="str">
        <f>IFERROR(__xludf.DUMMYFUNCTION("GOOGLETRANSLATE(A41921, ""de"", ""en"")"),"mogli")</f>
        <v>mogli</v>
      </c>
    </row>
    <row r="41922">
      <c r="A41922" s="1" t="s">
        <v>41921</v>
      </c>
      <c r="B41922" s="2" t="str">
        <f>IFERROR(__xludf.DUMMYFUNCTION("GOOGLETRANSLATE(A41922, ""de"", ""en"")"),"nihal")</f>
        <v>nihal</v>
      </c>
    </row>
    <row r="41923">
      <c r="A41923" s="1" t="s">
        <v>41922</v>
      </c>
      <c r="B41923" s="2" t="str">
        <f>IFERROR(__xludf.DUMMYFUNCTION("GOOGLETRANSLATE(A41923, ""de"", ""en"")"),"howling")</f>
        <v>howling</v>
      </c>
    </row>
    <row r="41924">
      <c r="A41924" s="1" t="s">
        <v>41923</v>
      </c>
      <c r="B41924" s="2" t="str">
        <f>IFERROR(__xludf.DUMMYFUNCTION("GOOGLETRANSLATE(A41924, ""de"", ""en"")"),"lure out")</f>
        <v>lure out</v>
      </c>
    </row>
    <row r="41925">
      <c r="A41925" s="1" t="s">
        <v>41924</v>
      </c>
      <c r="B41925" s="2" t="str">
        <f>IFERROR(__xludf.DUMMYFUNCTION("GOOGLETRANSLATE(A41925, ""de"", ""en"")"),"notebooks")</f>
        <v>notebooks</v>
      </c>
    </row>
    <row r="41926">
      <c r="A41926" s="1" t="s">
        <v>41925</v>
      </c>
      <c r="B41926" s="2" t="str">
        <f>IFERROR(__xludf.DUMMYFUNCTION("GOOGLETRANSLATE(A41926, ""de"", ""en"")"),"organ donor")</f>
        <v>organ donor</v>
      </c>
    </row>
    <row r="41927">
      <c r="A41927" s="1" t="s">
        <v>41926</v>
      </c>
      <c r="B41927" s="2" t="str">
        <f>IFERROR(__xludf.DUMMYFUNCTION("GOOGLETRANSLATE(A41927, ""de"", ""en"")"),"trooper")</f>
        <v>trooper</v>
      </c>
    </row>
    <row r="41928">
      <c r="A41928" s="1" t="s">
        <v>41927</v>
      </c>
      <c r="B41928" s="2" t="str">
        <f>IFERROR(__xludf.DUMMYFUNCTION("GOOGLETRANSLATE(A41928, ""de"", ""en"")"),"asenkerschbaumer")</f>
        <v>asenkerschbaumer</v>
      </c>
    </row>
    <row r="41929">
      <c r="A41929" s="1" t="s">
        <v>41928</v>
      </c>
      <c r="B41929" s="2" t="str">
        <f>IFERROR(__xludf.DUMMYFUNCTION("GOOGLETRANSLATE(A41929, ""de"", ""en"")"),"to listen")</f>
        <v>to listen</v>
      </c>
    </row>
    <row r="41930">
      <c r="A41930" s="1" t="s">
        <v>41929</v>
      </c>
      <c r="B41930" s="2" t="str">
        <f>IFERROR(__xludf.DUMMYFUNCTION("GOOGLETRANSLATE(A41930, ""de"", ""en"")"),"pepi")</f>
        <v>pepi</v>
      </c>
    </row>
    <row r="41931">
      <c r="A41931" s="1" t="s">
        <v>41930</v>
      </c>
      <c r="B41931" s="2" t="str">
        <f>IFERROR(__xludf.DUMMYFUNCTION("GOOGLETRANSLATE(A41931, ""de"", ""en"")"),"pharmacies")</f>
        <v>pharmacies</v>
      </c>
    </row>
    <row r="41932">
      <c r="A41932" s="1" t="s">
        <v>41931</v>
      </c>
      <c r="B41932" s="2" t="str">
        <f>IFERROR(__xludf.DUMMYFUNCTION("GOOGLETRANSLATE(A41932, ""de"", ""en"")"),"culpa")</f>
        <v>culpa</v>
      </c>
    </row>
    <row r="41933">
      <c r="A41933" s="1" t="s">
        <v>41932</v>
      </c>
      <c r="B41933" s="2" t="str">
        <f>IFERROR(__xludf.DUMMYFUNCTION("GOOGLETRANSLATE(A41933, ""de"", ""en"")"),"streep")</f>
        <v>streep</v>
      </c>
    </row>
    <row r="41934">
      <c r="A41934" s="1" t="s">
        <v>41933</v>
      </c>
      <c r="B41934" s="2" t="str">
        <f>IFERROR(__xludf.DUMMYFUNCTION("GOOGLETRANSLATE(A41934, ""de"", ""en"")"),"hop")</f>
        <v>hop</v>
      </c>
    </row>
    <row r="41935">
      <c r="A41935" s="1" t="s">
        <v>41934</v>
      </c>
      <c r="B41935" s="2" t="str">
        <f>IFERROR(__xludf.DUMMYFUNCTION("GOOGLETRANSLATE(A41935, ""de"", ""en"")"),"Kimberly")</f>
        <v>Kimberly</v>
      </c>
    </row>
    <row r="41936">
      <c r="A41936" s="1" t="s">
        <v>41935</v>
      </c>
      <c r="B41936" s="2" t="str">
        <f>IFERROR(__xludf.DUMMYFUNCTION("GOOGLETRANSLATE(A41936, ""de"", ""en"")"),"dead ends")</f>
        <v>dead ends</v>
      </c>
    </row>
    <row r="41937">
      <c r="A41937" s="1" t="s">
        <v>41936</v>
      </c>
      <c r="B41937" s="2" t="str">
        <f>IFERROR(__xludf.DUMMYFUNCTION("GOOGLETRANSLATE(A41937, ""de"", ""en"")"),"cailin")</f>
        <v>cailin</v>
      </c>
    </row>
    <row r="41938">
      <c r="A41938" s="1" t="s">
        <v>41937</v>
      </c>
      <c r="B41938" s="2" t="str">
        <f>IFERROR(__xludf.DUMMYFUNCTION("GOOGLETRANSLATE(A41938, ""de"", ""en"")"),"Sangria")</f>
        <v>Sangria</v>
      </c>
    </row>
    <row r="41939">
      <c r="A41939" s="1" t="s">
        <v>41938</v>
      </c>
      <c r="B41939" s="2" t="str">
        <f>IFERROR(__xludf.DUMMYFUNCTION("GOOGLETRANSLATE(A41939, ""de"", ""en"")"),"Lego")</f>
        <v>Lego</v>
      </c>
    </row>
    <row r="41940">
      <c r="A41940" s="1" t="s">
        <v>41939</v>
      </c>
      <c r="B41940" s="2" t="str">
        <f>IFERROR(__xludf.DUMMYFUNCTION("GOOGLETRANSLATE(A41940, ""de"", ""en"")"),"recipe")</f>
        <v>recipe</v>
      </c>
    </row>
    <row r="41941">
      <c r="A41941" s="1" t="s">
        <v>41940</v>
      </c>
      <c r="B41941" s="2" t="str">
        <f>IFERROR(__xludf.DUMMYFUNCTION("GOOGLETRANSLATE(A41941, ""de"", ""en"")"),"unlike")</f>
        <v>unlike</v>
      </c>
    </row>
    <row r="41942">
      <c r="A41942" s="1" t="s">
        <v>41941</v>
      </c>
      <c r="B41942" s="2" t="str">
        <f>IFERROR(__xludf.DUMMYFUNCTION("GOOGLETRANSLATE(A41942, ""de"", ""en"")"),"Orly")</f>
        <v>Orly</v>
      </c>
    </row>
    <row r="41943">
      <c r="A41943" s="1" t="s">
        <v>41942</v>
      </c>
      <c r="B41943" s="2" t="str">
        <f>IFERROR(__xludf.DUMMYFUNCTION("GOOGLETRANSLATE(A41943, ""de"", ""en"")"),"ho-ho")</f>
        <v>ho-ho</v>
      </c>
    </row>
    <row r="41944">
      <c r="A41944" s="1" t="s">
        <v>41943</v>
      </c>
      <c r="B41944" s="2" t="str">
        <f>IFERROR(__xludf.DUMMYFUNCTION("GOOGLETRANSLATE(A41944, ""de"", ""en"")"),"guilty verdict")</f>
        <v>guilty verdict</v>
      </c>
    </row>
    <row r="41945">
      <c r="A41945" s="1" t="s">
        <v>41944</v>
      </c>
      <c r="B41945" s="2" t="str">
        <f>IFERROR(__xludf.DUMMYFUNCTION("GOOGLETRANSLATE(A41945, ""de"", ""en"")"),"glass eye")</f>
        <v>glass eye</v>
      </c>
    </row>
    <row r="41946">
      <c r="A41946" s="1" t="s">
        <v>41945</v>
      </c>
      <c r="B41946" s="2" t="str">
        <f>IFERROR(__xludf.DUMMYFUNCTION("GOOGLETRANSLATE(A41946, ""de"", ""en"")"),"Chev")</f>
        <v>Chev</v>
      </c>
    </row>
    <row r="41947">
      <c r="A41947" s="1" t="s">
        <v>41946</v>
      </c>
      <c r="B41947" s="2" t="str">
        <f>IFERROR(__xludf.DUMMYFUNCTION("GOOGLETRANSLATE(A41947, ""de"", ""en"")"),"horrible")</f>
        <v>horrible</v>
      </c>
    </row>
    <row r="41948">
      <c r="A41948" s="1" t="s">
        <v>41947</v>
      </c>
      <c r="B41948" s="2" t="str">
        <f>IFERROR(__xludf.DUMMYFUNCTION("GOOGLETRANSLATE(A41948, ""de"", ""en"")"),"countess")</f>
        <v>countess</v>
      </c>
    </row>
    <row r="41949">
      <c r="A41949" s="1" t="s">
        <v>41948</v>
      </c>
      <c r="B41949" s="2" t="str">
        <f>IFERROR(__xludf.DUMMYFUNCTION("GOOGLETRANSLATE(A41949, ""de"", ""en"")"),"tale")</f>
        <v>tale</v>
      </c>
    </row>
    <row r="41950">
      <c r="A41950" s="1" t="s">
        <v>41949</v>
      </c>
      <c r="B41950" s="2" t="str">
        <f>IFERROR(__xludf.DUMMYFUNCTION("GOOGLETRANSLATE(A41950, ""de"", ""en"")"),"herrings")</f>
        <v>herrings</v>
      </c>
    </row>
    <row r="41951">
      <c r="A41951" s="1" t="s">
        <v>41950</v>
      </c>
      <c r="B41951" s="2" t="str">
        <f>IFERROR(__xludf.DUMMYFUNCTION("GOOGLETRANSLATE(A41951, ""de"", ""en"")"),"compliance")</f>
        <v>compliance</v>
      </c>
    </row>
    <row r="41952">
      <c r="A41952" s="1" t="s">
        <v>41951</v>
      </c>
      <c r="B41952" s="2" t="str">
        <f>IFERROR(__xludf.DUMMYFUNCTION("GOOGLETRANSLATE(A41952, ""de"", ""en"")"),"denied")</f>
        <v>denied</v>
      </c>
    </row>
    <row r="41953">
      <c r="A41953" s="1" t="s">
        <v>41952</v>
      </c>
      <c r="B41953" s="2" t="str">
        <f>IFERROR(__xludf.DUMMYFUNCTION("GOOGLETRANSLATE(A41953, ""de"", ""en"")"),"tissue samples")</f>
        <v>tissue samples</v>
      </c>
    </row>
    <row r="41954">
      <c r="A41954" s="1" t="s">
        <v>41953</v>
      </c>
      <c r="B41954" s="2" t="str">
        <f>IFERROR(__xludf.DUMMYFUNCTION("GOOGLETRANSLATE(A41954, ""de"", ""en"")"),"family celebration")</f>
        <v>family celebration</v>
      </c>
    </row>
    <row r="41955">
      <c r="A41955" s="1" t="s">
        <v>41954</v>
      </c>
      <c r="B41955" s="2" t="str">
        <f>IFERROR(__xludf.DUMMYFUNCTION("GOOGLETRANSLATE(A41955, ""de"", ""en"")"),"behavior")</f>
        <v>behavior</v>
      </c>
    </row>
    <row r="41956">
      <c r="A41956" s="1" t="s">
        <v>41955</v>
      </c>
      <c r="B41956" s="2" t="str">
        <f>IFERROR(__xludf.DUMMYFUNCTION("GOOGLETRANSLATE(A41956, ""de"", ""en"")"),"greet")</f>
        <v>greet</v>
      </c>
    </row>
    <row r="41957">
      <c r="A41957" s="1" t="s">
        <v>41956</v>
      </c>
      <c r="B41957" s="2" t="str">
        <f>IFERROR(__xludf.DUMMYFUNCTION("GOOGLETRANSLATE(A41957, ""de"", ""en"")"),"interference")</f>
        <v>interference</v>
      </c>
    </row>
    <row r="41958">
      <c r="A41958" s="1" t="s">
        <v>41957</v>
      </c>
      <c r="B41958" s="2" t="str">
        <f>IFERROR(__xludf.DUMMYFUNCTION("GOOGLETRANSLATE(A41958, ""de"", ""en"")"),"Volkswagen")</f>
        <v>Volkswagen</v>
      </c>
    </row>
    <row r="41959">
      <c r="A41959" s="1" t="s">
        <v>41958</v>
      </c>
      <c r="B41959" s="2" t="str">
        <f>IFERROR(__xludf.DUMMYFUNCTION("GOOGLETRANSLATE(A41959, ""de"", ""en"")"),"danby")</f>
        <v>danby</v>
      </c>
    </row>
    <row r="41960">
      <c r="A41960" s="1" t="s">
        <v>41959</v>
      </c>
      <c r="B41960" s="2" t="str">
        <f>IFERROR(__xludf.DUMMYFUNCTION("GOOGLETRANSLATE(A41960, ""de"", ""en"")"),"indisposed")</f>
        <v>indisposed</v>
      </c>
    </row>
    <row r="41961">
      <c r="A41961" s="1" t="s">
        <v>41960</v>
      </c>
      <c r="B41961" s="2" t="str">
        <f>IFERROR(__xludf.DUMMYFUNCTION("GOOGLETRANSLATE(A41961, ""de"", ""en"")"),"mannequin")</f>
        <v>mannequin</v>
      </c>
    </row>
    <row r="41962">
      <c r="A41962" s="1" t="s">
        <v>41961</v>
      </c>
      <c r="B41962" s="2" t="str">
        <f>IFERROR(__xludf.DUMMYFUNCTION("GOOGLETRANSLATE(A41962, ""de"", ""en"")"),"fearless")</f>
        <v>fearless</v>
      </c>
    </row>
    <row r="41963">
      <c r="A41963" s="1" t="s">
        <v>41962</v>
      </c>
      <c r="B41963" s="2" t="str">
        <f>IFERROR(__xludf.DUMMYFUNCTION("GOOGLETRANSLATE(A41963, ""de"", ""en"")"),"bubble")</f>
        <v>bubble</v>
      </c>
    </row>
    <row r="41964">
      <c r="A41964" s="1" t="s">
        <v>41963</v>
      </c>
      <c r="B41964" s="2" t="str">
        <f>IFERROR(__xludf.DUMMYFUNCTION("GOOGLETRANSLATE(A41964, ""de"", ""en"")"),"chesapeake")</f>
        <v>chesapeake</v>
      </c>
    </row>
    <row r="41965">
      <c r="A41965" s="1" t="s">
        <v>41964</v>
      </c>
      <c r="B41965" s="2" t="str">
        <f>IFERROR(__xludf.DUMMYFUNCTION("GOOGLETRANSLATE(A41965, ""de"", ""en"")"),"neglect")</f>
        <v>neglect</v>
      </c>
    </row>
    <row r="41966">
      <c r="A41966" s="1" t="s">
        <v>41965</v>
      </c>
      <c r="B41966" s="2" t="str">
        <f>IFERROR(__xludf.DUMMYFUNCTION("GOOGLETRANSLATE(A41966, ""de"", ""en"")"),"preparation")</f>
        <v>preparation</v>
      </c>
    </row>
    <row r="41967">
      <c r="A41967" s="1" t="s">
        <v>41966</v>
      </c>
      <c r="B41967" s="2" t="str">
        <f>IFERROR(__xludf.DUMMYFUNCTION("GOOGLETRANSLATE(A41967, ""de"", ""en"")"),"mannys")</f>
        <v>mannys</v>
      </c>
    </row>
    <row r="41968">
      <c r="A41968" s="1" t="s">
        <v>41967</v>
      </c>
      <c r="B41968" s="2" t="str">
        <f>IFERROR(__xludf.DUMMYFUNCTION("GOOGLETRANSLATE(A41968, ""de"", ""en"")"),"davos")</f>
        <v>davos</v>
      </c>
    </row>
    <row r="41969">
      <c r="A41969" s="1" t="s">
        <v>41968</v>
      </c>
      <c r="B41969" s="2" t="str">
        <f>IFERROR(__xludf.DUMMYFUNCTION("GOOGLETRANSLATE(A41969, ""de"", ""en"")"),"chaussy")</f>
        <v>chaussy</v>
      </c>
    </row>
    <row r="41970">
      <c r="A41970" s="1" t="s">
        <v>41969</v>
      </c>
      <c r="B41970" s="2" t="str">
        <f>IFERROR(__xludf.DUMMYFUNCTION("GOOGLETRANSLATE(A41970, ""de"", ""en"")"),"collected")</f>
        <v>collected</v>
      </c>
    </row>
    <row r="41971">
      <c r="A41971" s="1" t="s">
        <v>41970</v>
      </c>
      <c r="B41971" s="2" t="str">
        <f>IFERROR(__xludf.DUMMYFUNCTION("GOOGLETRANSLATE(A41971, ""de"", ""en"")"),"plummer")</f>
        <v>plummer</v>
      </c>
    </row>
    <row r="41972">
      <c r="A41972" s="1" t="s">
        <v>41971</v>
      </c>
      <c r="B41972" s="2" t="str">
        <f>IFERROR(__xludf.DUMMYFUNCTION("GOOGLETRANSLATE(A41972, ""de"", ""en"")"),"practical")</f>
        <v>practical</v>
      </c>
    </row>
    <row r="41973">
      <c r="A41973" s="1" t="s">
        <v>41972</v>
      </c>
      <c r="B41973" s="2" t="str">
        <f>IFERROR(__xludf.DUMMYFUNCTION("GOOGLETRANSLATE(A41973, ""de"", ""en"")"),"siebert")</f>
        <v>siebert</v>
      </c>
    </row>
    <row r="41974">
      <c r="A41974" s="1" t="s">
        <v>41973</v>
      </c>
      <c r="B41974" s="2" t="str">
        <f>IFERROR(__xludf.DUMMYFUNCTION("GOOGLETRANSLATE(A41974, ""de"", ""en"")"),"march")</f>
        <v>march</v>
      </c>
    </row>
    <row r="41975">
      <c r="A41975" s="1" t="s">
        <v>41974</v>
      </c>
      <c r="B41975" s="2" t="str">
        <f>IFERROR(__xludf.DUMMYFUNCTION("GOOGLETRANSLATE(A41975, ""de"", ""en"")"),"treme")</f>
        <v>treme</v>
      </c>
    </row>
    <row r="41976">
      <c r="A41976" s="1" t="s">
        <v>41975</v>
      </c>
      <c r="B41976" s="2" t="str">
        <f>IFERROR(__xludf.DUMMYFUNCTION("GOOGLETRANSLATE(A41976, ""de"", ""en"")"),"letterman")</f>
        <v>letterman</v>
      </c>
    </row>
    <row r="41977">
      <c r="A41977" s="1" t="s">
        <v>41976</v>
      </c>
      <c r="B41977" s="2" t="str">
        <f>IFERROR(__xludf.DUMMYFUNCTION("GOOGLETRANSLATE(A41977, ""de"", ""en"")"),"thunderclap")</f>
        <v>thunderclap</v>
      </c>
    </row>
    <row r="41978">
      <c r="A41978" s="1" t="s">
        <v>41977</v>
      </c>
      <c r="B41978" s="2" t="str">
        <f>IFERROR(__xludf.DUMMYFUNCTION("GOOGLETRANSLATE(A41978, ""de"", ""en"")"),"gourmet")</f>
        <v>gourmet</v>
      </c>
    </row>
    <row r="41979">
      <c r="A41979" s="1" t="s">
        <v>41978</v>
      </c>
      <c r="B41979" s="2" t="str">
        <f>IFERROR(__xludf.DUMMYFUNCTION("GOOGLETRANSLATE(A41979, ""de"", ""en"")"),"bastards")</f>
        <v>bastards</v>
      </c>
    </row>
    <row r="41980">
      <c r="A41980" s="1" t="s">
        <v>41979</v>
      </c>
      <c r="B41980" s="2" t="str">
        <f>IFERROR(__xludf.DUMMYFUNCTION("GOOGLETRANSLATE(A41980, ""de"", ""en"")"),"to borrow")</f>
        <v>to borrow</v>
      </c>
    </row>
    <row r="41981">
      <c r="A41981" s="1" t="s">
        <v>41980</v>
      </c>
      <c r="B41981" s="2" t="str">
        <f>IFERROR(__xludf.DUMMYFUNCTION("GOOGLETRANSLATE(A41981, ""de"", ""en"")"),"trowel")</f>
        <v>trowel</v>
      </c>
    </row>
    <row r="41982">
      <c r="A41982" s="1" t="s">
        <v>41981</v>
      </c>
      <c r="B41982" s="2" t="str">
        <f>IFERROR(__xludf.DUMMYFUNCTION("GOOGLETRANSLATE(A41982, ""de"", ""en"")"),"friends")</f>
        <v>friends</v>
      </c>
    </row>
    <row r="41983">
      <c r="A41983" s="1" t="s">
        <v>41982</v>
      </c>
      <c r="B41983" s="2" t="str">
        <f>IFERROR(__xludf.DUMMYFUNCTION("GOOGLETRANSLATE(A41983, ""de"", ""en"")"),"gülnihal")</f>
        <v>gülnihal</v>
      </c>
    </row>
    <row r="41984">
      <c r="A41984" s="1" t="s">
        <v>41983</v>
      </c>
      <c r="B41984" s="2" t="str">
        <f>IFERROR(__xludf.DUMMYFUNCTION("GOOGLETRANSLATE(A41984, ""de"", ""en"")"),"complain")</f>
        <v>complain</v>
      </c>
    </row>
    <row r="41985">
      <c r="A41985" s="1" t="s">
        <v>41984</v>
      </c>
      <c r="B41985" s="2" t="str">
        <f>IFERROR(__xludf.DUMMYFUNCTION("GOOGLETRANSLATE(A41985, ""de"", ""en"")"),"notches")</f>
        <v>notches</v>
      </c>
    </row>
    <row r="41986">
      <c r="A41986" s="1" t="s">
        <v>41985</v>
      </c>
      <c r="B41986" s="2" t="str">
        <f>IFERROR(__xludf.DUMMYFUNCTION("GOOGLETRANSLATE(A41986, ""de"", ""en"")"),"put together")</f>
        <v>put together</v>
      </c>
    </row>
    <row r="41987">
      <c r="A41987" s="1" t="s">
        <v>41986</v>
      </c>
      <c r="B41987" s="2" t="str">
        <f>IFERROR(__xludf.DUMMYFUNCTION("GOOGLETRANSLATE(A41987, ""de"", ""en"")"),"jenson")</f>
        <v>jenson</v>
      </c>
    </row>
    <row r="41988">
      <c r="A41988" s="1" t="s">
        <v>41987</v>
      </c>
      <c r="B41988" s="2" t="str">
        <f>IFERROR(__xludf.DUMMYFUNCTION("GOOGLETRANSLATE(A41988, ""de"", ""en"")"),"nugget")</f>
        <v>nugget</v>
      </c>
    </row>
    <row r="41989">
      <c r="A41989" s="1" t="s">
        <v>41988</v>
      </c>
      <c r="B41989" s="2" t="str">
        <f>IFERROR(__xludf.DUMMYFUNCTION("GOOGLETRANSLATE(A41989, ""de"", ""en"")"),"Noreen")</f>
        <v>Noreen</v>
      </c>
    </row>
    <row r="41990">
      <c r="A41990" s="1" t="s">
        <v>41989</v>
      </c>
      <c r="B41990" s="2" t="str">
        <f>IFERROR(__xludf.DUMMYFUNCTION("GOOGLETRANSLATE(A41990, ""de"", ""en"")"),"inaccessible")</f>
        <v>inaccessible</v>
      </c>
    </row>
    <row r="41991">
      <c r="A41991" s="1" t="s">
        <v>41990</v>
      </c>
      <c r="B41991" s="2" t="str">
        <f>IFERROR(__xludf.DUMMYFUNCTION("GOOGLETRANSLATE(A41991, ""de"", ""en"")"),"buttons")</f>
        <v>buttons</v>
      </c>
    </row>
    <row r="41992">
      <c r="A41992" s="1" t="s">
        <v>41991</v>
      </c>
      <c r="B41992" s="2" t="str">
        <f>IFERROR(__xludf.DUMMYFUNCTION("GOOGLETRANSLATE(A41992, ""de"", ""en"")"),"carry away")</f>
        <v>carry away</v>
      </c>
    </row>
    <row r="41993">
      <c r="A41993" s="1" t="s">
        <v>41992</v>
      </c>
      <c r="B41993" s="2" t="str">
        <f>IFERROR(__xludf.DUMMYFUNCTION("GOOGLETRANSLATE(A41993, ""de"", ""en"")"),"temporary")</f>
        <v>temporary</v>
      </c>
    </row>
    <row r="41994">
      <c r="A41994" s="1" t="s">
        <v>41993</v>
      </c>
      <c r="B41994" s="2" t="str">
        <f>IFERROR(__xludf.DUMMYFUNCTION("GOOGLETRANSLATE(A41994, ""de"", ""en"")"),"anal sex")</f>
        <v>anal sex</v>
      </c>
    </row>
    <row r="41995">
      <c r="A41995" s="1" t="s">
        <v>41994</v>
      </c>
      <c r="B41995" s="2" t="str">
        <f>IFERROR(__xludf.DUMMYFUNCTION("GOOGLETRANSLATE(A41995, ""de"", ""en"")"),"due")</f>
        <v>due</v>
      </c>
    </row>
    <row r="41996">
      <c r="A41996" s="1" t="s">
        <v>41995</v>
      </c>
      <c r="B41996" s="2" t="str">
        <f>IFERROR(__xludf.DUMMYFUNCTION("GOOGLETRANSLATE(A41996, ""de"", ""en"")"),"consortium")</f>
        <v>consortium</v>
      </c>
    </row>
    <row r="41997">
      <c r="A41997" s="1" t="s">
        <v>41996</v>
      </c>
      <c r="B41997" s="2" t="str">
        <f>IFERROR(__xludf.DUMMYFUNCTION("GOOGLETRANSLATE(A41997, ""de"", ""en"")"),"state")</f>
        <v>state</v>
      </c>
    </row>
    <row r="41998">
      <c r="A41998" s="1" t="s">
        <v>41997</v>
      </c>
      <c r="B41998" s="2" t="str">
        <f>IFERROR(__xludf.DUMMYFUNCTION("GOOGLETRANSLATE(A41998, ""de"", ""en"")"),"broken in")</f>
        <v>broken in</v>
      </c>
    </row>
    <row r="41999">
      <c r="A41999" s="1" t="s">
        <v>41998</v>
      </c>
      <c r="B41999" s="2" t="str">
        <f>IFERROR(__xludf.DUMMYFUNCTION("GOOGLETRANSLATE(A41999, ""de"", ""en"")"),"alonso")</f>
        <v>alonso</v>
      </c>
    </row>
    <row r="42000">
      <c r="A42000" s="1" t="s">
        <v>41999</v>
      </c>
      <c r="B42000" s="2" t="str">
        <f>IFERROR(__xludf.DUMMYFUNCTION("GOOGLETRANSLATE(A42000, ""de"", ""en"")"),"split")</f>
        <v>split</v>
      </c>
    </row>
    <row r="42001">
      <c r="A42001" s="1" t="s">
        <v>42000</v>
      </c>
      <c r="B42001" s="2" t="str">
        <f>IFERROR(__xludf.DUMMYFUNCTION("GOOGLETRANSLATE(A42001, ""de"", ""en"")"),"agony")</f>
        <v>agony</v>
      </c>
    </row>
    <row r="42002">
      <c r="A42002" s="1" t="s">
        <v>42001</v>
      </c>
      <c r="B42002" s="2" t="str">
        <f>IFERROR(__xludf.DUMMYFUNCTION("GOOGLETRANSLATE(A42002, ""de"", ""en"")"),"janos")</f>
        <v>janos</v>
      </c>
    </row>
    <row r="42003">
      <c r="A42003" s="1" t="s">
        <v>42002</v>
      </c>
      <c r="B42003" s="2" t="str">
        <f>IFERROR(__xludf.DUMMYFUNCTION("GOOGLETRANSLATE(A42003, ""de"", ""en"")"),"Guevara")</f>
        <v>Guevara</v>
      </c>
    </row>
    <row r="42004">
      <c r="A42004" s="1" t="s">
        <v>42003</v>
      </c>
      <c r="B42004" s="2" t="str">
        <f>IFERROR(__xludf.DUMMYFUNCTION("GOOGLETRANSLATE(A42004, ""de"", ""en"")"),"most sensible")</f>
        <v>most sensible</v>
      </c>
    </row>
    <row r="42005">
      <c r="A42005" s="1" t="s">
        <v>42004</v>
      </c>
      <c r="B42005" s="2" t="str">
        <f>IFERROR(__xludf.DUMMYFUNCTION("GOOGLETRANSLATE(A42005, ""de"", ""en"")"),"expected")</f>
        <v>expected</v>
      </c>
    </row>
    <row r="42006">
      <c r="A42006" s="1" t="s">
        <v>42005</v>
      </c>
      <c r="B42006" s="2" t="str">
        <f>IFERROR(__xludf.DUMMYFUNCTION("GOOGLETRANSLATE(A42006, ""de"", ""en"")"),"to execute")</f>
        <v>to execute</v>
      </c>
    </row>
    <row r="42007">
      <c r="A42007" s="1" t="s">
        <v>42006</v>
      </c>
      <c r="B42007" s="2" t="str">
        <f>IFERROR(__xludf.DUMMYFUNCTION("GOOGLETRANSLATE(A42007, ""de"", ""en"")"),"painful")</f>
        <v>painful</v>
      </c>
    </row>
    <row r="42008">
      <c r="A42008" s="1" t="s">
        <v>42007</v>
      </c>
      <c r="B42008" s="2" t="str">
        <f>IFERROR(__xludf.DUMMYFUNCTION("GOOGLETRANSLATE(A42008, ""de"", ""en"")"),"sound check")</f>
        <v>sound check</v>
      </c>
    </row>
    <row r="42009">
      <c r="A42009" s="1" t="s">
        <v>42008</v>
      </c>
      <c r="B42009" s="2" t="str">
        <f>IFERROR(__xludf.DUMMYFUNCTION("GOOGLETRANSLATE(A42009, ""de"", ""en"")"),"zero point")</f>
        <v>zero point</v>
      </c>
    </row>
    <row r="42010">
      <c r="A42010" s="1" t="s">
        <v>42009</v>
      </c>
      <c r="B42010" s="2" t="str">
        <f>IFERROR(__xludf.DUMMYFUNCTION("GOOGLETRANSLATE(A42010, ""de"", ""en"")"),"cunning")</f>
        <v>cunning</v>
      </c>
    </row>
    <row r="42011">
      <c r="A42011" s="1" t="s">
        <v>42010</v>
      </c>
      <c r="B42011" s="2" t="str">
        <f>IFERROR(__xludf.DUMMYFUNCTION("GOOGLETRANSLATE(A42011, ""de"", ""en"")"),"zeta")</f>
        <v>zeta</v>
      </c>
    </row>
    <row r="42012">
      <c r="A42012" s="1" t="s">
        <v>42011</v>
      </c>
      <c r="B42012" s="2" t="str">
        <f>IFERROR(__xludf.DUMMYFUNCTION("GOOGLETRANSLATE(A42012, ""de"", ""en"")"),"s01e05")</f>
        <v>s01e05</v>
      </c>
    </row>
    <row r="42013">
      <c r="A42013" s="1" t="s">
        <v>42012</v>
      </c>
      <c r="B42013" s="2" t="str">
        <f>IFERROR(__xludf.DUMMYFUNCTION("GOOGLETRANSLATE(A42013, ""de"", ""en"")"),"halloween party")</f>
        <v>halloween party</v>
      </c>
    </row>
    <row r="42014">
      <c r="A42014" s="1" t="s">
        <v>42013</v>
      </c>
      <c r="B42014" s="2" t="str">
        <f>IFERROR(__xludf.DUMMYFUNCTION("GOOGLETRANSLATE(A42014, ""de"", ""en"")"),"dewitt")</f>
        <v>dewitt</v>
      </c>
    </row>
    <row r="42015">
      <c r="A42015" s="1" t="s">
        <v>42014</v>
      </c>
      <c r="B42015" s="2" t="str">
        <f>IFERROR(__xludf.DUMMYFUNCTION("GOOGLETRANSLATE(A42015, ""de"", ""en"")"),"gaffney")</f>
        <v>gaffney</v>
      </c>
    </row>
    <row r="42016">
      <c r="A42016" s="1" t="s">
        <v>42015</v>
      </c>
      <c r="B42016" s="2" t="str">
        <f>IFERROR(__xludf.DUMMYFUNCTION("GOOGLETRANSLATE(A42016, ""de"", ""en"")"),"kanako")</f>
        <v>kanako</v>
      </c>
    </row>
    <row r="42017">
      <c r="A42017" s="1" t="s">
        <v>42016</v>
      </c>
      <c r="B42017" s="2" t="str">
        <f>IFERROR(__xludf.DUMMYFUNCTION("GOOGLETRANSLATE(A42017, ""de"", ""en"")"),"occupancy")</f>
        <v>occupancy</v>
      </c>
    </row>
    <row r="42018">
      <c r="A42018" s="1" t="s">
        <v>42017</v>
      </c>
      <c r="B42018" s="2" t="str">
        <f>IFERROR(__xludf.DUMMYFUNCTION("GOOGLETRANSLATE(A42018, ""de"", ""en"")"),"cinema film")</f>
        <v>cinema film</v>
      </c>
    </row>
    <row r="42019">
      <c r="A42019" s="1" t="s">
        <v>42018</v>
      </c>
      <c r="B42019" s="2" t="str">
        <f>IFERROR(__xludf.DUMMYFUNCTION("GOOGLETRANSLATE(A42019, ""de"", ""en"")"),"stepsister")</f>
        <v>stepsister</v>
      </c>
    </row>
    <row r="42020">
      <c r="A42020" s="1" t="s">
        <v>42019</v>
      </c>
      <c r="B42020" s="2" t="str">
        <f>IFERROR(__xludf.DUMMYFUNCTION("GOOGLETRANSLATE(A42020, ""de"", ""en"")"),"endured")</f>
        <v>endured</v>
      </c>
    </row>
    <row r="42021">
      <c r="A42021" s="1" t="s">
        <v>42020</v>
      </c>
      <c r="B42021" s="2" t="str">
        <f>IFERROR(__xludf.DUMMYFUNCTION("GOOGLETRANSLATE(A42021, ""de"", ""en"")"),"fuck")</f>
        <v>fuck</v>
      </c>
    </row>
    <row r="42022">
      <c r="A42022" s="1" t="s">
        <v>42021</v>
      </c>
      <c r="B42022" s="2" t="str">
        <f>IFERROR(__xludf.DUMMYFUNCTION("GOOGLETRANSLATE(A42022, ""de"", ""en"")"),"delorean")</f>
        <v>delorean</v>
      </c>
    </row>
    <row r="42023">
      <c r="A42023" s="1" t="s">
        <v>42022</v>
      </c>
      <c r="B42023" s="2" t="str">
        <f>IFERROR(__xludf.DUMMYFUNCTION("GOOGLETRANSLATE(A42023, ""de"", ""en"")"),"vaginas")</f>
        <v>vaginas</v>
      </c>
    </row>
    <row r="42024">
      <c r="A42024" s="1" t="s">
        <v>42023</v>
      </c>
      <c r="B42024" s="2" t="str">
        <f>IFERROR(__xludf.DUMMYFUNCTION("GOOGLETRANSLATE(A42024, ""de"", ""en"")"),"controversies")</f>
        <v>controversies</v>
      </c>
    </row>
    <row r="42025">
      <c r="A42025" s="1" t="s">
        <v>42024</v>
      </c>
      <c r="B42025" s="2" t="str">
        <f>IFERROR(__xludf.DUMMYFUNCTION("GOOGLETRANSLATE(A42025, ""de"", ""en"")"),"bards")</f>
        <v>bards</v>
      </c>
    </row>
    <row r="42026">
      <c r="A42026" s="1" t="s">
        <v>42025</v>
      </c>
      <c r="B42026" s="2" t="str">
        <f>IFERROR(__xludf.DUMMYFUNCTION("GOOGLETRANSLATE(A42026, ""de"", ""en"")"),"liable")</f>
        <v>liable</v>
      </c>
    </row>
    <row r="42027">
      <c r="A42027" s="1" t="s">
        <v>42026</v>
      </c>
      <c r="B42027" s="2" t="str">
        <f>IFERROR(__xludf.DUMMYFUNCTION("GOOGLETRANSLATE(A42027, ""de"", ""en"")"),"whatever")</f>
        <v>whatever</v>
      </c>
    </row>
    <row r="42028">
      <c r="A42028" s="1" t="s">
        <v>42027</v>
      </c>
      <c r="B42028" s="2" t="str">
        <f>IFERROR(__xludf.DUMMYFUNCTION("GOOGLETRANSLATE(A42028, ""de"", ""en"")"),"shields")</f>
        <v>shields</v>
      </c>
    </row>
    <row r="42029">
      <c r="A42029" s="1" t="s">
        <v>42028</v>
      </c>
      <c r="B42029" s="2" t="str">
        <f>IFERROR(__xludf.DUMMYFUNCTION("GOOGLETRANSLATE(A42029, ""de"", ""en"")"),"research results")</f>
        <v>research results</v>
      </c>
    </row>
    <row r="42030">
      <c r="A42030" s="1" t="s">
        <v>42029</v>
      </c>
      <c r="B42030" s="2" t="str">
        <f>IFERROR(__xludf.DUMMYFUNCTION("GOOGLETRANSLATE(A42030, ""de"", ""en"")"),"Elysium")</f>
        <v>Elysium</v>
      </c>
    </row>
    <row r="42031">
      <c r="A42031" s="1" t="s">
        <v>42030</v>
      </c>
      <c r="B42031" s="2" t="str">
        <f>IFERROR(__xludf.DUMMYFUNCTION("GOOGLETRANSLATE(A42031, ""de"", ""en"")"),"sheffield")</f>
        <v>sheffield</v>
      </c>
    </row>
    <row r="42032">
      <c r="A42032" s="1" t="s">
        <v>42031</v>
      </c>
      <c r="B42032" s="2" t="str">
        <f>IFERROR(__xludf.DUMMYFUNCTION("GOOGLETRANSLATE(A42032, ""de"", ""en"")"),"campbells")</f>
        <v>campbells</v>
      </c>
    </row>
    <row r="42033">
      <c r="A42033" s="1" t="s">
        <v>42032</v>
      </c>
      <c r="B42033" s="2" t="str">
        <f>IFERROR(__xludf.DUMMYFUNCTION("GOOGLETRANSLATE(A42033, ""de"", ""en"")"),"crispy")</f>
        <v>crispy</v>
      </c>
    </row>
    <row r="42034">
      <c r="A42034" s="1" t="s">
        <v>42033</v>
      </c>
      <c r="B42034" s="2" t="str">
        <f>IFERROR(__xludf.DUMMYFUNCTION("GOOGLETRANSLATE(A42034, ""de"", ""en"")"),"you suspect")</f>
        <v>you suspect</v>
      </c>
    </row>
    <row r="42035">
      <c r="A42035" s="1" t="s">
        <v>42034</v>
      </c>
      <c r="B42035" s="2" t="str">
        <f>IFERROR(__xludf.DUMMYFUNCTION("GOOGLETRANSLATE(A42035, ""de"", ""en"")"),"chest tube")</f>
        <v>chest tube</v>
      </c>
    </row>
    <row r="42036">
      <c r="A42036" s="1" t="s">
        <v>42035</v>
      </c>
      <c r="B42036" s="2" t="str">
        <f>IFERROR(__xludf.DUMMYFUNCTION("GOOGLETRANSLATE(A42036, ""de"", ""en"")"),"glassy")</f>
        <v>glassy</v>
      </c>
    </row>
    <row r="42037">
      <c r="A42037" s="1" t="s">
        <v>42036</v>
      </c>
      <c r="B42037" s="2" t="str">
        <f>IFERROR(__xludf.DUMMYFUNCTION("GOOGLETRANSLATE(A42037, ""de"", ""en"")"),"claw")</f>
        <v>claw</v>
      </c>
    </row>
    <row r="42038">
      <c r="A42038" s="1" t="s">
        <v>42037</v>
      </c>
      <c r="B42038" s="2" t="str">
        <f>IFERROR(__xludf.DUMMYFUNCTION("GOOGLETRANSLATE(A42038, ""de"", ""en"")"),"slime in")</f>
        <v>slime in</v>
      </c>
    </row>
    <row r="42039">
      <c r="A42039" s="1" t="s">
        <v>42038</v>
      </c>
      <c r="B42039" s="2" t="str">
        <f>IFERROR(__xludf.DUMMYFUNCTION("GOOGLETRANSLATE(A42039, ""de"", ""en"")"),"to wash off")</f>
        <v>to wash off</v>
      </c>
    </row>
    <row r="42040">
      <c r="A42040" s="1" t="s">
        <v>42039</v>
      </c>
      <c r="B42040" s="2" t="str">
        <f>IFERROR(__xludf.DUMMYFUNCTION("GOOGLETRANSLATE(A42040, ""de"", ""en"")"),"marked")</f>
        <v>marked</v>
      </c>
    </row>
    <row r="42041">
      <c r="A42041" s="1" t="s">
        <v>42040</v>
      </c>
      <c r="B42041" s="2" t="str">
        <f>IFERROR(__xludf.DUMMYFUNCTION("GOOGLETRANSLATE(A42041, ""de"", ""en"")"),"shifu")</f>
        <v>shifu</v>
      </c>
    </row>
    <row r="42042">
      <c r="A42042" s="1" t="s">
        <v>42041</v>
      </c>
      <c r="B42042" s="2" t="str">
        <f>IFERROR(__xludf.DUMMYFUNCTION("GOOGLETRANSLATE(A42042, ""de"", ""en"")"),"spore")</f>
        <v>spore</v>
      </c>
    </row>
    <row r="42043">
      <c r="A42043" s="1" t="s">
        <v>42042</v>
      </c>
      <c r="B42043" s="2" t="str">
        <f>IFERROR(__xludf.DUMMYFUNCTION("GOOGLETRANSLATE(A42043, ""de"", ""en"")"),"b.b.")</f>
        <v>b.b.</v>
      </c>
    </row>
    <row r="42044">
      <c r="A42044" s="1" t="s">
        <v>42043</v>
      </c>
      <c r="B42044" s="2" t="str">
        <f>IFERROR(__xludf.DUMMYFUNCTION("GOOGLETRANSLATE(A42044, ""de"", ""en"")"),"kyra")</f>
        <v>kyra</v>
      </c>
    </row>
    <row r="42045">
      <c r="A42045" s="1" t="s">
        <v>42044</v>
      </c>
      <c r="B42045" s="2" t="str">
        <f>IFERROR(__xludf.DUMMYFUNCTION("GOOGLETRANSLATE(A42045, ""de"", ""en"")"),"magazine")</f>
        <v>magazine</v>
      </c>
    </row>
    <row r="42046">
      <c r="A42046" s="1" t="s">
        <v>42045</v>
      </c>
      <c r="B42046" s="2" t="str">
        <f>IFERROR(__xludf.DUMMYFUNCTION("GOOGLETRANSLATE(A42046, ""de"", ""en"")"),"markets")</f>
        <v>markets</v>
      </c>
    </row>
    <row r="42047">
      <c r="A42047" s="1" t="s">
        <v>42046</v>
      </c>
      <c r="B42047" s="2" t="str">
        <f>IFERROR(__xludf.DUMMYFUNCTION("GOOGLETRANSLATE(A42047, ""de"", ""en"")"),"static")</f>
        <v>static</v>
      </c>
    </row>
    <row r="42048">
      <c r="A42048" s="1" t="s">
        <v>42047</v>
      </c>
      <c r="B42048" s="2" t="str">
        <f>IFERROR(__xludf.DUMMYFUNCTION("GOOGLETRANSLATE(A42048, ""de"", ""en"")"),"service")</f>
        <v>service</v>
      </c>
    </row>
    <row r="42049">
      <c r="A42049" s="1" t="s">
        <v>42048</v>
      </c>
      <c r="B42049" s="2" t="str">
        <f>IFERROR(__xludf.DUMMYFUNCTION("GOOGLETRANSLATE(A42049, ""de"", ""en"")"),"let go")</f>
        <v>let go</v>
      </c>
    </row>
    <row r="42050">
      <c r="A42050" s="1" t="s">
        <v>42049</v>
      </c>
      <c r="B42050" s="2" t="str">
        <f>IFERROR(__xludf.DUMMYFUNCTION("GOOGLETRANSLATE(A42050, ""de"", ""en"")"),"to bring down")</f>
        <v>to bring down</v>
      </c>
    </row>
    <row r="42051">
      <c r="A42051" s="1" t="s">
        <v>42050</v>
      </c>
      <c r="B42051" s="2" t="str">
        <f>IFERROR(__xludf.DUMMYFUNCTION("GOOGLETRANSLATE(A42051, ""de"", ""en"")"),"spots")</f>
        <v>spots</v>
      </c>
    </row>
    <row r="42052">
      <c r="A42052" s="1" t="s">
        <v>42051</v>
      </c>
      <c r="B42052" s="2" t="str">
        <f>IFERROR(__xludf.DUMMYFUNCTION("GOOGLETRANSLATE(A42052, ""de"", ""en"")"),"planned")</f>
        <v>planned</v>
      </c>
    </row>
    <row r="42053">
      <c r="A42053" s="1" t="s">
        <v>42052</v>
      </c>
      <c r="B42053" s="2" t="str">
        <f>IFERROR(__xludf.DUMMYFUNCTION("GOOGLETRANSLATE(A42053, ""de"", ""en"")"),"buckner")</f>
        <v>buckner</v>
      </c>
    </row>
    <row r="42054">
      <c r="A42054" s="1" t="s">
        <v>42053</v>
      </c>
      <c r="B42054" s="2" t="str">
        <f>IFERROR(__xludf.DUMMYFUNCTION("GOOGLETRANSLATE(A42054, ""de"", ""en"")"),"energy")</f>
        <v>energy</v>
      </c>
    </row>
    <row r="42055">
      <c r="A42055" s="1" t="s">
        <v>42054</v>
      </c>
      <c r="B42055" s="2" t="str">
        <f>IFERROR(__xludf.DUMMYFUNCTION("GOOGLETRANSLATE(A42055, ""de"", ""en"")"),"vila")</f>
        <v>vila</v>
      </c>
    </row>
    <row r="42056">
      <c r="A42056" s="1" t="s">
        <v>42055</v>
      </c>
      <c r="B42056" s="2" t="str">
        <f>IFERROR(__xludf.DUMMYFUNCTION("GOOGLETRANSLATE(A42056, ""de"", ""en"")"),"qaida")</f>
        <v>qaida</v>
      </c>
    </row>
    <row r="42057">
      <c r="A42057" s="1" t="s">
        <v>42056</v>
      </c>
      <c r="B42057" s="2" t="str">
        <f>IFERROR(__xludf.DUMMYFUNCTION("GOOGLETRANSLATE(A42057, ""de"", ""en"")"),"Pierson")</f>
        <v>Pierson</v>
      </c>
    </row>
    <row r="42058">
      <c r="A42058" s="1" t="s">
        <v>42057</v>
      </c>
      <c r="B42058" s="2" t="str">
        <f>IFERROR(__xludf.DUMMYFUNCTION("GOOGLETRANSLATE(A42058, ""de"", ""en"")"),"transferable")</f>
        <v>transferable</v>
      </c>
    </row>
    <row r="42059">
      <c r="A42059" s="1" t="s">
        <v>42058</v>
      </c>
      <c r="B42059" s="2" t="str">
        <f>IFERROR(__xludf.DUMMYFUNCTION("GOOGLETRANSLATE(A42059, ""de"", ""en"")"),"grimaud")</f>
        <v>grimaud</v>
      </c>
    </row>
    <row r="42060">
      <c r="A42060" s="1" t="s">
        <v>42059</v>
      </c>
      <c r="B42060" s="2" t="str">
        <f>IFERROR(__xludf.DUMMYFUNCTION("GOOGLETRANSLATE(A42060, ""de"", ""en"")"),"stranger")</f>
        <v>stranger</v>
      </c>
    </row>
    <row r="42061">
      <c r="A42061" s="1" t="s">
        <v>42060</v>
      </c>
      <c r="B42061" s="2" t="str">
        <f>IFERROR(__xludf.DUMMYFUNCTION("GOOGLETRANSLATE(A42061, ""de"", ""en"")"),"through this")</f>
        <v>through this</v>
      </c>
    </row>
    <row r="42062">
      <c r="A42062" s="1" t="s">
        <v>42061</v>
      </c>
      <c r="B42062" s="2" t="str">
        <f>IFERROR(__xludf.DUMMYFUNCTION("GOOGLETRANSLATE(A42062, ""de"", ""en"")"),"does")</f>
        <v>does</v>
      </c>
    </row>
    <row r="42063">
      <c r="A42063" s="1" t="s">
        <v>42062</v>
      </c>
      <c r="B42063" s="2" t="str">
        <f>IFERROR(__xludf.DUMMYFUNCTION("GOOGLETRANSLATE(A42063, ""de"", ""en"")"),"armored")</f>
        <v>armored</v>
      </c>
    </row>
    <row r="42064">
      <c r="A42064" s="1" t="s">
        <v>42063</v>
      </c>
      <c r="B42064" s="2" t="str">
        <f>IFERROR(__xludf.DUMMYFUNCTION("GOOGLETRANSLATE(A42064, ""de"", ""en"")"),"health")</f>
        <v>health</v>
      </c>
    </row>
    <row r="42065">
      <c r="A42065" s="1" t="s">
        <v>42064</v>
      </c>
      <c r="B42065" s="2" t="str">
        <f>IFERROR(__xludf.DUMMYFUNCTION("GOOGLETRANSLATE(A42065, ""de"", ""en"")"),"north wind")</f>
        <v>north wind</v>
      </c>
    </row>
    <row r="42066">
      <c r="A42066" s="1" t="s">
        <v>42065</v>
      </c>
      <c r="B42066" s="2" t="str">
        <f>IFERROR(__xludf.DUMMYFUNCTION("GOOGLETRANSLATE(A42066, ""de"", ""en"")"),"refrigerators")</f>
        <v>refrigerators</v>
      </c>
    </row>
    <row r="42067">
      <c r="A42067" s="1" t="s">
        <v>42066</v>
      </c>
      <c r="B42067" s="2" t="str">
        <f>IFERROR(__xludf.DUMMYFUNCTION("GOOGLETRANSLATE(A42067, ""de"", ""en"")"),"flatter")</f>
        <v>flatter</v>
      </c>
    </row>
    <row r="42068">
      <c r="A42068" s="1" t="s">
        <v>42067</v>
      </c>
      <c r="B42068" s="2" t="str">
        <f>IFERROR(__xludf.DUMMYFUNCTION("GOOGLETRANSLATE(A42068, ""de"", ""en"")"),"marched")</f>
        <v>marched</v>
      </c>
    </row>
    <row r="42069">
      <c r="A42069" s="1" t="s">
        <v>42068</v>
      </c>
      <c r="B42069" s="2" t="str">
        <f>IFERROR(__xludf.DUMMYFUNCTION("GOOGLETRANSLATE(A42069, ""de"", ""en"")"),"strangely")</f>
        <v>strangely</v>
      </c>
    </row>
    <row r="42070">
      <c r="A42070" s="1" t="s">
        <v>42069</v>
      </c>
      <c r="B42070" s="2" t="str">
        <f>IFERROR(__xludf.DUMMYFUNCTION("GOOGLETRANSLATE(A42070, ""de"", ""en"")"),"cipher")</f>
        <v>cipher</v>
      </c>
    </row>
    <row r="42071">
      <c r="A42071" s="1" t="s">
        <v>42070</v>
      </c>
      <c r="B42071" s="2" t="str">
        <f>IFERROR(__xludf.DUMMYFUNCTION("GOOGLETRANSLATE(A42071, ""de"", ""en"")"),"pianists")</f>
        <v>pianists</v>
      </c>
    </row>
    <row r="42072">
      <c r="A42072" s="1" t="s">
        <v>42071</v>
      </c>
      <c r="B42072" s="2" t="str">
        <f>IFERROR(__xludf.DUMMYFUNCTION("GOOGLETRANSLATE(A42072, ""de"", ""en"")"),"charter")</f>
        <v>charter</v>
      </c>
    </row>
    <row r="42073">
      <c r="A42073" s="1" t="s">
        <v>42072</v>
      </c>
      <c r="B42073" s="2" t="str">
        <f>IFERROR(__xludf.DUMMYFUNCTION("GOOGLETRANSLATE(A42073, ""de"", ""en"")"),"shareholders")</f>
        <v>shareholders</v>
      </c>
    </row>
    <row r="42074">
      <c r="A42074" s="1" t="s">
        <v>42073</v>
      </c>
      <c r="B42074" s="2" t="str">
        <f>IFERROR(__xludf.DUMMYFUNCTION("GOOGLETRANSLATE(A42074, ""de"", ""en"")"),"powerless")</f>
        <v>powerless</v>
      </c>
    </row>
    <row r="42075">
      <c r="A42075" s="1" t="s">
        <v>42074</v>
      </c>
      <c r="B42075" s="2" t="str">
        <f>IFERROR(__xludf.DUMMYFUNCTION("GOOGLETRANSLATE(A42075, ""de"", ""en"")"),"ignite")</f>
        <v>ignite</v>
      </c>
    </row>
    <row r="42076">
      <c r="A42076" s="1" t="s">
        <v>42075</v>
      </c>
      <c r="B42076" s="2" t="str">
        <f>IFERROR(__xludf.DUMMYFUNCTION("GOOGLETRANSLATE(A42076, ""de"", ""en"")"),"Swahili")</f>
        <v>Swahili</v>
      </c>
    </row>
    <row r="42077">
      <c r="A42077" s="1" t="s">
        <v>42076</v>
      </c>
      <c r="B42077" s="2" t="str">
        <f>IFERROR(__xludf.DUMMYFUNCTION("GOOGLETRANSLATE(A42077, ""de"", ""en"")"),"pettigrew")</f>
        <v>pettigrew</v>
      </c>
    </row>
    <row r="42078">
      <c r="A42078" s="1" t="s">
        <v>42077</v>
      </c>
      <c r="B42078" s="2" t="str">
        <f>IFERROR(__xludf.DUMMYFUNCTION("GOOGLETRANSLATE(A42078, ""de"", ""en"")"),"treasure")</f>
        <v>treasure</v>
      </c>
    </row>
    <row r="42079">
      <c r="A42079" s="1" t="s">
        <v>42078</v>
      </c>
      <c r="B42079" s="2" t="str">
        <f>IFERROR(__xludf.DUMMYFUNCTION("GOOGLETRANSLATE(A42079, ""de"", ""en"")"),"controller")</f>
        <v>controller</v>
      </c>
    </row>
    <row r="42080">
      <c r="A42080" s="1" t="s">
        <v>42079</v>
      </c>
      <c r="B42080" s="2" t="str">
        <f>IFERROR(__xludf.DUMMYFUNCTION("GOOGLETRANSLATE(A42080, ""de"", ""en"")"),"kaulder")</f>
        <v>kaulder</v>
      </c>
    </row>
    <row r="42081">
      <c r="A42081" s="1" t="s">
        <v>42080</v>
      </c>
      <c r="B42081" s="2" t="str">
        <f>IFERROR(__xludf.DUMMYFUNCTION("GOOGLETRANSLATE(A42081, ""de"", ""en"")"),"bloodthirsty")</f>
        <v>bloodthirsty</v>
      </c>
    </row>
    <row r="42082">
      <c r="A42082" s="1" t="s">
        <v>42081</v>
      </c>
      <c r="B42082" s="2" t="str">
        <f>IFERROR(__xludf.DUMMYFUNCTION("GOOGLETRANSLATE(A42082, ""de"", ""en"")"),"Reynholm")</f>
        <v>Reynholm</v>
      </c>
    </row>
    <row r="42083">
      <c r="A42083" s="1" t="s">
        <v>42082</v>
      </c>
      <c r="B42083" s="2" t="str">
        <f>IFERROR(__xludf.DUMMYFUNCTION("GOOGLETRANSLATE(A42083, ""de"", ""en"")"),"soap bubbles")</f>
        <v>soap bubbles</v>
      </c>
    </row>
    <row r="42084">
      <c r="A42084" s="1" t="s">
        <v>42083</v>
      </c>
      <c r="B42084" s="2" t="str">
        <f>IFERROR(__xludf.DUMMYFUNCTION("GOOGLETRANSLATE(A42084, ""de"", ""en"")"),"whitehead")</f>
        <v>whitehead</v>
      </c>
    </row>
    <row r="42085">
      <c r="A42085" s="1" t="s">
        <v>42084</v>
      </c>
      <c r="B42085" s="2" t="str">
        <f>IFERROR(__xludf.DUMMYFUNCTION("GOOGLETRANSLATE(A42085, ""de"", ""en"")"),"sachiko")</f>
        <v>sachiko</v>
      </c>
    </row>
    <row r="42086">
      <c r="A42086" s="1" t="s">
        <v>42085</v>
      </c>
      <c r="B42086" s="2" t="str">
        <f>IFERROR(__xludf.DUMMYFUNCTION("GOOGLETRANSLATE(A42086, ""de"", ""en"")"),"dressing gown")</f>
        <v>dressing gown</v>
      </c>
    </row>
    <row r="42087">
      <c r="A42087" s="1" t="s">
        <v>42086</v>
      </c>
      <c r="B42087" s="2" t="str">
        <f>IFERROR(__xludf.DUMMYFUNCTION("GOOGLETRANSLATE(A42087, ""de"", ""en"")"),"bedrooms")</f>
        <v>bedrooms</v>
      </c>
    </row>
    <row r="42088">
      <c r="A42088" s="1" t="s">
        <v>42087</v>
      </c>
      <c r="B42088" s="2" t="str">
        <f>IFERROR(__xludf.DUMMYFUNCTION("GOOGLETRANSLATE(A42088, ""de"", ""en"")"),"Christmas carol")</f>
        <v>Christmas carol</v>
      </c>
    </row>
    <row r="42089">
      <c r="A42089" s="1" t="s">
        <v>42088</v>
      </c>
      <c r="B42089" s="2" t="str">
        <f>IFERROR(__xludf.DUMMYFUNCTION("GOOGLETRANSLATE(A42089, ""de"", ""en"")"),"loosen")</f>
        <v>loosen</v>
      </c>
    </row>
    <row r="42090">
      <c r="A42090" s="1" t="s">
        <v>42089</v>
      </c>
      <c r="B42090" s="2" t="str">
        <f>IFERROR(__xludf.DUMMYFUNCTION("GOOGLETRANSLATE(A42090, ""de"", ""en"")"),"digby")</f>
        <v>digby</v>
      </c>
    </row>
    <row r="42091">
      <c r="A42091" s="1" t="s">
        <v>42090</v>
      </c>
      <c r="B42091" s="2" t="str">
        <f>IFERROR(__xludf.DUMMYFUNCTION("GOOGLETRANSLATE(A42091, ""de"", ""en"")"),"negotiated")</f>
        <v>negotiated</v>
      </c>
    </row>
    <row r="42092">
      <c r="A42092" s="1" t="s">
        <v>42091</v>
      </c>
      <c r="B42092" s="2" t="str">
        <f>IFERROR(__xludf.DUMMYFUNCTION("GOOGLETRANSLATE(A42092, ""de"", ""en"")"),"Gaspard")</f>
        <v>Gaspard</v>
      </c>
    </row>
    <row r="42093">
      <c r="A42093" s="1" t="s">
        <v>42092</v>
      </c>
      <c r="B42093" s="2" t="str">
        <f>IFERROR(__xludf.DUMMYFUNCTION("GOOGLETRANSLATE(A42093, ""de"", ""en"")"),"residential area")</f>
        <v>residential area</v>
      </c>
    </row>
    <row r="42094">
      <c r="A42094" s="1" t="s">
        <v>42093</v>
      </c>
      <c r="B42094" s="2" t="str">
        <f>IFERROR(__xludf.DUMMYFUNCTION("GOOGLETRANSLATE(A42094, ""de"", ""en"")"),"bigwigs")</f>
        <v>bigwigs</v>
      </c>
    </row>
    <row r="42095">
      <c r="A42095" s="1" t="s">
        <v>42094</v>
      </c>
      <c r="B42095" s="2" t="str">
        <f>IFERROR(__xludf.DUMMYFUNCTION("GOOGLETRANSLATE(A42095, ""de"", ""en"")"),"snagtooth")</f>
        <v>snagtooth</v>
      </c>
    </row>
    <row r="42096">
      <c r="A42096" s="1" t="s">
        <v>42095</v>
      </c>
      <c r="B42096" s="2" t="str">
        <f>IFERROR(__xludf.DUMMYFUNCTION("GOOGLETRANSLATE(A42096, ""de"", ""en"")"),"double layers")</f>
        <v>double layers</v>
      </c>
    </row>
    <row r="42097">
      <c r="A42097" s="1" t="s">
        <v>42096</v>
      </c>
      <c r="B42097" s="2" t="str">
        <f>IFERROR(__xludf.DUMMYFUNCTION("GOOGLETRANSLATE(A42097, ""de"", ""en"")"),"deceptive")</f>
        <v>deceptive</v>
      </c>
    </row>
    <row r="42098">
      <c r="A42098" s="1" t="s">
        <v>42097</v>
      </c>
      <c r="B42098" s="2" t="str">
        <f>IFERROR(__xludf.DUMMYFUNCTION("GOOGLETRANSLATE(A42098, ""de"", ""en"")"),"snobs")</f>
        <v>snobs</v>
      </c>
    </row>
    <row r="42099">
      <c r="A42099" s="1" t="s">
        <v>42098</v>
      </c>
      <c r="B42099" s="2" t="str">
        <f>IFERROR(__xludf.DUMMYFUNCTION("GOOGLETRANSLATE(A42099, ""de"", ""en"")"),"Elijah")</f>
        <v>Elijah</v>
      </c>
    </row>
    <row r="42100">
      <c r="A42100" s="1" t="s">
        <v>42099</v>
      </c>
      <c r="B42100" s="2" t="str">
        <f>IFERROR(__xludf.DUMMYFUNCTION("GOOGLETRANSLATE(A42100, ""de"", ""en"")"),"resettlement")</f>
        <v>resettlement</v>
      </c>
    </row>
    <row r="42101">
      <c r="A42101" s="1" t="s">
        <v>42100</v>
      </c>
      <c r="B42101" s="2" t="str">
        <f>IFERROR(__xludf.DUMMYFUNCTION("GOOGLETRANSLATE(A42101, ""de"", ""en"")"),"nixons")</f>
        <v>nixons</v>
      </c>
    </row>
    <row r="42102">
      <c r="A42102" s="1" t="s">
        <v>42101</v>
      </c>
      <c r="B42102" s="2" t="str">
        <f>IFERROR(__xludf.DUMMYFUNCTION("GOOGLETRANSLATE(A42102, ""de"", ""en"")"),"more negative")</f>
        <v>more negative</v>
      </c>
    </row>
    <row r="42103">
      <c r="A42103" s="1" t="s">
        <v>42102</v>
      </c>
      <c r="B42103" s="2" t="str">
        <f>IFERROR(__xludf.DUMMYFUNCTION("GOOGLETRANSLATE(A42103, ""de"", ""en"")"),"more unscrupulous")</f>
        <v>more unscrupulous</v>
      </c>
    </row>
    <row r="42104">
      <c r="A42104" s="1" t="s">
        <v>42103</v>
      </c>
      <c r="B42104" s="2" t="str">
        <f>IFERROR(__xludf.DUMMYFUNCTION("GOOGLETRANSLATE(A42104, ""de"", ""en"")"),"trained")</f>
        <v>trained</v>
      </c>
    </row>
    <row r="42105">
      <c r="A42105" s="1" t="s">
        <v>42104</v>
      </c>
      <c r="B42105" s="2" t="str">
        <f>IFERROR(__xludf.DUMMYFUNCTION("GOOGLETRANSLATE(A42105, ""de"", ""en"")"),"immaturity")</f>
        <v>immaturity</v>
      </c>
    </row>
    <row r="42106">
      <c r="A42106" s="1" t="s">
        <v>42105</v>
      </c>
      <c r="B42106" s="2" t="str">
        <f>IFERROR(__xludf.DUMMYFUNCTION("GOOGLETRANSLATE(A42106, ""de"", ""en"")"),"privates")</f>
        <v>privates</v>
      </c>
    </row>
    <row r="42107">
      <c r="A42107" s="1" t="s">
        <v>42106</v>
      </c>
      <c r="B42107" s="2" t="str">
        <f>IFERROR(__xludf.DUMMYFUNCTION("GOOGLETRANSLATE(A42107, ""de"", ""en"")"),"opal")</f>
        <v>opal</v>
      </c>
    </row>
    <row r="42108">
      <c r="A42108" s="1" t="s">
        <v>42107</v>
      </c>
      <c r="B42108" s="2" t="str">
        <f>IFERROR(__xludf.DUMMYFUNCTION("GOOGLETRANSLATE(A42108, ""de"", ""en"")"),"coffees")</f>
        <v>coffees</v>
      </c>
    </row>
    <row r="42109">
      <c r="A42109" s="1" t="s">
        <v>42108</v>
      </c>
      <c r="B42109" s="2" t="str">
        <f>IFERROR(__xludf.DUMMYFUNCTION("GOOGLETRANSLATE(A42109, ""de"", ""en"")"),"formed")</f>
        <v>formed</v>
      </c>
    </row>
    <row r="42110">
      <c r="A42110" s="1" t="s">
        <v>42109</v>
      </c>
      <c r="B42110" s="2" t="str">
        <f>IFERROR(__xludf.DUMMYFUNCTION("GOOGLETRANSLATE(A42110, ""de"", ""en"")"),"points")</f>
        <v>points</v>
      </c>
    </row>
    <row r="42111">
      <c r="A42111" s="1" t="s">
        <v>42110</v>
      </c>
      <c r="B42111" s="2" t="str">
        <f>IFERROR(__xludf.DUMMYFUNCTION("GOOGLETRANSLATE(A42111, ""de"", ""en"")"),"pray")</f>
        <v>pray</v>
      </c>
    </row>
    <row r="42112">
      <c r="A42112" s="1" t="s">
        <v>42111</v>
      </c>
      <c r="B42112" s="2" t="str">
        <f>IFERROR(__xludf.DUMMYFUNCTION("GOOGLETRANSLATE(A42112, ""de"", ""en"")"),"twenties")</f>
        <v>twenties</v>
      </c>
    </row>
    <row r="42113">
      <c r="A42113" s="1" t="s">
        <v>42112</v>
      </c>
      <c r="B42113" s="2" t="str">
        <f>IFERROR(__xludf.DUMMYFUNCTION("GOOGLETRANSLATE(A42113, ""de"", ""en"")"),"cruelest")</f>
        <v>cruelest</v>
      </c>
    </row>
    <row r="42114">
      <c r="A42114" s="1" t="s">
        <v>42113</v>
      </c>
      <c r="B42114" s="2" t="str">
        <f>IFERROR(__xludf.DUMMYFUNCTION("GOOGLETRANSLATE(A42114, ""de"", ""en"")"),"turn around")</f>
        <v>turn around</v>
      </c>
    </row>
    <row r="42115">
      <c r="A42115" s="1" t="s">
        <v>42114</v>
      </c>
      <c r="B42115" s="2" t="str">
        <f>IFERROR(__xludf.DUMMYFUNCTION("GOOGLETRANSLATE(A42115, ""de"", ""en"")"),"list")</f>
        <v>list</v>
      </c>
    </row>
    <row r="42116">
      <c r="A42116" s="1" t="s">
        <v>42115</v>
      </c>
      <c r="B42116" s="2" t="str">
        <f>IFERROR(__xludf.DUMMYFUNCTION("GOOGLETRANSLATE(A42116, ""de"", ""en"")"),"happiness")</f>
        <v>happiness</v>
      </c>
    </row>
    <row r="42117">
      <c r="A42117" s="1" t="s">
        <v>42116</v>
      </c>
      <c r="B42117" s="2" t="str">
        <f>IFERROR(__xludf.DUMMYFUNCTION("GOOGLETRANSLATE(A42117, ""de"", ""en"")"),"modified")</f>
        <v>modified</v>
      </c>
    </row>
    <row r="42118">
      <c r="A42118" s="1" t="s">
        <v>42117</v>
      </c>
      <c r="B42118" s="2" t="str">
        <f>IFERROR(__xludf.DUMMYFUNCTION("GOOGLETRANSLATE(A42118, ""de"", ""en"")"),"trifle")</f>
        <v>trifle</v>
      </c>
    </row>
    <row r="42119">
      <c r="A42119" s="1" t="s">
        <v>42118</v>
      </c>
      <c r="B42119" s="2" t="str">
        <f>IFERROR(__xludf.DUMMYFUNCTION("GOOGLETRANSLATE(A42119, ""de"", ""en"")"),"loops")</f>
        <v>loops</v>
      </c>
    </row>
    <row r="42120">
      <c r="A42120" s="1" t="s">
        <v>42119</v>
      </c>
      <c r="B42120" s="2" t="str">
        <f>IFERROR(__xludf.DUMMYFUNCTION("GOOGLETRANSLATE(A42120, ""de"", ""en"")"),"coyle")</f>
        <v>coyle</v>
      </c>
    </row>
    <row r="42121">
      <c r="A42121" s="1" t="s">
        <v>42120</v>
      </c>
      <c r="B42121" s="2" t="str">
        <f>IFERROR(__xludf.DUMMYFUNCTION("GOOGLETRANSLATE(A42121, ""de"", ""en"")"),"enter")</f>
        <v>enter</v>
      </c>
    </row>
    <row r="42122">
      <c r="A42122" s="1" t="s">
        <v>42121</v>
      </c>
      <c r="B42122" s="2" t="str">
        <f>IFERROR(__xludf.DUMMYFUNCTION("GOOGLETRANSLATE(A42122, ""de"", ""en"")"),"zedd")</f>
        <v>zedd</v>
      </c>
    </row>
    <row r="42123">
      <c r="A42123" s="1" t="s">
        <v>42122</v>
      </c>
      <c r="B42123" s="2" t="str">
        <f>IFERROR(__xludf.DUMMYFUNCTION("GOOGLETRANSLATE(A42123, ""de"", ""en"")"),"scorched")</f>
        <v>scorched</v>
      </c>
    </row>
    <row r="42124">
      <c r="A42124" s="1" t="s">
        <v>42123</v>
      </c>
      <c r="B42124" s="2" t="str">
        <f>IFERROR(__xludf.DUMMYFUNCTION("GOOGLETRANSLATE(A42124, ""de"", ""en"")"),"lolly")</f>
        <v>lolly</v>
      </c>
    </row>
    <row r="42125">
      <c r="A42125" s="1" t="s">
        <v>42124</v>
      </c>
      <c r="B42125" s="2" t="str">
        <f>IFERROR(__xludf.DUMMYFUNCTION("GOOGLETRANSLATE(A42125, ""de"", ""en"")"),"came there")</f>
        <v>came there</v>
      </c>
    </row>
    <row r="42126">
      <c r="A42126" s="1" t="s">
        <v>42125</v>
      </c>
      <c r="B42126" s="2" t="str">
        <f>IFERROR(__xludf.DUMMYFUNCTION("GOOGLETRANSLATE(A42126, ""de"", ""en"")"),"heavenly")</f>
        <v>heavenly</v>
      </c>
    </row>
    <row r="42127">
      <c r="A42127" s="1" t="s">
        <v>42126</v>
      </c>
      <c r="B42127" s="2" t="str">
        <f>IFERROR(__xludf.DUMMYFUNCTION("GOOGLETRANSLATE(A42127, ""de"", ""en"")"),"partii")</f>
        <v>partii</v>
      </c>
    </row>
    <row r="42128">
      <c r="A42128" s="1" t="s">
        <v>42127</v>
      </c>
      <c r="B42128" s="2" t="str">
        <f>IFERROR(__xludf.DUMMYFUNCTION("GOOGLETRANSLATE(A42128, ""de"", ""en"")"),"science officer")</f>
        <v>science officer</v>
      </c>
    </row>
    <row r="42129">
      <c r="A42129" s="1" t="s">
        <v>42128</v>
      </c>
      <c r="B42129" s="2" t="str">
        <f>IFERROR(__xludf.DUMMYFUNCTION("GOOGLETRANSLATE(A42129, ""de"", ""en"")"),"duncans")</f>
        <v>duncans</v>
      </c>
    </row>
    <row r="42130">
      <c r="A42130" s="1" t="s">
        <v>42129</v>
      </c>
      <c r="B42130" s="2" t="str">
        <f>IFERROR(__xludf.DUMMYFUNCTION("GOOGLETRANSLATE(A42130, ""de"", ""en"")"),"hoods")</f>
        <v>hoods</v>
      </c>
    </row>
    <row r="42131">
      <c r="A42131" s="1" t="s">
        <v>42130</v>
      </c>
      <c r="B42131" s="2" t="str">
        <f>IFERROR(__xludf.DUMMYFUNCTION("GOOGLETRANSLATE(A42131, ""de"", ""en"")"),"semester")</f>
        <v>semester</v>
      </c>
    </row>
    <row r="42132">
      <c r="A42132" s="1" t="s">
        <v>42131</v>
      </c>
      <c r="B42132" s="2" t="str">
        <f>IFERROR(__xludf.DUMMYFUNCTION("GOOGLETRANSLATE(A42132, ""de"", ""en"")"),"brainpower")</f>
        <v>brainpower</v>
      </c>
    </row>
    <row r="42133">
      <c r="A42133" s="1" t="s">
        <v>42132</v>
      </c>
      <c r="B42133" s="2" t="str">
        <f>IFERROR(__xludf.DUMMYFUNCTION("GOOGLETRANSLATE(A42133, ""de"", ""en"")"),"chessboard")</f>
        <v>chessboard</v>
      </c>
    </row>
    <row r="42134">
      <c r="A42134" s="1" t="s">
        <v>42133</v>
      </c>
      <c r="B42134" s="2" t="str">
        <f>IFERROR(__xludf.DUMMYFUNCTION("GOOGLETRANSLATE(A42134, ""de"", ""en"")"),"piri")</f>
        <v>piri</v>
      </c>
    </row>
    <row r="42135">
      <c r="A42135" s="1" t="s">
        <v>42134</v>
      </c>
      <c r="B42135" s="2" t="str">
        <f>IFERROR(__xludf.DUMMYFUNCTION("GOOGLETRANSLATE(A42135, ""de"", ""en"")"),"Manhattan")</f>
        <v>Manhattan</v>
      </c>
    </row>
    <row r="42136">
      <c r="A42136" s="1" t="s">
        <v>42135</v>
      </c>
      <c r="B42136" s="2" t="str">
        <f>IFERROR(__xludf.DUMMYFUNCTION("GOOGLETRANSLATE(A42136, ""de"", ""en"")"),"galactic")</f>
        <v>galactic</v>
      </c>
    </row>
    <row r="42137">
      <c r="A42137" s="1" t="s">
        <v>42136</v>
      </c>
      <c r="B42137" s="2" t="str">
        <f>IFERROR(__xludf.DUMMYFUNCTION("GOOGLETRANSLATE(A42137, ""de"", ""en"")"),"throws away")</f>
        <v>throws away</v>
      </c>
    </row>
    <row r="42138">
      <c r="A42138" s="1" t="s">
        <v>42137</v>
      </c>
      <c r="B42138" s="2" t="str">
        <f>IFERROR(__xludf.DUMMYFUNCTION("GOOGLETRANSLATE(A42138, ""de"", ""en"")"),"manipulate")</f>
        <v>manipulate</v>
      </c>
    </row>
    <row r="42139">
      <c r="A42139" s="1" t="s">
        <v>42138</v>
      </c>
      <c r="B42139" s="2" t="str">
        <f>IFERROR(__xludf.DUMMYFUNCTION("GOOGLETRANSLATE(A42139, ""de"", ""en"")"),"ghislaine")</f>
        <v>ghislaine</v>
      </c>
    </row>
    <row r="42140">
      <c r="A42140" s="1" t="s">
        <v>42139</v>
      </c>
      <c r="B42140" s="2" t="str">
        <f>IFERROR(__xludf.DUMMYFUNCTION("GOOGLETRANSLATE(A42140, ""de"", ""en"")"),"crush")</f>
        <v>crush</v>
      </c>
    </row>
    <row r="42141">
      <c r="A42141" s="1" t="s">
        <v>42140</v>
      </c>
      <c r="B42141" s="2" t="str">
        <f>IFERROR(__xludf.DUMMYFUNCTION("GOOGLETRANSLATE(A42141, ""de"", ""en"")"),"educated")</f>
        <v>educated</v>
      </c>
    </row>
    <row r="42142">
      <c r="A42142" s="1" t="s">
        <v>42141</v>
      </c>
      <c r="B42142" s="2" t="str">
        <f>IFERROR(__xludf.DUMMYFUNCTION("GOOGLETRANSLATE(A42142, ""de"", ""en"")"),"fictional")</f>
        <v>fictional</v>
      </c>
    </row>
    <row r="42143">
      <c r="A42143" s="1" t="s">
        <v>42142</v>
      </c>
      <c r="B42143" s="2" t="str">
        <f>IFERROR(__xludf.DUMMYFUNCTION("GOOGLETRANSLATE(A42143, ""de"", ""en"")"),"daisys")</f>
        <v>daisys</v>
      </c>
    </row>
    <row r="42144">
      <c r="A42144" s="1" t="s">
        <v>42143</v>
      </c>
      <c r="B42144" s="2" t="str">
        <f>IFERROR(__xludf.DUMMYFUNCTION("GOOGLETRANSLATE(A42144, ""de"", ""en"")"),"kowloon")</f>
        <v>kowloon</v>
      </c>
    </row>
    <row r="42145">
      <c r="A42145" s="1" t="s">
        <v>42144</v>
      </c>
      <c r="B42145" s="2" t="str">
        <f>IFERROR(__xludf.DUMMYFUNCTION("GOOGLETRANSLATE(A42145, ""de"", ""en"")"),"secured")</f>
        <v>secured</v>
      </c>
    </row>
    <row r="42146">
      <c r="A42146" s="1" t="s">
        <v>42145</v>
      </c>
      <c r="B42146" s="2" t="str">
        <f>IFERROR(__xludf.DUMMYFUNCTION("GOOGLETRANSLATE(A42146, ""de"", ""en"")"),"gregoire")</f>
        <v>gregoire</v>
      </c>
    </row>
    <row r="42147">
      <c r="A42147" s="1" t="s">
        <v>42146</v>
      </c>
      <c r="B42147" s="2" t="str">
        <f>IFERROR(__xludf.DUMMYFUNCTION("GOOGLETRANSLATE(A42147, ""de"", ""en"")"),"existing")</f>
        <v>existing</v>
      </c>
    </row>
    <row r="42148">
      <c r="A42148" s="1" t="s">
        <v>42147</v>
      </c>
      <c r="B42148" s="2" t="str">
        <f>IFERROR(__xludf.DUMMYFUNCTION("GOOGLETRANSLATE(A42148, ""de"", ""en"")"),"orlov")</f>
        <v>orlov</v>
      </c>
    </row>
    <row r="42149">
      <c r="A42149" s="1" t="s">
        <v>42148</v>
      </c>
      <c r="B42149" s="2" t="str">
        <f>IFERROR(__xludf.DUMMYFUNCTION("GOOGLETRANSLATE(A42149, ""de"", ""en"")"),"specialist")</f>
        <v>specialist</v>
      </c>
    </row>
    <row r="42150">
      <c r="A42150" s="1" t="s">
        <v>42149</v>
      </c>
      <c r="B42150" s="2" t="str">
        <f>IFERROR(__xludf.DUMMYFUNCTION("GOOGLETRANSLATE(A42150, ""de"", ""en"")"),"decimated")</f>
        <v>decimated</v>
      </c>
    </row>
    <row r="42151">
      <c r="A42151" s="1" t="s">
        <v>42150</v>
      </c>
      <c r="B42151" s="2" t="str">
        <f>IFERROR(__xludf.DUMMYFUNCTION("GOOGLETRANSLATE(A42151, ""de"", ""en"")"),"secret information")</f>
        <v>secret information</v>
      </c>
    </row>
    <row r="42152">
      <c r="A42152" s="1" t="s">
        <v>42151</v>
      </c>
      <c r="B42152" s="2" t="str">
        <f>IFERROR(__xludf.DUMMYFUNCTION("GOOGLETRANSLATE(A42152, ""de"", ""en"")"),"school grounds")</f>
        <v>school grounds</v>
      </c>
    </row>
    <row r="42153">
      <c r="A42153" s="1" t="s">
        <v>42152</v>
      </c>
      <c r="B42153" s="2" t="str">
        <f>IFERROR(__xludf.DUMMYFUNCTION("GOOGLETRANSLATE(A42153, ""de"", ""en"")"),"subjects")</f>
        <v>subjects</v>
      </c>
    </row>
    <row r="42154">
      <c r="A42154" s="1" t="s">
        <v>42153</v>
      </c>
      <c r="B42154" s="2" t="str">
        <f>IFERROR(__xludf.DUMMYFUNCTION("GOOGLETRANSLATE(A42154, ""de"", ""en"")"),"yeah")</f>
        <v>yeah</v>
      </c>
    </row>
    <row r="42155">
      <c r="A42155" s="1" t="s">
        <v>42154</v>
      </c>
      <c r="B42155" s="2" t="str">
        <f>IFERROR(__xludf.DUMMYFUNCTION("GOOGLETRANSLATE(A42155, ""de"", ""en"")"),"cooling system")</f>
        <v>cooling system</v>
      </c>
    </row>
    <row r="42156">
      <c r="A42156" s="1" t="s">
        <v>42155</v>
      </c>
      <c r="B42156" s="2" t="str">
        <f>IFERROR(__xludf.DUMMYFUNCTION("GOOGLETRANSLATE(A42156, ""de"", ""en"")"),"hutton")</f>
        <v>hutton</v>
      </c>
    </row>
    <row r="42157">
      <c r="A42157" s="1" t="s">
        <v>42156</v>
      </c>
      <c r="B42157" s="2" t="str">
        <f>IFERROR(__xludf.DUMMYFUNCTION("GOOGLETRANSLATE(A42157, ""de"", ""en"")"),"slang")</f>
        <v>slang</v>
      </c>
    </row>
    <row r="42158">
      <c r="A42158" s="1" t="s">
        <v>42157</v>
      </c>
      <c r="B42158" s="2" t="str">
        <f>IFERROR(__xludf.DUMMYFUNCTION("GOOGLETRANSLATE(A42158, ""de"", ""en"")"),"kasim")</f>
        <v>kasim</v>
      </c>
    </row>
    <row r="42159">
      <c r="A42159" s="1" t="s">
        <v>42158</v>
      </c>
      <c r="B42159" s="2" t="str">
        <f>IFERROR(__xludf.DUMMYFUNCTION("GOOGLETRANSLATE(A42159, ""de"", ""en"")"),"Lucia")</f>
        <v>Lucia</v>
      </c>
    </row>
    <row r="42160">
      <c r="A42160" s="1" t="s">
        <v>42159</v>
      </c>
      <c r="B42160" s="2" t="str">
        <f>IFERROR(__xludf.DUMMYFUNCTION("GOOGLETRANSLATE(A42160, ""de"", ""en"")"),"healing process")</f>
        <v>healing process</v>
      </c>
    </row>
    <row r="42161">
      <c r="A42161" s="1" t="s">
        <v>42160</v>
      </c>
      <c r="B42161" s="2" t="str">
        <f>IFERROR(__xludf.DUMMYFUNCTION("GOOGLETRANSLATE(A42161, ""de"", ""en"")"),"Ivana")</f>
        <v>Ivana</v>
      </c>
    </row>
    <row r="42162">
      <c r="A42162" s="1" t="s">
        <v>42161</v>
      </c>
      <c r="B42162" s="2" t="str">
        <f>IFERROR(__xludf.DUMMYFUNCTION("GOOGLETRANSLATE(A42162, ""de"", ""en"")"),"played around")</f>
        <v>played around</v>
      </c>
    </row>
    <row r="42163">
      <c r="A42163" s="1" t="s">
        <v>42162</v>
      </c>
      <c r="B42163" s="2" t="str">
        <f>IFERROR(__xludf.DUMMYFUNCTION("GOOGLETRANSLATE(A42163, ""de"", ""en"")"),"carabiner")</f>
        <v>carabiner</v>
      </c>
    </row>
    <row r="42164">
      <c r="A42164" s="1" t="s">
        <v>42163</v>
      </c>
      <c r="B42164" s="2" t="str">
        <f>IFERROR(__xludf.DUMMYFUNCTION("GOOGLETRANSLATE(A42164, ""de"", ""en"")"),"radiator")</f>
        <v>radiator</v>
      </c>
    </row>
    <row r="42165">
      <c r="A42165" s="1" t="s">
        <v>42164</v>
      </c>
      <c r="B42165" s="2" t="str">
        <f>IFERROR(__xludf.DUMMYFUNCTION("GOOGLETRANSLATE(A42165, ""de"", ""en"")"),"barley")</f>
        <v>barley</v>
      </c>
    </row>
    <row r="42166">
      <c r="A42166" s="1" t="s">
        <v>42165</v>
      </c>
      <c r="B42166" s="2" t="str">
        <f>IFERROR(__xludf.DUMMYFUNCTION("GOOGLETRANSLATE(A42166, ""de"", ""en"")"),"telegraph")</f>
        <v>telegraph</v>
      </c>
    </row>
    <row r="42167">
      <c r="A42167" s="1" t="s">
        <v>42166</v>
      </c>
      <c r="B42167" s="2" t="str">
        <f>IFERROR(__xludf.DUMMYFUNCTION("GOOGLETRANSLATE(A42167, ""de"", ""en"")"),"too many")</f>
        <v>too many</v>
      </c>
    </row>
    <row r="42168">
      <c r="A42168" s="1" t="s">
        <v>42167</v>
      </c>
      <c r="B42168" s="2" t="str">
        <f>IFERROR(__xludf.DUMMYFUNCTION("GOOGLETRANSLATE(A42168, ""de"", ""en"")"),"frenzied")</f>
        <v>frenzied</v>
      </c>
    </row>
    <row r="42169">
      <c r="A42169" s="1" t="s">
        <v>42168</v>
      </c>
      <c r="B42169" s="2" t="str">
        <f>IFERROR(__xludf.DUMMYFUNCTION("GOOGLETRANSLATE(A42169, ""de"", ""en"")"),"torero")</f>
        <v>torero</v>
      </c>
    </row>
    <row r="42170">
      <c r="A42170" s="1" t="s">
        <v>42169</v>
      </c>
      <c r="B42170" s="2" t="str">
        <f>IFERROR(__xludf.DUMMYFUNCTION("GOOGLETRANSLATE(A42170, ""de"", ""en"")"),"gunny")</f>
        <v>gunny</v>
      </c>
    </row>
    <row r="42171">
      <c r="A42171" s="1" t="s">
        <v>42170</v>
      </c>
      <c r="B42171" s="2" t="str">
        <f>IFERROR(__xludf.DUMMYFUNCTION("GOOGLETRANSLATE(A42171, ""de"", ""en"")"),"Taras")</f>
        <v>Taras</v>
      </c>
    </row>
    <row r="42172">
      <c r="A42172" s="1" t="s">
        <v>42171</v>
      </c>
      <c r="B42172" s="2" t="str">
        <f>IFERROR(__xludf.DUMMYFUNCTION("GOOGLETRANSLATE(A42172, ""de"", ""en"")"),"roanoke")</f>
        <v>roanoke</v>
      </c>
    </row>
    <row r="42173">
      <c r="A42173" s="1" t="s">
        <v>42172</v>
      </c>
      <c r="B42173" s="2" t="str">
        <f>IFERROR(__xludf.DUMMYFUNCTION("GOOGLETRANSLATE(A42173, ""de"", ""en"")"),"maybelle")</f>
        <v>maybelle</v>
      </c>
    </row>
    <row r="42174">
      <c r="A42174" s="1" t="s">
        <v>42173</v>
      </c>
      <c r="B42174" s="2" t="str">
        <f>IFERROR(__xludf.DUMMYFUNCTION("GOOGLETRANSLATE(A42174, ""de"", ""en"")"),"chromosomes")</f>
        <v>chromosomes</v>
      </c>
    </row>
    <row r="42175">
      <c r="A42175" s="1" t="s">
        <v>42174</v>
      </c>
      <c r="B42175" s="2" t="str">
        <f>IFERROR(__xludf.DUMMYFUNCTION("GOOGLETRANSLATE(A42175, ""de"", ""en"")"),"impressed")</f>
        <v>impressed</v>
      </c>
    </row>
    <row r="42176">
      <c r="A42176" s="1" t="s">
        <v>42175</v>
      </c>
      <c r="B42176" s="2" t="str">
        <f>IFERROR(__xludf.DUMMYFUNCTION("GOOGLETRANSLATE(A42176, ""de"", ""en"")"),"Juliane")</f>
        <v>Juliane</v>
      </c>
    </row>
    <row r="42177">
      <c r="A42177" s="1" t="s">
        <v>42176</v>
      </c>
      <c r="B42177" s="2" t="str">
        <f>IFERROR(__xludf.DUMMYFUNCTION("GOOGLETRANSLATE(A42177, ""de"", ""en"")"),"kitano")</f>
        <v>kitano</v>
      </c>
    </row>
    <row r="42178">
      <c r="A42178" s="1" t="s">
        <v>42177</v>
      </c>
      <c r="B42178" s="2" t="str">
        <f>IFERROR(__xludf.DUMMYFUNCTION("GOOGLETRANSLATE(A42178, ""de"", ""en"")"),"production company")</f>
        <v>production company</v>
      </c>
    </row>
    <row r="42179">
      <c r="A42179" s="1" t="s">
        <v>42178</v>
      </c>
      <c r="B42179" s="2" t="str">
        <f>IFERROR(__xludf.DUMMYFUNCTION("GOOGLETRANSLATE(A42179, ""de"", ""en"")"),"equal")</f>
        <v>equal</v>
      </c>
    </row>
    <row r="42180">
      <c r="A42180" s="1" t="s">
        <v>42179</v>
      </c>
      <c r="B42180" s="2" t="str">
        <f>IFERROR(__xludf.DUMMYFUNCTION("GOOGLETRANSLATE(A42180, ""de"", ""en"")"),"beelzebub")</f>
        <v>beelzebub</v>
      </c>
    </row>
    <row r="42181">
      <c r="A42181" s="1" t="s">
        <v>42180</v>
      </c>
      <c r="B42181" s="2" t="str">
        <f>IFERROR(__xludf.DUMMYFUNCTION("GOOGLETRANSLATE(A42181, ""de"", ""en"")"),"insights")</f>
        <v>insights</v>
      </c>
    </row>
    <row r="42182">
      <c r="A42182" s="1" t="s">
        <v>42181</v>
      </c>
      <c r="B42182" s="2" t="str">
        <f>IFERROR(__xludf.DUMMYFUNCTION("GOOGLETRANSLATE(A42182, ""de"", ""en"")"),"worked")</f>
        <v>worked</v>
      </c>
    </row>
    <row r="42183">
      <c r="A42183" s="1" t="s">
        <v>42182</v>
      </c>
      <c r="B42183" s="2" t="str">
        <f>IFERROR(__xludf.DUMMYFUNCTION("GOOGLETRANSLATE(A42183, ""de"", ""en"")"),"tombola")</f>
        <v>tombola</v>
      </c>
    </row>
    <row r="42184">
      <c r="A42184" s="1" t="s">
        <v>42183</v>
      </c>
      <c r="B42184" s="2" t="str">
        <f>IFERROR(__xludf.DUMMYFUNCTION("GOOGLETRANSLATE(A42184, ""de"", ""en"")"),"happiness")</f>
        <v>happiness</v>
      </c>
    </row>
    <row r="42185">
      <c r="A42185" s="1" t="s">
        <v>42184</v>
      </c>
      <c r="B42185" s="2" t="str">
        <f>IFERROR(__xludf.DUMMYFUNCTION("GOOGLETRANSLATE(A42185, ""de"", ""en"")"),"artichokes")</f>
        <v>artichokes</v>
      </c>
    </row>
    <row r="42186">
      <c r="A42186" s="1" t="s">
        <v>42185</v>
      </c>
      <c r="B42186" s="2" t="str">
        <f>IFERROR(__xludf.DUMMYFUNCTION("GOOGLETRANSLATE(A42186, ""de"", ""en"")"),"michels")</f>
        <v>michels</v>
      </c>
    </row>
    <row r="42187">
      <c r="A42187" s="1" t="s">
        <v>42186</v>
      </c>
      <c r="B42187" s="2" t="str">
        <f>IFERROR(__xludf.DUMMYFUNCTION("GOOGLETRANSLATE(A42187, ""de"", ""en"")"),"lalala")</f>
        <v>lalala</v>
      </c>
    </row>
    <row r="42188">
      <c r="A42188" s="1" t="s">
        <v>42187</v>
      </c>
      <c r="B42188" s="2" t="str">
        <f>IFERROR(__xludf.DUMMYFUNCTION("GOOGLETRANSLATE(A42188, ""de"", ""en"")"),"used")</f>
        <v>used</v>
      </c>
    </row>
    <row r="42189">
      <c r="A42189" s="1" t="s">
        <v>42188</v>
      </c>
      <c r="B42189" s="2" t="str">
        <f>IFERROR(__xludf.DUMMYFUNCTION("GOOGLETRANSLATE(A42189, ""de"", ""en"")"),"stupid")</f>
        <v>stupid</v>
      </c>
    </row>
    <row r="42190">
      <c r="A42190" s="1" t="s">
        <v>42189</v>
      </c>
      <c r="B42190" s="2" t="str">
        <f>IFERROR(__xludf.DUMMYFUNCTION("GOOGLETRANSLATE(A42190, ""de"", ""en"")"),"edam")</f>
        <v>edam</v>
      </c>
    </row>
    <row r="42191">
      <c r="A42191" s="1" t="s">
        <v>42190</v>
      </c>
      <c r="B42191" s="2" t="str">
        <f>IFERROR(__xludf.DUMMYFUNCTION("GOOGLETRANSLATE(A42191, ""de"", ""en"")"),"was enough")</f>
        <v>was enough</v>
      </c>
    </row>
    <row r="42192">
      <c r="A42192" s="1" t="s">
        <v>42191</v>
      </c>
      <c r="B42192" s="2" t="str">
        <f>IFERROR(__xludf.DUMMYFUNCTION("GOOGLETRANSLATE(A42192, ""de"", ""en"")"),"competitor")</f>
        <v>competitor</v>
      </c>
    </row>
    <row r="42193">
      <c r="A42193" s="1" t="s">
        <v>42192</v>
      </c>
      <c r="B42193" s="2" t="str">
        <f>IFERROR(__xludf.DUMMYFUNCTION("GOOGLETRANSLATE(A42193, ""de"", ""en"")"),"marine")</f>
        <v>marine</v>
      </c>
    </row>
    <row r="42194">
      <c r="A42194" s="1" t="s">
        <v>42193</v>
      </c>
      <c r="B42194" s="2" t="str">
        <f>IFERROR(__xludf.DUMMYFUNCTION("GOOGLETRANSLATE(A42194, ""de"", ""en"")"),"marching orders")</f>
        <v>marching orders</v>
      </c>
    </row>
    <row r="42195">
      <c r="A42195" s="1" t="s">
        <v>42194</v>
      </c>
      <c r="B42195" s="2" t="str">
        <f>IFERROR(__xludf.DUMMYFUNCTION("GOOGLETRANSLATE(A42195, ""de"", ""en"")"),"Navarre")</f>
        <v>Navarre</v>
      </c>
    </row>
    <row r="42196">
      <c r="A42196" s="1" t="s">
        <v>42195</v>
      </c>
      <c r="B42196" s="2" t="str">
        <f>IFERROR(__xludf.DUMMYFUNCTION("GOOGLETRANSLATE(A42196, ""de"", ""en"")"),"bubbs")</f>
        <v>bubbs</v>
      </c>
    </row>
    <row r="42197">
      <c r="A42197" s="1" t="s">
        <v>42196</v>
      </c>
      <c r="B42197" s="2" t="str">
        <f>IFERROR(__xludf.DUMMYFUNCTION("GOOGLETRANSLATE(A42197, ""de"", ""en"")"),"sex appeal")</f>
        <v>sex appeal</v>
      </c>
    </row>
    <row r="42198">
      <c r="A42198" s="1" t="s">
        <v>42197</v>
      </c>
      <c r="B42198" s="2" t="str">
        <f>IFERROR(__xludf.DUMMYFUNCTION("GOOGLETRANSLATE(A42198, ""de"", ""en"")"),"traumas")</f>
        <v>traumas</v>
      </c>
    </row>
    <row r="42199">
      <c r="A42199" s="1" t="s">
        <v>42198</v>
      </c>
      <c r="B42199" s="2" t="str">
        <f>IFERROR(__xludf.DUMMYFUNCTION("GOOGLETRANSLATE(A42199, ""de"", ""en"")"),"bigelow")</f>
        <v>bigelow</v>
      </c>
    </row>
    <row r="42200">
      <c r="A42200" s="1" t="s">
        <v>42199</v>
      </c>
      <c r="B42200" s="2" t="str">
        <f>IFERROR(__xludf.DUMMYFUNCTION("GOOGLETRANSLATE(A42200, ""de"", ""en"")"),"grasped")</f>
        <v>grasped</v>
      </c>
    </row>
    <row r="42201">
      <c r="A42201" s="1" t="s">
        <v>42200</v>
      </c>
      <c r="B42201" s="2" t="str">
        <f>IFERROR(__xludf.DUMMYFUNCTION("GOOGLETRANSLATE(A42201, ""de"", ""en"")"),"board member")</f>
        <v>board member</v>
      </c>
    </row>
    <row r="42202">
      <c r="A42202" s="1" t="s">
        <v>42201</v>
      </c>
      <c r="B42202" s="2" t="str">
        <f>IFERROR(__xludf.DUMMYFUNCTION("GOOGLETRANSLATE(A42202, ""de"", ""en"")"),"continued")</f>
        <v>continued</v>
      </c>
    </row>
    <row r="42203">
      <c r="A42203" s="1" t="s">
        <v>42202</v>
      </c>
      <c r="B42203" s="2" t="str">
        <f>IFERROR(__xludf.DUMMYFUNCTION("GOOGLETRANSLATE(A42203, ""de"", ""en"")"),"boing")</f>
        <v>boing</v>
      </c>
    </row>
    <row r="42204">
      <c r="A42204" s="1" t="s">
        <v>42203</v>
      </c>
      <c r="B42204" s="2" t="str">
        <f>IFERROR(__xludf.DUMMYFUNCTION("GOOGLETRANSLATE(A42204, ""de"", ""en"")"),"dobby")</f>
        <v>dobby</v>
      </c>
    </row>
    <row r="42205">
      <c r="A42205" s="1" t="s">
        <v>42204</v>
      </c>
      <c r="B42205" s="2" t="str">
        <f>IFERROR(__xludf.DUMMYFUNCTION("GOOGLETRANSLATE(A42205, ""de"", ""en"")"),"fixation")</f>
        <v>fixation</v>
      </c>
    </row>
    <row r="42206">
      <c r="A42206" s="1" t="s">
        <v>42205</v>
      </c>
      <c r="B42206" s="2" t="str">
        <f>IFERROR(__xludf.DUMMYFUNCTION("GOOGLETRANSLATE(A42206, ""de"", ""en"")"),"elk")</f>
        <v>elk</v>
      </c>
    </row>
    <row r="42207">
      <c r="A42207" s="1" t="s">
        <v>42206</v>
      </c>
      <c r="B42207" s="2" t="str">
        <f>IFERROR(__xludf.DUMMYFUNCTION("GOOGLETRANSLATE(A42207, ""de"", ""en"")"),"check out")</f>
        <v>check out</v>
      </c>
    </row>
    <row r="42208">
      <c r="A42208" s="1" t="s">
        <v>42207</v>
      </c>
      <c r="B42208" s="2" t="str">
        <f>IFERROR(__xludf.DUMMYFUNCTION("GOOGLETRANSLATE(A42208, ""de"", ""en"")"),"calderon")</f>
        <v>calderon</v>
      </c>
    </row>
    <row r="42209">
      <c r="A42209" s="1" t="s">
        <v>42208</v>
      </c>
      <c r="B42209" s="2" t="str">
        <f>IFERROR(__xludf.DUMMYFUNCTION("GOOGLETRANSLATE(A42209, ""de"", ""en"")"),"mlle")</f>
        <v>mlle</v>
      </c>
    </row>
    <row r="42210">
      <c r="A42210" s="1" t="s">
        <v>42209</v>
      </c>
      <c r="B42210" s="2" t="str">
        <f>IFERROR(__xludf.DUMMYFUNCTION("GOOGLETRANSLATE(A42210, ""de"", ""en"")"),"devore")</f>
        <v>devore</v>
      </c>
    </row>
    <row r="42211">
      <c r="A42211" s="1" t="s">
        <v>42210</v>
      </c>
      <c r="B42211" s="2" t="str">
        <f>IFERROR(__xludf.DUMMYFUNCTION("GOOGLETRANSLATE(A42211, ""de"", ""en"")"),"count")</f>
        <v>count</v>
      </c>
    </row>
    <row r="42212">
      <c r="A42212" s="1" t="s">
        <v>42211</v>
      </c>
      <c r="B42212" s="2" t="str">
        <f>IFERROR(__xludf.DUMMYFUNCTION("GOOGLETRANSLATE(A42212, ""de"", ""en"")"),"zandt")</f>
        <v>zandt</v>
      </c>
    </row>
    <row r="42213">
      <c r="A42213" s="1" t="s">
        <v>42212</v>
      </c>
      <c r="B42213" s="2" t="str">
        <f>IFERROR(__xludf.DUMMYFUNCTION("GOOGLETRANSLATE(A42213, ""de"", ""en"")"),"Scully's")</f>
        <v>Scully's</v>
      </c>
    </row>
    <row r="42214">
      <c r="A42214" s="1" t="s">
        <v>42213</v>
      </c>
      <c r="B42214" s="2" t="str">
        <f>IFERROR(__xludf.DUMMYFUNCTION("GOOGLETRANSLATE(A42214, ""de"", ""en"")"),"withstands")</f>
        <v>withstands</v>
      </c>
    </row>
    <row r="42215">
      <c r="A42215" s="1" t="s">
        <v>42214</v>
      </c>
      <c r="B42215" s="2" t="str">
        <f>IFERROR(__xludf.DUMMYFUNCTION("GOOGLETRANSLATE(A42215, ""de"", ""en"")"),"unwanted")</f>
        <v>unwanted</v>
      </c>
    </row>
    <row r="42216">
      <c r="A42216" s="1" t="s">
        <v>42215</v>
      </c>
      <c r="B42216" s="2" t="str">
        <f>IFERROR(__xludf.DUMMYFUNCTION("GOOGLETRANSLATE(A42216, ""de"", ""en"")"),"choice")</f>
        <v>choice</v>
      </c>
    </row>
    <row r="42217">
      <c r="A42217" s="1" t="s">
        <v>42216</v>
      </c>
      <c r="B42217" s="2" t="str">
        <f>IFERROR(__xludf.DUMMYFUNCTION("GOOGLETRANSLATE(A42217, ""de"", ""en"")"),"clear")</f>
        <v>clear</v>
      </c>
    </row>
    <row r="42218">
      <c r="A42218" s="1" t="s">
        <v>42217</v>
      </c>
      <c r="B42218" s="2" t="str">
        <f>IFERROR(__xludf.DUMMYFUNCTION("GOOGLETRANSLATE(A42218, ""de"", ""en"")"),"cavendish")</f>
        <v>cavendish</v>
      </c>
    </row>
    <row r="42219">
      <c r="A42219" s="1" t="s">
        <v>42218</v>
      </c>
      <c r="B42219" s="2" t="str">
        <f>IFERROR(__xludf.DUMMYFUNCTION("GOOGLETRANSLATE(A42219, ""de"", ""en"")"),"stopped")</f>
        <v>stopped</v>
      </c>
    </row>
    <row r="42220">
      <c r="A42220" s="1" t="s">
        <v>42219</v>
      </c>
      <c r="B42220" s="2" t="str">
        <f>IFERROR(__xludf.DUMMYFUNCTION("GOOGLETRANSLATE(A42220, ""de"", ""en"")"),"me now")</f>
        <v>me now</v>
      </c>
    </row>
    <row r="42221">
      <c r="A42221" s="1" t="s">
        <v>42220</v>
      </c>
      <c r="B42221" s="2" t="str">
        <f>IFERROR(__xludf.DUMMYFUNCTION("GOOGLETRANSLATE(A42221, ""de"", ""en"")"),"tip")</f>
        <v>tip</v>
      </c>
    </row>
    <row r="42222">
      <c r="A42222" s="1" t="s">
        <v>42221</v>
      </c>
      <c r="B42222" s="2" t="str">
        <f>IFERROR(__xludf.DUMMYFUNCTION("GOOGLETRANSLATE(A42222, ""de"", ""en"")"),"ran out")</f>
        <v>ran out</v>
      </c>
    </row>
    <row r="42223">
      <c r="A42223" s="1" t="s">
        <v>42222</v>
      </c>
      <c r="B42223" s="2" t="str">
        <f>IFERROR(__xludf.DUMMYFUNCTION("GOOGLETRANSLATE(A42223, ""de"", ""en"")"),"lesions")</f>
        <v>lesions</v>
      </c>
    </row>
    <row r="42224">
      <c r="A42224" s="1" t="s">
        <v>42223</v>
      </c>
      <c r="B42224" s="2" t="str">
        <f>IFERROR(__xludf.DUMMYFUNCTION("GOOGLETRANSLATE(A42224, ""de"", ""en"")"),"balla")</f>
        <v>balla</v>
      </c>
    </row>
    <row r="42225">
      <c r="A42225" s="1" t="s">
        <v>42224</v>
      </c>
      <c r="B42225" s="2" t="str">
        <f>IFERROR(__xludf.DUMMYFUNCTION("GOOGLETRANSLATE(A42225, ""de"", ""en"")"),"house of worship")</f>
        <v>house of worship</v>
      </c>
    </row>
    <row r="42226">
      <c r="A42226" s="1" t="s">
        <v>42225</v>
      </c>
      <c r="B42226" s="2" t="str">
        <f>IFERROR(__xludf.DUMMYFUNCTION("GOOGLETRANSLATE(A42226, ""de"", ""en"")"),"unpacked")</f>
        <v>unpacked</v>
      </c>
    </row>
    <row r="42227">
      <c r="A42227" s="1" t="s">
        <v>42226</v>
      </c>
      <c r="B42227" s="2" t="str">
        <f>IFERROR(__xludf.DUMMYFUNCTION("GOOGLETRANSLATE(A42227, ""de"", ""en"")"),"woke up")</f>
        <v>woke up</v>
      </c>
    </row>
    <row r="42228">
      <c r="A42228" s="1" t="s">
        <v>42227</v>
      </c>
      <c r="B42228" s="2" t="str">
        <f>IFERROR(__xludf.DUMMYFUNCTION("GOOGLETRANSLATE(A42228, ""de"", ""en"")"),"peugeot")</f>
        <v>peugeot</v>
      </c>
    </row>
    <row r="42229">
      <c r="A42229" s="1" t="s">
        <v>42228</v>
      </c>
      <c r="B42229" s="2" t="str">
        <f>IFERROR(__xludf.DUMMYFUNCTION("GOOGLETRANSLATE(A42229, ""de"", ""en"")"),"geological")</f>
        <v>geological</v>
      </c>
    </row>
    <row r="42230">
      <c r="A42230" s="1" t="s">
        <v>42229</v>
      </c>
      <c r="B42230" s="2" t="str">
        <f>IFERROR(__xludf.DUMMYFUNCTION("GOOGLETRANSLATE(A42230, ""de"", ""en"")"),"classic")</f>
        <v>classic</v>
      </c>
    </row>
    <row r="42231">
      <c r="A42231" s="1" t="s">
        <v>42230</v>
      </c>
      <c r="B42231" s="2" t="str">
        <f>IFERROR(__xludf.DUMMYFUNCTION("GOOGLETRANSLATE(A42231, ""de"", ""en"")"),"overload")</f>
        <v>overload</v>
      </c>
    </row>
    <row r="42232">
      <c r="A42232" s="1" t="s">
        <v>42231</v>
      </c>
      <c r="B42232" s="2" t="str">
        <f>IFERROR(__xludf.DUMMYFUNCTION("GOOGLETRANSLATE(A42232, ""de"", ""en"")"),"marat")</f>
        <v>marat</v>
      </c>
    </row>
    <row r="42233">
      <c r="A42233" s="1" t="s">
        <v>42232</v>
      </c>
      <c r="B42233" s="2" t="str">
        <f>IFERROR(__xludf.DUMMYFUNCTION("GOOGLETRANSLATE(A42233, ""de"", ""en"")"),"pasteur")</f>
        <v>pasteur</v>
      </c>
    </row>
    <row r="42234">
      <c r="A42234" s="1" t="s">
        <v>42233</v>
      </c>
      <c r="B42234" s="2" t="str">
        <f>IFERROR(__xludf.DUMMYFUNCTION("GOOGLETRANSLATE(A42234, ""de"", ""en"")"),"magic formula")</f>
        <v>magic formula</v>
      </c>
    </row>
    <row r="42235">
      <c r="A42235" s="1" t="s">
        <v>42234</v>
      </c>
      <c r="B42235" s="2" t="str">
        <f>IFERROR(__xludf.DUMMYFUNCTION("GOOGLETRANSLATE(A42235, ""de"", ""en"")"),"oncology")</f>
        <v>oncology</v>
      </c>
    </row>
    <row r="42236">
      <c r="A42236" s="1" t="s">
        <v>42235</v>
      </c>
      <c r="B42236" s="2" t="str">
        <f>IFERROR(__xludf.DUMMYFUNCTION("GOOGLETRANSLATE(A42236, ""de"", ""en"")"),"wine tasting")</f>
        <v>wine tasting</v>
      </c>
    </row>
    <row r="42237">
      <c r="A42237" s="1" t="s">
        <v>42236</v>
      </c>
      <c r="B42237" s="2" t="str">
        <f>IFERROR(__xludf.DUMMYFUNCTION("GOOGLETRANSLATE(A42237, ""de"", ""en"")"),"malicious")</f>
        <v>malicious</v>
      </c>
    </row>
    <row r="42238">
      <c r="A42238" s="1" t="s">
        <v>42237</v>
      </c>
      <c r="B42238" s="2" t="str">
        <f>IFERROR(__xludf.DUMMYFUNCTION("GOOGLETRANSLATE(A42238, ""de"", ""en"")"),"ultron")</f>
        <v>ultron</v>
      </c>
    </row>
    <row r="42239">
      <c r="A42239" s="1" t="s">
        <v>42238</v>
      </c>
      <c r="B42239" s="2" t="str">
        <f>IFERROR(__xludf.DUMMYFUNCTION("GOOGLETRANSLATE(A42239, ""de"", ""en"")"),"provider")</f>
        <v>provider</v>
      </c>
    </row>
    <row r="42240">
      <c r="A42240" s="1" t="s">
        <v>42239</v>
      </c>
      <c r="B42240" s="2" t="str">
        <f>IFERROR(__xludf.DUMMYFUNCTION("GOOGLETRANSLATE(A42240, ""de"", ""en"")"),"girly")</f>
        <v>girly</v>
      </c>
    </row>
    <row r="42241">
      <c r="A42241" s="1" t="s">
        <v>42240</v>
      </c>
      <c r="B42241" s="2" t="str">
        <f>IFERROR(__xludf.DUMMYFUNCTION("GOOGLETRANSLATE(A42241, ""de"", ""en"")"),"negress")</f>
        <v>negress</v>
      </c>
    </row>
    <row r="42242">
      <c r="A42242" s="1" t="s">
        <v>42241</v>
      </c>
      <c r="B42242" s="2" t="str">
        <f>IFERROR(__xludf.DUMMYFUNCTION("GOOGLETRANSLATE(A42242, ""de"", ""en"")"),"lyudmila")</f>
        <v>lyudmila</v>
      </c>
    </row>
    <row r="42243">
      <c r="A42243" s="1" t="s">
        <v>42242</v>
      </c>
      <c r="B42243" s="2" t="str">
        <f>IFERROR(__xludf.DUMMYFUNCTION("GOOGLETRANSLATE(A42243, ""de"", ""en"")"),"key")</f>
        <v>key</v>
      </c>
    </row>
    <row r="42244">
      <c r="A42244" s="1" t="s">
        <v>42243</v>
      </c>
      <c r="B42244" s="2" t="str">
        <f>IFERROR(__xludf.DUMMYFUNCTION("GOOGLETRANSLATE(A42244, ""de"", ""en"")"),"stir")</f>
        <v>stir</v>
      </c>
    </row>
    <row r="42245">
      <c r="A42245" s="1" t="s">
        <v>42244</v>
      </c>
      <c r="B42245" s="2" t="str">
        <f>IFERROR(__xludf.DUMMYFUNCTION("GOOGLETRANSLATE(A42245, ""de"", ""en"")"),"Thorin")</f>
        <v>Thorin</v>
      </c>
    </row>
    <row r="42246">
      <c r="A42246" s="1" t="s">
        <v>42245</v>
      </c>
      <c r="B42246" s="2" t="str">
        <f>IFERROR(__xludf.DUMMYFUNCTION("GOOGLETRANSLATE(A42246, ""de"", ""en"")"),"supreme")</f>
        <v>supreme</v>
      </c>
    </row>
    <row r="42247">
      <c r="A42247" s="1" t="s">
        <v>42246</v>
      </c>
      <c r="B42247" s="2" t="str">
        <f>IFERROR(__xludf.DUMMYFUNCTION("GOOGLETRANSLATE(A42247, ""de"", ""en"")"),"ignited")</f>
        <v>ignited</v>
      </c>
    </row>
    <row r="42248">
      <c r="A42248" s="1" t="s">
        <v>42247</v>
      </c>
      <c r="B42248" s="2" t="str">
        <f>IFERROR(__xludf.DUMMYFUNCTION("GOOGLETRANSLATE(A42248, ""de"", ""en"")"),"shreveport")</f>
        <v>shreveport</v>
      </c>
    </row>
    <row r="42249">
      <c r="A42249" s="1" t="s">
        <v>42248</v>
      </c>
      <c r="B42249" s="2" t="str">
        <f>IFERROR(__xludf.DUMMYFUNCTION("GOOGLETRANSLATE(A42249, ""de"", ""en"")"),"glaber")</f>
        <v>glaber</v>
      </c>
    </row>
    <row r="42250">
      <c r="A42250" s="1" t="s">
        <v>42249</v>
      </c>
      <c r="B42250" s="2" t="str">
        <f>IFERROR(__xludf.DUMMYFUNCTION("GOOGLETRANSLATE(A42250, ""de"", ""en"")"),"torgeir")</f>
        <v>torgeir</v>
      </c>
    </row>
    <row r="42251">
      <c r="A42251" s="1" t="s">
        <v>42250</v>
      </c>
      <c r="B42251" s="2" t="str">
        <f>IFERROR(__xludf.DUMMYFUNCTION("GOOGLETRANSLATE(A42251, ""de"", ""en"")"),"detailed")</f>
        <v>detailed</v>
      </c>
    </row>
    <row r="42252">
      <c r="A42252" s="1" t="s">
        <v>42251</v>
      </c>
      <c r="B42252" s="2" t="str">
        <f>IFERROR(__xludf.DUMMYFUNCTION("GOOGLETRANSLATE(A42252, ""de"", ""en"")"),"brass band")</f>
        <v>brass band</v>
      </c>
    </row>
    <row r="42253">
      <c r="A42253" s="1" t="s">
        <v>42252</v>
      </c>
      <c r="B42253" s="2" t="str">
        <f>IFERROR(__xludf.DUMMYFUNCTION("GOOGLETRANSLATE(A42253, ""de"", ""en"")"),"hrothgar")</f>
        <v>hrothgar</v>
      </c>
    </row>
    <row r="42254">
      <c r="A42254" s="1" t="s">
        <v>42253</v>
      </c>
      <c r="B42254" s="2" t="str">
        <f>IFERROR(__xludf.DUMMYFUNCTION("GOOGLETRANSLATE(A42254, ""de"", ""en"")"),"sag")</f>
        <v>sag</v>
      </c>
    </row>
    <row r="42255">
      <c r="A42255" s="1" t="s">
        <v>42254</v>
      </c>
      <c r="B42255" s="2" t="str">
        <f>IFERROR(__xludf.DUMMYFUNCTION("GOOGLETRANSLATE(A42255, ""de"", ""en"")"),"speedometer")</f>
        <v>speedometer</v>
      </c>
    </row>
    <row r="42256">
      <c r="A42256" s="1" t="s">
        <v>42255</v>
      </c>
      <c r="B42256" s="2" t="str">
        <f>IFERROR(__xludf.DUMMYFUNCTION("GOOGLETRANSLATE(A42256, ""de"", ""en"")"),"crazy")</f>
        <v>crazy</v>
      </c>
    </row>
    <row r="42257">
      <c r="A42257" s="1" t="s">
        <v>42256</v>
      </c>
      <c r="B42257" s="2" t="str">
        <f>IFERROR(__xludf.DUMMYFUNCTION("GOOGLETRANSLATE(A42257, ""de"", ""en"")"),"haldeman")</f>
        <v>haldeman</v>
      </c>
    </row>
    <row r="42258">
      <c r="A42258" s="1" t="s">
        <v>42257</v>
      </c>
      <c r="B42258" s="2" t="str">
        <f>IFERROR(__xludf.DUMMYFUNCTION("GOOGLETRANSLATE(A42258, ""de"", ""en"")"),"subcommander")</f>
        <v>subcommander</v>
      </c>
    </row>
    <row r="42259">
      <c r="A42259" s="1" t="s">
        <v>42258</v>
      </c>
      <c r="B42259" s="2" t="str">
        <f>IFERROR(__xludf.DUMMYFUNCTION("GOOGLETRANSLATE(A42259, ""de"", ""en"")"),"unravel")</f>
        <v>unravel</v>
      </c>
    </row>
    <row r="42260">
      <c r="A42260" s="1" t="s">
        <v>42259</v>
      </c>
      <c r="B42260" s="2" t="str">
        <f>IFERROR(__xludf.DUMMYFUNCTION("GOOGLETRANSLATE(A42260, ""de"", ""en"")"),"escapee")</f>
        <v>escapee</v>
      </c>
    </row>
    <row r="42261">
      <c r="A42261" s="1" t="s">
        <v>42260</v>
      </c>
      <c r="B42261" s="2" t="str">
        <f>IFERROR(__xludf.DUMMYFUNCTION("GOOGLETRANSLATE(A42261, ""de"", ""en"")"),"take a look")</f>
        <v>take a look</v>
      </c>
    </row>
    <row r="42262">
      <c r="A42262" s="1" t="s">
        <v>42261</v>
      </c>
      <c r="B42262" s="2" t="str">
        <f>IFERROR(__xludf.DUMMYFUNCTION("GOOGLETRANSLATE(A42262, ""de"", ""en"")"),"cheers up")</f>
        <v>cheers up</v>
      </c>
    </row>
    <row r="42263">
      <c r="A42263" s="1" t="s">
        <v>42262</v>
      </c>
      <c r="B42263" s="2" t="str">
        <f>IFERROR(__xludf.DUMMYFUNCTION("GOOGLETRANSLATE(A42263, ""de"", ""en"")"),"run after")</f>
        <v>run after</v>
      </c>
    </row>
    <row r="42264">
      <c r="A42264" s="1" t="s">
        <v>42263</v>
      </c>
      <c r="B42264" s="2" t="str">
        <f>IFERROR(__xludf.DUMMYFUNCTION("GOOGLETRANSLATE(A42264, ""de"", ""en"")"),"raff")</f>
        <v>raff</v>
      </c>
    </row>
    <row r="42265">
      <c r="A42265" s="1" t="s">
        <v>42264</v>
      </c>
      <c r="B42265" s="2" t="str">
        <f>IFERROR(__xludf.DUMMYFUNCTION("GOOGLETRANSLATE(A42265, ""de"", ""en"")"),"to prepare")</f>
        <v>to prepare</v>
      </c>
    </row>
    <row r="42266">
      <c r="A42266" s="1" t="s">
        <v>42265</v>
      </c>
      <c r="B42266" s="2" t="str">
        <f>IFERROR(__xludf.DUMMYFUNCTION("GOOGLETRANSLATE(A42266, ""de"", ""en"")"),"vail")</f>
        <v>vail</v>
      </c>
    </row>
    <row r="42267">
      <c r="A42267" s="1" t="s">
        <v>42266</v>
      </c>
      <c r="B42267" s="2" t="str">
        <f>IFERROR(__xludf.DUMMYFUNCTION("GOOGLETRANSLATE(A42267, ""de"", ""en"")"),"lost")</f>
        <v>lost</v>
      </c>
    </row>
    <row r="42268">
      <c r="A42268" s="1" t="s">
        <v>42267</v>
      </c>
      <c r="B42268" s="2" t="str">
        <f>IFERROR(__xludf.DUMMYFUNCTION("GOOGLETRANSLATE(A42268, ""de"", ""en"")"),"crying")</f>
        <v>crying</v>
      </c>
    </row>
    <row r="42269">
      <c r="A42269" s="1" t="s">
        <v>42268</v>
      </c>
      <c r="B42269" s="2" t="str">
        <f>IFERROR(__xludf.DUMMYFUNCTION("GOOGLETRANSLATE(A42269, ""de"", ""en"")"),"Latin")</f>
        <v>Latin</v>
      </c>
    </row>
    <row r="42270">
      <c r="A42270" s="1" t="s">
        <v>42269</v>
      </c>
      <c r="B42270" s="2" t="str">
        <f>IFERROR(__xludf.DUMMYFUNCTION("GOOGLETRANSLATE(A42270, ""de"", ""en"")"),"vertical")</f>
        <v>vertical</v>
      </c>
    </row>
    <row r="42271">
      <c r="A42271" s="1" t="s">
        <v>42270</v>
      </c>
      <c r="B42271" s="2" t="str">
        <f>IFERROR(__xludf.DUMMYFUNCTION("GOOGLETRANSLATE(A42271, ""de"", ""en"")"),"quarter")</f>
        <v>quarter</v>
      </c>
    </row>
    <row r="42272">
      <c r="A42272" s="1" t="s">
        <v>42271</v>
      </c>
      <c r="B42272" s="2" t="str">
        <f>IFERROR(__xludf.DUMMYFUNCTION("GOOGLETRANSLATE(A42272, ""de"", ""en"")"),"dog barking")</f>
        <v>dog barking</v>
      </c>
    </row>
    <row r="42273">
      <c r="A42273" s="1" t="s">
        <v>42272</v>
      </c>
      <c r="B42273" s="2" t="str">
        <f>IFERROR(__xludf.DUMMYFUNCTION("GOOGLETRANSLATE(A42273, ""de"", ""en"")"),"biological")</f>
        <v>biological</v>
      </c>
    </row>
    <row r="42274">
      <c r="A42274" s="1" t="s">
        <v>42273</v>
      </c>
      <c r="B42274" s="2" t="str">
        <f>IFERROR(__xludf.DUMMYFUNCTION("GOOGLETRANSLATE(A42274, ""de"", ""en"")"),"common good")</f>
        <v>common good</v>
      </c>
    </row>
    <row r="42275">
      <c r="A42275" s="1" t="s">
        <v>42274</v>
      </c>
      <c r="B42275" s="2" t="str">
        <f>IFERROR(__xludf.DUMMYFUNCTION("GOOGLETRANSLATE(A42275, ""de"", ""en"")"),"dismissed")</f>
        <v>dismissed</v>
      </c>
    </row>
    <row r="42276">
      <c r="A42276" s="1" t="s">
        <v>42275</v>
      </c>
      <c r="B42276" s="2" t="str">
        <f>IFERROR(__xludf.DUMMYFUNCTION("GOOGLETRANSLATE(A42276, ""de"", ""en"")"),"cancan")</f>
        <v>cancan</v>
      </c>
    </row>
    <row r="42277">
      <c r="A42277" s="1" t="s">
        <v>42276</v>
      </c>
      <c r="B42277" s="2" t="str">
        <f>IFERROR(__xludf.DUMMYFUNCTION("GOOGLETRANSLATE(A42277, ""de"", ""en"")"),"wiped out")</f>
        <v>wiped out</v>
      </c>
    </row>
    <row r="42278">
      <c r="A42278" s="1" t="s">
        <v>42277</v>
      </c>
      <c r="B42278" s="2" t="str">
        <f>IFERROR(__xludf.DUMMYFUNCTION("GOOGLETRANSLATE(A42278, ""de"", ""en"")"),"catelyn")</f>
        <v>catelyn</v>
      </c>
    </row>
    <row r="42279">
      <c r="A42279" s="1" t="s">
        <v>42278</v>
      </c>
      <c r="B42279" s="2" t="str">
        <f>IFERROR(__xludf.DUMMYFUNCTION("GOOGLETRANSLATE(A42279, ""de"", ""en"")"),"pledge")</f>
        <v>pledge</v>
      </c>
    </row>
    <row r="42280">
      <c r="A42280" s="1" t="s">
        <v>42279</v>
      </c>
      <c r="B42280" s="2" t="str">
        <f>IFERROR(__xludf.DUMMYFUNCTION("GOOGLETRANSLATE(A42280, ""de"", ""en"")"),"chemical")</f>
        <v>chemical</v>
      </c>
    </row>
    <row r="42281">
      <c r="A42281" s="1" t="s">
        <v>42280</v>
      </c>
      <c r="B42281" s="2" t="str">
        <f>IFERROR(__xludf.DUMMYFUNCTION("GOOGLETRANSLATE(A42281, ""de"", ""en"")"),"more senior")</f>
        <v>more senior</v>
      </c>
    </row>
    <row r="42282">
      <c r="A42282" s="1" t="s">
        <v>42281</v>
      </c>
      <c r="B42282" s="2" t="str">
        <f>IFERROR(__xludf.DUMMYFUNCTION("GOOGLETRANSLATE(A42282, ""de"", ""en"")"),"lifeguard")</f>
        <v>lifeguard</v>
      </c>
    </row>
    <row r="42283">
      <c r="A42283" s="1" t="s">
        <v>42282</v>
      </c>
      <c r="B42283" s="2" t="str">
        <f>IFERROR(__xludf.DUMMYFUNCTION("GOOGLETRANSLATE(A42283, ""de"", ""en"")"),"one")</f>
        <v>one</v>
      </c>
    </row>
    <row r="42284">
      <c r="A42284" s="1" t="s">
        <v>42283</v>
      </c>
      <c r="B42284" s="2" t="str">
        <f>IFERROR(__xludf.DUMMYFUNCTION("GOOGLETRANSLATE(A42284, ""de"", ""en"")"),"chat")</f>
        <v>chat</v>
      </c>
    </row>
    <row r="42285">
      <c r="A42285" s="1" t="s">
        <v>42284</v>
      </c>
      <c r="B42285" s="2" t="str">
        <f>IFERROR(__xludf.DUMMYFUNCTION("GOOGLETRANSLATE(A42285, ""de"", ""en"")"),"silly")</f>
        <v>silly</v>
      </c>
    </row>
    <row r="42286">
      <c r="A42286" s="1" t="s">
        <v>42285</v>
      </c>
      <c r="B42286" s="2" t="str">
        <f>IFERROR(__xludf.DUMMYFUNCTION("GOOGLETRANSLATE(A42286, ""de"", ""en"")"),"rehearsal dinner")</f>
        <v>rehearsal dinner</v>
      </c>
    </row>
    <row r="42287">
      <c r="A42287" s="1" t="s">
        <v>42286</v>
      </c>
      <c r="B42287" s="2" t="str">
        <f>IFERROR(__xludf.DUMMYFUNCTION("GOOGLETRANSLATE(A42287, ""de"", ""en"")"),"livius")</f>
        <v>livius</v>
      </c>
    </row>
    <row r="42288">
      <c r="A42288" s="1" t="s">
        <v>42287</v>
      </c>
      <c r="B42288" s="2" t="str">
        <f>IFERROR(__xludf.DUMMYFUNCTION("GOOGLETRANSLATE(A42288, ""de"", ""en"")"),"aaarrrgghh")</f>
        <v>aaarrrgghh</v>
      </c>
    </row>
    <row r="42289">
      <c r="A42289" s="1" t="s">
        <v>42288</v>
      </c>
      <c r="B42289" s="2" t="str">
        <f>IFERROR(__xludf.DUMMYFUNCTION("GOOGLETRANSLATE(A42289, ""de"", ""en"")"),"council member")</f>
        <v>council member</v>
      </c>
    </row>
    <row r="42290">
      <c r="A42290" s="1" t="s">
        <v>42289</v>
      </c>
      <c r="B42290" s="2" t="str">
        <f>IFERROR(__xludf.DUMMYFUNCTION("GOOGLETRANSLATE(A42290, ""de"", ""en"")"),"furious")</f>
        <v>furious</v>
      </c>
    </row>
    <row r="42291">
      <c r="A42291" s="1" t="s">
        <v>42290</v>
      </c>
      <c r="B42291" s="2" t="str">
        <f>IFERROR(__xludf.DUMMYFUNCTION("GOOGLETRANSLATE(A42291, ""de"", ""en"")"),"miri")</f>
        <v>miri</v>
      </c>
    </row>
    <row r="42292">
      <c r="A42292" s="1" t="s">
        <v>42291</v>
      </c>
      <c r="B42292" s="2" t="str">
        <f>IFERROR(__xludf.DUMMYFUNCTION("GOOGLETRANSLATE(A42292, ""de"", ""en"")"),"power struggle")</f>
        <v>power struggle</v>
      </c>
    </row>
    <row r="42293">
      <c r="A42293" s="1" t="s">
        <v>42292</v>
      </c>
      <c r="B42293" s="2" t="str">
        <f>IFERROR(__xludf.DUMMYFUNCTION("GOOGLETRANSLATE(A42293, ""de"", ""en"")"),"concession")</f>
        <v>concession</v>
      </c>
    </row>
    <row r="42294">
      <c r="A42294" s="1" t="s">
        <v>42293</v>
      </c>
      <c r="B42294" s="2" t="str">
        <f>IFERROR(__xludf.DUMMYFUNCTION("GOOGLETRANSLATE(A42294, ""de"", ""en"")"),"failures")</f>
        <v>failures</v>
      </c>
    </row>
    <row r="42295">
      <c r="A42295" s="1" t="s">
        <v>42294</v>
      </c>
      <c r="B42295" s="2" t="str">
        <f>IFERROR(__xludf.DUMMYFUNCTION("GOOGLETRANSLATE(A42295, ""de"", ""en"")"),"feast day")</f>
        <v>feast day</v>
      </c>
    </row>
    <row r="42296">
      <c r="A42296" s="1" t="s">
        <v>42295</v>
      </c>
      <c r="B42296" s="2" t="str">
        <f>IFERROR(__xludf.DUMMYFUNCTION("GOOGLETRANSLATE(A42296, ""de"", ""en"")"),"shado")</f>
        <v>shado</v>
      </c>
    </row>
    <row r="42297">
      <c r="A42297" s="1" t="s">
        <v>42296</v>
      </c>
      <c r="B42297" s="2" t="str">
        <f>IFERROR(__xludf.DUMMYFUNCTION("GOOGLETRANSLATE(A42297, ""de"", ""en"")"),"policy")</f>
        <v>policy</v>
      </c>
    </row>
    <row r="42298">
      <c r="A42298" s="1" t="s">
        <v>42297</v>
      </c>
      <c r="B42298" s="2" t="str">
        <f>IFERROR(__xludf.DUMMYFUNCTION("GOOGLETRANSLATE(A42298, ""de"", ""en"")"),"terrell")</f>
        <v>terrell</v>
      </c>
    </row>
    <row r="42299">
      <c r="A42299" s="1" t="s">
        <v>42298</v>
      </c>
      <c r="B42299" s="2" t="str">
        <f>IFERROR(__xludf.DUMMYFUNCTION("GOOGLETRANSLATE(A42299, ""de"", ""en"")"),"tips")</f>
        <v>tips</v>
      </c>
    </row>
    <row r="42300">
      <c r="A42300" s="1" t="s">
        <v>42299</v>
      </c>
      <c r="B42300" s="2" t="str">
        <f>IFERROR(__xludf.DUMMYFUNCTION("GOOGLETRANSLATE(A42300, ""de"", ""en"")"),"slipper")</f>
        <v>slipper</v>
      </c>
    </row>
    <row r="42301">
      <c r="A42301" s="1" t="s">
        <v>42300</v>
      </c>
      <c r="B42301" s="2" t="str">
        <f>IFERROR(__xludf.DUMMYFUNCTION("GOOGLETRANSLATE(A42301, ""de"", ""en"")"),"judge")</f>
        <v>judge</v>
      </c>
    </row>
    <row r="42302">
      <c r="A42302" s="1" t="s">
        <v>42301</v>
      </c>
      <c r="B42302" s="2" t="str">
        <f>IFERROR(__xludf.DUMMYFUNCTION("GOOGLETRANSLATE(A42302, ""de"", ""en"")"),"epic")</f>
        <v>epic</v>
      </c>
    </row>
    <row r="42303">
      <c r="A42303" s="1" t="s">
        <v>42302</v>
      </c>
      <c r="B42303" s="2" t="str">
        <f>IFERROR(__xludf.DUMMYFUNCTION("GOOGLETRANSLATE(A42303, ""de"", ""en"")"),"airbag")</f>
        <v>airbag</v>
      </c>
    </row>
    <row r="42304">
      <c r="A42304" s="1" t="s">
        <v>42303</v>
      </c>
      <c r="B42304" s="2" t="str">
        <f>IFERROR(__xludf.DUMMYFUNCTION("GOOGLETRANSLATE(A42304, ""de"", ""en"")"),"deflectors")</f>
        <v>deflectors</v>
      </c>
    </row>
    <row r="42305">
      <c r="A42305" s="1" t="s">
        <v>42304</v>
      </c>
      <c r="B42305" s="2" t="str">
        <f>IFERROR(__xludf.DUMMYFUNCTION("GOOGLETRANSLATE(A42305, ""de"", ""en"")"),"unused")</f>
        <v>unused</v>
      </c>
    </row>
    <row r="42306">
      <c r="A42306" s="1" t="s">
        <v>42305</v>
      </c>
      <c r="B42306" s="2" t="str">
        <f>IFERROR(__xludf.DUMMYFUNCTION("GOOGLETRANSLATE(A42306, ""de"", ""en"")"),"zing")</f>
        <v>zing</v>
      </c>
    </row>
    <row r="42307">
      <c r="A42307" s="1" t="s">
        <v>42306</v>
      </c>
      <c r="B42307" s="2" t="str">
        <f>IFERROR(__xludf.DUMMYFUNCTION("GOOGLETRANSLATE(A42307, ""de"", ""en"")"),"incapacitated")</f>
        <v>incapacitated</v>
      </c>
    </row>
    <row r="42308">
      <c r="A42308" s="1" t="s">
        <v>42307</v>
      </c>
      <c r="B42308" s="2" t="str">
        <f>IFERROR(__xludf.DUMMYFUNCTION("GOOGLETRANSLATE(A42308, ""de"", ""en"")"),"childlike")</f>
        <v>childlike</v>
      </c>
    </row>
    <row r="42309">
      <c r="A42309" s="1" t="s">
        <v>42308</v>
      </c>
      <c r="B42309" s="2" t="str">
        <f>IFERROR(__xludf.DUMMYFUNCTION("GOOGLETRANSLATE(A42309, ""de"", ""en"")"),"manifested")</f>
        <v>manifested</v>
      </c>
    </row>
    <row r="42310">
      <c r="A42310" s="1" t="s">
        <v>42309</v>
      </c>
      <c r="B42310" s="2" t="str">
        <f>IFERROR(__xludf.DUMMYFUNCTION("GOOGLETRANSLATE(A42310, ""de"", ""en"")"),"safety glasses")</f>
        <v>safety glasses</v>
      </c>
    </row>
    <row r="42311">
      <c r="A42311" s="1" t="s">
        <v>42310</v>
      </c>
      <c r="B42311" s="2" t="str">
        <f>IFERROR(__xludf.DUMMYFUNCTION("GOOGLETRANSLATE(A42311, ""de"", ""en"")"),"look after")</f>
        <v>look after</v>
      </c>
    </row>
    <row r="42312">
      <c r="A42312" s="1" t="s">
        <v>42311</v>
      </c>
      <c r="B42312" s="2" t="str">
        <f>IFERROR(__xludf.DUMMYFUNCTION("GOOGLETRANSLATE(A42312, ""de"", ""en"")"),"hoppy")</f>
        <v>hoppy</v>
      </c>
    </row>
    <row r="42313">
      <c r="A42313" s="1" t="s">
        <v>42312</v>
      </c>
      <c r="B42313" s="2" t="str">
        <f>IFERROR(__xludf.DUMMYFUNCTION("GOOGLETRANSLATE(A42313, ""de"", ""en"")"),"rainbows")</f>
        <v>rainbows</v>
      </c>
    </row>
    <row r="42314">
      <c r="A42314" s="1" t="s">
        <v>42313</v>
      </c>
      <c r="B42314" s="2" t="str">
        <f>IFERROR(__xludf.DUMMYFUNCTION("GOOGLETRANSLATE(A42314, ""de"", ""en"")"),"nail")</f>
        <v>nail</v>
      </c>
    </row>
    <row r="42315">
      <c r="A42315" s="1" t="s">
        <v>42314</v>
      </c>
      <c r="B42315" s="2" t="str">
        <f>IFERROR(__xludf.DUMMYFUNCTION("GOOGLETRANSLATE(A42315, ""de"", ""en"")"),"has ready")</f>
        <v>has ready</v>
      </c>
    </row>
    <row r="42316">
      <c r="A42316" s="1" t="s">
        <v>42315</v>
      </c>
      <c r="B42316" s="2" t="str">
        <f>IFERROR(__xludf.DUMMYFUNCTION("GOOGLETRANSLATE(A42316, ""de"", ""en"")"),"India")</f>
        <v>India</v>
      </c>
    </row>
    <row r="42317">
      <c r="A42317" s="1" t="s">
        <v>42316</v>
      </c>
      <c r="B42317" s="2" t="str">
        <f>IFERROR(__xludf.DUMMYFUNCTION("GOOGLETRANSLATE(A42317, ""de"", ""en"")"),"sodomy")</f>
        <v>sodomy</v>
      </c>
    </row>
    <row r="42318">
      <c r="A42318" s="1" t="s">
        <v>42317</v>
      </c>
      <c r="B42318" s="2" t="str">
        <f>IFERROR(__xludf.DUMMYFUNCTION("GOOGLETRANSLATE(A42318, ""de"", ""en"")"),"sum")</f>
        <v>sum</v>
      </c>
    </row>
    <row r="42319">
      <c r="A42319" s="1" t="s">
        <v>42318</v>
      </c>
      <c r="B42319" s="2" t="str">
        <f>IFERROR(__xludf.DUMMYFUNCTION("GOOGLETRANSLATE(A42319, ""de"", ""en"")"),"substances")</f>
        <v>substances</v>
      </c>
    </row>
    <row r="42320">
      <c r="A42320" s="1" t="s">
        <v>42319</v>
      </c>
      <c r="B42320" s="2" t="str">
        <f>IFERROR(__xludf.DUMMYFUNCTION("GOOGLETRANSLATE(A42320, ""de"", ""en"")"),"good")</f>
        <v>good</v>
      </c>
    </row>
    <row r="42321">
      <c r="A42321" s="1" t="s">
        <v>42320</v>
      </c>
      <c r="B42321" s="2" t="str">
        <f>IFERROR(__xludf.DUMMYFUNCTION("GOOGLETRANSLATE(A42321, ""de"", ""en"")"),"to burn down")</f>
        <v>to burn down</v>
      </c>
    </row>
    <row r="42322">
      <c r="A42322" s="1" t="s">
        <v>42321</v>
      </c>
      <c r="B42322" s="2" t="str">
        <f>IFERROR(__xludf.DUMMYFUNCTION("GOOGLETRANSLATE(A42322, ""de"", ""en"")"),"conventional")</f>
        <v>conventional</v>
      </c>
    </row>
    <row r="42323">
      <c r="A42323" s="1" t="s">
        <v>42322</v>
      </c>
      <c r="B42323" s="2" t="str">
        <f>IFERROR(__xludf.DUMMYFUNCTION("GOOGLETRANSLATE(A42323, ""de"", ""en"")"),"vichy")</f>
        <v>vichy</v>
      </c>
    </row>
    <row r="42324">
      <c r="A42324" s="1" t="s">
        <v>42323</v>
      </c>
      <c r="B42324" s="2" t="str">
        <f>IFERROR(__xludf.DUMMYFUNCTION("GOOGLETRANSLATE(A42324, ""de"", ""en"")"),"merc")</f>
        <v>merc</v>
      </c>
    </row>
    <row r="42325">
      <c r="A42325" s="1" t="s">
        <v>42324</v>
      </c>
      <c r="B42325" s="2" t="str">
        <f>IFERROR(__xludf.DUMMYFUNCTION("GOOGLETRANSLATE(A42325, ""de"", ""en"")"),"floor")</f>
        <v>floor</v>
      </c>
    </row>
    <row r="42326">
      <c r="A42326" s="1" t="s">
        <v>42325</v>
      </c>
      <c r="B42326" s="2" t="str">
        <f>IFERROR(__xludf.DUMMYFUNCTION("GOOGLETRANSLATE(A42326, ""de"", ""en"")"),"bronchitis")</f>
        <v>bronchitis</v>
      </c>
    </row>
    <row r="42327">
      <c r="A42327" s="1" t="s">
        <v>42326</v>
      </c>
      <c r="B42327" s="2" t="str">
        <f>IFERROR(__xludf.DUMMYFUNCTION("GOOGLETRANSLATE(A42327, ""de"", ""en"")"),"educated")</f>
        <v>educated</v>
      </c>
    </row>
    <row r="42328">
      <c r="A42328" s="1" t="s">
        <v>42327</v>
      </c>
      <c r="B42328" s="2" t="str">
        <f>IFERROR(__xludf.DUMMYFUNCTION("GOOGLETRANSLATE(A42328, ""de"", ""en"")"),"tears")</f>
        <v>tears</v>
      </c>
    </row>
    <row r="42329">
      <c r="A42329" s="1" t="s">
        <v>42328</v>
      </c>
      <c r="B42329" s="2" t="str">
        <f>IFERROR(__xludf.DUMMYFUNCTION("GOOGLETRANSLATE(A42329, ""de"", ""en"")"),"microwaves")</f>
        <v>microwaves</v>
      </c>
    </row>
    <row r="42330">
      <c r="A42330" s="1" t="s">
        <v>42329</v>
      </c>
      <c r="B42330" s="2" t="str">
        <f>IFERROR(__xludf.DUMMYFUNCTION("GOOGLETRANSLATE(A42330, ""de"", ""en"")"),"symbolism")</f>
        <v>symbolism</v>
      </c>
    </row>
    <row r="42331">
      <c r="A42331" s="1" t="s">
        <v>42330</v>
      </c>
      <c r="B42331" s="2" t="str">
        <f>IFERROR(__xludf.DUMMYFUNCTION("GOOGLETRANSLATE(A42331, ""de"", ""en"")"),"bouquet")</f>
        <v>bouquet</v>
      </c>
    </row>
    <row r="42332">
      <c r="A42332" s="1" t="s">
        <v>42331</v>
      </c>
      <c r="B42332" s="2" t="str">
        <f>IFERROR(__xludf.DUMMYFUNCTION("GOOGLETRANSLATE(A42332, ""de"", ""en"")"),"dictate")</f>
        <v>dictate</v>
      </c>
    </row>
    <row r="42333">
      <c r="A42333" s="1" t="s">
        <v>42332</v>
      </c>
      <c r="B42333" s="2" t="str">
        <f>IFERROR(__xludf.DUMMYFUNCTION("GOOGLETRANSLATE(A42333, ""de"", ""en"")"),"sable")</f>
        <v>sable</v>
      </c>
    </row>
    <row r="42334">
      <c r="A42334" s="1" t="s">
        <v>42333</v>
      </c>
      <c r="B42334" s="2" t="str">
        <f>IFERROR(__xludf.DUMMYFUNCTION("GOOGLETRANSLATE(A42334, ""de"", ""en"")"),"picture")</f>
        <v>picture</v>
      </c>
    </row>
    <row r="42335">
      <c r="A42335" s="1" t="s">
        <v>42334</v>
      </c>
      <c r="B42335" s="2" t="str">
        <f>IFERROR(__xludf.DUMMYFUNCTION("GOOGLETRANSLATE(A42335, ""de"", ""en"")"),"Florentine")</f>
        <v>Florentine</v>
      </c>
    </row>
    <row r="42336">
      <c r="A42336" s="1" t="s">
        <v>42335</v>
      </c>
      <c r="B42336" s="2" t="str">
        <f>IFERROR(__xludf.DUMMYFUNCTION("GOOGLETRANSLATE(A42336, ""de"", ""en"")"),"rigby")</f>
        <v>rigby</v>
      </c>
    </row>
    <row r="42337">
      <c r="A42337" s="1" t="s">
        <v>42336</v>
      </c>
      <c r="B42337" s="2" t="str">
        <f>IFERROR(__xludf.DUMMYFUNCTION("GOOGLETRANSLATE(A42337, ""de"", ""en"")"),"minotaur")</f>
        <v>minotaur</v>
      </c>
    </row>
    <row r="42338">
      <c r="A42338" s="1" t="s">
        <v>42337</v>
      </c>
      <c r="B42338" s="2" t="str">
        <f>IFERROR(__xludf.DUMMYFUNCTION("GOOGLETRANSLATE(A42338, ""de"", ""en"")"),"zoeys")</f>
        <v>zoeys</v>
      </c>
    </row>
    <row r="42339">
      <c r="A42339" s="1" t="s">
        <v>42338</v>
      </c>
      <c r="B42339" s="2" t="str">
        <f>IFERROR(__xludf.DUMMYFUNCTION("GOOGLETRANSLATE(A42339, ""de"", ""en"")"),"past")</f>
        <v>past</v>
      </c>
    </row>
    <row r="42340">
      <c r="A42340" s="1" t="s">
        <v>42339</v>
      </c>
      <c r="B42340" s="2" t="str">
        <f>IFERROR(__xludf.DUMMYFUNCTION("GOOGLETRANSLATE(A42340, ""de"", ""en"")"),"air strikes")</f>
        <v>air strikes</v>
      </c>
    </row>
    <row r="42341">
      <c r="A42341" s="1" t="s">
        <v>42340</v>
      </c>
      <c r="B42341" s="2" t="str">
        <f>IFERROR(__xludf.DUMMYFUNCTION("GOOGLETRANSLATE(A42341, ""de"", ""en"")"),"exits")</f>
        <v>exits</v>
      </c>
    </row>
    <row r="42342">
      <c r="A42342" s="1" t="s">
        <v>42341</v>
      </c>
      <c r="B42342" s="2" t="str">
        <f>IFERROR(__xludf.DUMMYFUNCTION("GOOGLETRANSLATE(A42342, ""de"", ""en"")"),"southwest")</f>
        <v>southwest</v>
      </c>
    </row>
    <row r="42343">
      <c r="A42343" s="1" t="s">
        <v>42342</v>
      </c>
      <c r="B42343" s="2" t="str">
        <f>IFERROR(__xludf.DUMMYFUNCTION("GOOGLETRANSLATE(A42343, ""de"", ""en"")"),"godfather")</f>
        <v>godfather</v>
      </c>
    </row>
    <row r="42344">
      <c r="A42344" s="1" t="s">
        <v>42343</v>
      </c>
      <c r="B42344" s="2" t="str">
        <f>IFERROR(__xludf.DUMMYFUNCTION("GOOGLETRANSLATE(A42344, ""de"", ""en"")"),"pronounced")</f>
        <v>pronounced</v>
      </c>
    </row>
    <row r="42345">
      <c r="A42345" s="1" t="s">
        <v>42344</v>
      </c>
      <c r="B42345" s="2" t="str">
        <f>IFERROR(__xludf.DUMMYFUNCTION("GOOGLETRANSLATE(A42345, ""de"", ""en"")"),"briar")</f>
        <v>briar</v>
      </c>
    </row>
    <row r="42346">
      <c r="A42346" s="1" t="s">
        <v>42345</v>
      </c>
      <c r="B42346" s="2" t="str">
        <f>IFERROR(__xludf.DUMMYFUNCTION("GOOGLETRANSLATE(A42346, ""de"", ""en"")"),"boarding")</f>
        <v>boarding</v>
      </c>
    </row>
    <row r="42347">
      <c r="A42347" s="1" t="s">
        <v>42346</v>
      </c>
      <c r="B42347" s="2" t="str">
        <f>IFERROR(__xludf.DUMMYFUNCTION("GOOGLETRANSLATE(A42347, ""de"", ""en"")"),"budd")</f>
        <v>budd</v>
      </c>
    </row>
    <row r="42348">
      <c r="A42348" s="1" t="s">
        <v>42347</v>
      </c>
      <c r="B42348" s="2" t="str">
        <f>IFERROR(__xludf.DUMMYFUNCTION("GOOGLETRANSLATE(A42348, ""de"", ""en"")"),"name list")</f>
        <v>name list</v>
      </c>
    </row>
    <row r="42349">
      <c r="A42349" s="1" t="s">
        <v>42348</v>
      </c>
      <c r="B42349" s="2" t="str">
        <f>IFERROR(__xludf.DUMMYFUNCTION("GOOGLETRANSLATE(A42349, ""de"", ""en"")"),"dhabi")</f>
        <v>dhabi</v>
      </c>
    </row>
    <row r="42350">
      <c r="A42350" s="1" t="s">
        <v>42349</v>
      </c>
      <c r="B42350" s="2" t="str">
        <f>IFERROR(__xludf.DUMMYFUNCTION("GOOGLETRANSLATE(A42350, ""de"", ""en"")"),"toxic")</f>
        <v>toxic</v>
      </c>
    </row>
    <row r="42351">
      <c r="A42351" s="1" t="s">
        <v>42350</v>
      </c>
      <c r="B42351" s="2" t="str">
        <f>IFERROR(__xludf.DUMMYFUNCTION("GOOGLETRANSLATE(A42351, ""de"", ""en"")"),"microphones")</f>
        <v>microphones</v>
      </c>
    </row>
    <row r="42352">
      <c r="A42352" s="1" t="s">
        <v>42351</v>
      </c>
      <c r="B42352" s="2" t="str">
        <f>IFERROR(__xludf.DUMMYFUNCTION("GOOGLETRANSLATE(A42352, ""de"", ""en"")"),"chokehold")</f>
        <v>chokehold</v>
      </c>
    </row>
    <row r="42353">
      <c r="A42353" s="1" t="s">
        <v>42352</v>
      </c>
      <c r="B42353" s="2" t="str">
        <f>IFERROR(__xludf.DUMMYFUNCTION("GOOGLETRANSLATE(A42353, ""de"", ""en"")"),"excommunicated")</f>
        <v>excommunicated</v>
      </c>
    </row>
    <row r="42354">
      <c r="A42354" s="1" t="s">
        <v>42353</v>
      </c>
      <c r="B42354" s="2" t="str">
        <f>IFERROR(__xludf.DUMMYFUNCTION("GOOGLETRANSLATE(A42354, ""de"", ""en"")"),"aye-aye")</f>
        <v>aye-aye</v>
      </c>
    </row>
    <row r="42355">
      <c r="A42355" s="1" t="s">
        <v>42354</v>
      </c>
      <c r="B42355" s="2" t="str">
        <f>IFERROR(__xludf.DUMMYFUNCTION("GOOGLETRANSLATE(A42355, ""de"", ""en"")"),"Beths")</f>
        <v>Beths</v>
      </c>
    </row>
    <row r="42356">
      <c r="A42356" s="1" t="s">
        <v>42355</v>
      </c>
      <c r="B42356" s="2" t="str">
        <f>IFERROR(__xludf.DUMMYFUNCTION("GOOGLETRANSLATE(A42356, ""de"", ""en"")"),"timidly")</f>
        <v>timidly</v>
      </c>
    </row>
    <row r="42357">
      <c r="A42357" s="1" t="s">
        <v>42356</v>
      </c>
      <c r="B42357" s="2" t="str">
        <f>IFERROR(__xludf.DUMMYFUNCTION("GOOGLETRANSLATE(A42357, ""de"", ""en"")"),"would happen")</f>
        <v>would happen</v>
      </c>
    </row>
    <row r="42358">
      <c r="A42358" s="1" t="s">
        <v>42357</v>
      </c>
      <c r="B42358" s="2" t="str">
        <f>IFERROR(__xludf.DUMMYFUNCTION("GOOGLETRANSLATE(A42358, ""de"", ""en"")"),"murder")</f>
        <v>murder</v>
      </c>
    </row>
    <row r="42359">
      <c r="A42359" s="1" t="s">
        <v>42358</v>
      </c>
      <c r="B42359" s="2" t="str">
        <f>IFERROR(__xludf.DUMMYFUNCTION("GOOGLETRANSLATE(A42359, ""de"", ""en"")"),"paraphrase")</f>
        <v>paraphrase</v>
      </c>
    </row>
    <row r="42360">
      <c r="A42360" s="1" t="s">
        <v>42359</v>
      </c>
      <c r="B42360" s="2" t="str">
        <f>IFERROR(__xludf.DUMMYFUNCTION("GOOGLETRANSLATE(A42360, ""de"", ""en"")"),"strasser")</f>
        <v>strasser</v>
      </c>
    </row>
    <row r="42361">
      <c r="A42361" s="1" t="s">
        <v>42360</v>
      </c>
      <c r="B42361" s="2" t="str">
        <f>IFERROR(__xludf.DUMMYFUNCTION("GOOGLETRANSLATE(A42361, ""de"", ""en"")"),"dumplings")</f>
        <v>dumplings</v>
      </c>
    </row>
    <row r="42362">
      <c r="A42362" s="1" t="s">
        <v>42361</v>
      </c>
      <c r="B42362" s="2" t="str">
        <f>IFERROR(__xludf.DUMMYFUNCTION("GOOGLETRANSLATE(A42362, ""de"", ""en"")"),"nonsense")</f>
        <v>nonsense</v>
      </c>
    </row>
    <row r="42363">
      <c r="A42363" s="1" t="s">
        <v>42362</v>
      </c>
      <c r="B42363" s="2" t="str">
        <f>IFERROR(__xludf.DUMMYFUNCTION("GOOGLETRANSLATE(A42363, ""de"", ""en"")"),"blue")</f>
        <v>blue</v>
      </c>
    </row>
    <row r="42364">
      <c r="A42364" s="1" t="s">
        <v>42363</v>
      </c>
      <c r="B42364" s="2" t="str">
        <f>IFERROR(__xludf.DUMMYFUNCTION("GOOGLETRANSLATE(A42364, ""de"", ""en"")"),"Weiserthomas")</f>
        <v>Weiserthomas</v>
      </c>
    </row>
    <row r="42365">
      <c r="A42365" s="1" t="s">
        <v>42364</v>
      </c>
      <c r="B42365" s="2" t="str">
        <f>IFERROR(__xludf.DUMMYFUNCTION("GOOGLETRANSLATE(A42365, ""de"", ""en"")"),"wilt")</f>
        <v>wilt</v>
      </c>
    </row>
    <row r="42366">
      <c r="A42366" s="1" t="s">
        <v>42365</v>
      </c>
      <c r="B42366" s="2" t="str">
        <f>IFERROR(__xludf.DUMMYFUNCTION("GOOGLETRANSLATE(A42366, ""de"", ""en"")"),"piano lessons")</f>
        <v>piano lessons</v>
      </c>
    </row>
    <row r="42367">
      <c r="A42367" s="1" t="s">
        <v>42366</v>
      </c>
      <c r="B42367" s="2" t="str">
        <f>IFERROR(__xludf.DUMMYFUNCTION("GOOGLETRANSLATE(A42367, ""de"", ""en"")"),"self-interest")</f>
        <v>self-interest</v>
      </c>
    </row>
    <row r="42368">
      <c r="A42368" s="1" t="s">
        <v>42367</v>
      </c>
      <c r="B42368" s="2" t="str">
        <f>IFERROR(__xludf.DUMMYFUNCTION("GOOGLETRANSLATE(A42368, ""de"", ""en"")"),"borns")</f>
        <v>borns</v>
      </c>
    </row>
    <row r="42369">
      <c r="A42369" s="1" t="s">
        <v>42368</v>
      </c>
      <c r="B42369" s="2" t="str">
        <f>IFERROR(__xludf.DUMMYFUNCTION("GOOGLETRANSLATE(A42369, ""de"", ""en"")"),"any")</f>
        <v>any</v>
      </c>
    </row>
    <row r="42370">
      <c r="A42370" s="1" t="s">
        <v>42369</v>
      </c>
      <c r="B42370" s="2" t="str">
        <f>IFERROR(__xludf.DUMMYFUNCTION("GOOGLETRANSLATE(A42370, ""de"", ""en"")"),"acknowledged")</f>
        <v>acknowledged</v>
      </c>
    </row>
    <row r="42371">
      <c r="A42371" s="1" t="s">
        <v>42370</v>
      </c>
      <c r="B42371" s="2" t="str">
        <f>IFERROR(__xludf.DUMMYFUNCTION("GOOGLETRANSLATE(A42371, ""de"", ""en"")"),"to pull out")</f>
        <v>to pull out</v>
      </c>
    </row>
    <row r="42372">
      <c r="A42372" s="1" t="s">
        <v>42371</v>
      </c>
      <c r="B42372" s="2" t="str">
        <f>IFERROR(__xludf.DUMMYFUNCTION("GOOGLETRANSLATE(A42372, ""de"", ""en"")"),"decadence")</f>
        <v>decadence</v>
      </c>
    </row>
    <row r="42373">
      <c r="A42373" s="1" t="s">
        <v>42372</v>
      </c>
      <c r="B42373" s="2" t="str">
        <f>IFERROR(__xludf.DUMMYFUNCTION("GOOGLETRANSLATE(A42373, ""de"", ""en"")"),"cheerful")</f>
        <v>cheerful</v>
      </c>
    </row>
    <row r="42374">
      <c r="A42374" s="1" t="s">
        <v>42373</v>
      </c>
      <c r="B42374" s="2" t="str">
        <f>IFERROR(__xludf.DUMMYFUNCTION("GOOGLETRANSLATE(A42374, ""de"", ""en"")"),"hairy")</f>
        <v>hairy</v>
      </c>
    </row>
    <row r="42375">
      <c r="A42375" s="1" t="s">
        <v>42374</v>
      </c>
      <c r="B42375" s="2" t="str">
        <f>IFERROR(__xludf.DUMMYFUNCTION("GOOGLETRANSLATE(A42375, ""de"", ""en"")"),"showered")</f>
        <v>showered</v>
      </c>
    </row>
    <row r="42376">
      <c r="A42376" s="1" t="s">
        <v>42375</v>
      </c>
      <c r="B42376" s="2" t="str">
        <f>IFERROR(__xludf.DUMMYFUNCTION("GOOGLETRANSLATE(A42376, ""de"", ""en"")"),"DVD player")</f>
        <v>DVD player</v>
      </c>
    </row>
    <row r="42377">
      <c r="A42377" s="1" t="s">
        <v>42376</v>
      </c>
      <c r="B42377" s="2" t="str">
        <f>IFERROR(__xludf.DUMMYFUNCTION("GOOGLETRANSLATE(A42377, ""de"", ""en"")"),"subordinates")</f>
        <v>subordinates</v>
      </c>
    </row>
    <row r="42378">
      <c r="A42378" s="1" t="s">
        <v>42377</v>
      </c>
      <c r="B42378" s="2" t="str">
        <f>IFERROR(__xludf.DUMMYFUNCTION("GOOGLETRANSLATE(A42378, ""de"", ""en"")"),"quantum physics")</f>
        <v>quantum physics</v>
      </c>
    </row>
    <row r="42379">
      <c r="A42379" s="1" t="s">
        <v>42378</v>
      </c>
      <c r="B42379" s="2" t="str">
        <f>IFERROR(__xludf.DUMMYFUNCTION("GOOGLETRANSLATE(A42379, ""de"", ""en"")"),"rigid as a corpse")</f>
        <v>rigid as a corpse</v>
      </c>
    </row>
    <row r="42380">
      <c r="A42380" s="1" t="s">
        <v>42379</v>
      </c>
      <c r="B42380" s="2" t="str">
        <f>IFERROR(__xludf.DUMMYFUNCTION("GOOGLETRANSLATE(A42380, ""de"", ""en"")"),"duckling")</f>
        <v>duckling</v>
      </c>
    </row>
    <row r="42381">
      <c r="A42381" s="1" t="s">
        <v>42380</v>
      </c>
      <c r="B42381" s="2" t="str">
        <f>IFERROR(__xludf.DUMMYFUNCTION("GOOGLETRANSLATE(A42381, ""de"", ""en"")"),"rubicon")</f>
        <v>rubicon</v>
      </c>
    </row>
    <row r="42382">
      <c r="A42382" s="1" t="s">
        <v>42381</v>
      </c>
      <c r="B42382" s="2" t="str">
        <f>IFERROR(__xludf.DUMMYFUNCTION("GOOGLETRANSLATE(A42382, ""de"", ""en"")"),"washburn")</f>
        <v>washburn</v>
      </c>
    </row>
    <row r="42383">
      <c r="A42383" s="1" t="s">
        <v>42382</v>
      </c>
      <c r="B42383" s="2" t="str">
        <f>IFERROR(__xludf.DUMMYFUNCTION("GOOGLETRANSLATE(A42383, ""de"", ""en"")"),"have children")</f>
        <v>have children</v>
      </c>
    </row>
    <row r="42384">
      <c r="A42384" s="1" t="s">
        <v>42383</v>
      </c>
      <c r="B42384" s="2" t="str">
        <f>IFERROR(__xludf.DUMMYFUNCTION("GOOGLETRANSLATE(A42384, ""de"", ""en"")"),"unauthorized")</f>
        <v>unauthorized</v>
      </c>
    </row>
    <row r="42385">
      <c r="A42385" s="1" t="s">
        <v>42384</v>
      </c>
      <c r="B42385" s="2" t="str">
        <f>IFERROR(__xludf.DUMMYFUNCTION("GOOGLETRANSLATE(A42385, ""de"", ""en"")"),"special report")</f>
        <v>special report</v>
      </c>
    </row>
    <row r="42386">
      <c r="A42386" s="1" t="s">
        <v>42385</v>
      </c>
      <c r="B42386" s="2" t="str">
        <f>IFERROR(__xludf.DUMMYFUNCTION("GOOGLETRANSLATE(A42386, ""de"", ""en"")"),"Weinstein")</f>
        <v>Weinstein</v>
      </c>
    </row>
    <row r="42387">
      <c r="A42387" s="1" t="s">
        <v>42386</v>
      </c>
      <c r="B42387" s="2" t="str">
        <f>IFERROR(__xludf.DUMMYFUNCTION("GOOGLETRANSLATE(A42387, ""de"", ""en"")"),"love relationship")</f>
        <v>love relationship</v>
      </c>
    </row>
    <row r="42388">
      <c r="A42388" s="1" t="s">
        <v>42387</v>
      </c>
      <c r="B42388" s="2" t="str">
        <f>IFERROR(__xludf.DUMMYFUNCTION("GOOGLETRANSLATE(A42388, ""de"", ""en"")"),"splattered")</f>
        <v>splattered</v>
      </c>
    </row>
    <row r="42389">
      <c r="A42389" s="1" t="s">
        <v>42388</v>
      </c>
      <c r="B42389" s="2" t="str">
        <f>IFERROR(__xludf.DUMMYFUNCTION("GOOGLETRANSLATE(A42389, ""de"", ""en"")"),"hungry as a bear")</f>
        <v>hungry as a bear</v>
      </c>
    </row>
    <row r="42390">
      <c r="A42390" s="1" t="s">
        <v>42389</v>
      </c>
      <c r="B42390" s="2" t="str">
        <f>IFERROR(__xludf.DUMMYFUNCTION("GOOGLETRANSLATE(A42390, ""de"", ""en"")"),"program preview")</f>
        <v>program preview</v>
      </c>
    </row>
    <row r="42391">
      <c r="A42391" s="1" t="s">
        <v>42390</v>
      </c>
      <c r="B42391" s="2" t="str">
        <f>IFERROR(__xludf.DUMMYFUNCTION("GOOGLETRANSLATE(A42391, ""de"", ""en"")"),"bow")</f>
        <v>bow</v>
      </c>
    </row>
    <row r="42392">
      <c r="A42392" s="1" t="s">
        <v>42391</v>
      </c>
      <c r="B42392" s="2" t="str">
        <f>IFERROR(__xludf.DUMMYFUNCTION("GOOGLETRANSLATE(A42392, ""de"", ""en"")"),"children's laughter")</f>
        <v>children's laughter</v>
      </c>
    </row>
    <row r="42393">
      <c r="A42393" s="1" t="s">
        <v>42392</v>
      </c>
      <c r="B42393" s="2" t="str">
        <f>IFERROR(__xludf.DUMMYFUNCTION("GOOGLETRANSLATE(A42393, ""de"", ""en"")"),"purge")</f>
        <v>purge</v>
      </c>
    </row>
    <row r="42394">
      <c r="A42394" s="1" t="s">
        <v>42393</v>
      </c>
      <c r="B42394" s="2" t="str">
        <f>IFERROR(__xludf.DUMMYFUNCTION("GOOGLETRANSLATE(A42394, ""de"", ""en"")"),"couldn't")</f>
        <v>couldn't</v>
      </c>
    </row>
    <row r="42395">
      <c r="A42395" s="1" t="s">
        <v>42394</v>
      </c>
      <c r="B42395" s="2" t="str">
        <f>IFERROR(__xludf.DUMMYFUNCTION("GOOGLETRANSLATE(A42395, ""de"", ""en"")"),"highland")</f>
        <v>highland</v>
      </c>
    </row>
    <row r="42396">
      <c r="A42396" s="1" t="s">
        <v>42395</v>
      </c>
      <c r="B42396" s="2" t="str">
        <f>IFERROR(__xludf.DUMMYFUNCTION("GOOGLETRANSLATE(A42396, ""de"", ""en"")"),"heparin")</f>
        <v>heparin</v>
      </c>
    </row>
    <row r="42397">
      <c r="A42397" s="1" t="s">
        <v>42396</v>
      </c>
      <c r="B42397" s="2" t="str">
        <f>IFERROR(__xludf.DUMMYFUNCTION("GOOGLETRANSLATE(A42397, ""de"", ""en"")"),"chaotic")</f>
        <v>chaotic</v>
      </c>
    </row>
    <row r="42398">
      <c r="A42398" s="1" t="s">
        <v>42397</v>
      </c>
      <c r="B42398" s="2" t="str">
        <f>IFERROR(__xludf.DUMMYFUNCTION("GOOGLETRANSLATE(A42398, ""de"", ""en"")"),"city ​​dweller")</f>
        <v>city ​​dweller</v>
      </c>
    </row>
    <row r="42399">
      <c r="A42399" s="1" t="s">
        <v>42398</v>
      </c>
      <c r="B42399" s="2" t="str">
        <f>IFERROR(__xludf.DUMMYFUNCTION("GOOGLETRANSLATE(A42399, ""de"", ""en"")"),"legal advice")</f>
        <v>legal advice</v>
      </c>
    </row>
    <row r="42400">
      <c r="A42400" s="1" t="s">
        <v>42399</v>
      </c>
      <c r="B42400" s="2" t="str">
        <f>IFERROR(__xludf.DUMMYFUNCTION("GOOGLETRANSLATE(A42400, ""de"", ""en"")"),"proudly")</f>
        <v>proudly</v>
      </c>
    </row>
    <row r="42401">
      <c r="A42401" s="1" t="s">
        <v>42400</v>
      </c>
      <c r="B42401" s="2" t="str">
        <f>IFERROR(__xludf.DUMMYFUNCTION("GOOGLETRANSLATE(A42401, ""de"", ""en"")"),"chimes")</f>
        <v>chimes</v>
      </c>
    </row>
    <row r="42402">
      <c r="A42402" s="1" t="s">
        <v>42401</v>
      </c>
      <c r="B42402" s="2" t="str">
        <f>IFERROR(__xludf.DUMMYFUNCTION("GOOGLETRANSLATE(A42402, ""de"", ""en"")"),"exclusive")</f>
        <v>exclusive</v>
      </c>
    </row>
    <row r="42403">
      <c r="A42403" s="1" t="s">
        <v>42402</v>
      </c>
      <c r="B42403" s="2" t="str">
        <f>IFERROR(__xludf.DUMMYFUNCTION("GOOGLETRANSLATE(A42403, ""de"", ""en"")"),"pan")</f>
        <v>pan</v>
      </c>
    </row>
    <row r="42404">
      <c r="A42404" s="1" t="s">
        <v>42403</v>
      </c>
      <c r="B42404" s="2" t="str">
        <f>IFERROR(__xludf.DUMMYFUNCTION("GOOGLETRANSLATE(A42404, ""de"", ""en"")"),"final")</f>
        <v>final</v>
      </c>
    </row>
    <row r="42405">
      <c r="A42405" s="1" t="s">
        <v>42404</v>
      </c>
      <c r="B42405" s="2" t="str">
        <f>IFERROR(__xludf.DUMMYFUNCTION("GOOGLETRANSLATE(A42405, ""de"", ""en"")"),"life partner")</f>
        <v>life partner</v>
      </c>
    </row>
    <row r="42406">
      <c r="A42406" s="1" t="s">
        <v>42405</v>
      </c>
      <c r="B42406" s="2" t="str">
        <f>IFERROR(__xludf.DUMMYFUNCTION("GOOGLETRANSLATE(A42406, ""de"", ""en"")"),"yui")</f>
        <v>yui</v>
      </c>
    </row>
    <row r="42407">
      <c r="A42407" s="1" t="s">
        <v>42406</v>
      </c>
      <c r="B42407" s="2" t="str">
        <f>IFERROR(__xludf.DUMMYFUNCTION("GOOGLETRANSLATE(A42407, ""de"", ""en"")"),"wizard")</f>
        <v>wizard</v>
      </c>
    </row>
    <row r="42408">
      <c r="A42408" s="1" t="s">
        <v>42407</v>
      </c>
      <c r="B42408" s="2" t="str">
        <f>IFERROR(__xludf.DUMMYFUNCTION("GOOGLETRANSLATE(A42408, ""de"", ""en"")"),"meene")</f>
        <v>meene</v>
      </c>
    </row>
    <row r="42409">
      <c r="A42409" s="1" t="s">
        <v>42408</v>
      </c>
      <c r="B42409" s="2" t="str">
        <f>IFERROR(__xludf.DUMMYFUNCTION("GOOGLETRANSLATE(A42409, ""de"", ""en"")"),"conference call")</f>
        <v>conference call</v>
      </c>
    </row>
    <row r="42410">
      <c r="A42410" s="1" t="s">
        <v>42409</v>
      </c>
      <c r="B42410" s="2" t="str">
        <f>IFERROR(__xludf.DUMMYFUNCTION("GOOGLETRANSLATE(A42410, ""de"", ""en"")"),"Lena")</f>
        <v>Lena</v>
      </c>
    </row>
    <row r="42411">
      <c r="A42411" s="1" t="s">
        <v>42410</v>
      </c>
      <c r="B42411" s="2" t="str">
        <f>IFERROR(__xludf.DUMMYFUNCTION("GOOGLETRANSLATE(A42411, ""de"", ""en"")"),"place")</f>
        <v>place</v>
      </c>
    </row>
    <row r="42412">
      <c r="A42412" s="1" t="s">
        <v>42411</v>
      </c>
      <c r="B42412" s="2" t="str">
        <f>IFERROR(__xludf.DUMMYFUNCTION("GOOGLETRANSLATE(A42412, ""de"", ""en"")"),"woodbine")</f>
        <v>woodbine</v>
      </c>
    </row>
    <row r="42413">
      <c r="A42413" s="1" t="s">
        <v>42412</v>
      </c>
      <c r="B42413" s="2" t="str">
        <f>IFERROR(__xludf.DUMMYFUNCTION("GOOGLETRANSLATE(A42413, ""de"", ""en"")"),"mantle")</f>
        <v>mantle</v>
      </c>
    </row>
    <row r="42414">
      <c r="A42414" s="1" t="s">
        <v>42413</v>
      </c>
      <c r="B42414" s="2" t="str">
        <f>IFERROR(__xludf.DUMMYFUNCTION("GOOGLETRANSLATE(A42414, ""de"", ""en"")"),"vineyard")</f>
        <v>vineyard</v>
      </c>
    </row>
    <row r="42415">
      <c r="A42415" s="1" t="s">
        <v>42414</v>
      </c>
      <c r="B42415" s="2" t="str">
        <f>IFERROR(__xludf.DUMMYFUNCTION("GOOGLETRANSLATE(A42415, ""de"", ""en"")"),"sufferer")</f>
        <v>sufferer</v>
      </c>
    </row>
    <row r="42416">
      <c r="A42416" s="1" t="s">
        <v>42415</v>
      </c>
      <c r="B42416" s="2" t="str">
        <f>IFERROR(__xludf.DUMMYFUNCTION("GOOGLETRANSLATE(A42416, ""de"", ""en"")"),"mounted")</f>
        <v>mounted</v>
      </c>
    </row>
    <row r="42417">
      <c r="A42417" s="1" t="s">
        <v>42416</v>
      </c>
      <c r="B42417" s="2" t="str">
        <f>IFERROR(__xludf.DUMMYFUNCTION("GOOGLETRANSLATE(A42417, ""de"", ""en"")"),"john boys")</f>
        <v>john boys</v>
      </c>
    </row>
    <row r="42418">
      <c r="A42418" s="1" t="s">
        <v>42417</v>
      </c>
      <c r="B42418" s="2" t="str">
        <f>IFERROR(__xludf.DUMMYFUNCTION("GOOGLETRANSLATE(A42418, ""de"", ""en"")"),"at its best")</f>
        <v>at its best</v>
      </c>
    </row>
    <row r="42419">
      <c r="A42419" s="1" t="s">
        <v>42418</v>
      </c>
      <c r="B42419" s="2" t="str">
        <f>IFERROR(__xludf.DUMMYFUNCTION("GOOGLETRANSLATE(A42419, ""de"", ""en"")"),"calming")</f>
        <v>calming</v>
      </c>
    </row>
    <row r="42420">
      <c r="A42420" s="1" t="s">
        <v>42419</v>
      </c>
      <c r="B42420" s="2" t="str">
        <f>IFERROR(__xludf.DUMMYFUNCTION("GOOGLETRANSLATE(A42420, ""de"", ""en"")"),"ncls")</f>
        <v>ncls</v>
      </c>
    </row>
    <row r="42421">
      <c r="A42421" s="1" t="s">
        <v>42420</v>
      </c>
      <c r="B42421" s="2" t="str">
        <f>IFERROR(__xludf.DUMMYFUNCTION("GOOGLETRANSLATE(A42421, ""de"", ""en"")"),"find out")</f>
        <v>find out</v>
      </c>
    </row>
    <row r="42422">
      <c r="A42422" s="1" t="s">
        <v>42421</v>
      </c>
      <c r="B42422" s="2" t="str">
        <f>IFERROR(__xludf.DUMMYFUNCTION("GOOGLETRANSLATE(A42422, ""de"", ""en"")"),"daydreams")</f>
        <v>daydreams</v>
      </c>
    </row>
    <row r="42423">
      <c r="A42423" s="1" t="s">
        <v>42422</v>
      </c>
      <c r="B42423" s="2" t="str">
        <f>IFERROR(__xludf.DUMMYFUNCTION("GOOGLETRANSLATE(A42423, ""de"", ""en"")"),"high voltage")</f>
        <v>high voltage</v>
      </c>
    </row>
    <row r="42424">
      <c r="A42424" s="1" t="s">
        <v>42423</v>
      </c>
      <c r="B42424" s="2" t="str">
        <f>IFERROR(__xludf.DUMMYFUNCTION("GOOGLETRANSLATE(A42424, ""de"", ""en"")"),"tweets")</f>
        <v>tweets</v>
      </c>
    </row>
    <row r="42425">
      <c r="A42425" s="1" t="s">
        <v>42424</v>
      </c>
      <c r="B42425" s="2" t="str">
        <f>IFERROR(__xludf.DUMMYFUNCTION("GOOGLETRANSLATE(A42425, ""de"", ""en"")"),"Marston")</f>
        <v>Marston</v>
      </c>
    </row>
    <row r="42426">
      <c r="A42426" s="1" t="s">
        <v>42425</v>
      </c>
      <c r="B42426" s="2" t="str">
        <f>IFERROR(__xludf.DUMMYFUNCTION("GOOGLETRANSLATE(A42426, ""de"", ""en"")"),"hypochondriac")</f>
        <v>hypochondriac</v>
      </c>
    </row>
    <row r="42427">
      <c r="A42427" s="1" t="s">
        <v>42426</v>
      </c>
      <c r="B42427" s="2" t="str">
        <f>IFERROR(__xludf.DUMMYFUNCTION("GOOGLETRANSLATE(A42427, ""de"", ""en"")"),"belch")</f>
        <v>belch</v>
      </c>
    </row>
    <row r="42428">
      <c r="A42428" s="1" t="s">
        <v>42427</v>
      </c>
      <c r="B42428" s="2" t="str">
        <f>IFERROR(__xludf.DUMMYFUNCTION("GOOGLETRANSLATE(A42428, ""de"", ""en"")"),"side entrance")</f>
        <v>side entrance</v>
      </c>
    </row>
    <row r="42429">
      <c r="A42429" s="1" t="s">
        <v>42428</v>
      </c>
      <c r="B42429" s="2" t="str">
        <f>IFERROR(__xludf.DUMMYFUNCTION("GOOGLETRANSLATE(A42429, ""de"", ""en"")"),"ruined")</f>
        <v>ruined</v>
      </c>
    </row>
    <row r="42430">
      <c r="A42430" s="1" t="s">
        <v>42429</v>
      </c>
      <c r="B42430" s="2" t="str">
        <f>IFERROR(__xludf.DUMMYFUNCTION("GOOGLETRANSLATE(A42430, ""de"", ""en"")"),"sticks")</f>
        <v>sticks</v>
      </c>
    </row>
    <row r="42431">
      <c r="A42431" s="1" t="s">
        <v>42430</v>
      </c>
      <c r="B42431" s="2" t="str">
        <f>IFERROR(__xludf.DUMMYFUNCTION("GOOGLETRANSLATE(A42431, ""de"", ""en"")"),"inigo")</f>
        <v>inigo</v>
      </c>
    </row>
    <row r="42432">
      <c r="A42432" s="1" t="s">
        <v>42431</v>
      </c>
      <c r="B42432" s="2" t="str">
        <f>IFERROR(__xludf.DUMMYFUNCTION("GOOGLETRANSLATE(A42432, ""de"", ""en"")"),"couple")</f>
        <v>couple</v>
      </c>
    </row>
    <row r="42433">
      <c r="A42433" s="1" t="s">
        <v>42432</v>
      </c>
      <c r="B42433" s="2" t="str">
        <f>IFERROR(__xludf.DUMMYFUNCTION("GOOGLETRANSLATE(A42433, ""de"", ""en"")"),"flintstone")</f>
        <v>flintstone</v>
      </c>
    </row>
    <row r="42434">
      <c r="A42434" s="1" t="s">
        <v>42433</v>
      </c>
      <c r="B42434" s="2" t="str">
        <f>IFERROR(__xludf.DUMMYFUNCTION("GOOGLETRANSLATE(A42434, ""de"", ""en"")"),"shilo")</f>
        <v>shilo</v>
      </c>
    </row>
    <row r="42435">
      <c r="A42435" s="1" t="s">
        <v>42434</v>
      </c>
      <c r="B42435" s="2" t="str">
        <f>IFERROR(__xludf.DUMMYFUNCTION("GOOGLETRANSLATE(A42435, ""de"", ""en"")"),"catalogs")</f>
        <v>catalogs</v>
      </c>
    </row>
    <row r="42436">
      <c r="A42436" s="1" t="s">
        <v>42435</v>
      </c>
      <c r="B42436" s="2" t="str">
        <f>IFERROR(__xludf.DUMMYFUNCTION("GOOGLETRANSLATE(A42436, ""de"", ""en"")"),"Latvia")</f>
        <v>Latvia</v>
      </c>
    </row>
    <row r="42437">
      <c r="A42437" s="1" t="s">
        <v>42436</v>
      </c>
      <c r="B42437" s="2" t="str">
        <f>IFERROR(__xludf.DUMMYFUNCTION("GOOGLETRANSLATE(A42437, ""de"", ""en"")"),"frans")</f>
        <v>frans</v>
      </c>
    </row>
    <row r="42438">
      <c r="A42438" s="1" t="s">
        <v>42437</v>
      </c>
      <c r="B42438" s="2" t="str">
        <f>IFERROR(__xludf.DUMMYFUNCTION("GOOGLETRANSLATE(A42438, ""de"", ""en"")"),"taka")</f>
        <v>taka</v>
      </c>
    </row>
    <row r="42439">
      <c r="A42439" s="1" t="s">
        <v>42438</v>
      </c>
      <c r="B42439" s="2" t="str">
        <f>IFERROR(__xludf.DUMMYFUNCTION("GOOGLETRANSLATE(A42439, ""de"", ""en"")"),"arty")</f>
        <v>arty</v>
      </c>
    </row>
    <row r="42440">
      <c r="A42440" s="1" t="s">
        <v>42439</v>
      </c>
      <c r="B42440" s="2" t="str">
        <f>IFERROR(__xludf.DUMMYFUNCTION("GOOGLETRANSLATE(A42440, ""de"", ""en"")"),"lozano")</f>
        <v>lozano</v>
      </c>
    </row>
    <row r="42441">
      <c r="A42441" s="1" t="s">
        <v>42440</v>
      </c>
      <c r="B42441" s="2" t="str">
        <f>IFERROR(__xludf.DUMMYFUNCTION("GOOGLETRANSLATE(A42441, ""de"", ""en"")"),"umberto")</f>
        <v>umberto</v>
      </c>
    </row>
    <row r="42442">
      <c r="A42442" s="1" t="s">
        <v>42441</v>
      </c>
      <c r="B42442" s="2" t="str">
        <f>IFERROR(__xludf.DUMMYFUNCTION("GOOGLETRANSLATE(A42442, ""de"", ""en"")"),"minute of silence")</f>
        <v>minute of silence</v>
      </c>
    </row>
    <row r="42443">
      <c r="A42443" s="1" t="s">
        <v>42442</v>
      </c>
      <c r="B42443" s="2" t="str">
        <f>IFERROR(__xludf.DUMMYFUNCTION("GOOGLETRANSLATE(A42443, ""de"", ""en"")"),"ready for operation")</f>
        <v>ready for operation</v>
      </c>
    </row>
    <row r="42444">
      <c r="A42444" s="1" t="s">
        <v>42443</v>
      </c>
      <c r="B42444" s="2" t="str">
        <f>IFERROR(__xludf.DUMMYFUNCTION("GOOGLETRANSLATE(A42444, ""de"", ""en"")"),"bly")</f>
        <v>bly</v>
      </c>
    </row>
    <row r="42445">
      <c r="A42445" s="1" t="s">
        <v>42444</v>
      </c>
      <c r="B42445" s="2" t="str">
        <f>IFERROR(__xludf.DUMMYFUNCTION("GOOGLETRANSLATE(A42445, ""de"", ""en"")"),"emergency car")</f>
        <v>emergency car</v>
      </c>
    </row>
    <row r="42446">
      <c r="A42446" s="1" t="s">
        <v>42445</v>
      </c>
      <c r="B42446" s="2" t="str">
        <f>IFERROR(__xludf.DUMMYFUNCTION("GOOGLETRANSLATE(A42446, ""de"", ""en"")"),"beeman")</f>
        <v>beeman</v>
      </c>
    </row>
    <row r="42447">
      <c r="A42447" s="1" t="s">
        <v>42446</v>
      </c>
      <c r="B42447" s="2" t="str">
        <f>IFERROR(__xludf.DUMMYFUNCTION("GOOGLETRANSLATE(A42447, ""de"", ""en"")"),"slide")</f>
        <v>slide</v>
      </c>
    </row>
    <row r="42448">
      <c r="A42448" s="1" t="s">
        <v>42447</v>
      </c>
      <c r="B42448" s="2" t="str">
        <f>IFERROR(__xludf.DUMMYFUNCTION("GOOGLETRANSLATE(A42448, ""de"", ""en"")"),"northwestern")</f>
        <v>northwestern</v>
      </c>
    </row>
    <row r="42449">
      <c r="A42449" s="1" t="s">
        <v>42448</v>
      </c>
      <c r="B42449" s="2" t="str">
        <f>IFERROR(__xludf.DUMMYFUNCTION("GOOGLETRANSLATE(A42449, ""de"", ""en"")"),"sparkle")</f>
        <v>sparkle</v>
      </c>
    </row>
    <row r="42450">
      <c r="A42450" s="1" t="s">
        <v>42449</v>
      </c>
      <c r="B42450" s="2" t="str">
        <f>IFERROR(__xludf.DUMMYFUNCTION("GOOGLETRANSLATE(A42450, ""de"", ""en"")"),"delicacies")</f>
        <v>delicacies</v>
      </c>
    </row>
    <row r="42451">
      <c r="A42451" s="1" t="s">
        <v>42450</v>
      </c>
      <c r="B42451" s="2" t="str">
        <f>IFERROR(__xludf.DUMMYFUNCTION("GOOGLETRANSLATE(A42451, ""de"", ""en"")"),"Thorsten")</f>
        <v>Thorsten</v>
      </c>
    </row>
    <row r="42452">
      <c r="A42452" s="1" t="s">
        <v>42451</v>
      </c>
      <c r="B42452" s="2" t="str">
        <f>IFERROR(__xludf.DUMMYFUNCTION("GOOGLETRANSLATE(A42452, ""de"", ""en"")"),"bengtzon")</f>
        <v>bengtzon</v>
      </c>
    </row>
    <row r="42453">
      <c r="A42453" s="1" t="s">
        <v>42452</v>
      </c>
      <c r="B42453" s="2" t="str">
        <f>IFERROR(__xludf.DUMMYFUNCTION("GOOGLETRANSLATE(A42453, ""de"", ""en"")"),"magoo")</f>
        <v>magoo</v>
      </c>
    </row>
    <row r="42454">
      <c r="A42454" s="1" t="s">
        <v>42453</v>
      </c>
      <c r="B42454" s="2" t="str">
        <f>IFERROR(__xludf.DUMMYFUNCTION("GOOGLETRANSLATE(A42454, ""de"", ""en"")"),"thought through")</f>
        <v>thought through</v>
      </c>
    </row>
    <row r="42455">
      <c r="A42455" s="1" t="s">
        <v>42454</v>
      </c>
      <c r="B42455" s="2" t="str">
        <f>IFERROR(__xludf.DUMMYFUNCTION("GOOGLETRANSLATE(A42455, ""de"", ""en"")"),"cd player")</f>
        <v>cd player</v>
      </c>
    </row>
    <row r="42456">
      <c r="A42456" s="1" t="s">
        <v>42455</v>
      </c>
      <c r="B42456" s="2" t="str">
        <f>IFERROR(__xludf.DUMMYFUNCTION("GOOGLETRANSLATE(A42456, ""de"", ""en"")"),"dragged")</f>
        <v>dragged</v>
      </c>
    </row>
    <row r="42457">
      <c r="A42457" s="1" t="s">
        <v>42456</v>
      </c>
      <c r="B42457" s="2" t="str">
        <f>IFERROR(__xludf.DUMMYFUNCTION("GOOGLETRANSLATE(A42457, ""de"", ""en"")"),"um")</f>
        <v>um</v>
      </c>
    </row>
    <row r="42458">
      <c r="A42458" s="1" t="s">
        <v>42457</v>
      </c>
      <c r="B42458" s="2" t="str">
        <f>IFERROR(__xludf.DUMMYFUNCTION("GOOGLETRANSLATE(A42458, ""de"", ""en"")"),"mannheim")</f>
        <v>mannheim</v>
      </c>
    </row>
    <row r="42459">
      <c r="A42459" s="1" t="s">
        <v>42458</v>
      </c>
      <c r="B42459" s="2" t="str">
        <f>IFERROR(__xludf.DUMMYFUNCTION("GOOGLETRANSLATE(A42459, ""de"", ""en"")"),"rolled up")</f>
        <v>rolled up</v>
      </c>
    </row>
    <row r="42460">
      <c r="A42460" s="1" t="s">
        <v>42459</v>
      </c>
      <c r="B42460" s="2" t="str">
        <f>IFERROR(__xludf.DUMMYFUNCTION("GOOGLETRANSLATE(A42460, ""de"", ""en"")"),"more subtle")</f>
        <v>more subtle</v>
      </c>
    </row>
    <row r="42461">
      <c r="A42461" s="1" t="s">
        <v>42460</v>
      </c>
      <c r="B42461" s="2" t="str">
        <f>IFERROR(__xludf.DUMMYFUNCTION("GOOGLETRANSLATE(A42461, ""de"", ""en"")"),"right now")</f>
        <v>right now</v>
      </c>
    </row>
    <row r="42462">
      <c r="A42462" s="1" t="s">
        <v>42461</v>
      </c>
      <c r="B42462" s="2" t="str">
        <f>IFERROR(__xludf.DUMMYFUNCTION("GOOGLETRANSLATE(A42462, ""de"", ""en"")"),"wash out")</f>
        <v>wash out</v>
      </c>
    </row>
    <row r="42463">
      <c r="A42463" s="1" t="s">
        <v>42462</v>
      </c>
      <c r="B42463" s="2" t="str">
        <f>IFERROR(__xludf.DUMMYFUNCTION("GOOGLETRANSLATE(A42463, ""de"", ""en"")"),"unbearable")</f>
        <v>unbearable</v>
      </c>
    </row>
    <row r="42464">
      <c r="A42464" s="1" t="s">
        <v>42463</v>
      </c>
      <c r="B42464" s="2" t="str">
        <f>IFERROR(__xludf.DUMMYFUNCTION("GOOGLETRANSLATE(A42464, ""de"", ""en"")"),"trills")</f>
        <v>trills</v>
      </c>
    </row>
    <row r="42465">
      <c r="A42465" s="1" t="s">
        <v>42464</v>
      </c>
      <c r="B42465" s="2" t="str">
        <f>IFERROR(__xludf.DUMMYFUNCTION("GOOGLETRANSLATE(A42465, ""de"", ""en"")"),"actor")</f>
        <v>actor</v>
      </c>
    </row>
    <row r="42466">
      <c r="A42466" s="1" t="s">
        <v>42465</v>
      </c>
      <c r="B42466" s="2" t="str">
        <f>IFERROR(__xludf.DUMMYFUNCTION("GOOGLETRANSLATE(A42466, ""de"", ""en"")"),"Ahh")</f>
        <v>Ahh</v>
      </c>
    </row>
    <row r="42467">
      <c r="A42467" s="1" t="s">
        <v>42466</v>
      </c>
      <c r="B42467" s="2" t="str">
        <f>IFERROR(__xludf.DUMMYFUNCTION("GOOGLETRANSLATE(A42467, ""de"", ""en"")"),"police service")</f>
        <v>police service</v>
      </c>
    </row>
    <row r="42468">
      <c r="A42468" s="1" t="s">
        <v>42467</v>
      </c>
      <c r="B42468" s="2" t="str">
        <f>IFERROR(__xludf.DUMMYFUNCTION("GOOGLETRANSLATE(A42468, ""de"", ""en"")"),"directed")</f>
        <v>directed</v>
      </c>
    </row>
    <row r="42469">
      <c r="A42469" s="1" t="s">
        <v>42468</v>
      </c>
      <c r="B42469" s="2" t="str">
        <f>IFERROR(__xludf.DUMMYFUNCTION("GOOGLETRANSLATE(A42469, ""de"", ""en"")"),"hunting rifle")</f>
        <v>hunting rifle</v>
      </c>
    </row>
    <row r="42470">
      <c r="A42470" s="1" t="s">
        <v>42469</v>
      </c>
      <c r="B42470" s="2" t="str">
        <f>IFERROR(__xludf.DUMMYFUNCTION("GOOGLETRANSLATE(A42470, ""de"", ""en"")"),"hide")</f>
        <v>hide</v>
      </c>
    </row>
    <row r="42471">
      <c r="A42471" s="1" t="s">
        <v>42470</v>
      </c>
      <c r="B42471" s="2" t="str">
        <f>IFERROR(__xludf.DUMMYFUNCTION("GOOGLETRANSLATE(A42471, ""de"", ""en"")"),"overtake")</f>
        <v>overtake</v>
      </c>
    </row>
    <row r="42472">
      <c r="A42472" s="1" t="s">
        <v>42471</v>
      </c>
      <c r="B42472" s="2" t="str">
        <f>IFERROR(__xludf.DUMMYFUNCTION("GOOGLETRANSLATE(A42472, ""de"", ""en"")"),"tokugawa")</f>
        <v>tokugawa</v>
      </c>
    </row>
    <row r="42473">
      <c r="A42473" s="1" t="s">
        <v>42472</v>
      </c>
      <c r="B42473" s="2" t="str">
        <f>IFERROR(__xludf.DUMMYFUNCTION("GOOGLETRANSLATE(A42473, ""de"", ""en"")"),"sumida")</f>
        <v>sumida</v>
      </c>
    </row>
    <row r="42474">
      <c r="A42474" s="1" t="s">
        <v>42473</v>
      </c>
      <c r="B42474" s="2" t="str">
        <f>IFERROR(__xludf.DUMMYFUNCTION("GOOGLETRANSLATE(A42474, ""de"", ""en"")"),"underground")</f>
        <v>underground</v>
      </c>
    </row>
    <row r="42475">
      <c r="A42475" s="1" t="s">
        <v>42474</v>
      </c>
      <c r="B42475" s="2" t="str">
        <f>IFERROR(__xludf.DUMMYFUNCTION("GOOGLETRANSLATE(A42475, ""de"", ""en"")"),"usable")</f>
        <v>usable</v>
      </c>
    </row>
    <row r="42476">
      <c r="A42476" s="1" t="s">
        <v>42475</v>
      </c>
      <c r="B42476" s="2" t="str">
        <f>IFERROR(__xludf.DUMMYFUNCTION("GOOGLETRANSLATE(A42476, ""de"", ""en"")"),"Beijing")</f>
        <v>Beijing</v>
      </c>
    </row>
    <row r="42477">
      <c r="A42477" s="1" t="s">
        <v>42476</v>
      </c>
      <c r="B42477" s="2" t="str">
        <f>IFERROR(__xludf.DUMMYFUNCTION("GOOGLETRANSLATE(A42477, ""de"", ""en"")"),"football player")</f>
        <v>football player</v>
      </c>
    </row>
    <row r="42478">
      <c r="A42478" s="1" t="s">
        <v>42477</v>
      </c>
      <c r="B42478" s="2" t="str">
        <f>IFERROR(__xludf.DUMMYFUNCTION("GOOGLETRANSLATE(A42478, ""de"", ""en"")"),"porte")</f>
        <v>porte</v>
      </c>
    </row>
    <row r="42479">
      <c r="A42479" s="1" t="s">
        <v>42478</v>
      </c>
      <c r="B42479" s="2" t="str">
        <f>IFERROR(__xludf.DUMMYFUNCTION("GOOGLETRANSLATE(A42479, ""de"", ""en"")"),"per mille")</f>
        <v>per mille</v>
      </c>
    </row>
    <row r="42480">
      <c r="A42480" s="1" t="s">
        <v>42479</v>
      </c>
      <c r="B42480" s="2" t="str">
        <f>IFERROR(__xludf.DUMMYFUNCTION("GOOGLETRANSLATE(A42480, ""de"", ""en"")"),"looks at")</f>
        <v>looks at</v>
      </c>
    </row>
    <row r="42481">
      <c r="A42481" s="1" t="s">
        <v>42480</v>
      </c>
      <c r="B42481" s="2" t="str">
        <f>IFERROR(__xludf.DUMMYFUNCTION("GOOGLETRANSLATE(A42481, ""de"", ""en"")"),"Georgi")</f>
        <v>Georgi</v>
      </c>
    </row>
    <row r="42482">
      <c r="A42482" s="1" t="s">
        <v>42481</v>
      </c>
      <c r="B42482" s="2" t="str">
        <f>IFERROR(__xludf.DUMMYFUNCTION("GOOGLETRANSLATE(A42482, ""de"", ""en"")"),"fast food")</f>
        <v>fast food</v>
      </c>
    </row>
    <row r="42483">
      <c r="A42483" s="1" t="s">
        <v>42482</v>
      </c>
      <c r="B42483" s="2" t="str">
        <f>IFERROR(__xludf.DUMMYFUNCTION("GOOGLETRANSLATE(A42483, ""de"", ""en"")"),"transmitters")</f>
        <v>transmitters</v>
      </c>
    </row>
    <row r="42484">
      <c r="A42484" s="1" t="s">
        <v>42483</v>
      </c>
      <c r="B42484" s="2" t="str">
        <f>IFERROR(__xludf.DUMMYFUNCTION("GOOGLETRANSLATE(A42484, ""de"", ""en"")"),"gentle")</f>
        <v>gentle</v>
      </c>
    </row>
    <row r="42485">
      <c r="A42485" s="1" t="s">
        <v>42484</v>
      </c>
      <c r="B42485" s="2" t="str">
        <f>IFERROR(__xludf.DUMMYFUNCTION("GOOGLETRANSLATE(A42485, ""de"", ""en"")"),"chiefs of staff")</f>
        <v>chiefs of staff</v>
      </c>
    </row>
    <row r="42486">
      <c r="A42486" s="1" t="s">
        <v>42485</v>
      </c>
      <c r="B42486" s="2" t="str">
        <f>IFERROR(__xludf.DUMMYFUNCTION("GOOGLETRANSLATE(A42486, ""de"", ""en"")"),"rubber boots")</f>
        <v>rubber boots</v>
      </c>
    </row>
    <row r="42487">
      <c r="A42487" s="1" t="s">
        <v>42486</v>
      </c>
      <c r="B42487" s="2" t="str">
        <f>IFERROR(__xludf.DUMMYFUNCTION("GOOGLETRANSLATE(A42487, ""de"", ""en"")"),"jacko")</f>
        <v>jacko</v>
      </c>
    </row>
    <row r="42488">
      <c r="A42488" s="1" t="s">
        <v>42487</v>
      </c>
      <c r="B42488" s="2" t="str">
        <f>IFERROR(__xludf.DUMMYFUNCTION("GOOGLETRANSLATE(A42488, ""de"", ""en"")"),"knocked over")</f>
        <v>knocked over</v>
      </c>
    </row>
    <row r="42489">
      <c r="A42489" s="1" t="s">
        <v>42488</v>
      </c>
      <c r="B42489" s="2" t="str">
        <f>IFERROR(__xludf.DUMMYFUNCTION("GOOGLETRANSLATE(A42489, ""de"", ""en"")"),"meet")</f>
        <v>meet</v>
      </c>
    </row>
    <row r="42490">
      <c r="A42490" s="1" t="s">
        <v>42489</v>
      </c>
      <c r="B42490" s="2" t="str">
        <f>IFERROR(__xludf.DUMMYFUNCTION("GOOGLETRANSLATE(A42490, ""de"", ""en"")"),"guardia")</f>
        <v>guardia</v>
      </c>
    </row>
    <row r="42491">
      <c r="A42491" s="1" t="s">
        <v>42490</v>
      </c>
      <c r="B42491" s="2" t="str">
        <f>IFERROR(__xludf.DUMMYFUNCTION("GOOGLETRANSLATE(A42491, ""de"", ""en"")"),"amc")</f>
        <v>amc</v>
      </c>
    </row>
    <row r="42492">
      <c r="A42492" s="1" t="s">
        <v>42491</v>
      </c>
      <c r="B42492" s="2" t="str">
        <f>IFERROR(__xludf.DUMMYFUNCTION("GOOGLETRANSLATE(A42492, ""de"", ""en"")"),"deprivation of liberty")</f>
        <v>deprivation of liberty</v>
      </c>
    </row>
    <row r="42493">
      <c r="A42493" s="1" t="s">
        <v>42492</v>
      </c>
      <c r="B42493" s="2" t="str">
        <f>IFERROR(__xludf.DUMMYFUNCTION("GOOGLETRANSLATE(A42493, ""de"", ""en"")"),"classified")</f>
        <v>classified</v>
      </c>
    </row>
    <row r="42494">
      <c r="A42494" s="1" t="s">
        <v>42493</v>
      </c>
      <c r="B42494" s="2" t="str">
        <f>IFERROR(__xludf.DUMMYFUNCTION("GOOGLETRANSLATE(A42494, ""de"", ""en"")"),"cover up")</f>
        <v>cover up</v>
      </c>
    </row>
    <row r="42495">
      <c r="A42495" s="1" t="s">
        <v>42494</v>
      </c>
      <c r="B42495" s="2" t="str">
        <f>IFERROR(__xludf.DUMMYFUNCTION("GOOGLETRANSLATE(A42495, ""de"", ""en"")"),"grope")</f>
        <v>grope</v>
      </c>
    </row>
    <row r="42496">
      <c r="A42496" s="1" t="s">
        <v>42495</v>
      </c>
      <c r="B42496" s="2" t="str">
        <f>IFERROR(__xludf.DUMMYFUNCTION("GOOGLETRANSLATE(A42496, ""de"", ""en"")"),"limited")</f>
        <v>limited</v>
      </c>
    </row>
    <row r="42497">
      <c r="A42497" s="1" t="s">
        <v>42496</v>
      </c>
      <c r="B42497" s="2" t="str">
        <f>IFERROR(__xludf.DUMMYFUNCTION("GOOGLETRANSLATE(A42497, ""de"", ""en"")"),"schecter")</f>
        <v>schecter</v>
      </c>
    </row>
    <row r="42498">
      <c r="A42498" s="1" t="s">
        <v>42497</v>
      </c>
      <c r="B42498" s="2" t="str">
        <f>IFERROR(__xludf.DUMMYFUNCTION("GOOGLETRANSLATE(A42498, ""de"", ""en"")"),"Devonshire")</f>
        <v>Devonshire</v>
      </c>
    </row>
    <row r="42499">
      <c r="A42499" s="1" t="s">
        <v>42498</v>
      </c>
      <c r="B42499" s="2" t="str">
        <f>IFERROR(__xludf.DUMMYFUNCTION("GOOGLETRANSLATE(A42499, ""de"", ""en"")"),"slit")</f>
        <v>slit</v>
      </c>
    </row>
    <row r="42500">
      <c r="A42500" s="1" t="s">
        <v>42499</v>
      </c>
      <c r="B42500" s="2" t="str">
        <f>IFERROR(__xludf.DUMMYFUNCTION("GOOGLETRANSLATE(A42500, ""de"", ""en"")"),"get in")</f>
        <v>get in</v>
      </c>
    </row>
    <row r="42501">
      <c r="A42501" s="1" t="s">
        <v>42500</v>
      </c>
      <c r="B42501" s="2" t="str">
        <f>IFERROR(__xludf.DUMMYFUNCTION("GOOGLETRANSLATE(A42501, ""de"", ""en"")"),"dynamite")</f>
        <v>dynamite</v>
      </c>
    </row>
    <row r="42502">
      <c r="A42502" s="1" t="s">
        <v>42501</v>
      </c>
      <c r="B42502" s="2" t="str">
        <f>IFERROR(__xludf.DUMMYFUNCTION("GOOGLETRANSLATE(A42502, ""de"", ""en"")"),"growth")</f>
        <v>growth</v>
      </c>
    </row>
    <row r="42503">
      <c r="A42503" s="1" t="s">
        <v>42502</v>
      </c>
      <c r="B42503" s="2" t="str">
        <f>IFERROR(__xludf.DUMMYFUNCTION("GOOGLETRANSLATE(A42503, ""de"", ""en"")"),"explore")</f>
        <v>explore</v>
      </c>
    </row>
    <row r="42504">
      <c r="A42504" s="1" t="s">
        <v>42503</v>
      </c>
      <c r="B42504" s="2" t="str">
        <f>IFERROR(__xludf.DUMMYFUNCTION("GOOGLETRANSLATE(A42504, ""de"", ""en"")"),"unlikely")</f>
        <v>unlikely</v>
      </c>
    </row>
    <row r="42505">
      <c r="A42505" s="1" t="s">
        <v>42504</v>
      </c>
      <c r="B42505" s="2" t="str">
        <f>IFERROR(__xludf.DUMMYFUNCTION("GOOGLETRANSLATE(A42505, ""de"", ""en"")"),"imprinted")</f>
        <v>imprinted</v>
      </c>
    </row>
    <row r="42506">
      <c r="A42506" s="1" t="s">
        <v>42505</v>
      </c>
      <c r="B42506" s="2" t="str">
        <f>IFERROR(__xludf.DUMMYFUNCTION("GOOGLETRANSLATE(A42506, ""de"", ""en"")"),"measuring stick")</f>
        <v>measuring stick</v>
      </c>
    </row>
    <row r="42507">
      <c r="A42507" s="1" t="s">
        <v>42506</v>
      </c>
      <c r="B42507" s="2" t="str">
        <f>IFERROR(__xludf.DUMMYFUNCTION("GOOGLETRANSLATE(A42507, ""de"", ""en"")"),"Sunday afternoon")</f>
        <v>Sunday afternoon</v>
      </c>
    </row>
    <row r="42508">
      <c r="A42508" s="1" t="s">
        <v>42507</v>
      </c>
      <c r="B42508" s="2" t="str">
        <f>IFERROR(__xludf.DUMMYFUNCTION("GOOGLETRANSLATE(A42508, ""de"", ""en"")"),"krauss")</f>
        <v>krauss</v>
      </c>
    </row>
    <row r="42509">
      <c r="A42509" s="1" t="s">
        <v>42508</v>
      </c>
      <c r="B42509" s="2" t="str">
        <f>IFERROR(__xludf.DUMMYFUNCTION("GOOGLETRANSLATE(A42509, ""de"", ""en"")"),"bms")</f>
        <v>bms</v>
      </c>
    </row>
    <row r="42510">
      <c r="A42510" s="1" t="s">
        <v>42509</v>
      </c>
      <c r="B42510" s="2" t="str">
        <f>IFERROR(__xludf.DUMMYFUNCTION("GOOGLETRANSLATE(A42510, ""de"", ""en"")"),"statute of limitations")</f>
        <v>statute of limitations</v>
      </c>
    </row>
    <row r="42511">
      <c r="A42511" s="1" t="s">
        <v>42510</v>
      </c>
      <c r="B42511" s="2" t="str">
        <f>IFERROR(__xludf.DUMMYFUNCTION("GOOGLETRANSLATE(A42511, ""de"", ""en"")"),"statesman")</f>
        <v>statesman</v>
      </c>
    </row>
    <row r="42512">
      <c r="A42512" s="1" t="s">
        <v>42511</v>
      </c>
      <c r="B42512" s="2" t="str">
        <f>IFERROR(__xludf.DUMMYFUNCTION("GOOGLETRANSLATE(A42512, ""de"", ""en"")"),"decreed")</f>
        <v>decreed</v>
      </c>
    </row>
    <row r="42513">
      <c r="A42513" s="1" t="s">
        <v>42512</v>
      </c>
      <c r="B42513" s="2" t="str">
        <f>IFERROR(__xludf.DUMMYFUNCTION("GOOGLETRANSLATE(A42513, ""de"", ""en"")"),"meme")</f>
        <v>meme</v>
      </c>
    </row>
    <row r="42514">
      <c r="A42514" s="1" t="s">
        <v>42513</v>
      </c>
      <c r="B42514" s="2" t="str">
        <f>IFERROR(__xludf.DUMMYFUNCTION("GOOGLETRANSLATE(A42514, ""de"", ""en"")"),"powers of observation")</f>
        <v>powers of observation</v>
      </c>
    </row>
    <row r="42515">
      <c r="A42515" s="1" t="s">
        <v>42514</v>
      </c>
      <c r="B42515" s="2" t="str">
        <f>IFERROR(__xludf.DUMMYFUNCTION("GOOGLETRANSLATE(A42515, ""de"", ""en"")"),"roast")</f>
        <v>roast</v>
      </c>
    </row>
    <row r="42516">
      <c r="A42516" s="1" t="s">
        <v>42515</v>
      </c>
      <c r="B42516" s="2" t="str">
        <f>IFERROR(__xludf.DUMMYFUNCTION("GOOGLETRANSLATE(A42516, ""de"", ""en"")"),"summit meeting")</f>
        <v>summit meeting</v>
      </c>
    </row>
    <row r="42517">
      <c r="A42517" s="1" t="s">
        <v>42516</v>
      </c>
      <c r="B42517" s="2" t="str">
        <f>IFERROR(__xludf.DUMMYFUNCTION("GOOGLETRANSLATE(A42517, ""de"", ""en"")"),"krell")</f>
        <v>krell</v>
      </c>
    </row>
    <row r="42518">
      <c r="A42518" s="1" t="s">
        <v>42517</v>
      </c>
      <c r="B42518" s="2" t="str">
        <f>IFERROR(__xludf.DUMMYFUNCTION("GOOGLETRANSLATE(A42518, ""de"", ""en"")"),"taystee")</f>
        <v>taystee</v>
      </c>
    </row>
    <row r="42519">
      <c r="A42519" s="1" t="s">
        <v>42518</v>
      </c>
      <c r="B42519" s="2" t="str">
        <f>IFERROR(__xludf.DUMMYFUNCTION("GOOGLETRANSLATE(A42519, ""de"", ""en"")"),"longer")</f>
        <v>longer</v>
      </c>
    </row>
    <row r="42520">
      <c r="A42520" s="1" t="s">
        <v>42519</v>
      </c>
      <c r="B42520" s="2" t="str">
        <f>IFERROR(__xludf.DUMMYFUNCTION("GOOGLETRANSLATE(A42520, ""de"", ""en"")"),"bald")</f>
        <v>bald</v>
      </c>
    </row>
    <row r="42521">
      <c r="A42521" s="1" t="s">
        <v>42520</v>
      </c>
      <c r="B42521" s="2" t="str">
        <f>IFERROR(__xludf.DUMMYFUNCTION("GOOGLETRANSLATE(A42521, ""de"", ""en"")"),"landau")</f>
        <v>landau</v>
      </c>
    </row>
    <row r="42522">
      <c r="A42522" s="1" t="s">
        <v>42521</v>
      </c>
      <c r="B42522" s="2" t="str">
        <f>IFERROR(__xludf.DUMMYFUNCTION("GOOGLETRANSLATE(A42522, ""de"", ""en"")"),"Shawna")</f>
        <v>Shawna</v>
      </c>
    </row>
    <row r="42523">
      <c r="A42523" s="1" t="s">
        <v>42522</v>
      </c>
      <c r="B42523" s="2" t="str">
        <f>IFERROR(__xludf.DUMMYFUNCTION("GOOGLETRANSLATE(A42523, ""de"", ""en"")"),"sea ​​air")</f>
        <v>sea ​​air</v>
      </c>
    </row>
    <row r="42524">
      <c r="A42524" s="1" t="s">
        <v>42523</v>
      </c>
      <c r="B42524" s="2" t="str">
        <f>IFERROR(__xludf.DUMMYFUNCTION("GOOGLETRANSLATE(A42524, ""de"", ""en"")"),"skiing")</f>
        <v>skiing</v>
      </c>
    </row>
    <row r="42525">
      <c r="A42525" s="1" t="s">
        <v>42524</v>
      </c>
      <c r="B42525" s="2" t="str">
        <f>IFERROR(__xludf.DUMMYFUNCTION("GOOGLETRANSLATE(A42525, ""de"", ""en"")"),"darned")</f>
        <v>darned</v>
      </c>
    </row>
    <row r="42526">
      <c r="A42526" s="1" t="s">
        <v>42525</v>
      </c>
      <c r="B42526" s="2" t="str">
        <f>IFERROR(__xludf.DUMMYFUNCTION("GOOGLETRANSLATE(A42526, ""de"", ""en"")"),"rains")</f>
        <v>rains</v>
      </c>
    </row>
    <row r="42527">
      <c r="A42527" s="1" t="s">
        <v>42526</v>
      </c>
      <c r="B42527" s="2" t="str">
        <f>IFERROR(__xludf.DUMMYFUNCTION("GOOGLETRANSLATE(A42527, ""de"", ""en"")"),"impunity")</f>
        <v>impunity</v>
      </c>
    </row>
    <row r="42528">
      <c r="A42528" s="1" t="s">
        <v>42527</v>
      </c>
      <c r="B42528" s="2" t="str">
        <f>IFERROR(__xludf.DUMMYFUNCTION("GOOGLETRANSLATE(A42528, ""de"", ""en"")"),"hirogen")</f>
        <v>hirogen</v>
      </c>
    </row>
    <row r="42529">
      <c r="A42529" s="1" t="s">
        <v>42528</v>
      </c>
      <c r="B42529" s="2" t="str">
        <f>IFERROR(__xludf.DUMMYFUNCTION("GOOGLETRANSLATE(A42529, ""de"", ""en"")"),"riddles")</f>
        <v>riddles</v>
      </c>
    </row>
    <row r="42530">
      <c r="A42530" s="1" t="s">
        <v>42529</v>
      </c>
      <c r="B42530" s="2" t="str">
        <f>IFERROR(__xludf.DUMMYFUNCTION("GOOGLETRANSLATE(A42530, ""de"", ""en"")"),"gather together")</f>
        <v>gather together</v>
      </c>
    </row>
    <row r="42531">
      <c r="A42531" s="1" t="s">
        <v>42530</v>
      </c>
      <c r="B42531" s="2" t="str">
        <f>IFERROR(__xludf.DUMMYFUNCTION("GOOGLETRANSLATE(A42531, ""de"", ""en"")"),"assassin")</f>
        <v>assassin</v>
      </c>
    </row>
    <row r="42532">
      <c r="A42532" s="1" t="s">
        <v>42531</v>
      </c>
      <c r="B42532" s="2" t="str">
        <f>IFERROR(__xludf.DUMMYFUNCTION("GOOGLETRANSLATE(A42532, ""de"", ""en"")"),"other")</f>
        <v>other</v>
      </c>
    </row>
    <row r="42533">
      <c r="A42533" s="1" t="s">
        <v>42532</v>
      </c>
      <c r="B42533" s="2" t="str">
        <f>IFERROR(__xludf.DUMMYFUNCTION("GOOGLETRANSLATE(A42533, ""de"", ""en"")"),"space shuttle")</f>
        <v>space shuttle</v>
      </c>
    </row>
    <row r="42534">
      <c r="A42534" s="1" t="s">
        <v>42533</v>
      </c>
      <c r="B42534" s="2" t="str">
        <f>IFERROR(__xludf.DUMMYFUNCTION("GOOGLETRANSLATE(A42534, ""de"", ""en"")"),"instruction")</f>
        <v>instruction</v>
      </c>
    </row>
    <row r="42535">
      <c r="A42535" s="1" t="s">
        <v>42534</v>
      </c>
      <c r="B42535" s="2" t="str">
        <f>IFERROR(__xludf.DUMMYFUNCTION("GOOGLETRANSLATE(A42535, ""de"", ""en"")"),"Phileas")</f>
        <v>Phileas</v>
      </c>
    </row>
    <row r="42536">
      <c r="A42536" s="1" t="s">
        <v>42535</v>
      </c>
      <c r="B42536" s="2" t="str">
        <f>IFERROR(__xludf.DUMMYFUNCTION("GOOGLETRANSLATE(A42536, ""de"", ""en"")"),"buried")</f>
        <v>buried</v>
      </c>
    </row>
    <row r="42537">
      <c r="A42537" s="1" t="s">
        <v>42536</v>
      </c>
      <c r="B42537" s="2" t="str">
        <f>IFERROR(__xludf.DUMMYFUNCTION("GOOGLETRANSLATE(A42537, ""de"", ""en"")"),"did")</f>
        <v>did</v>
      </c>
    </row>
    <row r="42538">
      <c r="A42538" s="1" t="s">
        <v>42537</v>
      </c>
      <c r="B42538" s="2" t="str">
        <f>IFERROR(__xludf.DUMMYFUNCTION("GOOGLETRANSLATE(A42538, ""de"", ""en"")"),"merge")</f>
        <v>merge</v>
      </c>
    </row>
    <row r="42539">
      <c r="A42539" s="1" t="s">
        <v>42538</v>
      </c>
      <c r="B42539" s="2" t="str">
        <f>IFERROR(__xludf.DUMMYFUNCTION("GOOGLETRANSLATE(A42539, ""de"", ""en"")"),"fling")</f>
        <v>fling</v>
      </c>
    </row>
    <row r="42540">
      <c r="A42540" s="1" t="s">
        <v>42539</v>
      </c>
      <c r="B42540" s="2" t="str">
        <f>IFERROR(__xludf.DUMMYFUNCTION("GOOGLETRANSLATE(A42540, ""de"", ""en"")"),"invaders")</f>
        <v>invaders</v>
      </c>
    </row>
    <row r="42541">
      <c r="A42541" s="1" t="s">
        <v>42540</v>
      </c>
      <c r="B42541" s="2" t="str">
        <f>IFERROR(__xludf.DUMMYFUNCTION("GOOGLETRANSLATE(A42541, ""de"", ""en"")"),"employed")</f>
        <v>employed</v>
      </c>
    </row>
    <row r="42542">
      <c r="A42542" s="1" t="s">
        <v>42541</v>
      </c>
      <c r="B42542" s="2" t="str">
        <f>IFERROR(__xludf.DUMMYFUNCTION("GOOGLETRANSLATE(A42542, ""de"", ""en"")"),"neary")</f>
        <v>neary</v>
      </c>
    </row>
    <row r="42543">
      <c r="A42543" s="1" t="s">
        <v>42542</v>
      </c>
      <c r="B42543" s="2" t="str">
        <f>IFERROR(__xludf.DUMMYFUNCTION("GOOGLETRANSLATE(A42543, ""de"", ""en"")"),"finnegan")</f>
        <v>finnegan</v>
      </c>
    </row>
    <row r="42544">
      <c r="A42544" s="1" t="s">
        <v>42543</v>
      </c>
      <c r="B42544" s="2" t="str">
        <f>IFERROR(__xludf.DUMMYFUNCTION("GOOGLETRANSLATE(A42544, ""de"", ""en"")"),"depress")</f>
        <v>depress</v>
      </c>
    </row>
    <row r="42545">
      <c r="A42545" s="1" t="s">
        <v>42544</v>
      </c>
      <c r="B42545" s="2" t="str">
        <f>IFERROR(__xludf.DUMMYFUNCTION("GOOGLETRANSLATE(A42545, ""de"", ""en"")"),"look back")</f>
        <v>look back</v>
      </c>
    </row>
    <row r="42546">
      <c r="A42546" s="1" t="s">
        <v>42545</v>
      </c>
      <c r="B42546" s="2" t="str">
        <f>IFERROR(__xludf.DUMMYFUNCTION("GOOGLETRANSLATE(A42546, ""de"", ""en"")"),"tax")</f>
        <v>tax</v>
      </c>
    </row>
    <row r="42547">
      <c r="A42547" s="1" t="s">
        <v>42546</v>
      </c>
      <c r="B42547" s="2" t="str">
        <f>IFERROR(__xludf.DUMMYFUNCTION("GOOGLETRANSLATE(A42547, ""de"", ""en"")"),"doormat")</f>
        <v>doormat</v>
      </c>
    </row>
    <row r="42548">
      <c r="A42548" s="1" t="s">
        <v>42547</v>
      </c>
      <c r="B42548" s="2" t="str">
        <f>IFERROR(__xludf.DUMMYFUNCTION("GOOGLETRANSLATE(A42548, ""de"", ""en"")"),"subsequent")</f>
        <v>subsequent</v>
      </c>
    </row>
    <row r="42549">
      <c r="A42549" s="1" t="s">
        <v>42548</v>
      </c>
      <c r="B42549" s="2" t="str">
        <f>IFERROR(__xludf.DUMMYFUNCTION("GOOGLETRANSLATE(A42549, ""de"", ""en"")"),"faked")</f>
        <v>faked</v>
      </c>
    </row>
    <row r="42550">
      <c r="A42550" s="1" t="s">
        <v>42549</v>
      </c>
      <c r="B42550" s="2" t="str">
        <f>IFERROR(__xludf.DUMMYFUNCTION("GOOGLETRANSLATE(A42550, ""de"", ""en"")"),"tenant")</f>
        <v>tenant</v>
      </c>
    </row>
    <row r="42551">
      <c r="A42551" s="1" t="s">
        <v>42550</v>
      </c>
      <c r="B42551" s="2" t="str">
        <f>IFERROR(__xludf.DUMMYFUNCTION("GOOGLETRANSLATE(A42551, ""de"", ""en"")"),"naevia")</f>
        <v>naevia</v>
      </c>
    </row>
    <row r="42552">
      <c r="A42552" s="1" t="s">
        <v>42551</v>
      </c>
      <c r="B42552" s="2" t="str">
        <f>IFERROR(__xludf.DUMMYFUNCTION("GOOGLETRANSLATE(A42552, ""de"", ""en"")"),"useless")</f>
        <v>useless</v>
      </c>
    </row>
    <row r="42553">
      <c r="A42553" s="1" t="s">
        <v>42552</v>
      </c>
      <c r="B42553" s="2" t="str">
        <f>IFERROR(__xludf.DUMMYFUNCTION("GOOGLETRANSLATE(A42553, ""de"", ""en"")"),"tutu")</f>
        <v>tutu</v>
      </c>
    </row>
    <row r="42554">
      <c r="A42554" s="1" t="s">
        <v>42553</v>
      </c>
      <c r="B42554" s="2" t="str">
        <f>IFERROR(__xludf.DUMMYFUNCTION("GOOGLETRANSLATE(A42554, ""de"", ""en"")"),"in pairs")</f>
        <v>in pairs</v>
      </c>
    </row>
    <row r="42555">
      <c r="A42555" s="1" t="s">
        <v>42554</v>
      </c>
      <c r="B42555" s="2" t="str">
        <f>IFERROR(__xludf.DUMMYFUNCTION("GOOGLETRANSLATE(A42555, ""de"", ""en"")"),"kale")</f>
        <v>kale</v>
      </c>
    </row>
    <row r="42556">
      <c r="A42556" s="1" t="s">
        <v>42555</v>
      </c>
      <c r="B42556" s="2" t="str">
        <f>IFERROR(__xludf.DUMMYFUNCTION("GOOGLETRANSLATE(A42556, ""de"", ""en"")"),"gothams")</f>
        <v>gothams</v>
      </c>
    </row>
    <row r="42557">
      <c r="A42557" s="1" t="s">
        <v>42556</v>
      </c>
      <c r="B42557" s="2" t="str">
        <f>IFERROR(__xludf.DUMMYFUNCTION("GOOGLETRANSLATE(A42557, ""de"", ""en"")"),"love potion")</f>
        <v>love potion</v>
      </c>
    </row>
    <row r="42558">
      <c r="A42558" s="1" t="s">
        <v>42557</v>
      </c>
      <c r="B42558" s="2" t="str">
        <f>IFERROR(__xludf.DUMMYFUNCTION("GOOGLETRANSLATE(A42558, ""de"", ""en"")"),"shit guy")</f>
        <v>shit guy</v>
      </c>
    </row>
    <row r="42559">
      <c r="A42559" s="1" t="s">
        <v>42558</v>
      </c>
      <c r="B42559" s="2" t="str">
        <f>IFERROR(__xludf.DUMMYFUNCTION("GOOGLETRANSLATE(A42559, ""de"", ""en"")"),"mgm")</f>
        <v>mgm</v>
      </c>
    </row>
    <row r="42560">
      <c r="A42560" s="1" t="s">
        <v>42559</v>
      </c>
      <c r="B42560" s="2" t="str">
        <f>IFERROR(__xludf.DUMMYFUNCTION("GOOGLETRANSLATE(A42560, ""de"", ""en"")"),"rusty ones")</f>
        <v>rusty ones</v>
      </c>
    </row>
    <row r="42561">
      <c r="A42561" s="1" t="s">
        <v>42560</v>
      </c>
      <c r="B42561" s="2" t="str">
        <f>IFERROR(__xludf.DUMMYFUNCTION("GOOGLETRANSLATE(A42561, ""de"", ""en"")"),"wameru research center")</f>
        <v>wameru research center</v>
      </c>
    </row>
    <row r="42562">
      <c r="A42562" s="1" t="s">
        <v>42561</v>
      </c>
      <c r="B42562" s="2" t="str">
        <f>IFERROR(__xludf.DUMMYFUNCTION("GOOGLETRANSLATE(A42562, ""de"", ""en"")"),"plus points")</f>
        <v>plus points</v>
      </c>
    </row>
    <row r="42563">
      <c r="A42563" s="1" t="s">
        <v>42562</v>
      </c>
      <c r="B42563" s="2" t="str">
        <f>IFERROR(__xludf.DUMMYFUNCTION("GOOGLETRANSLATE(A42563, ""de"", ""en"")"),"movable")</f>
        <v>movable</v>
      </c>
    </row>
    <row r="42564">
      <c r="A42564" s="1" t="s">
        <v>42563</v>
      </c>
      <c r="B42564" s="2" t="str">
        <f>IFERROR(__xludf.DUMMYFUNCTION("GOOGLETRANSLATE(A42564, ""de"", ""en"")"),"tricky")</f>
        <v>tricky</v>
      </c>
    </row>
    <row r="42565">
      <c r="A42565" s="1" t="s">
        <v>42564</v>
      </c>
      <c r="B42565" s="2" t="str">
        <f>IFERROR(__xludf.DUMMYFUNCTION("GOOGLETRANSLATE(A42565, ""de"", ""en"")"),"mucky")</f>
        <v>mucky</v>
      </c>
    </row>
    <row r="42566">
      <c r="A42566" s="1" t="s">
        <v>42565</v>
      </c>
      <c r="B42566" s="2" t="str">
        <f>IFERROR(__xludf.DUMMYFUNCTION("GOOGLETRANSLATE(A42566, ""de"", ""en"")"),"get to it")</f>
        <v>get to it</v>
      </c>
    </row>
    <row r="42567">
      <c r="A42567" s="1" t="s">
        <v>42566</v>
      </c>
      <c r="B42567" s="2" t="str">
        <f>IFERROR(__xludf.DUMMYFUNCTION("GOOGLETRANSLATE(A42567, ""de"", ""en"")"),"indecisive")</f>
        <v>indecisive</v>
      </c>
    </row>
    <row r="42568">
      <c r="A42568" s="1" t="s">
        <v>42567</v>
      </c>
      <c r="B42568" s="2" t="str">
        <f>IFERROR(__xludf.DUMMYFUNCTION("GOOGLETRANSLATE(A42568, ""de"", ""en"")"),"take away")</f>
        <v>take away</v>
      </c>
    </row>
    <row r="42569">
      <c r="A42569" s="1" t="s">
        <v>42568</v>
      </c>
      <c r="B42569" s="2" t="str">
        <f>IFERROR(__xludf.DUMMYFUNCTION("GOOGLETRANSLATE(A42569, ""de"", ""en"")"),"cold-blooded")</f>
        <v>cold-blooded</v>
      </c>
    </row>
    <row r="42570">
      <c r="A42570" s="1" t="s">
        <v>42569</v>
      </c>
      <c r="B42570" s="2" t="str">
        <f>IFERROR(__xludf.DUMMYFUNCTION("GOOGLETRANSLATE(A42570, ""de"", ""en"")"),"gifford")</f>
        <v>gifford</v>
      </c>
    </row>
    <row r="42571">
      <c r="A42571" s="1" t="s">
        <v>42570</v>
      </c>
      <c r="B42571" s="2" t="str">
        <f>IFERROR(__xludf.DUMMYFUNCTION("GOOGLETRANSLATE(A42571, ""de"", ""en"")"),"bluto")</f>
        <v>bluto</v>
      </c>
    </row>
    <row r="42572">
      <c r="A42572" s="1" t="s">
        <v>42571</v>
      </c>
      <c r="B42572" s="2" t="str">
        <f>IFERROR(__xludf.DUMMYFUNCTION("GOOGLETRANSLATE(A42572, ""de"", ""en"")"),"rage")</f>
        <v>rage</v>
      </c>
    </row>
    <row r="42573">
      <c r="A42573" s="1" t="s">
        <v>42572</v>
      </c>
      <c r="B42573" s="2" t="str">
        <f>IFERROR(__xludf.DUMMYFUNCTION("GOOGLETRANSLATE(A42573, ""de"", ""en"")"),"mahmut")</f>
        <v>mahmut</v>
      </c>
    </row>
    <row r="42574">
      <c r="A42574" s="1" t="s">
        <v>42573</v>
      </c>
      <c r="B42574" s="2" t="str">
        <f>IFERROR(__xludf.DUMMYFUNCTION("GOOGLETRANSLATE(A42574, ""de"", ""en"")"),"specific")</f>
        <v>specific</v>
      </c>
    </row>
    <row r="42575">
      <c r="A42575" s="1" t="s">
        <v>42574</v>
      </c>
      <c r="B42575" s="2" t="str">
        <f>IFERROR(__xludf.DUMMYFUNCTION("GOOGLETRANSLATE(A42575, ""de"", ""en"")"),"ghostbusters")</f>
        <v>ghostbusters</v>
      </c>
    </row>
    <row r="42576">
      <c r="A42576" s="1" t="s">
        <v>42575</v>
      </c>
      <c r="B42576" s="2" t="str">
        <f>IFERROR(__xludf.DUMMYFUNCTION("GOOGLETRANSLATE(A42576, ""de"", ""en"")"),"fair enough")</f>
        <v>fair enough</v>
      </c>
    </row>
    <row r="42577">
      <c r="A42577" s="1" t="s">
        <v>42576</v>
      </c>
      <c r="B42577" s="2" t="str">
        <f>IFERROR(__xludf.DUMMYFUNCTION("GOOGLETRANSLATE(A42577, ""de"", ""en"")"),"drug trafficking")</f>
        <v>drug trafficking</v>
      </c>
    </row>
    <row r="42578">
      <c r="A42578" s="1" t="s">
        <v>42577</v>
      </c>
      <c r="B42578" s="2" t="str">
        <f>IFERROR(__xludf.DUMMYFUNCTION("GOOGLETRANSLATE(A42578, ""de"", ""en"")"),"customer service")</f>
        <v>customer service</v>
      </c>
    </row>
    <row r="42579">
      <c r="A42579" s="1" t="s">
        <v>42578</v>
      </c>
      <c r="B42579" s="2" t="str">
        <f>IFERROR(__xludf.DUMMYFUNCTION("GOOGLETRANSLATE(A42579, ""de"", ""en"")"),"tyree")</f>
        <v>tyree</v>
      </c>
    </row>
    <row r="42580">
      <c r="A42580" s="1" t="s">
        <v>42579</v>
      </c>
      <c r="B42580" s="2" t="str">
        <f>IFERROR(__xludf.DUMMYFUNCTION("GOOGLETRANSLATE(A42580, ""de"", ""en"")"),"security breach")</f>
        <v>security breach</v>
      </c>
    </row>
    <row r="42581">
      <c r="A42581" s="1" t="s">
        <v>42580</v>
      </c>
      <c r="B42581" s="2" t="str">
        <f>IFERROR(__xludf.DUMMYFUNCTION("GOOGLETRANSLATE(A42581, ""de"", ""en"")"),"bucephalus")</f>
        <v>bucephalus</v>
      </c>
    </row>
    <row r="42582">
      <c r="A42582" s="1" t="s">
        <v>42581</v>
      </c>
      <c r="B42582" s="2" t="str">
        <f>IFERROR(__xludf.DUMMYFUNCTION("GOOGLETRANSLATE(A42582, ""de"", ""en"")"),"skeeter")</f>
        <v>skeeter</v>
      </c>
    </row>
    <row r="42583">
      <c r="A42583" s="1" t="s">
        <v>42582</v>
      </c>
      <c r="B42583" s="2" t="str">
        <f>IFERROR(__xludf.DUMMYFUNCTION("GOOGLETRANSLATE(A42583, ""de"", ""en"")"),"gag")</f>
        <v>gag</v>
      </c>
    </row>
    <row r="42584">
      <c r="A42584" s="1" t="s">
        <v>42583</v>
      </c>
      <c r="B42584" s="2" t="str">
        <f>IFERROR(__xludf.DUMMYFUNCTION("GOOGLETRANSLATE(A42584, ""de"", ""en"")"),"unsuspecting")</f>
        <v>unsuspecting</v>
      </c>
    </row>
    <row r="42585">
      <c r="A42585" s="1" t="s">
        <v>42584</v>
      </c>
      <c r="B42585" s="2" t="str">
        <f>IFERROR(__xludf.DUMMYFUNCTION("GOOGLETRANSLATE(A42585, ""de"", ""en"")"),"clueless")</f>
        <v>clueless</v>
      </c>
    </row>
    <row r="42586">
      <c r="A42586" s="1" t="s">
        <v>42585</v>
      </c>
      <c r="B42586" s="2" t="str">
        <f>IFERROR(__xludf.DUMMYFUNCTION("GOOGLETRANSLATE(A42586, ""de"", ""en"")"),"more fearless")</f>
        <v>more fearless</v>
      </c>
    </row>
    <row r="42587">
      <c r="A42587" s="1" t="s">
        <v>42586</v>
      </c>
      <c r="B42587" s="2" t="str">
        <f>IFERROR(__xludf.DUMMYFUNCTION("GOOGLETRANSLATE(A42587, ""de"", ""en"")"),"stuff")</f>
        <v>stuff</v>
      </c>
    </row>
    <row r="42588">
      <c r="A42588" s="1" t="s">
        <v>42587</v>
      </c>
      <c r="B42588" s="2" t="str">
        <f>IFERROR(__xludf.DUMMYFUNCTION("GOOGLETRANSLATE(A42588, ""de"", ""en"")"),"duty")</f>
        <v>duty</v>
      </c>
    </row>
    <row r="42589">
      <c r="A42589" s="1" t="s">
        <v>42588</v>
      </c>
      <c r="B42589" s="2" t="str">
        <f>IFERROR(__xludf.DUMMYFUNCTION("GOOGLETRANSLATE(A42589, ""de"", ""en"")"),"strives")</f>
        <v>strives</v>
      </c>
    </row>
    <row r="42590">
      <c r="A42590" s="1" t="s">
        <v>42589</v>
      </c>
      <c r="B42590" s="2" t="str">
        <f>IFERROR(__xludf.DUMMYFUNCTION("GOOGLETRANSLATE(A42590, ""de"", ""en"")"),"complain")</f>
        <v>complain</v>
      </c>
    </row>
    <row r="42591">
      <c r="A42591" s="1" t="s">
        <v>42590</v>
      </c>
      <c r="B42591" s="2" t="str">
        <f>IFERROR(__xludf.DUMMYFUNCTION("GOOGLETRANSLATE(A42591, ""de"", ""en"")"),"bancroft")</f>
        <v>bancroft</v>
      </c>
    </row>
    <row r="42592">
      <c r="A42592" s="1" t="s">
        <v>42591</v>
      </c>
      <c r="B42592" s="2" t="str">
        <f>IFERROR(__xludf.DUMMYFUNCTION("GOOGLETRANSLATE(A42592, ""de"", ""en"")"),"sina")</f>
        <v>sina</v>
      </c>
    </row>
    <row r="42593">
      <c r="A42593" s="1" t="s">
        <v>42592</v>
      </c>
      <c r="B42593" s="2" t="str">
        <f>IFERROR(__xludf.DUMMYFUNCTION("GOOGLETRANSLATE(A42593, ""de"", ""en"")"),"Bachmann")</f>
        <v>Bachmann</v>
      </c>
    </row>
    <row r="42594">
      <c r="A42594" s="1" t="s">
        <v>42593</v>
      </c>
      <c r="B42594" s="2" t="str">
        <f>IFERROR(__xludf.DUMMYFUNCTION("GOOGLETRANSLATE(A42594, ""de"", ""en"")"),"charitable")</f>
        <v>charitable</v>
      </c>
    </row>
    <row r="42595">
      <c r="A42595" s="1" t="s">
        <v>42594</v>
      </c>
      <c r="B42595" s="2" t="str">
        <f>IFERROR(__xludf.DUMMYFUNCTION("GOOGLETRANSLATE(A42595, ""de"", ""en"")"),"paz")</f>
        <v>paz</v>
      </c>
    </row>
    <row r="42596">
      <c r="A42596" s="1" t="s">
        <v>42595</v>
      </c>
      <c r="B42596" s="2" t="str">
        <f>IFERROR(__xludf.DUMMYFUNCTION("GOOGLETRANSLATE(A42596, ""de"", ""en"")"),"canfield")</f>
        <v>canfield</v>
      </c>
    </row>
    <row r="42597">
      <c r="A42597" s="1" t="s">
        <v>42596</v>
      </c>
      <c r="B42597" s="2" t="str">
        <f>IFERROR(__xludf.DUMMYFUNCTION("GOOGLETRANSLATE(A42597, ""de"", ""en"")"),"Tyrol")</f>
        <v>Tyrol</v>
      </c>
    </row>
    <row r="42598">
      <c r="A42598" s="1" t="s">
        <v>42597</v>
      </c>
      <c r="B42598" s="2" t="str">
        <f>IFERROR(__xludf.DUMMYFUNCTION("GOOGLETRANSLATE(A42598, ""de"", ""en"")"),"and-and")</f>
        <v>and-and</v>
      </c>
    </row>
    <row r="42599">
      <c r="A42599" s="1" t="s">
        <v>42598</v>
      </c>
      <c r="B42599" s="2" t="str">
        <f>IFERROR(__xludf.DUMMYFUNCTION("GOOGLETRANSLATE(A42599, ""de"", ""en"")"),"wildlife")</f>
        <v>wildlife</v>
      </c>
    </row>
    <row r="42600">
      <c r="A42600" s="1" t="s">
        <v>42599</v>
      </c>
      <c r="B42600" s="2" t="str">
        <f>IFERROR(__xludf.DUMMYFUNCTION("GOOGLETRANSLATE(A42600, ""de"", ""en"")"),"Montpellier")</f>
        <v>Montpellier</v>
      </c>
    </row>
    <row r="42601">
      <c r="A42601" s="1" t="s">
        <v>42600</v>
      </c>
      <c r="B42601" s="2" t="str">
        <f>IFERROR(__xludf.DUMMYFUNCTION("GOOGLETRANSLATE(A42601, ""de"", ""en"")"),"time capsule")</f>
        <v>time capsule</v>
      </c>
    </row>
    <row r="42602">
      <c r="A42602" s="1" t="s">
        <v>42601</v>
      </c>
      <c r="B42602" s="2" t="str">
        <f>IFERROR(__xludf.DUMMYFUNCTION("GOOGLETRANSLATE(A42602, ""de"", ""en"")"),"botanical")</f>
        <v>botanical</v>
      </c>
    </row>
    <row r="42603">
      <c r="A42603" s="1" t="s">
        <v>42602</v>
      </c>
      <c r="B42603" s="2" t="str">
        <f>IFERROR(__xludf.DUMMYFUNCTION("GOOGLETRANSLATE(A42603, ""de"", ""en"")"),"indiscretion")</f>
        <v>indiscretion</v>
      </c>
    </row>
    <row r="42604">
      <c r="A42604" s="1" t="s">
        <v>42603</v>
      </c>
      <c r="B42604" s="2" t="str">
        <f>IFERROR(__xludf.DUMMYFUNCTION("GOOGLETRANSLATE(A42604, ""de"", ""en"")"),"Lent")</f>
        <v>Lent</v>
      </c>
    </row>
    <row r="42605">
      <c r="A42605" s="1" t="s">
        <v>42604</v>
      </c>
      <c r="B42605" s="2" t="str">
        <f>IFERROR(__xludf.DUMMYFUNCTION("GOOGLETRANSLATE(A42605, ""de"", ""en"")"),"kickoff")</f>
        <v>kickoff</v>
      </c>
    </row>
    <row r="42606">
      <c r="A42606" s="1" t="s">
        <v>42605</v>
      </c>
      <c r="B42606" s="2" t="str">
        <f>IFERROR(__xludf.DUMMYFUNCTION("GOOGLETRANSLATE(A42606, ""de"", ""en"")"),"kean")</f>
        <v>kean</v>
      </c>
    </row>
    <row r="42607">
      <c r="A42607" s="1" t="s">
        <v>42606</v>
      </c>
      <c r="B42607" s="2" t="str">
        <f>IFERROR(__xludf.DUMMYFUNCTION("GOOGLETRANSLATE(A42607, ""de"", ""en"")"),"gemstones")</f>
        <v>gemstones</v>
      </c>
    </row>
    <row r="42608">
      <c r="A42608" s="1" t="s">
        <v>42607</v>
      </c>
      <c r="B42608" s="2" t="str">
        <f>IFERROR(__xludf.DUMMYFUNCTION("GOOGLETRANSLATE(A42608, ""de"", ""en"")"),"teen")</f>
        <v>teen</v>
      </c>
    </row>
    <row r="42609">
      <c r="A42609" s="1" t="s">
        <v>42608</v>
      </c>
      <c r="B42609" s="2" t="str">
        <f>IFERROR(__xludf.DUMMYFUNCTION("GOOGLETRANSLATE(A42609, ""de"", ""en"")"),"juice shop")</f>
        <v>juice shop</v>
      </c>
    </row>
    <row r="42610">
      <c r="A42610" s="1" t="s">
        <v>42609</v>
      </c>
      <c r="B42610" s="2" t="str">
        <f>IFERROR(__xludf.DUMMYFUNCTION("GOOGLETRANSLATE(A42610, ""de"", ""en"")"),"rattle")</f>
        <v>rattle</v>
      </c>
    </row>
    <row r="42611">
      <c r="A42611" s="1" t="s">
        <v>42610</v>
      </c>
      <c r="B42611" s="2" t="str">
        <f>IFERROR(__xludf.DUMMYFUNCTION("GOOGLETRANSLATE(A42611, ""de"", ""en"")"),"basic rule")</f>
        <v>basic rule</v>
      </c>
    </row>
    <row r="42612">
      <c r="A42612" s="1" t="s">
        <v>42611</v>
      </c>
      <c r="B42612" s="2" t="str">
        <f>IFERROR(__xludf.DUMMYFUNCTION("GOOGLETRANSLATE(A42612, ""de"", ""en"")"),"fertilize")</f>
        <v>fertilize</v>
      </c>
    </row>
    <row r="42613">
      <c r="A42613" s="1" t="s">
        <v>42612</v>
      </c>
      <c r="B42613" s="2" t="str">
        <f>IFERROR(__xludf.DUMMYFUNCTION("GOOGLETRANSLATE(A42613, ""de"", ""en"")"),"sellars")</f>
        <v>sellars</v>
      </c>
    </row>
    <row r="42614">
      <c r="A42614" s="1" t="s">
        <v>42613</v>
      </c>
      <c r="B42614" s="2" t="str">
        <f>IFERROR(__xludf.DUMMYFUNCTION("GOOGLETRANSLATE(A42614, ""de"", ""en"")"),"wedding march")</f>
        <v>wedding march</v>
      </c>
    </row>
    <row r="42615">
      <c r="A42615" s="1" t="s">
        <v>42614</v>
      </c>
      <c r="B42615" s="2" t="str">
        <f>IFERROR(__xludf.DUMMYFUNCTION("GOOGLETRANSLATE(A42615, ""de"", ""en"")"),"conquer")</f>
        <v>conquer</v>
      </c>
    </row>
    <row r="42616">
      <c r="A42616" s="1" t="s">
        <v>42615</v>
      </c>
      <c r="B42616" s="2" t="str">
        <f>IFERROR(__xludf.DUMMYFUNCTION("GOOGLETRANSLATE(A42616, ""de"", ""en"")"),"fear")</f>
        <v>fear</v>
      </c>
    </row>
    <row r="42617">
      <c r="A42617" s="1" t="s">
        <v>42616</v>
      </c>
      <c r="B42617" s="2" t="str">
        <f>IFERROR(__xludf.DUMMYFUNCTION("GOOGLETRANSLATE(A42617, ""de"", ""en"")"),"we will")</f>
        <v>we will</v>
      </c>
    </row>
    <row r="42618">
      <c r="A42618" s="1" t="s">
        <v>42617</v>
      </c>
      <c r="B42618" s="2" t="str">
        <f>IFERROR(__xludf.DUMMYFUNCTION("GOOGLETRANSLATE(A42618, ""de"", ""en"")"),"sponsor")</f>
        <v>sponsor</v>
      </c>
    </row>
    <row r="42619">
      <c r="A42619" s="1" t="s">
        <v>42618</v>
      </c>
      <c r="B42619" s="2" t="str">
        <f>IFERROR(__xludf.DUMMYFUNCTION("GOOGLETRANSLATE(A42619, ""de"", ""en"")"),"dying")</f>
        <v>dying</v>
      </c>
    </row>
    <row r="42620">
      <c r="A42620" s="1" t="s">
        <v>42619</v>
      </c>
      <c r="B42620" s="2" t="str">
        <f>IFERROR(__xludf.DUMMYFUNCTION("GOOGLETRANSLATE(A42620, ""de"", ""en"")"),"cannoli")</f>
        <v>cannoli</v>
      </c>
    </row>
    <row r="42621">
      <c r="A42621" s="1" t="s">
        <v>42620</v>
      </c>
      <c r="B42621" s="2" t="str">
        <f>IFERROR(__xludf.DUMMYFUNCTION("GOOGLETRANSLATE(A42621, ""de"", ""en"")"),"squeeze")</f>
        <v>squeeze</v>
      </c>
    </row>
    <row r="42622">
      <c r="A42622" s="1" t="s">
        <v>42621</v>
      </c>
      <c r="B42622" s="2" t="str">
        <f>IFERROR(__xludf.DUMMYFUNCTION("GOOGLETRANSLATE(A42622, ""de"", ""en"")"),"fraudulent")</f>
        <v>fraudulent</v>
      </c>
    </row>
    <row r="42623">
      <c r="A42623" s="1" t="s">
        <v>42622</v>
      </c>
      <c r="B42623" s="2" t="str">
        <f>IFERROR(__xludf.DUMMYFUNCTION("GOOGLETRANSLATE(A42623, ""de"", ""en"")"),"to give away")</f>
        <v>to give away</v>
      </c>
    </row>
    <row r="42624">
      <c r="A42624" s="1" t="s">
        <v>42623</v>
      </c>
      <c r="B42624" s="2" t="str">
        <f>IFERROR(__xludf.DUMMYFUNCTION("GOOGLETRANSLATE(A42624, ""de"", ""en"")"),"farmhouse")</f>
        <v>farmhouse</v>
      </c>
    </row>
    <row r="42625">
      <c r="A42625" s="1" t="s">
        <v>42624</v>
      </c>
      <c r="B42625" s="2" t="str">
        <f>IFERROR(__xludf.DUMMYFUNCTION("GOOGLETRANSLATE(A42625, ""de"", ""en"")"),"sao")</f>
        <v>sao</v>
      </c>
    </row>
    <row r="42626">
      <c r="A42626" s="1" t="s">
        <v>42625</v>
      </c>
      <c r="B42626" s="2" t="str">
        <f>IFERROR(__xludf.DUMMYFUNCTION("GOOGLETRANSLATE(A42626, ""de"", ""en"")"),"tie")</f>
        <v>tie</v>
      </c>
    </row>
    <row r="42627">
      <c r="A42627" s="1" t="s">
        <v>42626</v>
      </c>
      <c r="B42627" s="2" t="str">
        <f>IFERROR(__xludf.DUMMYFUNCTION("GOOGLETRANSLATE(A42627, ""de"", ""en"")"),"aguirre")</f>
        <v>aguirre</v>
      </c>
    </row>
    <row r="42628">
      <c r="A42628" s="1" t="s">
        <v>42627</v>
      </c>
      <c r="B42628" s="2" t="str">
        <f>IFERROR(__xludf.DUMMYFUNCTION("GOOGLETRANSLATE(A42628, ""de"", ""en"")"),"divided")</f>
        <v>divided</v>
      </c>
    </row>
    <row r="42629">
      <c r="A42629" s="1" t="s">
        <v>42628</v>
      </c>
      <c r="B42629" s="2" t="str">
        <f>IFERROR(__xludf.DUMMYFUNCTION("GOOGLETRANSLATE(A42629, ""de"", ""en"")"),"Scandinavia")</f>
        <v>Scandinavia</v>
      </c>
    </row>
    <row r="42630">
      <c r="A42630" s="1" t="s">
        <v>42629</v>
      </c>
      <c r="B42630" s="2" t="str">
        <f>IFERROR(__xludf.DUMMYFUNCTION("GOOGLETRANSLATE(A42630, ""de"", ""en"")"),"headache")</f>
        <v>headache</v>
      </c>
    </row>
    <row r="42631">
      <c r="A42631" s="1" t="s">
        <v>42630</v>
      </c>
      <c r="B42631" s="2" t="str">
        <f>IFERROR(__xludf.DUMMYFUNCTION("GOOGLETRANSLATE(A42631, ""de"", ""en"")"),"stays here")</f>
        <v>stays here</v>
      </c>
    </row>
    <row r="42632">
      <c r="A42632" s="1" t="s">
        <v>42631</v>
      </c>
      <c r="B42632" s="2" t="str">
        <f>IFERROR(__xludf.DUMMYFUNCTION("GOOGLETRANSLATE(A42632, ""de"", ""en"")"),"listened")</f>
        <v>listened</v>
      </c>
    </row>
    <row r="42633">
      <c r="A42633" s="1" t="s">
        <v>42632</v>
      </c>
      <c r="B42633" s="2" t="str">
        <f>IFERROR(__xludf.DUMMYFUNCTION("GOOGLETRANSLATE(A42633, ""de"", ""en"")"),"juggler")</f>
        <v>juggler</v>
      </c>
    </row>
    <row r="42634">
      <c r="A42634" s="1" t="s">
        <v>42633</v>
      </c>
      <c r="B42634" s="2" t="str">
        <f>IFERROR(__xludf.DUMMYFUNCTION("GOOGLETRANSLATE(A42634, ""de"", ""en"")"),"grenade launcher")</f>
        <v>grenade launcher</v>
      </c>
    </row>
    <row r="42635">
      <c r="A42635" s="1" t="s">
        <v>42634</v>
      </c>
      <c r="B42635" s="2" t="str">
        <f>IFERROR(__xludf.DUMMYFUNCTION("GOOGLETRANSLATE(A42635, ""de"", ""en"")"),"waste")</f>
        <v>waste</v>
      </c>
    </row>
    <row r="42636">
      <c r="A42636" s="1" t="s">
        <v>42635</v>
      </c>
      <c r="B42636" s="2" t="str">
        <f>IFERROR(__xludf.DUMMYFUNCTION("GOOGLETRANSLATE(A42636, ""de"", ""en"")"),"trapezoid")</f>
        <v>trapezoid</v>
      </c>
    </row>
    <row r="42637">
      <c r="A42637" s="1" t="s">
        <v>42636</v>
      </c>
      <c r="B42637" s="2" t="str">
        <f>IFERROR(__xludf.DUMMYFUNCTION("GOOGLETRANSLATE(A42637, ""de"", ""en"")"),"funeral feast")</f>
        <v>funeral feast</v>
      </c>
    </row>
    <row r="42638">
      <c r="A42638" s="1" t="s">
        <v>42637</v>
      </c>
      <c r="B42638" s="2" t="str">
        <f>IFERROR(__xludf.DUMMYFUNCTION("GOOGLETRANSLATE(A42638, ""de"", ""en"")"),"goat milk")</f>
        <v>goat milk</v>
      </c>
    </row>
    <row r="42639">
      <c r="A42639" s="1" t="s">
        <v>42638</v>
      </c>
      <c r="B42639" s="2" t="str">
        <f>IFERROR(__xludf.DUMMYFUNCTION("GOOGLETRANSLATE(A42639, ""de"", ""en"")"),"sterile")</f>
        <v>sterile</v>
      </c>
    </row>
    <row r="42640">
      <c r="A42640" s="1" t="s">
        <v>42639</v>
      </c>
      <c r="B42640" s="2" t="str">
        <f>IFERROR(__xludf.DUMMYFUNCTION("GOOGLETRANSLATE(A42640, ""de"", ""en"")"),"to infiltrate")</f>
        <v>to infiltrate</v>
      </c>
    </row>
    <row r="42641">
      <c r="A42641" s="1" t="s">
        <v>42640</v>
      </c>
      <c r="B42641" s="2" t="str">
        <f>IFERROR(__xludf.DUMMYFUNCTION("GOOGLETRANSLATE(A42641, ""de"", ""en"")"),"occult")</f>
        <v>occult</v>
      </c>
    </row>
    <row r="42642">
      <c r="A42642" s="1" t="s">
        <v>42641</v>
      </c>
      <c r="B42642" s="2" t="str">
        <f>IFERROR(__xludf.DUMMYFUNCTION("GOOGLETRANSLATE(A42642, ""de"", ""en"")"),"meal money")</f>
        <v>meal money</v>
      </c>
    </row>
    <row r="42643">
      <c r="A42643" s="1" t="s">
        <v>42642</v>
      </c>
      <c r="B42643" s="2" t="str">
        <f>IFERROR(__xludf.DUMMYFUNCTION("GOOGLETRANSLATE(A42643, ""de"", ""en"")"),"literary")</f>
        <v>literary</v>
      </c>
    </row>
    <row r="42644">
      <c r="A42644" s="1" t="s">
        <v>42643</v>
      </c>
      <c r="B42644" s="2" t="str">
        <f>IFERROR(__xludf.DUMMYFUNCTION("GOOGLETRANSLATE(A42644, ""de"", ""en"")"),"wooley")</f>
        <v>wooley</v>
      </c>
    </row>
    <row r="42645">
      <c r="A42645" s="1" t="s">
        <v>42644</v>
      </c>
      <c r="B42645" s="2" t="str">
        <f>IFERROR(__xludf.DUMMYFUNCTION("GOOGLETRANSLATE(A42645, ""de"", ""en"")"),"inflated")</f>
        <v>inflated</v>
      </c>
    </row>
    <row r="42646">
      <c r="A42646" s="1" t="s">
        <v>42645</v>
      </c>
      <c r="B42646" s="2" t="str">
        <f>IFERROR(__xludf.DUMMYFUNCTION("GOOGLETRANSLATE(A42646, ""de"", ""en"")"),"dock workers")</f>
        <v>dock workers</v>
      </c>
    </row>
    <row r="42647">
      <c r="A42647" s="1" t="s">
        <v>42646</v>
      </c>
      <c r="B42647" s="2" t="str">
        <f>IFERROR(__xludf.DUMMYFUNCTION("GOOGLETRANSLATE(A42647, ""de"", ""en"")"),"borrow")</f>
        <v>borrow</v>
      </c>
    </row>
    <row r="42648">
      <c r="A42648" s="1" t="s">
        <v>42647</v>
      </c>
      <c r="B42648" s="2" t="str">
        <f>IFERROR(__xludf.DUMMYFUNCTION("GOOGLETRANSLATE(A42648, ""de"", ""en"")"),"drive")</f>
        <v>drive</v>
      </c>
    </row>
    <row r="42649">
      <c r="A42649" s="1" t="s">
        <v>42648</v>
      </c>
      <c r="B42649" s="2" t="str">
        <f>IFERROR(__xludf.DUMMYFUNCTION("GOOGLETRANSLATE(A42649, ""de"", ""en"")"),"queue")</f>
        <v>queue</v>
      </c>
    </row>
    <row r="42650">
      <c r="A42650" s="1" t="s">
        <v>42649</v>
      </c>
      <c r="B42650" s="2" t="str">
        <f>IFERROR(__xludf.DUMMYFUNCTION("GOOGLETRANSLATE(A42650, ""de"", ""en"")"),"burnt")</f>
        <v>burnt</v>
      </c>
    </row>
    <row r="42651">
      <c r="A42651" s="1" t="s">
        <v>42650</v>
      </c>
      <c r="B42651" s="2" t="str">
        <f>IFERROR(__xludf.DUMMYFUNCTION("GOOGLETRANSLATE(A42651, ""de"", ""en"")"),"reeve")</f>
        <v>reeve</v>
      </c>
    </row>
    <row r="42652">
      <c r="A42652" s="1" t="s">
        <v>42651</v>
      </c>
      <c r="B42652" s="2" t="str">
        <f>IFERROR(__xludf.DUMMYFUNCTION("GOOGLETRANSLATE(A42652, ""de"", ""en"")"),"fly off")</f>
        <v>fly off</v>
      </c>
    </row>
    <row r="42653">
      <c r="A42653" s="1" t="s">
        <v>42652</v>
      </c>
      <c r="B42653" s="2" t="str">
        <f>IFERROR(__xludf.DUMMYFUNCTION("GOOGLETRANSLATE(A42653, ""de"", ""en"")"),"Linde")</f>
        <v>Linde</v>
      </c>
    </row>
    <row r="42654">
      <c r="A42654" s="1" t="s">
        <v>42653</v>
      </c>
      <c r="B42654" s="2" t="str">
        <f>IFERROR(__xludf.DUMMYFUNCTION("GOOGLETRANSLATE(A42654, ""de"", ""en"")"),"trick")</f>
        <v>trick</v>
      </c>
    </row>
    <row r="42655">
      <c r="A42655" s="1" t="s">
        <v>42654</v>
      </c>
      <c r="B42655" s="2" t="str">
        <f>IFERROR(__xludf.DUMMYFUNCTION("GOOGLETRANSLATE(A42655, ""de"", ""en"")"),"train ride")</f>
        <v>train ride</v>
      </c>
    </row>
    <row r="42656">
      <c r="A42656" s="1" t="s">
        <v>42655</v>
      </c>
      <c r="B42656" s="2" t="str">
        <f>IFERROR(__xludf.DUMMYFUNCTION("GOOGLETRANSLATE(A42656, ""de"", ""en"")"),"conducive")</f>
        <v>conducive</v>
      </c>
    </row>
    <row r="42657">
      <c r="A42657" s="1" t="s">
        <v>42656</v>
      </c>
      <c r="B42657" s="2" t="str">
        <f>IFERROR(__xludf.DUMMYFUNCTION("GOOGLETRANSLATE(A42657, ""de"", ""en"")"),"bare")</f>
        <v>bare</v>
      </c>
    </row>
    <row r="42658">
      <c r="A42658" s="1" t="s">
        <v>42657</v>
      </c>
      <c r="B42658" s="2" t="str">
        <f>IFERROR(__xludf.DUMMYFUNCTION("GOOGLETRANSLATE(A42658, ""de"", ""en"")"),"tripod")</f>
        <v>tripod</v>
      </c>
    </row>
    <row r="42659">
      <c r="A42659" s="1" t="s">
        <v>42658</v>
      </c>
      <c r="B42659" s="2" t="str">
        <f>IFERROR(__xludf.DUMMYFUNCTION("GOOGLETRANSLATE(A42659, ""de"", ""en"")"),"again")</f>
        <v>again</v>
      </c>
    </row>
    <row r="42660">
      <c r="A42660" s="1" t="s">
        <v>42659</v>
      </c>
      <c r="B42660" s="2" t="str">
        <f>IFERROR(__xludf.DUMMYFUNCTION("GOOGLETRANSLATE(A42660, ""de"", ""en"")"),"cthulhu")</f>
        <v>cthulhu</v>
      </c>
    </row>
    <row r="42661">
      <c r="A42661" s="1" t="s">
        <v>42660</v>
      </c>
      <c r="B42661" s="2" t="str">
        <f>IFERROR(__xludf.DUMMYFUNCTION("GOOGLETRANSLATE(A42661, ""de"", ""en"")"),"greetings")</f>
        <v>greetings</v>
      </c>
    </row>
    <row r="42662">
      <c r="A42662" s="1" t="s">
        <v>42661</v>
      </c>
      <c r="B42662" s="2" t="str">
        <f>IFERROR(__xludf.DUMMYFUNCTION("GOOGLETRANSLATE(A42662, ""de"", ""en"")"),"doomsday")</f>
        <v>doomsday</v>
      </c>
    </row>
    <row r="42663">
      <c r="A42663" s="1" t="s">
        <v>42662</v>
      </c>
      <c r="B42663" s="2" t="str">
        <f>IFERROR(__xludf.DUMMYFUNCTION("GOOGLETRANSLATE(A42663, ""de"", ""en"")"),"Greece")</f>
        <v>Greece</v>
      </c>
    </row>
    <row r="42664">
      <c r="A42664" s="1" t="s">
        <v>42663</v>
      </c>
      <c r="B42664" s="2" t="str">
        <f>IFERROR(__xludf.DUMMYFUNCTION("GOOGLETRANSLATE(A42664, ""de"", ""en"")"),"furnished")</f>
        <v>furnished</v>
      </c>
    </row>
    <row r="42665">
      <c r="A42665" s="1" t="s">
        <v>42664</v>
      </c>
      <c r="B42665" s="2" t="str">
        <f>IFERROR(__xludf.DUMMYFUNCTION("GOOGLETRANSLATE(A42665, ""de"", ""en"")"),"unanswered")</f>
        <v>unanswered</v>
      </c>
    </row>
    <row r="42666">
      <c r="A42666" s="1" t="s">
        <v>42665</v>
      </c>
      <c r="B42666" s="2" t="str">
        <f>IFERROR(__xludf.DUMMYFUNCTION("GOOGLETRANSLATE(A42666, ""de"", ""en"")"),"having")</f>
        <v>having</v>
      </c>
    </row>
    <row r="42667">
      <c r="A42667" s="1" t="s">
        <v>42666</v>
      </c>
      <c r="B42667" s="2" t="str">
        <f>IFERROR(__xludf.DUMMYFUNCTION("GOOGLETRANSLATE(A42667, ""de"", ""en"")"),"sets up")</f>
        <v>sets up</v>
      </c>
    </row>
    <row r="42668">
      <c r="A42668" s="1" t="s">
        <v>42667</v>
      </c>
      <c r="B42668" s="2" t="str">
        <f>IFERROR(__xludf.DUMMYFUNCTION("GOOGLETRANSLATE(A42668, ""de"", ""en"")"),"meme")</f>
        <v>meme</v>
      </c>
    </row>
    <row r="42669">
      <c r="A42669" s="1" t="s">
        <v>42668</v>
      </c>
      <c r="B42669" s="2" t="str">
        <f>IFERROR(__xludf.DUMMYFUNCTION("GOOGLETRANSLATE(A42669, ""de"", ""en"")"),"brest")</f>
        <v>brest</v>
      </c>
    </row>
    <row r="42670">
      <c r="A42670" s="1" t="s">
        <v>42669</v>
      </c>
      <c r="B42670" s="2" t="str">
        <f>IFERROR(__xludf.DUMMYFUNCTION("GOOGLETRANSLATE(A42670, ""de"", ""en"")"),"abberline")</f>
        <v>abberline</v>
      </c>
    </row>
    <row r="42671">
      <c r="A42671" s="1" t="s">
        <v>42670</v>
      </c>
      <c r="B42671" s="2" t="str">
        <f>IFERROR(__xludf.DUMMYFUNCTION("GOOGLETRANSLATE(A42671, ""de"", ""en"")"),"reply")</f>
        <v>reply</v>
      </c>
    </row>
    <row r="42672">
      <c r="A42672" s="1" t="s">
        <v>42671</v>
      </c>
      <c r="B42672" s="2" t="str">
        <f>IFERROR(__xludf.DUMMYFUNCTION("GOOGLETRANSLATE(A42672, ""de"", ""en"")"),"curtin")</f>
        <v>curtin</v>
      </c>
    </row>
    <row r="42673">
      <c r="A42673" s="1" t="s">
        <v>42672</v>
      </c>
      <c r="B42673" s="2" t="str">
        <f>IFERROR(__xludf.DUMMYFUNCTION("GOOGLETRANSLATE(A42673, ""de"", ""en"")"),"bok")</f>
        <v>bok</v>
      </c>
    </row>
    <row r="42674">
      <c r="A42674" s="1" t="s">
        <v>42673</v>
      </c>
      <c r="B42674" s="2" t="str">
        <f>IFERROR(__xludf.DUMMYFUNCTION("GOOGLETRANSLATE(A42674, ""de"", ""en"")"),"Private")</f>
        <v>Private</v>
      </c>
    </row>
    <row r="42675">
      <c r="A42675" s="1" t="s">
        <v>42674</v>
      </c>
      <c r="B42675" s="2" t="str">
        <f>IFERROR(__xludf.DUMMYFUNCTION("GOOGLETRANSLATE(A42675, ""de"", ""en"")"),"posing")</f>
        <v>posing</v>
      </c>
    </row>
    <row r="42676">
      <c r="A42676" s="1" t="s">
        <v>42675</v>
      </c>
      <c r="B42676" s="2" t="str">
        <f>IFERROR(__xludf.DUMMYFUNCTION("GOOGLETRANSLATE(A42676, ""de"", ""en"")"),"autobots")</f>
        <v>autobots</v>
      </c>
    </row>
    <row r="42677">
      <c r="A42677" s="1" t="s">
        <v>42676</v>
      </c>
      <c r="B42677" s="2" t="str">
        <f>IFERROR(__xludf.DUMMYFUNCTION("GOOGLETRANSLATE(A42677, ""de"", ""en"")"),"privileged")</f>
        <v>privileged</v>
      </c>
    </row>
    <row r="42678">
      <c r="A42678" s="1" t="s">
        <v>42677</v>
      </c>
      <c r="B42678" s="2" t="str">
        <f>IFERROR(__xludf.DUMMYFUNCTION("GOOGLETRANSLATE(A42678, ""de"", ""en"")"),"round up")</f>
        <v>round up</v>
      </c>
    </row>
    <row r="42679">
      <c r="A42679" s="1" t="s">
        <v>42678</v>
      </c>
      <c r="B42679" s="2" t="str">
        <f>IFERROR(__xludf.DUMMYFUNCTION("GOOGLETRANSLATE(A42679, ""de"", ""en"")"),"handle")</f>
        <v>handle</v>
      </c>
    </row>
    <row r="42680">
      <c r="A42680" s="1" t="s">
        <v>42679</v>
      </c>
      <c r="B42680" s="2" t="str">
        <f>IFERROR(__xludf.DUMMYFUNCTION("GOOGLETRANSLATE(A42680, ""de"", ""en"")"),"Buckman")</f>
        <v>Buckman</v>
      </c>
    </row>
    <row r="42681">
      <c r="A42681" s="1" t="s">
        <v>42680</v>
      </c>
      <c r="B42681" s="2" t="str">
        <f>IFERROR(__xludf.DUMMYFUNCTION("GOOGLETRANSLATE(A42681, ""de"", ""en"")"),"arbitrary")</f>
        <v>arbitrary</v>
      </c>
    </row>
    <row r="42682">
      <c r="A42682" s="1" t="s">
        <v>42681</v>
      </c>
      <c r="B42682" s="2" t="str">
        <f>IFERROR(__xludf.DUMMYFUNCTION("GOOGLETRANSLATE(A42682, ""de"", ""en"")"),"send over")</f>
        <v>send over</v>
      </c>
    </row>
    <row r="42683">
      <c r="A42683" s="1" t="s">
        <v>42682</v>
      </c>
      <c r="B42683" s="2" t="str">
        <f>IFERROR(__xludf.DUMMYFUNCTION("GOOGLETRANSLATE(A42683, ""de"", ""en"")"),"tends")</f>
        <v>tends</v>
      </c>
    </row>
    <row r="42684">
      <c r="A42684" s="1" t="s">
        <v>42683</v>
      </c>
      <c r="B42684" s="2" t="str">
        <f>IFERROR(__xludf.DUMMYFUNCTION("GOOGLETRANSLATE(A42684, ""de"", ""en"")"),"miep")</f>
        <v>miep</v>
      </c>
    </row>
    <row r="42685">
      <c r="A42685" s="1" t="s">
        <v>42684</v>
      </c>
      <c r="B42685" s="2" t="str">
        <f>IFERROR(__xludf.DUMMYFUNCTION("GOOGLETRANSLATE(A42685, ""de"", ""en"")"),"hush")</f>
        <v>hush</v>
      </c>
    </row>
    <row r="42686">
      <c r="A42686" s="1" t="s">
        <v>42685</v>
      </c>
      <c r="B42686" s="2" t="str">
        <f>IFERROR(__xludf.DUMMYFUNCTION("GOOGLETRANSLATE(A42686, ""de"", ""en"")"),"practiced")</f>
        <v>practiced</v>
      </c>
    </row>
    <row r="42687">
      <c r="A42687" s="1" t="s">
        <v>42686</v>
      </c>
      <c r="B42687" s="2" t="str">
        <f>IFERROR(__xludf.DUMMYFUNCTION("GOOGLETRANSLATE(A42687, ""de"", ""en"")"),"scrubs")</f>
        <v>scrubs</v>
      </c>
    </row>
    <row r="42688">
      <c r="A42688" s="1" t="s">
        <v>42687</v>
      </c>
      <c r="B42688" s="2" t="str">
        <f>IFERROR(__xludf.DUMMYFUNCTION("GOOGLETRANSLATE(A42688, ""de"", ""en"")"),"pool house")</f>
        <v>pool house</v>
      </c>
    </row>
    <row r="42689">
      <c r="A42689" s="1" t="s">
        <v>42688</v>
      </c>
      <c r="B42689" s="2" t="str">
        <f>IFERROR(__xludf.DUMMYFUNCTION("GOOGLETRANSLATE(A42689, ""de"", ""en"")"),"matsumoto")</f>
        <v>matsumoto</v>
      </c>
    </row>
    <row r="42690">
      <c r="A42690" s="1" t="s">
        <v>42689</v>
      </c>
      <c r="B42690" s="2" t="str">
        <f>IFERROR(__xludf.DUMMYFUNCTION("GOOGLETRANSLATE(A42690, ""de"", ""en"")"),"spank")</f>
        <v>spank</v>
      </c>
    </row>
    <row r="42691">
      <c r="A42691" s="1" t="s">
        <v>42690</v>
      </c>
      <c r="B42691" s="2" t="str">
        <f>IFERROR(__xludf.DUMMYFUNCTION("GOOGLETRANSLATE(A42691, ""de"", ""en"")"),"trick")</f>
        <v>trick</v>
      </c>
    </row>
    <row r="42692">
      <c r="A42692" s="1" t="s">
        <v>42691</v>
      </c>
      <c r="B42692" s="2" t="str">
        <f>IFERROR(__xludf.DUMMYFUNCTION("GOOGLETRANSLATE(A42692, ""de"", ""en"")"),"Syrian")</f>
        <v>Syrian</v>
      </c>
    </row>
    <row r="42693">
      <c r="A42693" s="1" t="s">
        <v>42692</v>
      </c>
      <c r="B42693" s="2" t="str">
        <f>IFERROR(__xludf.DUMMYFUNCTION("GOOGLETRANSLATE(A42693, ""de"", ""en"")"),"specification")</f>
        <v>specification</v>
      </c>
    </row>
    <row r="42694">
      <c r="A42694" s="1" t="s">
        <v>42693</v>
      </c>
      <c r="B42694" s="2" t="str">
        <f>IFERROR(__xludf.DUMMYFUNCTION("GOOGLETRANSLATE(A42694, ""de"", ""en"")"),"edit")</f>
        <v>edit</v>
      </c>
    </row>
    <row r="42695">
      <c r="A42695" s="1" t="s">
        <v>42694</v>
      </c>
      <c r="B42695" s="2" t="str">
        <f>IFERROR(__xludf.DUMMYFUNCTION("GOOGLETRANSLATE(A42695, ""de"", ""en"")"),"ubba")</f>
        <v>ubba</v>
      </c>
    </row>
    <row r="42696">
      <c r="A42696" s="1" t="s">
        <v>42695</v>
      </c>
      <c r="B42696" s="2" t="str">
        <f>IFERROR(__xludf.DUMMYFUNCTION("GOOGLETRANSLATE(A42696, ""de"", ""en"")"),"Oktoberfest")</f>
        <v>Oktoberfest</v>
      </c>
    </row>
    <row r="42697">
      <c r="A42697" s="1" t="s">
        <v>42696</v>
      </c>
      <c r="B42697" s="2" t="str">
        <f>IFERROR(__xludf.DUMMYFUNCTION("GOOGLETRANSLATE(A42697, ""de"", ""en"")"),"resist")</f>
        <v>resist</v>
      </c>
    </row>
    <row r="42698">
      <c r="A42698" s="1" t="s">
        <v>42697</v>
      </c>
      <c r="B42698" s="2" t="str">
        <f>IFERROR(__xludf.DUMMYFUNCTION("GOOGLETRANSLATE(A42698, ""de"", ""en"")"),"velrans")</f>
        <v>velrans</v>
      </c>
    </row>
    <row r="42699">
      <c r="A42699" s="1" t="s">
        <v>42698</v>
      </c>
      <c r="B42699" s="2" t="str">
        <f>IFERROR(__xludf.DUMMYFUNCTION("GOOGLETRANSLATE(A42699, ""de"", ""en"")"),"spocks")</f>
        <v>spocks</v>
      </c>
    </row>
    <row r="42700">
      <c r="A42700" s="1" t="s">
        <v>42699</v>
      </c>
      <c r="B42700" s="2" t="str">
        <f>IFERROR(__xludf.DUMMYFUNCTION("GOOGLETRANSLATE(A42700, ""de"", ""en"")"),"Iraqi")</f>
        <v>Iraqi</v>
      </c>
    </row>
    <row r="42701">
      <c r="A42701" s="1" t="s">
        <v>42700</v>
      </c>
      <c r="B42701" s="2" t="str">
        <f>IFERROR(__xludf.DUMMYFUNCTION("GOOGLETRANSLATE(A42701, ""de"", ""en"")"),"connect")</f>
        <v>connect</v>
      </c>
    </row>
    <row r="42702">
      <c r="A42702" s="1" t="s">
        <v>42701</v>
      </c>
      <c r="B42702" s="2" t="str">
        <f>IFERROR(__xludf.DUMMYFUNCTION("GOOGLETRANSLATE(A42702, ""de"", ""en"")"),"claustrophobic")</f>
        <v>claustrophobic</v>
      </c>
    </row>
    <row r="42703">
      <c r="A42703" s="1" t="s">
        <v>42702</v>
      </c>
      <c r="B42703" s="2" t="str">
        <f>IFERROR(__xludf.DUMMYFUNCTION("GOOGLETRANSLATE(A42703, ""de"", ""en"")"),"falls back")</f>
        <v>falls back</v>
      </c>
    </row>
    <row r="42704">
      <c r="A42704" s="1" t="s">
        <v>42703</v>
      </c>
      <c r="B42704" s="2" t="str">
        <f>IFERROR(__xludf.DUMMYFUNCTION("GOOGLETRANSLATE(A42704, ""de"", ""en"")"),"permanent")</f>
        <v>permanent</v>
      </c>
    </row>
    <row r="42705">
      <c r="A42705" s="1" t="s">
        <v>42704</v>
      </c>
      <c r="B42705" s="2" t="str">
        <f>IFERROR(__xludf.DUMMYFUNCTION("GOOGLETRANSLATE(A42705, ""de"", ""en"")"),"lansing")</f>
        <v>lansing</v>
      </c>
    </row>
    <row r="42706">
      <c r="A42706" s="1" t="s">
        <v>42705</v>
      </c>
      <c r="B42706" s="2" t="str">
        <f>IFERROR(__xludf.DUMMYFUNCTION("GOOGLETRANSLATE(A42706, ""de"", ""en"")"),"regulator")</f>
        <v>regulator</v>
      </c>
    </row>
    <row r="42707">
      <c r="A42707" s="1" t="s">
        <v>42706</v>
      </c>
      <c r="B42707" s="2" t="str">
        <f>IFERROR(__xludf.DUMMYFUNCTION("GOOGLETRANSLATE(A42707, ""de"", ""en"")"),"stand there")</f>
        <v>stand there</v>
      </c>
    </row>
    <row r="42708">
      <c r="A42708" s="1" t="s">
        <v>42707</v>
      </c>
      <c r="B42708" s="2" t="str">
        <f>IFERROR(__xludf.DUMMYFUNCTION("GOOGLETRANSLATE(A42708, ""de"", ""en"")"),"bring back")</f>
        <v>bring back</v>
      </c>
    </row>
    <row r="42709">
      <c r="A42709" s="1" t="s">
        <v>42708</v>
      </c>
      <c r="B42709" s="2" t="str">
        <f>IFERROR(__xludf.DUMMYFUNCTION("GOOGLETRANSLATE(A42709, ""de"", ""en"")"),"kale")</f>
        <v>kale</v>
      </c>
    </row>
    <row r="42710">
      <c r="A42710" s="1" t="s">
        <v>42709</v>
      </c>
      <c r="B42710" s="2" t="str">
        <f>IFERROR(__xludf.DUMMYFUNCTION("GOOGLETRANSLATE(A42710, ""de"", ""en"")"),"peppered")</f>
        <v>peppered</v>
      </c>
    </row>
    <row r="42711">
      <c r="A42711" s="1" t="s">
        <v>42710</v>
      </c>
      <c r="B42711" s="2" t="str">
        <f>IFERROR(__xludf.DUMMYFUNCTION("GOOGLETRANSLATE(A42711, ""de"", ""en"")"),"campion")</f>
        <v>campion</v>
      </c>
    </row>
    <row r="42712">
      <c r="A42712" s="1" t="s">
        <v>42711</v>
      </c>
      <c r="B42712" s="2" t="str">
        <f>IFERROR(__xludf.DUMMYFUNCTION("GOOGLETRANSLATE(A42712, ""de"", ""en"")"),"tilt")</f>
        <v>tilt</v>
      </c>
    </row>
    <row r="42713">
      <c r="A42713" s="1" t="s">
        <v>42712</v>
      </c>
      <c r="B42713" s="2" t="str">
        <f>IFERROR(__xludf.DUMMYFUNCTION("GOOGLETRANSLATE(A42713, ""de"", ""en"")"),"crotch")</f>
        <v>crotch</v>
      </c>
    </row>
    <row r="42714">
      <c r="A42714" s="1" t="s">
        <v>42713</v>
      </c>
      <c r="B42714" s="2" t="str">
        <f>IFERROR(__xludf.DUMMYFUNCTION("GOOGLETRANSLATE(A42714, ""de"", ""en"")"),"fracking")</f>
        <v>fracking</v>
      </c>
    </row>
    <row r="42715">
      <c r="A42715" s="1" t="s">
        <v>42714</v>
      </c>
      <c r="B42715" s="2" t="str">
        <f>IFERROR(__xludf.DUMMYFUNCTION("GOOGLETRANSLATE(A42715, ""de"", ""en"")"),"guaranteed")</f>
        <v>guaranteed</v>
      </c>
    </row>
    <row r="42716">
      <c r="A42716" s="1" t="s">
        <v>42715</v>
      </c>
      <c r="B42716" s="2" t="str">
        <f>IFERROR(__xludf.DUMMYFUNCTION("GOOGLETRANSLATE(A42716, ""de"", ""en"")"),"remake")</f>
        <v>remake</v>
      </c>
    </row>
    <row r="42717">
      <c r="A42717" s="1" t="s">
        <v>42716</v>
      </c>
      <c r="B42717" s="2" t="str">
        <f>IFERROR(__xludf.DUMMYFUNCTION("GOOGLETRANSLATE(A42717, ""de"", ""en"")"),"bits")</f>
        <v>bits</v>
      </c>
    </row>
    <row r="42718">
      <c r="A42718" s="1" t="s">
        <v>42717</v>
      </c>
      <c r="B42718" s="2" t="str">
        <f>IFERROR(__xludf.DUMMYFUNCTION("GOOGLETRANSLATE(A42718, ""de"", ""en"")"),"bedroom window")</f>
        <v>bedroom window</v>
      </c>
    </row>
    <row r="42719">
      <c r="A42719" s="1" t="s">
        <v>42718</v>
      </c>
      <c r="B42719" s="2" t="str">
        <f>IFERROR(__xludf.DUMMYFUNCTION("GOOGLETRANSLATE(A42719, ""de"", ""en"")"),"capisce")</f>
        <v>capisce</v>
      </c>
    </row>
    <row r="42720">
      <c r="A42720" s="1" t="s">
        <v>42719</v>
      </c>
      <c r="B42720" s="2" t="str">
        <f>IFERROR(__xludf.DUMMYFUNCTION("GOOGLETRANSLATE(A42720, ""de"", ""en"")"),"microphone")</f>
        <v>microphone</v>
      </c>
    </row>
    <row r="42721">
      <c r="A42721" s="1" t="s">
        <v>42720</v>
      </c>
      <c r="B42721" s="2" t="str">
        <f>IFERROR(__xludf.DUMMYFUNCTION("GOOGLETRANSLATE(A42721, ""de"", ""en"")"),"hamlin")</f>
        <v>hamlin</v>
      </c>
    </row>
    <row r="42722">
      <c r="A42722" s="1" t="s">
        <v>42721</v>
      </c>
      <c r="B42722" s="2" t="str">
        <f>IFERROR(__xludf.DUMMYFUNCTION("GOOGLETRANSLATE(A42722, ""de"", ""en"")"),"toolbox")</f>
        <v>toolbox</v>
      </c>
    </row>
    <row r="42723">
      <c r="A42723" s="1" t="s">
        <v>42722</v>
      </c>
      <c r="B42723" s="2" t="str">
        <f>IFERROR(__xludf.DUMMYFUNCTION("GOOGLETRANSLATE(A42723, ""de"", ""en"")"),"macallan")</f>
        <v>macallan</v>
      </c>
    </row>
    <row r="42724">
      <c r="A42724" s="1" t="s">
        <v>42723</v>
      </c>
      <c r="B42724" s="2" t="str">
        <f>IFERROR(__xludf.DUMMYFUNCTION("GOOGLETRANSLATE(A42724, ""de"", ""en"")"),"history book")</f>
        <v>history book</v>
      </c>
    </row>
    <row r="42725">
      <c r="A42725" s="1" t="s">
        <v>42724</v>
      </c>
      <c r="B42725" s="2" t="str">
        <f>IFERROR(__xludf.DUMMYFUNCTION("GOOGLETRANSLATE(A42725, ""de"", ""en"")"),"get down")</f>
        <v>get down</v>
      </c>
    </row>
    <row r="42726">
      <c r="A42726" s="1" t="s">
        <v>42725</v>
      </c>
      <c r="B42726" s="2" t="str">
        <f>IFERROR(__xludf.DUMMYFUNCTION("GOOGLETRANSLATE(A42726, ""de"", ""en"")"),"stream")</f>
        <v>stream</v>
      </c>
    </row>
    <row r="42727">
      <c r="A42727" s="1" t="s">
        <v>42726</v>
      </c>
      <c r="B42727" s="2" t="str">
        <f>IFERROR(__xludf.DUMMYFUNCTION("GOOGLETRANSLATE(A42727, ""de"", ""en"")"),"walk")</f>
        <v>walk</v>
      </c>
    </row>
    <row r="42728">
      <c r="A42728" s="1" t="s">
        <v>42727</v>
      </c>
      <c r="B42728" s="2" t="str">
        <f>IFERROR(__xludf.DUMMYFUNCTION("GOOGLETRANSLATE(A42728, ""de"", ""en"")"),"pistachios")</f>
        <v>pistachios</v>
      </c>
    </row>
    <row r="42729">
      <c r="A42729" s="1" t="s">
        <v>42728</v>
      </c>
      <c r="B42729" s="2" t="str">
        <f>IFERROR(__xludf.DUMMYFUNCTION("GOOGLETRANSLATE(A42729, ""de"", ""en"")"),"more amusing")</f>
        <v>more amusing</v>
      </c>
    </row>
    <row r="42730">
      <c r="A42730" s="1" t="s">
        <v>42729</v>
      </c>
      <c r="B42730" s="2" t="str">
        <f>IFERROR(__xludf.DUMMYFUNCTION("GOOGLETRANSLATE(A42730, ""de"", ""en"")"),"handed over")</f>
        <v>handed over</v>
      </c>
    </row>
    <row r="42731">
      <c r="A42731" s="1" t="s">
        <v>42730</v>
      </c>
      <c r="B42731" s="2" t="str">
        <f>IFERROR(__xludf.DUMMYFUNCTION("GOOGLETRANSLATE(A42731, ""de"", ""en"")"),"lauda")</f>
        <v>lauda</v>
      </c>
    </row>
    <row r="42732">
      <c r="A42732" s="1" t="s">
        <v>42731</v>
      </c>
      <c r="B42732" s="2" t="str">
        <f>IFERROR(__xludf.DUMMYFUNCTION("GOOGLETRANSLATE(A42732, ""de"", ""en"")"),"police file")</f>
        <v>police file</v>
      </c>
    </row>
    <row r="42733">
      <c r="A42733" s="1" t="s">
        <v>42732</v>
      </c>
      <c r="B42733" s="2" t="str">
        <f>IFERROR(__xludf.DUMMYFUNCTION("GOOGLETRANSLATE(A42733, ""de"", ""en"")"),"dams")</f>
        <v>dams</v>
      </c>
    </row>
    <row r="42734">
      <c r="A42734" s="1" t="s">
        <v>42733</v>
      </c>
      <c r="B42734" s="2" t="str">
        <f>IFERROR(__xludf.DUMMYFUNCTION("GOOGLETRANSLATE(A42734, ""de"", ""en"")"),"found here")</f>
        <v>found here</v>
      </c>
    </row>
    <row r="42735">
      <c r="A42735" s="1" t="s">
        <v>42734</v>
      </c>
      <c r="B42735" s="2" t="str">
        <f>IFERROR(__xludf.DUMMYFUNCTION("GOOGLETRANSLATE(A42735, ""de"", ""en"")"),"reign")</f>
        <v>reign</v>
      </c>
    </row>
    <row r="42736">
      <c r="A42736" s="1" t="s">
        <v>42735</v>
      </c>
      <c r="B42736" s="2" t="str">
        <f>IFERROR(__xludf.DUMMYFUNCTION("GOOGLETRANSLATE(A42736, ""de"", ""en"")"),"book")</f>
        <v>book</v>
      </c>
    </row>
    <row r="42737">
      <c r="A42737" s="1" t="s">
        <v>42736</v>
      </c>
      <c r="B42737" s="2" t="str">
        <f>IFERROR(__xludf.DUMMYFUNCTION("GOOGLETRANSLATE(A42737, ""de"", ""en"")"),"brought")</f>
        <v>brought</v>
      </c>
    </row>
    <row r="42738">
      <c r="A42738" s="1" t="s">
        <v>42737</v>
      </c>
      <c r="B42738" s="2" t="str">
        <f>IFERROR(__xludf.DUMMYFUNCTION("GOOGLETRANSLATE(A42738, ""de"", ""en"")"),"jenni")</f>
        <v>jenni</v>
      </c>
    </row>
    <row r="42739">
      <c r="A42739" s="1" t="s">
        <v>42738</v>
      </c>
      <c r="B42739" s="2" t="str">
        <f>IFERROR(__xludf.DUMMYFUNCTION("GOOGLETRANSLATE(A42739, ""de"", ""en"")"),"situation")</f>
        <v>situation</v>
      </c>
    </row>
    <row r="42740">
      <c r="A42740" s="1" t="s">
        <v>42739</v>
      </c>
      <c r="B42740" s="2" t="str">
        <f>IFERROR(__xludf.DUMMYFUNCTION("GOOGLETRANSLATE(A42740, ""de"", ""en"")"),"keyser")</f>
        <v>keyser</v>
      </c>
    </row>
    <row r="42741">
      <c r="A42741" s="1" t="s">
        <v>42740</v>
      </c>
      <c r="B42741" s="2" t="str">
        <f>IFERROR(__xludf.DUMMYFUNCTION("GOOGLETRANSLATE(A42741, ""de"", ""en"")"),"resolution")</f>
        <v>resolution</v>
      </c>
    </row>
    <row r="42742">
      <c r="A42742" s="1" t="s">
        <v>42741</v>
      </c>
      <c r="B42742" s="2" t="str">
        <f>IFERROR(__xludf.DUMMYFUNCTION("GOOGLETRANSLATE(A42742, ""de"", ""en"")"),"card tricks")</f>
        <v>card tricks</v>
      </c>
    </row>
    <row r="42743">
      <c r="A42743" s="1" t="s">
        <v>42742</v>
      </c>
      <c r="B42743" s="2" t="str">
        <f>IFERROR(__xludf.DUMMYFUNCTION("GOOGLETRANSLATE(A42743, ""de"", ""en"")"),"birdhouse")</f>
        <v>birdhouse</v>
      </c>
    </row>
    <row r="42744">
      <c r="A42744" s="1" t="s">
        <v>42743</v>
      </c>
      <c r="B42744" s="2" t="str">
        <f>IFERROR(__xludf.DUMMYFUNCTION("GOOGLETRANSLATE(A42744, ""de"", ""en"")"),"sienna")</f>
        <v>sienna</v>
      </c>
    </row>
    <row r="42745">
      <c r="A42745" s="1" t="s">
        <v>42744</v>
      </c>
      <c r="B42745" s="2" t="str">
        <f>IFERROR(__xludf.DUMMYFUNCTION("GOOGLETRANSLATE(A42745, ""de"", ""en"")"),"delivery")</f>
        <v>delivery</v>
      </c>
    </row>
    <row r="42746">
      <c r="A42746" s="1" t="s">
        <v>42745</v>
      </c>
      <c r="B42746" s="2" t="str">
        <f>IFERROR(__xludf.DUMMYFUNCTION("GOOGLETRANSLATE(A42746, ""de"", ""en"")"),"Netherlands")</f>
        <v>Netherlands</v>
      </c>
    </row>
    <row r="42747">
      <c r="A42747" s="1" t="s">
        <v>42746</v>
      </c>
      <c r="B42747" s="2" t="str">
        <f>IFERROR(__xludf.DUMMYFUNCTION("GOOGLETRANSLATE(A42747, ""de"", ""en"")"),"child murderer")</f>
        <v>child murderer</v>
      </c>
    </row>
    <row r="42748">
      <c r="A42748" s="1" t="s">
        <v>42747</v>
      </c>
      <c r="B42748" s="2" t="str">
        <f>IFERROR(__xludf.DUMMYFUNCTION("GOOGLETRANSLATE(A42748, ""de"", ""en"")"),"drummer")</f>
        <v>drummer</v>
      </c>
    </row>
    <row r="42749">
      <c r="A42749" s="1" t="s">
        <v>42748</v>
      </c>
      <c r="B42749" s="2" t="str">
        <f>IFERROR(__xludf.DUMMYFUNCTION("GOOGLETRANSLATE(A42749, ""de"", ""en"")"),"South Sea")</f>
        <v>South Sea</v>
      </c>
    </row>
    <row r="42750">
      <c r="A42750" s="1" t="s">
        <v>42749</v>
      </c>
      <c r="B42750" s="2" t="str">
        <f>IFERROR(__xludf.DUMMYFUNCTION("GOOGLETRANSLATE(A42750, ""de"", ""en"")"),"creation")</f>
        <v>creation</v>
      </c>
    </row>
    <row r="42751">
      <c r="A42751" s="1" t="s">
        <v>42750</v>
      </c>
      <c r="B42751" s="2" t="str">
        <f>IFERROR(__xludf.DUMMYFUNCTION("GOOGLETRANSLATE(A42751, ""de"", ""en"")"),"commercial")</f>
        <v>commercial</v>
      </c>
    </row>
    <row r="42752">
      <c r="A42752" s="1" t="s">
        <v>42751</v>
      </c>
      <c r="B42752" s="2" t="str">
        <f>IFERROR(__xludf.DUMMYFUNCTION("GOOGLETRANSLATE(A42752, ""de"", ""en"")"),"move together")</f>
        <v>move together</v>
      </c>
    </row>
    <row r="42753">
      <c r="A42753" s="1" t="s">
        <v>42752</v>
      </c>
      <c r="B42753" s="2" t="str">
        <f>IFERROR(__xludf.DUMMYFUNCTION("GOOGLETRANSLATE(A42753, ""de"", ""en"")"),"FBI headquarters")</f>
        <v>FBI headquarters</v>
      </c>
    </row>
    <row r="42754">
      <c r="A42754" s="1" t="s">
        <v>42753</v>
      </c>
      <c r="B42754" s="2" t="str">
        <f>IFERROR(__xludf.DUMMYFUNCTION("GOOGLETRANSLATE(A42754, ""de"", ""en"")"),"cheesy")</f>
        <v>cheesy</v>
      </c>
    </row>
    <row r="42755">
      <c r="A42755" s="1" t="s">
        <v>42754</v>
      </c>
      <c r="B42755" s="2" t="str">
        <f>IFERROR(__xludf.DUMMYFUNCTION("GOOGLETRANSLATE(A42755, ""de"", ""en"")"),"Gershwin")</f>
        <v>Gershwin</v>
      </c>
    </row>
    <row r="42756">
      <c r="A42756" s="1" t="s">
        <v>42755</v>
      </c>
      <c r="B42756" s="2" t="str">
        <f>IFERROR(__xludf.DUMMYFUNCTION("GOOGLETRANSLATE(A42756, ""de"", ""en"")"),"CIA agents")</f>
        <v>CIA agents</v>
      </c>
    </row>
    <row r="42757">
      <c r="A42757" s="1" t="s">
        <v>42756</v>
      </c>
      <c r="B42757" s="2" t="str">
        <f>IFERROR(__xludf.DUMMYFUNCTION("GOOGLETRANSLATE(A42757, ""de"", ""en"")"),"arnett")</f>
        <v>arnett</v>
      </c>
    </row>
    <row r="42758">
      <c r="A42758" s="1" t="s">
        <v>42757</v>
      </c>
      <c r="B42758" s="2" t="str">
        <f>IFERROR(__xludf.DUMMYFUNCTION("GOOGLETRANSLATE(A42758, ""de"", ""en"")"),"willful")</f>
        <v>willful</v>
      </c>
    </row>
    <row r="42759">
      <c r="A42759" s="1" t="s">
        <v>42758</v>
      </c>
      <c r="B42759" s="2" t="str">
        <f>IFERROR(__xludf.DUMMYFUNCTION("GOOGLETRANSLATE(A42759, ""de"", ""en"")"),"coq")</f>
        <v>coq</v>
      </c>
    </row>
    <row r="42760">
      <c r="A42760" s="1" t="s">
        <v>42759</v>
      </c>
      <c r="B42760" s="2" t="str">
        <f>IFERROR(__xludf.DUMMYFUNCTION("GOOGLETRANSLATE(A42760, ""de"", ""en"")"),"breaks off")</f>
        <v>breaks off</v>
      </c>
    </row>
    <row r="42761">
      <c r="A42761" s="1" t="s">
        <v>42760</v>
      </c>
      <c r="B42761" s="2" t="str">
        <f>IFERROR(__xludf.DUMMYFUNCTION("GOOGLETRANSLATE(A42761, ""de"", ""en"")"),"faithful")</f>
        <v>faithful</v>
      </c>
    </row>
    <row r="42762">
      <c r="A42762" s="1" t="s">
        <v>42761</v>
      </c>
      <c r="B42762" s="2" t="str">
        <f>IFERROR(__xludf.DUMMYFUNCTION("GOOGLETRANSLATE(A42762, ""de"", ""en"")"),"muscle strength")</f>
        <v>muscle strength</v>
      </c>
    </row>
    <row r="42763">
      <c r="A42763" s="1" t="s">
        <v>42762</v>
      </c>
      <c r="B42763" s="2" t="str">
        <f>IFERROR(__xludf.DUMMYFUNCTION("GOOGLETRANSLATE(A42763, ""de"", ""en"")"),"stiffer")</f>
        <v>stiffer</v>
      </c>
    </row>
    <row r="42764">
      <c r="A42764" s="1" t="s">
        <v>42763</v>
      </c>
      <c r="B42764" s="2" t="str">
        <f>IFERROR(__xludf.DUMMYFUNCTION("GOOGLETRANSLATE(A42764, ""de"", ""en"")"),"terrain")</f>
        <v>terrain</v>
      </c>
    </row>
    <row r="42765">
      <c r="A42765" s="1" t="s">
        <v>42764</v>
      </c>
      <c r="B42765" s="2" t="str">
        <f>IFERROR(__xludf.DUMMYFUNCTION("GOOGLETRANSLATE(A42765, ""de"", ""en"")"),"hydrochloric acid")</f>
        <v>hydrochloric acid</v>
      </c>
    </row>
    <row r="42766">
      <c r="A42766" s="1" t="s">
        <v>42765</v>
      </c>
      <c r="B42766" s="2" t="str">
        <f>IFERROR(__xludf.DUMMYFUNCTION("GOOGLETRANSLATE(A42766, ""de"", ""en"")"),"rule")</f>
        <v>rule</v>
      </c>
    </row>
    <row r="42767">
      <c r="A42767" s="1" t="s">
        <v>42766</v>
      </c>
      <c r="B42767" s="2" t="str">
        <f>IFERROR(__xludf.DUMMYFUNCTION("GOOGLETRANSLATE(A42767, ""de"", ""en"")"),"supplied")</f>
        <v>supplied</v>
      </c>
    </row>
    <row r="42768">
      <c r="A42768" s="1" t="s">
        <v>42767</v>
      </c>
      <c r="B42768" s="2" t="str">
        <f>IFERROR(__xludf.DUMMYFUNCTION("GOOGLETRANSLATE(A42768, ""de"", ""en"")"),"sesemann")</f>
        <v>sesemann</v>
      </c>
    </row>
    <row r="42769">
      <c r="A42769" s="1" t="s">
        <v>42768</v>
      </c>
      <c r="B42769" s="2" t="str">
        <f>IFERROR(__xludf.DUMMYFUNCTION("GOOGLETRANSLATE(A42769, ""de"", ""en"")"),"geology")</f>
        <v>geology</v>
      </c>
    </row>
    <row r="42770">
      <c r="A42770" s="1" t="s">
        <v>42769</v>
      </c>
      <c r="B42770" s="2" t="str">
        <f>IFERROR(__xludf.DUMMYFUNCTION("GOOGLETRANSLATE(A42770, ""de"", ""en"")"),"haddie")</f>
        <v>haddie</v>
      </c>
    </row>
    <row r="42771">
      <c r="A42771" s="1" t="s">
        <v>42770</v>
      </c>
      <c r="B42771" s="2" t="str">
        <f>IFERROR(__xludf.DUMMYFUNCTION("GOOGLETRANSLATE(A42771, ""de"", ""en"")"),"lita")</f>
        <v>lita</v>
      </c>
    </row>
    <row r="42772">
      <c r="A42772" s="1" t="s">
        <v>42771</v>
      </c>
      <c r="B42772" s="2" t="str">
        <f>IFERROR(__xludf.DUMMYFUNCTION("GOOGLETRANSLATE(A42772, ""de"", ""en"")"),"plan of attack")</f>
        <v>plan of attack</v>
      </c>
    </row>
    <row r="42773">
      <c r="A42773" s="1" t="s">
        <v>42772</v>
      </c>
      <c r="B42773" s="2" t="str">
        <f>IFERROR(__xludf.DUMMYFUNCTION("GOOGLETRANSLATE(A42773, ""de"", ""en"")"),"commission")</f>
        <v>commission</v>
      </c>
    </row>
    <row r="42774">
      <c r="A42774" s="1" t="s">
        <v>42773</v>
      </c>
      <c r="B42774" s="2" t="str">
        <f>IFERROR(__xludf.DUMMYFUNCTION("GOOGLETRANSLATE(A42774, ""de"", ""en"")"),"schlawiner")</f>
        <v>schlawiner</v>
      </c>
    </row>
    <row r="42775">
      <c r="A42775" s="1" t="s">
        <v>42774</v>
      </c>
      <c r="B42775" s="2" t="str">
        <f>IFERROR(__xludf.DUMMYFUNCTION("GOOGLETRANSLATE(A42775, ""de"", ""en"")"),"angry")</f>
        <v>angry</v>
      </c>
    </row>
    <row r="42776">
      <c r="A42776" s="1" t="s">
        <v>42775</v>
      </c>
      <c r="B42776" s="2" t="str">
        <f>IFERROR(__xludf.DUMMYFUNCTION("GOOGLETRANSLATE(A42776, ""de"", ""en"")"),"insists")</f>
        <v>insists</v>
      </c>
    </row>
    <row r="42777">
      <c r="A42777" s="1" t="s">
        <v>42776</v>
      </c>
      <c r="B42777" s="2" t="str">
        <f>IFERROR(__xludf.DUMMYFUNCTION("GOOGLETRANSLATE(A42777, ""de"", ""en"")"),"joaquin")</f>
        <v>joaquin</v>
      </c>
    </row>
    <row r="42778">
      <c r="A42778" s="1" t="s">
        <v>42777</v>
      </c>
      <c r="B42778" s="2" t="str">
        <f>IFERROR(__xludf.DUMMYFUNCTION("GOOGLETRANSLATE(A42778, ""de"", ""en"")"),"appleby")</f>
        <v>appleby</v>
      </c>
    </row>
    <row r="42779">
      <c r="A42779" s="1" t="s">
        <v>42778</v>
      </c>
      <c r="B42779" s="2" t="str">
        <f>IFERROR(__xludf.DUMMYFUNCTION("GOOGLETRANSLATE(A42779, ""de"", ""en"")"),"pastrami")</f>
        <v>pastrami</v>
      </c>
    </row>
    <row r="42780">
      <c r="A42780" s="1" t="s">
        <v>42779</v>
      </c>
      <c r="B42780" s="2" t="str">
        <f>IFERROR(__xludf.DUMMYFUNCTION("GOOGLETRANSLATE(A42780, ""de"", ""en"")"),"masseria")</f>
        <v>masseria</v>
      </c>
    </row>
    <row r="42781">
      <c r="A42781" s="1" t="s">
        <v>42780</v>
      </c>
      <c r="B42781" s="2" t="str">
        <f>IFERROR(__xludf.DUMMYFUNCTION("GOOGLETRANSLATE(A42781, ""de"", ""en"")"),"crank")</f>
        <v>crank</v>
      </c>
    </row>
    <row r="42782">
      <c r="A42782" s="1" t="s">
        <v>42781</v>
      </c>
      <c r="B42782" s="2" t="str">
        <f>IFERROR(__xludf.DUMMYFUNCTION("GOOGLETRANSLATE(A42782, ""de"", ""en"")"),"cellmate")</f>
        <v>cellmate</v>
      </c>
    </row>
    <row r="42783">
      <c r="A42783" s="1" t="s">
        <v>42782</v>
      </c>
      <c r="B42783" s="2" t="str">
        <f>IFERROR(__xludf.DUMMYFUNCTION("GOOGLETRANSLATE(A42783, ""de"", ""en"")"),"paper clip")</f>
        <v>paper clip</v>
      </c>
    </row>
    <row r="42784">
      <c r="A42784" s="1" t="s">
        <v>42783</v>
      </c>
      <c r="B42784" s="2" t="str">
        <f>IFERROR(__xludf.DUMMYFUNCTION("GOOGLETRANSLATE(A42784, ""de"", ""en"")"),"resi")</f>
        <v>resi</v>
      </c>
    </row>
    <row r="42785">
      <c r="A42785" s="1" t="s">
        <v>42784</v>
      </c>
      <c r="B42785" s="2" t="str">
        <f>IFERROR(__xludf.DUMMYFUNCTION("GOOGLETRANSLATE(A42785, ""de"", ""en"")"),"padma")</f>
        <v>padma</v>
      </c>
    </row>
    <row r="42786">
      <c r="A42786" s="1" t="s">
        <v>42785</v>
      </c>
      <c r="B42786" s="2" t="str">
        <f>IFERROR(__xludf.DUMMYFUNCTION("GOOGLETRANSLATE(A42786, ""de"", ""en"")"),"agreement")</f>
        <v>agreement</v>
      </c>
    </row>
    <row r="42787">
      <c r="A42787" s="1" t="s">
        <v>42786</v>
      </c>
      <c r="B42787" s="2" t="str">
        <f>IFERROR(__xludf.DUMMYFUNCTION("GOOGLETRANSLATE(A42787, ""de"", ""en"")"),"expand")</f>
        <v>expand</v>
      </c>
    </row>
    <row r="42788">
      <c r="A42788" s="1" t="s">
        <v>42787</v>
      </c>
      <c r="B42788" s="2" t="str">
        <f>IFERROR(__xludf.DUMMYFUNCTION("GOOGLETRANSLATE(A42788, ""de"", ""en"")"),"Donna")</f>
        <v>Donna</v>
      </c>
    </row>
    <row r="42789">
      <c r="A42789" s="1" t="s">
        <v>42788</v>
      </c>
      <c r="B42789" s="2" t="str">
        <f>IFERROR(__xludf.DUMMYFUNCTION("GOOGLETRANSLATE(A42789, ""de"", ""en"")"),"lobster")</f>
        <v>lobster</v>
      </c>
    </row>
    <row r="42790">
      <c r="A42790" s="1" t="s">
        <v>42789</v>
      </c>
      <c r="B42790" s="2" t="str">
        <f>IFERROR(__xludf.DUMMYFUNCTION("GOOGLETRANSLATE(A42790, ""de"", ""en"")"),"co-pilot")</f>
        <v>co-pilot</v>
      </c>
    </row>
    <row r="42791">
      <c r="A42791" s="1" t="s">
        <v>42790</v>
      </c>
      <c r="B42791" s="2" t="str">
        <f>IFERROR(__xludf.DUMMYFUNCTION("GOOGLETRANSLATE(A42791, ""de"", ""en"")"),"tortured")</f>
        <v>tortured</v>
      </c>
    </row>
    <row r="42792">
      <c r="A42792" s="1" t="s">
        <v>42791</v>
      </c>
      <c r="B42792" s="2" t="str">
        <f>IFERROR(__xludf.DUMMYFUNCTION("GOOGLETRANSLATE(A42792, ""de"", ""en"")"),"r-two")</f>
        <v>r-two</v>
      </c>
    </row>
    <row r="42793">
      <c r="A42793" s="1" t="s">
        <v>42792</v>
      </c>
      <c r="B42793" s="2" t="str">
        <f>IFERROR(__xludf.DUMMYFUNCTION("GOOGLETRANSLATE(A42793, ""de"", ""en"")"),"spirit world")</f>
        <v>spirit world</v>
      </c>
    </row>
    <row r="42794">
      <c r="A42794" s="1" t="s">
        <v>42793</v>
      </c>
      <c r="B42794" s="2" t="str">
        <f>IFERROR(__xludf.DUMMYFUNCTION("GOOGLETRANSLATE(A42794, ""de"", ""en"")"),"sanne")</f>
        <v>sanne</v>
      </c>
    </row>
    <row r="42795">
      <c r="A42795" s="1" t="s">
        <v>42794</v>
      </c>
      <c r="B42795" s="2" t="str">
        <f>IFERROR(__xludf.DUMMYFUNCTION("GOOGLETRANSLATE(A42795, ""de"", ""en"")"),"pancake")</f>
        <v>pancake</v>
      </c>
    </row>
    <row r="42796">
      <c r="A42796" s="1" t="s">
        <v>42795</v>
      </c>
      <c r="B42796" s="2" t="str">
        <f>IFERROR(__xludf.DUMMYFUNCTION("GOOGLETRANSLATE(A42796, ""de"", ""en"")"),"karens")</f>
        <v>karens</v>
      </c>
    </row>
    <row r="42797">
      <c r="A42797" s="1" t="s">
        <v>42796</v>
      </c>
      <c r="B42797" s="2" t="str">
        <f>IFERROR(__xludf.DUMMYFUNCTION("GOOGLETRANSLATE(A42797, ""de"", ""en"")"),"more delicious")</f>
        <v>more delicious</v>
      </c>
    </row>
    <row r="42798">
      <c r="A42798" s="1" t="s">
        <v>42797</v>
      </c>
      <c r="B42798" s="2" t="str">
        <f>IFERROR(__xludf.DUMMYFUNCTION("GOOGLETRANSLATE(A42798, ""de"", ""en"")"),"attributed")</f>
        <v>attributed</v>
      </c>
    </row>
    <row r="42799">
      <c r="A42799" s="1" t="s">
        <v>42798</v>
      </c>
      <c r="B42799" s="2" t="str">
        <f>IFERROR(__xludf.DUMMYFUNCTION("GOOGLETRANSLATE(A42799, ""de"", ""en"")"),"northumberland")</f>
        <v>northumberland</v>
      </c>
    </row>
    <row r="42800">
      <c r="A42800" s="1" t="s">
        <v>42799</v>
      </c>
      <c r="B42800" s="2" t="str">
        <f>IFERROR(__xludf.DUMMYFUNCTION("GOOGLETRANSLATE(A42800, ""de"", ""en"")"),"chandier")</f>
        <v>chandier</v>
      </c>
    </row>
    <row r="42801">
      <c r="A42801" s="1" t="s">
        <v>42800</v>
      </c>
      <c r="B42801" s="2" t="str">
        <f>IFERROR(__xludf.DUMMYFUNCTION("GOOGLETRANSLATE(A42801, ""de"", ""en"")"),"collector's item")</f>
        <v>collector's item</v>
      </c>
    </row>
    <row r="42802">
      <c r="A42802" s="1" t="s">
        <v>42801</v>
      </c>
      <c r="B42802" s="2" t="str">
        <f>IFERROR(__xludf.DUMMYFUNCTION("GOOGLETRANSLATE(A42802, ""de"", ""en"")"),"seiji")</f>
        <v>seiji</v>
      </c>
    </row>
    <row r="42803">
      <c r="A42803" s="1" t="s">
        <v>42802</v>
      </c>
      <c r="B42803" s="2" t="str">
        <f>IFERROR(__xludf.DUMMYFUNCTION("GOOGLETRANSLATE(A42803, ""de"", ""en"")"),"airways")</f>
        <v>airways</v>
      </c>
    </row>
    <row r="42804">
      <c r="A42804" s="1" t="s">
        <v>42803</v>
      </c>
      <c r="B42804" s="2" t="str">
        <f>IFERROR(__xludf.DUMMYFUNCTION("GOOGLETRANSLATE(A42804, ""de"", ""en"")"),"unauthorized")</f>
        <v>unauthorized</v>
      </c>
    </row>
    <row r="42805">
      <c r="A42805" s="1" t="s">
        <v>42804</v>
      </c>
      <c r="B42805" s="2" t="str">
        <f>IFERROR(__xludf.DUMMYFUNCTION("GOOGLETRANSLATE(A42805, ""de"", ""en"")"),"doge")</f>
        <v>doge</v>
      </c>
    </row>
    <row r="42806">
      <c r="A42806" s="1" t="s">
        <v>42805</v>
      </c>
      <c r="B42806" s="2" t="str">
        <f>IFERROR(__xludf.DUMMYFUNCTION("GOOGLETRANSLATE(A42806, ""de"", ""en"")"),"rebel")</f>
        <v>rebel</v>
      </c>
    </row>
    <row r="42807">
      <c r="A42807" s="1" t="s">
        <v>42806</v>
      </c>
      <c r="B42807" s="2" t="str">
        <f>IFERROR(__xludf.DUMMYFUNCTION("GOOGLETRANSLATE(A42807, ""de"", ""en"")"),"more bitter")</f>
        <v>more bitter</v>
      </c>
    </row>
    <row r="42808">
      <c r="A42808" s="1" t="s">
        <v>42807</v>
      </c>
      <c r="B42808" s="2" t="str">
        <f>IFERROR(__xludf.DUMMYFUNCTION("GOOGLETRANSLATE(A42808, ""de"", ""en"")"),"shoveled")</f>
        <v>shoveled</v>
      </c>
    </row>
    <row r="42809">
      <c r="A42809" s="1" t="s">
        <v>42808</v>
      </c>
      <c r="B42809" s="2" t="str">
        <f>IFERROR(__xludf.DUMMYFUNCTION("GOOGLETRANSLATE(A42809, ""de"", ""en"")"),"jebediah")</f>
        <v>jebediah</v>
      </c>
    </row>
    <row r="42810">
      <c r="A42810" s="1" t="s">
        <v>42809</v>
      </c>
      <c r="B42810" s="2" t="str">
        <f>IFERROR(__xludf.DUMMYFUNCTION("GOOGLETRANSLATE(A42810, ""de"", ""en"")"),"drops")</f>
        <v>drops</v>
      </c>
    </row>
    <row r="42811">
      <c r="A42811" s="1" t="s">
        <v>42810</v>
      </c>
      <c r="B42811" s="2" t="str">
        <f>IFERROR(__xludf.DUMMYFUNCTION("GOOGLETRANSLATE(A42811, ""de"", ""en"")"),"facial features")</f>
        <v>facial features</v>
      </c>
    </row>
    <row r="42812">
      <c r="A42812" s="1" t="s">
        <v>42811</v>
      </c>
      <c r="B42812" s="2" t="str">
        <f>IFERROR(__xludf.DUMMYFUNCTION("GOOGLETRANSLATE(A42812, ""de"", ""en"")"),"hornblower")</f>
        <v>hornblower</v>
      </c>
    </row>
    <row r="42813">
      <c r="A42813" s="1" t="s">
        <v>42812</v>
      </c>
      <c r="B42813" s="2" t="str">
        <f>IFERROR(__xludf.DUMMYFUNCTION("GOOGLETRANSLATE(A42813, ""de"", ""en"")"),"Schmitthenner")</f>
        <v>Schmitthenner</v>
      </c>
    </row>
    <row r="42814">
      <c r="A42814" s="1" t="s">
        <v>42813</v>
      </c>
      <c r="B42814" s="2" t="str">
        <f>IFERROR(__xludf.DUMMYFUNCTION("GOOGLETRANSLATE(A42814, ""de"", ""en"")"),"tian")</f>
        <v>tian</v>
      </c>
    </row>
    <row r="42815">
      <c r="A42815" s="1" t="s">
        <v>42814</v>
      </c>
      <c r="B42815" s="2" t="str">
        <f>IFERROR(__xludf.DUMMYFUNCTION("GOOGLETRANSLATE(A42815, ""de"", ""en"")"),"ornament")</f>
        <v>ornament</v>
      </c>
    </row>
    <row r="42816">
      <c r="A42816" s="1" t="s">
        <v>42815</v>
      </c>
      <c r="B42816" s="2" t="str">
        <f>IFERROR(__xludf.DUMMYFUNCTION("GOOGLETRANSLATE(A42816, ""de"", ""en"")"),"more artistic")</f>
        <v>more artistic</v>
      </c>
    </row>
    <row r="42817">
      <c r="A42817" s="1" t="s">
        <v>42816</v>
      </c>
      <c r="B42817" s="2" t="str">
        <f>IFERROR(__xludf.DUMMYFUNCTION("GOOGLETRANSLATE(A42817, ""de"", ""en"")"),"salons")</f>
        <v>salons</v>
      </c>
    </row>
    <row r="42818">
      <c r="A42818" s="1" t="s">
        <v>42817</v>
      </c>
      <c r="B42818" s="2" t="str">
        <f>IFERROR(__xludf.DUMMYFUNCTION("GOOGLETRANSLATE(A42818, ""de"", ""en"")"),"die")</f>
        <v>die</v>
      </c>
    </row>
    <row r="42819">
      <c r="A42819" s="1" t="s">
        <v>42818</v>
      </c>
      <c r="B42819" s="2" t="str">
        <f>IFERROR(__xludf.DUMMYFUNCTION("GOOGLETRANSLATE(A42819, ""de"", ""en"")"),"infusions")</f>
        <v>infusions</v>
      </c>
    </row>
    <row r="42820">
      <c r="A42820" s="1" t="s">
        <v>42819</v>
      </c>
      <c r="B42820" s="2" t="str">
        <f>IFERROR(__xludf.DUMMYFUNCTION("GOOGLETRANSLATE(A42820, ""de"", ""en"")"),"cleaning products")</f>
        <v>cleaning products</v>
      </c>
    </row>
    <row r="42821">
      <c r="A42821" s="1" t="s">
        <v>42820</v>
      </c>
      <c r="B42821" s="2" t="str">
        <f>IFERROR(__xludf.DUMMYFUNCTION("GOOGLETRANSLATE(A42821, ""de"", ""en"")"),"constructive")</f>
        <v>constructive</v>
      </c>
    </row>
    <row r="42822">
      <c r="A42822" s="1" t="s">
        <v>42821</v>
      </c>
      <c r="B42822" s="2" t="str">
        <f>IFERROR(__xludf.DUMMYFUNCTION("GOOGLETRANSLATE(A42822, ""de"", ""en"")"),"lower")</f>
        <v>lower</v>
      </c>
    </row>
    <row r="42823">
      <c r="A42823" s="1" t="s">
        <v>42822</v>
      </c>
      <c r="B42823" s="2" t="str">
        <f>IFERROR(__xludf.DUMMYFUNCTION("GOOGLETRANSLATE(A42823, ""de"", ""en"")"),"magician")</f>
        <v>magician</v>
      </c>
    </row>
    <row r="42824">
      <c r="A42824" s="1" t="s">
        <v>42823</v>
      </c>
      <c r="B42824" s="2" t="str">
        <f>IFERROR(__xludf.DUMMYFUNCTION("GOOGLETRANSLATE(A42824, ""de"", ""en"")"),"photograph")</f>
        <v>photograph</v>
      </c>
    </row>
    <row r="42825">
      <c r="A42825" s="1" t="s">
        <v>42824</v>
      </c>
      <c r="B42825" s="2" t="str">
        <f>IFERROR(__xludf.DUMMYFUNCTION("GOOGLETRANSLATE(A42825, ""de"", ""en"")"),"Pfaffe")</f>
        <v>Pfaffe</v>
      </c>
    </row>
    <row r="42826">
      <c r="A42826" s="1" t="s">
        <v>42825</v>
      </c>
      <c r="B42826" s="2" t="str">
        <f>IFERROR(__xludf.DUMMYFUNCTION("GOOGLETRANSLATE(A42826, ""de"", ""en"")"),"mashed potatoes")</f>
        <v>mashed potatoes</v>
      </c>
    </row>
    <row r="42827">
      <c r="A42827" s="1" t="s">
        <v>42826</v>
      </c>
      <c r="B42827" s="2" t="str">
        <f>IFERROR(__xludf.DUMMYFUNCTION("GOOGLETRANSLATE(A42827, ""de"", ""en"")"),"lint")</f>
        <v>lint</v>
      </c>
    </row>
    <row r="42828">
      <c r="A42828" s="1" t="s">
        <v>42827</v>
      </c>
      <c r="B42828" s="2" t="str">
        <f>IFERROR(__xludf.DUMMYFUNCTION("GOOGLETRANSLATE(A42828, ""de"", ""en"")"),"Constanze")</f>
        <v>Constanze</v>
      </c>
    </row>
    <row r="42829">
      <c r="A42829" s="1" t="s">
        <v>42828</v>
      </c>
      <c r="B42829" s="2" t="str">
        <f>IFERROR(__xludf.DUMMYFUNCTION("GOOGLETRANSLATE(A42829, ""de"", ""en"")"),"threatening")</f>
        <v>threatening</v>
      </c>
    </row>
    <row r="42830">
      <c r="A42830" s="1" t="s">
        <v>42829</v>
      </c>
      <c r="B42830" s="2" t="str">
        <f>IFERROR(__xludf.DUMMYFUNCTION("GOOGLETRANSLATE(A42830, ""de"", ""en"")"),"shepherds")</f>
        <v>shepherds</v>
      </c>
    </row>
    <row r="42831">
      <c r="A42831" s="1" t="s">
        <v>42830</v>
      </c>
      <c r="B42831" s="2" t="str">
        <f>IFERROR(__xludf.DUMMYFUNCTION("GOOGLETRANSLATE(A42831, ""de"", ""en"")"),"cut out")</f>
        <v>cut out</v>
      </c>
    </row>
    <row r="42832">
      <c r="A42832" s="1" t="s">
        <v>42831</v>
      </c>
      <c r="B42832" s="2" t="str">
        <f>IFERROR(__xludf.DUMMYFUNCTION("GOOGLETRANSLATE(A42832, ""de"", ""en"")"),"to lift up")</f>
        <v>to lift up</v>
      </c>
    </row>
    <row r="42833">
      <c r="A42833" s="1" t="s">
        <v>42832</v>
      </c>
      <c r="B42833" s="2" t="str">
        <f>IFERROR(__xludf.DUMMYFUNCTION("GOOGLETRANSLATE(A42833, ""de"", ""en"")"),"colvin")</f>
        <v>colvin</v>
      </c>
    </row>
    <row r="42834">
      <c r="A42834" s="1" t="s">
        <v>42833</v>
      </c>
      <c r="B42834" s="2" t="str">
        <f>IFERROR(__xludf.DUMMYFUNCTION("GOOGLETRANSLATE(A42834, ""de"", ""en"")"),"city ​​hall")</f>
        <v>city ​​hall</v>
      </c>
    </row>
    <row r="42835">
      <c r="A42835" s="1" t="s">
        <v>42834</v>
      </c>
      <c r="B42835" s="2" t="str">
        <f>IFERROR(__xludf.DUMMYFUNCTION("GOOGLETRANSLATE(A42835, ""de"", ""en"")"),"powerless")</f>
        <v>powerless</v>
      </c>
    </row>
    <row r="42836">
      <c r="A42836" s="1" t="s">
        <v>42835</v>
      </c>
      <c r="B42836" s="2" t="str">
        <f>IFERROR(__xludf.DUMMYFUNCTION("GOOGLETRANSLATE(A42836, ""de"", ""en"")"),"low")</f>
        <v>low</v>
      </c>
    </row>
    <row r="42837">
      <c r="A42837" s="1" t="s">
        <v>42836</v>
      </c>
      <c r="B42837" s="2" t="str">
        <f>IFERROR(__xludf.DUMMYFUNCTION("GOOGLETRANSLATE(A42837, ""de"", ""en"")"),"Judaea")</f>
        <v>Judaea</v>
      </c>
    </row>
    <row r="42838">
      <c r="A42838" s="1" t="s">
        <v>42837</v>
      </c>
      <c r="B42838" s="2" t="str">
        <f>IFERROR(__xludf.DUMMYFUNCTION("GOOGLETRANSLATE(A42838, ""de"", ""en"")"),"sadistic")</f>
        <v>sadistic</v>
      </c>
    </row>
    <row r="42839">
      <c r="A42839" s="1" t="s">
        <v>42838</v>
      </c>
      <c r="B42839" s="2" t="str">
        <f>IFERROR(__xludf.DUMMYFUNCTION("GOOGLETRANSLATE(A42839, ""de"", ""en"")"),"more spontaneous")</f>
        <v>more spontaneous</v>
      </c>
    </row>
    <row r="42840">
      <c r="A42840" s="1" t="s">
        <v>42839</v>
      </c>
      <c r="B42840" s="2" t="str">
        <f>IFERROR(__xludf.DUMMYFUNCTION("GOOGLETRANSLATE(A42840, ""de"", ""en"")"),"join together")</f>
        <v>join together</v>
      </c>
    </row>
    <row r="42841">
      <c r="A42841" s="1" t="s">
        <v>42840</v>
      </c>
      <c r="B42841" s="2" t="str">
        <f>IFERROR(__xludf.DUMMYFUNCTION("GOOGLETRANSLATE(A42841, ""de"", ""en"")"),"surf")</f>
        <v>surf</v>
      </c>
    </row>
    <row r="42842">
      <c r="A42842" s="1" t="s">
        <v>42841</v>
      </c>
      <c r="B42842" s="2" t="str">
        <f>IFERROR(__xludf.DUMMYFUNCTION("GOOGLETRANSLATE(A42842, ""de"", ""en"")"),"bricks")</f>
        <v>bricks</v>
      </c>
    </row>
    <row r="42843">
      <c r="A42843" s="1" t="s">
        <v>42842</v>
      </c>
      <c r="B42843" s="2" t="str">
        <f>IFERROR(__xludf.DUMMYFUNCTION("GOOGLETRANSLATE(A42843, ""de"", ""en"")"),"to go under")</f>
        <v>to go under</v>
      </c>
    </row>
    <row r="42844">
      <c r="A42844" s="1" t="s">
        <v>42843</v>
      </c>
      <c r="B42844" s="2" t="str">
        <f>IFERROR(__xludf.DUMMYFUNCTION("GOOGLETRANSLATE(A42844, ""de"", ""en"")"),"demolish")</f>
        <v>demolish</v>
      </c>
    </row>
    <row r="42845">
      <c r="A42845" s="1" t="s">
        <v>42844</v>
      </c>
      <c r="B42845" s="2" t="str">
        <f>IFERROR(__xludf.DUMMYFUNCTION("GOOGLETRANSLATE(A42845, ""de"", ""en"")"),"guess")</f>
        <v>guess</v>
      </c>
    </row>
    <row r="42846">
      <c r="A42846" s="1" t="s">
        <v>42845</v>
      </c>
      <c r="B42846" s="2" t="str">
        <f>IFERROR(__xludf.DUMMYFUNCTION("GOOGLETRANSLATE(A42846, ""de"", ""en"")"),"attack")</f>
        <v>attack</v>
      </c>
    </row>
    <row r="42847">
      <c r="A42847" s="1" t="s">
        <v>42846</v>
      </c>
      <c r="B42847" s="2" t="str">
        <f>IFERROR(__xludf.DUMMYFUNCTION("GOOGLETRANSLATE(A42847, ""de"", ""en"")"),"michael")</f>
        <v>michael</v>
      </c>
    </row>
    <row r="42848">
      <c r="A42848" s="1" t="s">
        <v>42847</v>
      </c>
      <c r="B42848" s="2" t="str">
        <f>IFERROR(__xludf.DUMMYFUNCTION("GOOGLETRANSLATE(A42848, ""de"", ""en"")"),"kicked out")</f>
        <v>kicked out</v>
      </c>
    </row>
    <row r="42849">
      <c r="A42849" s="1" t="s">
        <v>42848</v>
      </c>
      <c r="B42849" s="2" t="str">
        <f>IFERROR(__xludf.DUMMYFUNCTION("GOOGLETRANSLATE(A42849, ""de"", ""en"")"),"comin")</f>
        <v>comin</v>
      </c>
    </row>
    <row r="42850">
      <c r="A42850" s="1" t="s">
        <v>42849</v>
      </c>
      <c r="B42850" s="2" t="str">
        <f>IFERROR(__xludf.DUMMYFUNCTION("GOOGLETRANSLATE(A42850, ""de"", ""en"")"),"censors")</f>
        <v>censors</v>
      </c>
    </row>
    <row r="42851">
      <c r="A42851" s="1" t="s">
        <v>42850</v>
      </c>
      <c r="B42851" s="2" t="str">
        <f>IFERROR(__xludf.DUMMYFUNCTION("GOOGLETRANSLATE(A42851, ""de"", ""en"")"),"Blaise")</f>
        <v>Blaise</v>
      </c>
    </row>
    <row r="42852">
      <c r="A42852" s="1" t="s">
        <v>42851</v>
      </c>
      <c r="B42852" s="2" t="str">
        <f>IFERROR(__xludf.DUMMYFUNCTION("GOOGLETRANSLATE(A42852, ""de"", ""en"")"),"Klingon ship")</f>
        <v>Klingon ship</v>
      </c>
    </row>
    <row r="42853">
      <c r="A42853" s="1" t="s">
        <v>42852</v>
      </c>
      <c r="B42853" s="2" t="str">
        <f>IFERROR(__xludf.DUMMYFUNCTION("GOOGLETRANSLATE(A42853, ""de"", ""en"")"),"scores")</f>
        <v>scores</v>
      </c>
    </row>
    <row r="42854">
      <c r="A42854" s="1" t="s">
        <v>42853</v>
      </c>
      <c r="B42854" s="2" t="str">
        <f>IFERROR(__xludf.DUMMYFUNCTION("GOOGLETRANSLATE(A42854, ""de"", ""en"")"),"environmental protection")</f>
        <v>environmental protection</v>
      </c>
    </row>
    <row r="42855">
      <c r="A42855" s="1" t="s">
        <v>42854</v>
      </c>
      <c r="B42855" s="2" t="str">
        <f>IFERROR(__xludf.DUMMYFUNCTION("GOOGLETRANSLATE(A42855, ""de"", ""en"")"),"tackled")</f>
        <v>tackled</v>
      </c>
    </row>
    <row r="42856">
      <c r="A42856" s="1" t="s">
        <v>42855</v>
      </c>
      <c r="B42856" s="2" t="str">
        <f>IFERROR(__xludf.DUMMYFUNCTION("GOOGLETRANSLATE(A42856, ""de"", ""en"")"),"singleton")</f>
        <v>singleton</v>
      </c>
    </row>
    <row r="42857">
      <c r="A42857" s="1" t="s">
        <v>42856</v>
      </c>
      <c r="B42857" s="2" t="str">
        <f>IFERROR(__xludf.DUMMYFUNCTION("GOOGLETRANSLATE(A42857, ""de"", ""en"")"),"Zachariah")</f>
        <v>Zachariah</v>
      </c>
    </row>
    <row r="42858">
      <c r="A42858" s="1" t="s">
        <v>42857</v>
      </c>
      <c r="B42858" s="2" t="str">
        <f>IFERROR(__xludf.DUMMYFUNCTION("GOOGLETRANSLATE(A42858, ""de"", ""en"")"),"fighting style")</f>
        <v>fighting style</v>
      </c>
    </row>
    <row r="42859">
      <c r="A42859" s="1" t="s">
        <v>42858</v>
      </c>
      <c r="B42859" s="2" t="str">
        <f>IFERROR(__xludf.DUMMYFUNCTION("GOOGLETRANSLATE(A42859, ""de"", ""en"")"),"complete")</f>
        <v>complete</v>
      </c>
    </row>
    <row r="42860">
      <c r="A42860" s="1" t="s">
        <v>42859</v>
      </c>
      <c r="B42860" s="2" t="str">
        <f>IFERROR(__xludf.DUMMYFUNCTION("GOOGLETRANSLATE(A42860, ""de"", ""en"")"),"superpowers")</f>
        <v>superpowers</v>
      </c>
    </row>
    <row r="42861">
      <c r="A42861" s="1" t="s">
        <v>42860</v>
      </c>
      <c r="B42861" s="2" t="str">
        <f>IFERROR(__xludf.DUMMYFUNCTION("GOOGLETRANSLATE(A42861, ""de"", ""en"")"),"fema")</f>
        <v>fema</v>
      </c>
    </row>
    <row r="42862">
      <c r="A42862" s="1" t="s">
        <v>42861</v>
      </c>
      <c r="B42862" s="2" t="str">
        <f>IFERROR(__xludf.DUMMYFUNCTION("GOOGLETRANSLATE(A42862, ""de"", ""en"")"),"sir")</f>
        <v>sir</v>
      </c>
    </row>
    <row r="42863">
      <c r="A42863" s="1" t="s">
        <v>42862</v>
      </c>
      <c r="B42863" s="2" t="str">
        <f>IFERROR(__xludf.DUMMYFUNCTION("GOOGLETRANSLATE(A42863, ""de"", ""en"")"),"normalized")</f>
        <v>normalized</v>
      </c>
    </row>
    <row r="42864">
      <c r="A42864" s="1" t="s">
        <v>42863</v>
      </c>
      <c r="B42864" s="2" t="str">
        <f>IFERROR(__xludf.DUMMYFUNCTION("GOOGLETRANSLATE(A42864, ""de"", ""en"")"),"resistance")</f>
        <v>resistance</v>
      </c>
    </row>
    <row r="42865">
      <c r="A42865" s="1" t="s">
        <v>42864</v>
      </c>
      <c r="B42865" s="2" t="str">
        <f>IFERROR(__xludf.DUMMYFUNCTION("GOOGLETRANSLATE(A42865, ""de"", ""en"")"),"parr")</f>
        <v>parr</v>
      </c>
    </row>
    <row r="42866">
      <c r="A42866" s="1" t="s">
        <v>42865</v>
      </c>
      <c r="B42866" s="2" t="str">
        <f>IFERROR(__xludf.DUMMYFUNCTION("GOOGLETRANSLATE(A42866, ""de"", ""en"")"),"hanger")</f>
        <v>hanger</v>
      </c>
    </row>
    <row r="42867">
      <c r="A42867" s="1" t="s">
        <v>42866</v>
      </c>
      <c r="B42867" s="2" t="str">
        <f>IFERROR(__xludf.DUMMYFUNCTION("GOOGLETRANSLATE(A42867, ""de"", ""en"")"),"withered")</f>
        <v>withered</v>
      </c>
    </row>
    <row r="42868">
      <c r="A42868" s="1" t="s">
        <v>42867</v>
      </c>
      <c r="B42868" s="2" t="str">
        <f>IFERROR(__xludf.DUMMYFUNCTION("GOOGLETRANSLATE(A42868, ""de"", ""en"")"),"lemon juice")</f>
        <v>lemon juice</v>
      </c>
    </row>
    <row r="42869">
      <c r="A42869" s="1" t="s">
        <v>42868</v>
      </c>
      <c r="B42869" s="2" t="str">
        <f>IFERROR(__xludf.DUMMYFUNCTION("GOOGLETRANSLATE(A42869, ""de"", ""en"")"),"cleans up")</f>
        <v>cleans up</v>
      </c>
    </row>
    <row r="42870">
      <c r="A42870" s="1" t="s">
        <v>42869</v>
      </c>
      <c r="B42870" s="2" t="str">
        <f>IFERROR(__xludf.DUMMYFUNCTION("GOOGLETRANSLATE(A42870, ""de"", ""en"")"),"unrestricted")</f>
        <v>unrestricted</v>
      </c>
    </row>
    <row r="42871">
      <c r="A42871" s="1" t="s">
        <v>42870</v>
      </c>
      <c r="B42871" s="2" t="str">
        <f>IFERROR(__xludf.DUMMYFUNCTION("GOOGLETRANSLATE(A42871, ""de"", ""en"")"),"came back")</f>
        <v>came back</v>
      </c>
    </row>
    <row r="42872">
      <c r="A42872" s="1" t="s">
        <v>42871</v>
      </c>
      <c r="B42872" s="2" t="str">
        <f>IFERROR(__xludf.DUMMYFUNCTION("GOOGLETRANSLATE(A42872, ""de"", ""en"")"),"graceland")</f>
        <v>graceland</v>
      </c>
    </row>
    <row r="42873">
      <c r="A42873" s="1" t="s">
        <v>42872</v>
      </c>
      <c r="B42873" s="2" t="str">
        <f>IFERROR(__xludf.DUMMYFUNCTION("GOOGLETRANSLATE(A42873, ""de"", ""en"")"),"led there")</f>
        <v>led there</v>
      </c>
    </row>
    <row r="42874">
      <c r="A42874" s="1" t="s">
        <v>42873</v>
      </c>
      <c r="B42874" s="2" t="str">
        <f>IFERROR(__xludf.DUMMYFUNCTION("GOOGLETRANSLATE(A42874, ""de"", ""en"")"),"destructive")</f>
        <v>destructive</v>
      </c>
    </row>
    <row r="42875">
      <c r="A42875" s="1" t="s">
        <v>42874</v>
      </c>
      <c r="B42875" s="2" t="str">
        <f>IFERROR(__xludf.DUMMYFUNCTION("GOOGLETRANSLATE(A42875, ""de"", ""en"")"),"puked")</f>
        <v>puked</v>
      </c>
    </row>
    <row r="42876">
      <c r="A42876" s="1" t="s">
        <v>42875</v>
      </c>
      <c r="B42876" s="2" t="str">
        <f>IFERROR(__xludf.DUMMYFUNCTION("GOOGLETRANSLATE(A42876, ""de"", ""en"")"),"meehan")</f>
        <v>meehan</v>
      </c>
    </row>
    <row r="42877">
      <c r="A42877" s="1" t="s">
        <v>42876</v>
      </c>
      <c r="B42877" s="2" t="str">
        <f>IFERROR(__xludf.DUMMYFUNCTION("GOOGLETRANSLATE(A42877, ""de"", ""en"")"),"shame")</f>
        <v>shame</v>
      </c>
    </row>
    <row r="42878">
      <c r="A42878" s="1" t="s">
        <v>42877</v>
      </c>
      <c r="B42878" s="2" t="str">
        <f>IFERROR(__xludf.DUMMYFUNCTION("GOOGLETRANSLATE(A42878, ""de"", ""en"")"),"partner")</f>
        <v>partner</v>
      </c>
    </row>
    <row r="42879">
      <c r="A42879" s="1" t="s">
        <v>42878</v>
      </c>
      <c r="B42879" s="2" t="str">
        <f>IFERROR(__xludf.DUMMYFUNCTION("GOOGLETRANSLATE(A42879, ""de"", ""en"")"),"cartoon")</f>
        <v>cartoon</v>
      </c>
    </row>
    <row r="42880">
      <c r="A42880" s="1" t="s">
        <v>42879</v>
      </c>
      <c r="B42880" s="2" t="str">
        <f>IFERROR(__xludf.DUMMYFUNCTION("GOOGLETRANSLATE(A42880, ""de"", ""en"")"),"kodai")</f>
        <v>kodai</v>
      </c>
    </row>
    <row r="42881">
      <c r="A42881" s="1" t="s">
        <v>42880</v>
      </c>
      <c r="B42881" s="2" t="str">
        <f>IFERROR(__xludf.DUMMYFUNCTION("GOOGLETRANSLATE(A42881, ""de"", ""en"")"),"quax")</f>
        <v>quax</v>
      </c>
    </row>
    <row r="42882">
      <c r="A42882" s="1" t="s">
        <v>42881</v>
      </c>
      <c r="B42882" s="2" t="str">
        <f>IFERROR(__xludf.DUMMYFUNCTION("GOOGLETRANSLATE(A42882, ""de"", ""en"")"),"filmed")</f>
        <v>filmed</v>
      </c>
    </row>
    <row r="42883">
      <c r="A42883" s="1" t="s">
        <v>42882</v>
      </c>
      <c r="B42883" s="2" t="str">
        <f>IFERROR(__xludf.DUMMYFUNCTION("GOOGLETRANSLATE(A42883, ""de"", ""en"")"),"dreyfus")</f>
        <v>dreyfus</v>
      </c>
    </row>
    <row r="42884">
      <c r="A42884" s="1" t="s">
        <v>42883</v>
      </c>
      <c r="B42884" s="2" t="str">
        <f>IFERROR(__xludf.DUMMYFUNCTION("GOOGLETRANSLATE(A42884, ""de"", ""en"")"),"screams")</f>
        <v>screams</v>
      </c>
    </row>
    <row r="42885">
      <c r="A42885" s="1" t="s">
        <v>42884</v>
      </c>
      <c r="B42885" s="2" t="str">
        <f>IFERROR(__xludf.DUMMYFUNCTION("GOOGLETRANSLATE(A42885, ""de"", ""en"")"),"liana")</f>
        <v>liana</v>
      </c>
    </row>
    <row r="42886">
      <c r="A42886" s="1" t="s">
        <v>42885</v>
      </c>
      <c r="B42886" s="2" t="str">
        <f>IFERROR(__xludf.DUMMYFUNCTION("GOOGLETRANSLATE(A42886, ""de"", ""en"")"),"symmetrical")</f>
        <v>symmetrical</v>
      </c>
    </row>
    <row r="42887">
      <c r="A42887" s="1" t="s">
        <v>42886</v>
      </c>
      <c r="B42887" s="2" t="str">
        <f>IFERROR(__xludf.DUMMYFUNCTION("GOOGLETRANSLATE(A42887, ""de"", ""en"")"),"sat there")</f>
        <v>sat there</v>
      </c>
    </row>
    <row r="42888">
      <c r="A42888" s="1" t="s">
        <v>42887</v>
      </c>
      <c r="B42888" s="2" t="str">
        <f>IFERROR(__xludf.DUMMYFUNCTION("GOOGLETRANSLATE(A42888, ""de"", ""en"")"),"Hartmut")</f>
        <v>Hartmut</v>
      </c>
    </row>
    <row r="42889">
      <c r="A42889" s="1" t="s">
        <v>42888</v>
      </c>
      <c r="B42889" s="2" t="str">
        <f>IFERROR(__xludf.DUMMYFUNCTION("GOOGLETRANSLATE(A42889, ""de"", ""en"")"),"on the")</f>
        <v>on the</v>
      </c>
    </row>
    <row r="42890">
      <c r="A42890" s="1" t="s">
        <v>42889</v>
      </c>
      <c r="B42890" s="2" t="str">
        <f>IFERROR(__xludf.DUMMYFUNCTION("GOOGLETRANSLATE(A42890, ""de"", ""en"")"),"revise")</f>
        <v>revise</v>
      </c>
    </row>
    <row r="42891">
      <c r="A42891" s="1" t="s">
        <v>42890</v>
      </c>
      <c r="B42891" s="2" t="str">
        <f>IFERROR(__xludf.DUMMYFUNCTION("GOOGLETRANSLATE(A42891, ""de"", ""en"")"),"yup")</f>
        <v>yup</v>
      </c>
    </row>
    <row r="42892">
      <c r="A42892" s="1" t="s">
        <v>42891</v>
      </c>
      <c r="B42892" s="2" t="str">
        <f>IFERROR(__xludf.DUMMYFUNCTION("GOOGLETRANSLATE(A42892, ""de"", ""en"")"),"lynly")</f>
        <v>lynly</v>
      </c>
    </row>
    <row r="42893">
      <c r="A42893" s="1" t="s">
        <v>42892</v>
      </c>
      <c r="B42893" s="2" t="str">
        <f>IFERROR(__xludf.DUMMYFUNCTION("GOOGLETRANSLATE(A42893, ""de"", ""en"")"),"drunkard")</f>
        <v>drunkard</v>
      </c>
    </row>
    <row r="42894">
      <c r="A42894" s="1" t="s">
        <v>42893</v>
      </c>
      <c r="B42894" s="2" t="str">
        <f>IFERROR(__xludf.DUMMYFUNCTION("GOOGLETRANSLATE(A42894, ""de"", ""en"")"),"respectable")</f>
        <v>respectable</v>
      </c>
    </row>
    <row r="42895">
      <c r="A42895" s="1" t="s">
        <v>42894</v>
      </c>
      <c r="B42895" s="2" t="str">
        <f>IFERROR(__xludf.DUMMYFUNCTION("GOOGLETRANSLATE(A42895, ""de"", ""en"")"),"shady")</f>
        <v>shady</v>
      </c>
    </row>
    <row r="42896">
      <c r="A42896" s="1" t="s">
        <v>42895</v>
      </c>
      <c r="B42896" s="2" t="str">
        <f>IFERROR(__xludf.DUMMYFUNCTION("GOOGLETRANSLATE(A42896, ""de"", ""en"")"),"sleep deprivation")</f>
        <v>sleep deprivation</v>
      </c>
    </row>
    <row r="42897">
      <c r="A42897" s="1" t="s">
        <v>42896</v>
      </c>
      <c r="B42897" s="2" t="str">
        <f>IFERROR(__xludf.DUMMYFUNCTION("GOOGLETRANSLATE(A42897, ""de"", ""en"")"),"falls down")</f>
        <v>falls down</v>
      </c>
    </row>
    <row r="42898">
      <c r="A42898" s="1" t="s">
        <v>42897</v>
      </c>
      <c r="B42898" s="2" t="str">
        <f>IFERROR(__xludf.DUMMYFUNCTION("GOOGLETRANSLATE(A42898, ""de"", ""en"")"),"barbra")</f>
        <v>barbra</v>
      </c>
    </row>
    <row r="42899">
      <c r="A42899" s="1" t="s">
        <v>42898</v>
      </c>
      <c r="B42899" s="2" t="str">
        <f>IFERROR(__xludf.DUMMYFUNCTION("GOOGLETRANSLATE(A42899, ""de"", ""en"")"),"crazy idea")</f>
        <v>crazy idea</v>
      </c>
    </row>
    <row r="42900">
      <c r="A42900" s="1" t="s">
        <v>42899</v>
      </c>
      <c r="B42900" s="2" t="str">
        <f>IFERROR(__xludf.DUMMYFUNCTION("GOOGLETRANSLATE(A42900, ""de"", ""en"")"),"vehicle registration document")</f>
        <v>vehicle registration document</v>
      </c>
    </row>
    <row r="42901">
      <c r="A42901" s="1" t="s">
        <v>42900</v>
      </c>
      <c r="B42901" s="2" t="str">
        <f>IFERROR(__xludf.DUMMYFUNCTION("GOOGLETRANSLATE(A42901, ""de"", ""en"")"),"caribou")</f>
        <v>caribou</v>
      </c>
    </row>
    <row r="42902">
      <c r="A42902" s="1" t="s">
        <v>42901</v>
      </c>
      <c r="B42902" s="2" t="str">
        <f>IFERROR(__xludf.DUMMYFUNCTION("GOOGLETRANSLATE(A42902, ""de"", ""en"")"),"boatwright")</f>
        <v>boatwright</v>
      </c>
    </row>
    <row r="42903">
      <c r="A42903" s="1" t="s">
        <v>42902</v>
      </c>
      <c r="B42903" s="2" t="str">
        <f>IFERROR(__xludf.DUMMYFUNCTION("GOOGLETRANSLATE(A42903, ""de"", ""en"")"),"amounts")</f>
        <v>amounts</v>
      </c>
    </row>
    <row r="42904">
      <c r="A42904" s="1" t="s">
        <v>42903</v>
      </c>
      <c r="B42904" s="2" t="str">
        <f>IFERROR(__xludf.DUMMYFUNCTION("GOOGLETRANSLATE(A42904, ""de"", ""en"")"),"select")</f>
        <v>select</v>
      </c>
    </row>
    <row r="42905">
      <c r="A42905" s="1" t="s">
        <v>42904</v>
      </c>
      <c r="B42905" s="2" t="str">
        <f>IFERROR(__xludf.DUMMYFUNCTION("GOOGLETRANSLATE(A42905, ""de"", ""en"")"),"youth-free")</f>
        <v>youth-free</v>
      </c>
    </row>
    <row r="42906">
      <c r="A42906" s="1" t="s">
        <v>42905</v>
      </c>
      <c r="B42906" s="2" t="str">
        <f>IFERROR(__xludf.DUMMYFUNCTION("GOOGLETRANSLATE(A42906, ""de"", ""en"")"),"penetrated")</f>
        <v>penetrated</v>
      </c>
    </row>
    <row r="42907">
      <c r="A42907" s="1" t="s">
        <v>42906</v>
      </c>
      <c r="B42907" s="2" t="str">
        <f>IFERROR(__xludf.DUMMYFUNCTION("GOOGLETRANSLATE(A42907, ""de"", ""en"")"),"lower jaw")</f>
        <v>lower jaw</v>
      </c>
    </row>
    <row r="42908">
      <c r="A42908" s="1" t="s">
        <v>42907</v>
      </c>
      <c r="B42908" s="2" t="str">
        <f>IFERROR(__xludf.DUMMYFUNCTION("GOOGLETRANSLATE(A42908, ""de"", ""en"")"),"resistant")</f>
        <v>resistant</v>
      </c>
    </row>
    <row r="42909">
      <c r="A42909" s="1" t="s">
        <v>42908</v>
      </c>
      <c r="B42909" s="2" t="str">
        <f>IFERROR(__xludf.DUMMYFUNCTION("GOOGLETRANSLATE(A42909, ""de"", ""en"")"),"sandman")</f>
        <v>sandman</v>
      </c>
    </row>
    <row r="42910">
      <c r="A42910" s="1" t="s">
        <v>42909</v>
      </c>
      <c r="B42910" s="2" t="str">
        <f>IFERROR(__xludf.DUMMYFUNCTION("GOOGLETRANSLATE(A42910, ""de"", ""en"")"),"mutual")</f>
        <v>mutual</v>
      </c>
    </row>
    <row r="42911">
      <c r="A42911" s="1" t="s">
        <v>42910</v>
      </c>
      <c r="B42911" s="2" t="str">
        <f>IFERROR(__xludf.DUMMYFUNCTION("GOOGLETRANSLATE(A42911, ""de"", ""en"")"),"fishing rod")</f>
        <v>fishing rod</v>
      </c>
    </row>
    <row r="42912">
      <c r="A42912" s="1" t="s">
        <v>42911</v>
      </c>
      <c r="B42912" s="2" t="str">
        <f>IFERROR(__xludf.DUMMYFUNCTION("GOOGLETRANSLATE(A42912, ""de"", ""en"")"),"moist")</f>
        <v>moist</v>
      </c>
    </row>
    <row r="42913">
      <c r="A42913" s="1" t="s">
        <v>42912</v>
      </c>
      <c r="B42913" s="2" t="str">
        <f>IFERROR(__xludf.DUMMYFUNCTION("GOOGLETRANSLATE(A42913, ""de"", ""en"")"),"killmer")</f>
        <v>killmer</v>
      </c>
    </row>
    <row r="42914">
      <c r="A42914" s="1" t="s">
        <v>42913</v>
      </c>
      <c r="B42914" s="2" t="str">
        <f>IFERROR(__xludf.DUMMYFUNCTION("GOOGLETRANSLATE(A42914, ""de"", ""en"")"),"whenke")</f>
        <v>whenke</v>
      </c>
    </row>
    <row r="42915">
      <c r="A42915" s="1" t="s">
        <v>42914</v>
      </c>
      <c r="B42915" s="2" t="str">
        <f>IFERROR(__xludf.DUMMYFUNCTION("GOOGLETRANSLATE(A42915, ""de"", ""en"")"),"stressful")</f>
        <v>stressful</v>
      </c>
    </row>
    <row r="42916">
      <c r="A42916" s="1" t="s">
        <v>42915</v>
      </c>
      <c r="B42916" s="2" t="str">
        <f>IFERROR(__xludf.DUMMYFUNCTION("GOOGLETRANSLATE(A42916, ""de"", ""en"")"),"correspondent")</f>
        <v>correspondent</v>
      </c>
    </row>
    <row r="42917">
      <c r="A42917" s="1" t="s">
        <v>42916</v>
      </c>
      <c r="B42917" s="2" t="str">
        <f>IFERROR(__xludf.DUMMYFUNCTION("GOOGLETRANSLATE(A42917, ""de"", ""en"")"),"guild")</f>
        <v>guild</v>
      </c>
    </row>
    <row r="42918">
      <c r="A42918" s="1" t="s">
        <v>42917</v>
      </c>
      <c r="B42918" s="2" t="str">
        <f>IFERROR(__xludf.DUMMYFUNCTION("GOOGLETRANSLATE(A42918, ""de"", ""en"")"),"here.")</f>
        <v>here.</v>
      </c>
    </row>
    <row r="42919">
      <c r="A42919" s="1" t="s">
        <v>42918</v>
      </c>
      <c r="B42919" s="2" t="str">
        <f>IFERROR(__xludf.DUMMYFUNCTION("GOOGLETRANSLATE(A42919, ""de"", ""en"")"),"tatis")</f>
        <v>tatis</v>
      </c>
    </row>
    <row r="42920">
      <c r="A42920" s="1" t="s">
        <v>42919</v>
      </c>
      <c r="B42920" s="2" t="str">
        <f>IFERROR(__xludf.DUMMYFUNCTION("GOOGLETRANSLATE(A42920, ""de"", ""en"")"),"baywatch")</f>
        <v>baywatch</v>
      </c>
    </row>
    <row r="42921">
      <c r="A42921" s="1" t="s">
        <v>42920</v>
      </c>
      <c r="B42921" s="2" t="str">
        <f>IFERROR(__xludf.DUMMYFUNCTION("GOOGLETRANSLATE(A42921, ""de"", ""en"")"),"highways")</f>
        <v>highways</v>
      </c>
    </row>
    <row r="42922">
      <c r="A42922" s="1" t="s">
        <v>42921</v>
      </c>
      <c r="B42922" s="2" t="str">
        <f>IFERROR(__xludf.DUMMYFUNCTION("GOOGLETRANSLATE(A42922, ""de"", ""en"")"),"Keitel")</f>
        <v>Keitel</v>
      </c>
    </row>
    <row r="42923">
      <c r="A42923" s="1" t="s">
        <v>42922</v>
      </c>
      <c r="B42923" s="2" t="str">
        <f>IFERROR(__xludf.DUMMYFUNCTION("GOOGLETRANSLATE(A42923, ""de"", ""en"")"),"four hundred")</f>
        <v>four hundred</v>
      </c>
    </row>
    <row r="42924">
      <c r="A42924" s="1" t="s">
        <v>42923</v>
      </c>
      <c r="B42924" s="2" t="str">
        <f>IFERROR(__xludf.DUMMYFUNCTION("GOOGLETRANSLATE(A42924, ""de"", ""en"")"),"weightless")</f>
        <v>weightless</v>
      </c>
    </row>
    <row r="42925">
      <c r="A42925" s="1" t="s">
        <v>42924</v>
      </c>
      <c r="B42925" s="2" t="str">
        <f>IFERROR(__xludf.DUMMYFUNCTION("GOOGLETRANSLATE(A42925, ""de"", ""en"")"),"mailer")</f>
        <v>mailer</v>
      </c>
    </row>
    <row r="42926">
      <c r="A42926" s="1" t="s">
        <v>42925</v>
      </c>
      <c r="B42926" s="2" t="str">
        <f>IFERROR(__xludf.DUMMYFUNCTION("GOOGLETRANSLATE(A42926, ""de"", ""en"")"),"Pauly")</f>
        <v>Pauly</v>
      </c>
    </row>
    <row r="42927">
      <c r="A42927" s="1" t="s">
        <v>42926</v>
      </c>
      <c r="B42927" s="2" t="str">
        <f>IFERROR(__xludf.DUMMYFUNCTION("GOOGLETRANSLATE(A42927, ""de"", ""en"")"),"falter")</f>
        <v>falter</v>
      </c>
    </row>
    <row r="42928">
      <c r="A42928" s="1" t="s">
        <v>42927</v>
      </c>
      <c r="B42928" s="2" t="str">
        <f>IFERROR(__xludf.DUMMYFUNCTION("GOOGLETRANSLATE(A42928, ""de"", ""en"")"),"10 year old")</f>
        <v>10 year old</v>
      </c>
    </row>
    <row r="42929">
      <c r="A42929" s="1" t="s">
        <v>42928</v>
      </c>
      <c r="B42929" s="2" t="str">
        <f>IFERROR(__xludf.DUMMYFUNCTION("GOOGLETRANSLATE(A42929, ""de"", ""en"")"),"Potsdam")</f>
        <v>Potsdam</v>
      </c>
    </row>
    <row r="42930">
      <c r="A42930" s="1" t="s">
        <v>42929</v>
      </c>
      <c r="B42930" s="2" t="str">
        <f>IFERROR(__xludf.DUMMYFUNCTION("GOOGLETRANSLATE(A42930, ""de"", ""en"")"),"aggressive")</f>
        <v>aggressive</v>
      </c>
    </row>
    <row r="42931">
      <c r="A42931" s="1" t="s">
        <v>42930</v>
      </c>
      <c r="B42931" s="2" t="str">
        <f>IFERROR(__xludf.DUMMYFUNCTION("GOOGLETRANSLATE(A42931, ""de"", ""en"")"),"went away")</f>
        <v>went away</v>
      </c>
    </row>
    <row r="42932">
      <c r="A42932" s="1" t="s">
        <v>42931</v>
      </c>
      <c r="B42932" s="2" t="str">
        <f>IFERROR(__xludf.DUMMYFUNCTION("GOOGLETRANSLATE(A42932, ""de"", ""en"")"),"octave")</f>
        <v>octave</v>
      </c>
    </row>
    <row r="42933">
      <c r="A42933" s="1" t="s">
        <v>42932</v>
      </c>
      <c r="B42933" s="2" t="str">
        <f>IFERROR(__xludf.DUMMYFUNCTION("GOOGLETRANSLATE(A42933, ""de"", ""en"")"),"braid")</f>
        <v>braid</v>
      </c>
    </row>
    <row r="42934">
      <c r="A42934" s="1" t="s">
        <v>42933</v>
      </c>
      <c r="B42934" s="2" t="str">
        <f>IFERROR(__xludf.DUMMYFUNCTION("GOOGLETRANSLATE(A42934, ""de"", ""en"")"),"aviation")</f>
        <v>aviation</v>
      </c>
    </row>
    <row r="42935">
      <c r="A42935" s="1" t="s">
        <v>42934</v>
      </c>
      <c r="B42935" s="2" t="str">
        <f>IFERROR(__xludf.DUMMYFUNCTION("GOOGLETRANSLATE(A42935, ""de"", ""en"")"),"lifebuoy")</f>
        <v>lifebuoy</v>
      </c>
    </row>
    <row r="42936">
      <c r="A42936" s="1" t="s">
        <v>42935</v>
      </c>
      <c r="B42936" s="2" t="str">
        <f>IFERROR(__xludf.DUMMYFUNCTION("GOOGLETRANSLATE(A42936, ""de"", ""en"")"),"tash")</f>
        <v>tash</v>
      </c>
    </row>
    <row r="42937">
      <c r="A42937" s="1" t="s">
        <v>42936</v>
      </c>
      <c r="B42937" s="2" t="str">
        <f>IFERROR(__xludf.DUMMYFUNCTION("GOOGLETRANSLATE(A42937, ""de"", ""en"")"),"contradictory")</f>
        <v>contradictory</v>
      </c>
    </row>
    <row r="42938">
      <c r="A42938" s="1" t="s">
        <v>42937</v>
      </c>
      <c r="B42938" s="2" t="str">
        <f>IFERROR(__xludf.DUMMYFUNCTION("GOOGLETRANSLATE(A42938, ""de"", ""en"")"),"encrypt")</f>
        <v>encrypt</v>
      </c>
    </row>
    <row r="42939">
      <c r="A42939" s="1" t="s">
        <v>42938</v>
      </c>
      <c r="B42939" s="2" t="str">
        <f>IFERROR(__xludf.DUMMYFUNCTION("GOOGLETRANSLATE(A42939, ""de"", ""en"")"),"Megan")</f>
        <v>Megan</v>
      </c>
    </row>
    <row r="42940">
      <c r="A42940" s="1" t="s">
        <v>42939</v>
      </c>
      <c r="B42940" s="2" t="str">
        <f>IFERROR(__xludf.DUMMYFUNCTION("GOOGLETRANSLATE(A42940, ""de"", ""en"")"),"angeles")</f>
        <v>angeles</v>
      </c>
    </row>
    <row r="42941">
      <c r="A42941" s="1" t="s">
        <v>42940</v>
      </c>
      <c r="B42941" s="2" t="str">
        <f>IFERROR(__xludf.DUMMYFUNCTION("GOOGLETRANSLATE(A42941, ""de"", ""en"")"),"scrotum")</f>
        <v>scrotum</v>
      </c>
    </row>
    <row r="42942">
      <c r="A42942" s="1" t="s">
        <v>42941</v>
      </c>
      <c r="B42942" s="2" t="str">
        <f>IFERROR(__xludf.DUMMYFUNCTION("GOOGLETRANSLATE(A42942, ""de"", ""en"")"),"sycamore")</f>
        <v>sycamore</v>
      </c>
    </row>
    <row r="42943">
      <c r="A42943" s="1" t="s">
        <v>42942</v>
      </c>
      <c r="B42943" s="2" t="str">
        <f>IFERROR(__xludf.DUMMYFUNCTION("GOOGLETRANSLATE(A42943, ""de"", ""en"")"),"wolfblood")</f>
        <v>wolfblood</v>
      </c>
    </row>
    <row r="42944">
      <c r="A42944" s="1" t="s">
        <v>42943</v>
      </c>
      <c r="B42944" s="2" t="str">
        <f>IFERROR(__xludf.DUMMYFUNCTION("GOOGLETRANSLATE(A42944, ""de"", ""en"")"),"recent")</f>
        <v>recent</v>
      </c>
    </row>
    <row r="42945">
      <c r="A42945" s="1" t="s">
        <v>42944</v>
      </c>
      <c r="B42945" s="2" t="str">
        <f>IFERROR(__xludf.DUMMYFUNCTION("GOOGLETRANSLATE(A42945, ""de"", ""en"")"),"stills")</f>
        <v>stills</v>
      </c>
    </row>
    <row r="42946">
      <c r="A42946" s="1" t="s">
        <v>42945</v>
      </c>
      <c r="B42946" s="2" t="str">
        <f>IFERROR(__xludf.DUMMYFUNCTION("GOOGLETRANSLATE(A42946, ""de"", ""en"")"),"culebras")</f>
        <v>culebras</v>
      </c>
    </row>
    <row r="42947">
      <c r="A42947" s="1" t="s">
        <v>42946</v>
      </c>
      <c r="B42947" s="2" t="str">
        <f>IFERROR(__xludf.DUMMYFUNCTION("GOOGLETRANSLATE(A42947, ""de"", ""en"")"),"nestled")</f>
        <v>nestled</v>
      </c>
    </row>
    <row r="42948">
      <c r="A42948" s="1" t="s">
        <v>42947</v>
      </c>
      <c r="B42948" s="2" t="str">
        <f>IFERROR(__xludf.DUMMYFUNCTION("GOOGLETRANSLATE(A42948, ""de"", ""en"")"),"00ffff")</f>
        <v>00ffff</v>
      </c>
    </row>
    <row r="42949">
      <c r="A42949" s="1" t="s">
        <v>42948</v>
      </c>
      <c r="B42949" s="2" t="str">
        <f>IFERROR(__xludf.DUMMYFUNCTION("GOOGLETRANSLATE(A42949, ""de"", ""en"")"),"fanatical")</f>
        <v>fanatical</v>
      </c>
    </row>
    <row r="42950">
      <c r="A42950" s="1" t="s">
        <v>42949</v>
      </c>
      <c r="B42950" s="2" t="str">
        <f>IFERROR(__xludf.DUMMYFUNCTION("GOOGLETRANSLATE(A42950, ""de"", ""en"")"),"muff")</f>
        <v>muff</v>
      </c>
    </row>
    <row r="42951">
      <c r="A42951" s="1" t="s">
        <v>42950</v>
      </c>
      <c r="B42951" s="2" t="str">
        <f>IFERROR(__xludf.DUMMYFUNCTION("GOOGLETRANSLATE(A42951, ""de"", ""en"")"),"adal")</f>
        <v>adal</v>
      </c>
    </row>
    <row r="42952">
      <c r="A42952" s="1" t="s">
        <v>42951</v>
      </c>
      <c r="B42952" s="2" t="str">
        <f>IFERROR(__xludf.DUMMYFUNCTION("GOOGLETRANSLATE(A42952, ""de"", ""en"")"),"railways")</f>
        <v>railways</v>
      </c>
    </row>
    <row r="42953">
      <c r="A42953" s="1" t="s">
        <v>42952</v>
      </c>
      <c r="B42953" s="2" t="str">
        <f>IFERROR(__xludf.DUMMYFUNCTION("GOOGLETRANSLATE(A42953, ""de"", ""en"")"),"festivals")</f>
        <v>festivals</v>
      </c>
    </row>
    <row r="42954">
      <c r="A42954" s="1" t="s">
        <v>42953</v>
      </c>
      <c r="B42954" s="2" t="str">
        <f>IFERROR(__xludf.DUMMYFUNCTION("GOOGLETRANSLATE(A42954, ""de"", ""en"")"),"mined")</f>
        <v>mined</v>
      </c>
    </row>
    <row r="42955">
      <c r="A42955" s="1" t="s">
        <v>42954</v>
      </c>
      <c r="B42955" s="2" t="str">
        <f>IFERROR(__xludf.DUMMYFUNCTION("GOOGLETRANSLATE(A42955, ""de"", ""en"")"),"padishah")</f>
        <v>padishah</v>
      </c>
    </row>
    <row r="42956">
      <c r="A42956" s="1" t="s">
        <v>42955</v>
      </c>
      <c r="B42956" s="2" t="str">
        <f>IFERROR(__xludf.DUMMYFUNCTION("GOOGLETRANSLATE(A42956, ""de"", ""en"")"),"German")</f>
        <v>German</v>
      </c>
    </row>
    <row r="42957">
      <c r="A42957" s="1" t="s">
        <v>42956</v>
      </c>
      <c r="B42957" s="2" t="str">
        <f>IFERROR(__xludf.DUMMYFUNCTION("GOOGLETRANSLATE(A42957, ""de"", ""en"")"),"powdered sugar")</f>
        <v>powdered sugar</v>
      </c>
    </row>
    <row r="42958">
      <c r="A42958" s="1" t="s">
        <v>42957</v>
      </c>
      <c r="B42958" s="2" t="str">
        <f>IFERROR(__xludf.DUMMYFUNCTION("GOOGLETRANSLATE(A42958, ""de"", ""en"")"),"upright")</f>
        <v>upright</v>
      </c>
    </row>
    <row r="42959">
      <c r="A42959" s="1" t="s">
        <v>42958</v>
      </c>
      <c r="B42959" s="2" t="str">
        <f>IFERROR(__xludf.DUMMYFUNCTION("GOOGLETRANSLATE(A42959, ""de"", ""en"")"),"hiked")</f>
        <v>hiked</v>
      </c>
    </row>
    <row r="42960">
      <c r="A42960" s="1" t="s">
        <v>42959</v>
      </c>
      <c r="B42960" s="2" t="str">
        <f>IFERROR(__xludf.DUMMYFUNCTION("GOOGLETRANSLATE(A42960, ""de"", ""en"")"),"thyroid")</f>
        <v>thyroid</v>
      </c>
    </row>
    <row r="42961">
      <c r="A42961" s="1" t="s">
        <v>42960</v>
      </c>
      <c r="B42961" s="2" t="str">
        <f>IFERROR(__xludf.DUMMYFUNCTION("GOOGLETRANSLATE(A42961, ""de"", ""en"")"),"teleported")</f>
        <v>teleported</v>
      </c>
    </row>
    <row r="42962">
      <c r="A42962" s="1" t="s">
        <v>42961</v>
      </c>
      <c r="B42962" s="2" t="str">
        <f>IFERROR(__xludf.DUMMYFUNCTION("GOOGLETRANSLATE(A42962, ""de"", ""en"")"),"turned on")</f>
        <v>turned on</v>
      </c>
    </row>
    <row r="42963">
      <c r="A42963" s="1" t="s">
        <v>42962</v>
      </c>
      <c r="B42963" s="2" t="str">
        <f>IFERROR(__xludf.DUMMYFUNCTION("GOOGLETRANSLATE(A42963, ""de"", ""en"")"),"penetrate")</f>
        <v>penetrate</v>
      </c>
    </row>
    <row r="42964">
      <c r="A42964" s="1" t="s">
        <v>42963</v>
      </c>
      <c r="B42964" s="2" t="str">
        <f>IFERROR(__xludf.DUMMYFUNCTION("GOOGLETRANSLATE(A42964, ""de"", ""en"")"),"merve")</f>
        <v>merve</v>
      </c>
    </row>
    <row r="42965">
      <c r="A42965" s="1" t="s">
        <v>42964</v>
      </c>
      <c r="B42965" s="2" t="str">
        <f>IFERROR(__xludf.DUMMYFUNCTION("GOOGLETRANSLATE(A42965, ""de"", ""en"")"),"state")</f>
        <v>state</v>
      </c>
    </row>
    <row r="42966">
      <c r="A42966" s="1" t="s">
        <v>42965</v>
      </c>
      <c r="B42966" s="2" t="str">
        <f>IFERROR(__xludf.DUMMYFUNCTION("GOOGLETRANSLATE(A42966, ""de"", ""en"")"),"dulcinea")</f>
        <v>dulcinea</v>
      </c>
    </row>
    <row r="42967">
      <c r="A42967" s="1" t="s">
        <v>42966</v>
      </c>
      <c r="B42967" s="2" t="str">
        <f>IFERROR(__xludf.DUMMYFUNCTION("GOOGLETRANSLATE(A42967, ""de"", ""en"")"),"cords")</f>
        <v>cords</v>
      </c>
    </row>
    <row r="42968">
      <c r="A42968" s="1" t="s">
        <v>42967</v>
      </c>
      <c r="B42968" s="2" t="str">
        <f>IFERROR(__xludf.DUMMYFUNCTION("GOOGLETRANSLATE(A42968, ""de"", ""en"")"),"flew away")</f>
        <v>flew away</v>
      </c>
    </row>
    <row r="42969">
      <c r="A42969" s="1" t="s">
        <v>42968</v>
      </c>
      <c r="B42969" s="2" t="str">
        <f>IFERROR(__xludf.DUMMYFUNCTION("GOOGLETRANSLATE(A42969, ""de"", ""en"")"),"atone")</f>
        <v>atone</v>
      </c>
    </row>
    <row r="42970">
      <c r="A42970" s="1" t="s">
        <v>42969</v>
      </c>
      <c r="B42970" s="2" t="str">
        <f>IFERROR(__xludf.DUMMYFUNCTION("GOOGLETRANSLATE(A42970, ""de"", ""en"")"),"to stand up")</f>
        <v>to stand up</v>
      </c>
    </row>
    <row r="42971">
      <c r="A42971" s="1" t="s">
        <v>42970</v>
      </c>
      <c r="B42971" s="2" t="str">
        <f>IFERROR(__xludf.DUMMYFUNCTION("GOOGLETRANSLATE(A42971, ""de"", ""en"")"),"effectiveness")</f>
        <v>effectiveness</v>
      </c>
    </row>
    <row r="42972">
      <c r="A42972" s="1" t="s">
        <v>42971</v>
      </c>
      <c r="B42972" s="2" t="str">
        <f>IFERROR(__xludf.DUMMYFUNCTION("GOOGLETRANSLATE(A42972, ""de"", ""en"")"),"nostrils")</f>
        <v>nostrils</v>
      </c>
    </row>
    <row r="42973">
      <c r="A42973" s="1" t="s">
        <v>42972</v>
      </c>
      <c r="B42973" s="2" t="str">
        <f>IFERROR(__xludf.DUMMYFUNCTION("GOOGLETRANSLATE(A42973, ""de"", ""en"")"),"penalty")</f>
        <v>penalty</v>
      </c>
    </row>
    <row r="42974">
      <c r="A42974" s="1" t="s">
        <v>42973</v>
      </c>
      <c r="B42974" s="2" t="str">
        <f>IFERROR(__xludf.DUMMYFUNCTION("GOOGLETRANSLATE(A42974, ""de"", ""en"")"),"clouds")</f>
        <v>clouds</v>
      </c>
    </row>
    <row r="42975">
      <c r="A42975" s="1" t="s">
        <v>42974</v>
      </c>
      <c r="B42975" s="2" t="str">
        <f>IFERROR(__xludf.DUMMYFUNCTION("GOOGLETRANSLATE(A42975, ""de"", ""en"")"),"royalle")</f>
        <v>royalle</v>
      </c>
    </row>
    <row r="42976">
      <c r="A42976" s="1" t="s">
        <v>42975</v>
      </c>
      <c r="B42976" s="2" t="str">
        <f>IFERROR(__xludf.DUMMYFUNCTION("GOOGLETRANSLATE(A42976, ""de"", ""en"")"),"key")</f>
        <v>key</v>
      </c>
    </row>
    <row r="42977">
      <c r="A42977" s="1" t="s">
        <v>42976</v>
      </c>
      <c r="B42977" s="2" t="str">
        <f>IFERROR(__xludf.DUMMYFUNCTION("GOOGLETRANSLATE(A42977, ""de"", ""en"")"),"retainer")</f>
        <v>retainer</v>
      </c>
    </row>
    <row r="42978">
      <c r="A42978" s="1" t="s">
        <v>42977</v>
      </c>
      <c r="B42978" s="2" t="str">
        <f>IFERROR(__xludf.DUMMYFUNCTION("GOOGLETRANSLATE(A42978, ""de"", ""en"")"),"regiment")</f>
        <v>regiment</v>
      </c>
    </row>
    <row r="42979">
      <c r="A42979" s="1" t="s">
        <v>42978</v>
      </c>
      <c r="B42979" s="2" t="str">
        <f>IFERROR(__xludf.DUMMYFUNCTION("GOOGLETRANSLATE(A42979, ""de"", ""en"")"),"arno")</f>
        <v>arno</v>
      </c>
    </row>
    <row r="42980">
      <c r="A42980" s="1" t="s">
        <v>42979</v>
      </c>
      <c r="B42980" s="2" t="str">
        <f>IFERROR(__xludf.DUMMYFUNCTION("GOOGLETRANSLATE(A42980, ""de"", ""en"")"),"increase")</f>
        <v>increase</v>
      </c>
    </row>
    <row r="42981">
      <c r="A42981" s="1" t="s">
        <v>42980</v>
      </c>
      <c r="B42981" s="2" t="str">
        <f>IFERROR(__xludf.DUMMYFUNCTION("GOOGLETRANSLATE(A42981, ""de"", ""en"")"),"sheer")</f>
        <v>sheer</v>
      </c>
    </row>
    <row r="42982">
      <c r="A42982" s="1" t="s">
        <v>42981</v>
      </c>
      <c r="B42982" s="2" t="str">
        <f>IFERROR(__xludf.DUMMYFUNCTION("GOOGLETRANSLATE(A42982, ""de"", ""en"")"),"chancellor")</f>
        <v>chancellor</v>
      </c>
    </row>
    <row r="42983">
      <c r="A42983" s="1" t="s">
        <v>42982</v>
      </c>
      <c r="B42983" s="2" t="str">
        <f>IFERROR(__xludf.DUMMYFUNCTION("GOOGLETRANSLATE(A42983, ""de"", ""en"")"),"taking evidence")</f>
        <v>taking evidence</v>
      </c>
    </row>
    <row r="42984">
      <c r="A42984" s="1" t="s">
        <v>42983</v>
      </c>
      <c r="B42984" s="2" t="str">
        <f>IFERROR(__xludf.DUMMYFUNCTION("GOOGLETRANSLATE(A42984, ""de"", ""en"")"),"galvin")</f>
        <v>galvin</v>
      </c>
    </row>
    <row r="42985">
      <c r="A42985" s="1" t="s">
        <v>42984</v>
      </c>
      <c r="B42985" s="2" t="str">
        <f>IFERROR(__xludf.DUMMYFUNCTION("GOOGLETRANSLATE(A42985, ""de"", ""en"")"),"document")</f>
        <v>document</v>
      </c>
    </row>
    <row r="42986">
      <c r="A42986" s="1" t="s">
        <v>42985</v>
      </c>
      <c r="B42986" s="2" t="str">
        <f>IFERROR(__xludf.DUMMYFUNCTION("GOOGLETRANSLATE(A42986, ""de"", ""en"")"),"waxed")</f>
        <v>waxed</v>
      </c>
    </row>
    <row r="42987">
      <c r="A42987" s="1" t="s">
        <v>42986</v>
      </c>
      <c r="B42987" s="2" t="str">
        <f>IFERROR(__xludf.DUMMYFUNCTION("GOOGLETRANSLATE(A42987, ""de"", ""en"")"),"cheerful")</f>
        <v>cheerful</v>
      </c>
    </row>
    <row r="42988">
      <c r="A42988" s="1" t="s">
        <v>42987</v>
      </c>
      <c r="B42988" s="2" t="str">
        <f>IFERROR(__xludf.DUMMYFUNCTION("GOOGLETRANSLATE(A42988, ""de"", ""en"")"),"datas")</f>
        <v>datas</v>
      </c>
    </row>
    <row r="42989">
      <c r="A42989" s="1" t="s">
        <v>42988</v>
      </c>
      <c r="B42989" s="2" t="str">
        <f>IFERROR(__xludf.DUMMYFUNCTION("GOOGLETRANSLATE(A42989, ""de"", ""en"")"),"kohler")</f>
        <v>kohler</v>
      </c>
    </row>
    <row r="42990">
      <c r="A42990" s="1" t="s">
        <v>42989</v>
      </c>
      <c r="B42990" s="2" t="str">
        <f>IFERROR(__xludf.DUMMYFUNCTION("GOOGLETRANSLATE(A42990, ""de"", ""en"")"),"embryos")</f>
        <v>embryos</v>
      </c>
    </row>
    <row r="42991">
      <c r="A42991" s="1" t="s">
        <v>42990</v>
      </c>
      <c r="B42991" s="2" t="str">
        <f>IFERROR(__xludf.DUMMYFUNCTION("GOOGLETRANSLATE(A42991, ""de"", ""en"")"),"imposed")</f>
        <v>imposed</v>
      </c>
    </row>
    <row r="42992">
      <c r="A42992" s="1" t="s">
        <v>42991</v>
      </c>
      <c r="B42992" s="2" t="str">
        <f>IFERROR(__xludf.DUMMYFUNCTION("GOOGLETRANSLATE(A42992, ""de"", ""en"")"),"Springsteen")</f>
        <v>Springsteen</v>
      </c>
    </row>
    <row r="42993">
      <c r="A42993" s="1" t="s">
        <v>42992</v>
      </c>
      <c r="B42993" s="2" t="str">
        <f>IFERROR(__xludf.DUMMYFUNCTION("GOOGLETRANSLATE(A42993, ""de"", ""en"")"),"motorcycle accident")</f>
        <v>motorcycle accident</v>
      </c>
    </row>
    <row r="42994">
      <c r="A42994" s="1" t="s">
        <v>42993</v>
      </c>
      <c r="B42994" s="2" t="str">
        <f>IFERROR(__xludf.DUMMYFUNCTION("GOOGLETRANSLATE(A42994, ""de"", ""en"")"),"refers")</f>
        <v>refers</v>
      </c>
    </row>
    <row r="42995">
      <c r="A42995" s="1" t="s">
        <v>42994</v>
      </c>
      <c r="B42995" s="2" t="str">
        <f>IFERROR(__xludf.DUMMYFUNCTION("GOOGLETRANSLATE(A42995, ""de"", ""en"")"),"evergreen")</f>
        <v>evergreen</v>
      </c>
    </row>
    <row r="42996">
      <c r="A42996" s="1" t="s">
        <v>42995</v>
      </c>
      <c r="B42996" s="2" t="str">
        <f>IFERROR(__xludf.DUMMYFUNCTION("GOOGLETRANSLATE(A42996, ""de"", ""en"")"),"press release")</f>
        <v>press release</v>
      </c>
    </row>
    <row r="42997">
      <c r="A42997" s="1" t="s">
        <v>42996</v>
      </c>
      <c r="B42997" s="2" t="str">
        <f>IFERROR(__xludf.DUMMYFUNCTION("GOOGLETRANSLATE(A42997, ""de"", ""en"")"),"diaz")</f>
        <v>diaz</v>
      </c>
    </row>
    <row r="42998">
      <c r="A42998" s="1" t="s">
        <v>42997</v>
      </c>
      <c r="B42998" s="2" t="str">
        <f>IFERROR(__xludf.DUMMYFUNCTION("GOOGLETRANSLATE(A42998, ""de"", ""en"")"),"botanist")</f>
        <v>botanist</v>
      </c>
    </row>
    <row r="42999">
      <c r="A42999" s="1" t="s">
        <v>42998</v>
      </c>
      <c r="B42999" s="2" t="str">
        <f>IFERROR(__xludf.DUMMYFUNCTION("GOOGLETRANSLATE(A42999, ""de"", ""en"")"),"wellness")</f>
        <v>wellness</v>
      </c>
    </row>
    <row r="43000">
      <c r="A43000" s="1" t="s">
        <v>42999</v>
      </c>
      <c r="B43000" s="2" t="str">
        <f>IFERROR(__xludf.DUMMYFUNCTION("GOOGLETRANSLATE(A43000, ""de"", ""en"")"),"fatah")</f>
        <v>fatah</v>
      </c>
    </row>
    <row r="43001">
      <c r="A43001" s="1" t="s">
        <v>43000</v>
      </c>
      <c r="B43001" s="2" t="str">
        <f>IFERROR(__xludf.DUMMYFUNCTION("GOOGLETRANSLATE(A43001, ""de"", ""en"")"),"heartbeat")</f>
        <v>heartbeat</v>
      </c>
    </row>
    <row r="43002">
      <c r="A43002" s="1" t="s">
        <v>43001</v>
      </c>
      <c r="B43002" s="2" t="str">
        <f>IFERROR(__xludf.DUMMYFUNCTION("GOOGLETRANSLATE(A43002, ""de"", ""en"")"),"grill-proof")</f>
        <v>grill-proof</v>
      </c>
    </row>
    <row r="43003">
      <c r="A43003" s="1" t="s">
        <v>43002</v>
      </c>
      <c r="B43003" s="2" t="str">
        <f>IFERROR(__xludf.DUMMYFUNCTION("GOOGLETRANSLATE(A43003, ""de"", ""en"")"),"bribes")</f>
        <v>bribes</v>
      </c>
    </row>
    <row r="43004">
      <c r="A43004" s="1" t="s">
        <v>43003</v>
      </c>
      <c r="B43004" s="2" t="str">
        <f>IFERROR(__xludf.DUMMYFUNCTION("GOOGLETRANSLATE(A43004, ""de"", ""en"")"),"juniors")</f>
        <v>juniors</v>
      </c>
    </row>
    <row r="43005">
      <c r="A43005" s="1" t="s">
        <v>43004</v>
      </c>
      <c r="B43005" s="2" t="str">
        <f>IFERROR(__xludf.DUMMYFUNCTION("GOOGLETRANSLATE(A43005, ""de"", ""en"")"),"drool")</f>
        <v>drool</v>
      </c>
    </row>
    <row r="43006">
      <c r="A43006" s="1" t="s">
        <v>43005</v>
      </c>
      <c r="B43006" s="2" t="str">
        <f>IFERROR(__xludf.DUMMYFUNCTION("GOOGLETRANSLATE(A43006, ""de"", ""en"")"),"magnifique")</f>
        <v>magnifique</v>
      </c>
    </row>
    <row r="43007">
      <c r="A43007" s="1" t="s">
        <v>43006</v>
      </c>
      <c r="B43007" s="2" t="str">
        <f>IFERROR(__xludf.DUMMYFUNCTION("GOOGLETRANSLATE(A43007, ""de"", ""en"")"),"global warming")</f>
        <v>global warming</v>
      </c>
    </row>
    <row r="43008">
      <c r="A43008" s="1" t="s">
        <v>43007</v>
      </c>
      <c r="B43008" s="2" t="str">
        <f>IFERROR(__xludf.DUMMYFUNCTION("GOOGLETRANSLATE(A43008, ""de"", ""en"")"),"jetty")</f>
        <v>jetty</v>
      </c>
    </row>
    <row r="43009">
      <c r="A43009" s="1" t="s">
        <v>43008</v>
      </c>
      <c r="B43009" s="2" t="str">
        <f>IFERROR(__xludf.DUMMYFUNCTION("GOOGLETRANSLATE(A43009, ""de"", ""en"")"),"deliver")</f>
        <v>deliver</v>
      </c>
    </row>
    <row r="43010">
      <c r="A43010" s="1" t="s">
        <v>43009</v>
      </c>
      <c r="B43010" s="2" t="str">
        <f>IFERROR(__xludf.DUMMYFUNCTION("GOOGLETRANSLATE(A43010, ""de"", ""en"")"),"branch")</f>
        <v>branch</v>
      </c>
    </row>
    <row r="43011">
      <c r="A43011" s="1" t="s">
        <v>43010</v>
      </c>
      <c r="B43011" s="2" t="str">
        <f>IFERROR(__xludf.DUMMYFUNCTION("GOOGLETRANSLATE(A43011, ""de"", ""en"")"),"d-day")</f>
        <v>d-day</v>
      </c>
    </row>
    <row r="43012">
      <c r="A43012" s="1" t="s">
        <v>43011</v>
      </c>
      <c r="B43012" s="2" t="str">
        <f>IFERROR(__xludf.DUMMYFUNCTION("GOOGLETRANSLATE(A43012, ""de"", ""en"")"),"secular")</f>
        <v>secular</v>
      </c>
    </row>
    <row r="43013">
      <c r="A43013" s="1" t="s">
        <v>43012</v>
      </c>
      <c r="B43013" s="2" t="str">
        <f>IFERROR(__xludf.DUMMYFUNCTION("GOOGLETRANSLATE(A43013, ""de"", ""en"")"),"Moogie")</f>
        <v>Moogie</v>
      </c>
    </row>
    <row r="43014">
      <c r="A43014" s="1" t="s">
        <v>43013</v>
      </c>
      <c r="B43014" s="2" t="str">
        <f>IFERROR(__xludf.DUMMYFUNCTION("GOOGLETRANSLATE(A43014, ""de"", ""en"")"),"school uniform")</f>
        <v>school uniform</v>
      </c>
    </row>
    <row r="43015">
      <c r="A43015" s="1" t="s">
        <v>43014</v>
      </c>
      <c r="B43015" s="2" t="str">
        <f>IFERROR(__xludf.DUMMYFUNCTION("GOOGLETRANSLATE(A43015, ""de"", ""en"")"),"such")</f>
        <v>such</v>
      </c>
    </row>
    <row r="43016">
      <c r="A43016" s="1" t="s">
        <v>43015</v>
      </c>
      <c r="B43016" s="2" t="str">
        <f>IFERROR(__xludf.DUMMYFUNCTION("GOOGLETRANSLATE(A43016, ""de"", ""en"")"),"Nikos")</f>
        <v>Nikos</v>
      </c>
    </row>
    <row r="43017">
      <c r="A43017" s="1" t="s">
        <v>43016</v>
      </c>
      <c r="B43017" s="2" t="str">
        <f>IFERROR(__xludf.DUMMYFUNCTION("GOOGLETRANSLATE(A43017, ""de"", ""en"")"),"soul")</f>
        <v>soul</v>
      </c>
    </row>
    <row r="43018">
      <c r="A43018" s="1" t="s">
        <v>43017</v>
      </c>
      <c r="B43018" s="2" t="str">
        <f>IFERROR(__xludf.DUMMYFUNCTION("GOOGLETRANSLATE(A43018, ""de"", ""en"")"),"nobles")</f>
        <v>nobles</v>
      </c>
    </row>
    <row r="43019">
      <c r="A43019" s="1" t="s">
        <v>43018</v>
      </c>
      <c r="B43019" s="2" t="str">
        <f>IFERROR(__xludf.DUMMYFUNCTION("GOOGLETRANSLATE(A43019, ""de"", ""en"")"),"telex")</f>
        <v>telex</v>
      </c>
    </row>
    <row r="43020">
      <c r="A43020" s="1" t="s">
        <v>43019</v>
      </c>
      <c r="B43020" s="2" t="str">
        <f>IFERROR(__xludf.DUMMYFUNCTION("GOOGLETRANSLATE(A43020, ""de"", ""en"")"),"minami")</f>
        <v>minami</v>
      </c>
    </row>
    <row r="43021">
      <c r="A43021" s="1" t="s">
        <v>43020</v>
      </c>
      <c r="B43021" s="2" t="str">
        <f>IFERROR(__xludf.DUMMYFUNCTION("GOOGLETRANSLATE(A43021, ""de"", ""en"")"),"ralston")</f>
        <v>ralston</v>
      </c>
    </row>
    <row r="43022">
      <c r="A43022" s="1" t="s">
        <v>43021</v>
      </c>
      <c r="B43022" s="2" t="str">
        <f>IFERROR(__xludf.DUMMYFUNCTION("GOOGLETRANSLATE(A43022, ""de"", ""en"")"),"nini")</f>
        <v>nini</v>
      </c>
    </row>
    <row r="43023">
      <c r="A43023" s="1" t="s">
        <v>43022</v>
      </c>
      <c r="B43023" s="2" t="str">
        <f>IFERROR(__xludf.DUMMYFUNCTION("GOOGLETRANSLATE(A43023, ""de"", ""en"")"),"shounen")</f>
        <v>shounen</v>
      </c>
    </row>
    <row r="43024">
      <c r="A43024" s="1" t="s">
        <v>43023</v>
      </c>
      <c r="B43024" s="2" t="str">
        <f>IFERROR(__xludf.DUMMYFUNCTION("GOOGLETRANSLATE(A43024, ""de"", ""en"")"),"play video games")</f>
        <v>play video games</v>
      </c>
    </row>
    <row r="43025">
      <c r="A43025" s="1" t="s">
        <v>43024</v>
      </c>
      <c r="B43025" s="2" t="str">
        <f>IFERROR(__xludf.DUMMYFUNCTION("GOOGLETRANSLATE(A43025, ""de"", ""en"")"),"rob")</f>
        <v>rob</v>
      </c>
    </row>
    <row r="43026">
      <c r="A43026" s="1" t="s">
        <v>43025</v>
      </c>
      <c r="B43026" s="2" t="str">
        <f>IFERROR(__xludf.DUMMYFUNCTION("GOOGLETRANSLATE(A43026, ""de"", ""en"")"),"subscribed")</f>
        <v>subscribed</v>
      </c>
    </row>
    <row r="43027">
      <c r="A43027" s="1" t="s">
        <v>43026</v>
      </c>
      <c r="B43027" s="2" t="str">
        <f>IFERROR(__xludf.DUMMYFUNCTION("GOOGLETRANSLATE(A43027, ""de"", ""en"")"),"worships")</f>
        <v>worships</v>
      </c>
    </row>
    <row r="43028">
      <c r="A43028" s="1" t="s">
        <v>43027</v>
      </c>
      <c r="B43028" s="2" t="str">
        <f>IFERROR(__xludf.DUMMYFUNCTION("GOOGLETRANSLATE(A43028, ""de"", ""en"")"),"more foolish")</f>
        <v>more foolish</v>
      </c>
    </row>
    <row r="43029">
      <c r="A43029" s="1" t="s">
        <v>43028</v>
      </c>
      <c r="B43029" s="2" t="str">
        <f>IFERROR(__xludf.DUMMYFUNCTION("GOOGLETRANSLATE(A43029, ""de"", ""en"")"),"training")</f>
        <v>training</v>
      </c>
    </row>
    <row r="43030">
      <c r="A43030" s="1" t="s">
        <v>43029</v>
      </c>
      <c r="B43030" s="2" t="str">
        <f>IFERROR(__xludf.DUMMYFUNCTION("GOOGLETRANSLATE(A43030, ""de"", ""en"")"),"saffron")</f>
        <v>saffron</v>
      </c>
    </row>
    <row r="43031">
      <c r="A43031" s="1" t="s">
        <v>43030</v>
      </c>
      <c r="B43031" s="2" t="str">
        <f>IFERROR(__xludf.DUMMYFUNCTION("GOOGLETRANSLATE(A43031, ""de"", ""en"")"),"latest")</f>
        <v>latest</v>
      </c>
    </row>
    <row r="43032">
      <c r="A43032" s="1" t="s">
        <v>43031</v>
      </c>
      <c r="B43032" s="2" t="str">
        <f>IFERROR(__xludf.DUMMYFUNCTION("GOOGLETRANSLATE(A43032, ""de"", ""en"")"),"palazzo")</f>
        <v>palazzo</v>
      </c>
    </row>
    <row r="43033">
      <c r="A43033" s="1" t="s">
        <v>43032</v>
      </c>
      <c r="B43033" s="2" t="str">
        <f>IFERROR(__xludf.DUMMYFUNCTION("GOOGLETRANSLATE(A43033, ""de"", ""en"")"),"mysterious")</f>
        <v>mysterious</v>
      </c>
    </row>
    <row r="43034">
      <c r="A43034" s="1" t="s">
        <v>43033</v>
      </c>
      <c r="B43034" s="2" t="str">
        <f>IFERROR(__xludf.DUMMYFUNCTION("GOOGLETRANSLATE(A43034, ""de"", ""en"")"),"battle scars")</f>
        <v>battle scars</v>
      </c>
    </row>
    <row r="43035">
      <c r="A43035" s="1" t="s">
        <v>43034</v>
      </c>
      <c r="B43035" s="2" t="str">
        <f>IFERROR(__xludf.DUMMYFUNCTION("GOOGLETRANSLATE(A43035, ""de"", ""en"")"),"deposits")</f>
        <v>deposits</v>
      </c>
    </row>
    <row r="43036">
      <c r="A43036" s="1" t="s">
        <v>43035</v>
      </c>
      <c r="B43036" s="2" t="str">
        <f>IFERROR(__xludf.DUMMYFUNCTION("GOOGLETRANSLATE(A43036, ""de"", ""en"")"),"daunting")</f>
        <v>daunting</v>
      </c>
    </row>
    <row r="43037">
      <c r="A43037" s="1" t="s">
        <v>43036</v>
      </c>
      <c r="B43037" s="2" t="str">
        <f>IFERROR(__xludf.DUMMYFUNCTION("GOOGLETRANSLATE(A43037, ""de"", ""en"")"),"ishtar")</f>
        <v>ishtar</v>
      </c>
    </row>
    <row r="43038">
      <c r="A43038" s="1" t="s">
        <v>43037</v>
      </c>
      <c r="B43038" s="2" t="str">
        <f>IFERROR(__xludf.DUMMYFUNCTION("GOOGLETRANSLATE(A43038, ""de"", ""en"")"),"others")</f>
        <v>others</v>
      </c>
    </row>
    <row r="43039">
      <c r="A43039" s="1" t="s">
        <v>43038</v>
      </c>
      <c r="B43039" s="2" t="str">
        <f>IFERROR(__xludf.DUMMYFUNCTION("GOOGLETRANSLATE(A43039, ""de"", ""en"")"),"hornets")</f>
        <v>hornets</v>
      </c>
    </row>
    <row r="43040">
      <c r="A43040" s="1" t="s">
        <v>43039</v>
      </c>
      <c r="B43040" s="2" t="str">
        <f>IFERROR(__xludf.DUMMYFUNCTION("GOOGLETRANSLATE(A43040, ""de"", ""en"")"),"streamed")</f>
        <v>streamed</v>
      </c>
    </row>
    <row r="43041">
      <c r="A43041" s="1" t="s">
        <v>43040</v>
      </c>
      <c r="B43041" s="2" t="str">
        <f>IFERROR(__xludf.DUMMYFUNCTION("GOOGLETRANSLATE(A43041, ""de"", ""en"")"),"group sex")</f>
        <v>group sex</v>
      </c>
    </row>
    <row r="43042">
      <c r="A43042" s="1" t="s">
        <v>43041</v>
      </c>
      <c r="B43042" s="2" t="str">
        <f>IFERROR(__xludf.DUMMYFUNCTION("GOOGLETRANSLATE(A43042, ""de"", ""en"")"),"paige")</f>
        <v>paige</v>
      </c>
    </row>
    <row r="43043">
      <c r="A43043" s="1" t="s">
        <v>43042</v>
      </c>
      <c r="B43043" s="2" t="str">
        <f>IFERROR(__xludf.DUMMYFUNCTION("GOOGLETRANSLATE(A43043, ""de"", ""en"")"),"heart racing")</f>
        <v>heart racing</v>
      </c>
    </row>
    <row r="43044">
      <c r="A43044" s="1" t="s">
        <v>43043</v>
      </c>
      <c r="B43044" s="2" t="str">
        <f>IFERROR(__xludf.DUMMYFUNCTION("GOOGLETRANSLATE(A43044, ""de"", ""en"")"),"supportive")</f>
        <v>supportive</v>
      </c>
    </row>
    <row r="43045">
      <c r="A43045" s="1" t="s">
        <v>43044</v>
      </c>
      <c r="B43045" s="2" t="str">
        <f>IFERROR(__xludf.DUMMYFUNCTION("GOOGLETRANSLATE(A43045, ""de"", ""en"")"),"cavaliers")</f>
        <v>cavaliers</v>
      </c>
    </row>
    <row r="43046">
      <c r="A43046" s="1" t="s">
        <v>43045</v>
      </c>
      <c r="B43046" s="2" t="str">
        <f>IFERROR(__xludf.DUMMYFUNCTION("GOOGLETRANSLATE(A43046, ""de"", ""en"")"),"Gustaf")</f>
        <v>Gustaf</v>
      </c>
    </row>
    <row r="43047">
      <c r="A43047" s="1" t="s">
        <v>43046</v>
      </c>
      <c r="B43047" s="2" t="str">
        <f>IFERROR(__xludf.DUMMYFUNCTION("GOOGLETRANSLATE(A43047, ""de"", ""en"")"),"complicated")</f>
        <v>complicated</v>
      </c>
    </row>
    <row r="43048">
      <c r="A43048" s="1" t="s">
        <v>43047</v>
      </c>
      <c r="B43048" s="2" t="str">
        <f>IFERROR(__xludf.DUMMYFUNCTION("GOOGLETRANSLATE(A43048, ""de"", ""en"")"),"restless")</f>
        <v>restless</v>
      </c>
    </row>
    <row r="43049">
      <c r="A43049" s="1" t="s">
        <v>43048</v>
      </c>
      <c r="B43049" s="2" t="str">
        <f>IFERROR(__xludf.DUMMYFUNCTION("GOOGLETRANSLATE(A43049, ""de"", ""en"")"),"end zone")</f>
        <v>end zone</v>
      </c>
    </row>
    <row r="43050">
      <c r="A43050" s="1" t="s">
        <v>43049</v>
      </c>
      <c r="B43050" s="2" t="str">
        <f>IFERROR(__xludf.DUMMYFUNCTION("GOOGLETRANSLATE(A43050, ""de"", ""en"")"),"manipulated")</f>
        <v>manipulated</v>
      </c>
    </row>
    <row r="43051">
      <c r="A43051" s="1" t="s">
        <v>43050</v>
      </c>
      <c r="B43051" s="2" t="str">
        <f>IFERROR(__xludf.DUMMYFUNCTION("GOOGLETRANSLATE(A43051, ""de"", ""en"")"),"sani")</f>
        <v>sani</v>
      </c>
    </row>
    <row r="43052">
      <c r="A43052" s="1" t="s">
        <v>43051</v>
      </c>
      <c r="B43052" s="2" t="str">
        <f>IFERROR(__xludf.DUMMYFUNCTION("GOOGLETRANSLATE(A43052, ""de"", ""en"")"),"humiliated")</f>
        <v>humiliated</v>
      </c>
    </row>
    <row r="43053">
      <c r="A43053" s="1" t="s">
        <v>43052</v>
      </c>
      <c r="B43053" s="2" t="str">
        <f>IFERROR(__xludf.DUMMYFUNCTION("GOOGLETRANSLATE(A43053, ""de"", ""en"")"),"mountain village")</f>
        <v>mountain village</v>
      </c>
    </row>
    <row r="43054">
      <c r="A43054" s="1" t="s">
        <v>43053</v>
      </c>
      <c r="B43054" s="2" t="str">
        <f>IFERROR(__xludf.DUMMYFUNCTION("GOOGLETRANSLATE(A43054, ""de"", ""en"")"),"buyers")</f>
        <v>buyers</v>
      </c>
    </row>
    <row r="43055">
      <c r="A43055" s="1" t="s">
        <v>43054</v>
      </c>
      <c r="B43055" s="2" t="str">
        <f>IFERROR(__xludf.DUMMYFUNCTION("GOOGLETRANSLATE(A43055, ""de"", ""en"")"),"half")</f>
        <v>half</v>
      </c>
    </row>
    <row r="43056">
      <c r="A43056" s="1" t="s">
        <v>43055</v>
      </c>
      <c r="B43056" s="2" t="str">
        <f>IFERROR(__xludf.DUMMYFUNCTION("GOOGLETRANSLATE(A43056, ""de"", ""en"")"),"escalade")</f>
        <v>escalade</v>
      </c>
    </row>
    <row r="43057">
      <c r="A43057" s="1" t="s">
        <v>43056</v>
      </c>
      <c r="B43057" s="2" t="str">
        <f>IFERROR(__xludf.DUMMYFUNCTION("GOOGLETRANSLATE(A43057, ""de"", ""en"")"),"landis")</f>
        <v>landis</v>
      </c>
    </row>
    <row r="43058">
      <c r="A43058" s="1" t="s">
        <v>43057</v>
      </c>
      <c r="B43058" s="2" t="str">
        <f>IFERROR(__xludf.DUMMYFUNCTION("GOOGLETRANSLATE(A43058, ""de"", ""en"")"),"nis")</f>
        <v>nis</v>
      </c>
    </row>
    <row r="43059">
      <c r="A43059" s="1" t="s">
        <v>43058</v>
      </c>
      <c r="B43059" s="2" t="str">
        <f>IFERROR(__xludf.DUMMYFUNCTION("GOOGLETRANSLATE(A43059, ""de"", ""en"")"),"divorced")</f>
        <v>divorced</v>
      </c>
    </row>
    <row r="43060">
      <c r="A43060" s="1" t="s">
        <v>43059</v>
      </c>
      <c r="B43060" s="2" t="str">
        <f>IFERROR(__xludf.DUMMYFUNCTION("GOOGLETRANSLATE(A43060, ""de"", ""en"")"),"ouch")</f>
        <v>ouch</v>
      </c>
    </row>
    <row r="43061">
      <c r="A43061" s="1" t="s">
        <v>43060</v>
      </c>
      <c r="B43061" s="2" t="str">
        <f>IFERROR(__xludf.DUMMYFUNCTION("GOOGLETRANSLATE(A43061, ""de"", ""en"")"),"lets in")</f>
        <v>lets in</v>
      </c>
    </row>
    <row r="43062">
      <c r="A43062" s="1" t="s">
        <v>43061</v>
      </c>
      <c r="B43062" s="2" t="str">
        <f>IFERROR(__xludf.DUMMYFUNCTION("GOOGLETRANSLATE(A43062, ""de"", ""en"")"),"tremble")</f>
        <v>tremble</v>
      </c>
    </row>
    <row r="43063">
      <c r="A43063" s="1" t="s">
        <v>43062</v>
      </c>
      <c r="B43063" s="2" t="str">
        <f>IFERROR(__xludf.DUMMYFUNCTION("GOOGLETRANSLATE(A43063, ""de"", ""en"")"),"sound waves")</f>
        <v>sound waves</v>
      </c>
    </row>
    <row r="43064">
      <c r="A43064" s="1" t="s">
        <v>43063</v>
      </c>
      <c r="B43064" s="2" t="str">
        <f>IFERROR(__xludf.DUMMYFUNCTION("GOOGLETRANSLATE(A43064, ""de"", ""en"")"),"drink")</f>
        <v>drink</v>
      </c>
    </row>
    <row r="43065">
      <c r="A43065" s="1" t="s">
        <v>43064</v>
      </c>
      <c r="B43065" s="2" t="str">
        <f>IFERROR(__xludf.DUMMYFUNCTION("GOOGLETRANSLATE(A43065, ""de"", ""en"")"),"Luci")</f>
        <v>Luci</v>
      </c>
    </row>
    <row r="43066">
      <c r="A43066" s="1" t="s">
        <v>43065</v>
      </c>
      <c r="B43066" s="2" t="str">
        <f>IFERROR(__xludf.DUMMYFUNCTION("GOOGLETRANSLATE(A43066, ""de"", ""en"")"),"regrettable")</f>
        <v>regrettable</v>
      </c>
    </row>
    <row r="43067">
      <c r="A43067" s="1" t="s">
        <v>43066</v>
      </c>
      <c r="B43067" s="2" t="str">
        <f>IFERROR(__xludf.DUMMYFUNCTION("GOOGLETRANSLATE(A43067, ""de"", ""en"")"),"wine list")</f>
        <v>wine list</v>
      </c>
    </row>
    <row r="43068">
      <c r="A43068" s="1" t="s">
        <v>43067</v>
      </c>
      <c r="B43068" s="2" t="str">
        <f>IFERROR(__xludf.DUMMYFUNCTION("GOOGLETRANSLATE(A43068, ""de"", ""en"")"),"pil")</f>
        <v>pil</v>
      </c>
    </row>
    <row r="43069">
      <c r="A43069" s="1" t="s">
        <v>43068</v>
      </c>
      <c r="B43069" s="2" t="str">
        <f>IFERROR(__xludf.DUMMYFUNCTION("GOOGLETRANSLATE(A43069, ""de"", ""en"")"),"lace")</f>
        <v>lace</v>
      </c>
    </row>
    <row r="43070">
      <c r="A43070" s="1" t="s">
        <v>43069</v>
      </c>
      <c r="B43070" s="2" t="str">
        <f>IFERROR(__xludf.DUMMYFUNCTION("GOOGLETRANSLATE(A43070, ""de"", ""en"")"),"likes")</f>
        <v>likes</v>
      </c>
    </row>
    <row r="43071">
      <c r="A43071" s="1" t="s">
        <v>43070</v>
      </c>
      <c r="B43071" s="2" t="str">
        <f>IFERROR(__xludf.DUMMYFUNCTION("GOOGLETRANSLATE(A43071, ""de"", ""en"")"),"six year olds")</f>
        <v>six year olds</v>
      </c>
    </row>
    <row r="43072">
      <c r="A43072" s="1" t="s">
        <v>43071</v>
      </c>
      <c r="B43072" s="2" t="str">
        <f>IFERROR(__xludf.DUMMYFUNCTION("GOOGLETRANSLATE(A43072, ""de"", ""en"")"),"reopening")</f>
        <v>reopening</v>
      </c>
    </row>
    <row r="43073">
      <c r="A43073" s="1" t="s">
        <v>43072</v>
      </c>
      <c r="B43073" s="2" t="str">
        <f>IFERROR(__xludf.DUMMYFUNCTION("GOOGLETRANSLATE(A43073, ""de"", ""en"")"),"jacobi")</f>
        <v>jacobi</v>
      </c>
    </row>
    <row r="43074">
      <c r="A43074" s="1" t="s">
        <v>43073</v>
      </c>
      <c r="B43074" s="2" t="str">
        <f>IFERROR(__xludf.DUMMYFUNCTION("GOOGLETRANSLATE(A43074, ""de"", ""en"")"),"Doria")</f>
        <v>Doria</v>
      </c>
    </row>
    <row r="43075">
      <c r="A43075" s="1" t="s">
        <v>43074</v>
      </c>
      <c r="B43075" s="2" t="str">
        <f>IFERROR(__xludf.DUMMYFUNCTION("GOOGLETRANSLATE(A43075, ""de"", ""en"")"),"popular")</f>
        <v>popular</v>
      </c>
    </row>
    <row r="43076">
      <c r="A43076" s="1" t="s">
        <v>43075</v>
      </c>
      <c r="B43076" s="2" t="str">
        <f>IFERROR(__xludf.DUMMYFUNCTION("GOOGLETRANSLATE(A43076, ""de"", ""en"")"),"horrible ones")</f>
        <v>horrible ones</v>
      </c>
    </row>
    <row r="43077">
      <c r="A43077" s="1" t="s">
        <v>43076</v>
      </c>
      <c r="B43077" s="2" t="str">
        <f>IFERROR(__xludf.DUMMYFUNCTION("GOOGLETRANSLATE(A43077, ""de"", ""en"")"),"hum")</f>
        <v>hum</v>
      </c>
    </row>
    <row r="43078">
      <c r="A43078" s="1" t="s">
        <v>43077</v>
      </c>
      <c r="B43078" s="2" t="str">
        <f>IFERROR(__xludf.DUMMYFUNCTION("GOOGLETRANSLATE(A43078, ""de"", ""en"")"),"bendix")</f>
        <v>bendix</v>
      </c>
    </row>
    <row r="43079">
      <c r="A43079" s="1" t="s">
        <v>43078</v>
      </c>
      <c r="B43079" s="2" t="str">
        <f>IFERROR(__xludf.DUMMYFUNCTION("GOOGLETRANSLATE(A43079, ""de"", ""en"")"),"disgusted")</f>
        <v>disgusted</v>
      </c>
    </row>
    <row r="43080">
      <c r="A43080" s="1" t="s">
        <v>43079</v>
      </c>
      <c r="B43080" s="2" t="str">
        <f>IFERROR(__xludf.DUMMYFUNCTION("GOOGLETRANSLATE(A43080, ""de"", ""en"")"),"bishops")</f>
        <v>bishops</v>
      </c>
    </row>
    <row r="43081">
      <c r="A43081" s="1" t="s">
        <v>43080</v>
      </c>
      <c r="B43081" s="2" t="str">
        <f>IFERROR(__xludf.DUMMYFUNCTION("GOOGLETRANSLATE(A43081, ""de"", ""en"")"),"apps")</f>
        <v>apps</v>
      </c>
    </row>
    <row r="43082">
      <c r="A43082" s="1" t="s">
        <v>43081</v>
      </c>
      <c r="B43082" s="2" t="str">
        <f>IFERROR(__xludf.DUMMYFUNCTION("GOOGLETRANSLATE(A43082, ""de"", ""en"")"),"Gaspar")</f>
        <v>Gaspar</v>
      </c>
    </row>
    <row r="43083">
      <c r="A43083" s="1" t="s">
        <v>43082</v>
      </c>
      <c r="B43083" s="2" t="str">
        <f>IFERROR(__xludf.DUMMYFUNCTION("GOOGLETRANSLATE(A43083, ""de"", ""en"")"),"brain waves")</f>
        <v>brain waves</v>
      </c>
    </row>
    <row r="43084">
      <c r="A43084" s="1" t="s">
        <v>43083</v>
      </c>
      <c r="B43084" s="2" t="str">
        <f>IFERROR(__xludf.DUMMYFUNCTION("GOOGLETRANSLATE(A43084, ""de"", ""en"")"),"to recreate")</f>
        <v>to recreate</v>
      </c>
    </row>
    <row r="43085">
      <c r="A43085" s="1" t="s">
        <v>43084</v>
      </c>
      <c r="B43085" s="2" t="str">
        <f>IFERROR(__xludf.DUMMYFUNCTION("GOOGLETRANSLATE(A43085, ""de"", ""en"")"),"cost")</f>
        <v>cost</v>
      </c>
    </row>
    <row r="43086">
      <c r="A43086" s="1" t="s">
        <v>43085</v>
      </c>
      <c r="B43086" s="2" t="str">
        <f>IFERROR(__xludf.DUMMYFUNCTION("GOOGLETRANSLATE(A43086, ""de"", ""en"")"),"nest egg")</f>
        <v>nest egg</v>
      </c>
    </row>
    <row r="43087">
      <c r="A43087" s="1" t="s">
        <v>43086</v>
      </c>
      <c r="B43087" s="2" t="str">
        <f>IFERROR(__xludf.DUMMYFUNCTION("GOOGLETRANSLATE(A43087, ""de"", ""en"")"),"fact")</f>
        <v>fact</v>
      </c>
    </row>
    <row r="43088">
      <c r="A43088" s="1" t="s">
        <v>43087</v>
      </c>
      <c r="B43088" s="2" t="str">
        <f>IFERROR(__xludf.DUMMYFUNCTION("GOOGLETRANSLATE(A43088, ""de"", ""en"")"),"following")</f>
        <v>following</v>
      </c>
    </row>
    <row r="43089">
      <c r="A43089" s="1" t="s">
        <v>43088</v>
      </c>
      <c r="B43089" s="2" t="str">
        <f>IFERROR(__xludf.DUMMYFUNCTION("GOOGLETRANSLATE(A43089, ""de"", ""en"")"),"dupre")</f>
        <v>dupre</v>
      </c>
    </row>
    <row r="43090">
      <c r="A43090" s="1" t="s">
        <v>43089</v>
      </c>
      <c r="B43090" s="2" t="str">
        <f>IFERROR(__xludf.DUMMYFUNCTION("GOOGLETRANSLATE(A43090, ""de"", ""en"")"),"excellent")</f>
        <v>excellent</v>
      </c>
    </row>
    <row r="43091">
      <c r="A43091" s="1" t="s">
        <v>43090</v>
      </c>
      <c r="B43091" s="2" t="str">
        <f>IFERROR(__xludf.DUMMYFUNCTION("GOOGLETRANSLATE(A43091, ""de"", ""en"")"),"azure")</f>
        <v>azure</v>
      </c>
    </row>
    <row r="43092">
      <c r="A43092" s="1" t="s">
        <v>43091</v>
      </c>
      <c r="B43092" s="2" t="str">
        <f>IFERROR(__xludf.DUMMYFUNCTION("GOOGLETRANSLATE(A43092, ""de"", ""en"")"),"buddies")</f>
        <v>buddies</v>
      </c>
    </row>
    <row r="43093">
      <c r="A43093" s="1" t="s">
        <v>43092</v>
      </c>
      <c r="B43093" s="2" t="str">
        <f>IFERROR(__xludf.DUMMYFUNCTION("GOOGLETRANSLATE(A43093, ""de"", ""en"")"),"looting")</f>
        <v>looting</v>
      </c>
    </row>
    <row r="43094">
      <c r="A43094" s="1" t="s">
        <v>43093</v>
      </c>
      <c r="B43094" s="2" t="str">
        <f>IFERROR(__xludf.DUMMYFUNCTION("GOOGLETRANSLATE(A43094, ""de"", ""en"")"),"effective")</f>
        <v>effective</v>
      </c>
    </row>
    <row r="43095">
      <c r="A43095" s="1" t="s">
        <v>43094</v>
      </c>
      <c r="B43095" s="2" t="str">
        <f>IFERROR(__xludf.DUMMYFUNCTION("GOOGLETRANSLATE(A43095, ""de"", ""en"")"),"stepford")</f>
        <v>stepford</v>
      </c>
    </row>
    <row r="43096">
      <c r="A43096" s="1" t="s">
        <v>43095</v>
      </c>
      <c r="B43096" s="2" t="str">
        <f>IFERROR(__xludf.DUMMYFUNCTION("GOOGLETRANSLATE(A43096, ""de"", ""en"")"),"synonym")</f>
        <v>synonym</v>
      </c>
    </row>
    <row r="43097">
      <c r="A43097" s="1" t="s">
        <v>43096</v>
      </c>
      <c r="B43097" s="2" t="str">
        <f>IFERROR(__xludf.DUMMYFUNCTION("GOOGLETRANSLATE(A43097, ""de"", ""en"")"),"rosemonde")</f>
        <v>rosemonde</v>
      </c>
    </row>
    <row r="43098">
      <c r="A43098" s="1" t="s">
        <v>43097</v>
      </c>
      <c r="B43098" s="2" t="str">
        <f>IFERROR(__xludf.DUMMYFUNCTION("GOOGLETRANSLATE(A43098, ""de"", ""en"")"),"truckload")</f>
        <v>truckload</v>
      </c>
    </row>
    <row r="43099">
      <c r="A43099" s="1" t="s">
        <v>43098</v>
      </c>
      <c r="B43099" s="2" t="str">
        <f>IFERROR(__xludf.DUMMYFUNCTION("GOOGLETRANSLATE(A43099, ""de"", ""en"")"),"roller skate")</f>
        <v>roller skate</v>
      </c>
    </row>
    <row r="43100">
      <c r="A43100" s="1" t="s">
        <v>43099</v>
      </c>
      <c r="B43100" s="2" t="str">
        <f>IFERROR(__xludf.DUMMYFUNCTION("GOOGLETRANSLATE(A43100, ""de"", ""en"")"),"loss")</f>
        <v>loss</v>
      </c>
    </row>
    <row r="43101">
      <c r="A43101" s="1" t="s">
        <v>43100</v>
      </c>
      <c r="B43101" s="2" t="str">
        <f>IFERROR(__xludf.DUMMYFUNCTION("GOOGLETRANSLATE(A43101, ""de"", ""en"")"),"ono")</f>
        <v>ono</v>
      </c>
    </row>
    <row r="43102">
      <c r="A43102" s="1" t="s">
        <v>43101</v>
      </c>
      <c r="B43102" s="2" t="str">
        <f>IFERROR(__xludf.DUMMYFUNCTION("GOOGLETRANSLATE(A43102, ""de"", ""en"")"),"sufferers")</f>
        <v>sufferers</v>
      </c>
    </row>
    <row r="43103">
      <c r="A43103" s="1" t="s">
        <v>43102</v>
      </c>
      <c r="B43103" s="2" t="str">
        <f>IFERROR(__xludf.DUMMYFUNCTION("GOOGLETRANSLATE(A43103, ""de"", ""en"")"),"stage")</f>
        <v>stage</v>
      </c>
    </row>
    <row r="43104">
      <c r="A43104" s="1" t="s">
        <v>43103</v>
      </c>
      <c r="B43104" s="2" t="str">
        <f>IFERROR(__xludf.DUMMYFUNCTION("GOOGLETRANSLATE(A43104, ""de"", ""en"")"),"comb")</f>
        <v>comb</v>
      </c>
    </row>
    <row r="43105">
      <c r="A43105" s="1" t="s">
        <v>43104</v>
      </c>
      <c r="B43105" s="2" t="str">
        <f>IFERROR(__xludf.DUMMYFUNCTION("GOOGLETRANSLATE(A43105, ""de"", ""en"")"),"chuy")</f>
        <v>chuy</v>
      </c>
    </row>
    <row r="43106">
      <c r="A43106" s="1" t="s">
        <v>43105</v>
      </c>
      <c r="B43106" s="2" t="str">
        <f>IFERROR(__xludf.DUMMYFUNCTION("GOOGLETRANSLATE(A43106, ""de"", ""en"")"),"country music")</f>
        <v>country music</v>
      </c>
    </row>
    <row r="43107">
      <c r="A43107" s="1" t="s">
        <v>43106</v>
      </c>
      <c r="B43107" s="2" t="str">
        <f>IFERROR(__xludf.DUMMYFUNCTION("GOOGLETRANSLATE(A43107, ""de"", ""en"")"),"Danielle")</f>
        <v>Danielle</v>
      </c>
    </row>
    <row r="43108">
      <c r="A43108" s="1" t="s">
        <v>43107</v>
      </c>
      <c r="B43108" s="2" t="str">
        <f>IFERROR(__xludf.DUMMYFUNCTION("GOOGLETRANSLATE(A43108, ""de"", ""en"")"),"neighboring")</f>
        <v>neighboring</v>
      </c>
    </row>
    <row r="43109">
      <c r="A43109" s="1" t="s">
        <v>43108</v>
      </c>
      <c r="B43109" s="2" t="str">
        <f>IFERROR(__xludf.DUMMYFUNCTION("GOOGLETRANSLATE(A43109, ""de"", ""en"")"),"umbrellas")</f>
        <v>umbrellas</v>
      </c>
    </row>
    <row r="43110">
      <c r="A43110" s="1" t="s">
        <v>43109</v>
      </c>
      <c r="B43110" s="2" t="str">
        <f>IFERROR(__xludf.DUMMYFUNCTION("GOOGLETRANSLATE(A43110, ""de"", ""en"")"),"resembled")</f>
        <v>resembled</v>
      </c>
    </row>
    <row r="43111">
      <c r="A43111" s="1" t="s">
        <v>43110</v>
      </c>
      <c r="B43111" s="2" t="str">
        <f>IFERROR(__xludf.DUMMYFUNCTION("GOOGLETRANSLATE(A43111, ""de"", ""en"")"),"compatible")</f>
        <v>compatible</v>
      </c>
    </row>
    <row r="43112">
      <c r="A43112" s="1" t="s">
        <v>43111</v>
      </c>
      <c r="B43112" s="2" t="str">
        <f>IFERROR(__xludf.DUMMYFUNCTION("GOOGLETRANSLATE(A43112, ""de"", ""en"")"),"secret compartment")</f>
        <v>secret compartment</v>
      </c>
    </row>
    <row r="43113">
      <c r="A43113" s="1" t="s">
        <v>43112</v>
      </c>
      <c r="B43113" s="2" t="str">
        <f>IFERROR(__xludf.DUMMYFUNCTION("GOOGLETRANSLATE(A43113, ""de"", ""en"")"),"thomson")</f>
        <v>thomson</v>
      </c>
    </row>
    <row r="43114">
      <c r="A43114" s="1" t="s">
        <v>43113</v>
      </c>
      <c r="B43114" s="2" t="str">
        <f>IFERROR(__xludf.DUMMYFUNCTION("GOOGLETRANSLATE(A43114, ""de"", ""en"")"),"piak")</f>
        <v>piak</v>
      </c>
    </row>
    <row r="43115">
      <c r="A43115" s="1" t="s">
        <v>43114</v>
      </c>
      <c r="B43115" s="2" t="str">
        <f>IFERROR(__xludf.DUMMYFUNCTION("GOOGLETRANSLATE(A43115, ""de"", ""en"")"),"shoemaker")</f>
        <v>shoemaker</v>
      </c>
    </row>
    <row r="43116">
      <c r="A43116" s="1" t="s">
        <v>43115</v>
      </c>
      <c r="B43116" s="2" t="str">
        <f>IFERROR(__xludf.DUMMYFUNCTION("GOOGLETRANSLATE(A43116, ""de"", ""en"")"),"portable")</f>
        <v>portable</v>
      </c>
    </row>
    <row r="43117">
      <c r="A43117" s="1" t="s">
        <v>43116</v>
      </c>
      <c r="B43117" s="2" t="str">
        <f>IFERROR(__xludf.DUMMYFUNCTION("GOOGLETRANSLATE(A43117, ""de"", ""en"")"),"cancels")</f>
        <v>cancels</v>
      </c>
    </row>
    <row r="43118">
      <c r="A43118" s="1" t="s">
        <v>43117</v>
      </c>
      <c r="B43118" s="2" t="str">
        <f>IFERROR(__xludf.DUMMYFUNCTION("GOOGLETRANSLATE(A43118, ""de"", ""en"")"),"spirituality")</f>
        <v>spirituality</v>
      </c>
    </row>
    <row r="43119">
      <c r="A43119" s="1" t="s">
        <v>43118</v>
      </c>
      <c r="B43119" s="2" t="str">
        <f>IFERROR(__xludf.DUMMYFUNCTION("GOOGLETRANSLATE(A43119, ""de"", ""en"")"),"wish list")</f>
        <v>wish list</v>
      </c>
    </row>
    <row r="43120">
      <c r="A43120" s="1" t="s">
        <v>43119</v>
      </c>
      <c r="B43120" s="2" t="str">
        <f>IFERROR(__xludf.DUMMYFUNCTION("GOOGLETRANSLATE(A43120, ""de"", ""en"")"),"transported")</f>
        <v>transported</v>
      </c>
    </row>
    <row r="43121">
      <c r="A43121" s="1" t="s">
        <v>43120</v>
      </c>
      <c r="B43121" s="2" t="str">
        <f>IFERROR(__xludf.DUMMYFUNCTION("GOOGLETRANSLATE(A43121, ""de"", ""en"")"),"Bohemia")</f>
        <v>Bohemia</v>
      </c>
    </row>
    <row r="43122">
      <c r="A43122" s="1" t="s">
        <v>43121</v>
      </c>
      <c r="B43122" s="2" t="str">
        <f>IFERROR(__xludf.DUMMYFUNCTION("GOOGLETRANSLATE(A43122, ""de"", ""en"")"),"minds")</f>
        <v>minds</v>
      </c>
    </row>
    <row r="43123">
      <c r="A43123" s="1" t="s">
        <v>43122</v>
      </c>
      <c r="B43123" s="2" t="str">
        <f>IFERROR(__xludf.DUMMYFUNCTION("GOOGLETRANSLATE(A43123, ""de"", ""en"")"),"kojima")</f>
        <v>kojima</v>
      </c>
    </row>
    <row r="43124">
      <c r="A43124" s="1" t="s">
        <v>43123</v>
      </c>
      <c r="B43124" s="2" t="str">
        <f>IFERROR(__xludf.DUMMYFUNCTION("GOOGLETRANSLATE(A43124, ""de"", ""en"")"),"prostheses")</f>
        <v>prostheses</v>
      </c>
    </row>
    <row r="43125">
      <c r="A43125" s="1" t="s">
        <v>43124</v>
      </c>
      <c r="B43125" s="2" t="str">
        <f>IFERROR(__xludf.DUMMYFUNCTION("GOOGLETRANSLATE(A43125, ""de"", ""en"")"),"northward")</f>
        <v>northward</v>
      </c>
    </row>
    <row r="43126">
      <c r="A43126" s="1" t="s">
        <v>43125</v>
      </c>
      <c r="B43126" s="2" t="str">
        <f>IFERROR(__xludf.DUMMYFUNCTION("GOOGLETRANSLATE(A43126, ""de"", ""en"")"),"iona")</f>
        <v>iona</v>
      </c>
    </row>
    <row r="43127">
      <c r="A43127" s="1" t="s">
        <v>43126</v>
      </c>
      <c r="B43127" s="2" t="str">
        <f>IFERROR(__xludf.DUMMYFUNCTION("GOOGLETRANSLATE(A43127, ""de"", ""en"")"),"power word")</f>
        <v>power word</v>
      </c>
    </row>
    <row r="43128">
      <c r="A43128" s="1" t="s">
        <v>43127</v>
      </c>
      <c r="B43128" s="2" t="str">
        <f>IFERROR(__xludf.DUMMYFUNCTION("GOOGLETRANSLATE(A43128, ""de"", ""en"")"),"vite")</f>
        <v>vite</v>
      </c>
    </row>
    <row r="43129">
      <c r="A43129" s="1" t="s">
        <v>43128</v>
      </c>
      <c r="B43129" s="2" t="str">
        <f>IFERROR(__xludf.DUMMYFUNCTION("GOOGLETRANSLATE(A43129, ""de"", ""en"")"),"rezian")</f>
        <v>rezian</v>
      </c>
    </row>
    <row r="43130">
      <c r="A43130" s="1" t="s">
        <v>43129</v>
      </c>
      <c r="B43130" s="2" t="str">
        <f>IFERROR(__xludf.DUMMYFUNCTION("GOOGLETRANSLATE(A43130, ""de"", ""en"")"),"more lively")</f>
        <v>more lively</v>
      </c>
    </row>
    <row r="43131">
      <c r="A43131" s="1" t="s">
        <v>43130</v>
      </c>
      <c r="B43131" s="2" t="str">
        <f>IFERROR(__xludf.DUMMYFUNCTION("GOOGLETRANSLATE(A43131, ""de"", ""en"")"),"innings")</f>
        <v>innings</v>
      </c>
    </row>
    <row r="43132">
      <c r="A43132" s="1" t="s">
        <v>43131</v>
      </c>
      <c r="B43132" s="2" t="str">
        <f>IFERROR(__xludf.DUMMYFUNCTION("GOOGLETRANSLATE(A43132, ""de"", ""en"")"),"mundi")</f>
        <v>mundi</v>
      </c>
    </row>
    <row r="43133">
      <c r="A43133" s="1" t="s">
        <v>43132</v>
      </c>
      <c r="B43133" s="2" t="str">
        <f>IFERROR(__xludf.DUMMYFUNCTION("GOOGLETRANSLATE(A43133, ""de"", ""en"")"),"resuscitation")</f>
        <v>resuscitation</v>
      </c>
    </row>
    <row r="43134">
      <c r="A43134" s="1" t="s">
        <v>43133</v>
      </c>
      <c r="B43134" s="2" t="str">
        <f>IFERROR(__xludf.DUMMYFUNCTION("GOOGLETRANSLATE(A43134, ""de"", ""en"")"),"at least")</f>
        <v>at least</v>
      </c>
    </row>
    <row r="43135">
      <c r="A43135" s="1" t="s">
        <v>43134</v>
      </c>
      <c r="B43135" s="2" t="str">
        <f>IFERROR(__xludf.DUMMYFUNCTION("GOOGLETRANSLATE(A43135, ""de"", ""en"")"),"udder")</f>
        <v>udder</v>
      </c>
    </row>
    <row r="43136">
      <c r="A43136" s="1" t="s">
        <v>43135</v>
      </c>
      <c r="B43136" s="2" t="str">
        <f>IFERROR(__xludf.DUMMYFUNCTION("GOOGLETRANSLATE(A43136, ""de"", ""en"")"),"jaden")</f>
        <v>jaden</v>
      </c>
    </row>
    <row r="43137">
      <c r="A43137" s="1" t="s">
        <v>43136</v>
      </c>
      <c r="B43137" s="2" t="str">
        <f>IFERROR(__xludf.DUMMYFUNCTION("GOOGLETRANSLATE(A43137, ""de"", ""en"")"),"towels")</f>
        <v>towels</v>
      </c>
    </row>
    <row r="43138">
      <c r="A43138" s="1" t="s">
        <v>43137</v>
      </c>
      <c r="B43138" s="2" t="str">
        <f>IFERROR(__xludf.DUMMYFUNCTION("GOOGLETRANSLATE(A43138, ""de"", ""en"")"),"cab")</f>
        <v>cab</v>
      </c>
    </row>
    <row r="43139">
      <c r="A43139" s="1" t="s">
        <v>43138</v>
      </c>
      <c r="B43139" s="2" t="str">
        <f>IFERROR(__xludf.DUMMYFUNCTION("GOOGLETRANSLATE(A43139, ""de"", ""en"")"),"Cylon")</f>
        <v>Cylon</v>
      </c>
    </row>
    <row r="43140">
      <c r="A43140" s="1" t="s">
        <v>43139</v>
      </c>
      <c r="B43140" s="2" t="str">
        <f>IFERROR(__xludf.DUMMYFUNCTION("GOOGLETRANSLATE(A43140, ""de"", ""en"")"),"head of cabbage")</f>
        <v>head of cabbage</v>
      </c>
    </row>
    <row r="43141">
      <c r="A43141" s="1" t="s">
        <v>43140</v>
      </c>
      <c r="B43141" s="2" t="str">
        <f>IFERROR(__xludf.DUMMYFUNCTION("GOOGLETRANSLATE(A43141, ""de"", ""en"")"),"loudly")</f>
        <v>loudly</v>
      </c>
    </row>
    <row r="43142">
      <c r="A43142" s="1" t="s">
        <v>43141</v>
      </c>
      <c r="B43142" s="2" t="str">
        <f>IFERROR(__xludf.DUMMYFUNCTION("GOOGLETRANSLATE(A43142, ""de"", ""en"")"),"bioweapon")</f>
        <v>bioweapon</v>
      </c>
    </row>
    <row r="43143">
      <c r="A43143" s="1" t="s">
        <v>43142</v>
      </c>
      <c r="B43143" s="2" t="str">
        <f>IFERROR(__xludf.DUMMYFUNCTION("GOOGLETRANSLATE(A43143, ""de"", ""en"")"),"lannisters")</f>
        <v>lannisters</v>
      </c>
    </row>
    <row r="43144">
      <c r="A43144" s="1" t="s">
        <v>43143</v>
      </c>
      <c r="B43144" s="2" t="str">
        <f>IFERROR(__xludf.DUMMYFUNCTION("GOOGLETRANSLATE(A43144, ""de"", ""en"")"),"Heathers")</f>
        <v>Heathers</v>
      </c>
    </row>
    <row r="43145">
      <c r="A43145" s="1" t="s">
        <v>43144</v>
      </c>
      <c r="B43145" s="2" t="str">
        <f>IFERROR(__xludf.DUMMYFUNCTION("GOOGLETRANSLATE(A43145, ""de"", ""en"")"),"combs")</f>
        <v>combs</v>
      </c>
    </row>
    <row r="43146">
      <c r="A43146" s="1" t="s">
        <v>43145</v>
      </c>
      <c r="B43146" s="2" t="str">
        <f>IFERROR(__xludf.DUMMYFUNCTION("GOOGLETRANSLATE(A43146, ""de"", ""en"")"),"jemima")</f>
        <v>jemima</v>
      </c>
    </row>
    <row r="43147">
      <c r="A43147" s="1" t="s">
        <v>43146</v>
      </c>
      <c r="B43147" s="2" t="str">
        <f>IFERROR(__xludf.DUMMYFUNCTION("GOOGLETRANSLATE(A43147, ""de"", ""en"")"),"carry away")</f>
        <v>carry away</v>
      </c>
    </row>
    <row r="43148">
      <c r="A43148" s="1" t="s">
        <v>43147</v>
      </c>
      <c r="B43148" s="2" t="str">
        <f>IFERROR(__xludf.DUMMYFUNCTION("GOOGLETRANSLATE(A43148, ""de"", ""en"")"),"cinema")</f>
        <v>cinema</v>
      </c>
    </row>
    <row r="43149">
      <c r="A43149" s="1" t="s">
        <v>43148</v>
      </c>
      <c r="B43149" s="2" t="str">
        <f>IFERROR(__xludf.DUMMYFUNCTION("GOOGLETRANSLATE(A43149, ""de"", ""en"")"),"fed")</f>
        <v>fed</v>
      </c>
    </row>
    <row r="43150">
      <c r="A43150" s="1" t="s">
        <v>43149</v>
      </c>
      <c r="B43150" s="2" t="str">
        <f>IFERROR(__xludf.DUMMYFUNCTION("GOOGLETRANSLATE(A43150, ""de"", ""en"")"),"strange")</f>
        <v>strange</v>
      </c>
    </row>
    <row r="43151">
      <c r="A43151" s="1" t="s">
        <v>43150</v>
      </c>
      <c r="B43151" s="2" t="str">
        <f>IFERROR(__xludf.DUMMYFUNCTION("GOOGLETRANSLATE(A43151, ""de"", ""en"")"),"medical school")</f>
        <v>medical school</v>
      </c>
    </row>
    <row r="43152">
      <c r="A43152" s="1" t="s">
        <v>43151</v>
      </c>
      <c r="B43152" s="2" t="str">
        <f>IFERROR(__xludf.DUMMYFUNCTION("GOOGLETRANSLATE(A43152, ""de"", ""en"")"),"football game")</f>
        <v>football game</v>
      </c>
    </row>
    <row r="43153">
      <c r="A43153" s="1" t="s">
        <v>43152</v>
      </c>
      <c r="B43153" s="2" t="str">
        <f>IFERROR(__xludf.DUMMYFUNCTION("GOOGLETRANSLATE(A43153, ""de"", ""en"")"),"opening credits")</f>
        <v>opening credits</v>
      </c>
    </row>
    <row r="43154">
      <c r="A43154" s="1" t="s">
        <v>43153</v>
      </c>
      <c r="B43154" s="2" t="str">
        <f>IFERROR(__xludf.DUMMYFUNCTION("GOOGLETRANSLATE(A43154, ""de"", ""en"")"),"antique")</f>
        <v>antique</v>
      </c>
    </row>
    <row r="43155">
      <c r="A43155" s="1" t="s">
        <v>43154</v>
      </c>
      <c r="B43155" s="2" t="str">
        <f>IFERROR(__xludf.DUMMYFUNCTION("GOOGLETRANSLATE(A43155, ""de"", ""en"")"),"headless")</f>
        <v>headless</v>
      </c>
    </row>
    <row r="43156">
      <c r="A43156" s="1" t="s">
        <v>43155</v>
      </c>
      <c r="B43156" s="2" t="str">
        <f>IFERROR(__xludf.DUMMYFUNCTION("GOOGLETRANSLATE(A43156, ""de"", ""en"")"),"balloon")</f>
        <v>balloon</v>
      </c>
    </row>
    <row r="43157">
      <c r="A43157" s="1" t="s">
        <v>43156</v>
      </c>
      <c r="B43157" s="2" t="str">
        <f>IFERROR(__xludf.DUMMYFUNCTION("GOOGLETRANSLATE(A43157, ""de"", ""en"")"),"commissioner")</f>
        <v>commissioner</v>
      </c>
    </row>
    <row r="43158">
      <c r="A43158" s="1" t="s">
        <v>43157</v>
      </c>
      <c r="B43158" s="2" t="str">
        <f>IFERROR(__xludf.DUMMYFUNCTION("GOOGLETRANSLATE(A43158, ""de"", ""en"")"),"squander")</f>
        <v>squander</v>
      </c>
    </row>
    <row r="43159">
      <c r="A43159" s="1" t="s">
        <v>43158</v>
      </c>
      <c r="B43159" s="2" t="str">
        <f>IFERROR(__xludf.DUMMYFUNCTION("GOOGLETRANSLATE(A43159, ""de"", ""en"")"),"quayle")</f>
        <v>quayle</v>
      </c>
    </row>
    <row r="43160">
      <c r="A43160" s="1" t="s">
        <v>43159</v>
      </c>
      <c r="B43160" s="2" t="str">
        <f>IFERROR(__xludf.DUMMYFUNCTION("GOOGLETRANSLATE(A43160, ""de"", ""en"")"),"Alyosha")</f>
        <v>Alyosha</v>
      </c>
    </row>
    <row r="43161">
      <c r="A43161" s="1" t="s">
        <v>43160</v>
      </c>
      <c r="B43161" s="2" t="str">
        <f>IFERROR(__xludf.DUMMYFUNCTION("GOOGLETRANSLATE(A43161, ""de"", ""en"")"),"egg cell")</f>
        <v>egg cell</v>
      </c>
    </row>
    <row r="43162">
      <c r="A43162" s="1" t="s">
        <v>43161</v>
      </c>
      <c r="B43162" s="2" t="str">
        <f>IFERROR(__xludf.DUMMYFUNCTION("GOOGLETRANSLATE(A43162, ""de"", ""en"")"),"charge")</f>
        <v>charge</v>
      </c>
    </row>
    <row r="43163">
      <c r="A43163" s="1" t="s">
        <v>43162</v>
      </c>
      <c r="B43163" s="2" t="str">
        <f>IFERROR(__xludf.DUMMYFUNCTION("GOOGLETRANSLATE(A43163, ""de"", ""en"")"),"throne room")</f>
        <v>throne room</v>
      </c>
    </row>
    <row r="43164">
      <c r="A43164" s="1" t="s">
        <v>43163</v>
      </c>
      <c r="B43164" s="2" t="str">
        <f>IFERROR(__xludf.DUMMYFUNCTION("GOOGLETRANSLATE(A43164, ""de"", ""en"")"),"ice cream parlor")</f>
        <v>ice cream parlor</v>
      </c>
    </row>
    <row r="43165">
      <c r="A43165" s="1" t="s">
        <v>43164</v>
      </c>
      <c r="B43165" s="2" t="str">
        <f>IFERROR(__xludf.DUMMYFUNCTION("GOOGLETRANSLATE(A43165, ""de"", ""en"")"),"cellars")</f>
        <v>cellars</v>
      </c>
    </row>
    <row r="43166">
      <c r="A43166" s="1" t="s">
        <v>43165</v>
      </c>
      <c r="B43166" s="2" t="str">
        <f>IFERROR(__xludf.DUMMYFUNCTION("GOOGLETRANSLATE(A43166, ""de"", ""en"")"),"crocodiles")</f>
        <v>crocodiles</v>
      </c>
    </row>
    <row r="43167">
      <c r="A43167" s="1" t="s">
        <v>43166</v>
      </c>
      <c r="B43167" s="2" t="str">
        <f>IFERROR(__xludf.DUMMYFUNCTION("GOOGLETRANSLATE(A43167, ""de"", ""en"")"),"ran away")</f>
        <v>ran away</v>
      </c>
    </row>
    <row r="43168">
      <c r="A43168" s="1" t="s">
        <v>43167</v>
      </c>
      <c r="B43168" s="2" t="str">
        <f>IFERROR(__xludf.DUMMYFUNCTION("GOOGLETRANSLATE(A43168, ""de"", ""en"")"),"harsh")</f>
        <v>harsh</v>
      </c>
    </row>
    <row r="43169">
      <c r="A43169" s="1" t="s">
        <v>43168</v>
      </c>
      <c r="B43169" s="2" t="str">
        <f>IFERROR(__xludf.DUMMYFUNCTION("GOOGLETRANSLATE(A43169, ""de"", ""en"")"),"gossiped")</f>
        <v>gossiped</v>
      </c>
    </row>
    <row r="43170">
      <c r="A43170" s="1" t="s">
        <v>43169</v>
      </c>
      <c r="B43170" s="2" t="str">
        <f>IFERROR(__xludf.DUMMYFUNCTION("GOOGLETRANSLATE(A43170, ""de"", ""en"")"),"turn closed")</f>
        <v>turn closed</v>
      </c>
    </row>
    <row r="43171">
      <c r="A43171" s="1" t="s">
        <v>43170</v>
      </c>
      <c r="B43171" s="2" t="str">
        <f>IFERROR(__xludf.DUMMYFUNCTION("GOOGLETRANSLATE(A43171, ""de"", ""en"")"),"meggie")</f>
        <v>meggie</v>
      </c>
    </row>
    <row r="43172">
      <c r="A43172" s="1" t="s">
        <v>43171</v>
      </c>
      <c r="B43172" s="2" t="str">
        <f>IFERROR(__xludf.DUMMYFUNCTION("GOOGLETRANSLATE(A43172, ""de"", ""en"")"),"sunny")</f>
        <v>sunny</v>
      </c>
    </row>
    <row r="43173">
      <c r="A43173" s="1" t="s">
        <v>43172</v>
      </c>
      <c r="B43173" s="2" t="str">
        <f>IFERROR(__xludf.DUMMYFUNCTION("GOOGLETRANSLATE(A43173, ""de"", ""en"")"),"waiver")</f>
        <v>waiver</v>
      </c>
    </row>
    <row r="43174">
      <c r="A43174" s="1" t="s">
        <v>43173</v>
      </c>
      <c r="B43174" s="2" t="str">
        <f>IFERROR(__xludf.DUMMYFUNCTION("GOOGLETRANSLATE(A43174, ""de"", ""en"")"),"riders")</f>
        <v>riders</v>
      </c>
    </row>
    <row r="43175">
      <c r="A43175" s="1" t="s">
        <v>43174</v>
      </c>
      <c r="B43175" s="2" t="str">
        <f>IFERROR(__xludf.DUMMYFUNCTION("GOOGLETRANSLATE(A43175, ""de"", ""en"")"),"leth")</f>
        <v>leth</v>
      </c>
    </row>
    <row r="43176">
      <c r="A43176" s="1" t="s">
        <v>43175</v>
      </c>
      <c r="B43176" s="2" t="str">
        <f>IFERROR(__xludf.DUMMYFUNCTION("GOOGLETRANSLATE(A43176, ""de"", ""en"")"),"immediate")</f>
        <v>immediate</v>
      </c>
    </row>
    <row r="43177">
      <c r="A43177" s="1" t="s">
        <v>43176</v>
      </c>
      <c r="B43177" s="2" t="str">
        <f>IFERROR(__xludf.DUMMYFUNCTION("GOOGLETRANSLATE(A43177, ""de"", ""en"")"),"broken through")</f>
        <v>broken through</v>
      </c>
    </row>
    <row r="43178">
      <c r="A43178" s="1" t="s">
        <v>43177</v>
      </c>
      <c r="B43178" s="2" t="str">
        <f>IFERROR(__xludf.DUMMYFUNCTION("GOOGLETRANSLATE(A43178, ""de"", ""en"")"),"greenleaf")</f>
        <v>greenleaf</v>
      </c>
    </row>
    <row r="43179">
      <c r="A43179" s="1" t="s">
        <v>43178</v>
      </c>
      <c r="B43179" s="2" t="str">
        <f>IFERROR(__xludf.DUMMYFUNCTION("GOOGLETRANSLATE(A43179, ""de"", ""en"")"),"daan")</f>
        <v>daan</v>
      </c>
    </row>
    <row r="43180">
      <c r="A43180" s="1" t="s">
        <v>43179</v>
      </c>
      <c r="B43180" s="2" t="str">
        <f>IFERROR(__xludf.DUMMYFUNCTION("GOOGLETRANSLATE(A43180, ""de"", ""en"")"),"slash")</f>
        <v>slash</v>
      </c>
    </row>
    <row r="43181">
      <c r="A43181" s="1" t="s">
        <v>43180</v>
      </c>
      <c r="B43181" s="2" t="str">
        <f>IFERROR(__xludf.DUMMYFUNCTION("GOOGLETRANSLATE(A43181, ""de"", ""en"")"),"throw on")</f>
        <v>throw on</v>
      </c>
    </row>
    <row r="43182">
      <c r="A43182" s="1" t="s">
        <v>43181</v>
      </c>
      <c r="B43182" s="2" t="str">
        <f>IFERROR(__xludf.DUMMYFUNCTION("GOOGLETRANSLATE(A43182, ""de"", ""en"")"),"car breakdown")</f>
        <v>car breakdown</v>
      </c>
    </row>
    <row r="43183">
      <c r="A43183" s="1" t="s">
        <v>43182</v>
      </c>
      <c r="B43183" s="2" t="str">
        <f>IFERROR(__xludf.DUMMYFUNCTION("GOOGLETRANSLATE(A43183, ""de"", ""en"")"),"driving school")</f>
        <v>driving school</v>
      </c>
    </row>
    <row r="43184">
      <c r="A43184" s="1" t="s">
        <v>43183</v>
      </c>
      <c r="B43184" s="2" t="str">
        <f>IFERROR(__xludf.DUMMYFUNCTION("GOOGLETRANSLATE(A43184, ""de"", ""en"")"),"derived")</f>
        <v>derived</v>
      </c>
    </row>
    <row r="43185">
      <c r="A43185" s="1" t="s">
        <v>43184</v>
      </c>
      <c r="B43185" s="2" t="str">
        <f>IFERROR(__xludf.DUMMYFUNCTION("GOOGLETRANSLATE(A43185, ""de"", ""en"")"),"arav")</f>
        <v>arav</v>
      </c>
    </row>
    <row r="43186">
      <c r="A43186" s="1" t="s">
        <v>43185</v>
      </c>
      <c r="B43186" s="2" t="str">
        <f>IFERROR(__xludf.DUMMYFUNCTION("GOOGLETRANSLATE(A43186, ""de"", ""en"")"),"nogoro")</f>
        <v>nogoro</v>
      </c>
    </row>
    <row r="43187">
      <c r="A43187" s="1" t="s">
        <v>43186</v>
      </c>
      <c r="B43187" s="2" t="str">
        <f>IFERROR(__xludf.DUMMYFUNCTION("GOOGLETRANSLATE(A43187, ""de"", ""en"")"),"long distance relationship")</f>
        <v>long distance relationship</v>
      </c>
    </row>
    <row r="43188">
      <c r="A43188" s="1" t="s">
        <v>43187</v>
      </c>
      <c r="B43188" s="2" t="str">
        <f>IFERROR(__xludf.DUMMYFUNCTION("GOOGLETRANSLATE(A43188, ""de"", ""en"")"),"test subject")</f>
        <v>test subject</v>
      </c>
    </row>
    <row r="43189">
      <c r="A43189" s="1" t="s">
        <v>43188</v>
      </c>
      <c r="B43189" s="2" t="str">
        <f>IFERROR(__xludf.DUMMYFUNCTION("GOOGLETRANSLATE(A43189, ""de"", ""en"")"),"stupidest")</f>
        <v>stupidest</v>
      </c>
    </row>
    <row r="43190">
      <c r="A43190" s="1" t="s">
        <v>43189</v>
      </c>
      <c r="B43190" s="2" t="str">
        <f>IFERROR(__xludf.DUMMYFUNCTION("GOOGLETRANSLATE(A43190, ""de"", ""en"")"),"day laborer")</f>
        <v>day laborer</v>
      </c>
    </row>
    <row r="43191">
      <c r="A43191" s="1" t="s">
        <v>43190</v>
      </c>
      <c r="B43191" s="2" t="str">
        <f>IFERROR(__xludf.DUMMYFUNCTION("GOOGLETRANSLATE(A43191, ""de"", ""en"")"),"to prevent")</f>
        <v>to prevent</v>
      </c>
    </row>
    <row r="43192">
      <c r="A43192" s="1" t="s">
        <v>43191</v>
      </c>
      <c r="B43192" s="2" t="str">
        <f>IFERROR(__xludf.DUMMYFUNCTION("GOOGLETRANSLATE(A43192, ""de"", ""en"")"),"more determined")</f>
        <v>more determined</v>
      </c>
    </row>
    <row r="43193">
      <c r="A43193" s="1" t="s">
        <v>43192</v>
      </c>
      <c r="B43193" s="2" t="str">
        <f>IFERROR(__xludf.DUMMYFUNCTION("GOOGLETRANSLATE(A43193, ""de"", ""en"")"),"round table")</f>
        <v>round table</v>
      </c>
    </row>
    <row r="43194">
      <c r="A43194" s="1" t="s">
        <v>43193</v>
      </c>
      <c r="B43194" s="2" t="str">
        <f>IFERROR(__xludf.DUMMYFUNCTION("GOOGLETRANSLATE(A43194, ""de"", ""en"")"),"menstruation")</f>
        <v>menstruation</v>
      </c>
    </row>
    <row r="43195">
      <c r="A43195" s="1" t="s">
        <v>43194</v>
      </c>
      <c r="B43195" s="2" t="str">
        <f>IFERROR(__xludf.DUMMYFUNCTION("GOOGLETRANSLATE(A43195, ""de"", ""en"")"),"gross")</f>
        <v>gross</v>
      </c>
    </row>
    <row r="43196">
      <c r="A43196" s="1" t="s">
        <v>43195</v>
      </c>
      <c r="B43196" s="2" t="str">
        <f>IFERROR(__xludf.DUMMYFUNCTION("GOOGLETRANSLATE(A43196, ""de"", ""en"")"),"push")</f>
        <v>push</v>
      </c>
    </row>
    <row r="43197">
      <c r="A43197" s="1" t="s">
        <v>43196</v>
      </c>
      <c r="B43197" s="2" t="str">
        <f>IFERROR(__xludf.DUMMYFUNCTION("GOOGLETRANSLATE(A43197, ""de"", ""en"")"),"pigalle")</f>
        <v>pigalle</v>
      </c>
    </row>
    <row r="43198">
      <c r="A43198" s="1" t="s">
        <v>43197</v>
      </c>
      <c r="B43198" s="2" t="str">
        <f>IFERROR(__xludf.DUMMYFUNCTION("GOOGLETRANSLATE(A43198, ""de"", ""en"")"),"authenticity")</f>
        <v>authenticity</v>
      </c>
    </row>
    <row r="43199">
      <c r="A43199" s="1" t="s">
        <v>43198</v>
      </c>
      <c r="B43199" s="2" t="str">
        <f>IFERROR(__xludf.DUMMYFUNCTION("GOOGLETRANSLATE(A43199, ""de"", ""en"")"),"temptress")</f>
        <v>temptress</v>
      </c>
    </row>
    <row r="43200">
      <c r="A43200" s="1" t="s">
        <v>43199</v>
      </c>
      <c r="B43200" s="2" t="str">
        <f>IFERROR(__xludf.DUMMYFUNCTION("GOOGLETRANSLATE(A43200, ""de"", ""en"")"),"huston")</f>
        <v>huston</v>
      </c>
    </row>
    <row r="43201">
      <c r="A43201" s="1" t="s">
        <v>43200</v>
      </c>
      <c r="B43201" s="2" t="str">
        <f>IFERROR(__xludf.DUMMYFUNCTION("GOOGLETRANSLATE(A43201, ""de"", ""en"")"),"taste")</f>
        <v>taste</v>
      </c>
    </row>
    <row r="43202">
      <c r="A43202" s="1" t="s">
        <v>43201</v>
      </c>
      <c r="B43202" s="2" t="str">
        <f>IFERROR(__xludf.DUMMYFUNCTION("GOOGLETRANSLATE(A43202, ""de"", ""en"")"),"rostov")</f>
        <v>rostov</v>
      </c>
    </row>
    <row r="43203">
      <c r="A43203" s="1" t="s">
        <v>43202</v>
      </c>
      <c r="B43203" s="2" t="str">
        <f>IFERROR(__xludf.DUMMYFUNCTION("GOOGLETRANSLATE(A43203, ""de"", ""en"")"),"Sabbath")</f>
        <v>Sabbath</v>
      </c>
    </row>
    <row r="43204">
      <c r="A43204" s="1" t="s">
        <v>43203</v>
      </c>
      <c r="B43204" s="2" t="str">
        <f>IFERROR(__xludf.DUMMYFUNCTION("GOOGLETRANSLATE(A43204, ""de"", ""en"")"),"melted away")</f>
        <v>melted away</v>
      </c>
    </row>
    <row r="43205">
      <c r="A43205" s="1" t="s">
        <v>43204</v>
      </c>
      <c r="B43205" s="2" t="str">
        <f>IFERROR(__xludf.DUMMYFUNCTION("GOOGLETRANSLATE(A43205, ""de"", ""en"")"),"embarrassed")</f>
        <v>embarrassed</v>
      </c>
    </row>
    <row r="43206">
      <c r="A43206" s="1" t="s">
        <v>43205</v>
      </c>
      <c r="B43206" s="2" t="str">
        <f>IFERROR(__xludf.DUMMYFUNCTION("GOOGLETRANSLATE(A43206, ""de"", ""en"")"),"bayonets")</f>
        <v>bayonets</v>
      </c>
    </row>
    <row r="43207">
      <c r="A43207" s="1" t="s">
        <v>43206</v>
      </c>
      <c r="B43207" s="2" t="str">
        <f>IFERROR(__xludf.DUMMYFUNCTION("GOOGLETRANSLATE(A43207, ""de"", ""en"")"),"like")</f>
        <v>like</v>
      </c>
    </row>
    <row r="43208">
      <c r="A43208" s="1" t="s">
        <v>43207</v>
      </c>
      <c r="B43208" s="2" t="str">
        <f>IFERROR(__xludf.DUMMYFUNCTION("GOOGLETRANSLATE(A43208, ""de"", ""en"")"),"fascinated")</f>
        <v>fascinated</v>
      </c>
    </row>
    <row r="43209">
      <c r="A43209" s="1" t="s">
        <v>43208</v>
      </c>
      <c r="B43209" s="2" t="str">
        <f>IFERROR(__xludf.DUMMYFUNCTION("GOOGLETRANSLATE(A43209, ""de"", ""en"")"),"broke through")</f>
        <v>broke through</v>
      </c>
    </row>
    <row r="43210">
      <c r="A43210" s="1" t="s">
        <v>43209</v>
      </c>
      <c r="B43210" s="2" t="str">
        <f>IFERROR(__xludf.DUMMYFUNCTION("GOOGLETRANSLATE(A43210, ""de"", ""en"")"),"blunted")</f>
        <v>blunted</v>
      </c>
    </row>
    <row r="43211">
      <c r="A43211" s="1" t="s">
        <v>43210</v>
      </c>
      <c r="B43211" s="2" t="str">
        <f>IFERROR(__xludf.DUMMYFUNCTION("GOOGLETRANSLATE(A43211, ""de"", ""en"")"),"aylin")</f>
        <v>aylin</v>
      </c>
    </row>
    <row r="43212">
      <c r="A43212" s="1" t="s">
        <v>43211</v>
      </c>
      <c r="B43212" s="2" t="str">
        <f>IFERROR(__xludf.DUMMYFUNCTION("GOOGLETRANSLATE(A43212, ""de"", ""en"")"),"blecha")</f>
        <v>blecha</v>
      </c>
    </row>
    <row r="43213">
      <c r="A43213" s="1" t="s">
        <v>43212</v>
      </c>
      <c r="B43213" s="2" t="str">
        <f>IFERROR(__xludf.DUMMYFUNCTION("GOOGLETRANSLATE(A43213, ""de"", ""en"")"),"chain")</f>
        <v>chain</v>
      </c>
    </row>
    <row r="43214">
      <c r="A43214" s="1" t="s">
        <v>43213</v>
      </c>
      <c r="B43214" s="2" t="str">
        <f>IFERROR(__xludf.DUMMYFUNCTION("GOOGLETRANSLATE(A43214, ""de"", ""en"")"),"vitality")</f>
        <v>vitality</v>
      </c>
    </row>
    <row r="43215">
      <c r="A43215" s="1" t="s">
        <v>43214</v>
      </c>
      <c r="B43215" s="2" t="str">
        <f>IFERROR(__xludf.DUMMYFUNCTION("GOOGLETRANSLATE(A43215, ""de"", ""en"")"),"leek")</f>
        <v>leek</v>
      </c>
    </row>
    <row r="43216">
      <c r="A43216" s="1" t="s">
        <v>43215</v>
      </c>
      <c r="B43216" s="2" t="str">
        <f>IFERROR(__xludf.DUMMYFUNCTION("GOOGLETRANSLATE(A43216, ""de"", ""en"")"),"thruster")</f>
        <v>thruster</v>
      </c>
    </row>
    <row r="43217">
      <c r="A43217" s="1" t="s">
        <v>43216</v>
      </c>
      <c r="B43217" s="2" t="str">
        <f>IFERROR(__xludf.DUMMYFUNCTION("GOOGLETRANSLATE(A43217, ""de"", ""en"")"),"tribbiani")</f>
        <v>tribbiani</v>
      </c>
    </row>
    <row r="43218">
      <c r="A43218" s="1" t="s">
        <v>43217</v>
      </c>
      <c r="B43218" s="2" t="str">
        <f>IFERROR(__xludf.DUMMYFUNCTION("GOOGLETRANSLATE(A43218, ""de"", ""en"")"),"vero")</f>
        <v>vero</v>
      </c>
    </row>
    <row r="43219">
      <c r="A43219" s="1" t="s">
        <v>43218</v>
      </c>
      <c r="B43219" s="2" t="str">
        <f>IFERROR(__xludf.DUMMYFUNCTION("GOOGLETRANSLATE(A43219, ""de"", ""en"")"),"maximum")</f>
        <v>maximum</v>
      </c>
    </row>
    <row r="43220">
      <c r="A43220" s="1" t="s">
        <v>43219</v>
      </c>
      <c r="B43220" s="2" t="str">
        <f>IFERROR(__xludf.DUMMYFUNCTION("GOOGLETRANSLATE(A43220, ""de"", ""en"")"),"behaved")</f>
        <v>behaved</v>
      </c>
    </row>
    <row r="43221">
      <c r="A43221" s="1" t="s">
        <v>43220</v>
      </c>
      <c r="B43221" s="2" t="str">
        <f>IFERROR(__xludf.DUMMYFUNCTION("GOOGLETRANSLATE(A43221, ""de"", ""en"")"),"translation")</f>
        <v>translation</v>
      </c>
    </row>
    <row r="43222">
      <c r="A43222" s="1" t="s">
        <v>43221</v>
      </c>
      <c r="B43222" s="2" t="str">
        <f>IFERROR(__xludf.DUMMYFUNCTION("GOOGLETRANSLATE(A43222, ""de"", ""en"")"),"to refresh")</f>
        <v>to refresh</v>
      </c>
    </row>
    <row r="43223">
      <c r="A43223" s="1" t="s">
        <v>43222</v>
      </c>
      <c r="B43223" s="2" t="str">
        <f>IFERROR(__xludf.DUMMYFUNCTION("GOOGLETRANSLATE(A43223, ""de"", ""en"")"),"more inconspicuous")</f>
        <v>more inconspicuous</v>
      </c>
    </row>
    <row r="43224">
      <c r="A43224" s="1" t="s">
        <v>43223</v>
      </c>
      <c r="B43224" s="2" t="str">
        <f>IFERROR(__xludf.DUMMYFUNCTION("GOOGLETRANSLATE(A43224, ""de"", ""en"")"),"pepa")</f>
        <v>pepa</v>
      </c>
    </row>
    <row r="43225">
      <c r="A43225" s="1" t="s">
        <v>43224</v>
      </c>
      <c r="B43225" s="2" t="str">
        <f>IFERROR(__xludf.DUMMYFUNCTION("GOOGLETRANSLATE(A43225, ""de"", ""en"")"),"secret recipe")</f>
        <v>secret recipe</v>
      </c>
    </row>
    <row r="43226">
      <c r="A43226" s="1" t="s">
        <v>43225</v>
      </c>
      <c r="B43226" s="2" t="str">
        <f>IFERROR(__xludf.DUMMYFUNCTION("GOOGLETRANSLATE(A43226, ""de"", ""en"")"),"dido")</f>
        <v>dido</v>
      </c>
    </row>
    <row r="43227">
      <c r="A43227" s="1" t="s">
        <v>43226</v>
      </c>
      <c r="B43227" s="2" t="str">
        <f>IFERROR(__xludf.DUMMYFUNCTION("GOOGLETRANSLATE(A43227, ""de"", ""en"")"),"sign")</f>
        <v>sign</v>
      </c>
    </row>
    <row r="43228">
      <c r="A43228" s="1" t="s">
        <v>43227</v>
      </c>
      <c r="B43228" s="2" t="str">
        <f>IFERROR(__xludf.DUMMYFUNCTION("GOOGLETRANSLATE(A43228, ""de"", ""en"")"),"moving van")</f>
        <v>moving van</v>
      </c>
    </row>
    <row r="43229">
      <c r="A43229" s="1" t="s">
        <v>43228</v>
      </c>
      <c r="B43229" s="2" t="str">
        <f>IFERROR(__xludf.DUMMYFUNCTION("GOOGLETRANSLATE(A43229, ""de"", ""en"")"),"power lines")</f>
        <v>power lines</v>
      </c>
    </row>
    <row r="43230">
      <c r="A43230" s="1" t="s">
        <v>43229</v>
      </c>
      <c r="B43230" s="2" t="str">
        <f>IFERROR(__xludf.DUMMYFUNCTION("GOOGLETRANSLATE(A43230, ""de"", ""en"")"),"terran")</f>
        <v>terran</v>
      </c>
    </row>
    <row r="43231">
      <c r="A43231" s="1" t="s">
        <v>43230</v>
      </c>
      <c r="B43231" s="2" t="str">
        <f>IFERROR(__xludf.DUMMYFUNCTION("GOOGLETRANSLATE(A43231, ""de"", ""en"")"),"more sensitive")</f>
        <v>more sensitive</v>
      </c>
    </row>
    <row r="43232">
      <c r="A43232" s="1" t="s">
        <v>43231</v>
      </c>
      <c r="B43232" s="2" t="str">
        <f>IFERROR(__xludf.DUMMYFUNCTION("GOOGLETRANSLATE(A43232, ""de"", ""en"")"),"clapped")</f>
        <v>clapped</v>
      </c>
    </row>
    <row r="43233">
      <c r="A43233" s="1" t="s">
        <v>43232</v>
      </c>
      <c r="B43233" s="2" t="str">
        <f>IFERROR(__xludf.DUMMYFUNCTION("GOOGLETRANSLATE(A43233, ""de"", ""en"")"),"geek")</f>
        <v>geek</v>
      </c>
    </row>
    <row r="43234">
      <c r="A43234" s="1" t="s">
        <v>43233</v>
      </c>
      <c r="B43234" s="2" t="str">
        <f>IFERROR(__xludf.DUMMYFUNCTION("GOOGLETRANSLATE(A43234, ""de"", ""en"")"),"more civilized")</f>
        <v>more civilized</v>
      </c>
    </row>
    <row r="43235">
      <c r="A43235" s="1" t="s">
        <v>43234</v>
      </c>
      <c r="B43235" s="2" t="str">
        <f>IFERROR(__xludf.DUMMYFUNCTION("GOOGLETRANSLATE(A43235, ""de"", ""en"")"),"everyone")</f>
        <v>everyone</v>
      </c>
    </row>
    <row r="43236">
      <c r="A43236" s="1" t="s">
        <v>43235</v>
      </c>
      <c r="B43236" s="2" t="str">
        <f>IFERROR(__xludf.DUMMYFUNCTION("GOOGLETRANSLATE(A43236, ""de"", ""en"")"),"hotbed")</f>
        <v>hotbed</v>
      </c>
    </row>
    <row r="43237">
      <c r="A43237" s="1" t="s">
        <v>43236</v>
      </c>
      <c r="B43237" s="2" t="str">
        <f>IFERROR(__xludf.DUMMYFUNCTION("GOOGLETRANSLATE(A43237, ""de"", ""en"")"),"orders")</f>
        <v>orders</v>
      </c>
    </row>
    <row r="43238">
      <c r="A43238" s="1" t="s">
        <v>43237</v>
      </c>
      <c r="B43238" s="2" t="str">
        <f>IFERROR(__xludf.DUMMYFUNCTION("GOOGLETRANSLATE(A43238, ""de"", ""en"")"),"vi.")</f>
        <v>vi.</v>
      </c>
    </row>
    <row r="43239">
      <c r="A43239" s="1" t="s">
        <v>43238</v>
      </c>
      <c r="B43239" s="2" t="str">
        <f>IFERROR(__xludf.DUMMYFUNCTION("GOOGLETRANSLATE(A43239, ""de"", ""en"")"),"body heat")</f>
        <v>body heat</v>
      </c>
    </row>
    <row r="43240">
      <c r="A43240" s="1" t="s">
        <v>43239</v>
      </c>
      <c r="B43240" s="2" t="str">
        <f>IFERROR(__xludf.DUMMYFUNCTION("GOOGLETRANSLATE(A43240, ""de"", ""en"")"),"high")</f>
        <v>high</v>
      </c>
    </row>
    <row r="43241">
      <c r="A43241" s="1" t="s">
        <v>43240</v>
      </c>
      <c r="B43241" s="2" t="str">
        <f>IFERROR(__xludf.DUMMYFUNCTION("GOOGLETRANSLATE(A43241, ""de"", ""en"")"),"beaches")</f>
        <v>beaches</v>
      </c>
    </row>
    <row r="43242">
      <c r="A43242" s="1" t="s">
        <v>43241</v>
      </c>
      <c r="B43242" s="2" t="str">
        <f>IFERROR(__xludf.DUMMYFUNCTION("GOOGLETRANSLATE(A43242, ""de"", ""en"")"),"let go")</f>
        <v>let go</v>
      </c>
    </row>
    <row r="43243">
      <c r="A43243" s="1" t="s">
        <v>43242</v>
      </c>
      <c r="B43243" s="2" t="str">
        <f>IFERROR(__xludf.DUMMYFUNCTION("GOOGLETRANSLATE(A43243, ""de"", ""en"")"),"Romanians")</f>
        <v>Romanians</v>
      </c>
    </row>
    <row r="43244">
      <c r="A43244" s="1" t="s">
        <v>43243</v>
      </c>
      <c r="B43244" s="2" t="str">
        <f>IFERROR(__xludf.DUMMYFUNCTION("GOOGLETRANSLATE(A43244, ""de"", ""en"")"),"operandi")</f>
        <v>operandi</v>
      </c>
    </row>
    <row r="43245">
      <c r="A43245" s="1" t="s">
        <v>43244</v>
      </c>
      <c r="B43245" s="2" t="str">
        <f>IFERROR(__xludf.DUMMYFUNCTION("GOOGLETRANSLATE(A43245, ""de"", ""en"")"),"duvall")</f>
        <v>duvall</v>
      </c>
    </row>
    <row r="43246">
      <c r="A43246" s="1" t="s">
        <v>43245</v>
      </c>
      <c r="B43246" s="2" t="str">
        <f>IFERROR(__xludf.DUMMYFUNCTION("GOOGLETRANSLATE(A43246, ""de"", ""en"")"),"opponent")</f>
        <v>opponent</v>
      </c>
    </row>
    <row r="43247">
      <c r="A43247" s="1" t="s">
        <v>43246</v>
      </c>
      <c r="B43247" s="2" t="str">
        <f>IFERROR(__xludf.DUMMYFUNCTION("GOOGLETRANSLATE(A43247, ""de"", ""en"")"),"reality show")</f>
        <v>reality show</v>
      </c>
    </row>
    <row r="43248">
      <c r="A43248" s="1" t="s">
        <v>43247</v>
      </c>
      <c r="B43248" s="2" t="str">
        <f>IFERROR(__xludf.DUMMYFUNCTION("GOOGLETRANSLATE(A43248, ""de"", ""en"")"),"ruin")</f>
        <v>ruin</v>
      </c>
    </row>
    <row r="43249">
      <c r="A43249" s="1" t="s">
        <v>43248</v>
      </c>
      <c r="B43249" s="2" t="str">
        <f>IFERROR(__xludf.DUMMYFUNCTION("GOOGLETRANSLATE(A43249, ""de"", ""en"")"),"scrub")</f>
        <v>scrub</v>
      </c>
    </row>
    <row r="43250">
      <c r="A43250" s="1" t="s">
        <v>43249</v>
      </c>
      <c r="B43250" s="2" t="str">
        <f>IFERROR(__xludf.DUMMYFUNCTION("GOOGLETRANSLATE(A43250, ""de"", ""en"")"),"ex-husband")</f>
        <v>ex-husband</v>
      </c>
    </row>
    <row r="43251">
      <c r="A43251" s="1" t="s">
        <v>43250</v>
      </c>
      <c r="B43251" s="2" t="str">
        <f>IFERROR(__xludf.DUMMYFUNCTION("GOOGLETRANSLATE(A43251, ""de"", ""en"")"),"rickie")</f>
        <v>rickie</v>
      </c>
    </row>
    <row r="43252">
      <c r="A43252" s="1" t="s">
        <v>43251</v>
      </c>
      <c r="B43252" s="2" t="str">
        <f>IFERROR(__xludf.DUMMYFUNCTION("GOOGLETRANSLATE(A43252, ""de"", ""en"")"),"freedom of expression")</f>
        <v>freedom of expression</v>
      </c>
    </row>
    <row r="43253">
      <c r="A43253" s="1" t="s">
        <v>43252</v>
      </c>
      <c r="B43253" s="2" t="str">
        <f>IFERROR(__xludf.DUMMYFUNCTION("GOOGLETRANSLATE(A43253, ""de"", ""en"")"),"kebab")</f>
        <v>kebab</v>
      </c>
    </row>
    <row r="43254">
      <c r="A43254" s="1" t="s">
        <v>43253</v>
      </c>
      <c r="B43254" s="2" t="str">
        <f>IFERROR(__xludf.DUMMYFUNCTION("GOOGLETRANSLATE(A43254, ""de"", ""en"")"),"court jester")</f>
        <v>court jester</v>
      </c>
    </row>
    <row r="43255">
      <c r="A43255" s="1" t="s">
        <v>43254</v>
      </c>
      <c r="B43255" s="2" t="str">
        <f>IFERROR(__xludf.DUMMYFUNCTION("GOOGLETRANSLATE(A43255, ""de"", ""en"")"),"diocese")</f>
        <v>diocese</v>
      </c>
    </row>
    <row r="43256">
      <c r="A43256" s="1" t="s">
        <v>43255</v>
      </c>
      <c r="B43256" s="2" t="str">
        <f>IFERROR(__xludf.DUMMYFUNCTION("GOOGLETRANSLATE(A43256, ""de"", ""en"")"),"more obvious")</f>
        <v>more obvious</v>
      </c>
    </row>
    <row r="43257">
      <c r="A43257" s="1" t="s">
        <v>43256</v>
      </c>
      <c r="B43257" s="2" t="str">
        <f>IFERROR(__xludf.DUMMYFUNCTION("GOOGLETRANSLATE(A43257, ""de"", ""en"")"),"marianna")</f>
        <v>marianna</v>
      </c>
    </row>
    <row r="43258">
      <c r="A43258" s="1" t="s">
        <v>43257</v>
      </c>
      <c r="B43258" s="2" t="str">
        <f>IFERROR(__xludf.DUMMYFUNCTION("GOOGLETRANSLATE(A43258, ""de"", ""en"")"),"bag")</f>
        <v>bag</v>
      </c>
    </row>
    <row r="43259">
      <c r="A43259" s="1" t="s">
        <v>43258</v>
      </c>
      <c r="B43259" s="2" t="str">
        <f>IFERROR(__xludf.DUMMYFUNCTION("GOOGLETRANSLATE(A43259, ""de"", ""en"")"),"bestial")</f>
        <v>bestial</v>
      </c>
    </row>
    <row r="43260">
      <c r="A43260" s="1" t="s">
        <v>43259</v>
      </c>
      <c r="B43260" s="2" t="str">
        <f>IFERROR(__xludf.DUMMYFUNCTION("GOOGLETRANSLATE(A43260, ""de"", ""en"")"),"rma")</f>
        <v>rma</v>
      </c>
    </row>
    <row r="43261">
      <c r="A43261" s="1" t="s">
        <v>43260</v>
      </c>
      <c r="B43261" s="2" t="str">
        <f>IFERROR(__xludf.DUMMYFUNCTION("GOOGLETRANSLATE(A43261, ""de"", ""en"")"),"dasey")</f>
        <v>dasey</v>
      </c>
    </row>
    <row r="43262">
      <c r="A43262" s="1" t="s">
        <v>43261</v>
      </c>
      <c r="B43262" s="2" t="str">
        <f>IFERROR(__xludf.DUMMYFUNCTION("GOOGLETRANSLATE(A43262, ""de"", ""en"")"),"tulse")</f>
        <v>tulse</v>
      </c>
    </row>
    <row r="43263">
      <c r="A43263" s="1" t="s">
        <v>43262</v>
      </c>
      <c r="B43263" s="2" t="str">
        <f>IFERROR(__xludf.DUMMYFUNCTION("GOOGLETRANSLATE(A43263, ""de"", ""en"")"),"shit shop")</f>
        <v>shit shop</v>
      </c>
    </row>
    <row r="43264">
      <c r="A43264" s="1" t="s">
        <v>43263</v>
      </c>
      <c r="B43264" s="2" t="str">
        <f>IFERROR(__xludf.DUMMYFUNCTION("GOOGLETRANSLATE(A43264, ""de"", ""en"")"),"silver")</f>
        <v>silver</v>
      </c>
    </row>
    <row r="43265">
      <c r="A43265" s="1" t="s">
        <v>43264</v>
      </c>
      <c r="B43265" s="2" t="str">
        <f>IFERROR(__xludf.DUMMYFUNCTION("GOOGLETRANSLATE(A43265, ""de"", ""en"")"),"Julian")</f>
        <v>Julian</v>
      </c>
    </row>
    <row r="43266">
      <c r="A43266" s="1" t="s">
        <v>43265</v>
      </c>
      <c r="B43266" s="2" t="str">
        <f>IFERROR(__xludf.DUMMYFUNCTION("GOOGLETRANSLATE(A43266, ""de"", ""en"")"),"raise")</f>
        <v>raise</v>
      </c>
    </row>
    <row r="43267">
      <c r="A43267" s="1" t="s">
        <v>43266</v>
      </c>
      <c r="B43267" s="2" t="str">
        <f>IFERROR(__xludf.DUMMYFUNCTION("GOOGLETRANSLATE(A43267, ""de"", ""en"")"),"dealst")</f>
        <v>dealst</v>
      </c>
    </row>
    <row r="43268">
      <c r="A43268" s="1" t="s">
        <v>43267</v>
      </c>
      <c r="B43268" s="2" t="str">
        <f>IFERROR(__xludf.DUMMYFUNCTION("GOOGLETRANSLATE(A43268, ""de"", ""en"")"),"vital")</f>
        <v>vital</v>
      </c>
    </row>
    <row r="43269">
      <c r="A43269" s="1" t="s">
        <v>43268</v>
      </c>
      <c r="B43269" s="2" t="str">
        <f>IFERROR(__xludf.DUMMYFUNCTION("GOOGLETRANSLATE(A43269, ""de"", ""en"")"),"unarmed")</f>
        <v>unarmed</v>
      </c>
    </row>
    <row r="43270">
      <c r="A43270" s="1" t="s">
        <v>43269</v>
      </c>
      <c r="B43270" s="2" t="str">
        <f>IFERROR(__xludf.DUMMYFUNCTION("GOOGLETRANSLATE(A43270, ""de"", ""en"")"),"mixed")</f>
        <v>mixed</v>
      </c>
    </row>
    <row r="43271">
      <c r="A43271" s="1" t="s">
        <v>43270</v>
      </c>
      <c r="B43271" s="2" t="str">
        <f>IFERROR(__xludf.DUMMYFUNCTION("GOOGLETRANSLATE(A43271, ""de"", ""en"")"),"frederica")</f>
        <v>frederica</v>
      </c>
    </row>
    <row r="43272">
      <c r="A43272" s="1" t="s">
        <v>43271</v>
      </c>
      <c r="B43272" s="2" t="str">
        <f>IFERROR(__xludf.DUMMYFUNCTION("GOOGLETRANSLATE(A43272, ""de"", ""en"")"),"deadlines")</f>
        <v>deadlines</v>
      </c>
    </row>
    <row r="43273">
      <c r="A43273" s="1" t="s">
        <v>43272</v>
      </c>
      <c r="B43273" s="2" t="str">
        <f>IFERROR(__xludf.DUMMYFUNCTION("GOOGLETRANSLATE(A43273, ""de"", ""en"")"),"spring cleaning")</f>
        <v>spring cleaning</v>
      </c>
    </row>
    <row r="43274">
      <c r="A43274" s="1" t="s">
        <v>43273</v>
      </c>
      <c r="B43274" s="2" t="str">
        <f>IFERROR(__xludf.DUMMYFUNCTION("GOOGLETRANSLATE(A43274, ""de"", ""en"")"),"sock")</f>
        <v>sock</v>
      </c>
    </row>
    <row r="43275">
      <c r="A43275" s="1" t="s">
        <v>43274</v>
      </c>
      <c r="B43275" s="2" t="str">
        <f>IFERROR(__xludf.DUMMYFUNCTION("GOOGLETRANSLATE(A43275, ""de"", ""en"")"),"Susannah")</f>
        <v>Susannah</v>
      </c>
    </row>
    <row r="43276">
      <c r="A43276" s="1" t="s">
        <v>43275</v>
      </c>
      <c r="B43276" s="2" t="str">
        <f>IFERROR(__xludf.DUMMYFUNCTION("GOOGLETRANSLATE(A43276, ""de"", ""en"")"),"rough")</f>
        <v>rough</v>
      </c>
    </row>
    <row r="43277">
      <c r="A43277" s="1" t="s">
        <v>43276</v>
      </c>
      <c r="B43277" s="2" t="str">
        <f>IFERROR(__xludf.DUMMYFUNCTION("GOOGLETRANSLATE(A43277, ""de"", ""en"")"),"semiramis")</f>
        <v>semiramis</v>
      </c>
    </row>
    <row r="43278">
      <c r="A43278" s="1" t="s">
        <v>43277</v>
      </c>
      <c r="B43278" s="2" t="str">
        <f>IFERROR(__xludf.DUMMYFUNCTION("GOOGLETRANSLATE(A43278, ""de"", ""en"")"),"variation")</f>
        <v>variation</v>
      </c>
    </row>
    <row r="43279">
      <c r="A43279" s="1" t="s">
        <v>43278</v>
      </c>
      <c r="B43279" s="2" t="str">
        <f>IFERROR(__xludf.DUMMYFUNCTION("GOOGLETRANSLATE(A43279, ""de"", ""en"")"),"goo")</f>
        <v>goo</v>
      </c>
    </row>
    <row r="43280">
      <c r="A43280" s="1" t="s">
        <v>43279</v>
      </c>
      <c r="B43280" s="2" t="str">
        <f>IFERROR(__xludf.DUMMYFUNCTION("GOOGLETRANSLATE(A43280, ""de"", ""en"")"),"horrible")</f>
        <v>horrible</v>
      </c>
    </row>
    <row r="43281">
      <c r="A43281" s="1" t="s">
        <v>43280</v>
      </c>
      <c r="B43281" s="2" t="str">
        <f>IFERROR(__xludf.DUMMYFUNCTION("GOOGLETRANSLATE(A43281, ""de"", ""en"")"),"jerky")</f>
        <v>jerky</v>
      </c>
    </row>
    <row r="43282">
      <c r="A43282" s="1" t="s">
        <v>43281</v>
      </c>
      <c r="B43282" s="2" t="str">
        <f>IFERROR(__xludf.DUMMYFUNCTION("GOOGLETRANSLATE(A43282, ""de"", ""en"")"),"legba")</f>
        <v>legba</v>
      </c>
    </row>
    <row r="43283">
      <c r="A43283" s="1" t="s">
        <v>43282</v>
      </c>
      <c r="B43283" s="2" t="str">
        <f>IFERROR(__xludf.DUMMYFUNCTION("GOOGLETRANSLATE(A43283, ""de"", ""en"")"),"rose garden")</f>
        <v>rose garden</v>
      </c>
    </row>
    <row r="43284">
      <c r="A43284" s="1" t="s">
        <v>43283</v>
      </c>
      <c r="B43284" s="2" t="str">
        <f>IFERROR(__xludf.DUMMYFUNCTION("GOOGLETRANSLATE(A43284, ""de"", ""en"")"),"ring")</f>
        <v>ring</v>
      </c>
    </row>
    <row r="43285">
      <c r="A43285" s="1" t="s">
        <v>43284</v>
      </c>
      <c r="B43285" s="2" t="str">
        <f>IFERROR(__xludf.DUMMYFUNCTION("GOOGLETRANSLATE(A43285, ""de"", ""en"")"),"connecting link")</f>
        <v>connecting link</v>
      </c>
    </row>
    <row r="43286">
      <c r="A43286" s="1" t="s">
        <v>43285</v>
      </c>
      <c r="B43286" s="2" t="str">
        <f>IFERROR(__xludf.DUMMYFUNCTION("GOOGLETRANSLATE(A43286, ""de"", ""en"")"),"collaborated")</f>
        <v>collaborated</v>
      </c>
    </row>
    <row r="43287">
      <c r="A43287" s="1" t="s">
        <v>43286</v>
      </c>
      <c r="B43287" s="2" t="str">
        <f>IFERROR(__xludf.DUMMYFUNCTION("GOOGLETRANSLATE(A43287, ""de"", ""en"")"),"akio")</f>
        <v>akio</v>
      </c>
    </row>
    <row r="43288">
      <c r="A43288" s="1" t="s">
        <v>43287</v>
      </c>
      <c r="B43288" s="2" t="str">
        <f>IFERROR(__xludf.DUMMYFUNCTION("GOOGLETRANSLATE(A43288, ""de"", ""en"")"),"waco")</f>
        <v>waco</v>
      </c>
    </row>
    <row r="43289">
      <c r="A43289" s="1" t="s">
        <v>43288</v>
      </c>
      <c r="B43289" s="2" t="str">
        <f>IFERROR(__xludf.DUMMYFUNCTION("GOOGLETRANSLATE(A43289, ""de"", ""en"")"),"surrounded")</f>
        <v>surrounded</v>
      </c>
    </row>
    <row r="43290">
      <c r="A43290" s="1" t="s">
        <v>43289</v>
      </c>
      <c r="B43290" s="2" t="str">
        <f>IFERROR(__xludf.DUMMYFUNCTION("GOOGLETRANSLATE(A43290, ""de"", ""en"")"),"concha")</f>
        <v>concha</v>
      </c>
    </row>
    <row r="43291">
      <c r="A43291" s="1" t="s">
        <v>43290</v>
      </c>
      <c r="B43291" s="2" t="str">
        <f>IFERROR(__xludf.DUMMYFUNCTION("GOOGLETRANSLATE(A43291, ""de"", ""en"")"),"power source")</f>
        <v>power source</v>
      </c>
    </row>
    <row r="43292">
      <c r="A43292" s="1" t="s">
        <v>43291</v>
      </c>
      <c r="B43292" s="2" t="str">
        <f>IFERROR(__xludf.DUMMYFUNCTION("GOOGLETRANSLATE(A43292, ""de"", ""en"")"),"tosca")</f>
        <v>tosca</v>
      </c>
    </row>
    <row r="43293">
      <c r="A43293" s="1" t="s">
        <v>43292</v>
      </c>
      <c r="B43293" s="2" t="str">
        <f>IFERROR(__xludf.DUMMYFUNCTION("GOOGLETRANSLATE(A43293, ""de"", ""en"")"),"more exemplary")</f>
        <v>more exemplary</v>
      </c>
    </row>
    <row r="43294">
      <c r="A43294" s="1" t="s">
        <v>43293</v>
      </c>
      <c r="B43294" s="2" t="str">
        <f>IFERROR(__xludf.DUMMYFUNCTION("GOOGLETRANSLATE(A43294, ""de"", ""en"")"),"shooting path")</f>
        <v>shooting path</v>
      </c>
    </row>
    <row r="43295">
      <c r="A43295" s="1" t="s">
        <v>43294</v>
      </c>
      <c r="B43295" s="2" t="str">
        <f>IFERROR(__xludf.DUMMYFUNCTION("GOOGLETRANSLATE(A43295, ""de"", ""en"")"),"seduce")</f>
        <v>seduce</v>
      </c>
    </row>
    <row r="43296">
      <c r="A43296" s="1" t="s">
        <v>43295</v>
      </c>
      <c r="B43296" s="2" t="str">
        <f>IFERROR(__xludf.DUMMYFUNCTION("GOOGLETRANSLATE(A43296, ""de"", ""en"")"),"stop you")</f>
        <v>stop you</v>
      </c>
    </row>
    <row r="43297">
      <c r="A43297" s="1" t="s">
        <v>43296</v>
      </c>
      <c r="B43297" s="2" t="str">
        <f>IFERROR(__xludf.DUMMYFUNCTION("GOOGLETRANSLATE(A43297, ""de"", ""en"")"),"backing")</f>
        <v>backing</v>
      </c>
    </row>
    <row r="43298">
      <c r="A43298" s="1" t="s">
        <v>43297</v>
      </c>
      <c r="B43298" s="2" t="str">
        <f>IFERROR(__xludf.DUMMYFUNCTION("GOOGLETRANSLATE(A43298, ""de"", ""en"")"),"cancerous tumor")</f>
        <v>cancerous tumor</v>
      </c>
    </row>
    <row r="43299">
      <c r="A43299" s="1" t="s">
        <v>43298</v>
      </c>
      <c r="B43299" s="2" t="str">
        <f>IFERROR(__xludf.DUMMYFUNCTION("GOOGLETRANSLATE(A43299, ""de"", ""en"")"),"iwo")</f>
        <v>iwo</v>
      </c>
    </row>
    <row r="43300">
      <c r="A43300" s="1" t="s">
        <v>43299</v>
      </c>
      <c r="B43300" s="2" t="str">
        <f>IFERROR(__xludf.DUMMYFUNCTION("GOOGLETRANSLATE(A43300, ""de"", ""en"")"),"love scene")</f>
        <v>love scene</v>
      </c>
    </row>
    <row r="43301">
      <c r="A43301" s="1" t="s">
        <v>43300</v>
      </c>
      <c r="B43301" s="2" t="str">
        <f>IFERROR(__xludf.DUMMYFUNCTION("GOOGLETRANSLATE(A43301, ""de"", ""en"")"),"crooked")</f>
        <v>crooked</v>
      </c>
    </row>
    <row r="43302">
      <c r="A43302" s="1" t="s">
        <v>43301</v>
      </c>
      <c r="B43302" s="2" t="str">
        <f>IFERROR(__xludf.DUMMYFUNCTION("GOOGLETRANSLATE(A43302, ""de"", ""en"")"),"meaningless")</f>
        <v>meaningless</v>
      </c>
    </row>
    <row r="43303">
      <c r="A43303" s="1" t="s">
        <v>43302</v>
      </c>
      <c r="B43303" s="2" t="str">
        <f>IFERROR(__xludf.DUMMYFUNCTION("GOOGLETRANSLATE(A43303, ""de"", ""en"")"),"vary")</f>
        <v>vary</v>
      </c>
    </row>
    <row r="43304">
      <c r="A43304" s="1" t="s">
        <v>43303</v>
      </c>
      <c r="B43304" s="2" t="str">
        <f>IFERROR(__xludf.DUMMYFUNCTION("GOOGLETRANSLATE(A43304, ""de"", ""en"")"),"meal plan")</f>
        <v>meal plan</v>
      </c>
    </row>
    <row r="43305">
      <c r="A43305" s="1" t="s">
        <v>43304</v>
      </c>
      <c r="B43305" s="2" t="str">
        <f>IFERROR(__xludf.DUMMYFUNCTION("GOOGLETRANSLATE(A43305, ""de"", ""en"")"),"junko")</f>
        <v>junko</v>
      </c>
    </row>
    <row r="43306">
      <c r="A43306" s="1" t="s">
        <v>43305</v>
      </c>
      <c r="B43306" s="2" t="str">
        <f>IFERROR(__xludf.DUMMYFUNCTION("GOOGLETRANSLATE(A43306, ""de"", ""en"")"),"device")</f>
        <v>device</v>
      </c>
    </row>
    <row r="43307">
      <c r="A43307" s="1" t="s">
        <v>43306</v>
      </c>
      <c r="B43307" s="2" t="str">
        <f>IFERROR(__xludf.DUMMYFUNCTION("GOOGLETRANSLATE(A43307, ""de"", ""en"")"),"barbas")</f>
        <v>barbas</v>
      </c>
    </row>
    <row r="43308">
      <c r="A43308" s="1" t="s">
        <v>43307</v>
      </c>
      <c r="B43308" s="2" t="str">
        <f>IFERROR(__xludf.DUMMYFUNCTION("GOOGLETRANSLATE(A43308, ""de"", ""en"")"),"alys")</f>
        <v>alys</v>
      </c>
    </row>
    <row r="43309">
      <c r="A43309" s="1" t="s">
        <v>43308</v>
      </c>
      <c r="B43309" s="2" t="str">
        <f>IFERROR(__xludf.DUMMYFUNCTION("GOOGLETRANSLATE(A43309, ""de"", ""en"")"),"clarkes")</f>
        <v>clarkes</v>
      </c>
    </row>
    <row r="43310">
      <c r="A43310" s="1" t="s">
        <v>43309</v>
      </c>
      <c r="B43310" s="2" t="str">
        <f>IFERROR(__xludf.DUMMYFUNCTION("GOOGLETRANSLATE(A43310, ""de"", ""en"")"),"collided")</f>
        <v>collided</v>
      </c>
    </row>
    <row r="43311">
      <c r="A43311" s="1" t="s">
        <v>43310</v>
      </c>
      <c r="B43311" s="2" t="str">
        <f>IFERROR(__xludf.DUMMYFUNCTION("GOOGLETRANSLATE(A43311, ""de"", ""en"")"),"blew")</f>
        <v>blew</v>
      </c>
    </row>
    <row r="43312">
      <c r="A43312" s="1" t="s">
        <v>43311</v>
      </c>
      <c r="B43312" s="2" t="str">
        <f>IFERROR(__xludf.DUMMYFUNCTION("GOOGLETRANSLATE(A43312, ""de"", ""en"")"),"comes across")</f>
        <v>comes across</v>
      </c>
    </row>
    <row r="43313">
      <c r="A43313" s="1" t="s">
        <v>43312</v>
      </c>
      <c r="B43313" s="2" t="str">
        <f>IFERROR(__xludf.DUMMYFUNCTION("GOOGLETRANSLATE(A43313, ""de"", ""en"")"),"world famous")</f>
        <v>world famous</v>
      </c>
    </row>
    <row r="43314">
      <c r="A43314" s="1" t="s">
        <v>43313</v>
      </c>
      <c r="B43314" s="2" t="str">
        <f>IFERROR(__xludf.DUMMYFUNCTION("GOOGLETRANSLATE(A43314, ""de"", ""en"")"),"poker")</f>
        <v>poker</v>
      </c>
    </row>
    <row r="43315">
      <c r="A43315" s="1" t="s">
        <v>43314</v>
      </c>
      <c r="B43315" s="2" t="str">
        <f>IFERROR(__xludf.DUMMYFUNCTION("GOOGLETRANSLATE(A43315, ""de"", ""en"")"),"specialist")</f>
        <v>specialist</v>
      </c>
    </row>
    <row r="43316">
      <c r="A43316" s="1" t="s">
        <v>43315</v>
      </c>
      <c r="B43316" s="2" t="str">
        <f>IFERROR(__xludf.DUMMYFUNCTION("GOOGLETRANSLATE(A43316, ""de"", ""en"")"),"capital letters")</f>
        <v>capital letters</v>
      </c>
    </row>
    <row r="43317">
      <c r="A43317" s="1" t="s">
        <v>43316</v>
      </c>
      <c r="B43317" s="2" t="str">
        <f>IFERROR(__xludf.DUMMYFUNCTION("GOOGLETRANSLATE(A43317, ""de"", ""en"")"),"creator")</f>
        <v>creator</v>
      </c>
    </row>
    <row r="43318">
      <c r="A43318" s="1" t="s">
        <v>43317</v>
      </c>
      <c r="B43318" s="2" t="str">
        <f>IFERROR(__xludf.DUMMYFUNCTION("GOOGLETRANSLATE(A43318, ""de"", ""en"")"),"mulch")</f>
        <v>mulch</v>
      </c>
    </row>
    <row r="43319">
      <c r="A43319" s="1" t="s">
        <v>43318</v>
      </c>
      <c r="B43319" s="2" t="str">
        <f>IFERROR(__xludf.DUMMYFUNCTION("GOOGLETRANSLATE(A43319, ""de"", ""en"")"),"communicates")</f>
        <v>communicates</v>
      </c>
    </row>
    <row r="43320">
      <c r="A43320" s="1" t="s">
        <v>43319</v>
      </c>
      <c r="B43320" s="2" t="str">
        <f>IFERROR(__xludf.DUMMYFUNCTION("GOOGLETRANSLATE(A43320, ""de"", ""en"")"),"gomez")</f>
        <v>gomez</v>
      </c>
    </row>
    <row r="43321">
      <c r="A43321" s="1" t="s">
        <v>43320</v>
      </c>
      <c r="B43321" s="2" t="str">
        <f>IFERROR(__xludf.DUMMYFUNCTION("GOOGLETRANSLATE(A43321, ""de"", ""en"")"),"promised")</f>
        <v>promised</v>
      </c>
    </row>
    <row r="43322">
      <c r="A43322" s="1" t="s">
        <v>43321</v>
      </c>
      <c r="B43322" s="2" t="str">
        <f>IFERROR(__xludf.DUMMYFUNCTION("GOOGLETRANSLATE(A43322, ""de"", ""en"")"),"botch")</f>
        <v>botch</v>
      </c>
    </row>
    <row r="43323">
      <c r="A43323" s="1" t="s">
        <v>43322</v>
      </c>
      <c r="B43323" s="2" t="str">
        <f>IFERROR(__xludf.DUMMYFUNCTION("GOOGLETRANSLATE(A43323, ""de"", ""en"")"),"rhetorical")</f>
        <v>rhetorical</v>
      </c>
    </row>
    <row r="43324">
      <c r="A43324" s="1" t="s">
        <v>43323</v>
      </c>
      <c r="B43324" s="2" t="str">
        <f>IFERROR(__xludf.DUMMYFUNCTION("GOOGLETRANSLATE(A43324, ""de"", ""en"")"),"tradition")</f>
        <v>tradition</v>
      </c>
    </row>
    <row r="43325">
      <c r="A43325" s="1" t="s">
        <v>43324</v>
      </c>
      <c r="B43325" s="2" t="str">
        <f>IFERROR(__xludf.DUMMYFUNCTION("GOOGLETRANSLATE(A43325, ""de"", ""en"")"),"existing")</f>
        <v>existing</v>
      </c>
    </row>
    <row r="43326">
      <c r="A43326" s="1" t="s">
        <v>43325</v>
      </c>
      <c r="B43326" s="2" t="str">
        <f>IFERROR(__xludf.DUMMYFUNCTION("GOOGLETRANSLATE(A43326, ""de"", ""en"")"),"showed")</f>
        <v>showed</v>
      </c>
    </row>
    <row r="43327">
      <c r="A43327" s="1" t="s">
        <v>43326</v>
      </c>
      <c r="B43327" s="2" t="str">
        <f>IFERROR(__xludf.DUMMYFUNCTION("GOOGLETRANSLATE(A43327, ""de"", ""en"")"),"retina")</f>
        <v>retina</v>
      </c>
    </row>
    <row r="43328">
      <c r="A43328" s="1" t="s">
        <v>43327</v>
      </c>
      <c r="B43328" s="2" t="str">
        <f>IFERROR(__xludf.DUMMYFUNCTION("GOOGLETRANSLATE(A43328, ""de"", ""en"")"),"visor")</f>
        <v>visor</v>
      </c>
    </row>
    <row r="43329">
      <c r="A43329" s="1" t="s">
        <v>43328</v>
      </c>
      <c r="B43329" s="2" t="str">
        <f>IFERROR(__xludf.DUMMYFUNCTION("GOOGLETRANSLATE(A43329, ""de"", ""en"")"),"snowed in")</f>
        <v>snowed in</v>
      </c>
    </row>
    <row r="43330">
      <c r="A43330" s="1" t="s">
        <v>43329</v>
      </c>
      <c r="B43330" s="2" t="str">
        <f>IFERROR(__xludf.DUMMYFUNCTION("GOOGLETRANSLATE(A43330, ""de"", ""en"")"),"mayla2012")</f>
        <v>mayla2012</v>
      </c>
    </row>
    <row r="43331">
      <c r="A43331" s="1" t="s">
        <v>43330</v>
      </c>
      <c r="B43331" s="2" t="str">
        <f>IFERROR(__xludf.DUMMYFUNCTION("GOOGLETRANSLATE(A43331, ""de"", ""en"")"),"impresses")</f>
        <v>impresses</v>
      </c>
    </row>
    <row r="43332">
      <c r="A43332" s="1" t="s">
        <v>43331</v>
      </c>
      <c r="B43332" s="2" t="str">
        <f>IFERROR(__xludf.DUMMYFUNCTION("GOOGLETRANSLATE(A43332, ""de"", ""en"")"),"regular")</f>
        <v>regular</v>
      </c>
    </row>
    <row r="43333">
      <c r="A43333" s="1" t="s">
        <v>43332</v>
      </c>
      <c r="B43333" s="2" t="str">
        <f>IFERROR(__xludf.DUMMYFUNCTION("GOOGLETRANSLATE(A43333, ""de"", ""en"")"),"call history")</f>
        <v>call history</v>
      </c>
    </row>
    <row r="43334">
      <c r="A43334" s="1" t="s">
        <v>43333</v>
      </c>
      <c r="B43334" s="2" t="str">
        <f>IFERROR(__xludf.DUMMYFUNCTION("GOOGLETRANSLATE(A43334, ""de"", ""en"")"),"Bonnie")</f>
        <v>Bonnie</v>
      </c>
    </row>
    <row r="43335">
      <c r="A43335" s="1" t="s">
        <v>43334</v>
      </c>
      <c r="B43335" s="2" t="str">
        <f>IFERROR(__xludf.DUMMYFUNCTION("GOOGLETRANSLATE(A43335, ""de"", ""en"")"),"clinch")</f>
        <v>clinch</v>
      </c>
    </row>
    <row r="43336">
      <c r="A43336" s="1" t="s">
        <v>43335</v>
      </c>
      <c r="B43336" s="2" t="str">
        <f>IFERROR(__xludf.DUMMYFUNCTION("GOOGLETRANSLATE(A43336, ""de"", ""en"")"),"coffee table")</f>
        <v>coffee table</v>
      </c>
    </row>
    <row r="43337">
      <c r="A43337" s="1" t="s">
        <v>43336</v>
      </c>
      <c r="B43337" s="2" t="str">
        <f>IFERROR(__xludf.DUMMYFUNCTION("GOOGLETRANSLATE(A43337, ""de"", ""en"")"),"Philibert")</f>
        <v>Philibert</v>
      </c>
    </row>
    <row r="43338">
      <c r="A43338" s="1" t="s">
        <v>43337</v>
      </c>
      <c r="B43338" s="2" t="str">
        <f>IFERROR(__xludf.DUMMYFUNCTION("GOOGLETRANSLATE(A43338, ""de"", ""en"")"),"like it")</f>
        <v>like it</v>
      </c>
    </row>
    <row r="43339">
      <c r="A43339" s="1" t="s">
        <v>43338</v>
      </c>
      <c r="B43339" s="2" t="str">
        <f>IFERROR(__xludf.DUMMYFUNCTION("GOOGLETRANSLATE(A43339, ""de"", ""en"")"),"sharpe")</f>
        <v>sharpe</v>
      </c>
    </row>
    <row r="43340">
      <c r="A43340" s="1" t="s">
        <v>43339</v>
      </c>
      <c r="B43340" s="2" t="str">
        <f>IFERROR(__xludf.DUMMYFUNCTION("GOOGLETRANSLATE(A43340, ""de"", ""en"")"),"obstacles")</f>
        <v>obstacles</v>
      </c>
    </row>
    <row r="43341">
      <c r="A43341" s="1" t="s">
        <v>43340</v>
      </c>
      <c r="B43341" s="2" t="str">
        <f>IFERROR(__xludf.DUMMYFUNCTION("GOOGLETRANSLATE(A43341, ""de"", ""en"")"),"no stopping")</f>
        <v>no stopping</v>
      </c>
    </row>
    <row r="43342">
      <c r="A43342" s="1" t="s">
        <v>43341</v>
      </c>
      <c r="B43342" s="2" t="str">
        <f>IFERROR(__xludf.DUMMYFUNCTION("GOOGLETRANSLATE(A43342, ""de"", ""en"")"),"milano")</f>
        <v>milano</v>
      </c>
    </row>
    <row r="43343">
      <c r="A43343" s="1" t="s">
        <v>43342</v>
      </c>
      <c r="B43343" s="2" t="str">
        <f>IFERROR(__xludf.DUMMYFUNCTION("GOOGLETRANSLATE(A43343, ""de"", ""en"")"),"tree trunks")</f>
        <v>tree trunks</v>
      </c>
    </row>
    <row r="43344">
      <c r="A43344" s="1" t="s">
        <v>43343</v>
      </c>
      <c r="B43344" s="2" t="str">
        <f>IFERROR(__xludf.DUMMYFUNCTION("GOOGLETRANSLATE(A43344, ""de"", ""en"")"),"simsalabim")</f>
        <v>simsalabim</v>
      </c>
    </row>
    <row r="43345">
      <c r="A43345" s="1" t="s">
        <v>43344</v>
      </c>
      <c r="B43345" s="2" t="str">
        <f>IFERROR(__xludf.DUMMYFUNCTION("GOOGLETRANSLATE(A43345, ""de"", ""en"")"),"Whitlock")</f>
        <v>Whitlock</v>
      </c>
    </row>
    <row r="43346">
      <c r="A43346" s="1" t="s">
        <v>43345</v>
      </c>
      <c r="B43346" s="2" t="str">
        <f>IFERROR(__xludf.DUMMYFUNCTION("GOOGLETRANSLATE(A43346, ""de"", ""en"")"),"epic")</f>
        <v>epic</v>
      </c>
    </row>
    <row r="43347">
      <c r="A43347" s="1" t="s">
        <v>43346</v>
      </c>
      <c r="B43347" s="2" t="str">
        <f>IFERROR(__xludf.DUMMYFUNCTION("GOOGLETRANSLATE(A43347, ""de"", ""en"")"),"agreed")</f>
        <v>agreed</v>
      </c>
    </row>
    <row r="43348">
      <c r="A43348" s="1" t="s">
        <v>43347</v>
      </c>
      <c r="B43348" s="2" t="str">
        <f>IFERROR(__xludf.DUMMYFUNCTION("GOOGLETRANSLATE(A43348, ""de"", ""en"")"),"rarity")</f>
        <v>rarity</v>
      </c>
    </row>
    <row r="43349">
      <c r="A43349" s="1" t="s">
        <v>43348</v>
      </c>
      <c r="B43349" s="2" t="str">
        <f>IFERROR(__xludf.DUMMYFUNCTION("GOOGLETRANSLATE(A43349, ""de"", ""en"")"),"pru")</f>
        <v>pru</v>
      </c>
    </row>
    <row r="43350">
      <c r="A43350" s="1" t="s">
        <v>43349</v>
      </c>
      <c r="B43350" s="2" t="str">
        <f>IFERROR(__xludf.DUMMYFUNCTION("GOOGLETRANSLATE(A43350, ""de"", ""en"")"),"jamies")</f>
        <v>jamies</v>
      </c>
    </row>
    <row r="43351">
      <c r="A43351" s="1" t="s">
        <v>43350</v>
      </c>
      <c r="B43351" s="2" t="str">
        <f>IFERROR(__xludf.DUMMYFUNCTION("GOOGLETRANSLATE(A43351, ""de"", ""en"")"),"bangle")</f>
        <v>bangle</v>
      </c>
    </row>
    <row r="43352">
      <c r="A43352" s="1" t="s">
        <v>43351</v>
      </c>
      <c r="B43352" s="2" t="str">
        <f>IFERROR(__xludf.DUMMYFUNCTION("GOOGLETRANSLATE(A43352, ""de"", ""en"")"),"child seat")</f>
        <v>child seat</v>
      </c>
    </row>
    <row r="43353">
      <c r="A43353" s="1" t="s">
        <v>43352</v>
      </c>
      <c r="B43353" s="2" t="str">
        <f>IFERROR(__xludf.DUMMYFUNCTION("GOOGLETRANSLATE(A43353, ""de"", ""en"")"),"straight to the point")</f>
        <v>straight to the point</v>
      </c>
    </row>
    <row r="43354">
      <c r="A43354" s="1" t="s">
        <v>43353</v>
      </c>
      <c r="B43354" s="2" t="str">
        <f>IFERROR(__xludf.DUMMYFUNCTION("GOOGLETRANSLATE(A43354, ""de"", ""en"")"),"Heidelberg")</f>
        <v>Heidelberg</v>
      </c>
    </row>
    <row r="43355">
      <c r="A43355" s="1" t="s">
        <v>43354</v>
      </c>
      <c r="B43355" s="2" t="str">
        <f>IFERROR(__xludf.DUMMYFUNCTION("GOOGLETRANSLATE(A43355, ""de"", ""en"")"),"Margeir")</f>
        <v>Margeir</v>
      </c>
    </row>
    <row r="43356">
      <c r="A43356" s="1" t="s">
        <v>43355</v>
      </c>
      <c r="B43356" s="2" t="str">
        <f>IFERROR(__xludf.DUMMYFUNCTION("GOOGLETRANSLATE(A43356, ""de"", ""en"")"),"rattlesnakes")</f>
        <v>rattlesnakes</v>
      </c>
    </row>
    <row r="43357">
      <c r="A43357" s="1" t="s">
        <v>43356</v>
      </c>
      <c r="B43357" s="2" t="str">
        <f>IFERROR(__xludf.DUMMYFUNCTION("GOOGLETRANSLATE(A43357, ""de"", ""en"")"),"business partner")</f>
        <v>business partner</v>
      </c>
    </row>
    <row r="43358">
      <c r="A43358" s="1" t="s">
        <v>43357</v>
      </c>
      <c r="B43358" s="2" t="str">
        <f>IFERROR(__xludf.DUMMYFUNCTION("GOOGLETRANSLATE(A43358, ""de"", ""en"")"),"sly")</f>
        <v>sly</v>
      </c>
    </row>
    <row r="43359">
      <c r="A43359" s="1" t="s">
        <v>43358</v>
      </c>
      <c r="B43359" s="2" t="str">
        <f>IFERROR(__xludf.DUMMYFUNCTION("GOOGLETRANSLATE(A43359, ""de"", ""en"")"),"hle")</f>
        <v>hle</v>
      </c>
    </row>
    <row r="43360">
      <c r="A43360" s="1" t="s">
        <v>43359</v>
      </c>
      <c r="B43360" s="2" t="str">
        <f>IFERROR(__xludf.DUMMYFUNCTION("GOOGLETRANSLATE(A43360, ""de"", ""en"")"),"quinns")</f>
        <v>quinns</v>
      </c>
    </row>
    <row r="43361">
      <c r="A43361" s="1" t="s">
        <v>43360</v>
      </c>
      <c r="B43361" s="2" t="str">
        <f>IFERROR(__xludf.DUMMYFUNCTION("GOOGLETRANSLATE(A43361, ""de"", ""en"")"),"combo")</f>
        <v>combo</v>
      </c>
    </row>
    <row r="43362">
      <c r="A43362" s="1" t="s">
        <v>43361</v>
      </c>
      <c r="B43362" s="2" t="str">
        <f>IFERROR(__xludf.DUMMYFUNCTION("GOOGLETRANSLATE(A43362, ""de"", ""en"")"),"cacti")</f>
        <v>cacti</v>
      </c>
    </row>
    <row r="43363">
      <c r="A43363" s="1" t="s">
        <v>43362</v>
      </c>
      <c r="B43363" s="2" t="str">
        <f>IFERROR(__xludf.DUMMYFUNCTION("GOOGLETRANSLATE(A43363, ""de"", ""en"")"),"gassed")</f>
        <v>gassed</v>
      </c>
    </row>
    <row r="43364">
      <c r="A43364" s="1" t="s">
        <v>43363</v>
      </c>
      <c r="B43364" s="2" t="str">
        <f>IFERROR(__xludf.DUMMYFUNCTION("GOOGLETRANSLATE(A43364, ""de"", ""en"")"),"thanks")</f>
        <v>thanks</v>
      </c>
    </row>
    <row r="43365">
      <c r="A43365" s="1" t="s">
        <v>43364</v>
      </c>
      <c r="B43365" s="2" t="str">
        <f>IFERROR(__xludf.DUMMYFUNCTION("GOOGLETRANSLATE(A43365, ""de"", ""en"")"),"operational")</f>
        <v>operational</v>
      </c>
    </row>
    <row r="43366">
      <c r="A43366" s="1" t="s">
        <v>43365</v>
      </c>
      <c r="B43366" s="2" t="str">
        <f>IFERROR(__xludf.DUMMYFUNCTION("GOOGLETRANSLATE(A43366, ""de"", ""en"")"),"moderated")</f>
        <v>moderated</v>
      </c>
    </row>
    <row r="43367">
      <c r="A43367" s="1" t="s">
        <v>43366</v>
      </c>
      <c r="B43367" s="2" t="str">
        <f>IFERROR(__xludf.DUMMYFUNCTION("GOOGLETRANSLATE(A43367, ""de"", ""en"")"),"sounds of fear")</f>
        <v>sounds of fear</v>
      </c>
    </row>
    <row r="43368">
      <c r="A43368" s="1" t="s">
        <v>43367</v>
      </c>
      <c r="B43368" s="2" t="str">
        <f>IFERROR(__xludf.DUMMYFUNCTION("GOOGLETRANSLATE(A43368, ""de"", ""en"")"),"fring")</f>
        <v>fring</v>
      </c>
    </row>
    <row r="43369">
      <c r="A43369" s="1" t="s">
        <v>43368</v>
      </c>
      <c r="B43369" s="2" t="str">
        <f>IFERROR(__xludf.DUMMYFUNCTION("GOOGLETRANSLATE(A43369, ""de"", ""en"")"),"stabbed")</f>
        <v>stabbed</v>
      </c>
    </row>
    <row r="43370">
      <c r="A43370" s="1" t="s">
        <v>43369</v>
      </c>
      <c r="B43370" s="2" t="str">
        <f>IFERROR(__xludf.DUMMYFUNCTION("GOOGLETRANSLATE(A43370, ""de"", ""en"")"),"sle")</f>
        <v>sle</v>
      </c>
    </row>
    <row r="43371">
      <c r="A43371" s="1" t="s">
        <v>43370</v>
      </c>
      <c r="B43371" s="2" t="str">
        <f>IFERROR(__xludf.DUMMYFUNCTION("GOOGLETRANSLATE(A43371, ""de"", ""en"")"),"braggart")</f>
        <v>braggart</v>
      </c>
    </row>
    <row r="43372">
      <c r="A43372" s="1" t="s">
        <v>43371</v>
      </c>
      <c r="B43372" s="2" t="str">
        <f>IFERROR(__xludf.DUMMYFUNCTION("GOOGLETRANSLATE(A43372, ""de"", ""en"")"),"gannon")</f>
        <v>gannon</v>
      </c>
    </row>
    <row r="43373">
      <c r="A43373" s="1" t="s">
        <v>43372</v>
      </c>
      <c r="B43373" s="2" t="str">
        <f>IFERROR(__xludf.DUMMYFUNCTION("GOOGLETRANSLATE(A43373, ""de"", ""en"")"),"misguided")</f>
        <v>misguided</v>
      </c>
    </row>
    <row r="43374">
      <c r="A43374" s="1" t="s">
        <v>43373</v>
      </c>
      <c r="B43374" s="2" t="str">
        <f>IFERROR(__xludf.DUMMYFUNCTION("GOOGLETRANSLATE(A43374, ""de"", ""en"")"),"Latina")</f>
        <v>Latina</v>
      </c>
    </row>
    <row r="43375">
      <c r="A43375" s="1" t="s">
        <v>43374</v>
      </c>
      <c r="B43375" s="2" t="str">
        <f>IFERROR(__xludf.DUMMYFUNCTION("GOOGLETRANSLATE(A43375, ""de"", ""en"")"),"more hideous")</f>
        <v>more hideous</v>
      </c>
    </row>
    <row r="43376">
      <c r="A43376" s="1" t="s">
        <v>43375</v>
      </c>
      <c r="B43376" s="2" t="str">
        <f>IFERROR(__xludf.DUMMYFUNCTION("GOOGLETRANSLATE(A43376, ""de"", ""en"")"),"faa")</f>
        <v>faa</v>
      </c>
    </row>
    <row r="43377">
      <c r="A43377" s="1" t="s">
        <v>43376</v>
      </c>
      <c r="B43377" s="2" t="str">
        <f>IFERROR(__xludf.DUMMYFUNCTION("GOOGLETRANSLATE(A43377, ""de"", ""en"")"),"reddle")</f>
        <v>reddle</v>
      </c>
    </row>
    <row r="43378">
      <c r="A43378" s="1" t="s">
        <v>43377</v>
      </c>
      <c r="B43378" s="2" t="str">
        <f>IFERROR(__xludf.DUMMYFUNCTION("GOOGLETRANSLATE(A43378, ""de"", ""en"")"),"lie")</f>
        <v>lie</v>
      </c>
    </row>
    <row r="43379">
      <c r="A43379" s="1" t="s">
        <v>43378</v>
      </c>
      <c r="B43379" s="2" t="str">
        <f>IFERROR(__xludf.DUMMYFUNCTION("GOOGLETRANSLATE(A43379, ""de"", ""en"")"),"mortal enemy")</f>
        <v>mortal enemy</v>
      </c>
    </row>
    <row r="43380">
      <c r="A43380" s="1" t="s">
        <v>43379</v>
      </c>
      <c r="B43380" s="2" t="str">
        <f>IFERROR(__xludf.DUMMYFUNCTION("GOOGLETRANSLATE(A43380, ""de"", ""en"")"),"Midas")</f>
        <v>Midas</v>
      </c>
    </row>
    <row r="43381">
      <c r="A43381" s="1" t="s">
        <v>43380</v>
      </c>
      <c r="B43381" s="2" t="str">
        <f>IFERROR(__xludf.DUMMYFUNCTION("GOOGLETRANSLATE(A43381, ""de"", ""en"")"),"announced")</f>
        <v>announced</v>
      </c>
    </row>
    <row r="43382">
      <c r="A43382" s="1" t="s">
        <v>43381</v>
      </c>
      <c r="B43382" s="2" t="str">
        <f>IFERROR(__xludf.DUMMYFUNCTION("GOOGLETRANSLATE(A43382, ""de"", ""en"")"),"switched")</f>
        <v>switched</v>
      </c>
    </row>
    <row r="43383">
      <c r="A43383" s="1" t="s">
        <v>43382</v>
      </c>
      <c r="B43383" s="2" t="str">
        <f>IFERROR(__xludf.DUMMYFUNCTION("GOOGLETRANSLATE(A43383, ""de"", ""en"")"),"afternoons")</f>
        <v>afternoons</v>
      </c>
    </row>
    <row r="43384">
      <c r="A43384" s="1" t="s">
        <v>43383</v>
      </c>
      <c r="B43384" s="2" t="str">
        <f>IFERROR(__xludf.DUMMYFUNCTION("GOOGLETRANSLATE(A43384, ""de"", ""en"")"),"rattle")</f>
        <v>rattle</v>
      </c>
    </row>
    <row r="43385">
      <c r="A43385" s="1" t="s">
        <v>43384</v>
      </c>
      <c r="B43385" s="2" t="str">
        <f>IFERROR(__xludf.DUMMYFUNCTION("GOOGLETRANSLATE(A43385, ""de"", ""en"")"),"sobel")</f>
        <v>sobel</v>
      </c>
    </row>
    <row r="43386">
      <c r="A43386" s="1" t="s">
        <v>43385</v>
      </c>
      <c r="B43386" s="2" t="str">
        <f>IFERROR(__xludf.DUMMYFUNCTION("GOOGLETRANSLATE(A43386, ""de"", ""en"")"),"blocked")</f>
        <v>blocked</v>
      </c>
    </row>
    <row r="43387">
      <c r="A43387" s="1" t="s">
        <v>43386</v>
      </c>
      <c r="B43387" s="2" t="str">
        <f>IFERROR(__xludf.DUMMYFUNCTION("GOOGLETRANSLATE(A43387, ""de"", ""en"")"),"trap")</f>
        <v>trap</v>
      </c>
    </row>
    <row r="43388">
      <c r="A43388" s="1" t="s">
        <v>43387</v>
      </c>
      <c r="B43388" s="2" t="str">
        <f>IFERROR(__xludf.DUMMYFUNCTION("GOOGLETRANSLATE(A43388, ""de"", ""en"")"),"superfluous")</f>
        <v>superfluous</v>
      </c>
    </row>
    <row r="43389">
      <c r="A43389" s="1" t="s">
        <v>43388</v>
      </c>
      <c r="B43389" s="2" t="str">
        <f>IFERROR(__xludf.DUMMYFUNCTION("GOOGLETRANSLATE(A43389, ""de"", ""en"")"),"impossibility")</f>
        <v>impossibility</v>
      </c>
    </row>
    <row r="43390">
      <c r="A43390" s="1" t="s">
        <v>43389</v>
      </c>
      <c r="B43390" s="2" t="str">
        <f>IFERROR(__xludf.DUMMYFUNCTION("GOOGLETRANSLATE(A43390, ""de"", ""en"")"),"hoped")</f>
        <v>hoped</v>
      </c>
    </row>
    <row r="43391">
      <c r="A43391" s="1" t="s">
        <v>43390</v>
      </c>
      <c r="B43391" s="2" t="str">
        <f>IFERROR(__xludf.DUMMYFUNCTION("GOOGLETRANSLATE(A43391, ""de"", ""en"")"),"womp")</f>
        <v>womp</v>
      </c>
    </row>
    <row r="43392">
      <c r="A43392" s="1" t="s">
        <v>43391</v>
      </c>
      <c r="B43392" s="2" t="str">
        <f>IFERROR(__xludf.DUMMYFUNCTION("GOOGLETRANSLATE(A43392, ""de"", ""en"")"),"power surge")</f>
        <v>power surge</v>
      </c>
    </row>
    <row r="43393">
      <c r="A43393" s="1" t="s">
        <v>43392</v>
      </c>
      <c r="B43393" s="2" t="str">
        <f>IFERROR(__xludf.DUMMYFUNCTION("GOOGLETRANSLATE(A43393, ""de"", ""en"")"),"wham")</f>
        <v>wham</v>
      </c>
    </row>
    <row r="43394">
      <c r="A43394" s="1" t="s">
        <v>43393</v>
      </c>
      <c r="B43394" s="2" t="str">
        <f>IFERROR(__xludf.DUMMYFUNCTION("GOOGLETRANSLATE(A43394, ""de"", ""en"")"),"cared for")</f>
        <v>cared for</v>
      </c>
    </row>
    <row r="43395">
      <c r="A43395" s="1" t="s">
        <v>43394</v>
      </c>
      <c r="B43395" s="2" t="str">
        <f>IFERROR(__xludf.DUMMYFUNCTION("GOOGLETRANSLATE(A43395, ""de"", ""en"")"),"write out")</f>
        <v>write out</v>
      </c>
    </row>
    <row r="43396">
      <c r="A43396" s="1" t="s">
        <v>43395</v>
      </c>
      <c r="B43396" s="2" t="str">
        <f>IFERROR(__xludf.DUMMYFUNCTION("GOOGLETRANSLATE(A43396, ""de"", ""en"")"),"mahogany")</f>
        <v>mahogany</v>
      </c>
    </row>
    <row r="43397">
      <c r="A43397" s="1" t="s">
        <v>43396</v>
      </c>
      <c r="B43397" s="2" t="str">
        <f>IFERROR(__xludf.DUMMYFUNCTION("GOOGLETRANSLATE(A43397, ""de"", ""en"")"),"years")</f>
        <v>years</v>
      </c>
    </row>
    <row r="43398">
      <c r="A43398" s="1" t="s">
        <v>43397</v>
      </c>
      <c r="B43398" s="2" t="str">
        <f>IFERROR(__xludf.DUMMYFUNCTION("GOOGLETRANSLATE(A43398, ""de"", ""en"")"),"haggerty")</f>
        <v>haggerty</v>
      </c>
    </row>
    <row r="43399">
      <c r="A43399" s="1" t="s">
        <v>43398</v>
      </c>
      <c r="B43399" s="2" t="str">
        <f>IFERROR(__xludf.DUMMYFUNCTION("GOOGLETRANSLATE(A43399, ""de"", ""en"")"),"crocodile")</f>
        <v>crocodile</v>
      </c>
    </row>
    <row r="43400">
      <c r="A43400" s="1" t="s">
        <v>43399</v>
      </c>
      <c r="B43400" s="2" t="str">
        <f>IFERROR(__xludf.DUMMYFUNCTION("GOOGLETRANSLATE(A43400, ""de"", ""en"")"),"canton")</f>
        <v>canton</v>
      </c>
    </row>
    <row r="43401">
      <c r="A43401" s="1" t="s">
        <v>43400</v>
      </c>
      <c r="B43401" s="2" t="str">
        <f>IFERROR(__xludf.DUMMYFUNCTION("GOOGLETRANSLATE(A43401, ""de"", ""en"")"),"handlebar")</f>
        <v>handlebar</v>
      </c>
    </row>
    <row r="43402">
      <c r="A43402" s="1" t="s">
        <v>43401</v>
      </c>
      <c r="B43402" s="2" t="str">
        <f>IFERROR(__xludf.DUMMYFUNCTION("GOOGLETRANSLATE(A43402, ""de"", ""en"")"),"stupider")</f>
        <v>stupider</v>
      </c>
    </row>
    <row r="43403">
      <c r="A43403" s="1" t="s">
        <v>43402</v>
      </c>
      <c r="B43403" s="2" t="str">
        <f>IFERROR(__xludf.DUMMYFUNCTION("GOOGLETRANSLATE(A43403, ""de"", ""en"")"),"devoted")</f>
        <v>devoted</v>
      </c>
    </row>
    <row r="43404">
      <c r="A43404" s="1" t="s">
        <v>43403</v>
      </c>
      <c r="B43404" s="2" t="str">
        <f>IFERROR(__xludf.DUMMYFUNCTION("GOOGLETRANSLATE(A43404, ""de"", ""en"")"),"questionable")</f>
        <v>questionable</v>
      </c>
    </row>
    <row r="43405">
      <c r="A43405" s="1" t="s">
        <v>43404</v>
      </c>
      <c r="B43405" s="2" t="str">
        <f>IFERROR(__xludf.DUMMYFUNCTION("GOOGLETRANSLATE(A43405, ""de"", ""en"")"),"assassin")</f>
        <v>assassin</v>
      </c>
    </row>
    <row r="43406">
      <c r="A43406" s="1" t="s">
        <v>43405</v>
      </c>
      <c r="B43406" s="2" t="str">
        <f>IFERROR(__xludf.DUMMYFUNCTION("GOOGLETRANSLATE(A43406, ""de"", ""en"")"),"ottos")</f>
        <v>ottos</v>
      </c>
    </row>
    <row r="43407">
      <c r="A43407" s="1" t="s">
        <v>43406</v>
      </c>
      <c r="B43407" s="2" t="str">
        <f>IFERROR(__xludf.DUMMYFUNCTION("GOOGLETRANSLATE(A43407, ""de"", ""en"")"),"jeffersons")</f>
        <v>jeffersons</v>
      </c>
    </row>
    <row r="43408">
      <c r="A43408" s="1" t="s">
        <v>43407</v>
      </c>
      <c r="B43408" s="2" t="str">
        <f>IFERROR(__xludf.DUMMYFUNCTION("GOOGLETRANSLATE(A43408, ""de"", ""en"")"),"shoe polish")</f>
        <v>shoe polish</v>
      </c>
    </row>
    <row r="43409">
      <c r="A43409" s="1" t="s">
        <v>43408</v>
      </c>
      <c r="B43409" s="2" t="str">
        <f>IFERROR(__xludf.DUMMYFUNCTION("GOOGLETRANSLATE(A43409, ""de"", ""en"")"),"mosquito")</f>
        <v>mosquito</v>
      </c>
    </row>
    <row r="43410">
      <c r="A43410" s="1" t="s">
        <v>43409</v>
      </c>
      <c r="B43410" s="2" t="str">
        <f>IFERROR(__xludf.DUMMYFUNCTION("GOOGLETRANSLATE(A43410, ""de"", ""en"")"),"secret society")</f>
        <v>secret society</v>
      </c>
    </row>
    <row r="43411">
      <c r="A43411" s="1" t="s">
        <v>43410</v>
      </c>
      <c r="B43411" s="2" t="str">
        <f>IFERROR(__xludf.DUMMYFUNCTION("GOOGLETRANSLATE(A43411, ""de"", ""en"")"),"tachycardia")</f>
        <v>tachycardia</v>
      </c>
    </row>
    <row r="43412">
      <c r="A43412" s="1" t="s">
        <v>43411</v>
      </c>
      <c r="B43412" s="2" t="str">
        <f>IFERROR(__xludf.DUMMYFUNCTION("GOOGLETRANSLATE(A43412, ""de"", ""en"")"),"catastrophic")</f>
        <v>catastrophic</v>
      </c>
    </row>
    <row r="43413">
      <c r="A43413" s="1" t="s">
        <v>43412</v>
      </c>
      <c r="B43413" s="2" t="str">
        <f>IFERROR(__xludf.DUMMYFUNCTION("GOOGLETRANSLATE(A43413, ""de"", ""en"")"),"geologist")</f>
        <v>geologist</v>
      </c>
    </row>
    <row r="43414">
      <c r="A43414" s="1" t="s">
        <v>43413</v>
      </c>
      <c r="B43414" s="2" t="str">
        <f>IFERROR(__xludf.DUMMYFUNCTION("GOOGLETRANSLATE(A43414, ""de"", ""en"")"),"rosebud")</f>
        <v>rosebud</v>
      </c>
    </row>
    <row r="43415">
      <c r="A43415" s="1" t="s">
        <v>43414</v>
      </c>
      <c r="B43415" s="2" t="str">
        <f>IFERROR(__xludf.DUMMYFUNCTION("GOOGLETRANSLATE(A43415, ""de"", ""en"")"),"siringo")</f>
        <v>siringo</v>
      </c>
    </row>
    <row r="43416">
      <c r="A43416" s="1" t="s">
        <v>43415</v>
      </c>
      <c r="B43416" s="2" t="str">
        <f>IFERROR(__xludf.DUMMYFUNCTION("GOOGLETRANSLATE(A43416, ""de"", ""en"")"),"paternal")</f>
        <v>paternal</v>
      </c>
    </row>
    <row r="43417">
      <c r="A43417" s="1" t="s">
        <v>43416</v>
      </c>
      <c r="B43417" s="2" t="str">
        <f>IFERROR(__xludf.DUMMYFUNCTION("GOOGLETRANSLATE(A43417, ""de"", ""en"")"),"motherland")</f>
        <v>motherland</v>
      </c>
    </row>
    <row r="43418">
      <c r="A43418" s="1" t="s">
        <v>43417</v>
      </c>
      <c r="B43418" s="2" t="str">
        <f>IFERROR(__xludf.DUMMYFUNCTION("GOOGLETRANSLATE(A43418, ""de"", ""en"")"),"intersections")</f>
        <v>intersections</v>
      </c>
    </row>
    <row r="43419">
      <c r="A43419" s="1" t="s">
        <v>43418</v>
      </c>
      <c r="B43419" s="2" t="str">
        <f>IFERROR(__xludf.DUMMYFUNCTION("GOOGLETRANSLATE(A43419, ""de"", ""en"")"),"painful")</f>
        <v>painful</v>
      </c>
    </row>
    <row r="43420">
      <c r="A43420" s="1" t="s">
        <v>43419</v>
      </c>
      <c r="B43420" s="2" t="str">
        <f>IFERROR(__xludf.DUMMYFUNCTION("GOOGLETRANSLATE(A43420, ""de"", ""en"")"),"added")</f>
        <v>added</v>
      </c>
    </row>
    <row r="43421">
      <c r="A43421" s="1" t="s">
        <v>43420</v>
      </c>
      <c r="B43421" s="2" t="str">
        <f>IFERROR(__xludf.DUMMYFUNCTION("GOOGLETRANSLATE(A43421, ""de"", ""en"")"),"murder suspects")</f>
        <v>murder suspects</v>
      </c>
    </row>
    <row r="43422">
      <c r="A43422" s="1" t="s">
        <v>43421</v>
      </c>
      <c r="B43422" s="2" t="str">
        <f>IFERROR(__xludf.DUMMYFUNCTION("GOOGLETRANSLATE(A43422, ""de"", ""en"")"),"fuego")</f>
        <v>fuego</v>
      </c>
    </row>
    <row r="43423">
      <c r="A43423" s="1" t="s">
        <v>43422</v>
      </c>
      <c r="B43423" s="2" t="str">
        <f>IFERROR(__xludf.DUMMYFUNCTION("GOOGLETRANSLATE(A43423, ""de"", ""en"")"),"Ginas")</f>
        <v>Ginas</v>
      </c>
    </row>
    <row r="43424">
      <c r="A43424" s="1" t="s">
        <v>43423</v>
      </c>
      <c r="B43424" s="2" t="str">
        <f>IFERROR(__xludf.DUMMYFUNCTION("GOOGLETRANSLATE(A43424, ""de"", ""en"")"),"swallows")</f>
        <v>swallows</v>
      </c>
    </row>
    <row r="43425">
      <c r="A43425" s="1" t="s">
        <v>43424</v>
      </c>
      <c r="B43425" s="2" t="str">
        <f>IFERROR(__xludf.DUMMYFUNCTION("GOOGLETRANSLATE(A43425, ""de"", ""en"")"),"harmony")</f>
        <v>harmony</v>
      </c>
    </row>
    <row r="43426">
      <c r="A43426" s="1" t="s">
        <v>43425</v>
      </c>
      <c r="B43426" s="2" t="str">
        <f>IFERROR(__xludf.DUMMYFUNCTION("GOOGLETRANSLATE(A43426, ""de"", ""en"")"),"carpe")</f>
        <v>carpe</v>
      </c>
    </row>
    <row r="43427">
      <c r="A43427" s="1" t="s">
        <v>43426</v>
      </c>
      <c r="B43427" s="2" t="str">
        <f>IFERROR(__xludf.DUMMYFUNCTION("GOOGLETRANSLATE(A43427, ""de"", ""en"")"),"flown in")</f>
        <v>flown in</v>
      </c>
    </row>
    <row r="43428">
      <c r="A43428" s="1" t="s">
        <v>43427</v>
      </c>
      <c r="B43428" s="2" t="str">
        <f>IFERROR(__xludf.DUMMYFUNCTION("GOOGLETRANSLATE(A43428, ""de"", ""en"")"),"play the piano")</f>
        <v>play the piano</v>
      </c>
    </row>
    <row r="43429">
      <c r="A43429" s="1" t="s">
        <v>43428</v>
      </c>
      <c r="B43429" s="2" t="str">
        <f>IFERROR(__xludf.DUMMYFUNCTION("GOOGLETRANSLATE(A43429, ""de"", ""en"")"),"motive for murder")</f>
        <v>motive for murder</v>
      </c>
    </row>
    <row r="43430">
      <c r="A43430" s="1" t="s">
        <v>43429</v>
      </c>
      <c r="B43430" s="2" t="str">
        <f>IFERROR(__xludf.DUMMYFUNCTION("GOOGLETRANSLATE(A43430, ""de"", ""en"")"),"drive off")</f>
        <v>drive off</v>
      </c>
    </row>
    <row r="43431">
      <c r="A43431" s="1" t="s">
        <v>43430</v>
      </c>
      <c r="B43431" s="2" t="str">
        <f>IFERROR(__xludf.DUMMYFUNCTION("GOOGLETRANSLATE(A43431, ""de"", ""en"")"),"white.")</f>
        <v>white.</v>
      </c>
    </row>
    <row r="43432">
      <c r="A43432" s="1" t="s">
        <v>43431</v>
      </c>
      <c r="B43432" s="2" t="str">
        <f>IFERROR(__xludf.DUMMYFUNCTION("GOOGLETRANSLATE(A43432, ""de"", ""en"")"),"kandahar")</f>
        <v>kandahar</v>
      </c>
    </row>
    <row r="43433">
      <c r="A43433" s="1" t="s">
        <v>43432</v>
      </c>
      <c r="B43433" s="2" t="str">
        <f>IFERROR(__xludf.DUMMYFUNCTION("GOOGLETRANSLATE(A43433, ""de"", ""en"")"),"inflicts")</f>
        <v>inflicts</v>
      </c>
    </row>
    <row r="43434">
      <c r="A43434" s="1" t="s">
        <v>43433</v>
      </c>
      <c r="B43434" s="2" t="str">
        <f>IFERROR(__xludf.DUMMYFUNCTION("GOOGLETRANSLATE(A43434, ""de"", ""en"")"),"cartel")</f>
        <v>cartel</v>
      </c>
    </row>
    <row r="43435">
      <c r="A43435" s="1" t="s">
        <v>43434</v>
      </c>
      <c r="B43435" s="2" t="str">
        <f>IFERROR(__xludf.DUMMYFUNCTION("GOOGLETRANSLATE(A43435, ""de"", ""en"")"),"reactors")</f>
        <v>reactors</v>
      </c>
    </row>
    <row r="43436">
      <c r="A43436" s="1" t="s">
        <v>43435</v>
      </c>
      <c r="B43436" s="2" t="str">
        <f>IFERROR(__xludf.DUMMYFUNCTION("GOOGLETRANSLATE(A43436, ""de"", ""en"")"),"door noise")</f>
        <v>door noise</v>
      </c>
    </row>
    <row r="43437">
      <c r="A43437" s="1" t="s">
        <v>43436</v>
      </c>
      <c r="B43437" s="2" t="str">
        <f>IFERROR(__xludf.DUMMYFUNCTION("GOOGLETRANSLATE(A43437, ""de"", ""en"")"),"fatherland")</f>
        <v>fatherland</v>
      </c>
    </row>
    <row r="43438">
      <c r="A43438" s="1" t="s">
        <v>43437</v>
      </c>
      <c r="B43438" s="2" t="str">
        <f>IFERROR(__xludf.DUMMYFUNCTION("GOOGLETRANSLATE(A43438, ""de"", ""en"")"),"Pippa")</f>
        <v>Pippa</v>
      </c>
    </row>
    <row r="43439">
      <c r="A43439" s="1" t="s">
        <v>43438</v>
      </c>
      <c r="B43439" s="2" t="str">
        <f>IFERROR(__xludf.DUMMYFUNCTION("GOOGLETRANSLATE(A43439, ""de"", ""en"")"),"come there")</f>
        <v>come there</v>
      </c>
    </row>
    <row r="43440">
      <c r="A43440" s="1" t="s">
        <v>43439</v>
      </c>
      <c r="B43440" s="2" t="str">
        <f>IFERROR(__xludf.DUMMYFUNCTION("GOOGLETRANSLATE(A43440, ""de"", ""en"")"),"sense of honor")</f>
        <v>sense of honor</v>
      </c>
    </row>
    <row r="43441">
      <c r="A43441" s="1" t="s">
        <v>43440</v>
      </c>
      <c r="B43441" s="2" t="str">
        <f>IFERROR(__xludf.DUMMYFUNCTION("GOOGLETRANSLATE(A43441, ""de"", ""en"")"),"meanings")</f>
        <v>meanings</v>
      </c>
    </row>
    <row r="43442">
      <c r="A43442" s="1" t="s">
        <v>43441</v>
      </c>
      <c r="B43442" s="2" t="str">
        <f>IFERROR(__xludf.DUMMYFUNCTION("GOOGLETRANSLATE(A43442, ""de"", ""en"")"),"Garnett")</f>
        <v>Garnett</v>
      </c>
    </row>
    <row r="43443">
      <c r="A43443" s="1" t="s">
        <v>43442</v>
      </c>
      <c r="B43443" s="2" t="str">
        <f>IFERROR(__xludf.DUMMYFUNCTION("GOOGLETRANSLATE(A43443, ""de"", ""en"")"),"women's shelter")</f>
        <v>women's shelter</v>
      </c>
    </row>
    <row r="43444">
      <c r="A43444" s="1" t="s">
        <v>43443</v>
      </c>
      <c r="B43444" s="2" t="str">
        <f>IFERROR(__xludf.DUMMYFUNCTION("GOOGLETRANSLATE(A43444, ""de"", ""en"")"),"saffron")</f>
        <v>saffron</v>
      </c>
    </row>
    <row r="43445">
      <c r="A43445" s="1" t="s">
        <v>43444</v>
      </c>
      <c r="B43445" s="2" t="str">
        <f>IFERROR(__xludf.DUMMYFUNCTION("GOOGLETRANSLATE(A43445, ""de"", ""en"")"),"jeopardy")</f>
        <v>jeopardy</v>
      </c>
    </row>
    <row r="43446">
      <c r="A43446" s="1" t="s">
        <v>43445</v>
      </c>
      <c r="B43446" s="2" t="str">
        <f>IFERROR(__xludf.DUMMYFUNCTION("GOOGLETRANSLATE(A43446, ""de"", ""en"")"),"gr")</f>
        <v>gr</v>
      </c>
    </row>
    <row r="43447">
      <c r="A43447" s="1" t="s">
        <v>43446</v>
      </c>
      <c r="B43447" s="2" t="str">
        <f>IFERROR(__xludf.DUMMYFUNCTION("GOOGLETRANSLATE(A43447, ""de"", ""en"")"),"ruthless")</f>
        <v>ruthless</v>
      </c>
    </row>
    <row r="43448">
      <c r="A43448" s="1" t="s">
        <v>43447</v>
      </c>
      <c r="B43448" s="2" t="str">
        <f>IFERROR(__xludf.DUMMYFUNCTION("GOOGLETRANSLATE(A43448, ""de"", ""en"")"),"ice pack")</f>
        <v>ice pack</v>
      </c>
    </row>
    <row r="43449">
      <c r="A43449" s="1" t="s">
        <v>43448</v>
      </c>
      <c r="B43449" s="2" t="str">
        <f>IFERROR(__xludf.DUMMYFUNCTION("GOOGLETRANSLATE(A43449, ""de"", ""en"")"),"Whitley")</f>
        <v>Whitley</v>
      </c>
    </row>
    <row r="43450">
      <c r="A43450" s="1" t="s">
        <v>43449</v>
      </c>
      <c r="B43450" s="2" t="str">
        <f>IFERROR(__xludf.DUMMYFUNCTION("GOOGLETRANSLATE(A43450, ""de"", ""en"")"),"weapon")</f>
        <v>weapon</v>
      </c>
    </row>
    <row r="43451">
      <c r="A43451" s="1" t="s">
        <v>43450</v>
      </c>
      <c r="B43451" s="2" t="str">
        <f>IFERROR(__xludf.DUMMYFUNCTION("GOOGLETRANSLATE(A43451, ""de"", ""en"")"),"jingle")</f>
        <v>jingle</v>
      </c>
    </row>
    <row r="43452">
      <c r="A43452" s="1" t="s">
        <v>43451</v>
      </c>
      <c r="B43452" s="2" t="str">
        <f>IFERROR(__xludf.DUMMYFUNCTION("GOOGLETRANSLATE(A43452, ""de"", ""en"")"),"to stay away")</f>
        <v>to stay away</v>
      </c>
    </row>
    <row r="43453">
      <c r="A43453" s="1" t="s">
        <v>43452</v>
      </c>
      <c r="B43453" s="2" t="str">
        <f>IFERROR(__xludf.DUMMYFUNCTION("GOOGLETRANSLATE(A43453, ""de"", ""en"")"),"halibut")</f>
        <v>halibut</v>
      </c>
    </row>
    <row r="43454">
      <c r="A43454" s="1" t="s">
        <v>43453</v>
      </c>
      <c r="B43454" s="2" t="str">
        <f>IFERROR(__xludf.DUMMYFUNCTION("GOOGLETRANSLATE(A43454, ""de"", ""en"")"),"levon")</f>
        <v>levon</v>
      </c>
    </row>
    <row r="43455">
      <c r="A43455" s="1" t="s">
        <v>43454</v>
      </c>
      <c r="B43455" s="2" t="str">
        <f>IFERROR(__xludf.DUMMYFUNCTION("GOOGLETRANSLATE(A43455, ""de"", ""en"")"),"julianne")</f>
        <v>julianne</v>
      </c>
    </row>
    <row r="43456">
      <c r="A43456" s="1" t="s">
        <v>43455</v>
      </c>
      <c r="B43456" s="2" t="str">
        <f>IFERROR(__xludf.DUMMYFUNCTION("GOOGLETRANSLATE(A43456, ""de"", ""en"")"),"jabbable")</f>
        <v>jabbable</v>
      </c>
    </row>
    <row r="43457">
      <c r="A43457" s="1" t="s">
        <v>43456</v>
      </c>
      <c r="B43457" s="2" t="str">
        <f>IFERROR(__xludf.DUMMYFUNCTION("GOOGLETRANSLATE(A43457, ""de"", ""en"")"),"children's screams")</f>
        <v>children's screams</v>
      </c>
    </row>
    <row r="43458">
      <c r="A43458" s="1" t="s">
        <v>43457</v>
      </c>
      <c r="B43458" s="2" t="str">
        <f>IFERROR(__xludf.DUMMYFUNCTION("GOOGLETRANSLATE(A43458, ""de"", ""en"")"),"impulse force")</f>
        <v>impulse force</v>
      </c>
    </row>
    <row r="43459">
      <c r="A43459" s="1" t="s">
        <v>43458</v>
      </c>
      <c r="B43459" s="2" t="str">
        <f>IFERROR(__xludf.DUMMYFUNCTION("GOOGLETRANSLATE(A43459, ""de"", ""en"")"),"milli")</f>
        <v>milli</v>
      </c>
    </row>
    <row r="43460">
      <c r="A43460" s="1" t="s">
        <v>43459</v>
      </c>
      <c r="B43460" s="2" t="str">
        <f>IFERROR(__xludf.DUMMYFUNCTION("GOOGLETRANSLATE(A43460, ""de"", ""en"")"),"shovel")</f>
        <v>shovel</v>
      </c>
    </row>
    <row r="43461">
      <c r="A43461" s="1" t="s">
        <v>43460</v>
      </c>
      <c r="B43461" s="2" t="str">
        <f>IFERROR(__xludf.DUMMYFUNCTION("GOOGLETRANSLATE(A43461, ""de"", ""en"")"),"security department")</f>
        <v>security department</v>
      </c>
    </row>
    <row r="43462">
      <c r="A43462" s="1" t="s">
        <v>43461</v>
      </c>
      <c r="B43462" s="2" t="str">
        <f>IFERROR(__xludf.DUMMYFUNCTION("GOOGLETRANSLATE(A43462, ""de"", ""en"")"),"bees")</f>
        <v>bees</v>
      </c>
    </row>
    <row r="43463">
      <c r="A43463" s="1" t="s">
        <v>43462</v>
      </c>
      <c r="B43463" s="2" t="str">
        <f>IFERROR(__xludf.DUMMYFUNCTION("GOOGLETRANSLATE(A43463, ""de"", ""en"")"),"twins")</f>
        <v>twins</v>
      </c>
    </row>
    <row r="43464">
      <c r="A43464" s="1" t="s">
        <v>43463</v>
      </c>
      <c r="B43464" s="2" t="str">
        <f>IFERROR(__xludf.DUMMYFUNCTION("GOOGLETRANSLATE(A43464, ""de"", ""en"")"),"jervis")</f>
        <v>jervis</v>
      </c>
    </row>
    <row r="43465">
      <c r="A43465" s="1" t="s">
        <v>43464</v>
      </c>
      <c r="B43465" s="2" t="str">
        <f>IFERROR(__xludf.DUMMYFUNCTION("GOOGLETRANSLATE(A43465, ""de"", ""en"")"),"promissory notes")</f>
        <v>promissory notes</v>
      </c>
    </row>
    <row r="43466">
      <c r="A43466" s="1" t="s">
        <v>43465</v>
      </c>
      <c r="B43466" s="2" t="str">
        <f>IFERROR(__xludf.DUMMYFUNCTION("GOOGLETRANSLATE(A43466, ""de"", ""en"")"),"wary")</f>
        <v>wary</v>
      </c>
    </row>
    <row r="43467">
      <c r="A43467" s="1" t="s">
        <v>43466</v>
      </c>
      <c r="B43467" s="2" t="str">
        <f>IFERROR(__xludf.DUMMYFUNCTION("GOOGLETRANSLATE(A43467, ""de"", ""en"")"),"blinded")</f>
        <v>blinded</v>
      </c>
    </row>
    <row r="43468">
      <c r="A43468" s="1" t="s">
        <v>43467</v>
      </c>
      <c r="B43468" s="2" t="str">
        <f>IFERROR(__xludf.DUMMYFUNCTION("GOOGLETRANSLATE(A43468, ""de"", ""en"")"),"mardon")</f>
        <v>mardon</v>
      </c>
    </row>
    <row r="43469">
      <c r="A43469" s="1" t="s">
        <v>43468</v>
      </c>
      <c r="B43469" s="2" t="str">
        <f>IFERROR(__xludf.DUMMYFUNCTION("GOOGLETRANSLATE(A43469, ""de"", ""en"")"),"reader")</f>
        <v>reader</v>
      </c>
    </row>
    <row r="43470">
      <c r="A43470" s="1" t="s">
        <v>43469</v>
      </c>
      <c r="B43470" s="2" t="str">
        <f>IFERROR(__xludf.DUMMYFUNCTION("GOOGLETRANSLATE(A43470, ""de"", ""en"")"),"jeeter")</f>
        <v>jeeter</v>
      </c>
    </row>
    <row r="43471">
      <c r="A43471" s="1" t="s">
        <v>43470</v>
      </c>
      <c r="B43471" s="2" t="str">
        <f>IFERROR(__xludf.DUMMYFUNCTION("GOOGLETRANSLATE(A43471, ""de"", ""en"")"),"soon")</f>
        <v>soon</v>
      </c>
    </row>
    <row r="43472">
      <c r="A43472" s="1" t="s">
        <v>43471</v>
      </c>
      <c r="B43472" s="2" t="str">
        <f>IFERROR(__xludf.DUMMYFUNCTION("GOOGLETRANSLATE(A43472, ""de"", ""en"")"),"pie")</f>
        <v>pie</v>
      </c>
    </row>
    <row r="43473">
      <c r="A43473" s="1" t="s">
        <v>43472</v>
      </c>
      <c r="B43473" s="2" t="str">
        <f>IFERROR(__xludf.DUMMYFUNCTION("GOOGLETRANSLATE(A43473, ""de"", ""en"")"),"judge")</f>
        <v>judge</v>
      </c>
    </row>
    <row r="43474">
      <c r="A43474" s="1" t="s">
        <v>43473</v>
      </c>
      <c r="B43474" s="2" t="str">
        <f>IFERROR(__xludf.DUMMYFUNCTION("GOOGLETRANSLATE(A43474, ""de"", ""en"")"),"favorite show")</f>
        <v>favorite show</v>
      </c>
    </row>
    <row r="43475">
      <c r="A43475" s="1" t="s">
        <v>43474</v>
      </c>
      <c r="B43475" s="2" t="str">
        <f>IFERROR(__xludf.DUMMYFUNCTION("GOOGLETRANSLATE(A43475, ""de"", ""en"")"),"nailed up")</f>
        <v>nailed up</v>
      </c>
    </row>
    <row r="43476">
      <c r="A43476" s="1" t="s">
        <v>43475</v>
      </c>
      <c r="B43476" s="2" t="str">
        <f>IFERROR(__xludf.DUMMYFUNCTION("GOOGLETRANSLATE(A43476, ""de"", ""en"")"),"expertise")</f>
        <v>expertise</v>
      </c>
    </row>
    <row r="43477">
      <c r="A43477" s="1" t="s">
        <v>43476</v>
      </c>
      <c r="B43477" s="2" t="str">
        <f>IFERROR(__xludf.DUMMYFUNCTION("GOOGLETRANSLATE(A43477, ""de"", ""en"")"),"Louisville")</f>
        <v>Louisville</v>
      </c>
    </row>
    <row r="43478">
      <c r="A43478" s="1" t="s">
        <v>43477</v>
      </c>
      <c r="B43478" s="2" t="str">
        <f>IFERROR(__xludf.DUMMYFUNCTION("GOOGLETRANSLATE(A43478, ""de"", ""en"")"),"anno2512")</f>
        <v>anno2512</v>
      </c>
    </row>
    <row r="43479">
      <c r="A43479" s="1" t="s">
        <v>43478</v>
      </c>
      <c r="B43479" s="2" t="str">
        <f>IFERROR(__xludf.DUMMYFUNCTION("GOOGLETRANSLATE(A43479, ""de"", ""en"")"),"attention")</f>
        <v>attention</v>
      </c>
    </row>
    <row r="43480">
      <c r="A43480" s="1" t="s">
        <v>43479</v>
      </c>
      <c r="B43480" s="2" t="str">
        <f>IFERROR(__xludf.DUMMYFUNCTION("GOOGLETRANSLATE(A43480, ""de"", ""en"")"),"schoolmaster")</f>
        <v>schoolmaster</v>
      </c>
    </row>
    <row r="43481">
      <c r="A43481" s="1" t="s">
        <v>43480</v>
      </c>
      <c r="B43481" s="2" t="str">
        <f>IFERROR(__xludf.DUMMYFUNCTION("GOOGLETRANSLATE(A43481, ""de"", ""en"")"),"five year olds")</f>
        <v>five year olds</v>
      </c>
    </row>
    <row r="43482">
      <c r="A43482" s="1" t="s">
        <v>43481</v>
      </c>
      <c r="B43482" s="2" t="str">
        <f>IFERROR(__xludf.DUMMYFUNCTION("GOOGLETRANSLATE(A43482, ""de"", ""en"")"),"cores")</f>
        <v>cores</v>
      </c>
    </row>
    <row r="43483">
      <c r="A43483" s="1" t="s">
        <v>43482</v>
      </c>
      <c r="B43483" s="2" t="str">
        <f>IFERROR(__xludf.DUMMYFUNCTION("GOOGLETRANSLATE(A43483, ""de"", ""en"")"),"fancie")</f>
        <v>fancie</v>
      </c>
    </row>
    <row r="43484">
      <c r="A43484" s="1" t="s">
        <v>43483</v>
      </c>
      <c r="B43484" s="2" t="str">
        <f>IFERROR(__xludf.DUMMYFUNCTION("GOOGLETRANSLATE(A43484, ""de"", ""en"")"),"admirals")</f>
        <v>admirals</v>
      </c>
    </row>
    <row r="43485">
      <c r="A43485" s="1" t="s">
        <v>43484</v>
      </c>
      <c r="B43485" s="2" t="str">
        <f>IFERROR(__xludf.DUMMYFUNCTION("GOOGLETRANSLATE(A43485, ""de"", ""en"")"),"toe")</f>
        <v>toe</v>
      </c>
    </row>
    <row r="43486">
      <c r="A43486" s="1" t="s">
        <v>43485</v>
      </c>
      <c r="B43486" s="2" t="str">
        <f>IFERROR(__xludf.DUMMYFUNCTION("GOOGLETRANSLATE(A43486, ""de"", ""en"")"),"pin")</f>
        <v>pin</v>
      </c>
    </row>
    <row r="43487">
      <c r="A43487" s="1" t="s">
        <v>43486</v>
      </c>
      <c r="B43487" s="2" t="str">
        <f>IFERROR(__xludf.DUMMYFUNCTION("GOOGLETRANSLATE(A43487, ""de"", ""en"")"),"dominated")</f>
        <v>dominated</v>
      </c>
    </row>
    <row r="43488">
      <c r="A43488" s="1" t="s">
        <v>43487</v>
      </c>
      <c r="B43488" s="2" t="str">
        <f>IFERROR(__xludf.DUMMYFUNCTION("GOOGLETRANSLATE(A43488, ""de"", ""en"")"),"hubble")</f>
        <v>hubble</v>
      </c>
    </row>
    <row r="43489">
      <c r="A43489" s="1" t="s">
        <v>43488</v>
      </c>
      <c r="B43489" s="2" t="str">
        <f>IFERROR(__xludf.DUMMYFUNCTION("GOOGLETRANSLATE(A43489, ""de"", ""en"")"),"foresight")</f>
        <v>foresight</v>
      </c>
    </row>
    <row r="43490">
      <c r="A43490" s="1" t="s">
        <v>43489</v>
      </c>
      <c r="B43490" s="2" t="str">
        <f>IFERROR(__xludf.DUMMYFUNCTION("GOOGLETRANSLATE(A43490, ""de"", ""en"")"),"sapphire")</f>
        <v>sapphire</v>
      </c>
    </row>
    <row r="43491">
      <c r="A43491" s="1" t="s">
        <v>43490</v>
      </c>
      <c r="B43491" s="2" t="str">
        <f>IFERROR(__xludf.DUMMYFUNCTION("GOOGLETRANSLATE(A43491, ""de"", ""en"")"),"bureaucrat")</f>
        <v>bureaucrat</v>
      </c>
    </row>
    <row r="43492">
      <c r="A43492" s="1" t="s">
        <v>43491</v>
      </c>
      <c r="B43492" s="2" t="str">
        <f>IFERROR(__xludf.DUMMYFUNCTION("GOOGLETRANSLATE(A43492, ""de"", ""en"")"),"monitor")</f>
        <v>monitor</v>
      </c>
    </row>
    <row r="43493">
      <c r="A43493" s="1" t="s">
        <v>43492</v>
      </c>
      <c r="B43493" s="2" t="str">
        <f>IFERROR(__xludf.DUMMYFUNCTION("GOOGLETRANSLATE(A43493, ""de"", ""en"")"),"gamekeeper")</f>
        <v>gamekeeper</v>
      </c>
    </row>
    <row r="43494">
      <c r="A43494" s="1" t="s">
        <v>43493</v>
      </c>
      <c r="B43494" s="2" t="str">
        <f>IFERROR(__xludf.DUMMYFUNCTION("GOOGLETRANSLATE(A43494, ""de"", ""en"")"),"allowed")</f>
        <v>allowed</v>
      </c>
    </row>
    <row r="43495">
      <c r="A43495" s="1" t="s">
        <v>43494</v>
      </c>
      <c r="B43495" s="2" t="str">
        <f>IFERROR(__xludf.DUMMYFUNCTION("GOOGLETRANSLATE(A43495, ""de"", ""en"")"),"sleep")</f>
        <v>sleep</v>
      </c>
    </row>
    <row r="43496">
      <c r="A43496" s="1" t="s">
        <v>43495</v>
      </c>
      <c r="B43496" s="2" t="str">
        <f>IFERROR(__xludf.DUMMYFUNCTION("GOOGLETRANSLATE(A43496, ""de"", ""en"")"),"Galway")</f>
        <v>Galway</v>
      </c>
    </row>
    <row r="43497">
      <c r="A43497" s="1" t="s">
        <v>43496</v>
      </c>
      <c r="B43497" s="2" t="str">
        <f>IFERROR(__xludf.DUMMYFUNCTION("GOOGLETRANSLATE(A43497, ""de"", ""en"")"),"destination")</f>
        <v>destination</v>
      </c>
    </row>
    <row r="43498">
      <c r="A43498" s="1" t="s">
        <v>43497</v>
      </c>
      <c r="B43498" s="2" t="str">
        <f>IFERROR(__xludf.DUMMYFUNCTION("GOOGLETRANSLATE(A43498, ""de"", ""en"")"),"to chase after")</f>
        <v>to chase after</v>
      </c>
    </row>
    <row r="43499">
      <c r="A43499" s="1" t="s">
        <v>43498</v>
      </c>
      <c r="B43499" s="2" t="str">
        <f>IFERROR(__xludf.DUMMYFUNCTION("GOOGLETRANSLATE(A43499, ""de"", ""en"")"),"moving forward")</f>
        <v>moving forward</v>
      </c>
    </row>
    <row r="43500">
      <c r="A43500" s="1" t="s">
        <v>43499</v>
      </c>
      <c r="B43500" s="2" t="str">
        <f>IFERROR(__xludf.DUMMYFUNCTION("GOOGLETRANSLATE(A43500, ""de"", ""en"")"),"row")</f>
        <v>row</v>
      </c>
    </row>
    <row r="43501">
      <c r="A43501" s="1" t="s">
        <v>43500</v>
      </c>
      <c r="B43501" s="2" t="str">
        <f>IFERROR(__xludf.DUMMYFUNCTION("GOOGLETRANSLATE(A43501, ""de"", ""en"")"),"Kurdish")</f>
        <v>Kurdish</v>
      </c>
    </row>
    <row r="43502">
      <c r="A43502" s="1" t="s">
        <v>43501</v>
      </c>
      <c r="B43502" s="2" t="str">
        <f>IFERROR(__xludf.DUMMYFUNCTION("GOOGLETRANSLATE(A43502, ""de"", ""en"")"),"danas")</f>
        <v>danas</v>
      </c>
    </row>
    <row r="43503">
      <c r="A43503" s="1" t="s">
        <v>43502</v>
      </c>
      <c r="B43503" s="2" t="str">
        <f>IFERROR(__xludf.DUMMYFUNCTION("GOOGLETRANSLATE(A43503, ""de"", ""en"")"),"pilot")</f>
        <v>pilot</v>
      </c>
    </row>
    <row r="43504">
      <c r="A43504" s="1" t="s">
        <v>43503</v>
      </c>
      <c r="B43504" s="2" t="str">
        <f>IFERROR(__xludf.DUMMYFUNCTION("GOOGLETRANSLATE(A43504, ""de"", ""en"")"),"carols")</f>
        <v>carols</v>
      </c>
    </row>
    <row r="43505">
      <c r="A43505" s="1" t="s">
        <v>43504</v>
      </c>
      <c r="B43505" s="2" t="str">
        <f>IFERROR(__xludf.DUMMYFUNCTION("GOOGLETRANSLATE(A43505, ""de"", ""en"")"),"pranksters")</f>
        <v>pranksters</v>
      </c>
    </row>
    <row r="43506">
      <c r="A43506" s="1" t="s">
        <v>43505</v>
      </c>
      <c r="B43506" s="2" t="str">
        <f>IFERROR(__xludf.DUMMYFUNCTION("GOOGLETRANSLATE(A43506, ""de"", ""en"")"),"defcon")</f>
        <v>defcon</v>
      </c>
    </row>
    <row r="43507">
      <c r="A43507" s="1" t="s">
        <v>43506</v>
      </c>
      <c r="B43507" s="2" t="str">
        <f>IFERROR(__xludf.DUMMYFUNCTION("GOOGLETRANSLATE(A43507, ""de"", ""en"")"),"kusanagi")</f>
        <v>kusanagi</v>
      </c>
    </row>
    <row r="43508">
      <c r="A43508" s="1" t="s">
        <v>43507</v>
      </c>
      <c r="B43508" s="2" t="str">
        <f>IFERROR(__xludf.DUMMYFUNCTION("GOOGLETRANSLATE(A43508, ""de"", ""en"")"),"protective suit")</f>
        <v>protective suit</v>
      </c>
    </row>
    <row r="43509">
      <c r="A43509" s="1" t="s">
        <v>43508</v>
      </c>
      <c r="B43509" s="2" t="str">
        <f>IFERROR(__xludf.DUMMYFUNCTION("GOOGLETRANSLATE(A43509, ""de"", ""en"")"),"colossal")</f>
        <v>colossal</v>
      </c>
    </row>
    <row r="43510">
      <c r="A43510" s="1" t="s">
        <v>43509</v>
      </c>
      <c r="B43510" s="2" t="str">
        <f>IFERROR(__xludf.DUMMYFUNCTION("GOOGLETRANSLATE(A43510, ""de"", ""en"")"),"provoke")</f>
        <v>provoke</v>
      </c>
    </row>
    <row r="43511">
      <c r="A43511" s="1" t="s">
        <v>43510</v>
      </c>
      <c r="B43511" s="2" t="str">
        <f>IFERROR(__xludf.DUMMYFUNCTION("GOOGLETRANSLATE(A43511, ""de"", ""en"")"),"military leader")</f>
        <v>military leader</v>
      </c>
    </row>
    <row r="43512">
      <c r="A43512" s="1" t="s">
        <v>43511</v>
      </c>
      <c r="B43512" s="2" t="str">
        <f>IFERROR(__xludf.DUMMYFUNCTION("GOOGLETRANSLATE(A43512, ""de"", ""en"")"),"gencoin")</f>
        <v>gencoin</v>
      </c>
    </row>
    <row r="43513">
      <c r="A43513" s="1" t="s">
        <v>43512</v>
      </c>
      <c r="B43513" s="2" t="str">
        <f>IFERROR(__xludf.DUMMYFUNCTION("GOOGLETRANSLATE(A43513, ""de"", ""en"")"),"paying")</f>
        <v>paying</v>
      </c>
    </row>
    <row r="43514">
      <c r="A43514" s="1" t="s">
        <v>43513</v>
      </c>
      <c r="B43514" s="2" t="str">
        <f>IFERROR(__xludf.DUMMYFUNCTION("GOOGLETRANSLATE(A43514, ""de"", ""en"")"),"shop table")</f>
        <v>shop table</v>
      </c>
    </row>
    <row r="43515">
      <c r="A43515" s="1" t="s">
        <v>43514</v>
      </c>
      <c r="B43515" s="2" t="str">
        <f>IFERROR(__xludf.DUMMYFUNCTION("GOOGLETRANSLATE(A43515, ""de"", ""en"")"),"neighborhood watch")</f>
        <v>neighborhood watch</v>
      </c>
    </row>
    <row r="43516">
      <c r="A43516" s="1" t="s">
        <v>43515</v>
      </c>
      <c r="B43516" s="2" t="str">
        <f>IFERROR(__xludf.DUMMYFUNCTION("GOOGLETRANSLATE(A43516, ""de"", ""en"")"),"binding")</f>
        <v>binding</v>
      </c>
    </row>
    <row r="43517">
      <c r="A43517" s="1" t="s">
        <v>43516</v>
      </c>
      <c r="B43517" s="2" t="str">
        <f>IFERROR(__xludf.DUMMYFUNCTION("GOOGLETRANSLATE(A43517, ""de"", ""en"")"),"cleaning ladies")</f>
        <v>cleaning ladies</v>
      </c>
    </row>
    <row r="43518">
      <c r="A43518" s="1" t="s">
        <v>43517</v>
      </c>
      <c r="B43518" s="2" t="str">
        <f>IFERROR(__xludf.DUMMYFUNCTION("GOOGLETRANSLATE(A43518, ""de"", ""en"")"),"quiet")</f>
        <v>quiet</v>
      </c>
    </row>
    <row r="43519">
      <c r="A43519" s="1" t="s">
        <v>43518</v>
      </c>
      <c r="B43519" s="2" t="str">
        <f>IFERROR(__xludf.DUMMYFUNCTION("GOOGLETRANSLATE(A43519, ""de"", ""en"")"),"fosters")</f>
        <v>fosters</v>
      </c>
    </row>
    <row r="43520">
      <c r="A43520" s="1" t="s">
        <v>43519</v>
      </c>
      <c r="B43520" s="2" t="str">
        <f>IFERROR(__xludf.DUMMYFUNCTION("GOOGLETRANSLATE(A43520, ""de"", ""en"")"),"bled out")</f>
        <v>bled out</v>
      </c>
    </row>
    <row r="43521">
      <c r="A43521" s="1" t="s">
        <v>43520</v>
      </c>
      <c r="B43521" s="2" t="str">
        <f>IFERROR(__xludf.DUMMYFUNCTION("GOOGLETRANSLATE(A43521, ""de"", ""en"")"),"peterman")</f>
        <v>peterman</v>
      </c>
    </row>
    <row r="43522">
      <c r="A43522" s="1" t="s">
        <v>43521</v>
      </c>
      <c r="B43522" s="2" t="str">
        <f>IFERROR(__xludf.DUMMYFUNCTION("GOOGLETRANSLATE(A43522, ""de"", ""en"")"),"dusty")</f>
        <v>dusty</v>
      </c>
    </row>
    <row r="43523">
      <c r="A43523" s="1" t="s">
        <v>43522</v>
      </c>
      <c r="B43523" s="2" t="str">
        <f>IFERROR(__xludf.DUMMYFUNCTION("GOOGLETRANSLATE(A43523, ""de"", ""en"")"),"fish food")</f>
        <v>fish food</v>
      </c>
    </row>
    <row r="43524">
      <c r="A43524" s="1" t="s">
        <v>43523</v>
      </c>
      <c r="B43524" s="2" t="str">
        <f>IFERROR(__xludf.DUMMYFUNCTION("GOOGLETRANSLATE(A43524, ""de"", ""en"")"),"drunkenness")</f>
        <v>drunkenness</v>
      </c>
    </row>
    <row r="43525">
      <c r="A43525" s="1" t="s">
        <v>43524</v>
      </c>
      <c r="B43525" s="2" t="str">
        <f>IFERROR(__xludf.DUMMYFUNCTION("GOOGLETRANSLATE(A43525, ""de"", ""en"")"),"spray")</f>
        <v>spray</v>
      </c>
    </row>
    <row r="43526">
      <c r="A43526" s="1" t="s">
        <v>43525</v>
      </c>
      <c r="B43526" s="2" t="str">
        <f>IFERROR(__xludf.DUMMYFUNCTION("GOOGLETRANSLATE(A43526, ""de"", ""en"")"),"season")</f>
        <v>season</v>
      </c>
    </row>
    <row r="43527">
      <c r="A43527" s="1" t="s">
        <v>43526</v>
      </c>
      <c r="B43527" s="2" t="str">
        <f>IFERROR(__xludf.DUMMYFUNCTION("GOOGLETRANSLATE(A43527, ""de"", ""en"")"),"verbal")</f>
        <v>verbal</v>
      </c>
    </row>
    <row r="43528">
      <c r="A43528" s="1" t="s">
        <v>43527</v>
      </c>
      <c r="B43528" s="2" t="str">
        <f>IFERROR(__xludf.DUMMYFUNCTION("GOOGLETRANSLATE(A43528, ""de"", ""en"")"),"bim")</f>
        <v>bim</v>
      </c>
    </row>
    <row r="43529">
      <c r="A43529" s="1" t="s">
        <v>43528</v>
      </c>
      <c r="B43529" s="2" t="str">
        <f>IFERROR(__xludf.DUMMYFUNCTION("GOOGLETRANSLATE(A43529, ""de"", ""en"")"),"lissy")</f>
        <v>lissy</v>
      </c>
    </row>
    <row r="43530">
      <c r="A43530" s="1" t="s">
        <v>43529</v>
      </c>
      <c r="B43530" s="2" t="str">
        <f>IFERROR(__xludf.DUMMYFUNCTION("GOOGLETRANSLATE(A43530, ""de"", ""en"")"),"anointed")</f>
        <v>anointed</v>
      </c>
    </row>
    <row r="43531">
      <c r="A43531" s="1" t="s">
        <v>43530</v>
      </c>
      <c r="B43531" s="2" t="str">
        <f>IFERROR(__xludf.DUMMYFUNCTION("GOOGLETRANSLATE(A43531, ""de"", ""en"")"),"isolated")</f>
        <v>isolated</v>
      </c>
    </row>
    <row r="43532">
      <c r="A43532" s="1" t="s">
        <v>43531</v>
      </c>
      <c r="B43532" s="2" t="str">
        <f>IFERROR(__xludf.DUMMYFUNCTION("GOOGLETRANSLATE(A43532, ""de"", ""en"")"),"models")</f>
        <v>models</v>
      </c>
    </row>
    <row r="43533">
      <c r="A43533" s="1" t="s">
        <v>43532</v>
      </c>
      <c r="B43533" s="2" t="str">
        <f>IFERROR(__xludf.DUMMYFUNCTION("GOOGLETRANSLATE(A43533, ""de"", ""en"")"),"prove")</f>
        <v>prove</v>
      </c>
    </row>
    <row r="43534">
      <c r="A43534" s="1" t="s">
        <v>43533</v>
      </c>
      <c r="B43534" s="2" t="str">
        <f>IFERROR(__xludf.DUMMYFUNCTION("GOOGLETRANSLATE(A43534, ""de"", ""en"")"),"mover")</f>
        <v>mover</v>
      </c>
    </row>
    <row r="43535">
      <c r="A43535" s="1" t="s">
        <v>43534</v>
      </c>
      <c r="B43535" s="2" t="str">
        <f>IFERROR(__xludf.DUMMYFUNCTION("GOOGLETRANSLATE(A43535, ""de"", ""en"")"),"abnormal")</f>
        <v>abnormal</v>
      </c>
    </row>
    <row r="43536">
      <c r="A43536" s="1" t="s">
        <v>43535</v>
      </c>
      <c r="B43536" s="2" t="str">
        <f>IFERROR(__xludf.DUMMYFUNCTION("GOOGLETRANSLATE(A43536, ""de"", ""en"")"),"puns")</f>
        <v>puns</v>
      </c>
    </row>
    <row r="43537">
      <c r="A43537" s="1" t="s">
        <v>43536</v>
      </c>
      <c r="B43537" s="2" t="str">
        <f>IFERROR(__xludf.DUMMYFUNCTION("GOOGLETRANSLATE(A43537, ""de"", ""en"")"),"grandchildren")</f>
        <v>grandchildren</v>
      </c>
    </row>
    <row r="43538">
      <c r="A43538" s="1" t="s">
        <v>43537</v>
      </c>
      <c r="B43538" s="2" t="str">
        <f>IFERROR(__xludf.DUMMYFUNCTION("GOOGLETRANSLATE(A43538, ""de"", ""en"")"),"native language")</f>
        <v>native language</v>
      </c>
    </row>
    <row r="43539">
      <c r="A43539" s="1" t="s">
        <v>43538</v>
      </c>
      <c r="B43539" s="2" t="str">
        <f>IFERROR(__xludf.DUMMYFUNCTION("GOOGLETRANSLATE(A43539, ""de"", ""en"")"),"suck")</f>
        <v>suck</v>
      </c>
    </row>
    <row r="43540">
      <c r="A43540" s="1" t="s">
        <v>43539</v>
      </c>
      <c r="B43540" s="2" t="str">
        <f>IFERROR(__xludf.DUMMYFUNCTION("GOOGLETRANSLATE(A43540, ""de"", ""en"")"),"elementary")</f>
        <v>elementary</v>
      </c>
    </row>
    <row r="43541">
      <c r="A43541" s="1" t="s">
        <v>43540</v>
      </c>
      <c r="B43541" s="2" t="str">
        <f>IFERROR(__xludf.DUMMYFUNCTION("GOOGLETRANSLATE(A43541, ""de"", ""en"")"),"mows")</f>
        <v>mows</v>
      </c>
    </row>
    <row r="43542">
      <c r="A43542" s="1" t="s">
        <v>43541</v>
      </c>
      <c r="B43542" s="2" t="str">
        <f>IFERROR(__xludf.DUMMYFUNCTION("GOOGLETRANSLATE(A43542, ""de"", ""en"")"),"leaves out")</f>
        <v>leaves out</v>
      </c>
    </row>
    <row r="43543">
      <c r="A43543" s="1" t="s">
        <v>43542</v>
      </c>
      <c r="B43543" s="2" t="str">
        <f>IFERROR(__xludf.DUMMYFUNCTION("GOOGLETRANSLATE(A43543, ""de"", ""en"")"),"flagpole")</f>
        <v>flagpole</v>
      </c>
    </row>
    <row r="43544">
      <c r="A43544" s="1" t="s">
        <v>43543</v>
      </c>
      <c r="B43544" s="2" t="str">
        <f>IFERROR(__xludf.DUMMYFUNCTION("GOOGLETRANSLATE(A43544, ""de"", ""en"")"),"roars")</f>
        <v>roars</v>
      </c>
    </row>
    <row r="43545">
      <c r="A43545" s="1" t="s">
        <v>43544</v>
      </c>
      <c r="B43545" s="2" t="str">
        <f>IFERROR(__xludf.DUMMYFUNCTION("GOOGLETRANSLATE(A43545, ""de"", ""en"")"),"delenn")</f>
        <v>delenn</v>
      </c>
    </row>
    <row r="43546">
      <c r="A43546" s="1" t="s">
        <v>43545</v>
      </c>
      <c r="B43546" s="2" t="str">
        <f>IFERROR(__xludf.DUMMYFUNCTION("GOOGLETRANSLATE(A43546, ""de"", ""en"")"),"strange")</f>
        <v>strange</v>
      </c>
    </row>
    <row r="43547">
      <c r="A43547" s="1" t="s">
        <v>43546</v>
      </c>
      <c r="B43547" s="2" t="str">
        <f>IFERROR(__xludf.DUMMYFUNCTION("GOOGLETRANSLATE(A43547, ""de"", ""en"")"),"pinched")</f>
        <v>pinched</v>
      </c>
    </row>
    <row r="43548">
      <c r="A43548" s="1" t="s">
        <v>43547</v>
      </c>
      <c r="B43548" s="2" t="str">
        <f>IFERROR(__xludf.DUMMYFUNCTION("GOOGLETRANSLATE(A43548, ""de"", ""en"")"),"looked in")</f>
        <v>looked in</v>
      </c>
    </row>
    <row r="43549">
      <c r="A43549" s="1" t="s">
        <v>43548</v>
      </c>
      <c r="B43549" s="2" t="str">
        <f>IFERROR(__xludf.DUMMYFUNCTION("GOOGLETRANSLATE(A43549, ""de"", ""en"")"),"dreamy")</f>
        <v>dreamy</v>
      </c>
    </row>
    <row r="43550">
      <c r="A43550" s="1" t="s">
        <v>43549</v>
      </c>
      <c r="B43550" s="2" t="str">
        <f>IFERROR(__xludf.DUMMYFUNCTION("GOOGLETRANSLATE(A43550, ""de"", ""en"")"),"ninety")</f>
        <v>ninety</v>
      </c>
    </row>
    <row r="43551">
      <c r="A43551" s="1" t="s">
        <v>43550</v>
      </c>
      <c r="B43551" s="2" t="str">
        <f>IFERROR(__xludf.DUMMYFUNCTION("GOOGLETRANSLATE(A43551, ""de"", ""en"")"),"lives")</f>
        <v>lives</v>
      </c>
    </row>
    <row r="43552">
      <c r="A43552" s="1" t="s">
        <v>43551</v>
      </c>
      <c r="B43552" s="2" t="str">
        <f>IFERROR(__xludf.DUMMYFUNCTION("GOOGLETRANSLATE(A43552, ""de"", ""en"")"),"fist-sama")</f>
        <v>fist-sama</v>
      </c>
    </row>
    <row r="43553">
      <c r="A43553" s="1" t="s">
        <v>43552</v>
      </c>
      <c r="B43553" s="2" t="str">
        <f>IFERROR(__xludf.DUMMYFUNCTION("GOOGLETRANSLATE(A43553, ""de"", ""en"")"),"silverman")</f>
        <v>silverman</v>
      </c>
    </row>
    <row r="43554">
      <c r="A43554" s="1" t="s">
        <v>43553</v>
      </c>
      <c r="B43554" s="2" t="str">
        <f>IFERROR(__xludf.DUMMYFUNCTION("GOOGLETRANSLATE(A43554, ""de"", ""en"")"),"naylor")</f>
        <v>naylor</v>
      </c>
    </row>
    <row r="43555">
      <c r="A43555" s="1" t="s">
        <v>43554</v>
      </c>
      <c r="B43555" s="2" t="str">
        <f>IFERROR(__xludf.DUMMYFUNCTION("GOOGLETRANSLATE(A43555, ""de"", ""en"")"),"todds")</f>
        <v>todds</v>
      </c>
    </row>
    <row r="43556">
      <c r="A43556" s="1" t="s">
        <v>43555</v>
      </c>
      <c r="B43556" s="2" t="str">
        <f>IFERROR(__xludf.DUMMYFUNCTION("GOOGLETRANSLATE(A43556, ""de"", ""en"")"),"kanye")</f>
        <v>kanye</v>
      </c>
    </row>
    <row r="43557">
      <c r="A43557" s="1" t="s">
        <v>43556</v>
      </c>
      <c r="B43557" s="2" t="str">
        <f>IFERROR(__xludf.DUMMYFUNCTION("GOOGLETRANSLATE(A43557, ""de"", ""en"")"),"overwhelming")</f>
        <v>overwhelming</v>
      </c>
    </row>
    <row r="43558">
      <c r="A43558" s="1" t="s">
        <v>43557</v>
      </c>
      <c r="B43558" s="2" t="str">
        <f>IFERROR(__xludf.DUMMYFUNCTION("GOOGLETRANSLATE(A43558, ""de"", ""en"")"),"ridgeway")</f>
        <v>ridgeway</v>
      </c>
    </row>
    <row r="43559">
      <c r="A43559" s="1" t="s">
        <v>43558</v>
      </c>
      <c r="B43559" s="2" t="str">
        <f>IFERROR(__xludf.DUMMYFUNCTION("GOOGLETRANSLATE(A43559, ""de"", ""en"")"),"internal")</f>
        <v>internal</v>
      </c>
    </row>
    <row r="43560">
      <c r="A43560" s="1" t="s">
        <v>43559</v>
      </c>
      <c r="B43560" s="2" t="str">
        <f>IFERROR(__xludf.DUMMYFUNCTION("GOOGLETRANSLATE(A43560, ""de"", ""en"")"),"fiddle")</f>
        <v>fiddle</v>
      </c>
    </row>
    <row r="43561">
      <c r="A43561" s="1" t="s">
        <v>43560</v>
      </c>
      <c r="B43561" s="2" t="str">
        <f>IFERROR(__xludf.DUMMYFUNCTION("GOOGLETRANSLATE(A43561, ""de"", ""en"")"),"hard")</f>
        <v>hard</v>
      </c>
    </row>
    <row r="43562">
      <c r="A43562" s="1" t="s">
        <v>43561</v>
      </c>
      <c r="B43562" s="2" t="str">
        <f>IFERROR(__xludf.DUMMYFUNCTION("GOOGLETRANSLATE(A43562, ""de"", ""en"")"),"hopeful")</f>
        <v>hopeful</v>
      </c>
    </row>
    <row r="43563">
      <c r="A43563" s="1" t="s">
        <v>43562</v>
      </c>
      <c r="B43563" s="2" t="str">
        <f>IFERROR(__xludf.DUMMYFUNCTION("GOOGLETRANSLATE(A43563, ""de"", ""en"")"),"nygma")</f>
        <v>nygma</v>
      </c>
    </row>
    <row r="43564">
      <c r="A43564" s="1" t="s">
        <v>43563</v>
      </c>
      <c r="B43564" s="2" t="str">
        <f>IFERROR(__xludf.DUMMYFUNCTION("GOOGLETRANSLATE(A43564, ""de"", ""en"")"),"miscounted")</f>
        <v>miscounted</v>
      </c>
    </row>
    <row r="43565">
      <c r="A43565" s="1" t="s">
        <v>43564</v>
      </c>
      <c r="B43565" s="2" t="str">
        <f>IFERROR(__xludf.DUMMYFUNCTION("GOOGLETRANSLATE(A43565, ""de"", ""en"")"),"team member")</f>
        <v>team member</v>
      </c>
    </row>
    <row r="43566">
      <c r="A43566" s="1" t="s">
        <v>43565</v>
      </c>
      <c r="B43566" s="2" t="str">
        <f>IFERROR(__xludf.DUMMYFUNCTION("GOOGLETRANSLATE(A43566, ""de"", ""en"")"),"aaa")</f>
        <v>aaa</v>
      </c>
    </row>
    <row r="43567">
      <c r="A43567" s="1" t="s">
        <v>43566</v>
      </c>
      <c r="B43567" s="2" t="str">
        <f>IFERROR(__xludf.DUMMYFUNCTION("GOOGLETRANSLATE(A43567, ""de"", ""en"")"),"transformer")</f>
        <v>transformer</v>
      </c>
    </row>
    <row r="43568">
      <c r="A43568" s="1" t="s">
        <v>43567</v>
      </c>
      <c r="B43568" s="2" t="str">
        <f>IFERROR(__xludf.DUMMYFUNCTION("GOOGLETRANSLATE(A43568, ""de"", ""en"")"),"Rosalind")</f>
        <v>Rosalind</v>
      </c>
    </row>
    <row r="43569">
      <c r="A43569" s="1" t="s">
        <v>43568</v>
      </c>
      <c r="B43569" s="2" t="str">
        <f>IFERROR(__xludf.DUMMYFUNCTION("GOOGLETRANSLATE(A43569, ""de"", ""en"")"),"abusive")</f>
        <v>abusive</v>
      </c>
    </row>
    <row r="43570">
      <c r="A43570" s="1" t="s">
        <v>43569</v>
      </c>
      <c r="B43570" s="2" t="str">
        <f>IFERROR(__xludf.DUMMYFUNCTION("GOOGLETRANSLATE(A43570, ""de"", ""en"")"),"idiotic")</f>
        <v>idiotic</v>
      </c>
    </row>
    <row r="43571">
      <c r="A43571" s="1" t="s">
        <v>43570</v>
      </c>
      <c r="B43571" s="2" t="str">
        <f>IFERROR(__xludf.DUMMYFUNCTION("GOOGLETRANSLATE(A43571, ""de"", ""en"")"),"lochs")</f>
        <v>lochs</v>
      </c>
    </row>
    <row r="43572">
      <c r="A43572" s="1" t="s">
        <v>43571</v>
      </c>
      <c r="B43572" s="2" t="str">
        <f>IFERROR(__xludf.DUMMYFUNCTION("GOOGLETRANSLATE(A43572, ""de"", ""en"")"),"lka")</f>
        <v>lka</v>
      </c>
    </row>
    <row r="43573">
      <c r="A43573" s="1" t="s">
        <v>43572</v>
      </c>
      <c r="B43573" s="2" t="str">
        <f>IFERROR(__xludf.DUMMYFUNCTION("GOOGLETRANSLATE(A43573, ""de"", ""en"")"),"heyday")</f>
        <v>heyday</v>
      </c>
    </row>
    <row r="43574">
      <c r="A43574" s="1" t="s">
        <v>43573</v>
      </c>
      <c r="B43574" s="2" t="str">
        <f>IFERROR(__xludf.DUMMYFUNCTION("GOOGLETRANSLATE(A43574, ""de"", ""en"")"),"guardian")</f>
        <v>guardian</v>
      </c>
    </row>
    <row r="43575">
      <c r="A43575" s="1" t="s">
        <v>43574</v>
      </c>
      <c r="B43575" s="2" t="str">
        <f>IFERROR(__xludf.DUMMYFUNCTION("GOOGLETRANSLATE(A43575, ""de"", ""en"")"),"scoundrel")</f>
        <v>scoundrel</v>
      </c>
    </row>
    <row r="43576">
      <c r="A43576" s="1" t="s">
        <v>43575</v>
      </c>
      <c r="B43576" s="2" t="str">
        <f>IFERROR(__xludf.DUMMYFUNCTION("GOOGLETRANSLATE(A43576, ""de"", ""en"")"),"game ball")</f>
        <v>game ball</v>
      </c>
    </row>
    <row r="43577">
      <c r="A43577" s="1" t="s">
        <v>43576</v>
      </c>
      <c r="B43577" s="2" t="str">
        <f>IFERROR(__xludf.DUMMYFUNCTION("GOOGLETRANSLATE(A43577, ""de"", ""en"")"),"humanitarian")</f>
        <v>humanitarian</v>
      </c>
    </row>
    <row r="43578">
      <c r="A43578" s="1" t="s">
        <v>43577</v>
      </c>
      <c r="B43578" s="2" t="str">
        <f>IFERROR(__xludf.DUMMYFUNCTION("GOOGLETRANSLATE(A43578, ""de"", ""en"")"),"to cut through")</f>
        <v>to cut through</v>
      </c>
    </row>
    <row r="43579">
      <c r="A43579" s="1" t="s">
        <v>43578</v>
      </c>
      <c r="B43579" s="2" t="str">
        <f>IFERROR(__xludf.DUMMYFUNCTION("GOOGLETRANSLATE(A43579, ""de"", ""en"")"),"to live out")</f>
        <v>to live out</v>
      </c>
    </row>
    <row r="43580">
      <c r="A43580" s="1" t="s">
        <v>43579</v>
      </c>
      <c r="B43580" s="2" t="str">
        <f>IFERROR(__xludf.DUMMYFUNCTION("GOOGLETRANSLATE(A43580, ""de"", ""en"")"),"coriander")</f>
        <v>coriander</v>
      </c>
    </row>
    <row r="43581">
      <c r="A43581" s="1" t="s">
        <v>43580</v>
      </c>
      <c r="B43581" s="2" t="str">
        <f>IFERROR(__xludf.DUMMYFUNCTION("GOOGLETRANSLATE(A43581, ""de"", ""en"")"),"bitches")</f>
        <v>bitches</v>
      </c>
    </row>
    <row r="43582">
      <c r="A43582" s="1" t="s">
        <v>43581</v>
      </c>
      <c r="B43582" s="2" t="str">
        <f>IFERROR(__xludf.DUMMYFUNCTION("GOOGLETRANSLATE(A43582, ""de"", ""en"")"),"operational order")</f>
        <v>operational order</v>
      </c>
    </row>
    <row r="43583">
      <c r="A43583" s="1" t="s">
        <v>43582</v>
      </c>
      <c r="B43583" s="2" t="str">
        <f>IFERROR(__xludf.DUMMYFUNCTION("GOOGLETRANSLATE(A43583, ""de"", ""en"")"),"insecure")</f>
        <v>insecure</v>
      </c>
    </row>
    <row r="43584">
      <c r="A43584" s="1" t="s">
        <v>43583</v>
      </c>
      <c r="B43584" s="2" t="str">
        <f>IFERROR(__xludf.DUMMYFUNCTION("GOOGLETRANSLATE(A43584, ""de"", ""en"")"),"multiple")</f>
        <v>multiple</v>
      </c>
    </row>
    <row r="43585">
      <c r="A43585" s="1" t="s">
        <v>43584</v>
      </c>
      <c r="B43585" s="2" t="str">
        <f>IFERROR(__xludf.DUMMYFUNCTION("GOOGLETRANSLATE(A43585, ""de"", ""en"")"),"contaminated")</f>
        <v>contaminated</v>
      </c>
    </row>
    <row r="43586">
      <c r="A43586" s="1" t="s">
        <v>43585</v>
      </c>
      <c r="B43586" s="2" t="str">
        <f>IFERROR(__xludf.DUMMYFUNCTION("GOOGLETRANSLATE(A43586, ""de"", ""en"")"),"ex-con")</f>
        <v>ex-con</v>
      </c>
    </row>
    <row r="43587">
      <c r="A43587" s="1" t="s">
        <v>43586</v>
      </c>
      <c r="B43587" s="2" t="str">
        <f>IFERROR(__xludf.DUMMYFUNCTION("GOOGLETRANSLATE(A43587, ""de"", ""en"")"),"designated")</f>
        <v>designated</v>
      </c>
    </row>
    <row r="43588">
      <c r="A43588" s="1" t="s">
        <v>43587</v>
      </c>
      <c r="B43588" s="2" t="str">
        <f>IFERROR(__xludf.DUMMYFUNCTION("GOOGLETRANSLATE(A43588, ""de"", ""en"")"),"cammy")</f>
        <v>cammy</v>
      </c>
    </row>
    <row r="43589">
      <c r="A43589" s="1" t="s">
        <v>43588</v>
      </c>
      <c r="B43589" s="2" t="str">
        <f>IFERROR(__xludf.DUMMYFUNCTION("GOOGLETRANSLATE(A43589, ""de"", ""en"")"),"torvald")</f>
        <v>torvald</v>
      </c>
    </row>
    <row r="43590">
      <c r="A43590" s="1" t="s">
        <v>43589</v>
      </c>
      <c r="B43590" s="2" t="str">
        <f>IFERROR(__xludf.DUMMYFUNCTION("GOOGLETRANSLATE(A43590, ""de"", ""en"")"),"moved")</f>
        <v>moved</v>
      </c>
    </row>
    <row r="43591">
      <c r="A43591" s="1" t="s">
        <v>43590</v>
      </c>
      <c r="B43591" s="2" t="str">
        <f>IFERROR(__xludf.DUMMYFUNCTION("GOOGLETRANSLATE(A43591, ""de"", ""en"")"),"ooh")</f>
        <v>ooh</v>
      </c>
    </row>
    <row r="43592">
      <c r="A43592" s="1" t="s">
        <v>43591</v>
      </c>
      <c r="B43592" s="2" t="str">
        <f>IFERROR(__xludf.DUMMYFUNCTION("GOOGLETRANSLATE(A43592, ""de"", ""en"")"),"airforce")</f>
        <v>airforce</v>
      </c>
    </row>
    <row r="43593">
      <c r="A43593" s="1" t="s">
        <v>43592</v>
      </c>
      <c r="B43593" s="2" t="str">
        <f>IFERROR(__xludf.DUMMYFUNCTION("GOOGLETRANSLATE(A43593, ""de"", ""en"")"),"kyi")</f>
        <v>kyi</v>
      </c>
    </row>
    <row r="43594">
      <c r="A43594" s="1" t="s">
        <v>43593</v>
      </c>
      <c r="B43594" s="2" t="str">
        <f>IFERROR(__xludf.DUMMYFUNCTION("GOOGLETRANSLATE(A43594, ""de"", ""en"")"),"medlock")</f>
        <v>medlock</v>
      </c>
    </row>
    <row r="43595">
      <c r="A43595" s="1" t="s">
        <v>43594</v>
      </c>
      <c r="B43595" s="2" t="str">
        <f>IFERROR(__xludf.DUMMYFUNCTION("GOOGLETRANSLATE(A43595, ""de"", ""en"")"),"Protestant")</f>
        <v>Protestant</v>
      </c>
    </row>
    <row r="43596">
      <c r="A43596" s="1" t="s">
        <v>43595</v>
      </c>
      <c r="B43596" s="2" t="str">
        <f>IFERROR(__xludf.DUMMYFUNCTION("GOOGLETRANSLATE(A43596, ""de"", ""en"")"),"cooley")</f>
        <v>cooley</v>
      </c>
    </row>
    <row r="43597">
      <c r="A43597" s="1" t="s">
        <v>43596</v>
      </c>
      <c r="B43597" s="2" t="str">
        <f>IFERROR(__xludf.DUMMYFUNCTION("GOOGLETRANSLATE(A43597, ""de"", ""en"")"),"lisette")</f>
        <v>lisette</v>
      </c>
    </row>
    <row r="43598">
      <c r="A43598" s="1" t="s">
        <v>43597</v>
      </c>
      <c r="B43598" s="2" t="str">
        <f>IFERROR(__xludf.DUMMYFUNCTION("GOOGLETRANSLATE(A43598, ""de"", ""en"")"),"expose")</f>
        <v>expose</v>
      </c>
    </row>
    <row r="43599">
      <c r="A43599" s="1" t="s">
        <v>43598</v>
      </c>
      <c r="B43599" s="2" t="str">
        <f>IFERROR(__xludf.DUMMYFUNCTION("GOOGLETRANSLATE(A43599, ""de"", ""en"")"),"bread and butter")</f>
        <v>bread and butter</v>
      </c>
    </row>
    <row r="43600">
      <c r="A43600" s="1" t="s">
        <v>43599</v>
      </c>
      <c r="B43600" s="2" t="str">
        <f>IFERROR(__xludf.DUMMYFUNCTION("GOOGLETRANSLATE(A43600, ""de"", ""en"")"),"earrings")</f>
        <v>earrings</v>
      </c>
    </row>
    <row r="43601">
      <c r="A43601" s="1" t="s">
        <v>43600</v>
      </c>
      <c r="B43601" s="2" t="str">
        <f>IFERROR(__xludf.DUMMYFUNCTION("GOOGLETRANSLATE(A43601, ""de"", ""en"")"),"scanlon")</f>
        <v>scanlon</v>
      </c>
    </row>
    <row r="43602">
      <c r="A43602" s="1" t="s">
        <v>43601</v>
      </c>
      <c r="B43602" s="2" t="str">
        <f>IFERROR(__xludf.DUMMYFUNCTION("GOOGLETRANSLATE(A43602, ""de"", ""en"")"),"imaginary")</f>
        <v>imaginary</v>
      </c>
    </row>
    <row r="43603">
      <c r="A43603" s="1" t="s">
        <v>43602</v>
      </c>
      <c r="B43603" s="2" t="str">
        <f>IFERROR(__xludf.DUMMYFUNCTION("GOOGLETRANSLATE(A43603, ""de"", ""en"")"),"confused")</f>
        <v>confused</v>
      </c>
    </row>
    <row r="43604">
      <c r="A43604" s="1" t="s">
        <v>43603</v>
      </c>
      <c r="B43604" s="2" t="str">
        <f>IFERROR(__xludf.DUMMYFUNCTION("GOOGLETRANSLATE(A43604, ""de"", ""en"")"),"most precious")</f>
        <v>most precious</v>
      </c>
    </row>
    <row r="43605">
      <c r="A43605" s="1" t="s">
        <v>43604</v>
      </c>
      <c r="B43605" s="2" t="str">
        <f>IFERROR(__xludf.DUMMYFUNCTION("GOOGLETRANSLATE(A43605, ""de"", ""en"")"),"maloney")</f>
        <v>maloney</v>
      </c>
    </row>
    <row r="43606">
      <c r="A43606" s="1" t="s">
        <v>43605</v>
      </c>
      <c r="B43606" s="2" t="str">
        <f>IFERROR(__xludf.DUMMYFUNCTION("GOOGLETRANSLATE(A43606, ""de"", ""en"")"),"cutter")</f>
        <v>cutter</v>
      </c>
    </row>
    <row r="43607">
      <c r="A43607" s="1" t="s">
        <v>43606</v>
      </c>
      <c r="B43607" s="2" t="str">
        <f>IFERROR(__xludf.DUMMYFUNCTION("GOOGLETRANSLATE(A43607, ""de"", ""en"")"),"presidente")</f>
        <v>presidente</v>
      </c>
    </row>
    <row r="43608">
      <c r="A43608" s="1" t="s">
        <v>43607</v>
      </c>
      <c r="B43608" s="2" t="str">
        <f>IFERROR(__xludf.DUMMYFUNCTION("GOOGLETRANSLATE(A43608, ""de"", ""en"")"),"maison")</f>
        <v>maison</v>
      </c>
    </row>
    <row r="43609">
      <c r="A43609" s="1" t="s">
        <v>43608</v>
      </c>
      <c r="B43609" s="2" t="str">
        <f>IFERROR(__xludf.DUMMYFUNCTION("GOOGLETRANSLATE(A43609, ""de"", ""en"")"),"judicial")</f>
        <v>judicial</v>
      </c>
    </row>
    <row r="43610">
      <c r="A43610" s="1" t="s">
        <v>43609</v>
      </c>
      <c r="B43610" s="2" t="str">
        <f>IFERROR(__xludf.DUMMYFUNCTION("GOOGLETRANSLATE(A43610, ""de"", ""en"")"),"sekou")</f>
        <v>sekou</v>
      </c>
    </row>
    <row r="43611">
      <c r="A43611" s="1" t="s">
        <v>43610</v>
      </c>
      <c r="B43611" s="2" t="str">
        <f>IFERROR(__xludf.DUMMYFUNCTION("GOOGLETRANSLATE(A43611, ""de"", ""en"")"),"unknowingly")</f>
        <v>unknowingly</v>
      </c>
    </row>
    <row r="43612">
      <c r="A43612" s="1" t="s">
        <v>43611</v>
      </c>
      <c r="B43612" s="2" t="str">
        <f>IFERROR(__xludf.DUMMYFUNCTION("GOOGLETRANSLATE(A43612, ""de"", ""en"")"),"humvee")</f>
        <v>humvee</v>
      </c>
    </row>
    <row r="43613">
      <c r="A43613" s="1" t="s">
        <v>43612</v>
      </c>
      <c r="B43613" s="2" t="str">
        <f>IFERROR(__xludf.DUMMYFUNCTION("GOOGLETRANSLATE(A43613, ""de"", ""en"")"),"picture frame")</f>
        <v>picture frame</v>
      </c>
    </row>
    <row r="43614">
      <c r="A43614" s="1" t="s">
        <v>43613</v>
      </c>
      <c r="B43614" s="2" t="str">
        <f>IFERROR(__xludf.DUMMYFUNCTION("GOOGLETRANSLATE(A43614, ""de"", ""en"")"),"ott")</f>
        <v>ott</v>
      </c>
    </row>
    <row r="43615">
      <c r="A43615" s="1" t="s">
        <v>43614</v>
      </c>
      <c r="B43615" s="2" t="str">
        <f>IFERROR(__xludf.DUMMYFUNCTION("GOOGLETRANSLATE(A43615, ""de"", ""en"")"),"to lay down")</f>
        <v>to lay down</v>
      </c>
    </row>
    <row r="43616">
      <c r="A43616" s="1" t="s">
        <v>43615</v>
      </c>
      <c r="B43616" s="2" t="str">
        <f>IFERROR(__xludf.DUMMYFUNCTION("GOOGLETRANSLATE(A43616, ""de"", ""en"")"),"eyeliner")</f>
        <v>eyeliner</v>
      </c>
    </row>
    <row r="43617">
      <c r="A43617" s="1" t="s">
        <v>43616</v>
      </c>
      <c r="B43617" s="2" t="str">
        <f>IFERROR(__xludf.DUMMYFUNCTION("GOOGLETRANSLATE(A43617, ""de"", ""en"")"),"crook")</f>
        <v>crook</v>
      </c>
    </row>
    <row r="43618">
      <c r="A43618" s="1" t="s">
        <v>43617</v>
      </c>
      <c r="B43618" s="2" t="str">
        <f>IFERROR(__xludf.DUMMYFUNCTION("GOOGLETRANSLATE(A43618, ""de"", ""en"")"),"helped")</f>
        <v>helped</v>
      </c>
    </row>
    <row r="43619">
      <c r="A43619" s="1" t="s">
        <v>43618</v>
      </c>
      <c r="B43619" s="2" t="str">
        <f>IFERROR(__xludf.DUMMYFUNCTION("GOOGLETRANSLATE(A43619, ""de"", ""en"")"),"sedative")</f>
        <v>sedative</v>
      </c>
    </row>
    <row r="43620">
      <c r="A43620" s="1" t="s">
        <v>43619</v>
      </c>
      <c r="B43620" s="2" t="str">
        <f>IFERROR(__xludf.DUMMYFUNCTION("GOOGLETRANSLATE(A43620, ""de"", ""en"")"),"little town")</f>
        <v>little town</v>
      </c>
    </row>
    <row r="43621">
      <c r="A43621" s="1" t="s">
        <v>43620</v>
      </c>
      <c r="B43621" s="2" t="str">
        <f>IFERROR(__xludf.DUMMYFUNCTION("GOOGLETRANSLATE(A43621, ""de"", ""en"")"),"change of course")</f>
        <v>change of course</v>
      </c>
    </row>
    <row r="43622">
      <c r="A43622" s="1" t="s">
        <v>43621</v>
      </c>
      <c r="B43622" s="2" t="str">
        <f>IFERROR(__xludf.DUMMYFUNCTION("GOOGLETRANSLATE(A43622, ""de"", ""en"")"),"p.j.")</f>
        <v>p.j.</v>
      </c>
    </row>
    <row r="43623">
      <c r="A43623" s="1" t="s">
        <v>43622</v>
      </c>
      <c r="B43623" s="2" t="str">
        <f>IFERROR(__xludf.DUMMYFUNCTION("GOOGLETRANSLATE(A43623, ""de"", ""en"")"),"contraceptives")</f>
        <v>contraceptives</v>
      </c>
    </row>
    <row r="43624">
      <c r="A43624" s="1" t="s">
        <v>43623</v>
      </c>
      <c r="B43624" s="2" t="str">
        <f>IFERROR(__xludf.DUMMYFUNCTION("GOOGLETRANSLATE(A43624, ""de"", ""en"")"),"wine")</f>
        <v>wine</v>
      </c>
    </row>
    <row r="43625">
      <c r="A43625" s="1" t="s">
        <v>43624</v>
      </c>
      <c r="B43625" s="2" t="str">
        <f>IFERROR(__xludf.DUMMYFUNCTION("GOOGLETRANSLATE(A43625, ""de"", ""en"")"),"immense")</f>
        <v>immense</v>
      </c>
    </row>
    <row r="43626">
      <c r="A43626" s="1" t="s">
        <v>43625</v>
      </c>
      <c r="B43626" s="2" t="str">
        <f>IFERROR(__xludf.DUMMYFUNCTION("GOOGLETRANSLATE(A43626, ""de"", ""en"")"),"Himalayas")</f>
        <v>Himalayas</v>
      </c>
    </row>
    <row r="43627">
      <c r="A43627" s="1" t="s">
        <v>43626</v>
      </c>
      <c r="B43627" s="2" t="str">
        <f>IFERROR(__xludf.DUMMYFUNCTION("GOOGLETRANSLATE(A43627, ""de"", ""en"")"),"hamel")</f>
        <v>hamel</v>
      </c>
    </row>
    <row r="43628">
      <c r="A43628" s="1" t="s">
        <v>43627</v>
      </c>
      <c r="B43628" s="2" t="str">
        <f>IFERROR(__xludf.DUMMYFUNCTION("GOOGLETRANSLATE(A43628, ""de"", ""en"")"),"yuka")</f>
        <v>yuka</v>
      </c>
    </row>
    <row r="43629">
      <c r="A43629" s="1" t="s">
        <v>43628</v>
      </c>
      <c r="B43629" s="2" t="str">
        <f>IFERROR(__xludf.DUMMYFUNCTION("GOOGLETRANSLATE(A43629, ""de"", ""en"")"),"incorporate")</f>
        <v>incorporate</v>
      </c>
    </row>
    <row r="43630">
      <c r="A43630" s="1" t="s">
        <v>43629</v>
      </c>
      <c r="B43630" s="2" t="str">
        <f>IFERROR(__xludf.DUMMYFUNCTION("GOOGLETRANSLATE(A43630, ""de"", ""en"")"),"basketball player")</f>
        <v>basketball player</v>
      </c>
    </row>
    <row r="43631">
      <c r="A43631" s="1" t="s">
        <v>43630</v>
      </c>
      <c r="B43631" s="2" t="str">
        <f>IFERROR(__xludf.DUMMYFUNCTION("GOOGLETRANSLATE(A43631, ""de"", ""en"")"),"brawn")</f>
        <v>brawn</v>
      </c>
    </row>
    <row r="43632">
      <c r="A43632" s="1" t="s">
        <v>43631</v>
      </c>
      <c r="B43632" s="2" t="str">
        <f>IFERROR(__xludf.DUMMYFUNCTION("GOOGLETRANSLATE(A43632, ""de"", ""en"")"),"nothing")</f>
        <v>nothing</v>
      </c>
    </row>
    <row r="43633">
      <c r="A43633" s="1" t="s">
        <v>43632</v>
      </c>
      <c r="B43633" s="2" t="str">
        <f>IFERROR(__xludf.DUMMYFUNCTION("GOOGLETRANSLATE(A43633, ""de"", ""en"")"),"fortescue")</f>
        <v>fortescue</v>
      </c>
    </row>
    <row r="43634">
      <c r="A43634" s="1" t="s">
        <v>43633</v>
      </c>
      <c r="B43634" s="2" t="str">
        <f>IFERROR(__xludf.DUMMYFUNCTION("GOOGLETRANSLATE(A43634, ""de"", ""en"")"),"equivalent")</f>
        <v>equivalent</v>
      </c>
    </row>
    <row r="43635">
      <c r="A43635" s="1" t="s">
        <v>43634</v>
      </c>
      <c r="B43635" s="2" t="str">
        <f>IFERROR(__xludf.DUMMYFUNCTION("GOOGLETRANSLATE(A43635, ""de"", ""en"")"),"Dennison")</f>
        <v>Dennison</v>
      </c>
    </row>
    <row r="43636">
      <c r="A43636" s="1" t="s">
        <v>43635</v>
      </c>
      <c r="B43636" s="2" t="str">
        <f>IFERROR(__xludf.DUMMYFUNCTION("GOOGLETRANSLATE(A43636, ""de"", ""en"")"),"verdana")</f>
        <v>verdana</v>
      </c>
    </row>
    <row r="43637">
      <c r="A43637" s="1" t="s">
        <v>43636</v>
      </c>
      <c r="B43637" s="2" t="str">
        <f>IFERROR(__xludf.DUMMYFUNCTION("GOOGLETRANSLATE(A43637, ""de"", ""en"")"),"connected")</f>
        <v>connected</v>
      </c>
    </row>
    <row r="43638">
      <c r="A43638" s="1" t="s">
        <v>43637</v>
      </c>
      <c r="B43638" s="2" t="str">
        <f>IFERROR(__xludf.DUMMYFUNCTION("GOOGLETRANSLATE(A43638, ""de"", ""en"")"),"financial")</f>
        <v>financial</v>
      </c>
    </row>
    <row r="43639">
      <c r="A43639" s="1" t="s">
        <v>43638</v>
      </c>
      <c r="B43639" s="2" t="str">
        <f>IFERROR(__xludf.DUMMYFUNCTION("GOOGLETRANSLATE(A43639, ""de"", ""en"")"),"lean")</f>
        <v>lean</v>
      </c>
    </row>
    <row r="43640">
      <c r="A43640" s="1" t="s">
        <v>43639</v>
      </c>
      <c r="B43640" s="2" t="str">
        <f>IFERROR(__xludf.DUMMYFUNCTION("GOOGLETRANSLATE(A43640, ""de"", ""en"")"),"spilled")</f>
        <v>spilled</v>
      </c>
    </row>
    <row r="43641">
      <c r="A43641" s="1" t="s">
        <v>43640</v>
      </c>
      <c r="B43641" s="2" t="str">
        <f>IFERROR(__xludf.DUMMYFUNCTION("GOOGLETRANSLATE(A43641, ""de"", ""en"")"),"trouser fly")</f>
        <v>trouser fly</v>
      </c>
    </row>
    <row r="43642">
      <c r="A43642" s="1" t="s">
        <v>43641</v>
      </c>
      <c r="B43642" s="2" t="str">
        <f>IFERROR(__xludf.DUMMYFUNCTION("GOOGLETRANSLATE(A43642, ""de"", ""en"")"),"two-faced")</f>
        <v>two-faced</v>
      </c>
    </row>
    <row r="43643">
      <c r="A43643" s="1" t="s">
        <v>43642</v>
      </c>
      <c r="B43643" s="2" t="str">
        <f>IFERROR(__xludf.DUMMYFUNCTION("GOOGLETRANSLATE(A43643, ""de"", ""en"")"),"glazier")</f>
        <v>glazier</v>
      </c>
    </row>
    <row r="43644">
      <c r="A43644" s="1" t="s">
        <v>43643</v>
      </c>
      <c r="B43644" s="2" t="str">
        <f>IFERROR(__xludf.DUMMYFUNCTION("GOOGLETRANSLATE(A43644, ""de"", ""en"")"),"colonel general")</f>
        <v>colonel general</v>
      </c>
    </row>
    <row r="43645">
      <c r="A43645" s="1" t="s">
        <v>43644</v>
      </c>
      <c r="B43645" s="2" t="str">
        <f>IFERROR(__xludf.DUMMYFUNCTION("GOOGLETRANSLATE(A43645, ""de"", ""en"")"),"redhead")</f>
        <v>redhead</v>
      </c>
    </row>
    <row r="43646">
      <c r="A43646" s="1" t="s">
        <v>43645</v>
      </c>
      <c r="B43646" s="2" t="str">
        <f>IFERROR(__xludf.DUMMYFUNCTION("GOOGLETRANSLATE(A43646, ""de"", ""en"")"),"discover")</f>
        <v>discover</v>
      </c>
    </row>
    <row r="43647">
      <c r="A43647" s="1" t="s">
        <v>43646</v>
      </c>
      <c r="B43647" s="2" t="str">
        <f>IFERROR(__xludf.DUMMYFUNCTION("GOOGLETRANSLATE(A43647, ""de"", ""en"")"),"zo")</f>
        <v>zo</v>
      </c>
    </row>
    <row r="43648">
      <c r="A43648" s="1" t="s">
        <v>43647</v>
      </c>
      <c r="B43648" s="2" t="str">
        <f>IFERROR(__xludf.DUMMYFUNCTION("GOOGLETRANSLATE(A43648, ""de"", ""en"")"),"rubio")</f>
        <v>rubio</v>
      </c>
    </row>
    <row r="43649">
      <c r="A43649" s="1" t="s">
        <v>43648</v>
      </c>
      <c r="B43649" s="2" t="str">
        <f>IFERROR(__xludf.DUMMYFUNCTION("GOOGLETRANSLATE(A43649, ""de"", ""en"")"),"Talmud")</f>
        <v>Talmud</v>
      </c>
    </row>
    <row r="43650">
      <c r="A43650" s="1" t="s">
        <v>43649</v>
      </c>
      <c r="B43650" s="2" t="str">
        <f>IFERROR(__xludf.DUMMYFUNCTION("GOOGLETRANSLATE(A43650, ""de"", ""en"")"),"rubber band")</f>
        <v>rubber band</v>
      </c>
    </row>
    <row r="43651">
      <c r="A43651" s="1" t="s">
        <v>43650</v>
      </c>
      <c r="B43651" s="2" t="str">
        <f>IFERROR(__xludf.DUMMYFUNCTION("GOOGLETRANSLATE(A43651, ""de"", ""en"")"),"of course")</f>
        <v>of course</v>
      </c>
    </row>
    <row r="43652">
      <c r="A43652" s="1" t="s">
        <v>43651</v>
      </c>
      <c r="B43652" s="2" t="str">
        <f>IFERROR(__xludf.DUMMYFUNCTION("GOOGLETRANSLATE(A43652, ""de"", ""en"")"),"lush")</f>
        <v>lush</v>
      </c>
    </row>
    <row r="43653">
      <c r="A43653" s="1" t="s">
        <v>43652</v>
      </c>
      <c r="B43653" s="2" t="str">
        <f>IFERROR(__xludf.DUMMYFUNCTION("GOOGLETRANSLATE(A43653, ""de"", ""en"")"),"lf")</f>
        <v>lf</v>
      </c>
    </row>
    <row r="43654">
      <c r="A43654" s="1" t="s">
        <v>43653</v>
      </c>
      <c r="B43654" s="2" t="str">
        <f>IFERROR(__xludf.DUMMYFUNCTION("GOOGLETRANSLATE(A43654, ""de"", ""en"")"),"Bermuda")</f>
        <v>Bermuda</v>
      </c>
    </row>
    <row r="43655">
      <c r="A43655" s="1" t="s">
        <v>43654</v>
      </c>
      <c r="B43655" s="2" t="str">
        <f>IFERROR(__xludf.DUMMYFUNCTION("GOOGLETRANSLATE(A43655, ""de"", ""en"")"),"holiest")</f>
        <v>holiest</v>
      </c>
    </row>
    <row r="43656">
      <c r="A43656" s="1" t="s">
        <v>43655</v>
      </c>
      <c r="B43656" s="2" t="str">
        <f>IFERROR(__xludf.DUMMYFUNCTION("GOOGLETRANSLATE(A43656, ""de"", ""en"")"),"kham")</f>
        <v>kham</v>
      </c>
    </row>
    <row r="43657">
      <c r="A43657" s="1" t="s">
        <v>43656</v>
      </c>
      <c r="B43657" s="2" t="str">
        <f>IFERROR(__xludf.DUMMYFUNCTION("GOOGLETRANSLATE(A43657, ""de"", ""en"")"),"instruction manual")</f>
        <v>instruction manual</v>
      </c>
    </row>
    <row r="43658">
      <c r="A43658" s="1" t="s">
        <v>43657</v>
      </c>
      <c r="B43658" s="2" t="str">
        <f>IFERROR(__xludf.DUMMYFUNCTION("GOOGLETRANSLATE(A43658, ""de"", ""en"")"),"existing")</f>
        <v>existing</v>
      </c>
    </row>
    <row r="43659">
      <c r="A43659" s="1" t="s">
        <v>43658</v>
      </c>
      <c r="B43659" s="2" t="str">
        <f>IFERROR(__xludf.DUMMYFUNCTION("GOOGLETRANSLATE(A43659, ""de"", ""en"")"),"14 year old")</f>
        <v>14 year old</v>
      </c>
    </row>
    <row r="43660">
      <c r="A43660" s="1" t="s">
        <v>43659</v>
      </c>
      <c r="B43660" s="2" t="str">
        <f>IFERROR(__xludf.DUMMYFUNCTION("GOOGLETRANSLATE(A43660, ""de"", ""en"")"),"smartest")</f>
        <v>smartest</v>
      </c>
    </row>
    <row r="43661">
      <c r="A43661" s="1" t="s">
        <v>43660</v>
      </c>
      <c r="B43661" s="2" t="str">
        <f>IFERROR(__xludf.DUMMYFUNCTION("GOOGLETRANSLATE(A43661, ""de"", ""en"")"),"decrease")</f>
        <v>decrease</v>
      </c>
    </row>
    <row r="43662">
      <c r="A43662" s="1" t="s">
        <v>43661</v>
      </c>
      <c r="B43662" s="2" t="str">
        <f>IFERROR(__xludf.DUMMYFUNCTION("GOOGLETRANSLATE(A43662, ""de"", ""en"")"),"murder")</f>
        <v>murder</v>
      </c>
    </row>
    <row r="43663">
      <c r="A43663" s="1" t="s">
        <v>43662</v>
      </c>
      <c r="B43663" s="2" t="str">
        <f>IFERROR(__xludf.DUMMYFUNCTION("GOOGLETRANSLATE(A43663, ""de"", ""en"")"),"luo")</f>
        <v>luo</v>
      </c>
    </row>
    <row r="43664">
      <c r="A43664" s="1" t="s">
        <v>43663</v>
      </c>
      <c r="B43664" s="2" t="str">
        <f>IFERROR(__xludf.DUMMYFUNCTION("GOOGLETRANSLATE(A43664, ""de"", ""en"")"),"methodical")</f>
        <v>methodical</v>
      </c>
    </row>
    <row r="43665">
      <c r="A43665" s="1" t="s">
        <v>43664</v>
      </c>
      <c r="B43665" s="2" t="str">
        <f>IFERROR(__xludf.DUMMYFUNCTION("GOOGLETRANSLATE(A43665, ""de"", ""en"")"),"Amazon")</f>
        <v>Amazon</v>
      </c>
    </row>
    <row r="43666">
      <c r="A43666" s="1" t="s">
        <v>43665</v>
      </c>
      <c r="B43666" s="2" t="str">
        <f>IFERROR(__xludf.DUMMYFUNCTION("GOOGLETRANSLATE(A43666, ""de"", ""en"")"),"throne beast")</f>
        <v>throne beast</v>
      </c>
    </row>
    <row r="43667">
      <c r="A43667" s="1" t="s">
        <v>43666</v>
      </c>
      <c r="B43667" s="2" t="str">
        <f>IFERROR(__xludf.DUMMYFUNCTION("GOOGLETRANSLATE(A43667, ""de"", ""en"")"),"ejection seat")</f>
        <v>ejection seat</v>
      </c>
    </row>
    <row r="43668">
      <c r="A43668" s="1" t="s">
        <v>43667</v>
      </c>
      <c r="B43668" s="2" t="str">
        <f>IFERROR(__xludf.DUMMYFUNCTION("GOOGLETRANSLATE(A43668, ""de"", ""en"")"),"scales")</f>
        <v>scales</v>
      </c>
    </row>
    <row r="43669">
      <c r="A43669" s="1" t="s">
        <v>43668</v>
      </c>
      <c r="B43669" s="2" t="str">
        <f>IFERROR(__xludf.DUMMYFUNCTION("GOOGLETRANSLATE(A43669, ""de"", ""en"")"),"admirable")</f>
        <v>admirable</v>
      </c>
    </row>
    <row r="43670">
      <c r="A43670" s="1" t="s">
        <v>43669</v>
      </c>
      <c r="B43670" s="2" t="str">
        <f>IFERROR(__xludf.DUMMYFUNCTION("GOOGLETRANSLATE(A43670, ""de"", ""en"")"),"favorite son")</f>
        <v>favorite son</v>
      </c>
    </row>
    <row r="43671">
      <c r="A43671" s="1" t="s">
        <v>43670</v>
      </c>
      <c r="B43671" s="2" t="str">
        <f>IFERROR(__xludf.DUMMYFUNCTION("GOOGLETRANSLATE(A43671, ""de"", ""en"")"),"niggas")</f>
        <v>niggas</v>
      </c>
    </row>
    <row r="43672">
      <c r="A43672" s="1" t="s">
        <v>43671</v>
      </c>
      <c r="B43672" s="2" t="str">
        <f>IFERROR(__xludf.DUMMYFUNCTION("GOOGLETRANSLATE(A43672, ""de"", ""en"")"),"pixel")</f>
        <v>pixel</v>
      </c>
    </row>
    <row r="43673">
      <c r="A43673" s="1" t="s">
        <v>43672</v>
      </c>
      <c r="B43673" s="2" t="str">
        <f>IFERROR(__xludf.DUMMYFUNCTION("GOOGLETRANSLATE(A43673, ""de"", ""en"")"),"hatched")</f>
        <v>hatched</v>
      </c>
    </row>
    <row r="43674">
      <c r="A43674" s="1" t="s">
        <v>43673</v>
      </c>
      <c r="B43674" s="2" t="str">
        <f>IFERROR(__xludf.DUMMYFUNCTION("GOOGLETRANSLATE(A43674, ""de"", ""en"")"),"Weasley")</f>
        <v>Weasley</v>
      </c>
    </row>
    <row r="43675">
      <c r="A43675" s="1" t="s">
        <v>43674</v>
      </c>
      <c r="B43675" s="2" t="str">
        <f>IFERROR(__xludf.DUMMYFUNCTION("GOOGLETRANSLATE(A43675, ""de"", ""en"")"),"faker")</f>
        <v>faker</v>
      </c>
    </row>
    <row r="43676">
      <c r="A43676" s="1" t="s">
        <v>43675</v>
      </c>
      <c r="B43676" s="2" t="str">
        <f>IFERROR(__xludf.DUMMYFUNCTION("GOOGLETRANSLATE(A43676, ""de"", ""en"")"),"most famous")</f>
        <v>most famous</v>
      </c>
    </row>
    <row r="43677">
      <c r="A43677" s="1" t="s">
        <v>43676</v>
      </c>
      <c r="B43677" s="2" t="str">
        <f>IFERROR(__xludf.DUMMYFUNCTION("GOOGLETRANSLATE(A43677, ""de"", ""en"")"),"to pull together")</f>
        <v>to pull together</v>
      </c>
    </row>
    <row r="43678">
      <c r="A43678" s="1" t="s">
        <v>43677</v>
      </c>
      <c r="B43678" s="2" t="str">
        <f>IFERROR(__xludf.DUMMYFUNCTION("GOOGLETRANSLATE(A43678, ""de"", ""en"")"),"most honest")</f>
        <v>most honest</v>
      </c>
    </row>
    <row r="43679">
      <c r="A43679" s="1" t="s">
        <v>43678</v>
      </c>
      <c r="B43679" s="2" t="str">
        <f>IFERROR(__xludf.DUMMYFUNCTION("GOOGLETRANSLATE(A43679, ""de"", ""en"")"),"reconsider")</f>
        <v>reconsider</v>
      </c>
    </row>
    <row r="43680">
      <c r="A43680" s="1" t="s">
        <v>43679</v>
      </c>
      <c r="B43680" s="2" t="str">
        <f>IFERROR(__xludf.DUMMYFUNCTION("GOOGLETRANSLATE(A43680, ""de"", ""en"")"),"forestier")</f>
        <v>forestier</v>
      </c>
    </row>
    <row r="43681">
      <c r="A43681" s="1" t="s">
        <v>43680</v>
      </c>
      <c r="B43681" s="2" t="str">
        <f>IFERROR(__xludf.DUMMYFUNCTION("GOOGLETRANSLATE(A43681, ""de"", ""en"")"),"get up")</f>
        <v>get up</v>
      </c>
    </row>
    <row r="43682">
      <c r="A43682" s="1" t="s">
        <v>43681</v>
      </c>
      <c r="B43682" s="2" t="str">
        <f>IFERROR(__xludf.DUMMYFUNCTION("GOOGLETRANSLATE(A43682, ""de"", ""en"")"),"city ​​walls")</f>
        <v>city ​​walls</v>
      </c>
    </row>
    <row r="43683">
      <c r="A43683" s="1" t="s">
        <v>43682</v>
      </c>
      <c r="B43683" s="2" t="str">
        <f>IFERROR(__xludf.DUMMYFUNCTION("GOOGLETRANSLATE(A43683, ""de"", ""en"")"),"gastronomy")</f>
        <v>gastronomy</v>
      </c>
    </row>
    <row r="43684">
      <c r="A43684" s="1" t="s">
        <v>43683</v>
      </c>
      <c r="B43684" s="2" t="str">
        <f>IFERROR(__xludf.DUMMYFUNCTION("GOOGLETRANSLATE(A43684, ""de"", ""en"")"),"pennington")</f>
        <v>pennington</v>
      </c>
    </row>
    <row r="43685">
      <c r="A43685" s="1" t="s">
        <v>43684</v>
      </c>
      <c r="B43685" s="2" t="str">
        <f>IFERROR(__xludf.DUMMYFUNCTION("GOOGLETRANSLATE(A43685, ""de"", ""en"")"),"naquadria")</f>
        <v>naquadria</v>
      </c>
    </row>
    <row r="43686">
      <c r="A43686" s="1" t="s">
        <v>43685</v>
      </c>
      <c r="B43686" s="2" t="str">
        <f>IFERROR(__xludf.DUMMYFUNCTION("GOOGLETRANSLATE(A43686, ""de"", ""en"")"),"mor")</f>
        <v>mor</v>
      </c>
    </row>
    <row r="43687">
      <c r="A43687" s="1" t="s">
        <v>43686</v>
      </c>
      <c r="B43687" s="2" t="str">
        <f>IFERROR(__xludf.DUMMYFUNCTION("GOOGLETRANSLATE(A43687, ""de"", ""en"")"),"memorial service")</f>
        <v>memorial service</v>
      </c>
    </row>
    <row r="43688">
      <c r="A43688" s="1" t="s">
        <v>43687</v>
      </c>
      <c r="B43688" s="2" t="str">
        <f>IFERROR(__xludf.DUMMYFUNCTION("GOOGLETRANSLATE(A43688, ""de"", ""en"")"),"Newcastle")</f>
        <v>Newcastle</v>
      </c>
    </row>
    <row r="43689">
      <c r="A43689" s="1" t="s">
        <v>43688</v>
      </c>
      <c r="B43689" s="2" t="str">
        <f>IFERROR(__xludf.DUMMYFUNCTION("GOOGLETRANSLATE(A43689, ""de"", ""en"")"),"inconsistencies")</f>
        <v>inconsistencies</v>
      </c>
    </row>
    <row r="43690">
      <c r="A43690" s="1" t="s">
        <v>43689</v>
      </c>
      <c r="B43690" s="2" t="str">
        <f>IFERROR(__xludf.DUMMYFUNCTION("GOOGLETRANSLATE(A43690, ""de"", ""en"")"),"recently")</f>
        <v>recently</v>
      </c>
    </row>
    <row r="43691">
      <c r="A43691" s="1" t="s">
        <v>43690</v>
      </c>
      <c r="B43691" s="2" t="str">
        <f>IFERROR(__xludf.DUMMYFUNCTION("GOOGLETRANSLATE(A43691, ""de"", ""en"")"),"porters")</f>
        <v>porters</v>
      </c>
    </row>
    <row r="43692">
      <c r="A43692" s="1" t="s">
        <v>43691</v>
      </c>
      <c r="B43692" s="2" t="str">
        <f>IFERROR(__xludf.DUMMYFUNCTION("GOOGLETRANSLATE(A43692, ""de"", ""en"")"),"human form")</f>
        <v>human form</v>
      </c>
    </row>
    <row r="43693">
      <c r="A43693" s="1" t="s">
        <v>43692</v>
      </c>
      <c r="B43693" s="2" t="str">
        <f>IFERROR(__xludf.DUMMYFUNCTION("GOOGLETRANSLATE(A43693, ""de"", ""en"")"),"ä")</f>
        <v>ä</v>
      </c>
    </row>
    <row r="43694">
      <c r="A43694" s="1" t="s">
        <v>43693</v>
      </c>
      <c r="B43694" s="2" t="str">
        <f>IFERROR(__xludf.DUMMYFUNCTION("GOOGLETRANSLATE(A43694, ""de"", ""en"")"),"nepotism")</f>
        <v>nepotism</v>
      </c>
    </row>
    <row r="43695">
      <c r="A43695" s="1" t="s">
        <v>43694</v>
      </c>
      <c r="B43695" s="2" t="str">
        <f>IFERROR(__xludf.DUMMYFUNCTION("GOOGLETRANSLATE(A43695, ""de"", ""en"")"),"denounced")</f>
        <v>denounced</v>
      </c>
    </row>
    <row r="43696">
      <c r="A43696" s="1" t="s">
        <v>43695</v>
      </c>
      <c r="B43696" s="2" t="str">
        <f>IFERROR(__xludf.DUMMYFUNCTION("GOOGLETRANSLATE(A43696, ""de"", ""en"")"),"heiko")</f>
        <v>heiko</v>
      </c>
    </row>
    <row r="43697">
      <c r="A43697" s="1" t="s">
        <v>43696</v>
      </c>
      <c r="B43697" s="2" t="str">
        <f>IFERROR(__xludf.DUMMYFUNCTION("GOOGLETRANSLATE(A43697, ""de"", ""en"")"),"test drive")</f>
        <v>test drive</v>
      </c>
    </row>
    <row r="43698">
      <c r="A43698" s="1" t="s">
        <v>43697</v>
      </c>
      <c r="B43698" s="2" t="str">
        <f>IFERROR(__xludf.DUMMYFUNCTION("GOOGLETRANSLATE(A43698, ""de"", ""en"")"),"enticement")</f>
        <v>enticement</v>
      </c>
    </row>
    <row r="43699">
      <c r="A43699" s="1" t="s">
        <v>43698</v>
      </c>
      <c r="B43699" s="2" t="str">
        <f>IFERROR(__xludf.DUMMYFUNCTION("GOOGLETRANSLATE(A43699, ""de"", ""en"")"),"verna")</f>
        <v>verna</v>
      </c>
    </row>
    <row r="43700">
      <c r="A43700" s="1" t="s">
        <v>43699</v>
      </c>
      <c r="B43700" s="2" t="str">
        <f>IFERROR(__xludf.DUMMYFUNCTION("GOOGLETRANSLATE(A43700, ""de"", ""en"")"),"to imitate")</f>
        <v>to imitate</v>
      </c>
    </row>
    <row r="43701">
      <c r="A43701" s="1" t="s">
        <v>43700</v>
      </c>
      <c r="B43701" s="2" t="str">
        <f>IFERROR(__xludf.DUMMYFUNCTION("GOOGLETRANSLATE(A43701, ""de"", ""en"")"),"neglected")</f>
        <v>neglected</v>
      </c>
    </row>
    <row r="43702">
      <c r="A43702" s="1" t="s">
        <v>43701</v>
      </c>
      <c r="B43702" s="2" t="str">
        <f>IFERROR(__xludf.DUMMYFUNCTION("GOOGLETRANSLATE(A43702, ""de"", ""en"")"),"spaz")</f>
        <v>spaz</v>
      </c>
    </row>
    <row r="43703">
      <c r="A43703" s="1" t="s">
        <v>43702</v>
      </c>
      <c r="B43703" s="2" t="str">
        <f>IFERROR(__xludf.DUMMYFUNCTION("GOOGLETRANSLATE(A43703, ""de"", ""en"")"),"whistle")</f>
        <v>whistle</v>
      </c>
    </row>
    <row r="43704">
      <c r="A43704" s="1" t="s">
        <v>43703</v>
      </c>
      <c r="B43704" s="2" t="str">
        <f>IFERROR(__xludf.DUMMYFUNCTION("GOOGLETRANSLATE(A43704, ""de"", ""en"")"),"seized")</f>
        <v>seized</v>
      </c>
    </row>
    <row r="43705">
      <c r="A43705" s="1" t="s">
        <v>43704</v>
      </c>
      <c r="B43705" s="2" t="str">
        <f>IFERROR(__xludf.DUMMYFUNCTION("GOOGLETRANSLATE(A43705, ""de"", ""en"")"),"pathologists")</f>
        <v>pathologists</v>
      </c>
    </row>
    <row r="43706">
      <c r="A43706" s="1" t="s">
        <v>43705</v>
      </c>
      <c r="B43706" s="2" t="str">
        <f>IFERROR(__xludf.DUMMYFUNCTION("GOOGLETRANSLATE(A43706, ""de"", ""en"")"),"Czech")</f>
        <v>Czech</v>
      </c>
    </row>
    <row r="43707">
      <c r="A43707" s="1" t="s">
        <v>43706</v>
      </c>
      <c r="B43707" s="2" t="str">
        <f>IFERROR(__xludf.DUMMYFUNCTION("GOOGLETRANSLATE(A43707, ""de"", ""en"")"),"s01e08")</f>
        <v>s01e08</v>
      </c>
    </row>
    <row r="43708">
      <c r="A43708" s="1" t="s">
        <v>43707</v>
      </c>
      <c r="B43708" s="2" t="str">
        <f>IFERROR(__xludf.DUMMYFUNCTION("GOOGLETRANSLATE(A43708, ""de"", ""en"")"),"negligent")</f>
        <v>negligent</v>
      </c>
    </row>
    <row r="43709">
      <c r="A43709" s="1" t="s">
        <v>43708</v>
      </c>
      <c r="B43709" s="2" t="str">
        <f>IFERROR(__xludf.DUMMYFUNCTION("GOOGLETRANSLATE(A43709, ""de"", ""en"")"),"fighting machine")</f>
        <v>fighting machine</v>
      </c>
    </row>
    <row r="43710">
      <c r="A43710" s="1" t="s">
        <v>43709</v>
      </c>
      <c r="B43710" s="2" t="str">
        <f>IFERROR(__xludf.DUMMYFUNCTION("GOOGLETRANSLATE(A43710, ""de"", ""en"")"),"listen")</f>
        <v>listen</v>
      </c>
    </row>
    <row r="43711">
      <c r="A43711" s="1" t="s">
        <v>43710</v>
      </c>
      <c r="B43711" s="2" t="str">
        <f>IFERROR(__xludf.DUMMYFUNCTION("GOOGLETRANSLATE(A43711, ""de"", ""en"")"),"private plane")</f>
        <v>private plane</v>
      </c>
    </row>
    <row r="43712">
      <c r="A43712" s="1" t="s">
        <v>43711</v>
      </c>
      <c r="B43712" s="2" t="str">
        <f>IFERROR(__xludf.DUMMYFUNCTION("GOOGLETRANSLATE(A43712, ""de"", ""en"")"),"demoness")</f>
        <v>demoness</v>
      </c>
    </row>
    <row r="43713">
      <c r="A43713" s="1" t="s">
        <v>43712</v>
      </c>
      <c r="B43713" s="2" t="str">
        <f>IFERROR(__xludf.DUMMYFUNCTION("GOOGLETRANSLATE(A43713, ""de"", ""en"")"),"refine")</f>
        <v>refine</v>
      </c>
    </row>
    <row r="43714">
      <c r="A43714" s="1" t="s">
        <v>43713</v>
      </c>
      <c r="B43714" s="2" t="str">
        <f>IFERROR(__xludf.DUMMYFUNCTION("GOOGLETRANSLATE(A43714, ""de"", ""en"")"),"microscopic")</f>
        <v>microscopic</v>
      </c>
    </row>
    <row r="43715">
      <c r="A43715" s="1" t="s">
        <v>43714</v>
      </c>
      <c r="B43715" s="2" t="str">
        <f>IFERROR(__xludf.DUMMYFUNCTION("GOOGLETRANSLATE(A43715, ""de"", ""en"")"),"cloaca")</f>
        <v>cloaca</v>
      </c>
    </row>
    <row r="43716">
      <c r="A43716" s="1" t="s">
        <v>43715</v>
      </c>
      <c r="B43716" s="2" t="str">
        <f>IFERROR(__xludf.DUMMYFUNCTION("GOOGLETRANSLATE(A43716, ""de"", ""en"")"),"involuntary")</f>
        <v>involuntary</v>
      </c>
    </row>
    <row r="43717">
      <c r="A43717" s="1" t="s">
        <v>43716</v>
      </c>
      <c r="B43717" s="2" t="str">
        <f>IFERROR(__xludf.DUMMYFUNCTION("GOOGLETRANSLATE(A43717, ""de"", ""en"")"),"geography")</f>
        <v>geography</v>
      </c>
    </row>
    <row r="43718">
      <c r="A43718" s="1" t="s">
        <v>43717</v>
      </c>
      <c r="B43718" s="2" t="str">
        <f>IFERROR(__xludf.DUMMYFUNCTION("GOOGLETRANSLATE(A43718, ""de"", ""en"")"),"informed")</f>
        <v>informed</v>
      </c>
    </row>
    <row r="43719">
      <c r="A43719" s="1" t="s">
        <v>43718</v>
      </c>
      <c r="B43719" s="2" t="str">
        <f>IFERROR(__xludf.DUMMYFUNCTION("GOOGLETRANSLATE(A43719, ""de"", ""en"")"),"spin")</f>
        <v>spin</v>
      </c>
    </row>
    <row r="43720">
      <c r="A43720" s="1" t="s">
        <v>43719</v>
      </c>
      <c r="B43720" s="2" t="str">
        <f>IFERROR(__xludf.DUMMYFUNCTION("GOOGLETRANSLATE(A43720, ""de"", ""en"")"),"burroughs")</f>
        <v>burroughs</v>
      </c>
    </row>
    <row r="43721">
      <c r="A43721" s="1" t="s">
        <v>43720</v>
      </c>
      <c r="B43721" s="2" t="str">
        <f>IFERROR(__xludf.DUMMYFUNCTION("GOOGLETRANSLATE(A43721, ""de"", ""en"")"),"jurek")</f>
        <v>jurek</v>
      </c>
    </row>
    <row r="43722">
      <c r="A43722" s="1" t="s">
        <v>43721</v>
      </c>
      <c r="B43722" s="2" t="str">
        <f>IFERROR(__xludf.DUMMYFUNCTION("GOOGLETRANSLATE(A43722, ""de"", ""en"")"),"liddell")</f>
        <v>liddell</v>
      </c>
    </row>
    <row r="43723">
      <c r="A43723" s="1" t="s">
        <v>43722</v>
      </c>
      <c r="B43723" s="2" t="str">
        <f>IFERROR(__xludf.DUMMYFUNCTION("GOOGLETRANSLATE(A43723, ""de"", ""en"")"),"pleasant")</f>
        <v>pleasant</v>
      </c>
    </row>
    <row r="43724">
      <c r="A43724" s="1" t="s">
        <v>43723</v>
      </c>
      <c r="B43724" s="2" t="str">
        <f>IFERROR(__xludf.DUMMYFUNCTION("GOOGLETRANSLATE(A43724, ""de"", ""en"")"),"s02e01")</f>
        <v>s02e01</v>
      </c>
    </row>
    <row r="43725">
      <c r="A43725" s="1" t="s">
        <v>43724</v>
      </c>
      <c r="B43725" s="2" t="str">
        <f>IFERROR(__xludf.DUMMYFUNCTION("GOOGLETRANSLATE(A43725, ""de"", ""en"")"),"pacemaker")</f>
        <v>pacemaker</v>
      </c>
    </row>
    <row r="43726">
      <c r="A43726" s="1" t="s">
        <v>43725</v>
      </c>
      <c r="B43726" s="2" t="str">
        <f>IFERROR(__xludf.DUMMYFUNCTION("GOOGLETRANSLATE(A43726, ""de"", ""en"")"),"anatole")</f>
        <v>anatole</v>
      </c>
    </row>
    <row r="43727">
      <c r="A43727" s="1" t="s">
        <v>43726</v>
      </c>
      <c r="B43727" s="2" t="str">
        <f>IFERROR(__xludf.DUMMYFUNCTION("GOOGLETRANSLATE(A43727, ""de"", ""en"")"),"broccoli")</f>
        <v>broccoli</v>
      </c>
    </row>
    <row r="43728">
      <c r="A43728" s="1" t="s">
        <v>43727</v>
      </c>
      <c r="B43728" s="2" t="str">
        <f>IFERROR(__xludf.DUMMYFUNCTION("GOOGLETRANSLATE(A43728, ""de"", ""en"")"),"silly things")</f>
        <v>silly things</v>
      </c>
    </row>
    <row r="43729">
      <c r="A43729" s="1" t="s">
        <v>43728</v>
      </c>
      <c r="B43729" s="2" t="str">
        <f>IFERROR(__xludf.DUMMYFUNCTION("GOOGLETRANSLATE(A43729, ""de"", ""en"")"),"get sick")</f>
        <v>get sick</v>
      </c>
    </row>
    <row r="43730">
      <c r="A43730" s="1" t="s">
        <v>43729</v>
      </c>
      <c r="B43730" s="2" t="str">
        <f>IFERROR(__xludf.DUMMYFUNCTION("GOOGLETRANSLATE(A43730, ""de"", ""en"")"),"achieved")</f>
        <v>achieved</v>
      </c>
    </row>
    <row r="43731">
      <c r="A43731" s="1" t="s">
        <v>43730</v>
      </c>
      <c r="B43731" s="2" t="str">
        <f>IFERROR(__xludf.DUMMYFUNCTION("GOOGLETRANSLATE(A43731, ""de"", ""en"")"),"to be happy")</f>
        <v>to be happy</v>
      </c>
    </row>
    <row r="43732">
      <c r="A43732" s="1" t="s">
        <v>43731</v>
      </c>
      <c r="B43732" s="2" t="str">
        <f>IFERROR(__xludf.DUMMYFUNCTION("GOOGLETRANSLATE(A43732, ""de"", ""en"")"),"jurisprudence")</f>
        <v>jurisprudence</v>
      </c>
    </row>
    <row r="43733">
      <c r="A43733" s="1" t="s">
        <v>43732</v>
      </c>
      <c r="B43733" s="2" t="str">
        <f>IFERROR(__xludf.DUMMYFUNCTION("GOOGLETRANSLATE(A43733, ""de"", ""en"")"),"dance lessons")</f>
        <v>dance lessons</v>
      </c>
    </row>
    <row r="43734">
      <c r="A43734" s="1" t="s">
        <v>43733</v>
      </c>
      <c r="B43734" s="2" t="str">
        <f>IFERROR(__xludf.DUMMYFUNCTION("GOOGLETRANSLATE(A43734, ""de"", ""en"")"),"range")</f>
        <v>range</v>
      </c>
    </row>
    <row r="43735">
      <c r="A43735" s="1" t="s">
        <v>43734</v>
      </c>
      <c r="B43735" s="2" t="str">
        <f>IFERROR(__xludf.DUMMYFUNCTION("GOOGLETRANSLATE(A43735, ""de"", ""en"")"),"colum")</f>
        <v>colum</v>
      </c>
    </row>
    <row r="43736">
      <c r="A43736" s="1" t="s">
        <v>43735</v>
      </c>
      <c r="B43736" s="2" t="str">
        <f>IFERROR(__xludf.DUMMYFUNCTION("GOOGLETRANSLATE(A43736, ""de"", ""en"")"),"queen mother")</f>
        <v>queen mother</v>
      </c>
    </row>
    <row r="43737">
      <c r="A43737" s="1" t="s">
        <v>43736</v>
      </c>
      <c r="B43737" s="2" t="str">
        <f>IFERROR(__xludf.DUMMYFUNCTION("GOOGLETRANSLATE(A43737, ""de"", ""en"")"),"egg yolk")</f>
        <v>egg yolk</v>
      </c>
    </row>
    <row r="43738">
      <c r="A43738" s="1" t="s">
        <v>43737</v>
      </c>
      <c r="B43738" s="2" t="str">
        <f>IFERROR(__xludf.DUMMYFUNCTION("GOOGLETRANSLATE(A43738, ""de"", ""en"")"),"most intimate")</f>
        <v>most intimate</v>
      </c>
    </row>
    <row r="43739">
      <c r="A43739" s="1" t="s">
        <v>43738</v>
      </c>
      <c r="B43739" s="2" t="str">
        <f>IFERROR(__xludf.DUMMYFUNCTION("GOOGLETRANSLATE(A43739, ""de"", ""en"")"),"kermie")</f>
        <v>kermie</v>
      </c>
    </row>
    <row r="43740">
      <c r="A43740" s="1" t="s">
        <v>43739</v>
      </c>
      <c r="B43740" s="2" t="str">
        <f>IFERROR(__xludf.DUMMYFUNCTION("GOOGLETRANSLATE(A43740, ""de"", ""en"")"),"customs")</f>
        <v>customs</v>
      </c>
    </row>
    <row r="43741">
      <c r="A43741" s="1" t="s">
        <v>43740</v>
      </c>
      <c r="B43741" s="2" t="str">
        <f>IFERROR(__xludf.DUMMYFUNCTION("GOOGLETRANSLATE(A43741, ""de"", ""en"")"),"cranky")</f>
        <v>cranky</v>
      </c>
    </row>
    <row r="43742">
      <c r="A43742" s="1" t="s">
        <v>43741</v>
      </c>
      <c r="B43742" s="2" t="str">
        <f>IFERROR(__xludf.DUMMYFUNCTION("GOOGLETRANSLATE(A43742, ""de"", ""en"")"),"simple")</f>
        <v>simple</v>
      </c>
    </row>
    <row r="43743">
      <c r="A43743" s="1" t="s">
        <v>43742</v>
      </c>
      <c r="B43743" s="2" t="str">
        <f>IFERROR(__xludf.DUMMYFUNCTION("GOOGLETRANSLATE(A43743, ""de"", ""en"")"),"alpha")</f>
        <v>alpha</v>
      </c>
    </row>
    <row r="43744">
      <c r="A43744" s="1" t="s">
        <v>43743</v>
      </c>
      <c r="B43744" s="2" t="str">
        <f>IFERROR(__xludf.DUMMYFUNCTION("GOOGLETRANSLATE(A43744, ""de"", ""en"")"),"magellan")</f>
        <v>magellan</v>
      </c>
    </row>
    <row r="43745">
      <c r="A43745" s="1" t="s">
        <v>43744</v>
      </c>
      <c r="B43745" s="2" t="str">
        <f>IFERROR(__xludf.DUMMYFUNCTION("GOOGLETRANSLATE(A43745, ""de"", ""en"")"),"took place")</f>
        <v>took place</v>
      </c>
    </row>
    <row r="43746">
      <c r="A43746" s="1" t="s">
        <v>43745</v>
      </c>
      <c r="B43746" s="2" t="str">
        <f>IFERROR(__xludf.DUMMYFUNCTION("GOOGLETRANSLATE(A43746, ""de"", ""en"")"),"failed")</f>
        <v>failed</v>
      </c>
    </row>
    <row r="43747">
      <c r="A43747" s="1" t="s">
        <v>43746</v>
      </c>
      <c r="B43747" s="2" t="str">
        <f>IFERROR(__xludf.DUMMYFUNCTION("GOOGLETRANSLATE(A43747, ""de"", ""en"")"),"incorporated")</f>
        <v>incorporated</v>
      </c>
    </row>
    <row r="43748">
      <c r="A43748" s="1" t="s">
        <v>43747</v>
      </c>
      <c r="B43748" s="2" t="str">
        <f>IFERROR(__xludf.DUMMYFUNCTION("GOOGLETRANSLATE(A43748, ""de"", ""en"")"),"most respected")</f>
        <v>most respected</v>
      </c>
    </row>
    <row r="43749">
      <c r="A43749" s="1" t="s">
        <v>43748</v>
      </c>
      <c r="B43749" s="2" t="str">
        <f>IFERROR(__xludf.DUMMYFUNCTION("GOOGLETRANSLATE(A43749, ""de"", ""en"")"),"mcgraw")</f>
        <v>mcgraw</v>
      </c>
    </row>
    <row r="43750">
      <c r="A43750" s="1" t="s">
        <v>43749</v>
      </c>
      <c r="B43750" s="2" t="str">
        <f>IFERROR(__xludf.DUMMYFUNCTION("GOOGLETRANSLATE(A43750, ""de"", ""en"")"),"Audra")</f>
        <v>Audra</v>
      </c>
    </row>
    <row r="43751">
      <c r="A43751" s="1" t="s">
        <v>43750</v>
      </c>
      <c r="B43751" s="2" t="str">
        <f>IFERROR(__xludf.DUMMYFUNCTION("GOOGLETRANSLATE(A43751, ""de"", ""en"")"),"skewers")</f>
        <v>skewers</v>
      </c>
    </row>
    <row r="43752">
      <c r="A43752" s="1" t="s">
        <v>43751</v>
      </c>
      <c r="B43752" s="2" t="str">
        <f>IFERROR(__xludf.DUMMYFUNCTION("GOOGLETRANSLATE(A43752, ""de"", ""en"")"),"jimenez")</f>
        <v>jimenez</v>
      </c>
    </row>
    <row r="43753">
      <c r="A43753" s="1" t="s">
        <v>43752</v>
      </c>
      <c r="B43753" s="2" t="str">
        <f>IFERROR(__xludf.DUMMYFUNCTION("GOOGLETRANSLATE(A43753, ""de"", ""en"")"),"judgment")</f>
        <v>judgment</v>
      </c>
    </row>
    <row r="43754">
      <c r="A43754" s="1" t="s">
        <v>43753</v>
      </c>
      <c r="B43754" s="2" t="str">
        <f>IFERROR(__xludf.DUMMYFUNCTION("GOOGLETRANSLATE(A43754, ""de"", ""en"")"),"empowered")</f>
        <v>empowered</v>
      </c>
    </row>
    <row r="43755">
      <c r="A43755" s="1" t="s">
        <v>43754</v>
      </c>
      <c r="B43755" s="2" t="str">
        <f>IFERROR(__xludf.DUMMYFUNCTION("GOOGLETRANSLATE(A43755, ""de"", ""en"")"),"security teams")</f>
        <v>security teams</v>
      </c>
    </row>
    <row r="43756">
      <c r="A43756" s="1" t="s">
        <v>43755</v>
      </c>
      <c r="B43756" s="2" t="str">
        <f>IFERROR(__xludf.DUMMYFUNCTION("GOOGLETRANSLATE(A43756, ""de"", ""en"")"),"impressive")</f>
        <v>impressive</v>
      </c>
    </row>
    <row r="43757">
      <c r="A43757" s="1" t="s">
        <v>43756</v>
      </c>
      <c r="B43757" s="2" t="str">
        <f>IFERROR(__xludf.DUMMYFUNCTION("GOOGLETRANSLATE(A43757, ""de"", ""en"")"),"shanes")</f>
        <v>shanes</v>
      </c>
    </row>
    <row r="43758">
      <c r="A43758" s="1" t="s">
        <v>43757</v>
      </c>
      <c r="B43758" s="2" t="str">
        <f>IFERROR(__xludf.DUMMYFUNCTION("GOOGLETRANSLATE(A43758, ""de"", ""en"")"),"gaviria")</f>
        <v>gaviria</v>
      </c>
    </row>
    <row r="43759">
      <c r="A43759" s="1" t="s">
        <v>43758</v>
      </c>
      <c r="B43759" s="2" t="str">
        <f>IFERROR(__xludf.DUMMYFUNCTION("GOOGLETRANSLATE(A43759, ""de"", ""en"")"),"layout")</f>
        <v>layout</v>
      </c>
    </row>
    <row r="43760">
      <c r="A43760" s="1" t="s">
        <v>43759</v>
      </c>
      <c r="B43760" s="2" t="str">
        <f>IFERROR(__xludf.DUMMYFUNCTION("GOOGLETRANSLATE(A43760, ""de"", ""en"")"),"rack")</f>
        <v>rack</v>
      </c>
    </row>
    <row r="43761">
      <c r="A43761" s="1" t="s">
        <v>43760</v>
      </c>
      <c r="B43761" s="2" t="str">
        <f>IFERROR(__xludf.DUMMYFUNCTION("GOOGLETRANSLATE(A43761, ""de"", ""en"")"),"jennas")</f>
        <v>jennas</v>
      </c>
    </row>
    <row r="43762">
      <c r="A43762" s="1" t="s">
        <v>43761</v>
      </c>
      <c r="B43762" s="2" t="str">
        <f>IFERROR(__xludf.DUMMYFUNCTION("GOOGLETRANSLATE(A43762, ""de"", ""en"")"),"started")</f>
        <v>started</v>
      </c>
    </row>
    <row r="43763">
      <c r="A43763" s="1" t="s">
        <v>43762</v>
      </c>
      <c r="B43763" s="2" t="str">
        <f>IFERROR(__xludf.DUMMYFUNCTION("GOOGLETRANSLATE(A43763, ""de"", ""en"")"),"krull")</f>
        <v>krull</v>
      </c>
    </row>
    <row r="43764">
      <c r="A43764" s="1" t="s">
        <v>43763</v>
      </c>
      <c r="B43764" s="2" t="str">
        <f>IFERROR(__xludf.DUMMYFUNCTION("GOOGLETRANSLATE(A43764, ""de"", ""en"")"),"plus point")</f>
        <v>plus point</v>
      </c>
    </row>
    <row r="43765">
      <c r="A43765" s="1" t="s">
        <v>43764</v>
      </c>
      <c r="B43765" s="2" t="str">
        <f>IFERROR(__xludf.DUMMYFUNCTION("GOOGLETRANSLATE(A43765, ""de"", ""en"")"),"piscatella")</f>
        <v>piscatella</v>
      </c>
    </row>
    <row r="43766">
      <c r="A43766" s="1" t="s">
        <v>43765</v>
      </c>
      <c r="B43766" s="2" t="str">
        <f>IFERROR(__xludf.DUMMYFUNCTION("GOOGLETRANSLATE(A43766, ""de"", ""en"")"),"heard here")</f>
        <v>heard here</v>
      </c>
    </row>
    <row r="43767">
      <c r="A43767" s="1" t="s">
        <v>43766</v>
      </c>
      <c r="B43767" s="2" t="str">
        <f>IFERROR(__xludf.DUMMYFUNCTION("GOOGLETRANSLATE(A43767, ""de"", ""en"")"),"flagship")</f>
        <v>flagship</v>
      </c>
    </row>
    <row r="43768">
      <c r="A43768" s="1" t="s">
        <v>43767</v>
      </c>
      <c r="B43768" s="2" t="str">
        <f>IFERROR(__xludf.DUMMYFUNCTION("GOOGLETRANSLATE(A43768, ""de"", ""en"")"),"thermos flask")</f>
        <v>thermos flask</v>
      </c>
    </row>
    <row r="43769">
      <c r="A43769" s="1" t="s">
        <v>43768</v>
      </c>
      <c r="B43769" s="2" t="str">
        <f>IFERROR(__xludf.DUMMYFUNCTION("GOOGLETRANSLATE(A43769, ""de"", ""en"")"),"vitus")</f>
        <v>vitus</v>
      </c>
    </row>
    <row r="43770">
      <c r="A43770" s="1" t="s">
        <v>43769</v>
      </c>
      <c r="B43770" s="2" t="str">
        <f>IFERROR(__xludf.DUMMYFUNCTION("GOOGLETRANSLATE(A43770, ""de"", ""en"")"),"to be carried out")</f>
        <v>to be carried out</v>
      </c>
    </row>
    <row r="43771">
      <c r="A43771" s="1" t="s">
        <v>43770</v>
      </c>
      <c r="B43771" s="2" t="str">
        <f>IFERROR(__xludf.DUMMYFUNCTION("GOOGLETRANSLATE(A43771, ""de"", ""en"")"),"milligan")</f>
        <v>milligan</v>
      </c>
    </row>
    <row r="43772">
      <c r="A43772" s="1" t="s">
        <v>43771</v>
      </c>
      <c r="B43772" s="2" t="str">
        <f>IFERROR(__xludf.DUMMYFUNCTION("GOOGLETRANSLATE(A43772, ""de"", ""en"")"),"lock out")</f>
        <v>lock out</v>
      </c>
    </row>
    <row r="43773">
      <c r="A43773" s="1" t="s">
        <v>43772</v>
      </c>
      <c r="B43773" s="2" t="str">
        <f>IFERROR(__xludf.DUMMYFUNCTION("GOOGLETRANSLATE(A43773, ""de"", ""en"")"),"visconti")</f>
        <v>visconti</v>
      </c>
    </row>
    <row r="43774">
      <c r="A43774" s="1" t="s">
        <v>43773</v>
      </c>
      <c r="B43774" s="2" t="str">
        <f>IFERROR(__xludf.DUMMYFUNCTION("GOOGLETRANSLATE(A43774, ""de"", ""en"")"),"bravery medal")</f>
        <v>bravery medal</v>
      </c>
    </row>
    <row r="43775">
      <c r="A43775" s="1" t="s">
        <v>43774</v>
      </c>
      <c r="B43775" s="2" t="str">
        <f>IFERROR(__xludf.DUMMYFUNCTION("GOOGLETRANSLATE(A43775, ""de"", ""en"")"),"cowboy hat")</f>
        <v>cowboy hat</v>
      </c>
    </row>
    <row r="43776">
      <c r="A43776" s="1" t="s">
        <v>43775</v>
      </c>
      <c r="B43776" s="2" t="str">
        <f>IFERROR(__xludf.DUMMYFUNCTION("GOOGLETRANSLATE(A43776, ""de"", ""en"")"),"corvax")</f>
        <v>corvax</v>
      </c>
    </row>
    <row r="43777">
      <c r="A43777" s="1" t="s">
        <v>43776</v>
      </c>
      <c r="B43777" s="2" t="str">
        <f>IFERROR(__xludf.DUMMYFUNCTION("GOOGLETRANSLATE(A43777, ""de"", ""en"")"),"base of operations")</f>
        <v>base of operations</v>
      </c>
    </row>
    <row r="43778">
      <c r="A43778" s="1" t="s">
        <v>43777</v>
      </c>
      <c r="B43778" s="2" t="str">
        <f>IFERROR(__xludf.DUMMYFUNCTION("GOOGLETRANSLATE(A43778, ""de"", ""en"")"),"Christmas cards")</f>
        <v>Christmas cards</v>
      </c>
    </row>
    <row r="43779">
      <c r="A43779" s="1" t="s">
        <v>43778</v>
      </c>
      <c r="B43779" s="2" t="str">
        <f>IFERROR(__xludf.DUMMYFUNCTION("GOOGLETRANSLATE(A43779, ""de"", ""en"")"),"telephoned")</f>
        <v>telephoned</v>
      </c>
    </row>
    <row r="43780">
      <c r="A43780" s="1" t="s">
        <v>43779</v>
      </c>
      <c r="B43780" s="2" t="str">
        <f>IFERROR(__xludf.DUMMYFUNCTION("GOOGLETRANSLATE(A43780, ""de"", ""en"")"),"complete strangers")</f>
        <v>complete strangers</v>
      </c>
    </row>
    <row r="43781">
      <c r="A43781" s="1" t="s">
        <v>43780</v>
      </c>
      <c r="B43781" s="2" t="str">
        <f>IFERROR(__xludf.DUMMYFUNCTION("GOOGLETRANSLATE(A43781, ""de"", ""en"")"),"tigress")</f>
        <v>tigress</v>
      </c>
    </row>
    <row r="43782">
      <c r="A43782" s="1" t="s">
        <v>43781</v>
      </c>
      <c r="B43782" s="2" t="str">
        <f>IFERROR(__xludf.DUMMYFUNCTION("GOOGLETRANSLATE(A43782, ""de"", ""en"")"),"a matter of opinion")</f>
        <v>a matter of opinion</v>
      </c>
    </row>
    <row r="43783">
      <c r="A43783" s="1" t="s">
        <v>43782</v>
      </c>
      <c r="B43783" s="2" t="str">
        <f>IFERROR(__xludf.DUMMYFUNCTION("GOOGLETRANSLATE(A43783, ""de"", ""en"")"),"in there")</f>
        <v>in there</v>
      </c>
    </row>
    <row r="43784">
      <c r="A43784" s="1" t="s">
        <v>43783</v>
      </c>
      <c r="B43784" s="2" t="str">
        <f>IFERROR(__xludf.DUMMYFUNCTION("GOOGLETRANSLATE(A43784, ""de"", ""en"")"),"footnote")</f>
        <v>footnote</v>
      </c>
    </row>
    <row r="43785">
      <c r="A43785" s="1" t="s">
        <v>43784</v>
      </c>
      <c r="B43785" s="2" t="str">
        <f>IFERROR(__xludf.DUMMYFUNCTION("GOOGLETRANSLATE(A43785, ""de"", ""en"")"),"bamford")</f>
        <v>bamford</v>
      </c>
    </row>
    <row r="43786">
      <c r="A43786" s="1" t="s">
        <v>43785</v>
      </c>
      <c r="B43786" s="2" t="str">
        <f>IFERROR(__xludf.DUMMYFUNCTION("GOOGLETRANSLATE(A43786, ""de"", ""en"")"),"cravat")</f>
        <v>cravat</v>
      </c>
    </row>
    <row r="43787">
      <c r="A43787" s="1" t="s">
        <v>43786</v>
      </c>
      <c r="B43787" s="2" t="str">
        <f>IFERROR(__xludf.DUMMYFUNCTION("GOOGLETRANSLATE(A43787, ""de"", ""en"")"),"gasp")</f>
        <v>gasp</v>
      </c>
    </row>
    <row r="43788">
      <c r="A43788" s="1" t="s">
        <v>43787</v>
      </c>
      <c r="B43788" s="2" t="str">
        <f>IFERROR(__xludf.DUMMYFUNCTION("GOOGLETRANSLATE(A43788, ""de"", ""en"")"),"Mitchell's")</f>
        <v>Mitchell's</v>
      </c>
    </row>
    <row r="43789">
      <c r="A43789" s="1" t="s">
        <v>43788</v>
      </c>
      <c r="B43789" s="2" t="str">
        <f>IFERROR(__xludf.DUMMYFUNCTION("GOOGLETRANSLATE(A43789, ""de"", ""en"")"),"lively")</f>
        <v>lively</v>
      </c>
    </row>
    <row r="43790">
      <c r="A43790" s="1" t="s">
        <v>43789</v>
      </c>
      <c r="B43790" s="2" t="str">
        <f>IFERROR(__xludf.DUMMYFUNCTION("GOOGLETRANSLATE(A43790, ""de"", ""en"")"),"cold-blooded")</f>
        <v>cold-blooded</v>
      </c>
    </row>
    <row r="43791">
      <c r="A43791" s="1" t="s">
        <v>43790</v>
      </c>
      <c r="B43791" s="2" t="str">
        <f>IFERROR(__xludf.DUMMYFUNCTION("GOOGLETRANSLATE(A43791, ""de"", ""en"")"),"impressive")</f>
        <v>impressive</v>
      </c>
    </row>
    <row r="43792">
      <c r="A43792" s="1" t="s">
        <v>43791</v>
      </c>
      <c r="B43792" s="2" t="str">
        <f>IFERROR(__xludf.DUMMYFUNCTION("GOOGLETRANSLATE(A43792, ""de"", ""en"")"),"light up")</f>
        <v>light up</v>
      </c>
    </row>
    <row r="43793">
      <c r="A43793" s="1" t="s">
        <v>43792</v>
      </c>
      <c r="B43793" s="2" t="str">
        <f>IFERROR(__xludf.DUMMYFUNCTION("GOOGLETRANSLATE(A43793, ""de"", ""en"")"),"uzi")</f>
        <v>uzi</v>
      </c>
    </row>
    <row r="43794">
      <c r="A43794" s="1" t="s">
        <v>43793</v>
      </c>
      <c r="B43794" s="2" t="str">
        <f>IFERROR(__xludf.DUMMYFUNCTION("GOOGLETRANSLATE(A43794, ""de"", ""en"")"),"alert")</f>
        <v>alert</v>
      </c>
    </row>
    <row r="43795">
      <c r="A43795" s="1" t="s">
        <v>43794</v>
      </c>
      <c r="B43795" s="2" t="str">
        <f>IFERROR(__xludf.DUMMYFUNCTION("GOOGLETRANSLATE(A43795, ""de"", ""en"")"),"people's army")</f>
        <v>people's army</v>
      </c>
    </row>
    <row r="43796">
      <c r="A43796" s="1" t="s">
        <v>43795</v>
      </c>
      <c r="B43796" s="2" t="str">
        <f>IFERROR(__xludf.DUMMYFUNCTION("GOOGLETRANSLATE(A43796, ""de"", ""en"")"),"bloodhounds")</f>
        <v>bloodhounds</v>
      </c>
    </row>
    <row r="43797">
      <c r="A43797" s="1" t="s">
        <v>43796</v>
      </c>
      <c r="B43797" s="2" t="str">
        <f>IFERROR(__xludf.DUMMYFUNCTION("GOOGLETRANSLATE(A43797, ""de"", ""en"")"),"troubadour")</f>
        <v>troubadour</v>
      </c>
    </row>
    <row r="43798">
      <c r="A43798" s="1" t="s">
        <v>43797</v>
      </c>
      <c r="B43798" s="2" t="str">
        <f>IFERROR(__xludf.DUMMYFUNCTION("GOOGLETRANSLATE(A43798, ""de"", ""en"")"),"vile")</f>
        <v>vile</v>
      </c>
    </row>
    <row r="43799">
      <c r="A43799" s="1" t="s">
        <v>43798</v>
      </c>
      <c r="B43799" s="2" t="str">
        <f>IFERROR(__xludf.DUMMYFUNCTION("GOOGLETRANSLATE(A43799, ""de"", ""en"")"),"apocalypse")</f>
        <v>apocalypse</v>
      </c>
    </row>
    <row r="43800">
      <c r="A43800" s="1" t="s">
        <v>43799</v>
      </c>
      <c r="B43800" s="2" t="str">
        <f>IFERROR(__xludf.DUMMYFUNCTION("GOOGLETRANSLATE(A43800, ""de"", ""en"")"),"lesters")</f>
        <v>lesters</v>
      </c>
    </row>
    <row r="43801">
      <c r="A43801" s="1" t="s">
        <v>43800</v>
      </c>
      <c r="B43801" s="2" t="str">
        <f>IFERROR(__xludf.DUMMYFUNCTION("GOOGLETRANSLATE(A43801, ""de"", ""en"")"),"in case of doubt")</f>
        <v>in case of doubt</v>
      </c>
    </row>
    <row r="43802">
      <c r="A43802" s="1" t="s">
        <v>43801</v>
      </c>
      <c r="B43802" s="2" t="str">
        <f>IFERROR(__xludf.DUMMYFUNCTION("GOOGLETRANSLATE(A43802, ""de"", ""en"")"),"directed")</f>
        <v>directed</v>
      </c>
    </row>
    <row r="43803">
      <c r="A43803" s="1" t="s">
        <v>43802</v>
      </c>
      <c r="B43803" s="2" t="str">
        <f>IFERROR(__xludf.DUMMYFUNCTION("GOOGLETRANSLATE(A43803, ""de"", ""en"")"),"robbery-murder")</f>
        <v>robbery-murder</v>
      </c>
    </row>
    <row r="43804">
      <c r="A43804" s="1" t="s">
        <v>43803</v>
      </c>
      <c r="B43804" s="2" t="str">
        <f>IFERROR(__xludf.DUMMYFUNCTION("GOOGLETRANSLATE(A43804, ""de"", ""en"")"),"truck driver")</f>
        <v>truck driver</v>
      </c>
    </row>
    <row r="43805">
      <c r="A43805" s="1" t="s">
        <v>43804</v>
      </c>
      <c r="B43805" s="2" t="str">
        <f>IFERROR(__xludf.DUMMYFUNCTION("GOOGLETRANSLATE(A43805, ""de"", ""en"")"),"scrape")</f>
        <v>scrape</v>
      </c>
    </row>
    <row r="43806">
      <c r="A43806" s="1" t="s">
        <v>43805</v>
      </c>
      <c r="B43806" s="2" t="str">
        <f>IFERROR(__xludf.DUMMYFUNCTION("GOOGLETRANSLATE(A43806, ""de"", ""en"")"),"cold cuts")</f>
        <v>cold cuts</v>
      </c>
    </row>
    <row r="43807">
      <c r="A43807" s="1" t="s">
        <v>43806</v>
      </c>
      <c r="B43807" s="2" t="str">
        <f>IFERROR(__xludf.DUMMYFUNCTION("GOOGLETRANSLATE(A43807, ""de"", ""en"")"),"kissinger")</f>
        <v>kissinger</v>
      </c>
    </row>
    <row r="43808">
      <c r="A43808" s="1" t="s">
        <v>43807</v>
      </c>
      <c r="B43808" s="2" t="str">
        <f>IFERROR(__xludf.DUMMYFUNCTION("GOOGLETRANSLATE(A43808, ""de"", ""en"")"),"sticky")</f>
        <v>sticky</v>
      </c>
    </row>
    <row r="43809">
      <c r="A43809" s="1" t="s">
        <v>43808</v>
      </c>
      <c r="B43809" s="2" t="str">
        <f>IFERROR(__xludf.DUMMYFUNCTION("GOOGLETRANSLATE(A43809, ""de"", ""en"")"),"telepaths")</f>
        <v>telepaths</v>
      </c>
    </row>
    <row r="43810">
      <c r="A43810" s="1" t="s">
        <v>43809</v>
      </c>
      <c r="B43810" s="2" t="str">
        <f>IFERROR(__xludf.DUMMYFUNCTION("GOOGLETRANSLATE(A43810, ""de"", ""en"")"),"violent")</f>
        <v>violent</v>
      </c>
    </row>
    <row r="43811">
      <c r="A43811" s="1" t="s">
        <v>43810</v>
      </c>
      <c r="B43811" s="2" t="str">
        <f>IFERROR(__xludf.DUMMYFUNCTION("GOOGLETRANSLATE(A43811, ""de"", ""en"")"),"serve")</f>
        <v>serve</v>
      </c>
    </row>
    <row r="43812">
      <c r="A43812" s="1" t="s">
        <v>43811</v>
      </c>
      <c r="B43812" s="2" t="str">
        <f>IFERROR(__xludf.DUMMYFUNCTION("GOOGLETRANSLATE(A43812, ""de"", ""en"")"),"fake")</f>
        <v>fake</v>
      </c>
    </row>
    <row r="43813">
      <c r="A43813" s="1" t="s">
        <v>43812</v>
      </c>
      <c r="B43813" s="2" t="str">
        <f>IFERROR(__xludf.DUMMYFUNCTION("GOOGLETRANSLATE(A43813, ""de"", ""en"")"),"pronounce")</f>
        <v>pronounce</v>
      </c>
    </row>
    <row r="43814">
      <c r="A43814" s="1" t="s">
        <v>43813</v>
      </c>
      <c r="B43814" s="2" t="str">
        <f>IFERROR(__xludf.DUMMYFUNCTION("GOOGLETRANSLATE(A43814, ""de"", ""en"")"),"volcanize")</f>
        <v>volcanize</v>
      </c>
    </row>
    <row r="43815">
      <c r="A43815" s="1" t="s">
        <v>43814</v>
      </c>
      <c r="B43815" s="2" t="str">
        <f>IFERROR(__xludf.DUMMYFUNCTION("GOOGLETRANSLATE(A43815, ""de"", ""en"")"),"brand new")</f>
        <v>brand new</v>
      </c>
    </row>
    <row r="43816">
      <c r="A43816" s="1" t="s">
        <v>43815</v>
      </c>
      <c r="B43816" s="2" t="str">
        <f>IFERROR(__xludf.DUMMYFUNCTION("GOOGLETRANSLATE(A43816, ""de"", ""en"")"),"progressed")</f>
        <v>progressed</v>
      </c>
    </row>
    <row r="43817">
      <c r="A43817" s="1" t="s">
        <v>43816</v>
      </c>
      <c r="B43817" s="2" t="str">
        <f>IFERROR(__xludf.DUMMYFUNCTION("GOOGLETRANSLATE(A43817, ""de"", ""en"")"),"pinkerton")</f>
        <v>pinkerton</v>
      </c>
    </row>
    <row r="43818">
      <c r="A43818" s="1" t="s">
        <v>43817</v>
      </c>
      <c r="B43818" s="2" t="str">
        <f>IFERROR(__xludf.DUMMYFUNCTION("GOOGLETRANSLATE(A43818, ""de"", ""en"")"),"nyx")</f>
        <v>nyx</v>
      </c>
    </row>
    <row r="43819">
      <c r="A43819" s="1" t="s">
        <v>43818</v>
      </c>
      <c r="B43819" s="2" t="str">
        <f>IFERROR(__xludf.DUMMYFUNCTION("GOOGLETRANSLATE(A43819, ""de"", ""en"")"),"stroll")</f>
        <v>stroll</v>
      </c>
    </row>
    <row r="43820">
      <c r="A43820" s="1" t="s">
        <v>43819</v>
      </c>
      <c r="B43820" s="2" t="str">
        <f>IFERROR(__xludf.DUMMYFUNCTION("GOOGLETRANSLATE(A43820, ""de"", ""en"")"),"sm")</f>
        <v>sm</v>
      </c>
    </row>
    <row r="43821">
      <c r="A43821" s="1" t="s">
        <v>43820</v>
      </c>
      <c r="B43821" s="2" t="str">
        <f>IFERROR(__xludf.DUMMYFUNCTION("GOOGLETRANSLATE(A43821, ""de"", ""en"")"),"breaks")</f>
        <v>breaks</v>
      </c>
    </row>
    <row r="43822">
      <c r="A43822" s="1" t="s">
        <v>43821</v>
      </c>
      <c r="B43822" s="2" t="str">
        <f>IFERROR(__xludf.DUMMYFUNCTION("GOOGLETRANSLATE(A43822, ""de"", ""en"")"),"obsolete")</f>
        <v>obsolete</v>
      </c>
    </row>
    <row r="43823">
      <c r="A43823" s="1" t="s">
        <v>43822</v>
      </c>
      <c r="B43823" s="2" t="str">
        <f>IFERROR(__xludf.DUMMYFUNCTION("GOOGLETRANSLATE(A43823, ""de"", ""en"")"),"tapped")</f>
        <v>tapped</v>
      </c>
    </row>
    <row r="43824">
      <c r="A43824" s="1" t="s">
        <v>43823</v>
      </c>
      <c r="B43824" s="2" t="str">
        <f>IFERROR(__xludf.DUMMYFUNCTION("GOOGLETRANSLATE(A43824, ""de"", ""en"")"),"peso")</f>
        <v>peso</v>
      </c>
    </row>
    <row r="43825">
      <c r="A43825" s="1" t="s">
        <v>43824</v>
      </c>
      <c r="B43825" s="2" t="str">
        <f>IFERROR(__xludf.DUMMYFUNCTION("GOOGLETRANSLATE(A43825, ""de"", ""en"")"),"omniscient")</f>
        <v>omniscient</v>
      </c>
    </row>
    <row r="43826">
      <c r="A43826" s="1" t="s">
        <v>43825</v>
      </c>
      <c r="B43826" s="2" t="str">
        <f>IFERROR(__xludf.DUMMYFUNCTION("GOOGLETRANSLATE(A43826, ""de"", ""en"")"),"plow")</f>
        <v>plow</v>
      </c>
    </row>
    <row r="43827">
      <c r="A43827" s="1" t="s">
        <v>43826</v>
      </c>
      <c r="B43827" s="2" t="str">
        <f>IFERROR(__xludf.DUMMYFUNCTION("GOOGLETRANSLATE(A43827, ""de"", ""en"")"),"thunderstormed")</f>
        <v>thunderstormed</v>
      </c>
    </row>
    <row r="43828">
      <c r="A43828" s="1" t="s">
        <v>43827</v>
      </c>
      <c r="B43828" s="2" t="str">
        <f>IFERROR(__xludf.DUMMYFUNCTION("GOOGLETRANSLATE(A43828, ""de"", ""en"")"),"not at all")</f>
        <v>not at all</v>
      </c>
    </row>
    <row r="43829">
      <c r="A43829" s="1" t="s">
        <v>43828</v>
      </c>
      <c r="B43829" s="2" t="str">
        <f>IFERROR(__xludf.DUMMYFUNCTION("GOOGLETRANSLATE(A43829, ""de"", ""en"")"),"rainwater")</f>
        <v>rainwater</v>
      </c>
    </row>
    <row r="43830">
      <c r="A43830" s="1" t="s">
        <v>43829</v>
      </c>
      <c r="B43830" s="2" t="str">
        <f>IFERROR(__xludf.DUMMYFUNCTION("GOOGLETRANSLATE(A43830, ""de"", ""en"")"),"Meera")</f>
        <v>Meera</v>
      </c>
    </row>
    <row r="43831">
      <c r="A43831" s="1" t="s">
        <v>43830</v>
      </c>
      <c r="B43831" s="2" t="str">
        <f>IFERROR(__xludf.DUMMYFUNCTION("GOOGLETRANSLATE(A43831, ""de"", ""en"")"),"police academy")</f>
        <v>police academy</v>
      </c>
    </row>
    <row r="43832">
      <c r="A43832" s="1" t="s">
        <v>43831</v>
      </c>
      <c r="B43832" s="2" t="str">
        <f>IFERROR(__xludf.DUMMYFUNCTION("GOOGLETRANSLATE(A43832, ""de"", ""en"")"),"f.b.i.")</f>
        <v>f.b.i.</v>
      </c>
    </row>
    <row r="43833">
      <c r="A43833" s="1" t="s">
        <v>43832</v>
      </c>
      <c r="B43833" s="2" t="str">
        <f>IFERROR(__xludf.DUMMYFUNCTION("GOOGLETRANSLATE(A43833, ""de"", ""en"")"),"floating")</f>
        <v>floating</v>
      </c>
    </row>
    <row r="43834">
      <c r="A43834" s="1" t="s">
        <v>43833</v>
      </c>
      <c r="B43834" s="2" t="str">
        <f>IFERROR(__xludf.DUMMYFUNCTION("GOOGLETRANSLATE(A43834, ""de"", ""en"")"),"more traditional")</f>
        <v>more traditional</v>
      </c>
    </row>
    <row r="43835">
      <c r="A43835" s="1" t="s">
        <v>43834</v>
      </c>
      <c r="B43835" s="2" t="str">
        <f>IFERROR(__xludf.DUMMYFUNCTION("GOOGLETRANSLATE(A43835, ""de"", ""en"")"),"herzelinde")</f>
        <v>herzelinde</v>
      </c>
    </row>
    <row r="43836">
      <c r="A43836" s="1" t="s">
        <v>43835</v>
      </c>
      <c r="B43836" s="2" t="str">
        <f>IFERROR(__xludf.DUMMYFUNCTION("GOOGLETRANSLATE(A43836, ""de"", ""en"")"),"darkest")</f>
        <v>darkest</v>
      </c>
    </row>
    <row r="43837">
      <c r="A43837" s="1" t="s">
        <v>43836</v>
      </c>
      <c r="B43837" s="2" t="str">
        <f>IFERROR(__xludf.DUMMYFUNCTION("GOOGLETRANSLATE(A43837, ""de"", ""en"")"),"hospital bed")</f>
        <v>hospital bed</v>
      </c>
    </row>
    <row r="43838">
      <c r="A43838" s="1" t="s">
        <v>43837</v>
      </c>
      <c r="B43838" s="2" t="str">
        <f>IFERROR(__xludf.DUMMYFUNCTION("GOOGLETRANSLATE(A43838, ""de"", ""en"")"),"add to it")</f>
        <v>add to it</v>
      </c>
    </row>
    <row r="43839">
      <c r="A43839" s="1" t="s">
        <v>43838</v>
      </c>
      <c r="B43839" s="2" t="str">
        <f>IFERROR(__xludf.DUMMYFUNCTION("GOOGLETRANSLATE(A43839, ""de"", ""en"")"),"discolored")</f>
        <v>discolored</v>
      </c>
    </row>
    <row r="43840">
      <c r="A43840" s="1" t="s">
        <v>43839</v>
      </c>
      <c r="B43840" s="2" t="str">
        <f>IFERROR(__xludf.DUMMYFUNCTION("GOOGLETRANSLATE(A43840, ""de"", ""en"")"),"drowned")</f>
        <v>drowned</v>
      </c>
    </row>
    <row r="43841">
      <c r="A43841" s="1" t="s">
        <v>43840</v>
      </c>
      <c r="B43841" s="2" t="str">
        <f>IFERROR(__xludf.DUMMYFUNCTION("GOOGLETRANSLATE(A43841, ""de"", ""en"")"),"banion")</f>
        <v>banion</v>
      </c>
    </row>
    <row r="43842">
      <c r="A43842" s="1" t="s">
        <v>43841</v>
      </c>
      <c r="B43842" s="2" t="str">
        <f>IFERROR(__xludf.DUMMYFUNCTION("GOOGLETRANSLATE(A43842, ""de"", ""en"")"),"unknown")</f>
        <v>unknown</v>
      </c>
    </row>
    <row r="43843">
      <c r="A43843" s="1" t="s">
        <v>43842</v>
      </c>
      <c r="B43843" s="2" t="str">
        <f>IFERROR(__xludf.DUMMYFUNCTION("GOOGLETRANSLATE(A43843, ""de"", ""en"")"),"jerks off")</f>
        <v>jerks off</v>
      </c>
    </row>
    <row r="43844">
      <c r="A43844" s="1" t="s">
        <v>43843</v>
      </c>
      <c r="B43844" s="2" t="str">
        <f>IFERROR(__xludf.DUMMYFUNCTION("GOOGLETRANSLATE(A43844, ""de"", ""en"")"),"shovels")</f>
        <v>shovels</v>
      </c>
    </row>
    <row r="43845">
      <c r="A43845" s="1" t="s">
        <v>43844</v>
      </c>
      <c r="B43845" s="2" t="str">
        <f>IFERROR(__xludf.DUMMYFUNCTION("GOOGLETRANSLATE(A43845, ""de"", ""en"")"),"move forward")</f>
        <v>move forward</v>
      </c>
    </row>
    <row r="43846">
      <c r="A43846" s="1" t="s">
        <v>43845</v>
      </c>
      <c r="B43846" s="2" t="str">
        <f>IFERROR(__xludf.DUMMYFUNCTION("GOOGLETRANSLATE(A43846, ""de"", ""en"")"),"made out")</f>
        <v>made out</v>
      </c>
    </row>
    <row r="43847">
      <c r="A43847" s="1" t="s">
        <v>43846</v>
      </c>
      <c r="B43847" s="2" t="str">
        <f>IFERROR(__xludf.DUMMYFUNCTION("GOOGLETRANSLATE(A43847, ""de"", ""en"")"),"bodie")</f>
        <v>bodie</v>
      </c>
    </row>
    <row r="43848">
      <c r="A43848" s="1" t="s">
        <v>43847</v>
      </c>
      <c r="B43848" s="2" t="str">
        <f>IFERROR(__xludf.DUMMYFUNCTION("GOOGLETRANSLATE(A43848, ""de"", ""en"")"),"executive floor")</f>
        <v>executive floor</v>
      </c>
    </row>
    <row r="43849">
      <c r="A43849" s="1" t="s">
        <v>43848</v>
      </c>
      <c r="B43849" s="2" t="str">
        <f>IFERROR(__xludf.DUMMYFUNCTION("GOOGLETRANSLATE(A43849, ""de"", ""en"")"),"persuasiveness")</f>
        <v>persuasiveness</v>
      </c>
    </row>
    <row r="43850">
      <c r="A43850" s="1" t="s">
        <v>43849</v>
      </c>
      <c r="B43850" s="2" t="str">
        <f>IFERROR(__xludf.DUMMYFUNCTION("GOOGLETRANSLATE(A43850, ""de"", ""en"")"),"bastards")</f>
        <v>bastards</v>
      </c>
    </row>
    <row r="43851">
      <c r="A43851" s="1" t="s">
        <v>43850</v>
      </c>
      <c r="B43851" s="2" t="str">
        <f>IFERROR(__xludf.DUMMYFUNCTION("GOOGLETRANSLATE(A43851, ""de"", ""en"")"),"moods")</f>
        <v>moods</v>
      </c>
    </row>
    <row r="43852">
      <c r="A43852" s="1" t="s">
        <v>43851</v>
      </c>
      <c r="B43852" s="2" t="str">
        <f>IFERROR(__xludf.DUMMYFUNCTION("GOOGLETRANSLATE(A43852, ""de"", ""en"")"),"hawked")</f>
        <v>hawked</v>
      </c>
    </row>
    <row r="43853">
      <c r="A43853" s="1" t="s">
        <v>43852</v>
      </c>
      <c r="B43853" s="2" t="str">
        <f>IFERROR(__xludf.DUMMYFUNCTION("GOOGLETRANSLATE(A43853, ""de"", ""en"")"),"twenty-one")</f>
        <v>twenty-one</v>
      </c>
    </row>
    <row r="43854">
      <c r="A43854" s="1" t="s">
        <v>43853</v>
      </c>
      <c r="B43854" s="2" t="str">
        <f>IFERROR(__xludf.DUMMYFUNCTION("GOOGLETRANSLATE(A43854, ""de"", ""en"")"),"char")</f>
        <v>char</v>
      </c>
    </row>
    <row r="43855">
      <c r="A43855" s="1" t="s">
        <v>43854</v>
      </c>
      <c r="B43855" s="2" t="str">
        <f>IFERROR(__xludf.DUMMYFUNCTION("GOOGLETRANSLATE(A43855, ""de"", ""en"")"),"chased away")</f>
        <v>chased away</v>
      </c>
    </row>
    <row r="43856">
      <c r="A43856" s="1" t="s">
        <v>43855</v>
      </c>
      <c r="B43856" s="2" t="str">
        <f>IFERROR(__xludf.DUMMYFUNCTION("GOOGLETRANSLATE(A43856, ""de"", ""en"")"),"increase")</f>
        <v>increase</v>
      </c>
    </row>
    <row r="43857">
      <c r="A43857" s="1" t="s">
        <v>43856</v>
      </c>
      <c r="B43857" s="2" t="str">
        <f>IFERROR(__xludf.DUMMYFUNCTION("GOOGLETRANSLATE(A43857, ""de"", ""en"")"),"tombstone")</f>
        <v>tombstone</v>
      </c>
    </row>
    <row r="43858">
      <c r="A43858" s="1" t="s">
        <v>43857</v>
      </c>
      <c r="B43858" s="2" t="str">
        <f>IFERROR(__xludf.DUMMYFUNCTION("GOOGLETRANSLATE(A43858, ""de"", ""en"")"),"contradict")</f>
        <v>contradict</v>
      </c>
    </row>
    <row r="43859">
      <c r="A43859" s="1" t="s">
        <v>43858</v>
      </c>
      <c r="B43859" s="2" t="str">
        <f>IFERROR(__xludf.DUMMYFUNCTION("GOOGLETRANSLATE(A43859, ""de"", ""en"")"),"criterion")</f>
        <v>criterion</v>
      </c>
    </row>
    <row r="43860">
      <c r="A43860" s="1" t="s">
        <v>43859</v>
      </c>
      <c r="B43860" s="2" t="str">
        <f>IFERROR(__xludf.DUMMYFUNCTION("GOOGLETRANSLATE(A43860, ""de"", ""en"")"),"constitution")</f>
        <v>constitution</v>
      </c>
    </row>
    <row r="43861">
      <c r="A43861" s="1" t="s">
        <v>43860</v>
      </c>
      <c r="B43861" s="2" t="str">
        <f>IFERROR(__xludf.DUMMYFUNCTION("GOOGLETRANSLATE(A43861, ""de"", ""en"")"),"spoiled")</f>
        <v>spoiled</v>
      </c>
    </row>
    <row r="43862">
      <c r="A43862" s="1" t="s">
        <v>43861</v>
      </c>
      <c r="B43862" s="2" t="str">
        <f>IFERROR(__xludf.DUMMYFUNCTION("GOOGLETRANSLATE(A43862, ""de"", ""en"")"),"posts")</f>
        <v>posts</v>
      </c>
    </row>
    <row r="43863">
      <c r="A43863" s="1" t="s">
        <v>43862</v>
      </c>
      <c r="B43863" s="2" t="str">
        <f>IFERROR(__xludf.DUMMYFUNCTION("GOOGLETRANSLATE(A43863, ""de"", ""en"")"),"bic")</f>
        <v>bic</v>
      </c>
    </row>
    <row r="43864">
      <c r="A43864" s="1" t="s">
        <v>43863</v>
      </c>
      <c r="B43864" s="2" t="str">
        <f>IFERROR(__xludf.DUMMYFUNCTION("GOOGLETRANSLATE(A43864, ""de"", ""en"")"),"go along")</f>
        <v>go along</v>
      </c>
    </row>
    <row r="43865">
      <c r="A43865" s="1" t="s">
        <v>43864</v>
      </c>
      <c r="B43865" s="2" t="str">
        <f>IFERROR(__xludf.DUMMYFUNCTION("GOOGLETRANSLATE(A43865, ""de"", ""en"")"),"address")</f>
        <v>address</v>
      </c>
    </row>
    <row r="43866">
      <c r="A43866" s="1" t="s">
        <v>43865</v>
      </c>
      <c r="B43866" s="2" t="str">
        <f>IFERROR(__xludf.DUMMYFUNCTION("GOOGLETRANSLATE(A43866, ""de"", ""en"")"),"aime")</f>
        <v>aime</v>
      </c>
    </row>
    <row r="43867">
      <c r="A43867" s="1" t="s">
        <v>43866</v>
      </c>
      <c r="B43867" s="2" t="str">
        <f>IFERROR(__xludf.DUMMYFUNCTION("GOOGLETRANSLATE(A43867, ""de"", ""en"")"),"riga")</f>
        <v>riga</v>
      </c>
    </row>
    <row r="43868">
      <c r="A43868" s="1" t="s">
        <v>43867</v>
      </c>
      <c r="B43868" s="2" t="str">
        <f>IFERROR(__xludf.DUMMYFUNCTION("GOOGLETRANSLATE(A43868, ""de"", ""en"")"),"August")</f>
        <v>August</v>
      </c>
    </row>
    <row r="43869">
      <c r="A43869" s="1" t="s">
        <v>43868</v>
      </c>
      <c r="B43869" s="2" t="str">
        <f>IFERROR(__xludf.DUMMYFUNCTION("GOOGLETRANSLATE(A43869, ""de"", ""en"")"),"defiance")</f>
        <v>defiance</v>
      </c>
    </row>
    <row r="43870">
      <c r="A43870" s="1" t="s">
        <v>43869</v>
      </c>
      <c r="B43870" s="2" t="str">
        <f>IFERROR(__xludf.DUMMYFUNCTION("GOOGLETRANSLATE(A43870, ""de"", ""en"")"),"stew")</f>
        <v>stew</v>
      </c>
    </row>
    <row r="43871">
      <c r="A43871" s="1" t="s">
        <v>43870</v>
      </c>
      <c r="B43871" s="2" t="str">
        <f>IFERROR(__xludf.DUMMYFUNCTION("GOOGLETRANSLATE(A43871, ""de"", ""en"")"),"feared")</f>
        <v>feared</v>
      </c>
    </row>
    <row r="43872">
      <c r="A43872" s="1" t="s">
        <v>43871</v>
      </c>
      <c r="B43872" s="2" t="str">
        <f>IFERROR(__xludf.DUMMYFUNCTION("GOOGLETRANSLATE(A43872, ""de"", ""en"")"),"grieved")</f>
        <v>grieved</v>
      </c>
    </row>
    <row r="43873">
      <c r="A43873" s="1" t="s">
        <v>43872</v>
      </c>
      <c r="B43873" s="2" t="str">
        <f>IFERROR(__xludf.DUMMYFUNCTION("GOOGLETRANSLATE(A43873, ""de"", ""en"")"),"inventory")</f>
        <v>inventory</v>
      </c>
    </row>
    <row r="43874">
      <c r="A43874" s="1" t="s">
        <v>43873</v>
      </c>
      <c r="B43874" s="2" t="str">
        <f>IFERROR(__xludf.DUMMYFUNCTION("GOOGLETRANSLATE(A43874, ""de"", ""en"")"),"bolder")</f>
        <v>bolder</v>
      </c>
    </row>
    <row r="43875">
      <c r="A43875" s="1" t="s">
        <v>43874</v>
      </c>
      <c r="B43875" s="2" t="str">
        <f>IFERROR(__xludf.DUMMYFUNCTION("GOOGLETRANSLATE(A43875, ""de"", ""en"")"),"affect")</f>
        <v>affect</v>
      </c>
    </row>
    <row r="43876">
      <c r="A43876" s="1" t="s">
        <v>43875</v>
      </c>
      <c r="B43876" s="2" t="str">
        <f>IFERROR(__xludf.DUMMYFUNCTION("GOOGLETRANSLATE(A43876, ""de"", ""en"")"),"blossomed")</f>
        <v>blossomed</v>
      </c>
    </row>
    <row r="43877">
      <c r="A43877" s="1" t="s">
        <v>43876</v>
      </c>
      <c r="B43877" s="2" t="str">
        <f>IFERROR(__xludf.DUMMYFUNCTION("GOOGLETRANSLATE(A43877, ""de"", ""en"")"),"huck")</f>
        <v>huck</v>
      </c>
    </row>
    <row r="43878">
      <c r="A43878" s="1" t="s">
        <v>43877</v>
      </c>
      <c r="B43878" s="2" t="str">
        <f>IFERROR(__xludf.DUMMYFUNCTION("GOOGLETRANSLATE(A43878, ""de"", ""en"")"),"transport ship")</f>
        <v>transport ship</v>
      </c>
    </row>
    <row r="43879">
      <c r="A43879" s="1" t="s">
        <v>43878</v>
      </c>
      <c r="B43879" s="2" t="str">
        <f>IFERROR(__xludf.DUMMYFUNCTION("GOOGLETRANSLATE(A43879, ""de"", ""en"")"),"suggests")</f>
        <v>suggests</v>
      </c>
    </row>
    <row r="43880">
      <c r="A43880" s="1" t="s">
        <v>43879</v>
      </c>
      <c r="B43880" s="2" t="str">
        <f>IFERROR(__xludf.DUMMYFUNCTION("GOOGLETRANSLATE(A43880, ""de"", ""en"")"),"Rostov")</f>
        <v>Rostov</v>
      </c>
    </row>
    <row r="43881">
      <c r="A43881" s="1" t="s">
        <v>43880</v>
      </c>
      <c r="B43881" s="2" t="str">
        <f>IFERROR(__xludf.DUMMYFUNCTION("GOOGLETRANSLATE(A43881, ""de"", ""en"")"),"committee")</f>
        <v>committee</v>
      </c>
    </row>
    <row r="43882">
      <c r="A43882" s="1" t="s">
        <v>43881</v>
      </c>
      <c r="B43882" s="2" t="str">
        <f>IFERROR(__xludf.DUMMYFUNCTION("GOOGLETRANSLATE(A43882, ""de"", ""en"")"),"monks")</f>
        <v>monks</v>
      </c>
    </row>
    <row r="43883">
      <c r="A43883" s="1" t="s">
        <v>43882</v>
      </c>
      <c r="B43883" s="2" t="str">
        <f>IFERROR(__xludf.DUMMYFUNCTION("GOOGLETRANSLATE(A43883, ""de"", ""en"")"),"captures")</f>
        <v>captures</v>
      </c>
    </row>
    <row r="43884">
      <c r="A43884" s="1" t="s">
        <v>43883</v>
      </c>
      <c r="B43884" s="2" t="str">
        <f>IFERROR(__xludf.DUMMYFUNCTION("GOOGLETRANSLATE(A43884, ""de"", ""en"")"),"halil")</f>
        <v>halil</v>
      </c>
    </row>
    <row r="43885">
      <c r="A43885" s="1" t="s">
        <v>43884</v>
      </c>
      <c r="B43885" s="2" t="str">
        <f>IFERROR(__xludf.DUMMYFUNCTION("GOOGLETRANSLATE(A43885, ""de"", ""en"")"),"to get rid of")</f>
        <v>to get rid of</v>
      </c>
    </row>
    <row r="43886">
      <c r="A43886" s="1" t="s">
        <v>43885</v>
      </c>
      <c r="B43886" s="2" t="str">
        <f>IFERROR(__xludf.DUMMYFUNCTION("GOOGLETRANSLATE(A43886, ""de"", ""en"")"),"carli")</f>
        <v>carli</v>
      </c>
    </row>
    <row r="43887">
      <c r="A43887" s="1" t="s">
        <v>43886</v>
      </c>
      <c r="B43887" s="2" t="str">
        <f>IFERROR(__xludf.DUMMYFUNCTION("GOOGLETRANSLATE(A43887, ""de"", ""en"")"),"got around")</f>
        <v>got around</v>
      </c>
    </row>
    <row r="43888">
      <c r="A43888" s="1" t="s">
        <v>43887</v>
      </c>
      <c r="B43888" s="2" t="str">
        <f>IFERROR(__xludf.DUMMYFUNCTION("GOOGLETRANSLATE(A43888, ""de"", ""en"")"),"leader")</f>
        <v>leader</v>
      </c>
    </row>
    <row r="43889">
      <c r="A43889" s="1" t="s">
        <v>43888</v>
      </c>
      <c r="B43889" s="2" t="str">
        <f>IFERROR(__xludf.DUMMYFUNCTION("GOOGLETRANSLATE(A43889, ""de"", ""en"")"),"truck driver")</f>
        <v>truck driver</v>
      </c>
    </row>
    <row r="43890">
      <c r="A43890" s="1" t="s">
        <v>43889</v>
      </c>
      <c r="B43890" s="2" t="str">
        <f>IFERROR(__xludf.DUMMYFUNCTION("GOOGLETRANSLATE(A43890, ""de"", ""en"")"),"summer camp")</f>
        <v>summer camp</v>
      </c>
    </row>
    <row r="43891">
      <c r="A43891" s="1" t="s">
        <v>43890</v>
      </c>
      <c r="B43891" s="2" t="str">
        <f>IFERROR(__xludf.DUMMYFUNCTION("GOOGLETRANSLATE(A43891, ""de"", ""en"")"),"moonlight")</f>
        <v>moonlight</v>
      </c>
    </row>
    <row r="43892">
      <c r="A43892" s="1" t="s">
        <v>43891</v>
      </c>
      <c r="B43892" s="2" t="str">
        <f>IFERROR(__xludf.DUMMYFUNCTION("GOOGLETRANSLATE(A43892, ""de"", ""en"")"),"waved")</f>
        <v>waved</v>
      </c>
    </row>
    <row r="43893">
      <c r="A43893" s="1" t="s">
        <v>43892</v>
      </c>
      <c r="B43893" s="2" t="str">
        <f>IFERROR(__xludf.DUMMYFUNCTION("GOOGLETRANSLATE(A43893, ""de"", ""en"")"),"broken glass")</f>
        <v>broken glass</v>
      </c>
    </row>
    <row r="43894">
      <c r="A43894" s="1" t="s">
        <v>43893</v>
      </c>
      <c r="B43894" s="2" t="str">
        <f>IFERROR(__xludf.DUMMYFUNCTION("GOOGLETRANSLATE(A43894, ""de"", ""en"")"),"unauthorized")</f>
        <v>unauthorized</v>
      </c>
    </row>
    <row r="43895">
      <c r="A43895" s="1" t="s">
        <v>43894</v>
      </c>
      <c r="B43895" s="2" t="str">
        <f>IFERROR(__xludf.DUMMYFUNCTION("GOOGLETRANSLATE(A43895, ""de"", ""en"")"),"hamdi")</f>
        <v>hamdi</v>
      </c>
    </row>
    <row r="43896">
      <c r="A43896" s="1" t="s">
        <v>43895</v>
      </c>
      <c r="B43896" s="2" t="str">
        <f>IFERROR(__xludf.DUMMYFUNCTION("GOOGLETRANSLATE(A43896, ""de"", ""en"")"),"rambles")</f>
        <v>rambles</v>
      </c>
    </row>
    <row r="43897">
      <c r="A43897" s="1" t="s">
        <v>43896</v>
      </c>
      <c r="B43897" s="2" t="str">
        <f>IFERROR(__xludf.DUMMYFUNCTION("GOOGLETRANSLATE(A43897, ""de"", ""en"")"),"caress")</f>
        <v>caress</v>
      </c>
    </row>
    <row r="43898">
      <c r="A43898" s="1" t="s">
        <v>43897</v>
      </c>
      <c r="B43898" s="2" t="str">
        <f>IFERROR(__xludf.DUMMYFUNCTION("GOOGLETRANSLATE(A43898, ""de"", ""en"")"),"zero matter")</f>
        <v>zero matter</v>
      </c>
    </row>
    <row r="43899">
      <c r="A43899" s="1" t="s">
        <v>43898</v>
      </c>
      <c r="B43899" s="2" t="str">
        <f>IFERROR(__xludf.DUMMYFUNCTION("GOOGLETRANSLATE(A43899, ""de"", ""en"")"),"asuka")</f>
        <v>asuka</v>
      </c>
    </row>
    <row r="43900">
      <c r="A43900" s="1" t="s">
        <v>43899</v>
      </c>
      <c r="B43900" s="2" t="str">
        <f>IFERROR(__xludf.DUMMYFUNCTION("GOOGLETRANSLATE(A43900, ""de"", ""en"")"),"target")</f>
        <v>target</v>
      </c>
    </row>
    <row r="43901">
      <c r="A43901" s="1" t="s">
        <v>43900</v>
      </c>
      <c r="B43901" s="2" t="str">
        <f>IFERROR(__xludf.DUMMYFUNCTION("GOOGLETRANSLATE(A43901, ""de"", ""en"")"),"fall")</f>
        <v>fall</v>
      </c>
    </row>
    <row r="43902">
      <c r="A43902" s="1" t="s">
        <v>43901</v>
      </c>
      <c r="B43902" s="2" t="str">
        <f>IFERROR(__xludf.DUMMYFUNCTION("GOOGLETRANSLATE(A43902, ""de"", ""en"")"),"writer")</f>
        <v>writer</v>
      </c>
    </row>
    <row r="43903">
      <c r="A43903" s="1" t="s">
        <v>43902</v>
      </c>
      <c r="B43903" s="2" t="str">
        <f>IFERROR(__xludf.DUMMYFUNCTION("GOOGLETRANSLATE(A43903, ""de"", ""en"")"),"report")</f>
        <v>report</v>
      </c>
    </row>
    <row r="43904">
      <c r="A43904" s="1" t="s">
        <v>43903</v>
      </c>
      <c r="B43904" s="2" t="str">
        <f>IFERROR(__xludf.DUMMYFUNCTION("GOOGLETRANSLATE(A43904, ""de"", ""en"")"),"feathers")</f>
        <v>feathers</v>
      </c>
    </row>
    <row r="43905">
      <c r="A43905" s="1" t="s">
        <v>43904</v>
      </c>
      <c r="B43905" s="2" t="str">
        <f>IFERROR(__xludf.DUMMYFUNCTION("GOOGLETRANSLATE(A43905, ""de"", ""en"")"),"firewater")</f>
        <v>firewater</v>
      </c>
    </row>
    <row r="43906">
      <c r="A43906" s="1" t="s">
        <v>43905</v>
      </c>
      <c r="B43906" s="2" t="str">
        <f>IFERROR(__xludf.DUMMYFUNCTION("GOOGLETRANSLATE(A43906, ""de"", ""en"")"),"leaking")</f>
        <v>leaking</v>
      </c>
    </row>
    <row r="43907">
      <c r="A43907" s="1" t="s">
        <v>43906</v>
      </c>
      <c r="B43907" s="2" t="str">
        <f>IFERROR(__xludf.DUMMYFUNCTION("GOOGLETRANSLATE(A43907, ""de"", ""en"")"),"enter")</f>
        <v>enter</v>
      </c>
    </row>
    <row r="43908">
      <c r="A43908" s="1" t="s">
        <v>43907</v>
      </c>
      <c r="B43908" s="2" t="str">
        <f>IFERROR(__xludf.DUMMYFUNCTION("GOOGLETRANSLATE(A43908, ""de"", ""en"")"),"connoisseur of people")</f>
        <v>connoisseur of people</v>
      </c>
    </row>
    <row r="43909">
      <c r="A43909" s="1" t="s">
        <v>43908</v>
      </c>
      <c r="B43909" s="2" t="str">
        <f>IFERROR(__xludf.DUMMYFUNCTION("GOOGLETRANSLATE(A43909, ""de"", ""en"")"),"toxins")</f>
        <v>toxins</v>
      </c>
    </row>
    <row r="43910">
      <c r="A43910" s="1" t="s">
        <v>43909</v>
      </c>
      <c r="B43910" s="2" t="str">
        <f>IFERROR(__xludf.DUMMYFUNCTION("GOOGLETRANSLATE(A43910, ""de"", ""en"")"),"incubator")</f>
        <v>incubator</v>
      </c>
    </row>
    <row r="43911">
      <c r="A43911" s="1" t="s">
        <v>43910</v>
      </c>
      <c r="B43911" s="2" t="str">
        <f>IFERROR(__xludf.DUMMYFUNCTION("GOOGLETRANSLATE(A43911, ""de"", ""en"")"),"described")</f>
        <v>described</v>
      </c>
    </row>
    <row r="43912">
      <c r="A43912" s="1" t="s">
        <v>43911</v>
      </c>
      <c r="B43912" s="2" t="str">
        <f>IFERROR(__xludf.DUMMYFUNCTION("GOOGLETRANSLATE(A43912, ""de"", ""en"")"),"expenses")</f>
        <v>expenses</v>
      </c>
    </row>
    <row r="43913">
      <c r="A43913" s="1" t="s">
        <v>43912</v>
      </c>
      <c r="B43913" s="2" t="str">
        <f>IFERROR(__xludf.DUMMYFUNCTION("GOOGLETRANSLATE(A43913, ""de"", ""en"")"),"to collect")</f>
        <v>to collect</v>
      </c>
    </row>
    <row r="43914">
      <c r="A43914" s="1" t="s">
        <v>43913</v>
      </c>
      <c r="B43914" s="2" t="str">
        <f>IFERROR(__xludf.DUMMYFUNCTION("GOOGLETRANSLATE(A43914, ""de"", ""en"")"),"mangas")</f>
        <v>mangas</v>
      </c>
    </row>
    <row r="43915">
      <c r="A43915" s="1" t="s">
        <v>43914</v>
      </c>
      <c r="B43915" s="2" t="str">
        <f>IFERROR(__xludf.DUMMYFUNCTION("GOOGLETRANSLATE(A43915, ""de"", ""en"")"),"yay")</f>
        <v>yay</v>
      </c>
    </row>
    <row r="43916">
      <c r="A43916" s="1" t="s">
        <v>43915</v>
      </c>
      <c r="B43916" s="2" t="str">
        <f>IFERROR(__xludf.DUMMYFUNCTION("GOOGLETRANSLATE(A43916, ""de"", ""en"")"),"risk of escape")</f>
        <v>risk of escape</v>
      </c>
    </row>
    <row r="43917">
      <c r="A43917" s="1" t="s">
        <v>43916</v>
      </c>
      <c r="B43917" s="2" t="str">
        <f>IFERROR(__xludf.DUMMYFUNCTION("GOOGLETRANSLATE(A43917, ""de"", ""en"")"),"lecture hall")</f>
        <v>lecture hall</v>
      </c>
    </row>
    <row r="43918">
      <c r="A43918" s="1" t="s">
        <v>43917</v>
      </c>
      <c r="B43918" s="2" t="str">
        <f>IFERROR(__xludf.DUMMYFUNCTION("GOOGLETRANSLATE(A43918, ""de"", ""en"")"),"baek")</f>
        <v>baek</v>
      </c>
    </row>
    <row r="43919">
      <c r="A43919" s="1" t="s">
        <v>43918</v>
      </c>
      <c r="B43919" s="2" t="str">
        <f>IFERROR(__xludf.DUMMYFUNCTION("GOOGLETRANSLATE(A43919, ""de"", ""en"")"),"broke up")</f>
        <v>broke up</v>
      </c>
    </row>
    <row r="43920">
      <c r="A43920" s="1" t="s">
        <v>43919</v>
      </c>
      <c r="B43920" s="2" t="str">
        <f>IFERROR(__xludf.DUMMYFUNCTION("GOOGLETRANSLATE(A43920, ""de"", ""en"")"),"Bedouins")</f>
        <v>Bedouins</v>
      </c>
    </row>
    <row r="43921">
      <c r="A43921" s="1" t="s">
        <v>43920</v>
      </c>
      <c r="B43921" s="2" t="str">
        <f>IFERROR(__xludf.DUMMYFUNCTION("GOOGLETRANSLATE(A43921, ""de"", ""en"")"),"stuffed animal")</f>
        <v>stuffed animal</v>
      </c>
    </row>
    <row r="43922">
      <c r="A43922" s="1" t="s">
        <v>43921</v>
      </c>
      <c r="B43922" s="2" t="str">
        <f>IFERROR(__xludf.DUMMYFUNCTION("GOOGLETRANSLATE(A43922, ""de"", ""en"")"),"lui")</f>
        <v>lui</v>
      </c>
    </row>
    <row r="43923">
      <c r="A43923" s="1" t="s">
        <v>43922</v>
      </c>
      <c r="B43923" s="2" t="str">
        <f>IFERROR(__xludf.DUMMYFUNCTION("GOOGLETRANSLATE(A43923, ""de"", ""en"")"),"decima")</f>
        <v>decima</v>
      </c>
    </row>
    <row r="43924">
      <c r="A43924" s="1" t="s">
        <v>43923</v>
      </c>
      <c r="B43924" s="2" t="str">
        <f>IFERROR(__xludf.DUMMYFUNCTION("GOOGLETRANSLATE(A43924, ""de"", ""en"")"),"insane")</f>
        <v>insane</v>
      </c>
    </row>
    <row r="43925">
      <c r="A43925" s="1" t="s">
        <v>43924</v>
      </c>
      <c r="B43925" s="2" t="str">
        <f>IFERROR(__xludf.DUMMYFUNCTION("GOOGLETRANSLATE(A43925, ""de"", ""en"")"),"skaara")</f>
        <v>skaara</v>
      </c>
    </row>
    <row r="43926">
      <c r="A43926" s="1" t="s">
        <v>43925</v>
      </c>
      <c r="B43926" s="2" t="str">
        <f>IFERROR(__xludf.DUMMYFUNCTION("GOOGLETRANSLATE(A43926, ""de"", ""en"")"),"lohengrin")</f>
        <v>lohengrin</v>
      </c>
    </row>
    <row r="43927">
      <c r="A43927" s="1" t="s">
        <v>43926</v>
      </c>
      <c r="B43927" s="2" t="str">
        <f>IFERROR(__xludf.DUMMYFUNCTION("GOOGLETRANSLATE(A43927, ""de"", ""en"")"),"drive on")</f>
        <v>drive on</v>
      </c>
    </row>
    <row r="43928">
      <c r="A43928" s="1" t="s">
        <v>43927</v>
      </c>
      <c r="B43928" s="2" t="str">
        <f>IFERROR(__xludf.DUMMYFUNCTION("GOOGLETRANSLATE(A43928, ""de"", ""en"")"),"bugle")</f>
        <v>bugle</v>
      </c>
    </row>
    <row r="43929">
      <c r="A43929" s="1" t="s">
        <v>43928</v>
      </c>
      <c r="B43929" s="2" t="str">
        <f>IFERROR(__xludf.DUMMYFUNCTION("GOOGLETRANSLATE(A43929, ""de"", ""en"")"),"funds")</f>
        <v>funds</v>
      </c>
    </row>
    <row r="43930">
      <c r="A43930" s="1" t="s">
        <v>43929</v>
      </c>
      <c r="B43930" s="2" t="str">
        <f>IFERROR(__xludf.DUMMYFUNCTION("GOOGLETRANSLATE(A43930, ""de"", ""en"")"),"dracula")</f>
        <v>dracula</v>
      </c>
    </row>
    <row r="43931">
      <c r="A43931" s="1" t="s">
        <v>43930</v>
      </c>
      <c r="B43931" s="2" t="str">
        <f>IFERROR(__xludf.DUMMYFUNCTION("GOOGLETRANSLATE(A43931, ""de"", ""en"")"),"Cylon")</f>
        <v>Cylon</v>
      </c>
    </row>
    <row r="43932">
      <c r="A43932" s="1" t="s">
        <v>43931</v>
      </c>
      <c r="B43932" s="2" t="str">
        <f>IFERROR(__xludf.DUMMYFUNCTION("GOOGLETRANSLATE(A43932, ""de"", ""en"")"),"disa")</f>
        <v>disa</v>
      </c>
    </row>
    <row r="43933">
      <c r="A43933" s="1" t="s">
        <v>43932</v>
      </c>
      <c r="B43933" s="2" t="str">
        <f>IFERROR(__xludf.DUMMYFUNCTION("GOOGLETRANSLATE(A43933, ""de"", ""en"")"),"hired")</f>
        <v>hired</v>
      </c>
    </row>
    <row r="43934">
      <c r="A43934" s="1" t="s">
        <v>43933</v>
      </c>
      <c r="B43934" s="2" t="str">
        <f>IFERROR(__xludf.DUMMYFUNCTION("GOOGLETRANSLATE(A43934, ""de"", ""en"")"),"destroyed")</f>
        <v>destroyed</v>
      </c>
    </row>
    <row r="43935">
      <c r="A43935" s="1" t="s">
        <v>43934</v>
      </c>
      <c r="B43935" s="2" t="str">
        <f>IFERROR(__xludf.DUMMYFUNCTION("GOOGLETRANSLATE(A43935, ""de"", ""en"")"),"frame.frame")</f>
        <v>frame.frame</v>
      </c>
    </row>
    <row r="43936">
      <c r="A43936" s="1" t="s">
        <v>43935</v>
      </c>
      <c r="B43936" s="2" t="str">
        <f>IFERROR(__xludf.DUMMYFUNCTION("GOOGLETRANSLATE(A43936, ""de"", ""en"")"),"bloodthirsty")</f>
        <v>bloodthirsty</v>
      </c>
    </row>
    <row r="43937">
      <c r="A43937" s="1" t="s">
        <v>43936</v>
      </c>
      <c r="B43937" s="2" t="str">
        <f>IFERROR(__xludf.DUMMYFUNCTION("GOOGLETRANSLATE(A43937, ""de"", ""en"")"),"originality")</f>
        <v>originality</v>
      </c>
    </row>
    <row r="43938">
      <c r="A43938" s="1" t="s">
        <v>43937</v>
      </c>
      <c r="B43938" s="2" t="str">
        <f>IFERROR(__xludf.DUMMYFUNCTION("GOOGLETRANSLATE(A43938, ""de"", ""en"")"),"earn money")</f>
        <v>earn money</v>
      </c>
    </row>
    <row r="43939">
      <c r="A43939" s="1" t="s">
        <v>43938</v>
      </c>
      <c r="B43939" s="2" t="str">
        <f>IFERROR(__xludf.DUMMYFUNCTION("GOOGLETRANSLATE(A43939, ""de"", ""en"")"),"chamber pot")</f>
        <v>chamber pot</v>
      </c>
    </row>
    <row r="43940">
      <c r="A43940" s="1" t="s">
        <v>43939</v>
      </c>
      <c r="B43940" s="2" t="str">
        <f>IFERROR(__xludf.DUMMYFUNCTION("GOOGLETRANSLATE(A43940, ""de"", ""en"")"),"stress disorder")</f>
        <v>stress disorder</v>
      </c>
    </row>
    <row r="43941">
      <c r="A43941" s="1" t="s">
        <v>43940</v>
      </c>
      <c r="B43941" s="2" t="str">
        <f>IFERROR(__xludf.DUMMYFUNCTION("GOOGLETRANSLATE(A43941, ""de"", ""en"")"),"boyce")</f>
        <v>boyce</v>
      </c>
    </row>
    <row r="43942">
      <c r="A43942" s="1" t="s">
        <v>43941</v>
      </c>
      <c r="B43942" s="2" t="str">
        <f>IFERROR(__xludf.DUMMYFUNCTION("GOOGLETRANSLATE(A43942, ""de"", ""en"")"),"shit")</f>
        <v>shit</v>
      </c>
    </row>
    <row r="43943">
      <c r="A43943" s="1" t="s">
        <v>43942</v>
      </c>
      <c r="B43943" s="2" t="str">
        <f>IFERROR(__xludf.DUMMYFUNCTION("GOOGLETRANSLATE(A43943, ""de"", ""en"")"),"hak")</f>
        <v>hak</v>
      </c>
    </row>
    <row r="43944">
      <c r="A43944" s="1" t="s">
        <v>43943</v>
      </c>
      <c r="B43944" s="2" t="str">
        <f>IFERROR(__xludf.DUMMYFUNCTION("GOOGLETRANSLATE(A43944, ""de"", ""en"")"),"hairdresser")</f>
        <v>hairdresser</v>
      </c>
    </row>
    <row r="43945">
      <c r="A43945" s="1" t="s">
        <v>43944</v>
      </c>
      <c r="B43945" s="2" t="str">
        <f>IFERROR(__xludf.DUMMYFUNCTION("GOOGLETRANSLATE(A43945, ""de"", ""en"")"),"settled in")</f>
        <v>settled in</v>
      </c>
    </row>
    <row r="43946">
      <c r="A43946" s="1" t="s">
        <v>43945</v>
      </c>
      <c r="B43946" s="2" t="str">
        <f>IFERROR(__xludf.DUMMYFUNCTION("GOOGLETRANSLATE(A43946, ""de"", ""en"")"),"adopted")</f>
        <v>adopted</v>
      </c>
    </row>
    <row r="43947">
      <c r="A43947" s="1" t="s">
        <v>43946</v>
      </c>
      <c r="B43947" s="2" t="str">
        <f>IFERROR(__xludf.DUMMYFUNCTION("GOOGLETRANSLATE(A43947, ""de"", ""en"")"),"soprano")</f>
        <v>soprano</v>
      </c>
    </row>
    <row r="43948">
      <c r="A43948" s="1" t="s">
        <v>43947</v>
      </c>
      <c r="B43948" s="2" t="str">
        <f>IFERROR(__xludf.DUMMYFUNCTION("GOOGLETRANSLATE(A43948, ""de"", ""en"")"),"monogamous")</f>
        <v>monogamous</v>
      </c>
    </row>
    <row r="43949">
      <c r="A43949" s="1" t="s">
        <v>43948</v>
      </c>
      <c r="B43949" s="2" t="str">
        <f>IFERROR(__xludf.DUMMYFUNCTION("GOOGLETRANSLATE(A43949, ""de"", ""en"")"),"to present")</f>
        <v>to present</v>
      </c>
    </row>
    <row r="43950">
      <c r="A43950" s="1" t="s">
        <v>43949</v>
      </c>
      <c r="B43950" s="2" t="str">
        <f>IFERROR(__xludf.DUMMYFUNCTION("GOOGLETRANSLATE(A43950, ""de"", ""en"")"),"camel")</f>
        <v>camel</v>
      </c>
    </row>
    <row r="43951">
      <c r="A43951" s="1" t="s">
        <v>43950</v>
      </c>
      <c r="B43951" s="2" t="str">
        <f>IFERROR(__xludf.DUMMYFUNCTION("GOOGLETRANSLATE(A43951, ""de"", ""en"")"),"tapeworm")</f>
        <v>tapeworm</v>
      </c>
    </row>
    <row r="43952">
      <c r="A43952" s="1" t="s">
        <v>43951</v>
      </c>
      <c r="B43952" s="2" t="str">
        <f>IFERROR(__xludf.DUMMYFUNCTION("GOOGLETRANSLATE(A43952, ""de"", ""en"")"),"more furious")</f>
        <v>more furious</v>
      </c>
    </row>
    <row r="43953">
      <c r="A43953" s="1" t="s">
        <v>43952</v>
      </c>
      <c r="B43953" s="2" t="str">
        <f>IFERROR(__xludf.DUMMYFUNCTION("GOOGLETRANSLATE(A43953, ""de"", ""en"")"),"precrime")</f>
        <v>precrime</v>
      </c>
    </row>
    <row r="43954">
      <c r="A43954" s="1" t="s">
        <v>43953</v>
      </c>
      <c r="B43954" s="2" t="str">
        <f>IFERROR(__xludf.DUMMYFUNCTION("GOOGLETRANSLATE(A43954, ""de"", ""en"")"),"discussed")</f>
        <v>discussed</v>
      </c>
    </row>
    <row r="43955">
      <c r="A43955" s="1" t="s">
        <v>43954</v>
      </c>
      <c r="B43955" s="2" t="str">
        <f>IFERROR(__xludf.DUMMYFUNCTION("GOOGLETRANSLATE(A43955, ""de"", ""en"")"),"hung")</f>
        <v>hung</v>
      </c>
    </row>
    <row r="43956">
      <c r="A43956" s="1" t="s">
        <v>43955</v>
      </c>
      <c r="B43956" s="2" t="str">
        <f>IFERROR(__xludf.DUMMYFUNCTION("GOOGLETRANSLATE(A43956, ""de"", ""en"")"),"Godric")</f>
        <v>Godric</v>
      </c>
    </row>
    <row r="43957">
      <c r="A43957" s="1" t="s">
        <v>43956</v>
      </c>
      <c r="B43957" s="2" t="str">
        <f>IFERROR(__xludf.DUMMYFUNCTION("GOOGLETRANSLATE(A43957, ""de"", ""en"")"),"morbus")</f>
        <v>morbus</v>
      </c>
    </row>
    <row r="43958">
      <c r="A43958" s="1" t="s">
        <v>43957</v>
      </c>
      <c r="B43958" s="2" t="str">
        <f>IFERROR(__xludf.DUMMYFUNCTION("GOOGLETRANSLATE(A43958, ""de"", ""en"")"),"signals")</f>
        <v>signals</v>
      </c>
    </row>
    <row r="43959">
      <c r="A43959" s="1" t="s">
        <v>43958</v>
      </c>
      <c r="B43959" s="2" t="str">
        <f>IFERROR(__xludf.DUMMYFUNCTION("GOOGLETRANSLATE(A43959, ""de"", ""en"")"),"greenhorn")</f>
        <v>greenhorn</v>
      </c>
    </row>
    <row r="43960">
      <c r="A43960" s="1" t="s">
        <v>43959</v>
      </c>
      <c r="B43960" s="2" t="str">
        <f>IFERROR(__xludf.DUMMYFUNCTION("GOOGLETRANSLATE(A43960, ""de"", ""en"")"),"cultivated")</f>
        <v>cultivated</v>
      </c>
    </row>
    <row r="43961">
      <c r="A43961" s="1" t="s">
        <v>43960</v>
      </c>
      <c r="B43961" s="2" t="str">
        <f>IFERROR(__xludf.DUMMYFUNCTION("GOOGLETRANSLATE(A43961, ""de"", ""en"")"),"Angola")</f>
        <v>Angola</v>
      </c>
    </row>
    <row r="43962">
      <c r="A43962" s="1" t="s">
        <v>43961</v>
      </c>
      <c r="B43962" s="2" t="str">
        <f>IFERROR(__xludf.DUMMYFUNCTION("GOOGLETRANSLATE(A43962, ""de"", ""en"")"),"desiree")</f>
        <v>desiree</v>
      </c>
    </row>
    <row r="43963">
      <c r="A43963" s="1" t="s">
        <v>43962</v>
      </c>
      <c r="B43963" s="2" t="str">
        <f>IFERROR(__xludf.DUMMYFUNCTION("GOOGLETRANSLATE(A43963, ""de"", ""en"")"),"Oedipus")</f>
        <v>Oedipus</v>
      </c>
    </row>
    <row r="43964">
      <c r="A43964" s="1" t="s">
        <v>43963</v>
      </c>
      <c r="B43964" s="2" t="str">
        <f>IFERROR(__xludf.DUMMYFUNCTION("GOOGLETRANSLATE(A43964, ""de"", ""en"")"),"disadvantaged")</f>
        <v>disadvantaged</v>
      </c>
    </row>
    <row r="43965">
      <c r="A43965" s="1" t="s">
        <v>43964</v>
      </c>
      <c r="B43965" s="2" t="str">
        <f>IFERROR(__xludf.DUMMYFUNCTION("GOOGLETRANSLATE(A43965, ""de"", ""en"")"),"disciplinary proceedings")</f>
        <v>disciplinary proceedings</v>
      </c>
    </row>
    <row r="43966">
      <c r="A43966" s="1" t="s">
        <v>43965</v>
      </c>
      <c r="B43966" s="2" t="str">
        <f>IFERROR(__xludf.DUMMYFUNCTION("GOOGLETRANSLATE(A43966, ""de"", ""en"")"),"stepbrother")</f>
        <v>stepbrother</v>
      </c>
    </row>
    <row r="43967">
      <c r="A43967" s="1" t="s">
        <v>43966</v>
      </c>
      <c r="B43967" s="2" t="str">
        <f>IFERROR(__xludf.DUMMYFUNCTION("GOOGLETRANSLATE(A43967, ""de"", ""en"")"),"display")</f>
        <v>display</v>
      </c>
    </row>
    <row r="43968">
      <c r="A43968" s="1" t="s">
        <v>43967</v>
      </c>
      <c r="B43968" s="2" t="str">
        <f>IFERROR(__xludf.DUMMYFUNCTION("GOOGLETRANSLATE(A43968, ""de"", ""en"")"),"roussel")</f>
        <v>roussel</v>
      </c>
    </row>
    <row r="43969">
      <c r="A43969" s="1" t="s">
        <v>43968</v>
      </c>
      <c r="B43969" s="2" t="str">
        <f>IFERROR(__xludf.DUMMYFUNCTION("GOOGLETRANSLATE(A43969, ""de"", ""en"")"),"sok")</f>
        <v>sok</v>
      </c>
    </row>
    <row r="43970">
      <c r="A43970" s="1" t="s">
        <v>43969</v>
      </c>
      <c r="B43970" s="2" t="str">
        <f>IFERROR(__xludf.DUMMYFUNCTION("GOOGLETRANSLATE(A43970, ""de"", ""en"")"),"quartered")</f>
        <v>quartered</v>
      </c>
    </row>
    <row r="43971">
      <c r="A43971" s="1" t="s">
        <v>43970</v>
      </c>
      <c r="B43971" s="2" t="str">
        <f>IFERROR(__xludf.DUMMYFUNCTION("GOOGLETRANSLATE(A43971, ""de"", ""en"")"),"nightmares")</f>
        <v>nightmares</v>
      </c>
    </row>
    <row r="43972">
      <c r="A43972" s="1" t="s">
        <v>43971</v>
      </c>
      <c r="B43972" s="2" t="str">
        <f>IFERROR(__xludf.DUMMYFUNCTION("GOOGLETRANSLATE(A43972, ""de"", ""en"")"),"paw")</f>
        <v>paw</v>
      </c>
    </row>
    <row r="43973">
      <c r="A43973" s="1" t="s">
        <v>43972</v>
      </c>
      <c r="B43973" s="2" t="str">
        <f>IFERROR(__xludf.DUMMYFUNCTION("GOOGLETRANSLATE(A43973, ""de"", ""en"")"),"degas")</f>
        <v>degas</v>
      </c>
    </row>
    <row r="43974">
      <c r="A43974" s="1" t="s">
        <v>43973</v>
      </c>
      <c r="B43974" s="2" t="str">
        <f>IFERROR(__xludf.DUMMYFUNCTION("GOOGLETRANSLATE(A43974, ""de"", ""en"")"),"doom")</f>
        <v>doom</v>
      </c>
    </row>
    <row r="43975">
      <c r="A43975" s="1" t="s">
        <v>43974</v>
      </c>
      <c r="B43975" s="2" t="str">
        <f>IFERROR(__xludf.DUMMYFUNCTION("GOOGLETRANSLATE(A43975, ""de"", ""en"")"),"praised")</f>
        <v>praised</v>
      </c>
    </row>
    <row r="43976">
      <c r="A43976" s="1" t="s">
        <v>43975</v>
      </c>
      <c r="B43976" s="2" t="str">
        <f>IFERROR(__xludf.DUMMYFUNCTION("GOOGLETRANSLATE(A43976, ""de"", ""en"")"),"administration")</f>
        <v>administration</v>
      </c>
    </row>
    <row r="43977">
      <c r="A43977" s="1" t="s">
        <v>43976</v>
      </c>
      <c r="B43977" s="2" t="str">
        <f>IFERROR(__xludf.DUMMYFUNCTION("GOOGLETRANSLATE(A43977, ""de"", ""en"")"),"Microsoft")</f>
        <v>Microsoft</v>
      </c>
    </row>
    <row r="43978">
      <c r="A43978" s="1" t="s">
        <v>43977</v>
      </c>
      <c r="B43978" s="2" t="str">
        <f>IFERROR(__xludf.DUMMYFUNCTION("GOOGLETRANSLATE(A43978, ""de"", ""en"")"),"boxes")</f>
        <v>boxes</v>
      </c>
    </row>
    <row r="43979">
      <c r="A43979" s="1" t="s">
        <v>43978</v>
      </c>
      <c r="B43979" s="2" t="str">
        <f>IFERROR(__xludf.DUMMYFUNCTION("GOOGLETRANSLATE(A43979, ""de"", ""en"")"),"6 times")</f>
        <v>6 times</v>
      </c>
    </row>
    <row r="43980">
      <c r="A43980" s="1" t="s">
        <v>43979</v>
      </c>
      <c r="B43980" s="2" t="str">
        <f>IFERROR(__xludf.DUMMYFUNCTION("GOOGLETRANSLATE(A43980, ""de"", ""en"")"),"hume")</f>
        <v>hume</v>
      </c>
    </row>
    <row r="43981">
      <c r="A43981" s="1" t="s">
        <v>43980</v>
      </c>
      <c r="B43981" s="2" t="str">
        <f>IFERROR(__xludf.DUMMYFUNCTION("GOOGLETRANSLATE(A43981, ""de"", ""en"")"),"yapping")</f>
        <v>yapping</v>
      </c>
    </row>
    <row r="43982">
      <c r="A43982" s="1" t="s">
        <v>43981</v>
      </c>
      <c r="B43982" s="2" t="str">
        <f>IFERROR(__xludf.DUMMYFUNCTION("GOOGLETRANSLATE(A43982, ""de"", ""en"")"),"stunning")</f>
        <v>stunning</v>
      </c>
    </row>
    <row r="43983">
      <c r="A43983" s="1" t="s">
        <v>43982</v>
      </c>
      <c r="B43983" s="2" t="str">
        <f>IFERROR(__xludf.DUMMYFUNCTION("GOOGLETRANSLATE(A43983, ""de"", ""en"")"),"Dutchman")</f>
        <v>Dutchman</v>
      </c>
    </row>
    <row r="43984">
      <c r="A43984" s="1" t="s">
        <v>43983</v>
      </c>
      <c r="B43984" s="2" t="str">
        <f>IFERROR(__xludf.DUMMYFUNCTION("GOOGLETRANSLATE(A43984, ""de"", ""en"")"),"notification")</f>
        <v>notification</v>
      </c>
    </row>
    <row r="43985">
      <c r="A43985" s="1" t="s">
        <v>43984</v>
      </c>
      <c r="B43985" s="2" t="str">
        <f>IFERROR(__xludf.DUMMYFUNCTION("GOOGLETRANSLATE(A43985, ""de"", ""en"")"),"mascara")</f>
        <v>mascara</v>
      </c>
    </row>
    <row r="43986">
      <c r="A43986" s="1" t="s">
        <v>43985</v>
      </c>
      <c r="B43986" s="2" t="str">
        <f>IFERROR(__xludf.DUMMYFUNCTION("GOOGLETRANSLATE(A43986, ""de"", ""en"")"),"Saturday night")</f>
        <v>Saturday night</v>
      </c>
    </row>
    <row r="43987">
      <c r="A43987" s="1" t="s">
        <v>43986</v>
      </c>
      <c r="B43987" s="2" t="str">
        <f>IFERROR(__xludf.DUMMYFUNCTION("GOOGLETRANSLATE(A43987, ""de"", ""en"")"),"mullen")</f>
        <v>mullen</v>
      </c>
    </row>
    <row r="43988">
      <c r="A43988" s="1" t="s">
        <v>43987</v>
      </c>
      <c r="B43988" s="2" t="str">
        <f>IFERROR(__xludf.DUMMYFUNCTION("GOOGLETRANSLATE(A43988, ""de"", ""en"")"),"blow out")</f>
        <v>blow out</v>
      </c>
    </row>
    <row r="43989">
      <c r="A43989" s="1" t="s">
        <v>43988</v>
      </c>
      <c r="B43989" s="2" t="str">
        <f>IFERROR(__xludf.DUMMYFUNCTION("GOOGLETRANSLATE(A43989, ""de"", ""en"")"),"trumps")</f>
        <v>trumps</v>
      </c>
    </row>
    <row r="43990">
      <c r="A43990" s="1" t="s">
        <v>43989</v>
      </c>
      <c r="B43990" s="2" t="str">
        <f>IFERROR(__xludf.DUMMYFUNCTION("GOOGLETRANSLATE(A43990, ""de"", ""en"")"),"longed for")</f>
        <v>longed for</v>
      </c>
    </row>
    <row r="43991">
      <c r="A43991" s="1" t="s">
        <v>43990</v>
      </c>
      <c r="B43991" s="2" t="str">
        <f>IFERROR(__xludf.DUMMYFUNCTION("GOOGLETRANSLATE(A43991, ""de"", ""en"")"),"immune")</f>
        <v>immune</v>
      </c>
    </row>
    <row r="43992">
      <c r="A43992" s="1" t="s">
        <v>43991</v>
      </c>
      <c r="B43992" s="2" t="str">
        <f>IFERROR(__xludf.DUMMYFUNCTION("GOOGLETRANSLATE(A43992, ""de"", ""en"")"),"hypocrite")</f>
        <v>hypocrite</v>
      </c>
    </row>
    <row r="43993">
      <c r="A43993" s="1" t="s">
        <v>43992</v>
      </c>
      <c r="B43993" s="2" t="str">
        <f>IFERROR(__xludf.DUMMYFUNCTION("GOOGLETRANSLATE(A43993, ""de"", ""en"")"),"wobble")</f>
        <v>wobble</v>
      </c>
    </row>
    <row r="43994">
      <c r="A43994" s="1" t="s">
        <v>43993</v>
      </c>
      <c r="B43994" s="2" t="str">
        <f>IFERROR(__xludf.DUMMYFUNCTION("GOOGLETRANSLATE(A43994, ""de"", ""en"")"),"blender")</f>
        <v>blender</v>
      </c>
    </row>
    <row r="43995">
      <c r="A43995" s="1" t="s">
        <v>43994</v>
      </c>
      <c r="B43995" s="2" t="str">
        <f>IFERROR(__xludf.DUMMYFUNCTION("GOOGLETRANSLATE(A43995, ""de"", ""en"")"),"return")</f>
        <v>return</v>
      </c>
    </row>
    <row r="43996">
      <c r="A43996" s="1" t="s">
        <v>43995</v>
      </c>
      <c r="B43996" s="2" t="str">
        <f>IFERROR(__xludf.DUMMYFUNCTION("GOOGLETRANSLATE(A43996, ""de"", ""en"")"),"forgiven")</f>
        <v>forgiven</v>
      </c>
    </row>
    <row r="43997">
      <c r="A43997" s="1" t="s">
        <v>43996</v>
      </c>
      <c r="B43997" s="2" t="str">
        <f>IFERROR(__xludf.DUMMYFUNCTION("GOOGLETRANSLATE(A43997, ""de"", ""en"")"),"unemployment benefit")</f>
        <v>unemployment benefit</v>
      </c>
    </row>
    <row r="43998">
      <c r="A43998" s="1" t="s">
        <v>43997</v>
      </c>
      <c r="B43998" s="2" t="str">
        <f>IFERROR(__xludf.DUMMYFUNCTION("GOOGLETRANSLATE(A43998, ""de"", ""en"")"),"sepsis")</f>
        <v>sepsis</v>
      </c>
    </row>
    <row r="43999">
      <c r="A43999" s="1" t="s">
        <v>43998</v>
      </c>
      <c r="B43999" s="2" t="str">
        <f>IFERROR(__xludf.DUMMYFUNCTION("GOOGLETRANSLATE(A43999, ""de"", ""en"")"),"brakebills")</f>
        <v>brakebills</v>
      </c>
    </row>
    <row r="44000">
      <c r="A44000" s="1" t="s">
        <v>43999</v>
      </c>
      <c r="B44000" s="2" t="str">
        <f>IFERROR(__xludf.DUMMYFUNCTION("GOOGLETRANSLATE(A44000, ""de"", ""en"")"),"more committed")</f>
        <v>more committed</v>
      </c>
    </row>
    <row r="44001">
      <c r="A44001" s="1" t="s">
        <v>44000</v>
      </c>
      <c r="B44001" s="2" t="str">
        <f>IFERROR(__xludf.DUMMYFUNCTION("GOOGLETRANSLATE(A44001, ""de"", ""en"")"),"measured")</f>
        <v>measured</v>
      </c>
    </row>
    <row r="44002">
      <c r="A44002" s="1" t="s">
        <v>44001</v>
      </c>
      <c r="B44002" s="2" t="str">
        <f>IFERROR(__xludf.DUMMYFUNCTION("GOOGLETRANSLATE(A44002, ""de"", ""en"")"),"brewed")</f>
        <v>brewed</v>
      </c>
    </row>
    <row r="44003">
      <c r="A44003" s="1" t="s">
        <v>44002</v>
      </c>
      <c r="B44003" s="2" t="str">
        <f>IFERROR(__xludf.DUMMYFUNCTION("GOOGLETRANSLATE(A44003, ""de"", ""en"")"),"bullet hole")</f>
        <v>bullet hole</v>
      </c>
    </row>
    <row r="44004">
      <c r="A44004" s="1" t="s">
        <v>44003</v>
      </c>
      <c r="B44004" s="2" t="str">
        <f>IFERROR(__xludf.DUMMYFUNCTION("GOOGLETRANSLATE(A44004, ""de"", ""en"")"),"martys")</f>
        <v>martys</v>
      </c>
    </row>
    <row r="44005">
      <c r="A44005" s="1" t="s">
        <v>44004</v>
      </c>
      <c r="B44005" s="2" t="str">
        <f>IFERROR(__xludf.DUMMYFUNCTION("GOOGLETRANSLATE(A44005, ""de"", ""en"")"),"sprinkler")</f>
        <v>sprinkler</v>
      </c>
    </row>
    <row r="44006">
      <c r="A44006" s="1" t="s">
        <v>44005</v>
      </c>
      <c r="B44006" s="2" t="str">
        <f>IFERROR(__xludf.DUMMYFUNCTION("GOOGLETRANSLATE(A44006, ""de"", ""en"")"),"trilogy")</f>
        <v>trilogy</v>
      </c>
    </row>
    <row r="44007">
      <c r="A44007" s="1" t="s">
        <v>44006</v>
      </c>
      <c r="B44007" s="2" t="str">
        <f>IFERROR(__xludf.DUMMYFUNCTION("GOOGLETRANSLATE(A44007, ""de"", ""en"")"),"bedtime story")</f>
        <v>bedtime story</v>
      </c>
    </row>
    <row r="44008">
      <c r="A44008" s="1" t="s">
        <v>44007</v>
      </c>
      <c r="B44008" s="2" t="str">
        <f>IFERROR(__xludf.DUMMYFUNCTION("GOOGLETRANSLATE(A44008, ""de"", ""en"")"),"harbor master")</f>
        <v>harbor master</v>
      </c>
    </row>
    <row r="44009">
      <c r="A44009" s="1" t="s">
        <v>44008</v>
      </c>
      <c r="B44009" s="2" t="str">
        <f>IFERROR(__xludf.DUMMYFUNCTION("GOOGLETRANSLATE(A44009, ""de"", ""en"")"),"fleet")</f>
        <v>fleet</v>
      </c>
    </row>
    <row r="44010">
      <c r="A44010" s="1" t="s">
        <v>44009</v>
      </c>
      <c r="B44010" s="2" t="str">
        <f>IFERROR(__xludf.DUMMYFUNCTION("GOOGLETRANSLATE(A44010, ""de"", ""en"")"),"drums")</f>
        <v>drums</v>
      </c>
    </row>
    <row r="44011">
      <c r="A44011" s="1" t="s">
        <v>44010</v>
      </c>
      <c r="B44011" s="2" t="str">
        <f>IFERROR(__xludf.DUMMYFUNCTION("GOOGLETRANSLATE(A44011, ""de"", ""en"")"),"grumble")</f>
        <v>grumble</v>
      </c>
    </row>
    <row r="44012">
      <c r="A44012" s="1" t="s">
        <v>44011</v>
      </c>
      <c r="B44012" s="2" t="str">
        <f>IFERROR(__xludf.DUMMYFUNCTION("GOOGLETRANSLATE(A44012, ""de"", ""en"")"),"dylans")</f>
        <v>dylans</v>
      </c>
    </row>
    <row r="44013">
      <c r="A44013" s="1" t="s">
        <v>44012</v>
      </c>
      <c r="B44013" s="2" t="str">
        <f>IFERROR(__xludf.DUMMYFUNCTION("GOOGLETRANSLATE(A44013, ""de"", ""en"")"),"dynamic")</f>
        <v>dynamic</v>
      </c>
    </row>
    <row r="44014">
      <c r="A44014" s="1" t="s">
        <v>44013</v>
      </c>
      <c r="B44014" s="2" t="str">
        <f>IFERROR(__xludf.DUMMYFUNCTION("GOOGLETRANSLATE(A44014, ""de"", ""en"")"),"pusher")</f>
        <v>pusher</v>
      </c>
    </row>
    <row r="44015">
      <c r="A44015" s="1" t="s">
        <v>44014</v>
      </c>
      <c r="B44015" s="2" t="str">
        <f>IFERROR(__xludf.DUMMYFUNCTION("GOOGLETRANSLATE(A44015, ""de"", ""en"")"),"rubble")</f>
        <v>rubble</v>
      </c>
    </row>
    <row r="44016">
      <c r="A44016" s="1" t="s">
        <v>44015</v>
      </c>
      <c r="B44016" s="2" t="str">
        <f>IFERROR(__xludf.DUMMYFUNCTION("GOOGLETRANSLATE(A44016, ""de"", ""en"")"),"nest")</f>
        <v>nest</v>
      </c>
    </row>
    <row r="44017">
      <c r="A44017" s="1" t="s">
        <v>44016</v>
      </c>
      <c r="B44017" s="2" t="str">
        <f>IFERROR(__xludf.DUMMYFUNCTION("GOOGLETRANSLATE(A44017, ""de"", ""en"")"),"kinney")</f>
        <v>kinney</v>
      </c>
    </row>
    <row r="44018">
      <c r="A44018" s="1" t="s">
        <v>44017</v>
      </c>
      <c r="B44018" s="2" t="str">
        <f>IFERROR(__xludf.DUMMYFUNCTION("GOOGLETRANSLATE(A44018, ""de"", ""en"")"),"gaalan")</f>
        <v>gaalan</v>
      </c>
    </row>
    <row r="44019">
      <c r="A44019" s="1" t="s">
        <v>44018</v>
      </c>
      <c r="B44019" s="2" t="str">
        <f>IFERROR(__xludf.DUMMYFUNCTION("GOOGLETRANSLATE(A44019, ""de"", ""en"")"),"Devin")</f>
        <v>Devin</v>
      </c>
    </row>
    <row r="44020">
      <c r="A44020" s="1" t="s">
        <v>44019</v>
      </c>
      <c r="B44020" s="2" t="str">
        <f>IFERROR(__xludf.DUMMYFUNCTION("GOOGLETRANSLATE(A44020, ""de"", ""en"")"),"Charlton")</f>
        <v>Charlton</v>
      </c>
    </row>
    <row r="44021">
      <c r="A44021" s="1" t="s">
        <v>44020</v>
      </c>
      <c r="B44021" s="2" t="str">
        <f>IFERROR(__xludf.DUMMYFUNCTION("GOOGLETRANSLATE(A44021, ""de"", ""en"")"),"chronic")</f>
        <v>chronic</v>
      </c>
    </row>
    <row r="44022">
      <c r="A44022" s="1" t="s">
        <v>44021</v>
      </c>
      <c r="B44022" s="2" t="str">
        <f>IFERROR(__xludf.DUMMYFUNCTION("GOOGLETRANSLATE(A44022, ""de"", ""en"")"),"randalls")</f>
        <v>randalls</v>
      </c>
    </row>
    <row r="44023">
      <c r="A44023" s="1" t="s">
        <v>44022</v>
      </c>
      <c r="B44023" s="2" t="str">
        <f>IFERROR(__xludf.DUMMYFUNCTION("GOOGLETRANSLATE(A44023, ""de"", ""en"")"),"clamped")</f>
        <v>clamped</v>
      </c>
    </row>
    <row r="44024">
      <c r="A44024" s="1" t="s">
        <v>44023</v>
      </c>
      <c r="B44024" s="2" t="str">
        <f>IFERROR(__xludf.DUMMYFUNCTION("GOOGLETRANSLATE(A44024, ""de"", ""en"")"),"jovan")</f>
        <v>jovan</v>
      </c>
    </row>
    <row r="44025">
      <c r="A44025" s="1" t="s">
        <v>44024</v>
      </c>
      <c r="B44025" s="2" t="str">
        <f>IFERROR(__xludf.DUMMYFUNCTION("GOOGLETRANSLATE(A44025, ""de"", ""en"")"),"ask in")</f>
        <v>ask in</v>
      </c>
    </row>
    <row r="44026">
      <c r="A44026" s="1" t="s">
        <v>44025</v>
      </c>
      <c r="B44026" s="2" t="str">
        <f>IFERROR(__xludf.DUMMYFUNCTION("GOOGLETRANSLATE(A44026, ""de"", ""en"")"),"arastoo")</f>
        <v>arastoo</v>
      </c>
    </row>
    <row r="44027">
      <c r="A44027" s="1" t="s">
        <v>44026</v>
      </c>
      <c r="B44027" s="2" t="str">
        <f>IFERROR(__xludf.DUMMYFUNCTION("GOOGLETRANSLATE(A44027, ""de"", ""en"")"),"shines")</f>
        <v>shines</v>
      </c>
    </row>
    <row r="44028">
      <c r="A44028" s="1" t="s">
        <v>44027</v>
      </c>
      <c r="B44028" s="2" t="str">
        <f>IFERROR(__xludf.DUMMYFUNCTION("GOOGLETRANSLATE(A44028, ""de"", ""en"")"),"harrow")</f>
        <v>harrow</v>
      </c>
    </row>
    <row r="44029">
      <c r="A44029" s="1" t="s">
        <v>44028</v>
      </c>
      <c r="B44029" s="2" t="str">
        <f>IFERROR(__xludf.DUMMYFUNCTION("GOOGLETRANSLATE(A44029, ""de"", ""en"")"),"farms")</f>
        <v>farms</v>
      </c>
    </row>
    <row r="44030">
      <c r="A44030" s="1" t="s">
        <v>44029</v>
      </c>
      <c r="B44030" s="2" t="str">
        <f>IFERROR(__xludf.DUMMYFUNCTION("GOOGLETRANSLATE(A44030, ""de"", ""en"")"),"edgars")</f>
        <v>edgars</v>
      </c>
    </row>
    <row r="44031">
      <c r="A44031" s="1" t="s">
        <v>44030</v>
      </c>
      <c r="B44031" s="2" t="str">
        <f>IFERROR(__xludf.DUMMYFUNCTION("GOOGLETRANSLATE(A44031, ""de"", ""en"")"),"protrudes")</f>
        <v>protrudes</v>
      </c>
    </row>
    <row r="44032">
      <c r="A44032" s="1" t="s">
        <v>44031</v>
      </c>
      <c r="B44032" s="2" t="str">
        <f>IFERROR(__xludf.DUMMYFUNCTION("GOOGLETRANSLATE(A44032, ""de"", ""en"")"),"move on")</f>
        <v>move on</v>
      </c>
    </row>
    <row r="44033">
      <c r="A44033" s="1" t="s">
        <v>44032</v>
      </c>
      <c r="B44033" s="2" t="str">
        <f>IFERROR(__xludf.DUMMYFUNCTION("GOOGLETRANSLATE(A44033, ""de"", ""en"")"),"special edition")</f>
        <v>special edition</v>
      </c>
    </row>
    <row r="44034">
      <c r="A44034" s="1" t="s">
        <v>44033</v>
      </c>
      <c r="B44034" s="2" t="str">
        <f>IFERROR(__xludf.DUMMYFUNCTION("GOOGLETRANSLATE(A44034, ""de"", ""en"")"),"emigrated")</f>
        <v>emigrated</v>
      </c>
    </row>
    <row r="44035">
      <c r="A44035" s="1" t="s">
        <v>44034</v>
      </c>
      <c r="B44035" s="2" t="str">
        <f>IFERROR(__xludf.DUMMYFUNCTION("GOOGLETRANSLATE(A44035, ""de"", ""en"")"),"failure")</f>
        <v>failure</v>
      </c>
    </row>
    <row r="44036">
      <c r="A44036" s="1" t="s">
        <v>44035</v>
      </c>
      <c r="B44036" s="2" t="str">
        <f>IFERROR(__xludf.DUMMYFUNCTION("GOOGLETRANSLATE(A44036, ""de"", ""en"")"),"freezer")</f>
        <v>freezer</v>
      </c>
    </row>
    <row r="44037">
      <c r="A44037" s="1" t="s">
        <v>44036</v>
      </c>
      <c r="B44037" s="2" t="str">
        <f>IFERROR(__xludf.DUMMYFUNCTION("GOOGLETRANSLATE(A44037, ""de"", ""en"")"),"hiv positive")</f>
        <v>hiv positive</v>
      </c>
    </row>
    <row r="44038">
      <c r="A44038" s="1" t="s">
        <v>44037</v>
      </c>
      <c r="B44038" s="2" t="str">
        <f>IFERROR(__xludf.DUMMYFUNCTION("GOOGLETRANSLATE(A44038, ""de"", ""en"")"),"witness")</f>
        <v>witness</v>
      </c>
    </row>
    <row r="44039">
      <c r="A44039" s="1" t="s">
        <v>44038</v>
      </c>
      <c r="B44039" s="2" t="str">
        <f>IFERROR(__xludf.DUMMYFUNCTION("GOOGLETRANSLATE(A44039, ""de"", ""en"")"),"cottle")</f>
        <v>cottle</v>
      </c>
    </row>
    <row r="44040">
      <c r="A44040" s="1" t="s">
        <v>44039</v>
      </c>
      <c r="B44040" s="2" t="str">
        <f>IFERROR(__xludf.DUMMYFUNCTION("GOOGLETRANSLATE(A44040, ""de"", ""en"")"),"starving")</f>
        <v>starving</v>
      </c>
    </row>
    <row r="44041">
      <c r="A44041" s="1" t="s">
        <v>44040</v>
      </c>
      <c r="B44041" s="2" t="str">
        <f>IFERROR(__xludf.DUMMYFUNCTION("GOOGLETRANSLATE(A44041, ""de"", ""en"")"),"parish")</f>
        <v>parish</v>
      </c>
    </row>
    <row r="44042">
      <c r="A44042" s="1" t="s">
        <v>44041</v>
      </c>
      <c r="B44042" s="2" t="str">
        <f>IFERROR(__xludf.DUMMYFUNCTION("GOOGLETRANSLATE(A44042, ""de"", ""en"")"),"time zone")</f>
        <v>time zone</v>
      </c>
    </row>
    <row r="44043">
      <c r="A44043" s="1" t="s">
        <v>44042</v>
      </c>
      <c r="B44043" s="2" t="str">
        <f>IFERROR(__xludf.DUMMYFUNCTION("GOOGLETRANSLATE(A44043, ""de"", ""en"")"),"refusal")</f>
        <v>refusal</v>
      </c>
    </row>
    <row r="44044">
      <c r="A44044" s="1" t="s">
        <v>44043</v>
      </c>
      <c r="B44044" s="2" t="str">
        <f>IFERROR(__xludf.DUMMYFUNCTION("GOOGLETRANSLATE(A44044, ""de"", ""en"")"),"calm down")</f>
        <v>calm down</v>
      </c>
    </row>
    <row r="44045">
      <c r="A44045" s="1" t="s">
        <v>44044</v>
      </c>
      <c r="B44045" s="2" t="str">
        <f>IFERROR(__xludf.DUMMYFUNCTION("GOOGLETRANSLATE(A44045, ""de"", ""en"")"),"confuse")</f>
        <v>confuse</v>
      </c>
    </row>
    <row r="44046">
      <c r="A44046" s="1" t="s">
        <v>44045</v>
      </c>
      <c r="B44046" s="2" t="str">
        <f>IFERROR(__xludf.DUMMYFUNCTION("GOOGLETRANSLATE(A44046, ""de"", ""en"")"),"newlin")</f>
        <v>newlin</v>
      </c>
    </row>
    <row r="44047">
      <c r="A44047" s="1" t="s">
        <v>44046</v>
      </c>
      <c r="B44047" s="2" t="str">
        <f>IFERROR(__xludf.DUMMYFUNCTION("GOOGLETRANSLATE(A44047, ""de"", ""en"")"),"catalog")</f>
        <v>catalog</v>
      </c>
    </row>
    <row r="44048">
      <c r="A44048" s="1" t="s">
        <v>44047</v>
      </c>
      <c r="B44048" s="2" t="str">
        <f>IFERROR(__xludf.DUMMYFUNCTION("GOOGLETRANSLATE(A44048, ""de"", ""en"")"),"constructed")</f>
        <v>constructed</v>
      </c>
    </row>
    <row r="44049">
      <c r="A44049" s="1" t="s">
        <v>44048</v>
      </c>
      <c r="B44049" s="2" t="str">
        <f>IFERROR(__xludf.DUMMYFUNCTION("GOOGLETRANSLATE(A44049, ""de"", ""en"")"),"start sequence")</f>
        <v>start sequence</v>
      </c>
    </row>
    <row r="44050">
      <c r="A44050" s="1" t="s">
        <v>44049</v>
      </c>
      <c r="B44050" s="2" t="str">
        <f>IFERROR(__xludf.DUMMYFUNCTION("GOOGLETRANSLATE(A44050, ""de"", ""en"")"),"steelworks")</f>
        <v>steelworks</v>
      </c>
    </row>
    <row r="44051">
      <c r="A44051" s="1" t="s">
        <v>44050</v>
      </c>
      <c r="B44051" s="2" t="str">
        <f>IFERROR(__xludf.DUMMYFUNCTION("GOOGLETRANSLATE(A44051, ""de"", ""en"")"),"farm workers")</f>
        <v>farm workers</v>
      </c>
    </row>
    <row r="44052">
      <c r="A44052" s="1" t="s">
        <v>44051</v>
      </c>
      <c r="B44052" s="2" t="str">
        <f>IFERROR(__xludf.DUMMYFUNCTION("GOOGLETRANSLATE(A44052, ""de"", ""en"")"),"gizmo")</f>
        <v>gizmo</v>
      </c>
    </row>
    <row r="44053">
      <c r="A44053" s="1" t="s">
        <v>44052</v>
      </c>
      <c r="B44053" s="2" t="str">
        <f>IFERROR(__xludf.DUMMYFUNCTION("GOOGLETRANSLATE(A44053, ""de"", ""en"")"),"gennà")</f>
        <v>gennà</v>
      </c>
    </row>
    <row r="44054">
      <c r="A44054" s="1" t="s">
        <v>44053</v>
      </c>
      <c r="B44054" s="2" t="str">
        <f>IFERROR(__xludf.DUMMYFUNCTION("GOOGLETRANSLATE(A44054, ""de"", ""en"")"),"pit stop")</f>
        <v>pit stop</v>
      </c>
    </row>
    <row r="44055">
      <c r="A44055" s="1" t="s">
        <v>44054</v>
      </c>
      <c r="B44055" s="2" t="str">
        <f>IFERROR(__xludf.DUMMYFUNCTION("GOOGLETRANSLATE(A44055, ""de"", ""en"")"),"senior sergeant")</f>
        <v>senior sergeant</v>
      </c>
    </row>
    <row r="44056">
      <c r="A44056" s="1" t="s">
        <v>44055</v>
      </c>
      <c r="B44056" s="2" t="str">
        <f>IFERROR(__xludf.DUMMYFUNCTION("GOOGLETRANSLATE(A44056, ""de"", ""en"")"),"emergency power")</f>
        <v>emergency power</v>
      </c>
    </row>
    <row r="44057">
      <c r="A44057" s="1" t="s">
        <v>44056</v>
      </c>
      <c r="B44057" s="2" t="str">
        <f>IFERROR(__xludf.DUMMYFUNCTION("GOOGLETRANSLATE(A44057, ""de"", ""en"")"),"archy")</f>
        <v>archy</v>
      </c>
    </row>
    <row r="44058">
      <c r="A44058" s="1" t="s">
        <v>44057</v>
      </c>
      <c r="B44058" s="2" t="str">
        <f>IFERROR(__xludf.DUMMYFUNCTION("GOOGLETRANSLATE(A44058, ""de"", ""en"")"),"bind")</f>
        <v>bind</v>
      </c>
    </row>
    <row r="44059">
      <c r="A44059" s="1" t="s">
        <v>44058</v>
      </c>
      <c r="B44059" s="2" t="str">
        <f>IFERROR(__xludf.DUMMYFUNCTION("GOOGLETRANSLATE(A44059, ""de"", ""en"")"),"death struggle")</f>
        <v>death struggle</v>
      </c>
    </row>
    <row r="44060">
      <c r="A44060" s="1" t="s">
        <v>44059</v>
      </c>
      <c r="B44060" s="2" t="str">
        <f>IFERROR(__xludf.DUMMYFUNCTION("GOOGLETRANSLATE(A44060, ""de"", ""en"")"),"hippo")</f>
        <v>hippo</v>
      </c>
    </row>
    <row r="44061">
      <c r="A44061" s="1" t="s">
        <v>44060</v>
      </c>
      <c r="B44061" s="2" t="str">
        <f>IFERROR(__xludf.DUMMYFUNCTION("GOOGLETRANSLATE(A44061, ""de"", ""en"")"),"ice queen")</f>
        <v>ice queen</v>
      </c>
    </row>
    <row r="44062">
      <c r="A44062" s="1" t="s">
        <v>44061</v>
      </c>
      <c r="B44062" s="2" t="str">
        <f>IFERROR(__xludf.DUMMYFUNCTION("GOOGLETRANSLATE(A44062, ""de"", ""en"")"),"quarter")</f>
        <v>quarter</v>
      </c>
    </row>
    <row r="44063">
      <c r="A44063" s="1" t="s">
        <v>44062</v>
      </c>
      <c r="B44063" s="2" t="str">
        <f>IFERROR(__xludf.DUMMYFUNCTION("GOOGLETRANSLATE(A44063, ""de"", ""en"")"),"spots")</f>
        <v>spots</v>
      </c>
    </row>
    <row r="44064">
      <c r="A44064" s="1" t="s">
        <v>44063</v>
      </c>
      <c r="B44064" s="2" t="str">
        <f>IFERROR(__xludf.DUMMYFUNCTION("GOOGLETRANSLATE(A44064, ""de"", ""en"")"),"newtons")</f>
        <v>newtons</v>
      </c>
    </row>
    <row r="44065">
      <c r="A44065" s="1" t="s">
        <v>44064</v>
      </c>
      <c r="B44065" s="2" t="str">
        <f>IFERROR(__xludf.DUMMYFUNCTION("GOOGLETRANSLATE(A44065, ""de"", ""en"")"),"naked")</f>
        <v>naked</v>
      </c>
    </row>
    <row r="44066">
      <c r="A44066" s="1" t="s">
        <v>44065</v>
      </c>
      <c r="B44066" s="2" t="str">
        <f>IFERROR(__xludf.DUMMYFUNCTION("GOOGLETRANSLATE(A44066, ""de"", ""en"")"),"rook")</f>
        <v>rook</v>
      </c>
    </row>
    <row r="44067">
      <c r="A44067" s="1" t="s">
        <v>44066</v>
      </c>
      <c r="B44067" s="2" t="str">
        <f>IFERROR(__xludf.DUMMYFUNCTION("GOOGLETRANSLATE(A44067, ""de"", ""en"")"),"vomits")</f>
        <v>vomits</v>
      </c>
    </row>
    <row r="44068">
      <c r="A44068" s="1" t="s">
        <v>44067</v>
      </c>
      <c r="B44068" s="2" t="str">
        <f>IFERROR(__xludf.DUMMYFUNCTION("GOOGLETRANSLATE(A44068, ""de"", ""en"")"),"squeezes")</f>
        <v>squeezes</v>
      </c>
    </row>
    <row r="44069">
      <c r="A44069" s="1" t="s">
        <v>44068</v>
      </c>
      <c r="B44069" s="2" t="str">
        <f>IFERROR(__xludf.DUMMYFUNCTION("GOOGLETRANSLATE(A44069, ""de"", ""en"")"),"to tow away")</f>
        <v>to tow away</v>
      </c>
    </row>
    <row r="44070">
      <c r="A44070" s="1" t="s">
        <v>44069</v>
      </c>
      <c r="B44070" s="2" t="str">
        <f>IFERROR(__xludf.DUMMYFUNCTION("GOOGLETRANSLATE(A44070, ""de"", ""en"")"),"disagree")</f>
        <v>disagree</v>
      </c>
    </row>
    <row r="44071">
      <c r="A44071" s="1" t="s">
        <v>44070</v>
      </c>
      <c r="B44071" s="2" t="str">
        <f>IFERROR(__xludf.DUMMYFUNCTION("GOOGLETRANSLATE(A44071, ""de"", ""en"")"),"liras")</f>
        <v>liras</v>
      </c>
    </row>
    <row r="44072">
      <c r="A44072" s="1" t="s">
        <v>44071</v>
      </c>
      <c r="B44072" s="2" t="str">
        <f>IFERROR(__xludf.DUMMYFUNCTION("GOOGLETRANSLATE(A44072, ""de"", ""en"")"),"improper")</f>
        <v>improper</v>
      </c>
    </row>
    <row r="44073">
      <c r="A44073" s="1" t="s">
        <v>44072</v>
      </c>
      <c r="B44073" s="2" t="str">
        <f>IFERROR(__xludf.DUMMYFUNCTION("GOOGLETRANSLATE(A44073, ""de"", ""en"")"),"obtuse")</f>
        <v>obtuse</v>
      </c>
    </row>
    <row r="44074">
      <c r="A44074" s="1" t="s">
        <v>44073</v>
      </c>
      <c r="B44074" s="2" t="str">
        <f>IFERROR(__xludf.DUMMYFUNCTION("GOOGLETRANSLATE(A44074, ""de"", ""en"")"),"unfortunate")</f>
        <v>unfortunate</v>
      </c>
    </row>
    <row r="44075">
      <c r="A44075" s="1" t="s">
        <v>44074</v>
      </c>
      <c r="B44075" s="2" t="str">
        <f>IFERROR(__xludf.DUMMYFUNCTION("GOOGLETRANSLATE(A44075, ""de"", ""en"")"),"maids")</f>
        <v>maids</v>
      </c>
    </row>
    <row r="44076">
      <c r="A44076" s="1" t="s">
        <v>44075</v>
      </c>
      <c r="B44076" s="2" t="str">
        <f>IFERROR(__xludf.DUMMYFUNCTION("GOOGLETRANSLATE(A44076, ""de"", ""en"")"),"rot")</f>
        <v>rot</v>
      </c>
    </row>
    <row r="44077">
      <c r="A44077" s="1" t="s">
        <v>44076</v>
      </c>
      <c r="B44077" s="2" t="str">
        <f>IFERROR(__xludf.DUMMYFUNCTION("GOOGLETRANSLATE(A44077, ""de"", ""en"")"),"huge hunger")</f>
        <v>huge hunger</v>
      </c>
    </row>
    <row r="44078">
      <c r="A44078" s="1" t="s">
        <v>44077</v>
      </c>
      <c r="B44078" s="2" t="str">
        <f>IFERROR(__xludf.DUMMYFUNCTION("GOOGLETRANSLATE(A44078, ""de"", ""en"")"),"exhilarated")</f>
        <v>exhilarated</v>
      </c>
    </row>
    <row r="44079">
      <c r="A44079" s="1" t="s">
        <v>44078</v>
      </c>
      <c r="B44079" s="2" t="str">
        <f>IFERROR(__xludf.DUMMYFUNCTION("GOOGLETRANSLATE(A44079, ""de"", ""en"")"),"wallenstein")</f>
        <v>wallenstein</v>
      </c>
    </row>
    <row r="44080">
      <c r="A44080" s="1" t="s">
        <v>44079</v>
      </c>
      <c r="B44080" s="2" t="str">
        <f>IFERROR(__xludf.DUMMYFUNCTION("GOOGLETRANSLATE(A44080, ""de"", ""en"")"),"burns")</f>
        <v>burns</v>
      </c>
    </row>
    <row r="44081">
      <c r="A44081" s="1" t="s">
        <v>44080</v>
      </c>
      <c r="B44081" s="2" t="str">
        <f>IFERROR(__xludf.DUMMYFUNCTION("GOOGLETRANSLATE(A44081, ""de"", ""en"")"),"fleece")</f>
        <v>fleece</v>
      </c>
    </row>
    <row r="44082">
      <c r="A44082" s="1" t="s">
        <v>44081</v>
      </c>
      <c r="B44082" s="2" t="str">
        <f>IFERROR(__xludf.DUMMYFUNCTION("GOOGLETRANSLATE(A44082, ""de"", ""en"")"),"leaked")</f>
        <v>leaked</v>
      </c>
    </row>
    <row r="44083">
      <c r="A44083" s="1" t="s">
        <v>44082</v>
      </c>
      <c r="B44083" s="2" t="str">
        <f>IFERROR(__xludf.DUMMYFUNCTION("GOOGLETRANSLATE(A44083, ""de"", ""en"")"),"warn")</f>
        <v>warn</v>
      </c>
    </row>
    <row r="44084">
      <c r="A44084" s="1" t="s">
        <v>44083</v>
      </c>
      <c r="B44084" s="2" t="str">
        <f>IFERROR(__xludf.DUMMYFUNCTION("GOOGLETRANSLATE(A44084, ""de"", ""en"")"),"location")</f>
        <v>location</v>
      </c>
    </row>
    <row r="44085">
      <c r="A44085" s="1" t="s">
        <v>44084</v>
      </c>
      <c r="B44085" s="2" t="str">
        <f>IFERROR(__xludf.DUMMYFUNCTION("GOOGLETRANSLATE(A44085, ""de"", ""en"")"),"Eureka")</f>
        <v>Eureka</v>
      </c>
    </row>
    <row r="44086">
      <c r="A44086" s="1" t="s">
        <v>44085</v>
      </c>
      <c r="B44086" s="2" t="str">
        <f>IFERROR(__xludf.DUMMYFUNCTION("GOOGLETRANSLATE(A44086, ""de"", ""en"")"),"get")</f>
        <v>get</v>
      </c>
    </row>
    <row r="44087">
      <c r="A44087" s="1" t="s">
        <v>44086</v>
      </c>
      <c r="B44087" s="2" t="str">
        <f>IFERROR(__xludf.DUMMYFUNCTION("GOOGLETRANSLATE(A44087, ""de"", ""en"")"),"discharge")</f>
        <v>discharge</v>
      </c>
    </row>
    <row r="44088">
      <c r="A44088" s="1" t="s">
        <v>44087</v>
      </c>
      <c r="B44088" s="2" t="str">
        <f>IFERROR(__xludf.DUMMYFUNCTION("GOOGLETRANSLATE(A44088, ""de"", ""en"")"),"brittle")</f>
        <v>brittle</v>
      </c>
    </row>
    <row r="44089">
      <c r="A44089" s="1" t="s">
        <v>44088</v>
      </c>
      <c r="B44089" s="2" t="str">
        <f>IFERROR(__xludf.DUMMYFUNCTION("GOOGLETRANSLATE(A44089, ""de"", ""en"")"),"ongoing")</f>
        <v>ongoing</v>
      </c>
    </row>
    <row r="44090">
      <c r="A44090" s="1" t="s">
        <v>44089</v>
      </c>
      <c r="B44090" s="2" t="str">
        <f>IFERROR(__xludf.DUMMYFUNCTION("GOOGLETRANSLATE(A44090, ""de"", ""en"")"),"modak")</f>
        <v>modak</v>
      </c>
    </row>
    <row r="44091">
      <c r="A44091" s="1" t="s">
        <v>44090</v>
      </c>
      <c r="B44091" s="2" t="str">
        <f>IFERROR(__xludf.DUMMYFUNCTION("GOOGLETRANSLATE(A44091, ""de"", ""en"")"),"outlines")</f>
        <v>outlines</v>
      </c>
    </row>
    <row r="44092">
      <c r="A44092" s="1" t="s">
        <v>44091</v>
      </c>
      <c r="B44092" s="2" t="str">
        <f>IFERROR(__xludf.DUMMYFUNCTION("GOOGLETRANSLATE(A44092, ""de"", ""en"")"),"caps")</f>
        <v>caps</v>
      </c>
    </row>
    <row r="44093">
      <c r="A44093" s="1" t="s">
        <v>44092</v>
      </c>
      <c r="B44093" s="2" t="str">
        <f>IFERROR(__xludf.DUMMYFUNCTION("GOOGLETRANSLATE(A44093, ""de"", ""en"")"),"shooting stars")</f>
        <v>shooting stars</v>
      </c>
    </row>
    <row r="44094">
      <c r="A44094" s="1" t="s">
        <v>44093</v>
      </c>
      <c r="B44094" s="2" t="str">
        <f>IFERROR(__xludf.DUMMYFUNCTION("GOOGLETRANSLATE(A44094, ""de"", ""en"")"),"monden")</f>
        <v>monden</v>
      </c>
    </row>
    <row r="44095">
      <c r="A44095" s="1" t="s">
        <v>44094</v>
      </c>
      <c r="B44095" s="2" t="str">
        <f>IFERROR(__xludf.DUMMYFUNCTION("GOOGLETRANSLATE(A44095, ""de"", ""en"")"),"continent")</f>
        <v>continent</v>
      </c>
    </row>
    <row r="44096">
      <c r="A44096" s="1" t="s">
        <v>44095</v>
      </c>
      <c r="B44096" s="2" t="str">
        <f>IFERROR(__xludf.DUMMYFUNCTION("GOOGLETRANSLATE(A44096, ""de"", ""en"")"),"magic")</f>
        <v>magic</v>
      </c>
    </row>
    <row r="44097">
      <c r="A44097" s="1" t="s">
        <v>44096</v>
      </c>
      <c r="B44097" s="2" t="str">
        <f>IFERROR(__xludf.DUMMYFUNCTION("GOOGLETRANSLATE(A44097, ""de"", ""en"")"),"jewelry box")</f>
        <v>jewelry box</v>
      </c>
    </row>
    <row r="44098">
      <c r="A44098" s="1" t="s">
        <v>44097</v>
      </c>
      <c r="B44098" s="2" t="str">
        <f>IFERROR(__xludf.DUMMYFUNCTION("GOOGLETRANSLATE(A44098, ""de"", ""en"")"),"humanly possible")</f>
        <v>humanly possible</v>
      </c>
    </row>
    <row r="44099">
      <c r="A44099" s="1" t="s">
        <v>44098</v>
      </c>
      <c r="B44099" s="2" t="str">
        <f>IFERROR(__xludf.DUMMYFUNCTION("GOOGLETRANSLATE(A44099, ""de"", ""en"")"),"magnets")</f>
        <v>magnets</v>
      </c>
    </row>
    <row r="44100">
      <c r="A44100" s="1" t="s">
        <v>44099</v>
      </c>
      <c r="B44100" s="2" t="str">
        <f>IFERROR(__xludf.DUMMYFUNCTION("GOOGLETRANSLATE(A44100, ""de"", ""en"")"),"spun")</f>
        <v>spun</v>
      </c>
    </row>
    <row r="44101">
      <c r="A44101" s="1" t="s">
        <v>44100</v>
      </c>
      <c r="B44101" s="2" t="str">
        <f>IFERROR(__xludf.DUMMYFUNCTION("GOOGLETRANSLATE(A44101, ""de"", ""en"")"),"says")</f>
        <v>says</v>
      </c>
    </row>
    <row r="44102">
      <c r="A44102" s="1" t="s">
        <v>44101</v>
      </c>
      <c r="B44102" s="2" t="str">
        <f>IFERROR(__xludf.DUMMYFUNCTION("GOOGLETRANSLATE(A44102, ""de"", ""en"")"),"Margaret")</f>
        <v>Margaret</v>
      </c>
    </row>
    <row r="44103">
      <c r="A44103" s="1" t="s">
        <v>44102</v>
      </c>
      <c r="B44103" s="2" t="str">
        <f>IFERROR(__xludf.DUMMYFUNCTION("GOOGLETRANSLATE(A44103, ""de"", ""en"")"),"christines")</f>
        <v>christines</v>
      </c>
    </row>
    <row r="44104">
      <c r="A44104" s="1" t="s">
        <v>44103</v>
      </c>
      <c r="B44104" s="2" t="str">
        <f>IFERROR(__xludf.DUMMYFUNCTION("GOOGLETRANSLATE(A44104, ""de"", ""en"")"),"more automatic")</f>
        <v>more automatic</v>
      </c>
    </row>
    <row r="44105">
      <c r="A44105" s="1" t="s">
        <v>44104</v>
      </c>
      <c r="B44105" s="2" t="str">
        <f>IFERROR(__xludf.DUMMYFUNCTION("GOOGLETRANSLATE(A44105, ""de"", ""en"")"),"fishing hook")</f>
        <v>fishing hook</v>
      </c>
    </row>
    <row r="44106">
      <c r="A44106" s="1" t="s">
        <v>44105</v>
      </c>
      <c r="B44106" s="2" t="str">
        <f>IFERROR(__xludf.DUMMYFUNCTION("GOOGLETRANSLATE(A44106, ""de"", ""en"")"),"plot")</f>
        <v>plot</v>
      </c>
    </row>
    <row r="44107">
      <c r="A44107" s="1" t="s">
        <v>44106</v>
      </c>
      <c r="B44107" s="2" t="str">
        <f>IFERROR(__xludf.DUMMYFUNCTION("GOOGLETRANSLATE(A44107, ""de"", ""en"")"),"typo")</f>
        <v>typo</v>
      </c>
    </row>
    <row r="44108">
      <c r="A44108" s="1" t="s">
        <v>44107</v>
      </c>
      <c r="B44108" s="2" t="str">
        <f>IFERROR(__xludf.DUMMYFUNCTION("GOOGLETRANSLATE(A44108, ""de"", ""en"")"),"aviation")</f>
        <v>aviation</v>
      </c>
    </row>
    <row r="44109">
      <c r="A44109" s="1" t="s">
        <v>44108</v>
      </c>
      <c r="B44109" s="2" t="str">
        <f>IFERROR(__xludf.DUMMYFUNCTION("GOOGLETRANSLATE(A44109, ""de"", ""en"")"),"donut")</f>
        <v>donut</v>
      </c>
    </row>
    <row r="44110">
      <c r="A44110" s="1" t="s">
        <v>44109</v>
      </c>
      <c r="B44110" s="2" t="str">
        <f>IFERROR(__xludf.DUMMYFUNCTION("GOOGLETRANSLATE(A44110, ""de"", ""en"")"),"shally")</f>
        <v>shally</v>
      </c>
    </row>
    <row r="44111">
      <c r="A44111" s="1" t="s">
        <v>44110</v>
      </c>
      <c r="B44111" s="2" t="str">
        <f>IFERROR(__xludf.DUMMYFUNCTION("GOOGLETRANSLATE(A44111, ""de"", ""en"")"),"fought for")</f>
        <v>fought for</v>
      </c>
    </row>
    <row r="44112">
      <c r="A44112" s="1" t="s">
        <v>44111</v>
      </c>
      <c r="B44112" s="2" t="str">
        <f>IFERROR(__xludf.DUMMYFUNCTION("GOOGLETRANSLATE(A44112, ""de"", ""en"")"),"Klingon")</f>
        <v>Klingon</v>
      </c>
    </row>
    <row r="44113">
      <c r="A44113" s="1" t="s">
        <v>44112</v>
      </c>
      <c r="B44113" s="2" t="str">
        <f>IFERROR(__xludf.DUMMYFUNCTION("GOOGLETRANSLATE(A44113, ""de"", ""en"")"),"incumbent")</f>
        <v>incumbent</v>
      </c>
    </row>
    <row r="44114">
      <c r="A44114" s="1" t="s">
        <v>44113</v>
      </c>
      <c r="B44114" s="2" t="str">
        <f>IFERROR(__xludf.DUMMYFUNCTION("GOOGLETRANSLATE(A44114, ""de"", ""en"")"),"coffee mug")</f>
        <v>coffee mug</v>
      </c>
    </row>
    <row r="44115">
      <c r="A44115" s="1" t="s">
        <v>44114</v>
      </c>
      <c r="B44115" s="2" t="str">
        <f>IFERROR(__xludf.DUMMYFUNCTION("GOOGLETRANSLATE(A44115, ""de"", ""en"")"),"Silvana")</f>
        <v>Silvana</v>
      </c>
    </row>
    <row r="44116">
      <c r="A44116" s="1" t="s">
        <v>44115</v>
      </c>
      <c r="B44116" s="2" t="str">
        <f>IFERROR(__xludf.DUMMYFUNCTION("GOOGLETRANSLATE(A44116, ""de"", ""en"")"),"ongoing")</f>
        <v>ongoing</v>
      </c>
    </row>
    <row r="44117">
      <c r="A44117" s="1" t="s">
        <v>44116</v>
      </c>
      <c r="B44117" s="2" t="str">
        <f>IFERROR(__xludf.DUMMYFUNCTION("GOOGLETRANSLATE(A44117, ""de"", ""en"")"),"protect")</f>
        <v>protect</v>
      </c>
    </row>
    <row r="44118">
      <c r="A44118" s="1" t="s">
        <v>44117</v>
      </c>
      <c r="B44118" s="2" t="str">
        <f>IFERROR(__xludf.DUMMYFUNCTION("GOOGLETRANSLATE(A44118, ""de"", ""en"")"),"piano lessons")</f>
        <v>piano lessons</v>
      </c>
    </row>
    <row r="44119">
      <c r="A44119" s="1" t="s">
        <v>44118</v>
      </c>
      <c r="B44119" s="2" t="str">
        <f>IFERROR(__xludf.DUMMYFUNCTION("GOOGLETRANSLATE(A44119, ""de"", ""en"")"),"squandered")</f>
        <v>squandered</v>
      </c>
    </row>
    <row r="44120">
      <c r="A44120" s="1" t="s">
        <v>44119</v>
      </c>
      <c r="B44120" s="2" t="str">
        <f>IFERROR(__xludf.DUMMYFUNCTION("GOOGLETRANSLATE(A44120, ""de"", ""en"")"),"ginn")</f>
        <v>ginn</v>
      </c>
    </row>
    <row r="44121">
      <c r="A44121" s="1" t="s">
        <v>44120</v>
      </c>
      <c r="B44121" s="2" t="str">
        <f>IFERROR(__xludf.DUMMYFUNCTION("GOOGLETRANSLATE(A44121, ""de"", ""en"")"),"casual")</f>
        <v>casual</v>
      </c>
    </row>
    <row r="44122">
      <c r="A44122" s="1" t="s">
        <v>44121</v>
      </c>
      <c r="B44122" s="2" t="str">
        <f>IFERROR(__xludf.DUMMYFUNCTION("GOOGLETRANSLATE(A44122, ""de"", ""en"")"),"cordell")</f>
        <v>cordell</v>
      </c>
    </row>
    <row r="44123">
      <c r="A44123" s="1" t="s">
        <v>44122</v>
      </c>
      <c r="B44123" s="2" t="str">
        <f>IFERROR(__xludf.DUMMYFUNCTION("GOOGLETRANSLATE(A44123, ""de"", ""en"")"),"amyas")</f>
        <v>amyas</v>
      </c>
    </row>
    <row r="44124">
      <c r="A44124" s="1" t="s">
        <v>44123</v>
      </c>
      <c r="B44124" s="2" t="str">
        <f>IFERROR(__xludf.DUMMYFUNCTION("GOOGLETRANSLATE(A44124, ""de"", ""en"")"),"shared")</f>
        <v>shared</v>
      </c>
    </row>
    <row r="44125">
      <c r="A44125" s="1" t="s">
        <v>44124</v>
      </c>
      <c r="B44125" s="2" t="str">
        <f>IFERROR(__xludf.DUMMYFUNCTION("GOOGLETRANSLATE(A44125, ""de"", ""en"")"),"punchy")</f>
        <v>punchy</v>
      </c>
    </row>
    <row r="44126">
      <c r="A44126" s="1" t="s">
        <v>44125</v>
      </c>
      <c r="B44126" s="2" t="str">
        <f>IFERROR(__xludf.DUMMYFUNCTION("GOOGLETRANSLATE(A44126, ""de"", ""en"")"),"quai")</f>
        <v>quai</v>
      </c>
    </row>
    <row r="44127">
      <c r="A44127" s="1" t="s">
        <v>44126</v>
      </c>
      <c r="B44127" s="2" t="str">
        <f>IFERROR(__xludf.DUMMYFUNCTION("GOOGLETRANSLATE(A44127, ""de"", ""en"")"),"give back")</f>
        <v>give back</v>
      </c>
    </row>
    <row r="44128">
      <c r="A44128" s="1" t="s">
        <v>44127</v>
      </c>
      <c r="B44128" s="2" t="str">
        <f>IFERROR(__xludf.DUMMYFUNCTION("GOOGLETRANSLATE(A44128, ""de"", ""en"")"),"second largest")</f>
        <v>second largest</v>
      </c>
    </row>
    <row r="44129">
      <c r="A44129" s="1" t="s">
        <v>44128</v>
      </c>
      <c r="B44129" s="2" t="str">
        <f>IFERROR(__xludf.DUMMYFUNCTION("GOOGLETRANSLATE(A44129, ""de"", ""en"")"),"frobisher")</f>
        <v>frobisher</v>
      </c>
    </row>
    <row r="44130">
      <c r="A44130" s="1" t="s">
        <v>44129</v>
      </c>
      <c r="B44130" s="2" t="str">
        <f>IFERROR(__xludf.DUMMYFUNCTION("GOOGLETRANSLATE(A44130, ""de"", ""en"")"),"rally")</f>
        <v>rally</v>
      </c>
    </row>
    <row r="44131">
      <c r="A44131" s="1" t="s">
        <v>44130</v>
      </c>
      <c r="B44131" s="2" t="str">
        <f>IFERROR(__xludf.DUMMYFUNCTION("GOOGLETRANSLATE(A44131, ""de"", ""en"")"),"soft tissues")</f>
        <v>soft tissues</v>
      </c>
    </row>
    <row r="44132">
      <c r="A44132" s="1" t="s">
        <v>44131</v>
      </c>
      <c r="B44132" s="2" t="str">
        <f>IFERROR(__xludf.DUMMYFUNCTION("GOOGLETRANSLATE(A44132, ""de"", ""en"")"),"hightower")</f>
        <v>hightower</v>
      </c>
    </row>
    <row r="44133">
      <c r="A44133" s="1" t="s">
        <v>44132</v>
      </c>
      <c r="B44133" s="2" t="str">
        <f>IFERROR(__xludf.DUMMYFUNCTION("GOOGLETRANSLATE(A44133, ""de"", ""en"")"),"institutions")</f>
        <v>institutions</v>
      </c>
    </row>
    <row r="44134">
      <c r="A44134" s="1" t="s">
        <v>44133</v>
      </c>
      <c r="B44134" s="2" t="str">
        <f>IFERROR(__xludf.DUMMYFUNCTION("GOOGLETRANSLATE(A44134, ""de"", ""en"")"),"zwieback")</f>
        <v>zwieback</v>
      </c>
    </row>
    <row r="44135">
      <c r="A44135" s="1" t="s">
        <v>44134</v>
      </c>
      <c r="B44135" s="2" t="str">
        <f>IFERROR(__xludf.DUMMYFUNCTION("GOOGLETRANSLATE(A44135, ""de"", ""en"")"),"moaning")</f>
        <v>moaning</v>
      </c>
    </row>
    <row r="44136">
      <c r="A44136" s="1" t="s">
        <v>44135</v>
      </c>
      <c r="B44136" s="2" t="str">
        <f>IFERROR(__xludf.DUMMYFUNCTION("GOOGLETRANSLATE(A44136, ""de"", ""en"")"),"esta")</f>
        <v>esta</v>
      </c>
    </row>
    <row r="44137">
      <c r="A44137" s="1" t="s">
        <v>44136</v>
      </c>
      <c r="B44137" s="2" t="str">
        <f>IFERROR(__xludf.DUMMYFUNCTION("GOOGLETRANSLATE(A44137, ""de"", ""en"")"),"economic")</f>
        <v>economic</v>
      </c>
    </row>
    <row r="44138">
      <c r="A44138" s="1" t="s">
        <v>44137</v>
      </c>
      <c r="B44138" s="2" t="str">
        <f>IFERROR(__xludf.DUMMYFUNCTION("GOOGLETRANSLATE(A44138, ""de"", ""en"")"),"continued")</f>
        <v>continued</v>
      </c>
    </row>
    <row r="44139">
      <c r="A44139" s="1" t="s">
        <v>44138</v>
      </c>
      <c r="B44139" s="2" t="str">
        <f>IFERROR(__xludf.DUMMYFUNCTION("GOOGLETRANSLATE(A44139, ""de"", ""en"")"),"fight for")</f>
        <v>fight for</v>
      </c>
    </row>
    <row r="44140">
      <c r="A44140" s="1" t="s">
        <v>44139</v>
      </c>
      <c r="B44140" s="2" t="str">
        <f>IFERROR(__xludf.DUMMYFUNCTION("GOOGLETRANSLATE(A44140, ""de"", ""en"")"),"interchangeable")</f>
        <v>interchangeable</v>
      </c>
    </row>
    <row r="44141">
      <c r="A44141" s="1" t="s">
        <v>44140</v>
      </c>
      <c r="B44141" s="2" t="str">
        <f>IFERROR(__xludf.DUMMYFUNCTION("GOOGLETRANSLATE(A44141, ""de"", ""en"")"),"spinner")</f>
        <v>spinner</v>
      </c>
    </row>
    <row r="44142">
      <c r="A44142" s="1" t="s">
        <v>44141</v>
      </c>
      <c r="B44142" s="2" t="str">
        <f>IFERROR(__xludf.DUMMYFUNCTION("GOOGLETRANSLATE(A44142, ""de"", ""en"")"),"to work out")</f>
        <v>to work out</v>
      </c>
    </row>
    <row r="44143">
      <c r="A44143" s="1" t="s">
        <v>44142</v>
      </c>
      <c r="B44143" s="2" t="str">
        <f>IFERROR(__xludf.DUMMYFUNCTION("GOOGLETRANSLATE(A44143, ""de"", ""en"")"),"freight elevator")</f>
        <v>freight elevator</v>
      </c>
    </row>
    <row r="44144">
      <c r="A44144" s="1" t="s">
        <v>44143</v>
      </c>
      <c r="B44144" s="2" t="str">
        <f>IFERROR(__xludf.DUMMYFUNCTION("GOOGLETRANSLATE(A44144, ""de"", ""en"")"),"masts")</f>
        <v>masts</v>
      </c>
    </row>
    <row r="44145">
      <c r="A44145" s="1" t="s">
        <v>44144</v>
      </c>
      <c r="B44145" s="2" t="str">
        <f>IFERROR(__xludf.DUMMYFUNCTION("GOOGLETRANSLATE(A44145, ""de"", ""en"")"),"resisted")</f>
        <v>resisted</v>
      </c>
    </row>
    <row r="44146">
      <c r="A44146" s="1" t="s">
        <v>44145</v>
      </c>
      <c r="B44146" s="2" t="str">
        <f>IFERROR(__xludf.DUMMYFUNCTION("GOOGLETRANSLATE(A44146, ""de"", ""en"")"),"malfunctions")</f>
        <v>malfunctions</v>
      </c>
    </row>
    <row r="44147">
      <c r="A44147" s="1" t="s">
        <v>44146</v>
      </c>
      <c r="B44147" s="2" t="str">
        <f>IFERROR(__xludf.DUMMYFUNCTION("GOOGLETRANSLATE(A44147, ""de"", ""en"")"),"spicy")</f>
        <v>spicy</v>
      </c>
    </row>
    <row r="44148">
      <c r="A44148" s="1" t="s">
        <v>44147</v>
      </c>
      <c r="B44148" s="2" t="str">
        <f>IFERROR(__xludf.DUMMYFUNCTION("GOOGLETRANSLATE(A44148, ""de"", ""en"")"),"galleries")</f>
        <v>galleries</v>
      </c>
    </row>
    <row r="44149">
      <c r="A44149" s="1" t="s">
        <v>44148</v>
      </c>
      <c r="B44149" s="2" t="str">
        <f>IFERROR(__xludf.DUMMYFUNCTION("GOOGLETRANSLATE(A44149, ""de"", ""en"")"),"fournier")</f>
        <v>fournier</v>
      </c>
    </row>
    <row r="44150">
      <c r="A44150" s="1" t="s">
        <v>44149</v>
      </c>
      <c r="B44150" s="2" t="str">
        <f>IFERROR(__xludf.DUMMYFUNCTION("GOOGLETRANSLATE(A44150, ""de"", ""en"")"),"future plans")</f>
        <v>future plans</v>
      </c>
    </row>
    <row r="44151">
      <c r="A44151" s="1" t="s">
        <v>44150</v>
      </c>
      <c r="B44151" s="2" t="str">
        <f>IFERROR(__xludf.DUMMYFUNCTION("GOOGLETRANSLATE(A44151, ""de"", ""en"")"),"pressed shut")</f>
        <v>pressed shut</v>
      </c>
    </row>
    <row r="44152">
      <c r="A44152" s="1" t="s">
        <v>44151</v>
      </c>
      <c r="B44152" s="2" t="str">
        <f>IFERROR(__xludf.DUMMYFUNCTION("GOOGLETRANSLATE(A44152, ""de"", ""en"")"),"deceptive")</f>
        <v>deceptive</v>
      </c>
    </row>
    <row r="44153">
      <c r="A44153" s="1" t="s">
        <v>44152</v>
      </c>
      <c r="B44153" s="2" t="str">
        <f>IFERROR(__xludf.DUMMYFUNCTION("GOOGLETRANSLATE(A44153, ""de"", ""en"")"),"meatballs")</f>
        <v>meatballs</v>
      </c>
    </row>
    <row r="44154">
      <c r="A44154" s="1" t="s">
        <v>44153</v>
      </c>
      <c r="B44154" s="2" t="str">
        <f>IFERROR(__xludf.DUMMYFUNCTION("GOOGLETRANSLATE(A44154, ""de"", ""en"")"),"cheap")</f>
        <v>cheap</v>
      </c>
    </row>
    <row r="44155">
      <c r="A44155" s="1" t="s">
        <v>44154</v>
      </c>
      <c r="B44155" s="2" t="str">
        <f>IFERROR(__xludf.DUMMYFUNCTION("GOOGLETRANSLATE(A44155, ""de"", ""en"")"),"loading area")</f>
        <v>loading area</v>
      </c>
    </row>
    <row r="44156">
      <c r="A44156" s="1" t="s">
        <v>44155</v>
      </c>
      <c r="B44156" s="2" t="str">
        <f>IFERROR(__xludf.DUMMYFUNCTION("GOOGLETRANSLATE(A44156, ""de"", ""en"")"),"trough")</f>
        <v>trough</v>
      </c>
    </row>
    <row r="44157">
      <c r="A44157" s="1" t="s">
        <v>44156</v>
      </c>
      <c r="B44157" s="2" t="str">
        <f>IFERROR(__xludf.DUMMYFUNCTION("GOOGLETRANSLATE(A44157, ""de"", ""en"")"),"medical")</f>
        <v>medical</v>
      </c>
    </row>
    <row r="44158">
      <c r="A44158" s="1" t="s">
        <v>44157</v>
      </c>
      <c r="B44158" s="2" t="str">
        <f>IFERROR(__xludf.DUMMYFUNCTION("GOOGLETRANSLATE(A44158, ""de"", ""en"")"),"boycott")</f>
        <v>boycott</v>
      </c>
    </row>
    <row r="44159">
      <c r="A44159" s="1" t="s">
        <v>44158</v>
      </c>
      <c r="B44159" s="2" t="str">
        <f>IFERROR(__xludf.DUMMYFUNCTION("GOOGLETRANSLATE(A44159, ""de"", ""en"")"),"poet")</f>
        <v>poet</v>
      </c>
    </row>
    <row r="44160">
      <c r="A44160" s="1" t="s">
        <v>44159</v>
      </c>
      <c r="B44160" s="2" t="str">
        <f>IFERROR(__xludf.DUMMYFUNCTION("GOOGLETRANSLATE(A44160, ""de"", ""en"")"),"how long")</f>
        <v>how long</v>
      </c>
    </row>
    <row r="44161">
      <c r="A44161" s="1" t="s">
        <v>44160</v>
      </c>
      <c r="B44161" s="2" t="str">
        <f>IFERROR(__xludf.DUMMYFUNCTION("GOOGLETRANSLATE(A44161, ""de"", ""en"")"),"demanded")</f>
        <v>demanded</v>
      </c>
    </row>
    <row r="44162">
      <c r="A44162" s="1" t="s">
        <v>44161</v>
      </c>
      <c r="B44162" s="2" t="str">
        <f>IFERROR(__xludf.DUMMYFUNCTION("GOOGLETRANSLATE(A44162, ""de"", ""en"")"),"breach of contract")</f>
        <v>breach of contract</v>
      </c>
    </row>
    <row r="44163">
      <c r="A44163" s="1" t="s">
        <v>44162</v>
      </c>
      <c r="B44163" s="2" t="str">
        <f>IFERROR(__xludf.DUMMYFUNCTION("GOOGLETRANSLATE(A44163, ""de"", ""en"")"),"trade agreement")</f>
        <v>trade agreement</v>
      </c>
    </row>
    <row r="44164">
      <c r="A44164" s="1" t="s">
        <v>44163</v>
      </c>
      <c r="B44164" s="2" t="str">
        <f>IFERROR(__xludf.DUMMYFUNCTION("GOOGLETRANSLATE(A44164, ""de"", ""en"")"),"social hours")</f>
        <v>social hours</v>
      </c>
    </row>
    <row r="44165">
      <c r="A44165" s="1" t="s">
        <v>44164</v>
      </c>
      <c r="B44165" s="2" t="str">
        <f>IFERROR(__xludf.DUMMYFUNCTION("GOOGLETRANSLATE(A44165, ""de"", ""en"")"),"mutt")</f>
        <v>mutt</v>
      </c>
    </row>
    <row r="44166">
      <c r="A44166" s="1" t="s">
        <v>44165</v>
      </c>
      <c r="B44166" s="2" t="str">
        <f>IFERROR(__xludf.DUMMYFUNCTION("GOOGLETRANSLATE(A44166, ""de"", ""en"")"),"llamas")</f>
        <v>llamas</v>
      </c>
    </row>
    <row r="44167">
      <c r="A44167" s="1" t="s">
        <v>44166</v>
      </c>
      <c r="B44167" s="2" t="str">
        <f>IFERROR(__xludf.DUMMYFUNCTION("GOOGLETRANSLATE(A44167, ""de"", ""en"")"),"terrifying")</f>
        <v>terrifying</v>
      </c>
    </row>
    <row r="44168">
      <c r="A44168" s="1" t="s">
        <v>44167</v>
      </c>
      <c r="B44168" s="2" t="str">
        <f>IFERROR(__xludf.DUMMYFUNCTION("GOOGLETRANSLATE(A44168, ""de"", ""en"")"),"tipsy")</f>
        <v>tipsy</v>
      </c>
    </row>
    <row r="44169">
      <c r="A44169" s="1" t="s">
        <v>44168</v>
      </c>
      <c r="B44169" s="2" t="str">
        <f>IFERROR(__xludf.DUMMYFUNCTION("GOOGLETRANSLATE(A44169, ""de"", ""en"")"),"removal")</f>
        <v>removal</v>
      </c>
    </row>
    <row r="44170">
      <c r="A44170" s="1" t="s">
        <v>44169</v>
      </c>
      <c r="B44170" s="2" t="str">
        <f>IFERROR(__xludf.DUMMYFUNCTION("GOOGLETRANSLATE(A44170, ""de"", ""en"")"),"lucretia")</f>
        <v>lucretia</v>
      </c>
    </row>
    <row r="44171">
      <c r="A44171" s="1" t="s">
        <v>44170</v>
      </c>
      <c r="B44171" s="2" t="str">
        <f>IFERROR(__xludf.DUMMYFUNCTION("GOOGLETRANSLATE(A44171, ""de"", ""en"")"),"hlen")</f>
        <v>hlen</v>
      </c>
    </row>
    <row r="44172">
      <c r="A44172" s="1" t="s">
        <v>44171</v>
      </c>
      <c r="B44172" s="2" t="str">
        <f>IFERROR(__xludf.DUMMYFUNCTION("GOOGLETRANSLATE(A44172, ""de"", ""en"")"),"Canaan")</f>
        <v>Canaan</v>
      </c>
    </row>
    <row r="44173">
      <c r="A44173" s="1" t="s">
        <v>44172</v>
      </c>
      <c r="B44173" s="2" t="str">
        <f>IFERROR(__xludf.DUMMYFUNCTION("GOOGLETRANSLATE(A44173, ""de"", ""en"")"),"profiler")</f>
        <v>profiler</v>
      </c>
    </row>
    <row r="44174">
      <c r="A44174" s="1" t="s">
        <v>44173</v>
      </c>
      <c r="B44174" s="2" t="str">
        <f>IFERROR(__xludf.DUMMYFUNCTION("GOOGLETRANSLATE(A44174, ""de"", ""en"")"),"gazpacho")</f>
        <v>gazpacho</v>
      </c>
    </row>
    <row r="44175">
      <c r="A44175" s="1" t="s">
        <v>44174</v>
      </c>
      <c r="B44175" s="2" t="str">
        <f>IFERROR(__xludf.DUMMYFUNCTION("GOOGLETRANSLATE(A44175, ""de"", ""en"")"),"crazy")</f>
        <v>crazy</v>
      </c>
    </row>
    <row r="44176">
      <c r="A44176" s="1" t="s">
        <v>44175</v>
      </c>
      <c r="B44176" s="2" t="str">
        <f>IFERROR(__xludf.DUMMYFUNCTION("GOOGLETRANSLATE(A44176, ""de"", ""en"")"),"pastor")</f>
        <v>pastor</v>
      </c>
    </row>
    <row r="44177">
      <c r="A44177" s="1" t="s">
        <v>44176</v>
      </c>
      <c r="B44177" s="2" t="str">
        <f>IFERROR(__xludf.DUMMYFUNCTION("GOOGLETRANSLATE(A44177, ""de"", ""en"")"),"newsboy")</f>
        <v>newsboy</v>
      </c>
    </row>
    <row r="44178">
      <c r="A44178" s="1" t="s">
        <v>44177</v>
      </c>
      <c r="B44178" s="2" t="str">
        <f>IFERROR(__xludf.DUMMYFUNCTION("GOOGLETRANSLATE(A44178, ""de"", ""en"")"),"outer shell")</f>
        <v>outer shell</v>
      </c>
    </row>
    <row r="44179">
      <c r="A44179" s="1" t="s">
        <v>44178</v>
      </c>
      <c r="B44179" s="2" t="str">
        <f>IFERROR(__xludf.DUMMYFUNCTION("GOOGLETRANSLATE(A44179, ""de"", ""en"")"),"pussies")</f>
        <v>pussies</v>
      </c>
    </row>
    <row r="44180">
      <c r="A44180" s="1" t="s">
        <v>44179</v>
      </c>
      <c r="B44180" s="2" t="str">
        <f>IFERROR(__xludf.DUMMYFUNCTION("GOOGLETRANSLATE(A44180, ""de"", ""en"")"),"stupid")</f>
        <v>stupid</v>
      </c>
    </row>
    <row r="44181">
      <c r="A44181" s="1" t="s">
        <v>44180</v>
      </c>
      <c r="B44181" s="2" t="str">
        <f>IFERROR(__xludf.DUMMYFUNCTION("GOOGLETRANSLATE(A44181, ""de"", ""en"")"),"graduate")</f>
        <v>graduate</v>
      </c>
    </row>
    <row r="44182">
      <c r="A44182" s="1" t="s">
        <v>44181</v>
      </c>
      <c r="B44182" s="2" t="str">
        <f>IFERROR(__xludf.DUMMYFUNCTION("GOOGLETRANSLATE(A44182, ""de"", ""en"")"),"House of Representatives")</f>
        <v>House of Representatives</v>
      </c>
    </row>
    <row r="44183">
      <c r="A44183" s="1" t="s">
        <v>44182</v>
      </c>
      <c r="B44183" s="2" t="str">
        <f>IFERROR(__xludf.DUMMYFUNCTION("GOOGLETRANSLATE(A44183, ""de"", ""en"")"),"atul")</f>
        <v>atul</v>
      </c>
    </row>
    <row r="44184">
      <c r="A44184" s="1" t="s">
        <v>44183</v>
      </c>
      <c r="B44184" s="2" t="str">
        <f>IFERROR(__xludf.DUMMYFUNCTION("GOOGLETRANSLATE(A44184, ""de"", ""en"")"),"put down")</f>
        <v>put down</v>
      </c>
    </row>
    <row r="44185">
      <c r="A44185" s="1" t="s">
        <v>44184</v>
      </c>
      <c r="B44185" s="2" t="str">
        <f>IFERROR(__xludf.DUMMYFUNCTION("GOOGLETRANSLATE(A44185, ""de"", ""en"")"),"leno")</f>
        <v>leno</v>
      </c>
    </row>
    <row r="44186">
      <c r="A44186" s="1" t="s">
        <v>44185</v>
      </c>
      <c r="B44186" s="2" t="str">
        <f>IFERROR(__xludf.DUMMYFUNCTION("GOOGLETRANSLATE(A44186, ""de"", ""en"")"),"Yuria")</f>
        <v>Yuria</v>
      </c>
    </row>
    <row r="44187">
      <c r="A44187" s="1" t="s">
        <v>44186</v>
      </c>
      <c r="B44187" s="2" t="str">
        <f>IFERROR(__xludf.DUMMYFUNCTION("GOOGLETRANSLATE(A44187, ""de"", ""en"")"),"puff")</f>
        <v>puff</v>
      </c>
    </row>
    <row r="44188">
      <c r="A44188" s="1" t="s">
        <v>44187</v>
      </c>
      <c r="B44188" s="2" t="str">
        <f>IFERROR(__xludf.DUMMYFUNCTION("GOOGLETRANSLATE(A44188, ""de"", ""en"")"),"fan club")</f>
        <v>fan club</v>
      </c>
    </row>
    <row r="44189">
      <c r="A44189" s="1" t="s">
        <v>44188</v>
      </c>
      <c r="B44189" s="2" t="str">
        <f>IFERROR(__xludf.DUMMYFUNCTION("GOOGLETRANSLATE(A44189, ""de"", ""en"")"),"sheen")</f>
        <v>sheen</v>
      </c>
    </row>
    <row r="44190">
      <c r="A44190" s="1" t="s">
        <v>44189</v>
      </c>
      <c r="B44190" s="2" t="str">
        <f>IFERROR(__xludf.DUMMYFUNCTION("GOOGLETRANSLATE(A44190, ""de"", ""en"")"),"more closed")</f>
        <v>more closed</v>
      </c>
    </row>
    <row r="44191">
      <c r="A44191" s="1" t="s">
        <v>44190</v>
      </c>
      <c r="B44191" s="2" t="str">
        <f>IFERROR(__xludf.DUMMYFUNCTION("GOOGLETRANSLATE(A44191, ""de"", ""en"")"),"trader")</f>
        <v>trader</v>
      </c>
    </row>
    <row r="44192">
      <c r="A44192" s="1" t="s">
        <v>44191</v>
      </c>
      <c r="B44192" s="2" t="str">
        <f>IFERROR(__xludf.DUMMYFUNCTION("GOOGLETRANSLATE(A44192, ""de"", ""en"")"),"fuel")</f>
        <v>fuel</v>
      </c>
    </row>
    <row r="44193">
      <c r="A44193" s="1" t="s">
        <v>44192</v>
      </c>
      <c r="B44193" s="2" t="str">
        <f>IFERROR(__xludf.DUMMYFUNCTION("GOOGLETRANSLATE(A44193, ""de"", ""en"")"),"narcissism")</f>
        <v>narcissism</v>
      </c>
    </row>
    <row r="44194">
      <c r="A44194" s="1" t="s">
        <v>44193</v>
      </c>
      <c r="B44194" s="2" t="str">
        <f>IFERROR(__xludf.DUMMYFUNCTION("GOOGLETRANSLATE(A44194, ""de"", ""en"")"),"kumar")</f>
        <v>kumar</v>
      </c>
    </row>
    <row r="44195">
      <c r="A44195" s="1" t="s">
        <v>44194</v>
      </c>
      <c r="B44195" s="2" t="str">
        <f>IFERROR(__xludf.DUMMYFUNCTION("GOOGLETRANSLATE(A44195, ""de"", ""en"")"),"martinshorn")</f>
        <v>martinshorn</v>
      </c>
    </row>
    <row r="44196">
      <c r="A44196" s="1" t="s">
        <v>44195</v>
      </c>
      <c r="B44196" s="2" t="str">
        <f>IFERROR(__xludf.DUMMYFUNCTION("GOOGLETRANSLATE(A44196, ""de"", ""en"")"),"dawns")</f>
        <v>dawns</v>
      </c>
    </row>
    <row r="44197">
      <c r="A44197" s="1" t="s">
        <v>44196</v>
      </c>
      <c r="B44197" s="2" t="str">
        <f>IFERROR(__xludf.DUMMYFUNCTION("GOOGLETRANSLATE(A44197, ""de"", ""en"")"),"go there")</f>
        <v>go there</v>
      </c>
    </row>
    <row r="44198">
      <c r="A44198" s="1" t="s">
        <v>44197</v>
      </c>
      <c r="B44198" s="2" t="str">
        <f>IFERROR(__xludf.DUMMYFUNCTION("GOOGLETRANSLATE(A44198, ""de"", ""en"")"),"ambience")</f>
        <v>ambience</v>
      </c>
    </row>
    <row r="44199">
      <c r="A44199" s="1" t="s">
        <v>44198</v>
      </c>
      <c r="B44199" s="2" t="str">
        <f>IFERROR(__xludf.DUMMYFUNCTION("GOOGLETRANSLATE(A44199, ""de"", ""en"")"),"urmel")</f>
        <v>urmel</v>
      </c>
    </row>
    <row r="44200">
      <c r="A44200" s="1" t="s">
        <v>44199</v>
      </c>
      <c r="B44200" s="2" t="str">
        <f>IFERROR(__xludf.DUMMYFUNCTION("GOOGLETRANSLATE(A44200, ""de"", ""en"")"),"dias")</f>
        <v>dias</v>
      </c>
    </row>
    <row r="44201">
      <c r="A44201" s="1" t="s">
        <v>44200</v>
      </c>
      <c r="B44201" s="2" t="str">
        <f>IFERROR(__xludf.DUMMYFUNCTION("GOOGLETRANSLATE(A44201, ""de"", ""en"")"),"look up")</f>
        <v>look up</v>
      </c>
    </row>
    <row r="44202">
      <c r="A44202" s="1" t="s">
        <v>44201</v>
      </c>
      <c r="B44202" s="2" t="str">
        <f>IFERROR(__xludf.DUMMYFUNCTION("GOOGLETRANSLATE(A44202, ""de"", ""en"")"),"hotel bar")</f>
        <v>hotel bar</v>
      </c>
    </row>
    <row r="44203">
      <c r="A44203" s="1" t="s">
        <v>44202</v>
      </c>
      <c r="B44203" s="2" t="str">
        <f>IFERROR(__xludf.DUMMYFUNCTION("GOOGLETRANSLATE(A44203, ""de"", ""en"")"),"holiest")</f>
        <v>holiest</v>
      </c>
    </row>
    <row r="44204">
      <c r="A44204" s="1" t="s">
        <v>44203</v>
      </c>
      <c r="B44204" s="2" t="str">
        <f>IFERROR(__xludf.DUMMYFUNCTION("GOOGLETRANSLATE(A44204, ""de"", ""en"")"),"lush")</f>
        <v>lush</v>
      </c>
    </row>
    <row r="44205">
      <c r="A44205" s="1" t="s">
        <v>44204</v>
      </c>
      <c r="B44205" s="2" t="str">
        <f>IFERROR(__xludf.DUMMYFUNCTION("GOOGLETRANSLATE(A44205, ""de"", ""en"")"),"u2")</f>
        <v>u2</v>
      </c>
    </row>
    <row r="44206">
      <c r="A44206" s="1" t="s">
        <v>44205</v>
      </c>
      <c r="B44206" s="2" t="str">
        <f>IFERROR(__xludf.DUMMYFUNCTION("GOOGLETRANSLATE(A44206, ""de"", ""en"")"),"brains")</f>
        <v>brains</v>
      </c>
    </row>
    <row r="44207">
      <c r="A44207" s="1" t="s">
        <v>44206</v>
      </c>
      <c r="B44207" s="2" t="str">
        <f>IFERROR(__xludf.DUMMYFUNCTION("GOOGLETRANSLATE(A44207, ""de"", ""en"")"),"rebellious")</f>
        <v>rebellious</v>
      </c>
    </row>
    <row r="44208">
      <c r="A44208" s="1" t="s">
        <v>44207</v>
      </c>
      <c r="B44208" s="2" t="str">
        <f>IFERROR(__xludf.DUMMYFUNCTION("GOOGLETRANSLATE(A44208, ""de"", ""en"")"),"homes")</f>
        <v>homes</v>
      </c>
    </row>
    <row r="44209">
      <c r="A44209" s="1" t="s">
        <v>44208</v>
      </c>
      <c r="B44209" s="2" t="str">
        <f>IFERROR(__xludf.DUMMYFUNCTION("GOOGLETRANSLATE(A44209, ""de"", ""en"")"),"highlander")</f>
        <v>highlander</v>
      </c>
    </row>
    <row r="44210">
      <c r="A44210" s="1" t="s">
        <v>44209</v>
      </c>
      <c r="B44210" s="2" t="str">
        <f>IFERROR(__xludf.DUMMYFUNCTION("GOOGLETRANSLATE(A44210, ""de"", ""en"")"),"tector")</f>
        <v>tector</v>
      </c>
    </row>
    <row r="44211">
      <c r="A44211" s="1" t="s">
        <v>44210</v>
      </c>
      <c r="B44211" s="2" t="str">
        <f>IFERROR(__xludf.DUMMYFUNCTION("GOOGLETRANSLATE(A44211, ""de"", ""en"")"),"maternal")</f>
        <v>maternal</v>
      </c>
    </row>
    <row r="44212">
      <c r="A44212" s="1" t="s">
        <v>44211</v>
      </c>
      <c r="B44212" s="2" t="str">
        <f>IFERROR(__xludf.DUMMYFUNCTION("GOOGLETRANSLATE(A44212, ""de"", ""en"")"),"stupidity")</f>
        <v>stupidity</v>
      </c>
    </row>
    <row r="44213">
      <c r="A44213" s="1" t="s">
        <v>44212</v>
      </c>
      <c r="B44213" s="2" t="str">
        <f>IFERROR(__xludf.DUMMYFUNCTION("GOOGLETRANSLATE(A44213, ""de"", ""en"")"),"leander")</f>
        <v>leander</v>
      </c>
    </row>
    <row r="44214">
      <c r="A44214" s="1" t="s">
        <v>44213</v>
      </c>
      <c r="B44214" s="2" t="str">
        <f>IFERROR(__xludf.DUMMYFUNCTION("GOOGLETRANSLATE(A44214, ""de"", ""en"")"),"differentiated")</f>
        <v>differentiated</v>
      </c>
    </row>
    <row r="44215">
      <c r="A44215" s="1" t="s">
        <v>44214</v>
      </c>
      <c r="B44215" s="2" t="str">
        <f>IFERROR(__xludf.DUMMYFUNCTION("GOOGLETRANSLATE(A44215, ""de"", ""en"")"),"civic duty")</f>
        <v>civic duty</v>
      </c>
    </row>
    <row r="44216">
      <c r="A44216" s="1" t="s">
        <v>44215</v>
      </c>
      <c r="B44216" s="2" t="str">
        <f>IFERROR(__xludf.DUMMYFUNCTION("GOOGLETRANSLATE(A44216, ""de"", ""en"")"),"Keppler")</f>
        <v>Keppler</v>
      </c>
    </row>
    <row r="44217">
      <c r="A44217" s="1" t="s">
        <v>44216</v>
      </c>
      <c r="B44217" s="2" t="str">
        <f>IFERROR(__xludf.DUMMYFUNCTION("GOOGLETRANSLATE(A44217, ""de"", ""en"")"),"southside")</f>
        <v>southside</v>
      </c>
    </row>
    <row r="44218">
      <c r="A44218" s="1" t="s">
        <v>44217</v>
      </c>
      <c r="B44218" s="2" t="str">
        <f>IFERROR(__xludf.DUMMYFUNCTION("GOOGLETRANSLATE(A44218, ""de"", ""en"")"),"pinglet")</f>
        <v>pinglet</v>
      </c>
    </row>
    <row r="44219">
      <c r="A44219" s="1" t="s">
        <v>44218</v>
      </c>
      <c r="B44219" s="2" t="str">
        <f>IFERROR(__xludf.DUMMYFUNCTION("GOOGLETRANSLATE(A44219, ""de"", ""en"")"),"deceptions")</f>
        <v>deceptions</v>
      </c>
    </row>
    <row r="44220">
      <c r="A44220" s="1" t="s">
        <v>44219</v>
      </c>
      <c r="B44220" s="2" t="str">
        <f>IFERROR(__xludf.DUMMYFUNCTION("GOOGLETRANSLATE(A44220, ""de"", ""en"")"),"deterred")</f>
        <v>deterred</v>
      </c>
    </row>
    <row r="44221">
      <c r="A44221" s="1" t="s">
        <v>44220</v>
      </c>
      <c r="B44221" s="2" t="str">
        <f>IFERROR(__xludf.DUMMYFUNCTION("GOOGLETRANSLATE(A44221, ""de"", ""en"")"),"rinse out")</f>
        <v>rinse out</v>
      </c>
    </row>
    <row r="44222">
      <c r="A44222" s="1" t="s">
        <v>44221</v>
      </c>
      <c r="B44222" s="2" t="str">
        <f>IFERROR(__xludf.DUMMYFUNCTION("GOOGLETRANSLATE(A44222, ""de"", ""en"")"),"collective")</f>
        <v>collective</v>
      </c>
    </row>
    <row r="44223">
      <c r="A44223" s="1" t="s">
        <v>44222</v>
      </c>
      <c r="B44223" s="2" t="str">
        <f>IFERROR(__xludf.DUMMYFUNCTION("GOOGLETRANSLATE(A44223, ""de"", ""en"")"),"bakshi")</f>
        <v>bakshi</v>
      </c>
    </row>
    <row r="44224">
      <c r="A44224" s="1" t="s">
        <v>44223</v>
      </c>
      <c r="B44224" s="2" t="str">
        <f>IFERROR(__xludf.DUMMYFUNCTION("GOOGLETRANSLATE(A44224, ""de"", ""en"")"),"went on strike")</f>
        <v>went on strike</v>
      </c>
    </row>
    <row r="44225">
      <c r="A44225" s="1" t="s">
        <v>44224</v>
      </c>
      <c r="B44225" s="2" t="str">
        <f>IFERROR(__xludf.DUMMYFUNCTION("GOOGLETRANSLATE(A44225, ""de"", ""en"")"),"courses")</f>
        <v>courses</v>
      </c>
    </row>
    <row r="44226">
      <c r="A44226" s="1" t="s">
        <v>44225</v>
      </c>
      <c r="B44226" s="2" t="str">
        <f>IFERROR(__xludf.DUMMYFUNCTION("GOOGLETRANSLATE(A44226, ""de"", ""en"")"),"deferred")</f>
        <v>deferred</v>
      </c>
    </row>
    <row r="44227">
      <c r="A44227" s="1" t="s">
        <v>44226</v>
      </c>
      <c r="B44227" s="2" t="str">
        <f>IFERROR(__xludf.DUMMYFUNCTION("GOOGLETRANSLATE(A44227, ""de"", ""en"")"),"overstretched")</f>
        <v>overstretched</v>
      </c>
    </row>
    <row r="44228">
      <c r="A44228" s="1" t="s">
        <v>44227</v>
      </c>
      <c r="B44228" s="2" t="str">
        <f>IFERROR(__xludf.DUMMYFUNCTION("GOOGLETRANSLATE(A44228, ""de"", ""en"")"),"radioactive")</f>
        <v>radioactive</v>
      </c>
    </row>
    <row r="44229">
      <c r="A44229" s="1" t="s">
        <v>44228</v>
      </c>
      <c r="B44229" s="2" t="str">
        <f>IFERROR(__xludf.DUMMYFUNCTION("GOOGLETRANSLATE(A44229, ""de"", ""en"")"),"dizzy")</f>
        <v>dizzy</v>
      </c>
    </row>
    <row r="44230">
      <c r="A44230" s="1" t="s">
        <v>44229</v>
      </c>
      <c r="B44230" s="2" t="str">
        <f>IFERROR(__xludf.DUMMYFUNCTION("GOOGLETRANSLATE(A44230, ""de"", ""en"")"),"fictitious")</f>
        <v>fictitious</v>
      </c>
    </row>
    <row r="44231">
      <c r="A44231" s="1" t="s">
        <v>44230</v>
      </c>
      <c r="B44231" s="2" t="str">
        <f>IFERROR(__xludf.DUMMYFUNCTION("GOOGLETRANSLATE(A44231, ""de"", ""en"")"),"improve")</f>
        <v>improve</v>
      </c>
    </row>
    <row r="44232">
      <c r="A44232" s="1" t="s">
        <v>44231</v>
      </c>
      <c r="B44232" s="2" t="str">
        <f>IFERROR(__xludf.DUMMYFUNCTION("GOOGLETRANSLATE(A44232, ""de"", ""en"")"),"gas mask")</f>
        <v>gas mask</v>
      </c>
    </row>
    <row r="44233">
      <c r="A44233" s="1" t="s">
        <v>44232</v>
      </c>
      <c r="B44233" s="2" t="str">
        <f>IFERROR(__xludf.DUMMYFUNCTION("GOOGLETRANSLATE(A44233, ""de"", ""en"")"),"security alarm")</f>
        <v>security alarm</v>
      </c>
    </row>
    <row r="44234">
      <c r="A44234" s="1" t="s">
        <v>44233</v>
      </c>
      <c r="B44234" s="2" t="str">
        <f>IFERROR(__xludf.DUMMYFUNCTION("GOOGLETRANSLATE(A44234, ""de"", ""en"")"),"winner")</f>
        <v>winner</v>
      </c>
    </row>
    <row r="44235">
      <c r="A44235" s="1" t="s">
        <v>44234</v>
      </c>
      <c r="B44235" s="2" t="str">
        <f>IFERROR(__xludf.DUMMYFUNCTION("GOOGLETRANSLATE(A44235, ""de"", ""en"")"),"anagram")</f>
        <v>anagram</v>
      </c>
    </row>
    <row r="44236">
      <c r="A44236" s="1" t="s">
        <v>44235</v>
      </c>
      <c r="B44236" s="2" t="str">
        <f>IFERROR(__xludf.DUMMYFUNCTION("GOOGLETRANSLATE(A44236, ""de"", ""en"")"),"micawber")</f>
        <v>micawber</v>
      </c>
    </row>
    <row r="44237">
      <c r="A44237" s="1" t="s">
        <v>44236</v>
      </c>
      <c r="B44237" s="2" t="str">
        <f>IFERROR(__xludf.DUMMYFUNCTION("GOOGLETRANSLATE(A44237, ""de"", ""en"")"),"nameless")</f>
        <v>nameless</v>
      </c>
    </row>
    <row r="44238">
      <c r="A44238" s="1" t="s">
        <v>44237</v>
      </c>
      <c r="B44238" s="2" t="str">
        <f>IFERROR(__xludf.DUMMYFUNCTION("GOOGLETRANSLATE(A44238, ""de"", ""en"")"),"rosy")</f>
        <v>rosy</v>
      </c>
    </row>
    <row r="44239">
      <c r="A44239" s="1" t="s">
        <v>44238</v>
      </c>
      <c r="B44239" s="2" t="str">
        <f>IFERROR(__xludf.DUMMYFUNCTION("GOOGLETRANSLATE(A44239, ""de"", ""en"")"),"cranberries")</f>
        <v>cranberries</v>
      </c>
    </row>
    <row r="44240">
      <c r="A44240" s="1" t="s">
        <v>44239</v>
      </c>
      <c r="B44240" s="2" t="str">
        <f>IFERROR(__xludf.DUMMYFUNCTION("GOOGLETRANSLATE(A44240, ""de"", ""en"")"),"deny")</f>
        <v>deny</v>
      </c>
    </row>
    <row r="44241">
      <c r="A44241" s="1" t="s">
        <v>44240</v>
      </c>
      <c r="B44241" s="2" t="str">
        <f>IFERROR(__xludf.DUMMYFUNCTION("GOOGLETRANSLATE(A44241, ""de"", ""en"")"),"menus")</f>
        <v>menus</v>
      </c>
    </row>
    <row r="44242">
      <c r="A44242" s="1" t="s">
        <v>44241</v>
      </c>
      <c r="B44242" s="2" t="str">
        <f>IFERROR(__xludf.DUMMYFUNCTION("GOOGLETRANSLATE(A44242, ""de"", ""en"")"),"dishonesty")</f>
        <v>dishonesty</v>
      </c>
    </row>
    <row r="44243">
      <c r="A44243" s="1" t="s">
        <v>44242</v>
      </c>
      <c r="B44243" s="2" t="str">
        <f>IFERROR(__xludf.DUMMYFUNCTION("GOOGLETRANSLATE(A44243, ""de"", ""en"")"),"clays")</f>
        <v>clays</v>
      </c>
    </row>
    <row r="44244">
      <c r="A44244" s="1" t="s">
        <v>44243</v>
      </c>
      <c r="B44244" s="2" t="str">
        <f>IFERROR(__xludf.DUMMYFUNCTION("GOOGLETRANSLATE(A44244, ""de"", ""en"")"),"Natalia")</f>
        <v>Natalia</v>
      </c>
    </row>
    <row r="44245">
      <c r="A44245" s="1" t="s">
        <v>44244</v>
      </c>
      <c r="B44245" s="2" t="str">
        <f>IFERROR(__xludf.DUMMYFUNCTION("GOOGLETRANSLATE(A44245, ""de"", ""en"")"),"mercenaries")</f>
        <v>mercenaries</v>
      </c>
    </row>
    <row r="44246">
      <c r="A44246" s="1" t="s">
        <v>44245</v>
      </c>
      <c r="B44246" s="2" t="str">
        <f>IFERROR(__xludf.DUMMYFUNCTION("GOOGLETRANSLATE(A44246, ""de"", ""en"")"),"skunk")</f>
        <v>skunk</v>
      </c>
    </row>
    <row r="44247">
      <c r="A44247" s="1" t="s">
        <v>44246</v>
      </c>
      <c r="B44247" s="2" t="str">
        <f>IFERROR(__xludf.DUMMYFUNCTION("GOOGLETRANSLATE(A44247, ""de"", ""en"")"),"soze")</f>
        <v>soze</v>
      </c>
    </row>
    <row r="44248">
      <c r="A44248" s="1" t="s">
        <v>44247</v>
      </c>
      <c r="B44248" s="2" t="str">
        <f>IFERROR(__xludf.DUMMYFUNCTION("GOOGLETRANSLATE(A44248, ""de"", ""en"")"),"answered")</f>
        <v>answered</v>
      </c>
    </row>
    <row r="44249">
      <c r="A44249" s="1" t="s">
        <v>44248</v>
      </c>
      <c r="B44249" s="2" t="str">
        <f>IFERROR(__xludf.DUMMYFUNCTION("GOOGLETRANSLATE(A44249, ""de"", ""en"")"),"tattooed")</f>
        <v>tattooed</v>
      </c>
    </row>
    <row r="44250">
      <c r="A44250" s="1" t="s">
        <v>44249</v>
      </c>
      <c r="B44250" s="2" t="str">
        <f>IFERROR(__xludf.DUMMYFUNCTION("GOOGLETRANSLATE(A44250, ""de"", ""en"")"),"crumble")</f>
        <v>crumble</v>
      </c>
    </row>
    <row r="44251">
      <c r="A44251" s="1" t="s">
        <v>44250</v>
      </c>
      <c r="B44251" s="2" t="str">
        <f>IFERROR(__xludf.DUMMYFUNCTION("GOOGLETRANSLATE(A44251, ""de"", ""en"")"),"escape routes")</f>
        <v>escape routes</v>
      </c>
    </row>
    <row r="44252">
      <c r="A44252" s="1" t="s">
        <v>44251</v>
      </c>
      <c r="B44252" s="2" t="str">
        <f>IFERROR(__xludf.DUMMYFUNCTION("GOOGLETRANSLATE(A44252, ""de"", ""en"")"),"sigi")</f>
        <v>sigi</v>
      </c>
    </row>
    <row r="44253">
      <c r="A44253" s="1" t="s">
        <v>44252</v>
      </c>
      <c r="B44253" s="2" t="str">
        <f>IFERROR(__xludf.DUMMYFUNCTION("GOOGLETRANSLATE(A44253, ""de"", ""en"")"),"reprogram")</f>
        <v>reprogram</v>
      </c>
    </row>
    <row r="44254">
      <c r="A44254" s="1" t="s">
        <v>44253</v>
      </c>
      <c r="B44254" s="2" t="str">
        <f>IFERROR(__xludf.DUMMYFUNCTION("GOOGLETRANSLATE(A44254, ""de"", ""en"")"),"mixes")</f>
        <v>mixes</v>
      </c>
    </row>
    <row r="44255">
      <c r="A44255" s="1" t="s">
        <v>44254</v>
      </c>
      <c r="B44255" s="2" t="str">
        <f>IFERROR(__xludf.DUMMYFUNCTION("GOOGLETRANSLATE(A44255, ""de"", ""en"")"),"obedient")</f>
        <v>obedient</v>
      </c>
    </row>
    <row r="44256">
      <c r="A44256" s="1" t="s">
        <v>44255</v>
      </c>
      <c r="B44256" s="2" t="str">
        <f>IFERROR(__xludf.DUMMYFUNCTION("GOOGLETRANSLATE(A44256, ""de"", ""en"")"),"noun")</f>
        <v>noun</v>
      </c>
    </row>
    <row r="44257">
      <c r="A44257" s="1" t="s">
        <v>44256</v>
      </c>
      <c r="B44257" s="2" t="str">
        <f>IFERROR(__xludf.DUMMYFUNCTION("GOOGLETRANSLATE(A44257, ""de"", ""en"")"),"peppi")</f>
        <v>peppi</v>
      </c>
    </row>
    <row r="44258">
      <c r="A44258" s="1" t="s">
        <v>44257</v>
      </c>
      <c r="B44258" s="2" t="str">
        <f>IFERROR(__xludf.DUMMYFUNCTION("GOOGLETRANSLATE(A44258, ""de"", ""en"")"),"lazy")</f>
        <v>lazy</v>
      </c>
    </row>
    <row r="44259">
      <c r="A44259" s="1" t="s">
        <v>44258</v>
      </c>
      <c r="B44259" s="2" t="str">
        <f>IFERROR(__xludf.DUMMYFUNCTION("GOOGLETRANSLATE(A44259, ""de"", ""en"")"),"thora")</f>
        <v>thora</v>
      </c>
    </row>
    <row r="44260">
      <c r="A44260" s="1" t="s">
        <v>44259</v>
      </c>
      <c r="B44260" s="2" t="str">
        <f>IFERROR(__xludf.DUMMYFUNCTION("GOOGLETRANSLATE(A44260, ""de"", ""en"")"),"dal")</f>
        <v>dal</v>
      </c>
    </row>
    <row r="44261">
      <c r="A44261" s="1" t="s">
        <v>44260</v>
      </c>
      <c r="B44261" s="2" t="str">
        <f>IFERROR(__xludf.DUMMYFUNCTION("GOOGLETRANSLATE(A44261, ""de"", ""en"")"),"younger")</f>
        <v>younger</v>
      </c>
    </row>
    <row r="44262">
      <c r="A44262" s="1" t="s">
        <v>44261</v>
      </c>
      <c r="B44262" s="2" t="str">
        <f>IFERROR(__xludf.DUMMYFUNCTION("GOOGLETRANSLATE(A44262, ""de"", ""en"")"),"vittoria")</f>
        <v>vittoria</v>
      </c>
    </row>
    <row r="44263">
      <c r="A44263" s="1" t="s">
        <v>44262</v>
      </c>
      <c r="B44263" s="2" t="str">
        <f>IFERROR(__xludf.DUMMYFUNCTION("GOOGLETRANSLATE(A44263, ""de"", ""en"")"),"guarantee")</f>
        <v>guarantee</v>
      </c>
    </row>
    <row r="44264">
      <c r="A44264" s="1" t="s">
        <v>44263</v>
      </c>
      <c r="B44264" s="2" t="str">
        <f>IFERROR(__xludf.DUMMYFUNCTION("GOOGLETRANSLATE(A44264, ""de"", ""en"")"),"more qualified")</f>
        <v>more qualified</v>
      </c>
    </row>
    <row r="44265">
      <c r="A44265" s="1" t="s">
        <v>44264</v>
      </c>
      <c r="B44265" s="2" t="str">
        <f>IFERROR(__xludf.DUMMYFUNCTION("GOOGLETRANSLATE(A44265, ""de"", ""en"")"),"Borneo")</f>
        <v>Borneo</v>
      </c>
    </row>
    <row r="44266">
      <c r="A44266" s="1" t="s">
        <v>44265</v>
      </c>
      <c r="B44266" s="2" t="str">
        <f>IFERROR(__xludf.DUMMYFUNCTION("GOOGLETRANSLATE(A44266, ""de"", ""en"")"),"working one")</f>
        <v>working one</v>
      </c>
    </row>
    <row r="44267">
      <c r="A44267" s="1" t="s">
        <v>44266</v>
      </c>
      <c r="B44267" s="2" t="str">
        <f>IFERROR(__xludf.DUMMYFUNCTION("GOOGLETRANSLATE(A44267, ""de"", ""en"")"),"turned closed")</f>
        <v>turned closed</v>
      </c>
    </row>
    <row r="44268">
      <c r="A44268" s="1" t="s">
        <v>44267</v>
      </c>
      <c r="B44268" s="2" t="str">
        <f>IFERROR(__xludf.DUMMYFUNCTION("GOOGLETRANSLATE(A44268, ""de"", ""en"")"),"ls")</f>
        <v>ls</v>
      </c>
    </row>
    <row r="44269">
      <c r="A44269" s="1" t="s">
        <v>44268</v>
      </c>
      <c r="B44269" s="2" t="str">
        <f>IFERROR(__xludf.DUMMYFUNCTION("GOOGLETRANSLATE(A44269, ""de"", ""en"")"),"shimmers")</f>
        <v>shimmers</v>
      </c>
    </row>
    <row r="44270">
      <c r="A44270" s="1" t="s">
        <v>44269</v>
      </c>
      <c r="B44270" s="2" t="str">
        <f>IFERROR(__xludf.DUMMYFUNCTION("GOOGLETRANSLATE(A44270, ""de"", ""en"")"),"reproduction")</f>
        <v>reproduction</v>
      </c>
    </row>
    <row r="44271">
      <c r="A44271" s="1" t="s">
        <v>44270</v>
      </c>
      <c r="B44271" s="2" t="str">
        <f>IFERROR(__xludf.DUMMYFUNCTION("GOOGLETRANSLATE(A44271, ""de"", ""en"")"),"diamonds")</f>
        <v>diamonds</v>
      </c>
    </row>
    <row r="44272">
      <c r="A44272" s="1" t="s">
        <v>44271</v>
      </c>
      <c r="B44272" s="2" t="str">
        <f>IFERROR(__xludf.DUMMYFUNCTION("GOOGLETRANSLATE(A44272, ""de"", ""en"")"),"comment")</f>
        <v>comment</v>
      </c>
    </row>
    <row r="44273">
      <c r="A44273" s="1" t="s">
        <v>44272</v>
      </c>
      <c r="B44273" s="2" t="str">
        <f>IFERROR(__xludf.DUMMYFUNCTION("GOOGLETRANSLATE(A44273, ""de"", ""en"")"),"headdress")</f>
        <v>headdress</v>
      </c>
    </row>
    <row r="44274">
      <c r="A44274" s="1" t="s">
        <v>44273</v>
      </c>
      <c r="B44274" s="2" t="str">
        <f>IFERROR(__xludf.DUMMYFUNCTION("GOOGLETRANSLATE(A44274, ""de"", ""en"")"),"comfort")</f>
        <v>comfort</v>
      </c>
    </row>
    <row r="44275">
      <c r="A44275" s="1" t="s">
        <v>44274</v>
      </c>
      <c r="B44275" s="2" t="str">
        <f>IFERROR(__xludf.DUMMYFUNCTION("GOOGLETRANSLATE(A44275, ""de"", ""en"")"),"door lock")</f>
        <v>door lock</v>
      </c>
    </row>
    <row r="44276">
      <c r="A44276" s="1" t="s">
        <v>44275</v>
      </c>
      <c r="B44276" s="2" t="str">
        <f>IFERROR(__xludf.DUMMYFUNCTION("GOOGLETRANSLATE(A44276, ""de"", ""en"")"),"retired")</f>
        <v>retired</v>
      </c>
    </row>
    <row r="44277">
      <c r="A44277" s="1" t="s">
        <v>44276</v>
      </c>
      <c r="B44277" s="2" t="str">
        <f>IFERROR(__xludf.DUMMYFUNCTION("GOOGLETRANSLATE(A44277, ""de"", ""en"")"),"Kamil")</f>
        <v>Kamil</v>
      </c>
    </row>
    <row r="44278">
      <c r="A44278" s="1" t="s">
        <v>44277</v>
      </c>
      <c r="B44278" s="2" t="str">
        <f>IFERROR(__xludf.DUMMYFUNCTION("GOOGLETRANSLATE(A44278, ""de"", ""en"")"),"put down")</f>
        <v>put down</v>
      </c>
    </row>
    <row r="44279">
      <c r="A44279" s="1" t="s">
        <v>44278</v>
      </c>
      <c r="B44279" s="2" t="str">
        <f>IFERROR(__xludf.DUMMYFUNCTION("GOOGLETRANSLATE(A44279, ""de"", ""en"")"),"stabilizers")</f>
        <v>stabilizers</v>
      </c>
    </row>
    <row r="44280">
      <c r="A44280" s="1" t="s">
        <v>44279</v>
      </c>
      <c r="B44280" s="2" t="str">
        <f>IFERROR(__xludf.DUMMYFUNCTION("GOOGLETRANSLATE(A44280, ""de"", ""en"")"),"copper")</f>
        <v>copper</v>
      </c>
    </row>
    <row r="44281">
      <c r="A44281" s="1" t="s">
        <v>44280</v>
      </c>
      <c r="B44281" s="2" t="str">
        <f>IFERROR(__xludf.DUMMYFUNCTION("GOOGLETRANSLATE(A44281, ""de"", ""en"")"),"finalists")</f>
        <v>finalists</v>
      </c>
    </row>
    <row r="44282">
      <c r="A44282" s="1" t="s">
        <v>44281</v>
      </c>
      <c r="B44282" s="2" t="str">
        <f>IFERROR(__xludf.DUMMYFUNCTION("GOOGLETRANSLATE(A44282, ""de"", ""en"")"),"logged")</f>
        <v>logged</v>
      </c>
    </row>
    <row r="44283">
      <c r="A44283" s="1" t="s">
        <v>44282</v>
      </c>
      <c r="B44283" s="2" t="str">
        <f>IFERROR(__xludf.DUMMYFUNCTION("GOOGLETRANSLATE(A44283, ""de"", ""en"")"),"good-bye")</f>
        <v>good-bye</v>
      </c>
    </row>
    <row r="44284">
      <c r="A44284" s="1" t="s">
        <v>44283</v>
      </c>
      <c r="B44284" s="2" t="str">
        <f>IFERROR(__xludf.DUMMYFUNCTION("GOOGLETRANSLATE(A44284, ""de"", ""en"")"),"you are")</f>
        <v>you are</v>
      </c>
    </row>
    <row r="44285">
      <c r="A44285" s="1" t="s">
        <v>44284</v>
      </c>
      <c r="B44285" s="2" t="str">
        <f>IFERROR(__xludf.DUMMYFUNCTION("GOOGLETRANSLATE(A44285, ""de"", ""en"")"),"mathematical")</f>
        <v>mathematical</v>
      </c>
    </row>
    <row r="44286">
      <c r="A44286" s="1" t="s">
        <v>44285</v>
      </c>
      <c r="B44286" s="2" t="str">
        <f>IFERROR(__xludf.DUMMYFUNCTION("GOOGLETRANSLATE(A44286, ""de"", ""en"")"),"snotty noses")</f>
        <v>snotty noses</v>
      </c>
    </row>
    <row r="44287">
      <c r="A44287" s="1" t="s">
        <v>44286</v>
      </c>
      <c r="B44287" s="2" t="str">
        <f>IFERROR(__xludf.DUMMYFUNCTION("GOOGLETRANSLATE(A44287, ""de"", ""en"")"),"tracks")</f>
        <v>tracks</v>
      </c>
    </row>
    <row r="44288">
      <c r="A44288" s="1" t="s">
        <v>44287</v>
      </c>
      <c r="B44288" s="2" t="str">
        <f>IFERROR(__xludf.DUMMYFUNCTION("GOOGLETRANSLATE(A44288, ""de"", ""en"")"),"precaution")</f>
        <v>precaution</v>
      </c>
    </row>
    <row r="44289">
      <c r="A44289" s="1" t="s">
        <v>44288</v>
      </c>
      <c r="B44289" s="2" t="str">
        <f>IFERROR(__xludf.DUMMYFUNCTION("GOOGLETRANSLATE(A44289, ""de"", ""en"")"),"toomey")</f>
        <v>toomey</v>
      </c>
    </row>
    <row r="44290">
      <c r="A44290" s="1" t="s">
        <v>44289</v>
      </c>
      <c r="B44290" s="2" t="str">
        <f>IFERROR(__xludf.DUMMYFUNCTION("GOOGLETRANSLATE(A44290, ""de"", ""en"")"),"bridging")</f>
        <v>bridging</v>
      </c>
    </row>
    <row r="44291">
      <c r="A44291" s="1" t="s">
        <v>44290</v>
      </c>
      <c r="B44291" s="2" t="str">
        <f>IFERROR(__xludf.DUMMYFUNCTION("GOOGLETRANSLATE(A44291, ""de"", ""en"")"),"crisis meeting")</f>
        <v>crisis meeting</v>
      </c>
    </row>
    <row r="44292">
      <c r="A44292" s="1" t="s">
        <v>44291</v>
      </c>
      <c r="B44292" s="2" t="str">
        <f>IFERROR(__xludf.DUMMYFUNCTION("GOOGLETRANSLATE(A44292, ""de"", ""en"")"),"flash of inspiration")</f>
        <v>flash of inspiration</v>
      </c>
    </row>
    <row r="44293">
      <c r="A44293" s="1" t="s">
        <v>44292</v>
      </c>
      <c r="B44293" s="2" t="str">
        <f>IFERROR(__xludf.DUMMYFUNCTION("GOOGLETRANSLATE(A44293, ""de"", ""en"")"),"blinders")</f>
        <v>blinders</v>
      </c>
    </row>
    <row r="44294">
      <c r="A44294" s="1" t="s">
        <v>44293</v>
      </c>
      <c r="B44294" s="2" t="str">
        <f>IFERROR(__xludf.DUMMYFUNCTION("GOOGLETRANSLATE(A44294, ""de"", ""en"")"),"sprint")</f>
        <v>sprint</v>
      </c>
    </row>
    <row r="44295">
      <c r="A44295" s="1" t="s">
        <v>44294</v>
      </c>
      <c r="B44295" s="2" t="str">
        <f>IFERROR(__xludf.DUMMYFUNCTION("GOOGLETRANSLATE(A44295, ""de"", ""en"")"),"prom")</f>
        <v>prom</v>
      </c>
    </row>
    <row r="44296">
      <c r="A44296" s="1" t="s">
        <v>44295</v>
      </c>
      <c r="B44296" s="2" t="str">
        <f>IFERROR(__xludf.DUMMYFUNCTION("GOOGLETRANSLATE(A44296, ""de"", ""en"")"),"procurement")</f>
        <v>procurement</v>
      </c>
    </row>
    <row r="44297">
      <c r="A44297" s="1" t="s">
        <v>44296</v>
      </c>
      <c r="B44297" s="2" t="str">
        <f>IFERROR(__xludf.DUMMYFUNCTION("GOOGLETRANSLATE(A44297, ""de"", ""en"")"),"looo")</f>
        <v>looo</v>
      </c>
    </row>
    <row r="44298">
      <c r="A44298" s="1" t="s">
        <v>44297</v>
      </c>
      <c r="B44298" s="2" t="str">
        <f>IFERROR(__xludf.DUMMYFUNCTION("GOOGLETRANSLATE(A44298, ""de"", ""en"")"),"lustful")</f>
        <v>lustful</v>
      </c>
    </row>
    <row r="44299">
      <c r="A44299" s="1" t="s">
        <v>44298</v>
      </c>
      <c r="B44299" s="2" t="str">
        <f>IFERROR(__xludf.DUMMYFUNCTION("GOOGLETRANSLATE(A44299, ""de"", ""en"")"),"mouthpiece")</f>
        <v>mouthpiece</v>
      </c>
    </row>
    <row r="44300">
      <c r="A44300" s="1" t="s">
        <v>44299</v>
      </c>
      <c r="B44300" s="2" t="str">
        <f>IFERROR(__xludf.DUMMYFUNCTION("GOOGLETRANSLATE(A44300, ""de"", ""en"")"),"jolinar")</f>
        <v>jolinar</v>
      </c>
    </row>
    <row r="44301">
      <c r="A44301" s="1" t="s">
        <v>44300</v>
      </c>
      <c r="B44301" s="2" t="str">
        <f>IFERROR(__xludf.DUMMYFUNCTION("GOOGLETRANSLATE(A44301, ""de"", ""en"")"),"restrict")</f>
        <v>restrict</v>
      </c>
    </row>
    <row r="44302">
      <c r="A44302" s="1" t="s">
        <v>44301</v>
      </c>
      <c r="B44302" s="2" t="str">
        <f>IFERROR(__xludf.DUMMYFUNCTION("GOOGLETRANSLATE(A44302, ""de"", ""en"")"),"licenses")</f>
        <v>licenses</v>
      </c>
    </row>
    <row r="44303">
      <c r="A44303" s="1" t="s">
        <v>44302</v>
      </c>
      <c r="B44303" s="2" t="str">
        <f>IFERROR(__xludf.DUMMYFUNCTION("GOOGLETRANSLATE(A44303, ""de"", ""en"")"),"decryption")</f>
        <v>decryption</v>
      </c>
    </row>
    <row r="44304">
      <c r="A44304" s="1" t="s">
        <v>44303</v>
      </c>
      <c r="B44304" s="2" t="str">
        <f>IFERROR(__xludf.DUMMYFUNCTION("GOOGLETRANSLATE(A44304, ""de"", ""en"")"),"newer")</f>
        <v>newer</v>
      </c>
    </row>
    <row r="44305">
      <c r="A44305" s="1" t="s">
        <v>44304</v>
      </c>
      <c r="B44305" s="2" t="str">
        <f>IFERROR(__xludf.DUMMYFUNCTION("GOOGLETRANSLATE(A44305, ""de"", ""en"")"),"yapping")</f>
        <v>yapping</v>
      </c>
    </row>
    <row r="44306">
      <c r="A44306" s="1" t="s">
        <v>44305</v>
      </c>
      <c r="B44306" s="2" t="str">
        <f>IFERROR(__xludf.DUMMYFUNCTION("GOOGLETRANSLATE(A44306, ""de"", ""en"")"),"xy")</f>
        <v>xy</v>
      </c>
    </row>
    <row r="44307">
      <c r="A44307" s="1" t="s">
        <v>44306</v>
      </c>
      <c r="B44307" s="2" t="str">
        <f>IFERROR(__xludf.DUMMYFUNCTION("GOOGLETRANSLATE(A44307, ""de"", ""en"")"),"ak-47")</f>
        <v>ak-47</v>
      </c>
    </row>
    <row r="44308">
      <c r="A44308" s="1" t="s">
        <v>44307</v>
      </c>
      <c r="B44308" s="2" t="str">
        <f>IFERROR(__xludf.DUMMYFUNCTION("GOOGLETRANSLATE(A44308, ""de"", ""en"")"),"tobruk")</f>
        <v>tobruk</v>
      </c>
    </row>
    <row r="44309">
      <c r="A44309" s="1" t="s">
        <v>44308</v>
      </c>
      <c r="B44309" s="2" t="str">
        <f>IFERROR(__xludf.DUMMYFUNCTION("GOOGLETRANSLATE(A44309, ""de"", ""en"")"),"franklins")</f>
        <v>franklins</v>
      </c>
    </row>
    <row r="44310">
      <c r="A44310" s="1" t="s">
        <v>44309</v>
      </c>
      <c r="B44310" s="2" t="str">
        <f>IFERROR(__xludf.DUMMYFUNCTION("GOOGLETRANSLATE(A44310, ""de"", ""en"")"),"sadler")</f>
        <v>sadler</v>
      </c>
    </row>
    <row r="44311">
      <c r="A44311" s="1" t="s">
        <v>44310</v>
      </c>
      <c r="B44311" s="2" t="str">
        <f>IFERROR(__xludf.DUMMYFUNCTION("GOOGLETRANSLATE(A44311, ""de"", ""en"")"),"put in")</f>
        <v>put in</v>
      </c>
    </row>
    <row r="44312">
      <c r="A44312" s="1" t="s">
        <v>44311</v>
      </c>
      <c r="B44312" s="2" t="str">
        <f>IFERROR(__xludf.DUMMYFUNCTION("GOOGLETRANSLATE(A44312, ""de"", ""en"")"),"leaf")</f>
        <v>leaf</v>
      </c>
    </row>
    <row r="44313">
      <c r="A44313" s="1" t="s">
        <v>44312</v>
      </c>
      <c r="B44313" s="2" t="str">
        <f>IFERROR(__xludf.DUMMYFUNCTION("GOOGLETRANSLATE(A44313, ""de"", ""en"")"),"results")</f>
        <v>results</v>
      </c>
    </row>
    <row r="44314">
      <c r="A44314" s="1" t="s">
        <v>44313</v>
      </c>
      <c r="B44314" s="2" t="str">
        <f>IFERROR(__xludf.DUMMYFUNCTION("GOOGLETRANSLATE(A44314, ""de"", ""en"")"),"kittens")</f>
        <v>kittens</v>
      </c>
    </row>
    <row r="44315">
      <c r="A44315" s="1" t="s">
        <v>44314</v>
      </c>
      <c r="B44315" s="2" t="str">
        <f>IFERROR(__xludf.DUMMYFUNCTION("GOOGLETRANSLATE(A44315, ""de"", ""en"")"),"uncomfortable")</f>
        <v>uncomfortable</v>
      </c>
    </row>
    <row r="44316">
      <c r="A44316" s="1" t="s">
        <v>44315</v>
      </c>
      <c r="B44316" s="2" t="str">
        <f>IFERROR(__xludf.DUMMYFUNCTION("GOOGLETRANSLATE(A44316, ""de"", ""en"")"),"pale faces")</f>
        <v>pale faces</v>
      </c>
    </row>
    <row r="44317">
      <c r="A44317" s="1" t="s">
        <v>44316</v>
      </c>
      <c r="B44317" s="2" t="str">
        <f>IFERROR(__xludf.DUMMYFUNCTION("GOOGLETRANSLATE(A44317, ""de"", ""en"")"),"caught up")</f>
        <v>caught up</v>
      </c>
    </row>
    <row r="44318">
      <c r="A44318" s="1" t="s">
        <v>44317</v>
      </c>
      <c r="B44318" s="2" t="str">
        <f>IFERROR(__xludf.DUMMYFUNCTION("GOOGLETRANSLATE(A44318, ""de"", ""en"")"),"get loose")</f>
        <v>get loose</v>
      </c>
    </row>
    <row r="44319">
      <c r="A44319" s="1" t="s">
        <v>44318</v>
      </c>
      <c r="B44319" s="2" t="str">
        <f>IFERROR(__xludf.DUMMYFUNCTION("GOOGLETRANSLATE(A44319, ""de"", ""en"")"),"connections")</f>
        <v>connections</v>
      </c>
    </row>
    <row r="44320">
      <c r="A44320" s="1" t="s">
        <v>44319</v>
      </c>
      <c r="B44320" s="2" t="str">
        <f>IFERROR(__xludf.DUMMYFUNCTION("GOOGLETRANSLATE(A44320, ""de"", ""en"")"),"screaming")</f>
        <v>screaming</v>
      </c>
    </row>
    <row r="44321">
      <c r="A44321" s="1" t="s">
        <v>44320</v>
      </c>
      <c r="B44321" s="2" t="str">
        <f>IFERROR(__xludf.DUMMYFUNCTION("GOOGLETRANSLATE(A44321, ""de"", ""en"")"),"owner")</f>
        <v>owner</v>
      </c>
    </row>
    <row r="44322">
      <c r="A44322" s="1" t="s">
        <v>44321</v>
      </c>
      <c r="B44322" s="2" t="str">
        <f>IFERROR(__xludf.DUMMYFUNCTION("GOOGLETRANSLATE(A44322, ""de"", ""en"")"),"hedges")</f>
        <v>hedges</v>
      </c>
    </row>
    <row r="44323">
      <c r="A44323" s="1" t="s">
        <v>44322</v>
      </c>
      <c r="B44323" s="2" t="str">
        <f>IFERROR(__xludf.DUMMYFUNCTION("GOOGLETRANSLATE(A44323, ""de"", ""en"")"),"portman")</f>
        <v>portman</v>
      </c>
    </row>
    <row r="44324">
      <c r="A44324" s="1" t="s">
        <v>44323</v>
      </c>
      <c r="B44324" s="2" t="str">
        <f>IFERROR(__xludf.DUMMYFUNCTION("GOOGLETRANSLATE(A44324, ""de"", ""en"")"),"Macon")</f>
        <v>Macon</v>
      </c>
    </row>
    <row r="44325">
      <c r="A44325" s="1" t="s">
        <v>44324</v>
      </c>
      <c r="B44325" s="2" t="str">
        <f>IFERROR(__xludf.DUMMYFUNCTION("GOOGLETRANSLATE(A44325, ""de"", ""en"")"),"Klingon")</f>
        <v>Klingon</v>
      </c>
    </row>
    <row r="44326">
      <c r="A44326" s="1" t="s">
        <v>44325</v>
      </c>
      <c r="B44326" s="2" t="str">
        <f>IFERROR(__xludf.DUMMYFUNCTION("GOOGLETRANSLATE(A44326, ""de"", ""en"")"),"short-circuited")</f>
        <v>short-circuited</v>
      </c>
    </row>
    <row r="44327">
      <c r="A44327" s="1" t="s">
        <v>44326</v>
      </c>
      <c r="B44327" s="2" t="str">
        <f>IFERROR(__xludf.DUMMYFUNCTION("GOOGLETRANSLATE(A44327, ""de"", ""en"")"),"scrapped")</f>
        <v>scrapped</v>
      </c>
    </row>
    <row r="44328">
      <c r="A44328" s="1" t="s">
        <v>44327</v>
      </c>
      <c r="B44328" s="2" t="str">
        <f>IFERROR(__xludf.DUMMYFUNCTION("GOOGLETRANSLATE(A44328, ""de"", ""en"")"),"scar tissue")</f>
        <v>scar tissue</v>
      </c>
    </row>
    <row r="44329">
      <c r="A44329" s="1" t="s">
        <v>44328</v>
      </c>
      <c r="B44329" s="2" t="str">
        <f>IFERROR(__xludf.DUMMYFUNCTION("GOOGLETRANSLATE(A44329, ""de"", ""en"")"),"independent")</f>
        <v>independent</v>
      </c>
    </row>
    <row r="44330">
      <c r="A44330" s="1" t="s">
        <v>44329</v>
      </c>
      <c r="B44330" s="2" t="str">
        <f>IFERROR(__xludf.DUMMYFUNCTION("GOOGLETRANSLATE(A44330, ""de"", ""en"")"),"medium")</f>
        <v>medium</v>
      </c>
    </row>
    <row r="44331">
      <c r="A44331" s="1" t="s">
        <v>44330</v>
      </c>
      <c r="B44331" s="2" t="str">
        <f>IFERROR(__xludf.DUMMYFUNCTION("GOOGLETRANSLATE(A44331, ""de"", ""en"")"),"auctioned")</f>
        <v>auctioned</v>
      </c>
    </row>
    <row r="44332">
      <c r="A44332" s="1" t="s">
        <v>44331</v>
      </c>
      <c r="B44332" s="2" t="str">
        <f>IFERROR(__xludf.DUMMYFUNCTION("GOOGLETRANSLATE(A44332, ""de"", ""en"")"),"johs")</f>
        <v>johs</v>
      </c>
    </row>
    <row r="44333">
      <c r="A44333" s="1" t="s">
        <v>44332</v>
      </c>
      <c r="B44333" s="2" t="str">
        <f>IFERROR(__xludf.DUMMYFUNCTION("GOOGLETRANSLATE(A44333, ""de"", ""en"")"),"lovett")</f>
        <v>lovett</v>
      </c>
    </row>
    <row r="44334">
      <c r="A44334" s="1" t="s">
        <v>44333</v>
      </c>
      <c r="B44334" s="2" t="str">
        <f>IFERROR(__xludf.DUMMYFUNCTION("GOOGLETRANSLATE(A44334, ""de"", ""en"")"),"patent")</f>
        <v>patent</v>
      </c>
    </row>
    <row r="44335">
      <c r="A44335" s="1" t="s">
        <v>44334</v>
      </c>
      <c r="B44335" s="2" t="str">
        <f>IFERROR(__xludf.DUMMYFUNCTION("GOOGLETRANSLATE(A44335, ""de"", ""en"")"),"hirni")</f>
        <v>hirni</v>
      </c>
    </row>
    <row r="44336">
      <c r="A44336" s="1" t="s">
        <v>44335</v>
      </c>
      <c r="B44336" s="2" t="str">
        <f>IFERROR(__xludf.DUMMYFUNCTION("GOOGLETRANSLATE(A44336, ""de"", ""en"")"),"more naive")</f>
        <v>more naive</v>
      </c>
    </row>
    <row r="44337">
      <c r="A44337" s="1" t="s">
        <v>44336</v>
      </c>
      <c r="B44337" s="2" t="str">
        <f>IFERROR(__xludf.DUMMYFUNCTION("GOOGLETRANSLATE(A44337, ""de"", ""en"")"),"maternal instinct")</f>
        <v>maternal instinct</v>
      </c>
    </row>
    <row r="44338">
      <c r="A44338" s="1" t="s">
        <v>44337</v>
      </c>
      <c r="B44338" s="2" t="str">
        <f>IFERROR(__xludf.DUMMYFUNCTION("GOOGLETRANSLATE(A44338, ""de"", ""en"")"),"resurrect")</f>
        <v>resurrect</v>
      </c>
    </row>
    <row r="44339">
      <c r="A44339" s="1" t="s">
        <v>44338</v>
      </c>
      <c r="B44339" s="2" t="str">
        <f>IFERROR(__xludf.DUMMYFUNCTION("GOOGLETRANSLATE(A44339, ""de"", ""en"")"),"nuclear missiles")</f>
        <v>nuclear missiles</v>
      </c>
    </row>
    <row r="44340">
      <c r="A44340" s="1" t="s">
        <v>44339</v>
      </c>
      <c r="B44340" s="2" t="str">
        <f>IFERROR(__xludf.DUMMYFUNCTION("GOOGLETRANSLATE(A44340, ""de"", ""en"")"),"arrived")</f>
        <v>arrived</v>
      </c>
    </row>
    <row r="44341">
      <c r="A44341" s="1" t="s">
        <v>44340</v>
      </c>
      <c r="B44341" s="2" t="str">
        <f>IFERROR(__xludf.DUMMYFUNCTION("GOOGLETRANSLATE(A44341, ""de"", ""en"")"),"archdiocese")</f>
        <v>archdiocese</v>
      </c>
    </row>
    <row r="44342">
      <c r="A44342" s="1" t="s">
        <v>44341</v>
      </c>
      <c r="B44342" s="2" t="str">
        <f>IFERROR(__xludf.DUMMYFUNCTION("GOOGLETRANSLATE(A44342, ""de"", ""en"")"),"bain")</f>
        <v>bain</v>
      </c>
    </row>
    <row r="44343">
      <c r="A44343" s="1" t="s">
        <v>44342</v>
      </c>
      <c r="B44343" s="2" t="str">
        <f>IFERROR(__xludf.DUMMYFUNCTION("GOOGLETRANSLATE(A44343, ""de"", ""en"")"),"griffins")</f>
        <v>griffins</v>
      </c>
    </row>
    <row r="44344">
      <c r="A44344" s="1" t="s">
        <v>44343</v>
      </c>
      <c r="B44344" s="2" t="str">
        <f>IFERROR(__xludf.DUMMYFUNCTION("GOOGLETRANSLATE(A44344, ""de"", ""en"")"),"fits together")</f>
        <v>fits together</v>
      </c>
    </row>
    <row r="44345">
      <c r="A44345" s="1" t="s">
        <v>44344</v>
      </c>
      <c r="B44345" s="2" t="str">
        <f>IFERROR(__xludf.DUMMYFUNCTION("GOOGLETRANSLATE(A44345, ""de"", ""en"")"),"Jehovah")</f>
        <v>Jehovah</v>
      </c>
    </row>
    <row r="44346">
      <c r="A44346" s="1" t="s">
        <v>44345</v>
      </c>
      <c r="B44346" s="2" t="str">
        <f>IFERROR(__xludf.DUMMYFUNCTION("GOOGLETRANSLATE(A44346, ""de"", ""en"")"),"golf ball")</f>
        <v>golf ball</v>
      </c>
    </row>
    <row r="44347">
      <c r="A44347" s="1" t="s">
        <v>44346</v>
      </c>
      <c r="B44347" s="2" t="str">
        <f>IFERROR(__xludf.DUMMYFUNCTION("GOOGLETRANSLATE(A44347, ""de"", ""en"")"),"zana")</f>
        <v>zana</v>
      </c>
    </row>
    <row r="44348">
      <c r="A44348" s="1" t="s">
        <v>44347</v>
      </c>
      <c r="B44348" s="2" t="str">
        <f>IFERROR(__xludf.DUMMYFUNCTION("GOOGLETRANSLATE(A44348, ""de"", ""en"")"),"tibbs")</f>
        <v>tibbs</v>
      </c>
    </row>
    <row r="44349">
      <c r="A44349" s="1" t="s">
        <v>44348</v>
      </c>
      <c r="B44349" s="2" t="str">
        <f>IFERROR(__xludf.DUMMYFUNCTION("GOOGLETRANSLATE(A44349, ""de"", ""en"")"),"off duty")</f>
        <v>off duty</v>
      </c>
    </row>
    <row r="44350">
      <c r="A44350" s="1" t="s">
        <v>44349</v>
      </c>
      <c r="B44350" s="2" t="str">
        <f>IFERROR(__xludf.DUMMYFUNCTION("GOOGLETRANSLATE(A44350, ""de"", ""en"")"),"sanni")</f>
        <v>sanni</v>
      </c>
    </row>
    <row r="44351">
      <c r="A44351" s="1" t="s">
        <v>44350</v>
      </c>
      <c r="B44351" s="2" t="str">
        <f>IFERROR(__xludf.DUMMYFUNCTION("GOOGLETRANSLATE(A44351, ""de"", ""en"")"),"evolved")</f>
        <v>evolved</v>
      </c>
    </row>
    <row r="44352">
      <c r="A44352" s="1" t="s">
        <v>44351</v>
      </c>
      <c r="B44352" s="2" t="str">
        <f>IFERROR(__xludf.DUMMYFUNCTION("GOOGLETRANSLATE(A44352, ""de"", ""en"")"),"percys")</f>
        <v>percys</v>
      </c>
    </row>
    <row r="44353">
      <c r="A44353" s="1" t="s">
        <v>44352</v>
      </c>
      <c r="B44353" s="2" t="str">
        <f>IFERROR(__xludf.DUMMYFUNCTION("GOOGLETRANSLATE(A44353, ""de"", ""en"")"),"requested")</f>
        <v>requested</v>
      </c>
    </row>
    <row r="44354">
      <c r="A44354" s="1" t="s">
        <v>44353</v>
      </c>
      <c r="B44354" s="2" t="str">
        <f>IFERROR(__xludf.DUMMYFUNCTION("GOOGLETRANSLATE(A44354, ""de"", ""en"")"),"penetrated")</f>
        <v>penetrated</v>
      </c>
    </row>
    <row r="44355">
      <c r="A44355" s="1" t="s">
        <v>44354</v>
      </c>
      <c r="B44355" s="2" t="str">
        <f>IFERROR(__xludf.DUMMYFUNCTION("GOOGLETRANSLATE(A44355, ""de"", ""en"")"),"flawless")</f>
        <v>flawless</v>
      </c>
    </row>
    <row r="44356">
      <c r="A44356" s="1" t="s">
        <v>44355</v>
      </c>
      <c r="B44356" s="2" t="str">
        <f>IFERROR(__xludf.DUMMYFUNCTION("GOOGLETRANSLATE(A44356, ""de"", ""en"")"),"firestorm")</f>
        <v>firestorm</v>
      </c>
    </row>
    <row r="44357">
      <c r="A44357" s="1" t="s">
        <v>44356</v>
      </c>
      <c r="B44357" s="2" t="str">
        <f>IFERROR(__xludf.DUMMYFUNCTION("GOOGLETRANSLATE(A44357, ""de"", ""en"")"),"investigation")</f>
        <v>investigation</v>
      </c>
    </row>
    <row r="44358">
      <c r="A44358" s="1" t="s">
        <v>44357</v>
      </c>
      <c r="B44358" s="2" t="str">
        <f>IFERROR(__xludf.DUMMYFUNCTION("GOOGLETRANSLATE(A44358, ""de"", ""en"")"),"shangri-la")</f>
        <v>shangri-la</v>
      </c>
    </row>
    <row r="44359">
      <c r="A44359" s="1" t="s">
        <v>44358</v>
      </c>
      <c r="B44359" s="2" t="str">
        <f>IFERROR(__xludf.DUMMYFUNCTION("GOOGLETRANSLATE(A44359, ""de"", ""en"")"),"loved")</f>
        <v>loved</v>
      </c>
    </row>
    <row r="44360">
      <c r="A44360" s="1" t="s">
        <v>44359</v>
      </c>
      <c r="B44360" s="2" t="str">
        <f>IFERROR(__xludf.DUMMYFUNCTION("GOOGLETRANSLATE(A44360, ""de"", ""en"")"),"longworth")</f>
        <v>longworth</v>
      </c>
    </row>
    <row r="44361">
      <c r="A44361" s="1" t="s">
        <v>44360</v>
      </c>
      <c r="B44361" s="2" t="str">
        <f>IFERROR(__xludf.DUMMYFUNCTION("GOOGLETRANSLATE(A44361, ""de"", ""en"")"),"ambitious")</f>
        <v>ambitious</v>
      </c>
    </row>
    <row r="44362">
      <c r="A44362" s="1" t="s">
        <v>44361</v>
      </c>
      <c r="B44362" s="2" t="str">
        <f>IFERROR(__xludf.DUMMYFUNCTION("GOOGLETRANSLATE(A44362, ""de"", ""en"")"),"pitch dark")</f>
        <v>pitch dark</v>
      </c>
    </row>
    <row r="44363">
      <c r="A44363" s="1" t="s">
        <v>44362</v>
      </c>
      <c r="B44363" s="2" t="str">
        <f>IFERROR(__xludf.DUMMYFUNCTION("GOOGLETRANSLATE(A44363, ""de"", ""en"")"),"paganini")</f>
        <v>paganini</v>
      </c>
    </row>
    <row r="44364">
      <c r="A44364" s="1" t="s">
        <v>44363</v>
      </c>
      <c r="B44364" s="2" t="str">
        <f>IFERROR(__xludf.DUMMYFUNCTION("GOOGLETRANSLATE(A44364, ""de"", ""en"")"),"compensation")</f>
        <v>compensation</v>
      </c>
    </row>
    <row r="44365">
      <c r="A44365" s="1" t="s">
        <v>44364</v>
      </c>
      <c r="B44365" s="2" t="str">
        <f>IFERROR(__xludf.DUMMYFUNCTION("GOOGLETRANSLATE(A44365, ""de"", ""en"")"),"hairbrush")</f>
        <v>hairbrush</v>
      </c>
    </row>
    <row r="44366">
      <c r="A44366" s="1" t="s">
        <v>44365</v>
      </c>
      <c r="B44366" s="2" t="str">
        <f>IFERROR(__xludf.DUMMYFUNCTION("GOOGLETRANSLATE(A44366, ""de"", ""en"")"),"golden")</f>
        <v>golden</v>
      </c>
    </row>
    <row r="44367">
      <c r="A44367" s="1" t="s">
        <v>44366</v>
      </c>
      <c r="B44367" s="2" t="str">
        <f>IFERROR(__xludf.DUMMYFUNCTION("GOOGLETRANSLATE(A44367, ""de"", ""en"")"),"those on duty")</f>
        <v>those on duty</v>
      </c>
    </row>
    <row r="44368">
      <c r="A44368" s="1" t="s">
        <v>44367</v>
      </c>
      <c r="B44368" s="2" t="str">
        <f>IFERROR(__xludf.DUMMYFUNCTION("GOOGLETRANSLATE(A44368, ""de"", ""en"")"),"killings")</f>
        <v>killings</v>
      </c>
    </row>
    <row r="44369">
      <c r="A44369" s="1" t="s">
        <v>44368</v>
      </c>
      <c r="B44369" s="2" t="str">
        <f>IFERROR(__xludf.DUMMYFUNCTION("GOOGLETRANSLATE(A44369, ""de"", ""en"")"),"totty")</f>
        <v>totty</v>
      </c>
    </row>
    <row r="44370">
      <c r="A44370" s="1" t="s">
        <v>44369</v>
      </c>
      <c r="B44370" s="2" t="str">
        <f>IFERROR(__xludf.DUMMYFUNCTION("GOOGLETRANSLATE(A44370, ""de"", ""en"")"),"acoustic")</f>
        <v>acoustic</v>
      </c>
    </row>
    <row r="44371">
      <c r="A44371" s="1" t="s">
        <v>44370</v>
      </c>
      <c r="B44371" s="2" t="str">
        <f>IFERROR(__xludf.DUMMYFUNCTION("GOOGLETRANSLATE(A44371, ""de"", ""en"")"),"brainless")</f>
        <v>brainless</v>
      </c>
    </row>
    <row r="44372">
      <c r="A44372" s="1" t="s">
        <v>44371</v>
      </c>
      <c r="B44372" s="2" t="str">
        <f>IFERROR(__xludf.DUMMYFUNCTION("GOOGLETRANSLATE(A44372, ""de"", ""en"")"),"tars")</f>
        <v>tars</v>
      </c>
    </row>
    <row r="44373">
      <c r="A44373" s="1" t="s">
        <v>44372</v>
      </c>
      <c r="B44373" s="2" t="str">
        <f>IFERROR(__xludf.DUMMYFUNCTION("GOOGLETRANSLATE(A44373, ""de"", ""en"")"),"galra")</f>
        <v>galra</v>
      </c>
    </row>
    <row r="44374">
      <c r="A44374" s="1" t="s">
        <v>44373</v>
      </c>
      <c r="B44374" s="2" t="str">
        <f>IFERROR(__xludf.DUMMYFUNCTION("GOOGLETRANSLATE(A44374, ""de"", ""en"")"),"mediate")</f>
        <v>mediate</v>
      </c>
    </row>
    <row r="44375">
      <c r="A44375" s="1" t="s">
        <v>44374</v>
      </c>
      <c r="B44375" s="2" t="str">
        <f>IFERROR(__xludf.DUMMYFUNCTION("GOOGLETRANSLATE(A44375, ""de"", ""en"")"),"door frame")</f>
        <v>door frame</v>
      </c>
    </row>
    <row r="44376">
      <c r="A44376" s="1" t="s">
        <v>44375</v>
      </c>
      <c r="B44376" s="2" t="str">
        <f>IFERROR(__xludf.DUMMYFUNCTION("GOOGLETRANSLATE(A44376, ""de"", ""en"")"),"planchet")</f>
        <v>planchet</v>
      </c>
    </row>
    <row r="44377">
      <c r="A44377" s="1" t="s">
        <v>44376</v>
      </c>
      <c r="B44377" s="2" t="str">
        <f>IFERROR(__xludf.DUMMYFUNCTION("GOOGLETRANSLATE(A44377, ""de"", ""en"")"),"chain")</f>
        <v>chain</v>
      </c>
    </row>
    <row r="44378">
      <c r="A44378" s="1" t="s">
        <v>44377</v>
      </c>
      <c r="B44378" s="2" t="str">
        <f>IFERROR(__xludf.DUMMYFUNCTION("GOOGLETRANSLATE(A44378, ""de"", ""en"")"),"humpty")</f>
        <v>humpty</v>
      </c>
    </row>
    <row r="44379">
      <c r="A44379" s="1" t="s">
        <v>44378</v>
      </c>
      <c r="B44379" s="2" t="str">
        <f>IFERROR(__xludf.DUMMYFUNCTION("GOOGLETRANSLATE(A44379, ""de"", ""en"")"),"residence permit")</f>
        <v>residence permit</v>
      </c>
    </row>
    <row r="44380">
      <c r="A44380" s="1" t="s">
        <v>44379</v>
      </c>
      <c r="B44380" s="2" t="str">
        <f>IFERROR(__xludf.DUMMYFUNCTION("GOOGLETRANSLATE(A44380, ""de"", ""en"")"),"medical students")</f>
        <v>medical students</v>
      </c>
    </row>
    <row r="44381">
      <c r="A44381" s="1" t="s">
        <v>44380</v>
      </c>
      <c r="B44381" s="2" t="str">
        <f>IFERROR(__xludf.DUMMYFUNCTION("GOOGLETRANSLATE(A44381, ""de"", ""en"")"),"charon")</f>
        <v>charon</v>
      </c>
    </row>
    <row r="44382">
      <c r="A44382" s="1" t="s">
        <v>44381</v>
      </c>
      <c r="B44382" s="2" t="str">
        <f>IFERROR(__xludf.DUMMYFUNCTION("GOOGLETRANSLATE(A44382, ""de"", ""en"")"),"designate")</f>
        <v>designate</v>
      </c>
    </row>
    <row r="44383">
      <c r="A44383" s="1" t="s">
        <v>44382</v>
      </c>
      <c r="B44383" s="2" t="str">
        <f>IFERROR(__xludf.DUMMYFUNCTION("GOOGLETRANSLATE(A44383, ""de"", ""en"")"),"curly")</f>
        <v>curly</v>
      </c>
    </row>
    <row r="44384">
      <c r="A44384" s="1" t="s">
        <v>44383</v>
      </c>
      <c r="B44384" s="2" t="str">
        <f>IFERROR(__xludf.DUMMYFUNCTION("GOOGLETRANSLATE(A44384, ""de"", ""en"")"),"walmart")</f>
        <v>walmart</v>
      </c>
    </row>
    <row r="44385">
      <c r="A44385" s="1" t="s">
        <v>44384</v>
      </c>
      <c r="B44385" s="2" t="str">
        <f>IFERROR(__xludf.DUMMYFUNCTION("GOOGLETRANSLATE(A44385, ""de"", ""en"")"),"eradicate")</f>
        <v>eradicate</v>
      </c>
    </row>
    <row r="44386">
      <c r="A44386" s="1" t="s">
        <v>44385</v>
      </c>
      <c r="B44386" s="2" t="str">
        <f>IFERROR(__xludf.DUMMYFUNCTION("GOOGLETRANSLATE(A44386, ""de"", ""en"")"),"slammed shut")</f>
        <v>slammed shut</v>
      </c>
    </row>
    <row r="44387">
      <c r="A44387" s="1" t="s">
        <v>44386</v>
      </c>
      <c r="B44387" s="2" t="str">
        <f>IFERROR(__xludf.DUMMYFUNCTION("GOOGLETRANSLATE(A44387, ""de"", ""en"")"),"conjectures")</f>
        <v>conjectures</v>
      </c>
    </row>
    <row r="44388">
      <c r="A44388" s="1" t="s">
        <v>44387</v>
      </c>
      <c r="B44388" s="2" t="str">
        <f>IFERROR(__xludf.DUMMYFUNCTION("GOOGLETRANSLATE(A44388, ""de"", ""en"")"),"ring finger")</f>
        <v>ring finger</v>
      </c>
    </row>
    <row r="44389">
      <c r="A44389" s="1" t="s">
        <v>44388</v>
      </c>
      <c r="B44389" s="2" t="str">
        <f>IFERROR(__xludf.DUMMYFUNCTION("GOOGLETRANSLATE(A44389, ""de"", ""en"")"),"chameleon")</f>
        <v>chameleon</v>
      </c>
    </row>
    <row r="44390">
      <c r="A44390" s="1" t="s">
        <v>44389</v>
      </c>
      <c r="B44390" s="2" t="str">
        <f>IFERROR(__xludf.DUMMYFUNCTION("GOOGLETRANSLATE(A44390, ""de"", ""en"")"),"emblem")</f>
        <v>emblem</v>
      </c>
    </row>
    <row r="44391">
      <c r="A44391" s="1" t="s">
        <v>44390</v>
      </c>
      <c r="B44391" s="2" t="str">
        <f>IFERROR(__xludf.DUMMYFUNCTION("GOOGLETRANSLATE(A44391, ""de"", ""en"")"),"chipmunks")</f>
        <v>chipmunks</v>
      </c>
    </row>
    <row r="44392">
      <c r="A44392" s="1" t="s">
        <v>44391</v>
      </c>
      <c r="B44392" s="2" t="str">
        <f>IFERROR(__xludf.DUMMYFUNCTION("GOOGLETRANSLATE(A44392, ""de"", ""en"")"),"walk out")</f>
        <v>walk out</v>
      </c>
    </row>
    <row r="44393">
      <c r="A44393" s="1" t="s">
        <v>44392</v>
      </c>
      <c r="B44393" s="2" t="str">
        <f>IFERROR(__xludf.DUMMYFUNCTION("GOOGLETRANSLATE(A44393, ""de"", ""en"")"),"ater")</f>
        <v>ater</v>
      </c>
    </row>
    <row r="44394">
      <c r="A44394" s="1" t="s">
        <v>44393</v>
      </c>
      <c r="B44394" s="2" t="str">
        <f>IFERROR(__xludf.DUMMYFUNCTION("GOOGLETRANSLATE(A44394, ""de"", ""en"")"),"rums")</f>
        <v>rums</v>
      </c>
    </row>
    <row r="44395">
      <c r="A44395" s="1" t="s">
        <v>44394</v>
      </c>
      <c r="B44395" s="2" t="str">
        <f>IFERROR(__xludf.DUMMYFUNCTION("GOOGLETRANSLATE(A44395, ""de"", ""en"")"),"barista")</f>
        <v>barista</v>
      </c>
    </row>
    <row r="44396">
      <c r="A44396" s="1" t="s">
        <v>44395</v>
      </c>
      <c r="B44396" s="2" t="str">
        <f>IFERROR(__xludf.DUMMYFUNCTION("GOOGLETRANSLATE(A44396, ""de"", ""en"")"),"geologists")</f>
        <v>geologists</v>
      </c>
    </row>
    <row r="44397">
      <c r="A44397" s="1" t="s">
        <v>44396</v>
      </c>
      <c r="B44397" s="2" t="str">
        <f>IFERROR(__xludf.DUMMYFUNCTION("GOOGLETRANSLATE(A44397, ""de"", ""en"")"),"degra")</f>
        <v>degra</v>
      </c>
    </row>
    <row r="44398">
      <c r="A44398" s="1" t="s">
        <v>44397</v>
      </c>
      <c r="B44398" s="2" t="str">
        <f>IFERROR(__xludf.DUMMYFUNCTION("GOOGLETRANSLATE(A44398, ""de"", ""en"")"),"consensus")</f>
        <v>consensus</v>
      </c>
    </row>
    <row r="44399">
      <c r="A44399" s="1" t="s">
        <v>44398</v>
      </c>
      <c r="B44399" s="2" t="str">
        <f>IFERROR(__xludf.DUMMYFUNCTION("GOOGLETRANSLATE(A44399, ""de"", ""en"")"),"hellhounds")</f>
        <v>hellhounds</v>
      </c>
    </row>
    <row r="44400">
      <c r="A44400" s="1" t="s">
        <v>44399</v>
      </c>
      <c r="B44400" s="2" t="str">
        <f>IFERROR(__xludf.DUMMYFUNCTION("GOOGLETRANSLATE(A44400, ""de"", ""en"")"),"genna")</f>
        <v>genna</v>
      </c>
    </row>
    <row r="44401">
      <c r="A44401" s="1" t="s">
        <v>44400</v>
      </c>
      <c r="B44401" s="2" t="str">
        <f>IFERROR(__xludf.DUMMYFUNCTION("GOOGLETRANSLATE(A44401, ""de"", ""en"")"),"souvenir shop")</f>
        <v>souvenir shop</v>
      </c>
    </row>
    <row r="44402">
      <c r="A44402" s="1" t="s">
        <v>44401</v>
      </c>
      <c r="B44402" s="2" t="str">
        <f>IFERROR(__xludf.DUMMYFUNCTION("GOOGLETRANSLATE(A44402, ""de"", ""en"")"),"loots")</f>
        <v>loots</v>
      </c>
    </row>
    <row r="44403">
      <c r="A44403" s="1" t="s">
        <v>44402</v>
      </c>
      <c r="B44403" s="2" t="str">
        <f>IFERROR(__xludf.DUMMYFUNCTION("GOOGLETRANSLATE(A44403, ""de"", ""en"")"),"Riley's")</f>
        <v>Riley's</v>
      </c>
    </row>
    <row r="44404">
      <c r="A44404" s="1" t="s">
        <v>44403</v>
      </c>
      <c r="B44404" s="2" t="str">
        <f>IFERROR(__xludf.DUMMYFUNCTION("GOOGLETRANSLATE(A44404, ""de"", ""en"")"),"o-juice")</f>
        <v>o-juice</v>
      </c>
    </row>
    <row r="44405">
      <c r="A44405" s="1" t="s">
        <v>44404</v>
      </c>
      <c r="B44405" s="2" t="str">
        <f>IFERROR(__xludf.DUMMYFUNCTION("GOOGLETRANSLATE(A44405, ""de"", ""en"")"),"presto")</f>
        <v>presto</v>
      </c>
    </row>
    <row r="44406">
      <c r="A44406" s="1" t="s">
        <v>44405</v>
      </c>
      <c r="B44406" s="2" t="str">
        <f>IFERROR(__xludf.DUMMYFUNCTION("GOOGLETRANSLATE(A44406, ""de"", ""en"")"),"turns on")</f>
        <v>turns on</v>
      </c>
    </row>
    <row r="44407">
      <c r="A44407" s="1" t="s">
        <v>44406</v>
      </c>
      <c r="B44407" s="2" t="str">
        <f>IFERROR(__xludf.DUMMYFUNCTION("GOOGLETRANSLATE(A44407, ""de"", ""en"")"),"worthington")</f>
        <v>worthington</v>
      </c>
    </row>
    <row r="44408">
      <c r="A44408" s="1" t="s">
        <v>44407</v>
      </c>
      <c r="B44408" s="2" t="str">
        <f>IFERROR(__xludf.DUMMYFUNCTION("GOOGLETRANSLATE(A44408, ""de"", ""en"")"),"observation post")</f>
        <v>observation post</v>
      </c>
    </row>
    <row r="44409">
      <c r="A44409" s="1" t="s">
        <v>44408</v>
      </c>
      <c r="B44409" s="2" t="str">
        <f>IFERROR(__xludf.DUMMYFUNCTION("GOOGLETRANSLATE(A44409, ""de"", ""en"")"),"pee wee")</f>
        <v>pee wee</v>
      </c>
    </row>
    <row r="44410">
      <c r="A44410" s="1" t="s">
        <v>44409</v>
      </c>
      <c r="B44410" s="2" t="str">
        <f>IFERROR(__xludf.DUMMYFUNCTION("GOOGLETRANSLATE(A44410, ""de"", ""en"")"),"presenter")</f>
        <v>presenter</v>
      </c>
    </row>
    <row r="44411">
      <c r="A44411" s="1" t="s">
        <v>44410</v>
      </c>
      <c r="B44411" s="2" t="str">
        <f>IFERROR(__xludf.DUMMYFUNCTION("GOOGLETRANSLATE(A44411, ""de"", ""en"")"),"talk through")</f>
        <v>talk through</v>
      </c>
    </row>
    <row r="44412">
      <c r="A44412" s="1" t="s">
        <v>44411</v>
      </c>
      <c r="B44412" s="2" t="str">
        <f>IFERROR(__xludf.DUMMYFUNCTION("GOOGLETRANSLATE(A44412, ""de"", ""en"")"),"educator")</f>
        <v>educator</v>
      </c>
    </row>
    <row r="44413">
      <c r="A44413" s="1" t="s">
        <v>44412</v>
      </c>
      <c r="B44413" s="2" t="str">
        <f>IFERROR(__xludf.DUMMYFUNCTION("GOOGLETRANSLATE(A44413, ""de"", ""en"")"),"reward")</f>
        <v>reward</v>
      </c>
    </row>
    <row r="44414">
      <c r="A44414" s="1" t="s">
        <v>44413</v>
      </c>
      <c r="B44414" s="2" t="str">
        <f>IFERROR(__xludf.DUMMYFUNCTION("GOOGLETRANSLATE(A44414, ""de"", ""en"")"),"bogota")</f>
        <v>bogota</v>
      </c>
    </row>
    <row r="44415">
      <c r="A44415" s="1" t="s">
        <v>44414</v>
      </c>
      <c r="B44415" s="2" t="str">
        <f>IFERROR(__xludf.DUMMYFUNCTION("GOOGLETRANSLATE(A44415, ""de"", ""en"")"),"pumpkin pie")</f>
        <v>pumpkin pie</v>
      </c>
    </row>
    <row r="44416">
      <c r="A44416" s="1" t="s">
        <v>44415</v>
      </c>
      <c r="B44416" s="2" t="str">
        <f>IFERROR(__xludf.DUMMYFUNCTION("GOOGLETRANSLATE(A44416, ""de"", ""en"")"),"more responsible")</f>
        <v>more responsible</v>
      </c>
    </row>
    <row r="44417">
      <c r="A44417" s="1" t="s">
        <v>44416</v>
      </c>
      <c r="B44417" s="2" t="str">
        <f>IFERROR(__xludf.DUMMYFUNCTION("GOOGLETRANSLATE(A44417, ""de"", ""en"")"),"confused")</f>
        <v>confused</v>
      </c>
    </row>
    <row r="44418">
      <c r="A44418" s="1" t="s">
        <v>44417</v>
      </c>
      <c r="B44418" s="2" t="str">
        <f>IFERROR(__xludf.DUMMYFUNCTION("GOOGLETRANSLATE(A44418, ""de"", ""en"")"),"hiss")</f>
        <v>hiss</v>
      </c>
    </row>
    <row r="44419">
      <c r="A44419" s="1" t="s">
        <v>44418</v>
      </c>
      <c r="B44419" s="2" t="str">
        <f>IFERROR(__xludf.DUMMYFUNCTION("GOOGLETRANSLATE(A44419, ""de"", ""en"")"),"sporting")</f>
        <v>sporting</v>
      </c>
    </row>
    <row r="44420">
      <c r="A44420" s="1" t="s">
        <v>44419</v>
      </c>
      <c r="B44420" s="2" t="str">
        <f>IFERROR(__xludf.DUMMYFUNCTION("GOOGLETRANSLATE(A44420, ""de"", ""en"")"),"founder")</f>
        <v>founder</v>
      </c>
    </row>
    <row r="44421">
      <c r="A44421" s="1" t="s">
        <v>44420</v>
      </c>
      <c r="B44421" s="2" t="str">
        <f>IFERROR(__xludf.DUMMYFUNCTION("GOOGLETRANSLATE(A44421, ""de"", ""en"")"),"calle")</f>
        <v>calle</v>
      </c>
    </row>
    <row r="44422">
      <c r="A44422" s="1" t="s">
        <v>44421</v>
      </c>
      <c r="B44422" s="2" t="str">
        <f>IFERROR(__xludf.DUMMYFUNCTION("GOOGLETRANSLATE(A44422, ""de"", ""en"")"),"you pulled")</f>
        <v>you pulled</v>
      </c>
    </row>
    <row r="44423">
      <c r="A44423" s="1" t="s">
        <v>44422</v>
      </c>
      <c r="B44423" s="2" t="str">
        <f>IFERROR(__xludf.DUMMYFUNCTION("GOOGLETRANSLATE(A44423, ""de"", ""en"")"),"normalize")</f>
        <v>normalize</v>
      </c>
    </row>
    <row r="44424">
      <c r="A44424" s="1" t="s">
        <v>44423</v>
      </c>
      <c r="B44424" s="2" t="str">
        <f>IFERROR(__xludf.DUMMYFUNCTION("GOOGLETRANSLATE(A44424, ""de"", ""en"")"),"bribes")</f>
        <v>bribes</v>
      </c>
    </row>
    <row r="44425">
      <c r="A44425" s="1" t="s">
        <v>44424</v>
      </c>
      <c r="B44425" s="2" t="str">
        <f>IFERROR(__xludf.DUMMYFUNCTION("GOOGLETRANSLATE(A44425, ""de"", ""en"")"),"insect spray")</f>
        <v>insect spray</v>
      </c>
    </row>
    <row r="44426">
      <c r="A44426" s="1" t="s">
        <v>44425</v>
      </c>
      <c r="B44426" s="2" t="str">
        <f>IFERROR(__xludf.DUMMYFUNCTION("GOOGLETRANSLATE(A44426, ""de"", ""en"")"),"mouthy")</f>
        <v>mouthy</v>
      </c>
    </row>
    <row r="44427">
      <c r="A44427" s="1" t="s">
        <v>44426</v>
      </c>
      <c r="B44427" s="2" t="str">
        <f>IFERROR(__xludf.DUMMYFUNCTION("GOOGLETRANSLATE(A44427, ""de"", ""en"")"),"banknotes")</f>
        <v>banknotes</v>
      </c>
    </row>
    <row r="44428">
      <c r="A44428" s="1" t="s">
        <v>44427</v>
      </c>
      <c r="B44428" s="2" t="str">
        <f>IFERROR(__xludf.DUMMYFUNCTION("GOOGLETRANSLATE(A44428, ""de"", ""en"")"),"vespers")</f>
        <v>vespers</v>
      </c>
    </row>
    <row r="44429">
      <c r="A44429" s="1" t="s">
        <v>44428</v>
      </c>
      <c r="B44429" s="2" t="str">
        <f>IFERROR(__xludf.DUMMYFUNCTION("GOOGLETRANSLATE(A44429, ""de"", ""en"")"),"constantin")</f>
        <v>constantin</v>
      </c>
    </row>
    <row r="44430">
      <c r="A44430" s="1" t="s">
        <v>44429</v>
      </c>
      <c r="B44430" s="2" t="str">
        <f>IFERROR(__xludf.DUMMYFUNCTION("GOOGLETRANSLATE(A44430, ""de"", ""en"")"),"piccadilly")</f>
        <v>piccadilly</v>
      </c>
    </row>
    <row r="44431">
      <c r="A44431" s="1" t="s">
        <v>44430</v>
      </c>
      <c r="B44431" s="2" t="str">
        <f>IFERROR(__xludf.DUMMYFUNCTION("GOOGLETRANSLATE(A44431, ""de"", ""en"")"),"more convinced")</f>
        <v>more convinced</v>
      </c>
    </row>
    <row r="44432">
      <c r="A44432" s="1" t="s">
        <v>44431</v>
      </c>
      <c r="B44432" s="2" t="str">
        <f>IFERROR(__xludf.DUMMYFUNCTION("GOOGLETRANSLATE(A44432, ""de"", ""en"")"),"xanadu")</f>
        <v>xanadu</v>
      </c>
    </row>
    <row r="44433">
      <c r="A44433" s="1" t="s">
        <v>44432</v>
      </c>
      <c r="B44433" s="2" t="str">
        <f>IFERROR(__xludf.DUMMYFUNCTION("GOOGLETRANSLATE(A44433, ""de"", ""en"")"),"to stimulate")</f>
        <v>to stimulate</v>
      </c>
    </row>
    <row r="44434">
      <c r="A44434" s="1" t="s">
        <v>44433</v>
      </c>
      <c r="B44434" s="2" t="str">
        <f>IFERROR(__xludf.DUMMYFUNCTION("GOOGLETRANSLATE(A44434, ""de"", ""en"")"),"carried out")</f>
        <v>carried out</v>
      </c>
    </row>
    <row r="44435">
      <c r="A44435" s="1" t="s">
        <v>44434</v>
      </c>
      <c r="B44435" s="2" t="str">
        <f>IFERROR(__xludf.DUMMYFUNCTION("GOOGLETRANSLATE(A44435, ""de"", ""en"")"),"Augustine")</f>
        <v>Augustine</v>
      </c>
    </row>
    <row r="44436">
      <c r="A44436" s="1" t="s">
        <v>44435</v>
      </c>
      <c r="B44436" s="2" t="str">
        <f>IFERROR(__xludf.DUMMYFUNCTION("GOOGLETRANSLATE(A44436, ""de"", ""en"")"),"excess")</f>
        <v>excess</v>
      </c>
    </row>
    <row r="44437">
      <c r="A44437" s="1" t="s">
        <v>44436</v>
      </c>
      <c r="B44437" s="2" t="str">
        <f>IFERROR(__xludf.DUMMYFUNCTION("GOOGLETRANSLATE(A44437, ""de"", ""en"")"),"Gilliam")</f>
        <v>Gilliam</v>
      </c>
    </row>
    <row r="44438">
      <c r="A44438" s="1" t="s">
        <v>44437</v>
      </c>
      <c r="B44438" s="2" t="str">
        <f>IFERROR(__xludf.DUMMYFUNCTION("GOOGLETRANSLATE(A44438, ""de"", ""en"")"),"sweaty")</f>
        <v>sweaty</v>
      </c>
    </row>
    <row r="44439">
      <c r="A44439" s="1" t="s">
        <v>44438</v>
      </c>
      <c r="B44439" s="2" t="str">
        <f>IFERROR(__xludf.DUMMYFUNCTION("GOOGLETRANSLATE(A44439, ""de"", ""en"")"),"Ottoman")</f>
        <v>Ottoman</v>
      </c>
    </row>
    <row r="44440">
      <c r="A44440" s="1" t="s">
        <v>44439</v>
      </c>
      <c r="B44440" s="2" t="str">
        <f>IFERROR(__xludf.DUMMYFUNCTION("GOOGLETRANSLATE(A44440, ""de"", ""en"")"),"meet each other")</f>
        <v>meet each other</v>
      </c>
    </row>
    <row r="44441">
      <c r="A44441" s="1" t="s">
        <v>44440</v>
      </c>
      <c r="B44441" s="2" t="str">
        <f>IFERROR(__xludf.DUMMYFUNCTION("GOOGLETRANSLATE(A44441, ""de"", ""en"")"),"naive")</f>
        <v>naive</v>
      </c>
    </row>
    <row r="44442">
      <c r="A44442" s="1" t="s">
        <v>44441</v>
      </c>
      <c r="B44442" s="2" t="str">
        <f>IFERROR(__xludf.DUMMYFUNCTION("GOOGLETRANSLATE(A44442, ""de"", ""en"")"),"sobriety")</f>
        <v>sobriety</v>
      </c>
    </row>
    <row r="44443">
      <c r="A44443" s="1" t="s">
        <v>44442</v>
      </c>
      <c r="B44443" s="2" t="str">
        <f>IFERROR(__xludf.DUMMYFUNCTION("GOOGLETRANSLATE(A44443, ""de"", ""en"")"),"thibault")</f>
        <v>thibault</v>
      </c>
    </row>
    <row r="44444">
      <c r="A44444" s="1" t="s">
        <v>44443</v>
      </c>
      <c r="B44444" s="2" t="str">
        <f>IFERROR(__xludf.DUMMYFUNCTION("GOOGLETRANSLATE(A44444, ""de"", ""en"")"),"final exams")</f>
        <v>final exams</v>
      </c>
    </row>
    <row r="44445">
      <c r="A44445" s="1" t="s">
        <v>44444</v>
      </c>
      <c r="B44445" s="2" t="str">
        <f>IFERROR(__xludf.DUMMYFUNCTION("GOOGLETRANSLATE(A44445, ""de"", ""en"")"),"insurgents")</f>
        <v>insurgents</v>
      </c>
    </row>
    <row r="44446">
      <c r="A44446" s="1" t="s">
        <v>44445</v>
      </c>
      <c r="B44446" s="2" t="str">
        <f>IFERROR(__xludf.DUMMYFUNCTION("GOOGLETRANSLATE(A44446, ""de"", ""en"")"),"michal")</f>
        <v>michal</v>
      </c>
    </row>
    <row r="44447">
      <c r="A44447" s="1" t="s">
        <v>44446</v>
      </c>
      <c r="B44447" s="2" t="str">
        <f>IFERROR(__xludf.DUMMYFUNCTION("GOOGLETRANSLATE(A44447, ""de"", ""en"")"),"oppose")</f>
        <v>oppose</v>
      </c>
    </row>
    <row r="44448">
      <c r="A44448" s="1" t="s">
        <v>44447</v>
      </c>
      <c r="B44448" s="2" t="str">
        <f>IFERROR(__xludf.DUMMYFUNCTION("GOOGLETRANSLATE(A44448, ""de"", ""en"")"),"begin")</f>
        <v>begin</v>
      </c>
    </row>
    <row r="44449">
      <c r="A44449" s="1" t="s">
        <v>44448</v>
      </c>
      <c r="B44449" s="2" t="str">
        <f>IFERROR(__xludf.DUMMYFUNCTION("GOOGLETRANSLATE(A44449, ""de"", ""en"")"),"Taipei")</f>
        <v>Taipei</v>
      </c>
    </row>
    <row r="44450">
      <c r="A44450" s="1" t="s">
        <v>44449</v>
      </c>
      <c r="B44450" s="2" t="str">
        <f>IFERROR(__xludf.DUMMYFUNCTION("GOOGLETRANSLATE(A44450, ""de"", ""en"")"),"fork")</f>
        <v>fork</v>
      </c>
    </row>
    <row r="44451">
      <c r="A44451" s="1" t="s">
        <v>44450</v>
      </c>
      <c r="B44451" s="2" t="str">
        <f>IFERROR(__xludf.DUMMYFUNCTION("GOOGLETRANSLATE(A44451, ""de"", ""en"")"),"amnesty")</f>
        <v>amnesty</v>
      </c>
    </row>
    <row r="44452">
      <c r="A44452" s="1" t="s">
        <v>44451</v>
      </c>
      <c r="B44452" s="2" t="str">
        <f>IFERROR(__xludf.DUMMYFUNCTION("GOOGLETRANSLATE(A44452, ""de"", ""en"")"),"stayed")</f>
        <v>stayed</v>
      </c>
    </row>
    <row r="44453">
      <c r="A44453" s="1" t="s">
        <v>44452</v>
      </c>
      <c r="B44453" s="2" t="str">
        <f>IFERROR(__xludf.DUMMYFUNCTION("GOOGLETRANSLATE(A44453, ""de"", ""en"")"),"joakim")</f>
        <v>joakim</v>
      </c>
    </row>
    <row r="44454">
      <c r="A44454" s="1" t="s">
        <v>44453</v>
      </c>
      <c r="B44454" s="2" t="str">
        <f>IFERROR(__xludf.DUMMYFUNCTION("GOOGLETRANSLATE(A44454, ""de"", ""en"")"),"montrose")</f>
        <v>montrose</v>
      </c>
    </row>
    <row r="44455">
      <c r="A44455" s="1" t="s">
        <v>44454</v>
      </c>
      <c r="B44455" s="2" t="str">
        <f>IFERROR(__xludf.DUMMYFUNCTION("GOOGLETRANSLATE(A44455, ""de"", ""en"")"),"rough")</f>
        <v>rough</v>
      </c>
    </row>
    <row r="44456">
      <c r="A44456" s="1" t="s">
        <v>44455</v>
      </c>
      <c r="B44456" s="2" t="str">
        <f>IFERROR(__xludf.DUMMYFUNCTION("GOOGLETRANSLATE(A44456, ""de"", ""en"")"),"health")</f>
        <v>health</v>
      </c>
    </row>
    <row r="44457">
      <c r="A44457" s="1" t="s">
        <v>44456</v>
      </c>
      <c r="B44457" s="2" t="str">
        <f>IFERROR(__xludf.DUMMYFUNCTION("GOOGLETRANSLATE(A44457, ""de"", ""en"")"),"search")</f>
        <v>search</v>
      </c>
    </row>
    <row r="44458">
      <c r="A44458" s="1" t="s">
        <v>44457</v>
      </c>
      <c r="B44458" s="2" t="str">
        <f>IFERROR(__xludf.DUMMYFUNCTION("GOOGLETRANSLATE(A44458, ""de"", ""en"")"),"mignon")</f>
        <v>mignon</v>
      </c>
    </row>
    <row r="44459">
      <c r="A44459" s="1" t="s">
        <v>44458</v>
      </c>
      <c r="B44459" s="2" t="str">
        <f>IFERROR(__xludf.DUMMYFUNCTION("GOOGLETRANSLATE(A44459, ""de"", ""en"")"),"raffi")</f>
        <v>raffi</v>
      </c>
    </row>
    <row r="44460">
      <c r="A44460" s="1" t="s">
        <v>44459</v>
      </c>
      <c r="B44460" s="2" t="str">
        <f>IFERROR(__xludf.DUMMYFUNCTION("GOOGLETRANSLATE(A44460, ""de"", ""en"")"),"monitored")</f>
        <v>monitored</v>
      </c>
    </row>
    <row r="44461">
      <c r="A44461" s="1" t="s">
        <v>44460</v>
      </c>
      <c r="B44461" s="2" t="str">
        <f>IFERROR(__xludf.DUMMYFUNCTION("GOOGLETRANSLATE(A44461, ""de"", ""en"")"),"goddesses")</f>
        <v>goddesses</v>
      </c>
    </row>
    <row r="44462">
      <c r="A44462" s="1" t="s">
        <v>44461</v>
      </c>
      <c r="B44462" s="2" t="str">
        <f>IFERROR(__xludf.DUMMYFUNCTION("GOOGLETRANSLATE(A44462, ""de"", ""en"")"),"inadequate")</f>
        <v>inadequate</v>
      </c>
    </row>
    <row r="44463">
      <c r="A44463" s="1" t="s">
        <v>44462</v>
      </c>
      <c r="B44463" s="2" t="str">
        <f>IFERROR(__xludf.DUMMYFUNCTION("GOOGLETRANSLATE(A44463, ""de"", ""en"")"),"Lorraine")</f>
        <v>Lorraine</v>
      </c>
    </row>
    <row r="44464">
      <c r="A44464" s="1" t="s">
        <v>44463</v>
      </c>
      <c r="B44464" s="2" t="str">
        <f>IFERROR(__xludf.DUMMYFUNCTION("GOOGLETRANSLATE(A44464, ""de"", ""en"")"),"bias")</f>
        <v>bias</v>
      </c>
    </row>
    <row r="44465">
      <c r="A44465" s="1" t="s">
        <v>44464</v>
      </c>
      <c r="B44465" s="2" t="str">
        <f>IFERROR(__xludf.DUMMYFUNCTION("GOOGLETRANSLATE(A44465, ""de"", ""en"")"),"ventress")</f>
        <v>ventress</v>
      </c>
    </row>
    <row r="44466">
      <c r="A44466" s="1" t="s">
        <v>44465</v>
      </c>
      <c r="B44466" s="2" t="str">
        <f>IFERROR(__xludf.DUMMYFUNCTION("GOOGLETRANSLATE(A44466, ""de"", ""en"")"),"hoof")</f>
        <v>hoof</v>
      </c>
    </row>
    <row r="44467">
      <c r="A44467" s="1" t="s">
        <v>44466</v>
      </c>
      <c r="B44467" s="2" t="str">
        <f>IFERROR(__xludf.DUMMYFUNCTION("GOOGLETRANSLATE(A44467, ""de"", ""en"")"),"riddler")</f>
        <v>riddler</v>
      </c>
    </row>
    <row r="44468">
      <c r="A44468" s="1" t="s">
        <v>44467</v>
      </c>
      <c r="B44468" s="2" t="str">
        <f>IFERROR(__xludf.DUMMYFUNCTION("GOOGLETRANSLATE(A44468, ""de"", ""en"")"),"credit-worthiness")</f>
        <v>credit-worthiness</v>
      </c>
    </row>
    <row r="44469">
      <c r="A44469" s="1" t="s">
        <v>44468</v>
      </c>
      <c r="B44469" s="2" t="str">
        <f>IFERROR(__xludf.DUMMYFUNCTION("GOOGLETRANSLATE(A44469, ""de"", ""en"")"),"kolya")</f>
        <v>kolya</v>
      </c>
    </row>
    <row r="44470">
      <c r="A44470" s="1" t="s">
        <v>44469</v>
      </c>
      <c r="B44470" s="2" t="str">
        <f>IFERROR(__xludf.DUMMYFUNCTION("GOOGLETRANSLATE(A44470, ""de"", ""en"")"),"string music")</f>
        <v>string music</v>
      </c>
    </row>
    <row r="44471">
      <c r="A44471" s="1" t="s">
        <v>44470</v>
      </c>
      <c r="B44471" s="2" t="str">
        <f>IFERROR(__xludf.DUMMYFUNCTION("GOOGLETRANSLATE(A44471, ""de"", ""en"")"),"DNA traces")</f>
        <v>DNA traces</v>
      </c>
    </row>
    <row r="44472">
      <c r="A44472" s="1" t="s">
        <v>44471</v>
      </c>
      <c r="B44472" s="2" t="str">
        <f>IFERROR(__xludf.DUMMYFUNCTION("GOOGLETRANSLATE(A44472, ""de"", ""en"")"),"beauty queen")</f>
        <v>beauty queen</v>
      </c>
    </row>
    <row r="44473">
      <c r="A44473" s="1" t="s">
        <v>44472</v>
      </c>
      <c r="B44473" s="2" t="str">
        <f>IFERROR(__xludf.DUMMYFUNCTION("GOOGLETRANSLATE(A44473, ""de"", ""en"")"),"designated")</f>
        <v>designated</v>
      </c>
    </row>
    <row r="44474">
      <c r="A44474" s="1" t="s">
        <v>44473</v>
      </c>
      <c r="B44474" s="2" t="str">
        <f>IFERROR(__xludf.DUMMYFUNCTION("GOOGLETRANSLATE(A44474, ""de"", ""en"")"),"aircraft")</f>
        <v>aircraft</v>
      </c>
    </row>
    <row r="44475">
      <c r="A44475" s="1" t="s">
        <v>44474</v>
      </c>
      <c r="B44475" s="2" t="str">
        <f>IFERROR(__xludf.DUMMYFUNCTION("GOOGLETRANSLATE(A44475, ""de"", ""en"")"),"silverado")</f>
        <v>silverado</v>
      </c>
    </row>
    <row r="44476">
      <c r="A44476" s="1" t="s">
        <v>44475</v>
      </c>
      <c r="B44476" s="2" t="str">
        <f>IFERROR(__xludf.DUMMYFUNCTION("GOOGLETRANSLATE(A44476, ""de"", ""en"")"),"Mikel")</f>
        <v>Mikel</v>
      </c>
    </row>
    <row r="44477">
      <c r="A44477" s="1" t="s">
        <v>44476</v>
      </c>
      <c r="B44477" s="2" t="str">
        <f>IFERROR(__xludf.DUMMYFUNCTION("GOOGLETRANSLATE(A44477, ""de"", ""en"")"),"disheveled")</f>
        <v>disheveled</v>
      </c>
    </row>
    <row r="44478">
      <c r="A44478" s="1" t="s">
        <v>44477</v>
      </c>
      <c r="B44478" s="2" t="str">
        <f>IFERROR(__xludf.DUMMYFUNCTION("GOOGLETRANSLATE(A44478, ""de"", ""en"")"),"dinghy")</f>
        <v>dinghy</v>
      </c>
    </row>
    <row r="44479">
      <c r="A44479" s="1" t="s">
        <v>44478</v>
      </c>
      <c r="B44479" s="2" t="str">
        <f>IFERROR(__xludf.DUMMYFUNCTION("GOOGLETRANSLATE(A44479, ""de"", ""en"")"),"entourage")</f>
        <v>entourage</v>
      </c>
    </row>
    <row r="44480">
      <c r="A44480" s="1" t="s">
        <v>44479</v>
      </c>
      <c r="B44480" s="2" t="str">
        <f>IFERROR(__xludf.DUMMYFUNCTION("GOOGLETRANSLATE(A44480, ""de"", ""en"")"),"irresistible")</f>
        <v>irresistible</v>
      </c>
    </row>
    <row r="44481">
      <c r="A44481" s="1" t="s">
        <v>44480</v>
      </c>
      <c r="B44481" s="2" t="str">
        <f>IFERROR(__xludf.DUMMYFUNCTION("GOOGLETRANSLATE(A44481, ""de"", ""en"")"),"chatswin")</f>
        <v>chatswin</v>
      </c>
    </row>
    <row r="44482">
      <c r="A44482" s="1" t="s">
        <v>44481</v>
      </c>
      <c r="B44482" s="2" t="str">
        <f>IFERROR(__xludf.DUMMYFUNCTION("GOOGLETRANSLATE(A44482, ""de"", ""en"")"),"admission of guilt")</f>
        <v>admission of guilt</v>
      </c>
    </row>
    <row r="44483">
      <c r="A44483" s="1" t="s">
        <v>44482</v>
      </c>
      <c r="B44483" s="2" t="str">
        <f>IFERROR(__xludf.DUMMYFUNCTION("GOOGLETRANSLATE(A44483, ""de"", ""en"")"),"jette")</f>
        <v>jette</v>
      </c>
    </row>
    <row r="44484">
      <c r="A44484" s="1" t="s">
        <v>44483</v>
      </c>
      <c r="B44484" s="2" t="str">
        <f>IFERROR(__xludf.DUMMYFUNCTION("GOOGLETRANSLATE(A44484, ""de"", ""en"")"),"turns")</f>
        <v>turns</v>
      </c>
    </row>
    <row r="44485">
      <c r="A44485" s="1" t="s">
        <v>44484</v>
      </c>
      <c r="B44485" s="2" t="str">
        <f>IFERROR(__xludf.DUMMYFUNCTION("GOOGLETRANSLATE(A44485, ""de"", ""en"")"),"free rider")</f>
        <v>free rider</v>
      </c>
    </row>
    <row r="44486">
      <c r="A44486" s="1" t="s">
        <v>44485</v>
      </c>
      <c r="B44486" s="2" t="str">
        <f>IFERROR(__xludf.DUMMYFUNCTION("GOOGLETRANSLATE(A44486, ""de"", ""en"")"),"triple")</f>
        <v>triple</v>
      </c>
    </row>
    <row r="44487">
      <c r="A44487" s="1" t="s">
        <v>44486</v>
      </c>
      <c r="B44487" s="2" t="str">
        <f>IFERROR(__xludf.DUMMYFUNCTION("GOOGLETRANSLATE(A44487, ""de"", ""en"")"),"payton")</f>
        <v>payton</v>
      </c>
    </row>
    <row r="44488">
      <c r="A44488" s="1" t="s">
        <v>44487</v>
      </c>
      <c r="B44488" s="2" t="str">
        <f>IFERROR(__xludf.DUMMYFUNCTION("GOOGLETRANSLATE(A44488, ""de"", ""en"")"),"body functions")</f>
        <v>body functions</v>
      </c>
    </row>
    <row r="44489">
      <c r="A44489" s="1" t="s">
        <v>44488</v>
      </c>
      <c r="B44489" s="2" t="str">
        <f>IFERROR(__xludf.DUMMYFUNCTION("GOOGLETRANSLATE(A44489, ""de"", ""en"")"),"city ​​councilors")</f>
        <v>city ​​councilors</v>
      </c>
    </row>
    <row r="44490">
      <c r="A44490" s="1" t="s">
        <v>44489</v>
      </c>
      <c r="B44490" s="2" t="str">
        <f>IFERROR(__xludf.DUMMYFUNCTION("GOOGLETRANSLATE(A44490, ""de"", ""en"")"),"reversal")</f>
        <v>reversal</v>
      </c>
    </row>
    <row r="44491">
      <c r="A44491" s="1" t="s">
        <v>44490</v>
      </c>
      <c r="B44491" s="2" t="str">
        <f>IFERROR(__xludf.DUMMYFUNCTION("GOOGLETRANSLATE(A44491, ""de"", ""en"")"),"shipping company")</f>
        <v>shipping company</v>
      </c>
    </row>
    <row r="44492">
      <c r="A44492" s="1" t="s">
        <v>44491</v>
      </c>
      <c r="B44492" s="2" t="str">
        <f>IFERROR(__xludf.DUMMYFUNCTION("GOOGLETRANSLATE(A44492, ""de"", ""en"")"),"candidates")</f>
        <v>candidates</v>
      </c>
    </row>
    <row r="44493">
      <c r="A44493" s="1" t="s">
        <v>44492</v>
      </c>
      <c r="B44493" s="2" t="str">
        <f>IFERROR(__xludf.DUMMYFUNCTION("GOOGLETRANSLATE(A44493, ""de"", ""en"")"),"sleep through")</f>
        <v>sleep through</v>
      </c>
    </row>
    <row r="44494">
      <c r="A44494" s="1" t="s">
        <v>44493</v>
      </c>
      <c r="B44494" s="2" t="str">
        <f>IFERROR(__xludf.DUMMYFUNCTION("GOOGLETRANSLATE(A44494, ""de"", ""en"")"),"push")</f>
        <v>push</v>
      </c>
    </row>
    <row r="44495">
      <c r="A44495" s="1" t="s">
        <v>44494</v>
      </c>
      <c r="B44495" s="2" t="str">
        <f>IFERROR(__xludf.DUMMYFUNCTION("GOOGLETRANSLATE(A44495, ""de"", ""en"")"),"keep secret")</f>
        <v>keep secret</v>
      </c>
    </row>
    <row r="44496">
      <c r="A44496" s="1" t="s">
        <v>44495</v>
      </c>
      <c r="B44496" s="2" t="str">
        <f>IFERROR(__xludf.DUMMYFUNCTION("GOOGLETRANSLATE(A44496, ""de"", ""en"")"),"deliver")</f>
        <v>deliver</v>
      </c>
    </row>
    <row r="44497">
      <c r="A44497" s="1" t="s">
        <v>44496</v>
      </c>
      <c r="B44497" s="2" t="str">
        <f>IFERROR(__xludf.DUMMYFUNCTION("GOOGLETRANSLATE(A44497, ""de"", ""en"")"),"magic")</f>
        <v>magic</v>
      </c>
    </row>
    <row r="44498">
      <c r="A44498" s="1" t="s">
        <v>44497</v>
      </c>
      <c r="B44498" s="2" t="str">
        <f>IFERROR(__xludf.DUMMYFUNCTION("GOOGLETRANSLATE(A44498, ""de"", ""en"")"),"Salisbury")</f>
        <v>Salisbury</v>
      </c>
    </row>
    <row r="44499">
      <c r="A44499" s="1" t="s">
        <v>44498</v>
      </c>
      <c r="B44499" s="2" t="str">
        <f>IFERROR(__xludf.DUMMYFUNCTION("GOOGLETRANSLATE(A44499, ""de"", ""en"")"),"rumbled")</f>
        <v>rumbled</v>
      </c>
    </row>
    <row r="44500">
      <c r="A44500" s="1" t="s">
        <v>44499</v>
      </c>
      <c r="B44500" s="2" t="str">
        <f>IFERROR(__xludf.DUMMYFUNCTION("GOOGLETRANSLATE(A44500, ""de"", ""en"")"),"wind direction")</f>
        <v>wind direction</v>
      </c>
    </row>
    <row r="44501">
      <c r="A44501" s="1" t="s">
        <v>44500</v>
      </c>
      <c r="B44501" s="2" t="str">
        <f>IFERROR(__xludf.DUMMYFUNCTION("GOOGLETRANSLATE(A44501, ""de"", ""en"")"),"sounding")</f>
        <v>sounding</v>
      </c>
    </row>
    <row r="44502">
      <c r="A44502" s="1" t="s">
        <v>44501</v>
      </c>
      <c r="B44502" s="2" t="str">
        <f>IFERROR(__xludf.DUMMYFUNCTION("GOOGLETRANSLATE(A44502, ""de"", ""en"")"),"centurion")</f>
        <v>centurion</v>
      </c>
    </row>
    <row r="44503">
      <c r="A44503" s="1" t="s">
        <v>44502</v>
      </c>
      <c r="B44503" s="2" t="str">
        <f>IFERROR(__xludf.DUMMYFUNCTION("GOOGLETRANSLATE(A44503, ""de"", ""en"")"),"laughlin")</f>
        <v>laughlin</v>
      </c>
    </row>
    <row r="44504">
      <c r="A44504" s="1" t="s">
        <v>44503</v>
      </c>
      <c r="B44504" s="2" t="str">
        <f>IFERROR(__xludf.DUMMYFUNCTION("GOOGLETRANSLATE(A44504, ""de"", ""en"")"),"desert")</f>
        <v>desert</v>
      </c>
    </row>
    <row r="44505">
      <c r="A44505" s="1" t="s">
        <v>44504</v>
      </c>
      <c r="B44505" s="2" t="str">
        <f>IFERROR(__xludf.DUMMYFUNCTION("GOOGLETRANSLATE(A44505, ""de"", ""en"")"),"trench coat")</f>
        <v>trench coat</v>
      </c>
    </row>
    <row r="44506">
      <c r="A44506" s="1" t="s">
        <v>44505</v>
      </c>
      <c r="B44506" s="2" t="str">
        <f>IFERROR(__xludf.DUMMYFUNCTION("GOOGLETRANSLATE(A44506, ""de"", ""en"")"),"finish")</f>
        <v>finish</v>
      </c>
    </row>
    <row r="44507">
      <c r="A44507" s="1" t="s">
        <v>44506</v>
      </c>
      <c r="B44507" s="2" t="str">
        <f>IFERROR(__xludf.DUMMYFUNCTION("GOOGLETRANSLATE(A44507, ""de"", ""en"")"),"take a leave of absence")</f>
        <v>take a leave of absence</v>
      </c>
    </row>
    <row r="44508">
      <c r="A44508" s="1" t="s">
        <v>44507</v>
      </c>
      <c r="B44508" s="2" t="str">
        <f>IFERROR(__xludf.DUMMYFUNCTION("GOOGLETRANSLATE(A44508, ""de"", ""en"")"),"kojak")</f>
        <v>kojak</v>
      </c>
    </row>
    <row r="44509">
      <c r="A44509" s="1" t="s">
        <v>44508</v>
      </c>
      <c r="B44509" s="2" t="str">
        <f>IFERROR(__xludf.DUMMYFUNCTION("GOOGLETRANSLATE(A44509, ""de"", ""en"")"),"approach")</f>
        <v>approach</v>
      </c>
    </row>
    <row r="44510">
      <c r="A44510" s="1" t="s">
        <v>44509</v>
      </c>
      <c r="B44510" s="2" t="str">
        <f>IFERROR(__xludf.DUMMYFUNCTION("GOOGLETRANSLATE(A44510, ""de"", ""en"")"),"dress")</f>
        <v>dress</v>
      </c>
    </row>
    <row r="44511">
      <c r="A44511" s="1" t="s">
        <v>44510</v>
      </c>
      <c r="B44511" s="2" t="str">
        <f>IFERROR(__xludf.DUMMYFUNCTION("GOOGLETRANSLATE(A44511, ""de"", ""en"")"),"cowan")</f>
        <v>cowan</v>
      </c>
    </row>
    <row r="44512">
      <c r="A44512" s="1" t="s">
        <v>44511</v>
      </c>
      <c r="B44512" s="2" t="str">
        <f>IFERROR(__xludf.DUMMYFUNCTION("GOOGLETRANSLATE(A44512, ""de"", ""en"")"),"offensive")</f>
        <v>offensive</v>
      </c>
    </row>
    <row r="44513">
      <c r="A44513" s="1" t="s">
        <v>44512</v>
      </c>
      <c r="B44513" s="2" t="str">
        <f>IFERROR(__xludf.DUMMYFUNCTION("GOOGLETRANSLATE(A44513, ""de"", ""en"")"),"kuala")</f>
        <v>kuala</v>
      </c>
    </row>
    <row r="44514">
      <c r="A44514" s="1" t="s">
        <v>44513</v>
      </c>
      <c r="B44514" s="2" t="str">
        <f>IFERROR(__xludf.DUMMYFUNCTION("GOOGLETRANSLATE(A44514, ""de"", ""en"")"),"scarves")</f>
        <v>scarves</v>
      </c>
    </row>
    <row r="44515">
      <c r="A44515" s="1" t="s">
        <v>44514</v>
      </c>
      <c r="B44515" s="2" t="str">
        <f>IFERROR(__xludf.DUMMYFUNCTION("GOOGLETRANSLATE(A44515, ""de"", ""en"")"),"abstract")</f>
        <v>abstract</v>
      </c>
    </row>
    <row r="44516">
      <c r="A44516" s="1" t="s">
        <v>44515</v>
      </c>
      <c r="B44516" s="2" t="str">
        <f>IFERROR(__xludf.DUMMYFUNCTION("GOOGLETRANSLATE(A44516, ""de"", ""en"")"),"linguchon")</f>
        <v>linguchon</v>
      </c>
    </row>
    <row r="44517">
      <c r="A44517" s="1" t="s">
        <v>44516</v>
      </c>
      <c r="B44517" s="2" t="str">
        <f>IFERROR(__xludf.DUMMYFUNCTION("GOOGLETRANSLATE(A44517, ""de"", ""en"")"),"ladies-in-waiting")</f>
        <v>ladies-in-waiting</v>
      </c>
    </row>
    <row r="44518">
      <c r="A44518" s="1" t="s">
        <v>44517</v>
      </c>
      <c r="B44518" s="2" t="str">
        <f>IFERROR(__xludf.DUMMYFUNCTION("GOOGLETRANSLATE(A44518, ""de"", ""en"")"),"disapprove")</f>
        <v>disapprove</v>
      </c>
    </row>
    <row r="44519">
      <c r="A44519" s="1" t="s">
        <v>44518</v>
      </c>
      <c r="B44519" s="2" t="str">
        <f>IFERROR(__xludf.DUMMYFUNCTION("GOOGLETRANSLATE(A44519, ""de"", ""en"")"),"withdraw")</f>
        <v>withdraw</v>
      </c>
    </row>
    <row r="44520">
      <c r="A44520" s="1" t="s">
        <v>44519</v>
      </c>
      <c r="B44520" s="2" t="str">
        <f>IFERROR(__xludf.DUMMYFUNCTION("GOOGLETRANSLATE(A44520, ""de"", ""en"")"),"techno music")</f>
        <v>techno music</v>
      </c>
    </row>
    <row r="44521">
      <c r="A44521" s="1" t="s">
        <v>44520</v>
      </c>
      <c r="B44521" s="2" t="str">
        <f>IFERROR(__xludf.DUMMYFUNCTION("GOOGLETRANSLATE(A44521, ""de"", ""en"")"),"contamination")</f>
        <v>contamination</v>
      </c>
    </row>
    <row r="44522">
      <c r="A44522" s="1" t="s">
        <v>44521</v>
      </c>
      <c r="B44522" s="2" t="str">
        <f>IFERROR(__xludf.DUMMYFUNCTION("GOOGLETRANSLATE(A44522, ""de"", ""en"")"),"higher")</f>
        <v>higher</v>
      </c>
    </row>
    <row r="44523">
      <c r="A44523" s="1" t="s">
        <v>44522</v>
      </c>
      <c r="B44523" s="2" t="str">
        <f>IFERROR(__xludf.DUMMYFUNCTION("GOOGLETRANSLATE(A44523, ""de"", ""en"")"),"Reichstag")</f>
        <v>Reichstag</v>
      </c>
    </row>
    <row r="44524">
      <c r="A44524" s="1" t="s">
        <v>44523</v>
      </c>
      <c r="B44524" s="2" t="str">
        <f>IFERROR(__xludf.DUMMYFUNCTION("GOOGLETRANSLATE(A44524, ""de"", ""en"")"),"tingly")</f>
        <v>tingly</v>
      </c>
    </row>
    <row r="44525">
      <c r="A44525" s="1" t="s">
        <v>44524</v>
      </c>
      <c r="B44525" s="2" t="str">
        <f>IFERROR(__xludf.DUMMYFUNCTION("GOOGLETRANSLATE(A44525, ""de"", ""en"")"),"snapshot")</f>
        <v>snapshot</v>
      </c>
    </row>
    <row r="44526">
      <c r="A44526" s="1" t="s">
        <v>44525</v>
      </c>
      <c r="B44526" s="2" t="str">
        <f>IFERROR(__xludf.DUMMYFUNCTION("GOOGLETRANSLATE(A44526, ""de"", ""en"")"),"maréchal")</f>
        <v>maréchal</v>
      </c>
    </row>
    <row r="44527">
      <c r="A44527" s="1" t="s">
        <v>44526</v>
      </c>
      <c r="B44527" s="2" t="str">
        <f>IFERROR(__xludf.DUMMYFUNCTION("GOOGLETRANSLATE(A44527, ""de"", ""en"")"),"stomps")</f>
        <v>stomps</v>
      </c>
    </row>
    <row r="44528">
      <c r="A44528" s="1" t="s">
        <v>44527</v>
      </c>
      <c r="B44528" s="2" t="str">
        <f>IFERROR(__xludf.DUMMYFUNCTION("GOOGLETRANSLATE(A44528, ""de"", ""en"")"),"ooh")</f>
        <v>ooh</v>
      </c>
    </row>
    <row r="44529">
      <c r="A44529" s="1" t="s">
        <v>44528</v>
      </c>
      <c r="B44529" s="2" t="str">
        <f>IFERROR(__xludf.DUMMYFUNCTION("GOOGLETRANSLATE(A44529, ""de"", ""en"")"),"firmament")</f>
        <v>firmament</v>
      </c>
    </row>
    <row r="44530">
      <c r="A44530" s="1" t="s">
        <v>44529</v>
      </c>
      <c r="B44530" s="2" t="str">
        <f>IFERROR(__xludf.DUMMYFUNCTION("GOOGLETRANSLATE(A44530, ""de"", ""en"")"),"dance lesson")</f>
        <v>dance lesson</v>
      </c>
    </row>
    <row r="44531">
      <c r="A44531" s="1" t="s">
        <v>44530</v>
      </c>
      <c r="B44531" s="2" t="str">
        <f>IFERROR(__xludf.DUMMYFUNCTION("GOOGLETRANSLATE(A44531, ""de"", ""en"")"),"confusing")</f>
        <v>confusing</v>
      </c>
    </row>
    <row r="44532">
      <c r="A44532" s="1" t="s">
        <v>44531</v>
      </c>
      <c r="B44532" s="2" t="str">
        <f>IFERROR(__xludf.DUMMYFUNCTION("GOOGLETRANSLATE(A44532, ""de"", ""en"")"),"hedge funds")</f>
        <v>hedge funds</v>
      </c>
    </row>
    <row r="44533">
      <c r="A44533" s="1" t="s">
        <v>44532</v>
      </c>
      <c r="B44533" s="2" t="str">
        <f>IFERROR(__xludf.DUMMYFUNCTION("GOOGLETRANSLATE(A44533, ""de"", ""en"")"),"oho")</f>
        <v>oho</v>
      </c>
    </row>
    <row r="44534">
      <c r="A44534" s="1" t="s">
        <v>44533</v>
      </c>
      <c r="B44534" s="2" t="str">
        <f>IFERROR(__xludf.DUMMYFUNCTION("GOOGLETRANSLATE(A44534, ""de"", ""en"")"),"house of cards")</f>
        <v>house of cards</v>
      </c>
    </row>
    <row r="44535">
      <c r="A44535" s="1" t="s">
        <v>44534</v>
      </c>
      <c r="B44535" s="2" t="str">
        <f>IFERROR(__xludf.DUMMYFUNCTION("GOOGLETRANSLATE(A44535, ""de"", ""en"")"),"breastfeeds")</f>
        <v>breastfeeds</v>
      </c>
    </row>
    <row r="44536">
      <c r="A44536" s="1" t="s">
        <v>44535</v>
      </c>
      <c r="B44536" s="2" t="str">
        <f>IFERROR(__xludf.DUMMYFUNCTION("GOOGLETRANSLATE(A44536, ""de"", ""en"")"),"Pacific")</f>
        <v>Pacific</v>
      </c>
    </row>
    <row r="44537">
      <c r="A44537" s="1" t="s">
        <v>44536</v>
      </c>
      <c r="B44537" s="2" t="str">
        <f>IFERROR(__xludf.DUMMYFUNCTION("GOOGLETRANSLATE(A44537, ""de"", ""en"")"),"lethal injection")</f>
        <v>lethal injection</v>
      </c>
    </row>
    <row r="44538">
      <c r="A44538" s="1" t="s">
        <v>44537</v>
      </c>
      <c r="B44538" s="2" t="str">
        <f>IFERROR(__xludf.DUMMYFUNCTION("GOOGLETRANSLATE(A44538, ""de"", ""en"")"),"huge party")</f>
        <v>huge party</v>
      </c>
    </row>
    <row r="44539">
      <c r="A44539" s="1" t="s">
        <v>44538</v>
      </c>
      <c r="B44539" s="2" t="str">
        <f>IFERROR(__xludf.DUMMYFUNCTION("GOOGLETRANSLATE(A44539, ""de"", ""en"")"),"drone on")</f>
        <v>drone on</v>
      </c>
    </row>
    <row r="44540">
      <c r="A44540" s="1" t="s">
        <v>44539</v>
      </c>
      <c r="B44540" s="2" t="str">
        <f>IFERROR(__xludf.DUMMYFUNCTION("GOOGLETRANSLATE(A44540, ""de"", ""en"")"),"bring back")</f>
        <v>bring back</v>
      </c>
    </row>
    <row r="44541">
      <c r="A44541" s="1" t="s">
        <v>44540</v>
      </c>
      <c r="B44541" s="2" t="str">
        <f>IFERROR(__xludf.DUMMYFUNCTION("GOOGLETRANSLATE(A44541, ""de"", ""en"")"),"revealed")</f>
        <v>revealed</v>
      </c>
    </row>
    <row r="44542">
      <c r="A44542" s="1" t="s">
        <v>44541</v>
      </c>
      <c r="B44542" s="2" t="str">
        <f>IFERROR(__xludf.DUMMYFUNCTION("GOOGLETRANSLATE(A44542, ""de"", ""en"")"),"Rubens")</f>
        <v>Rubens</v>
      </c>
    </row>
    <row r="44543">
      <c r="A44543" s="1" t="s">
        <v>44542</v>
      </c>
      <c r="B44543" s="2" t="str">
        <f>IFERROR(__xludf.DUMMYFUNCTION("GOOGLETRANSLATE(A44543, ""de"", ""en"")"),"lemur")</f>
        <v>lemur</v>
      </c>
    </row>
    <row r="44544">
      <c r="A44544" s="1" t="s">
        <v>44543</v>
      </c>
      <c r="B44544" s="2" t="str">
        <f>IFERROR(__xludf.DUMMYFUNCTION("GOOGLETRANSLATE(A44544, ""de"", ""en"")"),"crescent")</f>
        <v>crescent</v>
      </c>
    </row>
    <row r="44545">
      <c r="A44545" s="1" t="s">
        <v>44544</v>
      </c>
      <c r="B44545" s="2" t="str">
        <f>IFERROR(__xludf.DUMMYFUNCTION("GOOGLETRANSLATE(A44545, ""de"", ""en"")"),"adulterated")</f>
        <v>adulterated</v>
      </c>
    </row>
    <row r="44546">
      <c r="A44546" s="1" t="s">
        <v>44545</v>
      </c>
      <c r="B44546" s="2" t="str">
        <f>IFERROR(__xludf.DUMMYFUNCTION("GOOGLETRANSLATE(A44546, ""de"", ""en"")"),"derzui")</f>
        <v>derzui</v>
      </c>
    </row>
    <row r="44547">
      <c r="A44547" s="1" t="s">
        <v>44546</v>
      </c>
      <c r="B44547" s="2" t="str">
        <f>IFERROR(__xludf.DUMMYFUNCTION("GOOGLETRANSLATE(A44547, ""de"", ""en"")"),"to get back")</f>
        <v>to get back</v>
      </c>
    </row>
    <row r="44548">
      <c r="A44548" s="1" t="s">
        <v>44547</v>
      </c>
      <c r="B44548" s="2" t="str">
        <f>IFERROR(__xludf.DUMMYFUNCTION("GOOGLETRANSLATE(A44548, ""de"", ""en"")"),"shakaar")</f>
        <v>shakaar</v>
      </c>
    </row>
    <row r="44549">
      <c r="A44549" s="1" t="s">
        <v>44548</v>
      </c>
      <c r="B44549" s="2" t="str">
        <f>IFERROR(__xludf.DUMMYFUNCTION("GOOGLETRANSLATE(A44549, ""de"", ""en"")"),"instructions")</f>
        <v>instructions</v>
      </c>
    </row>
    <row r="44550">
      <c r="A44550" s="1" t="s">
        <v>44549</v>
      </c>
      <c r="B44550" s="2" t="str">
        <f>IFERROR(__xludf.DUMMYFUNCTION("GOOGLETRANSLATE(A44550, ""de"", ""en"")"),"blakely")</f>
        <v>blakely</v>
      </c>
    </row>
    <row r="44551">
      <c r="A44551" s="1" t="s">
        <v>44550</v>
      </c>
      <c r="B44551" s="2" t="str">
        <f>IFERROR(__xludf.DUMMYFUNCTION("GOOGLETRANSLATE(A44551, ""de"", ""en"")"),"bouncy castle")</f>
        <v>bouncy castle</v>
      </c>
    </row>
    <row r="44552">
      <c r="A44552" s="1" t="s">
        <v>44551</v>
      </c>
      <c r="B44552" s="2" t="str">
        <f>IFERROR(__xludf.DUMMYFUNCTION("GOOGLETRANSLATE(A44552, ""de"", ""en"")"),"worrying")</f>
        <v>worrying</v>
      </c>
    </row>
    <row r="44553">
      <c r="A44553" s="1" t="s">
        <v>44552</v>
      </c>
      <c r="B44553" s="2" t="str">
        <f>IFERROR(__xludf.DUMMYFUNCTION("GOOGLETRANSLATE(A44553, ""de"", ""en"")"),"security police")</f>
        <v>security police</v>
      </c>
    </row>
    <row r="44554">
      <c r="A44554" s="1" t="s">
        <v>44553</v>
      </c>
      <c r="B44554" s="2" t="str">
        <f>IFERROR(__xludf.DUMMYFUNCTION("GOOGLETRANSLATE(A44554, ""de"", ""en"")"),"scoob")</f>
        <v>scoob</v>
      </c>
    </row>
    <row r="44555">
      <c r="A44555" s="1" t="s">
        <v>44554</v>
      </c>
      <c r="B44555" s="2" t="str">
        <f>IFERROR(__xludf.DUMMYFUNCTION("GOOGLETRANSLATE(A44555, ""de"", ""en"")"),"neutrality")</f>
        <v>neutrality</v>
      </c>
    </row>
    <row r="44556">
      <c r="A44556" s="1" t="s">
        <v>44555</v>
      </c>
      <c r="B44556" s="2" t="str">
        <f>IFERROR(__xludf.DUMMYFUNCTION("GOOGLETRANSLATE(A44556, ""de"", ""en"")"),"noble")</f>
        <v>noble</v>
      </c>
    </row>
    <row r="44557">
      <c r="A44557" s="1" t="s">
        <v>44556</v>
      </c>
      <c r="B44557" s="2" t="str">
        <f>IFERROR(__xludf.DUMMYFUNCTION("GOOGLETRANSLATE(A44557, ""de"", ""en"")"),"floaty")</f>
        <v>floaty</v>
      </c>
    </row>
    <row r="44558">
      <c r="A44558" s="1" t="s">
        <v>44557</v>
      </c>
      <c r="B44558" s="2" t="str">
        <f>IFERROR(__xludf.DUMMYFUNCTION("GOOGLETRANSLATE(A44558, ""de"", ""en"")"),"drown out")</f>
        <v>drown out</v>
      </c>
    </row>
    <row r="44559">
      <c r="A44559" s="1" t="s">
        <v>44558</v>
      </c>
      <c r="B44559" s="2" t="str">
        <f>IFERROR(__xludf.DUMMYFUNCTION("GOOGLETRANSLATE(A44559, ""de"", ""en"")"),"clacking")</f>
        <v>clacking</v>
      </c>
    </row>
    <row r="44560">
      <c r="A44560" s="1" t="s">
        <v>44559</v>
      </c>
      <c r="B44560" s="2" t="str">
        <f>IFERROR(__xludf.DUMMYFUNCTION("GOOGLETRANSLATE(A44560, ""de"", ""en"")"),"sweater")</f>
        <v>sweater</v>
      </c>
    </row>
    <row r="44561">
      <c r="A44561" s="1" t="s">
        <v>44560</v>
      </c>
      <c r="B44561" s="2" t="str">
        <f>IFERROR(__xludf.DUMMYFUNCTION("GOOGLETRANSLATE(A44561, ""de"", ""en"")"),"disease control agency")</f>
        <v>disease control agency</v>
      </c>
    </row>
    <row r="44562">
      <c r="A44562" s="1" t="s">
        <v>44561</v>
      </c>
      <c r="B44562" s="2" t="str">
        <f>IFERROR(__xludf.DUMMYFUNCTION("GOOGLETRANSLATE(A44562, ""de"", ""en"")"),"bare")</f>
        <v>bare</v>
      </c>
    </row>
    <row r="44563">
      <c r="A44563" s="1" t="s">
        <v>44562</v>
      </c>
      <c r="B44563" s="2" t="str">
        <f>IFERROR(__xludf.DUMMYFUNCTION("GOOGLETRANSLATE(A44563, ""de"", ""en"")"),"lighter")</f>
        <v>lighter</v>
      </c>
    </row>
    <row r="44564">
      <c r="A44564" s="1" t="s">
        <v>44563</v>
      </c>
      <c r="B44564" s="2" t="str">
        <f>IFERROR(__xludf.DUMMYFUNCTION("GOOGLETRANSLATE(A44564, ""de"", ""en"")"),"proverbial")</f>
        <v>proverbial</v>
      </c>
    </row>
    <row r="44565">
      <c r="A44565" s="1" t="s">
        <v>44564</v>
      </c>
      <c r="B44565" s="2" t="str">
        <f>IFERROR(__xludf.DUMMYFUNCTION("GOOGLETRANSLATE(A44565, ""de"", ""en"")"),"errors")</f>
        <v>errors</v>
      </c>
    </row>
    <row r="44566">
      <c r="A44566" s="1" t="s">
        <v>44565</v>
      </c>
      <c r="B44566" s="2" t="str">
        <f>IFERROR(__xludf.DUMMYFUNCTION("GOOGLETRANSLATE(A44566, ""de"", ""en"")"),"chivalrous")</f>
        <v>chivalrous</v>
      </c>
    </row>
    <row r="44567">
      <c r="A44567" s="1" t="s">
        <v>44566</v>
      </c>
      <c r="B44567" s="2" t="str">
        <f>IFERROR(__xludf.DUMMYFUNCTION("GOOGLETRANSLATE(A44567, ""de"", ""en"")"),"cush")</f>
        <v>cush</v>
      </c>
    </row>
    <row r="44568">
      <c r="A44568" s="1" t="s">
        <v>44567</v>
      </c>
      <c r="B44568" s="2" t="str">
        <f>IFERROR(__xludf.DUMMYFUNCTION("GOOGLETRANSLATE(A44568, ""de"", ""en"")"),"secret code")</f>
        <v>secret code</v>
      </c>
    </row>
    <row r="44569">
      <c r="A44569" s="1" t="s">
        <v>44568</v>
      </c>
      <c r="B44569" s="2" t="str">
        <f>IFERROR(__xludf.DUMMYFUNCTION("GOOGLETRANSLATE(A44569, ""de"", ""en"")"),"typ")</f>
        <v>typ</v>
      </c>
    </row>
    <row r="44570">
      <c r="A44570" s="1" t="s">
        <v>44569</v>
      </c>
      <c r="B44570" s="2" t="str">
        <f>IFERROR(__xludf.DUMMYFUNCTION("GOOGLETRANSLATE(A44570, ""de"", ""en"")"),"sew up")</f>
        <v>sew up</v>
      </c>
    </row>
    <row r="44571">
      <c r="A44571" s="1" t="s">
        <v>44570</v>
      </c>
      <c r="B44571" s="2" t="str">
        <f>IFERROR(__xludf.DUMMYFUNCTION("GOOGLETRANSLATE(A44571, ""de"", ""en"")"),"towing service")</f>
        <v>towing service</v>
      </c>
    </row>
    <row r="44572">
      <c r="A44572" s="1" t="s">
        <v>44571</v>
      </c>
      <c r="B44572" s="2" t="str">
        <f>IFERROR(__xludf.DUMMYFUNCTION("GOOGLETRANSLATE(A44572, ""de"", ""en"")"),"rising")</f>
        <v>rising</v>
      </c>
    </row>
    <row r="44573">
      <c r="A44573" s="1" t="s">
        <v>44572</v>
      </c>
      <c r="B44573" s="2" t="str">
        <f>IFERROR(__xludf.DUMMYFUNCTION("GOOGLETRANSLATE(A44573, ""de"", ""en"")"),"colada")</f>
        <v>colada</v>
      </c>
    </row>
    <row r="44574">
      <c r="A44574" s="1" t="s">
        <v>44573</v>
      </c>
      <c r="B44574" s="2" t="str">
        <f>IFERROR(__xludf.DUMMYFUNCTION("GOOGLETRANSLATE(A44574, ""de"", ""en"")"),"hour")</f>
        <v>hour</v>
      </c>
    </row>
    <row r="44575">
      <c r="A44575" s="1" t="s">
        <v>44574</v>
      </c>
      <c r="B44575" s="2" t="str">
        <f>IFERROR(__xludf.DUMMYFUNCTION("GOOGLETRANSLATE(A44575, ""de"", ""en"")"),"matsuko")</f>
        <v>matsuko</v>
      </c>
    </row>
    <row r="44576">
      <c r="A44576" s="1" t="s">
        <v>44575</v>
      </c>
      <c r="B44576" s="2" t="str">
        <f>IFERROR(__xludf.DUMMYFUNCTION("GOOGLETRANSLATE(A44576, ""de"", ""en"")"),"freak out")</f>
        <v>freak out</v>
      </c>
    </row>
    <row r="44577">
      <c r="A44577" s="1" t="s">
        <v>44576</v>
      </c>
      <c r="B44577" s="2" t="str">
        <f>IFERROR(__xludf.DUMMYFUNCTION("GOOGLETRANSLATE(A44577, ""de"", ""en"")"),"maintenance payments")</f>
        <v>maintenance payments</v>
      </c>
    </row>
    <row r="44578">
      <c r="A44578" s="1" t="s">
        <v>44577</v>
      </c>
      <c r="B44578" s="2" t="str">
        <f>IFERROR(__xludf.DUMMYFUNCTION("GOOGLETRANSLATE(A44578, ""de"", ""en"")"),"perished")</f>
        <v>perished</v>
      </c>
    </row>
    <row r="44579">
      <c r="A44579" s="1" t="s">
        <v>44578</v>
      </c>
      <c r="B44579" s="2" t="str">
        <f>IFERROR(__xludf.DUMMYFUNCTION("GOOGLETRANSLATE(A44579, ""de"", ""en"")"),"company policy")</f>
        <v>company policy</v>
      </c>
    </row>
    <row r="44580">
      <c r="A44580" s="1" t="s">
        <v>44579</v>
      </c>
      <c r="B44580" s="2" t="str">
        <f>IFERROR(__xludf.DUMMYFUNCTION("GOOGLETRANSLATE(A44580, ""de"", ""en"")"),"mistress of the house")</f>
        <v>mistress of the house</v>
      </c>
    </row>
    <row r="44581">
      <c r="A44581" s="1" t="s">
        <v>44580</v>
      </c>
      <c r="B44581" s="2" t="str">
        <f>IFERROR(__xludf.DUMMYFUNCTION("GOOGLETRANSLATE(A44581, ""de"", ""en"")"),"inshallah")</f>
        <v>inshallah</v>
      </c>
    </row>
    <row r="44582">
      <c r="A44582" s="1" t="s">
        <v>44581</v>
      </c>
      <c r="B44582" s="2" t="str">
        <f>IFERROR(__xludf.DUMMYFUNCTION("GOOGLETRANSLATE(A44582, ""de"", ""en"")"),"latham")</f>
        <v>latham</v>
      </c>
    </row>
    <row r="44583">
      <c r="A44583" s="1" t="s">
        <v>44582</v>
      </c>
      <c r="B44583" s="2" t="str">
        <f>IFERROR(__xludf.DUMMYFUNCTION("GOOGLETRANSLATE(A44583, ""de"", ""en"")"),"hoboken")</f>
        <v>hoboken</v>
      </c>
    </row>
    <row r="44584">
      <c r="A44584" s="1" t="s">
        <v>44583</v>
      </c>
      <c r="B44584" s="2" t="str">
        <f>IFERROR(__xludf.DUMMYFUNCTION("GOOGLETRANSLATE(A44584, ""de"", ""en"")"),"tested")</f>
        <v>tested</v>
      </c>
    </row>
    <row r="44585">
      <c r="A44585" s="1" t="s">
        <v>44584</v>
      </c>
      <c r="B44585" s="2" t="str">
        <f>IFERROR(__xludf.DUMMYFUNCTION("GOOGLETRANSLATE(A44585, ""de"", ""en"")"),"drown")</f>
        <v>drown</v>
      </c>
    </row>
    <row r="44586">
      <c r="A44586" s="1" t="s">
        <v>44585</v>
      </c>
      <c r="B44586" s="2" t="str">
        <f>IFERROR(__xludf.DUMMYFUNCTION("GOOGLETRANSLATE(A44586, ""de"", ""en"")"),"fellow students")</f>
        <v>fellow students</v>
      </c>
    </row>
    <row r="44587">
      <c r="A44587" s="1" t="s">
        <v>44586</v>
      </c>
      <c r="B44587" s="2" t="str">
        <f>IFERROR(__xludf.DUMMYFUNCTION("GOOGLETRANSLATE(A44587, ""de"", ""en"")"),"fun ones")</f>
        <v>fun ones</v>
      </c>
    </row>
    <row r="44588">
      <c r="A44588" s="1" t="s">
        <v>44587</v>
      </c>
      <c r="B44588" s="2" t="str">
        <f>IFERROR(__xludf.DUMMYFUNCTION("GOOGLETRANSLATE(A44588, ""de"", ""en"")"),"mcclure")</f>
        <v>mcclure</v>
      </c>
    </row>
    <row r="44589">
      <c r="A44589" s="1" t="s">
        <v>44588</v>
      </c>
      <c r="B44589" s="2" t="str">
        <f>IFERROR(__xludf.DUMMYFUNCTION("GOOGLETRANSLATE(A44589, ""de"", ""en"")"),"emancipation")</f>
        <v>emancipation</v>
      </c>
    </row>
    <row r="44590">
      <c r="A44590" s="1" t="s">
        <v>44589</v>
      </c>
      <c r="B44590" s="2" t="str">
        <f>IFERROR(__xludf.DUMMYFUNCTION("GOOGLETRANSLATE(A44590, ""de"", ""en"")"),"turning")</f>
        <v>turning</v>
      </c>
    </row>
    <row r="44591">
      <c r="A44591" s="1" t="s">
        <v>44590</v>
      </c>
      <c r="B44591" s="2" t="str">
        <f>IFERROR(__xludf.DUMMYFUNCTION("GOOGLETRANSLATE(A44591, ""de"", ""en"")"),"groom")</f>
        <v>groom</v>
      </c>
    </row>
    <row r="44592">
      <c r="A44592" s="1" t="s">
        <v>44591</v>
      </c>
      <c r="B44592" s="2" t="str">
        <f>IFERROR(__xludf.DUMMYFUNCTION("GOOGLETRANSLATE(A44592, ""de"", ""en"")"),"little man")</f>
        <v>little man</v>
      </c>
    </row>
    <row r="44593">
      <c r="A44593" s="1" t="s">
        <v>44592</v>
      </c>
      <c r="B44593" s="2" t="str">
        <f>IFERROR(__xludf.DUMMYFUNCTION("GOOGLETRANSLATE(A44593, ""de"", ""en"")"),"abstains")</f>
        <v>abstains</v>
      </c>
    </row>
    <row r="44594">
      <c r="A44594" s="1" t="s">
        <v>44593</v>
      </c>
      <c r="B44594" s="2" t="str">
        <f>IFERROR(__xludf.DUMMYFUNCTION("GOOGLETRANSLATE(A44594, ""de"", ""en"")"),"finishes")</f>
        <v>finishes</v>
      </c>
    </row>
    <row r="44595">
      <c r="A44595" s="1" t="s">
        <v>44594</v>
      </c>
      <c r="B44595" s="2" t="str">
        <f>IFERROR(__xludf.DUMMYFUNCTION("GOOGLETRANSLATE(A44595, ""de"", ""en"")"),"deficient")</f>
        <v>deficient</v>
      </c>
    </row>
    <row r="44596">
      <c r="A44596" s="1" t="s">
        <v>44595</v>
      </c>
      <c r="B44596" s="2" t="str">
        <f>IFERROR(__xludf.DUMMYFUNCTION("GOOGLETRANSLATE(A44596, ""de"", ""en"")"),"dress")</f>
        <v>dress</v>
      </c>
    </row>
    <row r="44597">
      <c r="A44597" s="1" t="s">
        <v>44596</v>
      </c>
      <c r="B44597" s="2" t="str">
        <f>IFERROR(__xludf.DUMMYFUNCTION("GOOGLETRANSLATE(A44597, ""de"", ""en"")"),"bruised")</f>
        <v>bruised</v>
      </c>
    </row>
    <row r="44598">
      <c r="A44598" s="1" t="s">
        <v>44597</v>
      </c>
      <c r="B44598" s="2" t="str">
        <f>IFERROR(__xludf.DUMMYFUNCTION("GOOGLETRANSLATE(A44598, ""de"", ""en"")"),"tube")</f>
        <v>tube</v>
      </c>
    </row>
    <row r="44599">
      <c r="A44599" s="1" t="s">
        <v>44598</v>
      </c>
      <c r="B44599" s="2" t="str">
        <f>IFERROR(__xludf.DUMMYFUNCTION("GOOGLETRANSLATE(A44599, ""de"", ""en"")"),"stokes")</f>
        <v>stokes</v>
      </c>
    </row>
    <row r="44600">
      <c r="A44600" s="1" t="s">
        <v>44599</v>
      </c>
      <c r="B44600" s="2" t="str">
        <f>IFERROR(__xludf.DUMMYFUNCTION("GOOGLETRANSLATE(A44600, ""de"", ""en"")"),"power cable")</f>
        <v>power cable</v>
      </c>
    </row>
    <row r="44601">
      <c r="A44601" s="1" t="s">
        <v>44600</v>
      </c>
      <c r="B44601" s="2" t="str">
        <f>IFERROR(__xludf.DUMMYFUNCTION("GOOGLETRANSLATE(A44601, ""de"", ""en"")"),"torn away")</f>
        <v>torn away</v>
      </c>
    </row>
    <row r="44602">
      <c r="A44602" s="1" t="s">
        <v>44601</v>
      </c>
      <c r="B44602" s="2" t="str">
        <f>IFERROR(__xludf.DUMMYFUNCTION("GOOGLETRANSLATE(A44602, ""de"", ""en"")"),"sprayed")</f>
        <v>sprayed</v>
      </c>
    </row>
    <row r="44603">
      <c r="A44603" s="1" t="s">
        <v>44602</v>
      </c>
      <c r="B44603" s="2" t="str">
        <f>IFERROR(__xludf.DUMMYFUNCTION("GOOGLETRANSLATE(A44603, ""de"", ""en"")"),"Kazumi")</f>
        <v>Kazumi</v>
      </c>
    </row>
    <row r="44604">
      <c r="A44604" s="1" t="s">
        <v>44603</v>
      </c>
      <c r="B44604" s="2" t="str">
        <f>IFERROR(__xludf.DUMMYFUNCTION("GOOGLETRANSLATE(A44604, ""de"", ""en"")"),"falsely")</f>
        <v>falsely</v>
      </c>
    </row>
    <row r="44605">
      <c r="A44605" s="1" t="s">
        <v>44604</v>
      </c>
      <c r="B44605" s="2" t="str">
        <f>IFERROR(__xludf.DUMMYFUNCTION("GOOGLETRANSLATE(A44605, ""de"", ""en"")"),"thrown down")</f>
        <v>thrown down</v>
      </c>
    </row>
    <row r="44606">
      <c r="A44606" s="1" t="s">
        <v>44605</v>
      </c>
      <c r="B44606" s="2" t="str">
        <f>IFERROR(__xludf.DUMMYFUNCTION("GOOGLETRANSLATE(A44606, ""de"", ""en"")"),"treville")</f>
        <v>treville</v>
      </c>
    </row>
    <row r="44607">
      <c r="A44607" s="1" t="s">
        <v>44606</v>
      </c>
      <c r="B44607" s="2" t="str">
        <f>IFERROR(__xludf.DUMMYFUNCTION("GOOGLETRANSLATE(A44607, ""de"", ""en"")"),"kyuzo")</f>
        <v>kyuzo</v>
      </c>
    </row>
    <row r="44608">
      <c r="A44608" s="1" t="s">
        <v>44607</v>
      </c>
      <c r="B44608" s="2" t="str">
        <f>IFERROR(__xludf.DUMMYFUNCTION("GOOGLETRANSLATE(A44608, ""de"", ""en"")"),"references")</f>
        <v>references</v>
      </c>
    </row>
    <row r="44609">
      <c r="A44609" s="1" t="s">
        <v>44608</v>
      </c>
      <c r="B44609" s="2" t="str">
        <f>IFERROR(__xludf.DUMMYFUNCTION("GOOGLETRANSLATE(A44609, ""de"", ""en"")"),"social")</f>
        <v>social</v>
      </c>
    </row>
    <row r="44610">
      <c r="A44610" s="1" t="s">
        <v>44609</v>
      </c>
      <c r="B44610" s="2" t="str">
        <f>IFERROR(__xludf.DUMMYFUNCTION("GOOGLETRANSLATE(A44610, ""de"", ""en"")"),"argumentative")</f>
        <v>argumentative</v>
      </c>
    </row>
    <row r="44611">
      <c r="A44611" s="1" t="s">
        <v>44610</v>
      </c>
      <c r="B44611" s="2" t="str">
        <f>IFERROR(__xludf.DUMMYFUNCTION("GOOGLETRANSLATE(A44611, ""de"", ""en"")"),"breed")</f>
        <v>breed</v>
      </c>
    </row>
    <row r="44612">
      <c r="A44612" s="1" t="s">
        <v>44611</v>
      </c>
      <c r="B44612" s="2" t="str">
        <f>IFERROR(__xludf.DUMMYFUNCTION("GOOGLETRANSLATE(A44612, ""de"", ""en"")"),"unequal")</f>
        <v>unequal</v>
      </c>
    </row>
    <row r="44613">
      <c r="A44613" s="1" t="s">
        <v>44612</v>
      </c>
      <c r="B44613" s="2" t="str">
        <f>IFERROR(__xludf.DUMMYFUNCTION("GOOGLETRANSLATE(A44613, ""de"", ""en"")"),"magician")</f>
        <v>magician</v>
      </c>
    </row>
    <row r="44614">
      <c r="A44614" s="1" t="s">
        <v>44613</v>
      </c>
      <c r="B44614" s="2" t="str">
        <f>IFERROR(__xludf.DUMMYFUNCTION("GOOGLETRANSLATE(A44614, ""de"", ""en"")"),"hypnotist")</f>
        <v>hypnotist</v>
      </c>
    </row>
    <row r="44615">
      <c r="A44615" s="1" t="s">
        <v>44614</v>
      </c>
      <c r="B44615" s="2" t="str">
        <f>IFERROR(__xludf.DUMMYFUNCTION("GOOGLETRANSLATE(A44615, ""de"", ""en"")"),"then")</f>
        <v>then</v>
      </c>
    </row>
    <row r="44616">
      <c r="A44616" s="1" t="s">
        <v>44615</v>
      </c>
      <c r="B44616" s="2" t="str">
        <f>IFERROR(__xludf.DUMMYFUNCTION("GOOGLETRANSLATE(A44616, ""de"", ""en"")"),"extension")</f>
        <v>extension</v>
      </c>
    </row>
    <row r="44617">
      <c r="A44617" s="1" t="s">
        <v>44616</v>
      </c>
      <c r="B44617" s="2" t="str">
        <f>IFERROR(__xludf.DUMMYFUNCTION("GOOGLETRANSLATE(A44617, ""de"", ""en"")"),"pleasure")</f>
        <v>pleasure</v>
      </c>
    </row>
    <row r="44618">
      <c r="A44618" s="1" t="s">
        <v>44617</v>
      </c>
      <c r="B44618" s="2" t="str">
        <f>IFERROR(__xludf.DUMMYFUNCTION("GOOGLETRANSLATE(A44618, ""de"", ""en"")"),"get drunk")</f>
        <v>get drunk</v>
      </c>
    </row>
    <row r="44619">
      <c r="A44619" s="1" t="s">
        <v>44618</v>
      </c>
      <c r="B44619" s="2" t="str">
        <f>IFERROR(__xludf.DUMMYFUNCTION("GOOGLETRANSLATE(A44619, ""de"", ""en"")"),"transmission")</f>
        <v>transmission</v>
      </c>
    </row>
    <row r="44620">
      <c r="A44620" s="1" t="s">
        <v>44619</v>
      </c>
      <c r="B44620" s="2" t="str">
        <f>IFERROR(__xludf.DUMMYFUNCTION("GOOGLETRANSLATE(A44620, ""de"", ""en"")"),"council of elders")</f>
        <v>council of elders</v>
      </c>
    </row>
    <row r="44621">
      <c r="A44621" s="1" t="s">
        <v>44620</v>
      </c>
      <c r="B44621" s="2" t="str">
        <f>IFERROR(__xludf.DUMMYFUNCTION("GOOGLETRANSLATE(A44621, ""de"", ""en"")"),"take a look")</f>
        <v>take a look</v>
      </c>
    </row>
    <row r="44622">
      <c r="A44622" s="1" t="s">
        <v>44621</v>
      </c>
      <c r="B44622" s="2" t="str">
        <f>IFERROR(__xludf.DUMMYFUNCTION("GOOGLETRANSLATE(A44622, ""de"", ""en"")"),"marriott")</f>
        <v>marriott</v>
      </c>
    </row>
    <row r="44623">
      <c r="A44623" s="1" t="s">
        <v>44622</v>
      </c>
      <c r="B44623" s="2" t="str">
        <f>IFERROR(__xludf.DUMMYFUNCTION("GOOGLETRANSLATE(A44623, ""de"", ""en"")"),"screwed up")</f>
        <v>screwed up</v>
      </c>
    </row>
    <row r="44624">
      <c r="A44624" s="1" t="s">
        <v>44623</v>
      </c>
      <c r="B44624" s="2" t="str">
        <f>IFERROR(__xludf.DUMMYFUNCTION("GOOGLETRANSLATE(A44624, ""de"", ""en"")"),"Jonny")</f>
        <v>Jonny</v>
      </c>
    </row>
    <row r="44625">
      <c r="A44625" s="1" t="s">
        <v>44624</v>
      </c>
      <c r="B44625" s="2" t="str">
        <f>IFERROR(__xludf.DUMMYFUNCTION("GOOGLETRANSLATE(A44625, ""de"", ""en"")"),"acting lessons")</f>
        <v>acting lessons</v>
      </c>
    </row>
    <row r="44626">
      <c r="A44626" s="1" t="s">
        <v>44625</v>
      </c>
      <c r="B44626" s="2" t="str">
        <f>IFERROR(__xludf.DUMMYFUNCTION("GOOGLETRANSLATE(A44626, ""de"", ""en"")"),"gunmar")</f>
        <v>gunmar</v>
      </c>
    </row>
    <row r="44627">
      <c r="A44627" s="1" t="s">
        <v>44626</v>
      </c>
      <c r="B44627" s="2" t="str">
        <f>IFERROR(__xludf.DUMMYFUNCTION("GOOGLETRANSLATE(A44627, ""de"", ""en"")"),"plead")</f>
        <v>plead</v>
      </c>
    </row>
    <row r="44628">
      <c r="A44628" s="1" t="s">
        <v>44627</v>
      </c>
      <c r="B44628" s="2" t="str">
        <f>IFERROR(__xludf.DUMMYFUNCTION("GOOGLETRANSLATE(A44628, ""de"", ""en"")"),"boost")</f>
        <v>boost</v>
      </c>
    </row>
    <row r="44629">
      <c r="A44629" s="1" t="s">
        <v>44628</v>
      </c>
      <c r="B44629" s="2" t="str">
        <f>IFERROR(__xludf.DUMMYFUNCTION("GOOGLETRANSLATE(A44629, ""de"", ""en"")"),"carry off")</f>
        <v>carry off</v>
      </c>
    </row>
    <row r="44630">
      <c r="A44630" s="1" t="s">
        <v>44629</v>
      </c>
      <c r="B44630" s="2" t="str">
        <f>IFERROR(__xludf.DUMMYFUNCTION("GOOGLETRANSLATE(A44630, ""de"", ""en"")"),"lockdown")</f>
        <v>lockdown</v>
      </c>
    </row>
    <row r="44631">
      <c r="A44631" s="1" t="s">
        <v>44630</v>
      </c>
      <c r="B44631" s="2" t="str">
        <f>IFERROR(__xludf.DUMMYFUNCTION("GOOGLETRANSLATE(A44631, ""de"", ""en"")"),"research")</f>
        <v>research</v>
      </c>
    </row>
    <row r="44632">
      <c r="A44632" s="1" t="s">
        <v>44631</v>
      </c>
      <c r="B44632" s="2" t="str">
        <f>IFERROR(__xludf.DUMMYFUNCTION("GOOGLETRANSLATE(A44632, ""de"", ""en"")"),"deacon")</f>
        <v>deacon</v>
      </c>
    </row>
    <row r="44633">
      <c r="A44633" s="1" t="s">
        <v>44632</v>
      </c>
      <c r="B44633" s="2" t="str">
        <f>IFERROR(__xludf.DUMMYFUNCTION("GOOGLETRANSLATE(A44633, ""de"", ""en"")"),"unmistakable")</f>
        <v>unmistakable</v>
      </c>
    </row>
    <row r="44634">
      <c r="A44634" s="1" t="s">
        <v>44633</v>
      </c>
      <c r="B44634" s="2" t="str">
        <f>IFERROR(__xludf.DUMMYFUNCTION("GOOGLETRANSLATE(A44634, ""de"", ""en"")"),"devils")</f>
        <v>devils</v>
      </c>
    </row>
    <row r="44635">
      <c r="A44635" s="1" t="s">
        <v>44634</v>
      </c>
      <c r="B44635" s="2" t="str">
        <f>IFERROR(__xludf.DUMMYFUNCTION("GOOGLETRANSLATE(A44635, ""de"", ""en"")"),"evangeline")</f>
        <v>evangeline</v>
      </c>
    </row>
    <row r="44636">
      <c r="A44636" s="1" t="s">
        <v>44635</v>
      </c>
      <c r="B44636" s="2" t="str">
        <f>IFERROR(__xludf.DUMMYFUNCTION("GOOGLETRANSLATE(A44636, ""de"", ""en"")"),"tea bag")</f>
        <v>tea bag</v>
      </c>
    </row>
    <row r="44637">
      <c r="A44637" s="1" t="s">
        <v>44636</v>
      </c>
      <c r="B44637" s="2" t="str">
        <f>IFERROR(__xludf.DUMMYFUNCTION("GOOGLETRANSLATE(A44637, ""de"", ""en"")"),"justifiable")</f>
        <v>justifiable</v>
      </c>
    </row>
    <row r="44638">
      <c r="A44638" s="1" t="s">
        <v>44637</v>
      </c>
      <c r="B44638" s="2" t="str">
        <f>IFERROR(__xludf.DUMMYFUNCTION("GOOGLETRANSLATE(A44638, ""de"", ""en"")"),"baby things")</f>
        <v>baby things</v>
      </c>
    </row>
    <row r="44639">
      <c r="A44639" s="1" t="s">
        <v>44638</v>
      </c>
      <c r="B44639" s="2" t="str">
        <f>IFERROR(__xludf.DUMMYFUNCTION("GOOGLETRANSLATE(A44639, ""de"", ""en"")"),"peacemaker")</f>
        <v>peacemaker</v>
      </c>
    </row>
    <row r="44640">
      <c r="A44640" s="1" t="s">
        <v>44639</v>
      </c>
      <c r="B44640" s="2" t="str">
        <f>IFERROR(__xludf.DUMMYFUNCTION("GOOGLETRANSLATE(A44640, ""de"", ""en"")"),"intersected")</f>
        <v>intersected</v>
      </c>
    </row>
    <row r="44641">
      <c r="A44641" s="1" t="s">
        <v>44640</v>
      </c>
      <c r="B44641" s="2" t="str">
        <f>IFERROR(__xludf.DUMMYFUNCTION("GOOGLETRANSLATE(A44641, ""de"", ""en"")"),"kir")</f>
        <v>kir</v>
      </c>
    </row>
    <row r="44642">
      <c r="A44642" s="1" t="s">
        <v>44641</v>
      </c>
      <c r="B44642" s="2" t="str">
        <f>IFERROR(__xludf.DUMMYFUNCTION("GOOGLETRANSLATE(A44642, ""de"", ""en"")"),"doller")</f>
        <v>doller</v>
      </c>
    </row>
    <row r="44643">
      <c r="A44643" s="1" t="s">
        <v>44642</v>
      </c>
      <c r="B44643" s="2" t="str">
        <f>IFERROR(__xludf.DUMMYFUNCTION("GOOGLETRANSLATE(A44643, ""de"", ""en"")"),"jenner")</f>
        <v>jenner</v>
      </c>
    </row>
    <row r="44644">
      <c r="A44644" s="1" t="s">
        <v>44643</v>
      </c>
      <c r="B44644" s="2" t="str">
        <f>IFERROR(__xludf.DUMMYFUNCTION("GOOGLETRANSLATE(A44644, ""de"", ""en"")"),"caliber")</f>
        <v>caliber</v>
      </c>
    </row>
    <row r="44645">
      <c r="A44645" s="1" t="s">
        <v>44644</v>
      </c>
      <c r="B44645" s="2" t="str">
        <f>IFERROR(__xludf.DUMMYFUNCTION("GOOGLETRANSLATE(A44645, ""de"", ""en"")"),"eight times")</f>
        <v>eight times</v>
      </c>
    </row>
    <row r="44646">
      <c r="A44646" s="1" t="s">
        <v>44645</v>
      </c>
      <c r="B44646" s="2" t="str">
        <f>IFERROR(__xludf.DUMMYFUNCTION("GOOGLETRANSLATE(A44646, ""de"", ""en"")"),"tighter")</f>
        <v>tighter</v>
      </c>
    </row>
    <row r="44647">
      <c r="A44647" s="1" t="s">
        <v>44646</v>
      </c>
      <c r="B44647" s="2" t="str">
        <f>IFERROR(__xludf.DUMMYFUNCTION("GOOGLETRANSLATE(A44647, ""de"", ""en"")"),"campaigns")</f>
        <v>campaigns</v>
      </c>
    </row>
    <row r="44648">
      <c r="A44648" s="1" t="s">
        <v>44647</v>
      </c>
      <c r="B44648" s="2" t="str">
        <f>IFERROR(__xludf.DUMMYFUNCTION("GOOGLETRANSLATE(A44648, ""de"", ""en"")"),"unstable")</f>
        <v>unstable</v>
      </c>
    </row>
    <row r="44649">
      <c r="A44649" s="1" t="s">
        <v>44648</v>
      </c>
      <c r="B44649" s="2" t="str">
        <f>IFERROR(__xludf.DUMMYFUNCTION("GOOGLETRANSLATE(A44649, ""de"", ""en"")"),"reliable")</f>
        <v>reliable</v>
      </c>
    </row>
    <row r="44650">
      <c r="A44650" s="1" t="s">
        <v>44649</v>
      </c>
      <c r="B44650" s="2" t="str">
        <f>IFERROR(__xludf.DUMMYFUNCTION("GOOGLETRANSLATE(A44650, ""de"", ""en"")"),"gap")</f>
        <v>gap</v>
      </c>
    </row>
    <row r="44651">
      <c r="A44651" s="1" t="s">
        <v>44650</v>
      </c>
      <c r="B44651" s="2" t="str">
        <f>IFERROR(__xludf.DUMMYFUNCTION("GOOGLETRANSLATE(A44651, ""de"", ""en"")"),"sabata")</f>
        <v>sabata</v>
      </c>
    </row>
    <row r="44652">
      <c r="A44652" s="1" t="s">
        <v>44651</v>
      </c>
      <c r="B44652" s="2" t="str">
        <f>IFERROR(__xludf.DUMMYFUNCTION("GOOGLETRANSLATE(A44652, ""de"", ""en"")"),"box")</f>
        <v>box</v>
      </c>
    </row>
    <row r="44653">
      <c r="A44653" s="1" t="s">
        <v>44652</v>
      </c>
      <c r="B44653" s="2" t="str">
        <f>IFERROR(__xludf.DUMMYFUNCTION("GOOGLETRANSLATE(A44653, ""de"", ""en"")"),"strawberry")</f>
        <v>strawberry</v>
      </c>
    </row>
    <row r="44654">
      <c r="A44654" s="1" t="s">
        <v>44653</v>
      </c>
      <c r="B44654" s="2" t="str">
        <f>IFERROR(__xludf.DUMMYFUNCTION("GOOGLETRANSLATE(A44654, ""de"", ""en"")"),"spouses")</f>
        <v>spouses</v>
      </c>
    </row>
    <row r="44655">
      <c r="A44655" s="1" t="s">
        <v>44654</v>
      </c>
      <c r="B44655" s="2" t="str">
        <f>IFERROR(__xludf.DUMMYFUNCTION("GOOGLETRANSLATE(A44655, ""de"", ""en"")"),"haunted house")</f>
        <v>haunted house</v>
      </c>
    </row>
    <row r="44656">
      <c r="A44656" s="1" t="s">
        <v>44655</v>
      </c>
      <c r="B44656" s="2" t="str">
        <f>IFERROR(__xludf.DUMMYFUNCTION("GOOGLETRANSLATE(A44656, ""de"", ""en"")"),"arrested")</f>
        <v>arrested</v>
      </c>
    </row>
    <row r="44657">
      <c r="A44657" s="1" t="s">
        <v>44656</v>
      </c>
      <c r="B44657" s="2" t="str">
        <f>IFERROR(__xludf.DUMMYFUNCTION("GOOGLETRANSLATE(A44657, ""de"", ""en"")"),"okay")</f>
        <v>okay</v>
      </c>
    </row>
    <row r="44658">
      <c r="A44658" s="1" t="s">
        <v>44657</v>
      </c>
      <c r="B44658" s="2" t="str">
        <f>IFERROR(__xludf.DUMMYFUNCTION("GOOGLETRANSLATE(A44658, ""de"", ""en"")"),"Iraqi")</f>
        <v>Iraqi</v>
      </c>
    </row>
    <row r="44659">
      <c r="A44659" s="1" t="s">
        <v>44658</v>
      </c>
      <c r="B44659" s="2" t="str">
        <f>IFERROR(__xludf.DUMMYFUNCTION("GOOGLETRANSLATE(A44659, ""de"", ""en"")"),"rayborn")</f>
        <v>rayborn</v>
      </c>
    </row>
    <row r="44660">
      <c r="A44660" s="1" t="s">
        <v>44659</v>
      </c>
      <c r="B44660" s="2" t="str">
        <f>IFERROR(__xludf.DUMMYFUNCTION("GOOGLETRANSLATE(A44660, ""de"", ""en"")"),"circumstances")</f>
        <v>circumstances</v>
      </c>
    </row>
    <row r="44661">
      <c r="A44661" s="1" t="s">
        <v>44660</v>
      </c>
      <c r="B44661" s="2" t="str">
        <f>IFERROR(__xludf.DUMMYFUNCTION("GOOGLETRANSLATE(A44661, ""de"", ""en"")"),"more threatening")</f>
        <v>more threatening</v>
      </c>
    </row>
    <row r="44662">
      <c r="A44662" s="1" t="s">
        <v>44661</v>
      </c>
      <c r="B44662" s="2" t="str">
        <f>IFERROR(__xludf.DUMMYFUNCTION("GOOGLETRANSLATE(A44662, ""de"", ""en"")"),"mmmm")</f>
        <v>mmmm</v>
      </c>
    </row>
    <row r="44663">
      <c r="A44663" s="1" t="s">
        <v>44662</v>
      </c>
      <c r="B44663" s="2" t="str">
        <f>IFERROR(__xludf.DUMMYFUNCTION("GOOGLETRANSLATE(A44663, ""de"", ""en"")"),"consumption")</f>
        <v>consumption</v>
      </c>
    </row>
    <row r="44664">
      <c r="A44664" s="1" t="s">
        <v>44663</v>
      </c>
      <c r="B44664" s="2" t="str">
        <f>IFERROR(__xludf.DUMMYFUNCTION("GOOGLETRANSLATE(A44664, ""de"", ""en"")"),"fish market")</f>
        <v>fish market</v>
      </c>
    </row>
    <row r="44665">
      <c r="A44665" s="1" t="s">
        <v>44664</v>
      </c>
      <c r="B44665" s="2" t="str">
        <f>IFERROR(__xludf.DUMMYFUNCTION("GOOGLETRANSLATE(A44665, ""de"", ""en"")"),"collar width")</f>
        <v>collar width</v>
      </c>
    </row>
    <row r="44666">
      <c r="A44666" s="1" t="s">
        <v>44665</v>
      </c>
      <c r="B44666" s="2" t="str">
        <f>IFERROR(__xludf.DUMMYFUNCTION("GOOGLETRANSLATE(A44666, ""de"", ""en"")"),"kala")</f>
        <v>kala</v>
      </c>
    </row>
    <row r="44667">
      <c r="A44667" s="1" t="s">
        <v>44666</v>
      </c>
      <c r="B44667" s="2" t="str">
        <f>IFERROR(__xludf.DUMMYFUNCTION("GOOGLETRANSLATE(A44667, ""de"", ""en"")"),"shave off")</f>
        <v>shave off</v>
      </c>
    </row>
    <row r="44668">
      <c r="A44668" s="1" t="s">
        <v>44667</v>
      </c>
      <c r="B44668" s="2" t="str">
        <f>IFERROR(__xludf.DUMMYFUNCTION("GOOGLETRANSLATE(A44668, ""de"", ""en"")"),"yonkers")</f>
        <v>yonkers</v>
      </c>
    </row>
    <row r="44669">
      <c r="A44669" s="1" t="s">
        <v>44668</v>
      </c>
      <c r="B44669" s="2" t="str">
        <f>IFERROR(__xludf.DUMMYFUNCTION("GOOGLETRANSLATE(A44669, ""de"", ""en"")"),"childcare")</f>
        <v>childcare</v>
      </c>
    </row>
    <row r="44670">
      <c r="A44670" s="1" t="s">
        <v>44669</v>
      </c>
      <c r="B44670" s="2" t="str">
        <f>IFERROR(__xludf.DUMMYFUNCTION("GOOGLETRANSLATE(A44670, ""de"", ""en"")"),"whips")</f>
        <v>whips</v>
      </c>
    </row>
    <row r="44671">
      <c r="A44671" s="1" t="s">
        <v>44670</v>
      </c>
      <c r="B44671" s="2" t="str">
        <f>IFERROR(__xludf.DUMMYFUNCTION("GOOGLETRANSLATE(A44671, ""de"", ""en"")"),"step down")</f>
        <v>step down</v>
      </c>
    </row>
    <row r="44672">
      <c r="A44672" s="1" t="s">
        <v>44671</v>
      </c>
      <c r="B44672" s="2" t="str">
        <f>IFERROR(__xludf.DUMMYFUNCTION("GOOGLETRANSLATE(A44672, ""de"", ""en"")"),"hold on")</f>
        <v>hold on</v>
      </c>
    </row>
    <row r="44673">
      <c r="A44673" s="1" t="s">
        <v>44672</v>
      </c>
      <c r="B44673" s="2" t="str">
        <f>IFERROR(__xludf.DUMMYFUNCTION("GOOGLETRANSLATE(A44673, ""de"", ""en"")"),"angle")</f>
        <v>angle</v>
      </c>
    </row>
    <row r="44674">
      <c r="A44674" s="1" t="s">
        <v>44673</v>
      </c>
      <c r="B44674" s="2" t="str">
        <f>IFERROR(__xludf.DUMMYFUNCTION("GOOGLETRANSLATE(A44674, ""de"", ""en"")"),"gunboat")</f>
        <v>gunboat</v>
      </c>
    </row>
    <row r="44675">
      <c r="A44675" s="1" t="s">
        <v>44674</v>
      </c>
      <c r="B44675" s="2" t="str">
        <f>IFERROR(__xludf.DUMMYFUNCTION("GOOGLETRANSLATE(A44675, ""de"", ""en"")"),"snotty")</f>
        <v>snotty</v>
      </c>
    </row>
    <row r="44676">
      <c r="A44676" s="1" t="s">
        <v>44675</v>
      </c>
      <c r="B44676" s="2" t="str">
        <f>IFERROR(__xludf.DUMMYFUNCTION("GOOGLETRANSLATE(A44676, ""de"", ""en"")"),"to cut open")</f>
        <v>to cut open</v>
      </c>
    </row>
    <row r="44677">
      <c r="A44677" s="1" t="s">
        <v>44676</v>
      </c>
      <c r="B44677" s="2" t="str">
        <f>IFERROR(__xludf.DUMMYFUNCTION("GOOGLETRANSLATE(A44677, ""de"", ""en"")"),"tractors")</f>
        <v>tractors</v>
      </c>
    </row>
    <row r="44678">
      <c r="A44678" s="1" t="s">
        <v>44677</v>
      </c>
      <c r="B44678" s="2" t="str">
        <f>IFERROR(__xludf.DUMMYFUNCTION("GOOGLETRANSLATE(A44678, ""de"", ""en"")"),"mind games")</f>
        <v>mind games</v>
      </c>
    </row>
    <row r="44679">
      <c r="A44679" s="1" t="s">
        <v>44678</v>
      </c>
      <c r="B44679" s="2" t="str">
        <f>IFERROR(__xludf.DUMMYFUNCTION("GOOGLETRANSLATE(A44679, ""de"", ""en"")"),"dive")</f>
        <v>dive</v>
      </c>
    </row>
    <row r="44680">
      <c r="A44680" s="1" t="s">
        <v>44679</v>
      </c>
      <c r="B44680" s="2" t="str">
        <f>IFERROR(__xludf.DUMMYFUNCTION("GOOGLETRANSLATE(A44680, ""de"", ""en"")"),"dig in")</f>
        <v>dig in</v>
      </c>
    </row>
    <row r="44681">
      <c r="A44681" s="1" t="s">
        <v>44680</v>
      </c>
      <c r="B44681" s="2" t="str">
        <f>IFERROR(__xludf.DUMMYFUNCTION("GOOGLETRANSLATE(A44681, ""de"", ""en"")"),"greasy")</f>
        <v>greasy</v>
      </c>
    </row>
    <row r="44682">
      <c r="A44682" s="1" t="s">
        <v>44681</v>
      </c>
      <c r="B44682" s="2" t="str">
        <f>IFERROR(__xludf.DUMMYFUNCTION("GOOGLETRANSLATE(A44682, ""de"", ""en"")"),"taubert")</f>
        <v>taubert</v>
      </c>
    </row>
    <row r="44683">
      <c r="A44683" s="1" t="s">
        <v>44682</v>
      </c>
      <c r="B44683" s="2" t="str">
        <f>IFERROR(__xludf.DUMMYFUNCTION("GOOGLETRANSLATE(A44683, ""de"", ""en"")"),"salander")</f>
        <v>salander</v>
      </c>
    </row>
    <row r="44684">
      <c r="A44684" s="1" t="s">
        <v>44683</v>
      </c>
      <c r="B44684" s="2" t="str">
        <f>IFERROR(__xludf.DUMMYFUNCTION("GOOGLETRANSLATE(A44684, ""de"", ""en"")"),"take offense")</f>
        <v>take offense</v>
      </c>
    </row>
    <row r="44685">
      <c r="A44685" s="1" t="s">
        <v>44684</v>
      </c>
      <c r="B44685" s="2" t="str">
        <f>IFERROR(__xludf.DUMMYFUNCTION("GOOGLETRANSLATE(A44685, ""de"", ""en"")"),"gentry")</f>
        <v>gentry</v>
      </c>
    </row>
    <row r="44686">
      <c r="A44686" s="1" t="s">
        <v>44685</v>
      </c>
      <c r="B44686" s="2" t="str">
        <f>IFERROR(__xludf.DUMMYFUNCTION("GOOGLETRANSLATE(A44686, ""de"", ""en"")"),"finish")</f>
        <v>finish</v>
      </c>
    </row>
    <row r="44687">
      <c r="A44687" s="1" t="s">
        <v>44686</v>
      </c>
      <c r="B44687" s="2" t="str">
        <f>IFERROR(__xludf.DUMMYFUNCTION("GOOGLETRANSLATE(A44687, ""de"", ""en"")"),"svartman")</f>
        <v>svartman</v>
      </c>
    </row>
    <row r="44688">
      <c r="A44688" s="1" t="s">
        <v>44687</v>
      </c>
      <c r="B44688" s="2" t="str">
        <f>IFERROR(__xludf.DUMMYFUNCTION("GOOGLETRANSLATE(A44688, ""de"", ""en"")"),"raising children")</f>
        <v>raising children</v>
      </c>
    </row>
    <row r="44689">
      <c r="A44689" s="1" t="s">
        <v>44688</v>
      </c>
      <c r="B44689" s="2" t="str">
        <f>IFERROR(__xludf.DUMMYFUNCTION("GOOGLETRANSLATE(A44689, ""de"", ""en"")"),"gets around")</f>
        <v>gets around</v>
      </c>
    </row>
    <row r="44690">
      <c r="A44690" s="1" t="s">
        <v>44689</v>
      </c>
      <c r="B44690" s="2" t="str">
        <f>IFERROR(__xludf.DUMMYFUNCTION("GOOGLETRANSLATE(A44690, ""de"", ""en"")"),"naqahdah")</f>
        <v>naqahdah</v>
      </c>
    </row>
    <row r="44691">
      <c r="A44691" s="1" t="s">
        <v>44690</v>
      </c>
      <c r="B44691" s="2" t="str">
        <f>IFERROR(__xludf.DUMMYFUNCTION("GOOGLETRANSLATE(A44691, ""de"", ""en"")"),"ivy")</f>
        <v>ivy</v>
      </c>
    </row>
    <row r="44692">
      <c r="A44692" s="1" t="s">
        <v>44691</v>
      </c>
      <c r="B44692" s="2" t="str">
        <f>IFERROR(__xludf.DUMMYFUNCTION("GOOGLETRANSLATE(A44692, ""de"", ""en"")"),"illia")</f>
        <v>illia</v>
      </c>
    </row>
    <row r="44693">
      <c r="A44693" s="1" t="s">
        <v>44692</v>
      </c>
      <c r="B44693" s="2" t="str">
        <f>IFERROR(__xludf.DUMMYFUNCTION("GOOGLETRANSLATE(A44693, ""de"", ""en"")"),"underskirt")</f>
        <v>underskirt</v>
      </c>
    </row>
    <row r="44694">
      <c r="A44694" s="1" t="s">
        <v>44693</v>
      </c>
      <c r="B44694" s="2" t="str">
        <f>IFERROR(__xludf.DUMMYFUNCTION("GOOGLETRANSLATE(A44694, ""de"", ""en"")"),"coitus")</f>
        <v>coitus</v>
      </c>
    </row>
    <row r="44695">
      <c r="A44695" s="1" t="s">
        <v>44694</v>
      </c>
      <c r="B44695" s="2" t="str">
        <f>IFERROR(__xludf.DUMMYFUNCTION("GOOGLETRANSLATE(A44695, ""de"", ""en"")"),"lisi")</f>
        <v>lisi</v>
      </c>
    </row>
    <row r="44696">
      <c r="A44696" s="1" t="s">
        <v>44695</v>
      </c>
      <c r="B44696" s="2" t="str">
        <f>IFERROR(__xludf.DUMMYFUNCTION("GOOGLETRANSLATE(A44696, ""de"", ""en"")"),"justified")</f>
        <v>justified</v>
      </c>
    </row>
    <row r="44697">
      <c r="A44697" s="1" t="s">
        <v>44696</v>
      </c>
      <c r="B44697" s="2" t="str">
        <f>IFERROR(__xludf.DUMMYFUNCTION("GOOGLETRANSLATE(A44697, ""de"", ""en"")"),"ponce")</f>
        <v>ponce</v>
      </c>
    </row>
    <row r="44698">
      <c r="A44698" s="1" t="s">
        <v>44697</v>
      </c>
      <c r="B44698" s="2" t="str">
        <f>IFERROR(__xludf.DUMMYFUNCTION("GOOGLETRANSLATE(A44698, ""de"", ""en"")"),"to oppose")</f>
        <v>to oppose</v>
      </c>
    </row>
    <row r="44699">
      <c r="A44699" s="1" t="s">
        <v>44698</v>
      </c>
      <c r="B44699" s="2" t="str">
        <f>IFERROR(__xludf.DUMMYFUNCTION("GOOGLETRANSLATE(A44699, ""de"", ""en"")"),"feeding")</f>
        <v>feeding</v>
      </c>
    </row>
    <row r="44700">
      <c r="A44700" s="1" t="s">
        <v>44699</v>
      </c>
      <c r="B44700" s="2" t="str">
        <f>IFERROR(__xludf.DUMMYFUNCTION("GOOGLETRANSLATE(A44700, ""de"", ""en"")"),"particles")</f>
        <v>particles</v>
      </c>
    </row>
    <row r="44701">
      <c r="A44701" s="1" t="s">
        <v>44700</v>
      </c>
      <c r="B44701" s="2" t="str">
        <f>IFERROR(__xludf.DUMMYFUNCTION("GOOGLETRANSLATE(A44701, ""de"", ""en"")"),"resolutions")</f>
        <v>resolutions</v>
      </c>
    </row>
    <row r="44702">
      <c r="A44702" s="1" t="s">
        <v>44701</v>
      </c>
      <c r="B44702" s="2" t="str">
        <f>IFERROR(__xludf.DUMMYFUNCTION("GOOGLETRANSLATE(A44702, ""de"", ""en"")"),"attack of weakness")</f>
        <v>attack of weakness</v>
      </c>
    </row>
    <row r="44703">
      <c r="A44703" s="1" t="s">
        <v>44702</v>
      </c>
      <c r="B44703" s="2" t="str">
        <f>IFERROR(__xludf.DUMMYFUNCTION("GOOGLETRANSLATE(A44703, ""de"", ""en"")"),"candy store")</f>
        <v>candy store</v>
      </c>
    </row>
    <row r="44704">
      <c r="A44704" s="1" t="s">
        <v>44703</v>
      </c>
      <c r="B44704" s="2" t="str">
        <f>IFERROR(__xludf.DUMMYFUNCTION("GOOGLETRANSLATE(A44704, ""de"", ""en"")"),"keisha")</f>
        <v>keisha</v>
      </c>
    </row>
    <row r="44705">
      <c r="A44705" s="1" t="s">
        <v>44704</v>
      </c>
      <c r="B44705" s="2" t="str">
        <f>IFERROR(__xludf.DUMMYFUNCTION("GOOGLETRANSLATE(A44705, ""de"", ""en"")"),"hopped")</f>
        <v>hopped</v>
      </c>
    </row>
    <row r="44706">
      <c r="A44706" s="1" t="s">
        <v>44705</v>
      </c>
      <c r="B44706" s="2" t="str">
        <f>IFERROR(__xludf.DUMMYFUNCTION("GOOGLETRANSLATE(A44706, ""de"", ""en"")"),"overreaction")</f>
        <v>overreaction</v>
      </c>
    </row>
    <row r="44707">
      <c r="A44707" s="1" t="s">
        <v>44706</v>
      </c>
      <c r="B44707" s="2" t="str">
        <f>IFERROR(__xludf.DUMMYFUNCTION("GOOGLETRANSLATE(A44707, ""de"", ""en"")"),"to lie down")</f>
        <v>to lie down</v>
      </c>
    </row>
    <row r="44708">
      <c r="A44708" s="1" t="s">
        <v>44707</v>
      </c>
      <c r="B44708" s="2" t="str">
        <f>IFERROR(__xludf.DUMMYFUNCTION("GOOGLETRANSLATE(A44708, ""de"", ""en"")"),"to convert")</f>
        <v>to convert</v>
      </c>
    </row>
    <row r="44709">
      <c r="A44709" s="1" t="s">
        <v>44708</v>
      </c>
      <c r="B44709" s="2" t="str">
        <f>IFERROR(__xludf.DUMMYFUNCTION("GOOGLETRANSLATE(A44709, ""de"", ""en"")"),"hex")</f>
        <v>hex</v>
      </c>
    </row>
    <row r="44710">
      <c r="A44710" s="1" t="s">
        <v>44709</v>
      </c>
      <c r="B44710" s="2" t="str">
        <f>IFERROR(__xludf.DUMMYFUNCTION("GOOGLETRANSLATE(A44710, ""de"", ""en"")"),"nathans")</f>
        <v>nathans</v>
      </c>
    </row>
    <row r="44711">
      <c r="A44711" s="1" t="s">
        <v>44710</v>
      </c>
      <c r="B44711" s="2" t="str">
        <f>IFERROR(__xludf.DUMMYFUNCTION("GOOGLETRANSLATE(A44711, ""de"", ""en"")"),"suspicion")</f>
        <v>suspicion</v>
      </c>
    </row>
    <row r="44712">
      <c r="A44712" s="1" t="s">
        <v>44711</v>
      </c>
      <c r="B44712" s="2" t="str">
        <f>IFERROR(__xludf.DUMMYFUNCTION("GOOGLETRANSLATE(A44712, ""de"", ""en"")"),"attractions")</f>
        <v>attractions</v>
      </c>
    </row>
    <row r="44713">
      <c r="A44713" s="1" t="s">
        <v>44712</v>
      </c>
      <c r="B44713" s="2" t="str">
        <f>IFERROR(__xludf.DUMMYFUNCTION("GOOGLETRANSLATE(A44713, ""de"", ""en"")"),"cowgirl")</f>
        <v>cowgirl</v>
      </c>
    </row>
    <row r="44714">
      <c r="A44714" s="1" t="s">
        <v>44713</v>
      </c>
      <c r="B44714" s="2" t="str">
        <f>IFERROR(__xludf.DUMMYFUNCTION("GOOGLETRANSLATE(A44714, ""de"", ""en"")"),"highest bidder")</f>
        <v>highest bidder</v>
      </c>
    </row>
    <row r="44715">
      <c r="A44715" s="1" t="s">
        <v>44714</v>
      </c>
      <c r="B44715" s="2" t="str">
        <f>IFERROR(__xludf.DUMMYFUNCTION("GOOGLETRANSLATE(A44715, ""de"", ""en"")"),"mcmahon")</f>
        <v>mcmahon</v>
      </c>
    </row>
    <row r="44716">
      <c r="A44716" s="1" t="s">
        <v>44715</v>
      </c>
      <c r="B44716" s="2" t="str">
        <f>IFERROR(__xludf.DUMMYFUNCTION("GOOGLETRANSLATE(A44716, ""de"", ""en"")"),"chat")</f>
        <v>chat</v>
      </c>
    </row>
    <row r="44717">
      <c r="A44717" s="1" t="s">
        <v>44716</v>
      </c>
      <c r="B44717" s="2" t="str">
        <f>IFERROR(__xludf.DUMMYFUNCTION("GOOGLETRANSLATE(A44717, ""de"", ""en"")"),"researched")</f>
        <v>researched</v>
      </c>
    </row>
    <row r="44718">
      <c r="A44718" s="1" t="s">
        <v>44717</v>
      </c>
      <c r="B44718" s="2" t="str">
        <f>IFERROR(__xludf.DUMMYFUNCTION("GOOGLETRANSLATE(A44718, ""de"", ""en"")"),"shooting")</f>
        <v>shooting</v>
      </c>
    </row>
    <row r="44719">
      <c r="A44719" s="1" t="s">
        <v>44718</v>
      </c>
      <c r="B44719" s="2" t="str">
        <f>IFERROR(__xludf.DUMMYFUNCTION("GOOGLETRANSLATE(A44719, ""de"", ""en"")"),"smile")</f>
        <v>smile</v>
      </c>
    </row>
    <row r="44720">
      <c r="A44720" s="1" t="s">
        <v>44719</v>
      </c>
      <c r="B44720" s="2" t="str">
        <f>IFERROR(__xludf.DUMMYFUNCTION("GOOGLETRANSLATE(A44720, ""de"", ""en"")"),"blood brothers")</f>
        <v>blood brothers</v>
      </c>
    </row>
    <row r="44721">
      <c r="A44721" s="1" t="s">
        <v>44720</v>
      </c>
      <c r="B44721" s="2" t="str">
        <f>IFERROR(__xludf.DUMMYFUNCTION("GOOGLETRANSLATE(A44721, ""de"", ""en"")"),"runaway")</f>
        <v>runaway</v>
      </c>
    </row>
    <row r="44722">
      <c r="A44722" s="1" t="s">
        <v>44721</v>
      </c>
      <c r="B44722" s="2" t="str">
        <f>IFERROR(__xludf.DUMMYFUNCTION("GOOGLETRANSLATE(A44722, ""de"", ""en"")"),"bridal bouquet")</f>
        <v>bridal bouquet</v>
      </c>
    </row>
    <row r="44723">
      <c r="A44723" s="1" t="s">
        <v>44722</v>
      </c>
      <c r="B44723" s="2" t="str">
        <f>IFERROR(__xludf.DUMMYFUNCTION("GOOGLETRANSLATE(A44723, ""de"", ""en"")"),"involvement")</f>
        <v>involvement</v>
      </c>
    </row>
    <row r="44724">
      <c r="A44724" s="1" t="s">
        <v>44723</v>
      </c>
      <c r="B44724" s="2" t="str">
        <f>IFERROR(__xludf.DUMMYFUNCTION("GOOGLETRANSLATE(A44724, ""de"", ""en"")"),"to deter")</f>
        <v>to deter</v>
      </c>
    </row>
    <row r="44725">
      <c r="A44725" s="1" t="s">
        <v>44724</v>
      </c>
      <c r="B44725" s="2" t="str">
        <f>IFERROR(__xludf.DUMMYFUNCTION("GOOGLETRANSLATE(A44725, ""de"", ""en"")"),"relics")</f>
        <v>relics</v>
      </c>
    </row>
    <row r="44726">
      <c r="A44726" s="1" t="s">
        <v>44725</v>
      </c>
      <c r="B44726" s="2" t="str">
        <f>IFERROR(__xludf.DUMMYFUNCTION("GOOGLETRANSLATE(A44726, ""de"", ""en"")"),"addressed")</f>
        <v>addressed</v>
      </c>
    </row>
    <row r="44727">
      <c r="A44727" s="1" t="s">
        <v>44726</v>
      </c>
      <c r="B44727" s="2" t="str">
        <f>IFERROR(__xludf.DUMMYFUNCTION("GOOGLETRANSLATE(A44727, ""de"", ""en"")"),"he will")</f>
        <v>he will</v>
      </c>
    </row>
    <row r="44728">
      <c r="A44728" s="1" t="s">
        <v>44727</v>
      </c>
      <c r="B44728" s="2" t="str">
        <f>IFERROR(__xludf.DUMMYFUNCTION("GOOGLETRANSLATE(A44728, ""de"", ""en"")"),"perimeter")</f>
        <v>perimeter</v>
      </c>
    </row>
    <row r="44729">
      <c r="A44729" s="1" t="s">
        <v>44728</v>
      </c>
      <c r="B44729" s="2" t="str">
        <f>IFERROR(__xludf.DUMMYFUNCTION("GOOGLETRANSLATE(A44729, ""de"", ""en"")"),"deplorable")</f>
        <v>deplorable</v>
      </c>
    </row>
    <row r="44730">
      <c r="A44730" s="1" t="s">
        <v>44729</v>
      </c>
      <c r="B44730" s="2" t="str">
        <f>IFERROR(__xludf.DUMMYFUNCTION("GOOGLETRANSLATE(A44730, ""de"", ""en"")"),"blossoms")</f>
        <v>blossoms</v>
      </c>
    </row>
    <row r="44731">
      <c r="A44731" s="1" t="s">
        <v>44730</v>
      </c>
      <c r="B44731" s="2" t="str">
        <f>IFERROR(__xludf.DUMMYFUNCTION("GOOGLETRANSLATE(A44731, ""de"", ""en"")"),"glittering")</f>
        <v>glittering</v>
      </c>
    </row>
    <row r="44732">
      <c r="A44732" s="1" t="s">
        <v>44731</v>
      </c>
      <c r="B44732" s="2" t="str">
        <f>IFERROR(__xludf.DUMMYFUNCTION("GOOGLETRANSLATE(A44732, ""de"", ""en"")"),"monroes")</f>
        <v>monroes</v>
      </c>
    </row>
    <row r="44733">
      <c r="A44733" s="1" t="s">
        <v>44732</v>
      </c>
      <c r="B44733" s="2" t="str">
        <f>IFERROR(__xludf.DUMMYFUNCTION("GOOGLETRANSLATE(A44733, ""de"", ""en"")"),"depth charges")</f>
        <v>depth charges</v>
      </c>
    </row>
    <row r="44734">
      <c r="A44734" s="1" t="s">
        <v>44733</v>
      </c>
      <c r="B44734" s="2" t="str">
        <f>IFERROR(__xludf.DUMMYFUNCTION("GOOGLETRANSLATE(A44734, ""de"", ""en"")"),"Mozambique")</f>
        <v>Mozambique</v>
      </c>
    </row>
    <row r="44735">
      <c r="A44735" s="1" t="s">
        <v>44734</v>
      </c>
      <c r="B44735" s="2" t="str">
        <f>IFERROR(__xludf.DUMMYFUNCTION("GOOGLETRANSLATE(A44735, ""de"", ""en"")"),"Genovia")</f>
        <v>Genovia</v>
      </c>
    </row>
    <row r="44736">
      <c r="A44736" s="1" t="s">
        <v>44735</v>
      </c>
      <c r="B44736" s="2" t="str">
        <f>IFERROR(__xludf.DUMMYFUNCTION("GOOGLETRANSLATE(A44736, ""de"", ""en"")"),"miserable")</f>
        <v>miserable</v>
      </c>
    </row>
    <row r="44737">
      <c r="A44737" s="1" t="s">
        <v>44736</v>
      </c>
      <c r="B44737" s="2" t="str">
        <f>IFERROR(__xludf.DUMMYFUNCTION("GOOGLETRANSLATE(A44737, ""de"", ""en"")"),"most ridiculous")</f>
        <v>most ridiculous</v>
      </c>
    </row>
    <row r="44738">
      <c r="A44738" s="1" t="s">
        <v>44737</v>
      </c>
      <c r="B44738" s="2" t="str">
        <f>IFERROR(__xludf.DUMMYFUNCTION("GOOGLETRANSLATE(A44738, ""de"", ""en"")"),"corduroy")</f>
        <v>corduroy</v>
      </c>
    </row>
    <row r="44739">
      <c r="A44739" s="1" t="s">
        <v>44738</v>
      </c>
      <c r="B44739" s="2" t="str">
        <f>IFERROR(__xludf.DUMMYFUNCTION("GOOGLETRANSLATE(A44739, ""de"", ""en"")"),"heart and soul")</f>
        <v>heart and soul</v>
      </c>
    </row>
    <row r="44740">
      <c r="A44740" s="1" t="s">
        <v>44739</v>
      </c>
      <c r="B44740" s="2" t="str">
        <f>IFERROR(__xludf.DUMMYFUNCTION("GOOGLETRANSLATE(A44740, ""de"", ""en"")"),"singers")</f>
        <v>singers</v>
      </c>
    </row>
    <row r="44741">
      <c r="A44741" s="1" t="s">
        <v>44740</v>
      </c>
      <c r="B44741" s="2" t="str">
        <f>IFERROR(__xludf.DUMMYFUNCTION("GOOGLETRANSLATE(A44741, ""de"", ""en"")"),"bet")</f>
        <v>bet</v>
      </c>
    </row>
    <row r="44742">
      <c r="A44742" s="1" t="s">
        <v>44741</v>
      </c>
      <c r="B44742" s="2" t="str">
        <f>IFERROR(__xludf.DUMMYFUNCTION("GOOGLETRANSLATE(A44742, ""de"", ""en"")"),"barbel")</f>
        <v>barbel</v>
      </c>
    </row>
    <row r="44743">
      <c r="A44743" s="1" t="s">
        <v>44742</v>
      </c>
      <c r="B44743" s="2" t="str">
        <f>IFERROR(__xludf.DUMMYFUNCTION("GOOGLETRANSLATE(A44743, ""de"", ""en"")"),"vulnerability")</f>
        <v>vulnerability</v>
      </c>
    </row>
    <row r="44744">
      <c r="A44744" s="1" t="s">
        <v>44743</v>
      </c>
      <c r="B44744" s="2" t="str">
        <f>IFERROR(__xludf.DUMMYFUNCTION("GOOGLETRANSLATE(A44744, ""de"", ""en"")"),"possessed")</f>
        <v>possessed</v>
      </c>
    </row>
    <row r="44745">
      <c r="A44745" s="1" t="s">
        <v>44744</v>
      </c>
      <c r="B44745" s="2" t="str">
        <f>IFERROR(__xludf.DUMMYFUNCTION("GOOGLETRANSLATE(A44745, ""de"", ""en"")"),"kleist")</f>
        <v>kleist</v>
      </c>
    </row>
    <row r="44746">
      <c r="A44746" s="1" t="s">
        <v>44745</v>
      </c>
      <c r="B44746" s="2" t="str">
        <f>IFERROR(__xludf.DUMMYFUNCTION("GOOGLETRANSLATE(A44746, ""de"", ""en"")"),"divided")</f>
        <v>divided</v>
      </c>
    </row>
    <row r="44747">
      <c r="A44747" s="1" t="s">
        <v>44746</v>
      </c>
      <c r="B44747" s="2" t="str">
        <f>IFERROR(__xludf.DUMMYFUNCTION("GOOGLETRANSLATE(A44747, ""de"", ""en"")"),"tender")</f>
        <v>tender</v>
      </c>
    </row>
    <row r="44748">
      <c r="A44748" s="1" t="s">
        <v>44747</v>
      </c>
      <c r="B44748" s="2" t="str">
        <f>IFERROR(__xludf.DUMMYFUNCTION("GOOGLETRANSLATE(A44748, ""de"", ""en"")"),"Prussian")</f>
        <v>Prussian</v>
      </c>
    </row>
    <row r="44749">
      <c r="A44749" s="1" t="s">
        <v>44748</v>
      </c>
      <c r="B44749" s="2" t="str">
        <f>IFERROR(__xludf.DUMMYFUNCTION("GOOGLETRANSLATE(A44749, ""de"", ""en"")"),"disinherit")</f>
        <v>disinherit</v>
      </c>
    </row>
    <row r="44750">
      <c r="A44750" s="1" t="s">
        <v>44749</v>
      </c>
      <c r="B44750" s="2" t="str">
        <f>IFERROR(__xludf.DUMMYFUNCTION("GOOGLETRANSLATE(A44750, ""de"", ""en"")"),"evening of life")</f>
        <v>evening of life</v>
      </c>
    </row>
    <row r="44751">
      <c r="A44751" s="1" t="s">
        <v>44750</v>
      </c>
      <c r="B44751" s="2" t="str">
        <f>IFERROR(__xludf.DUMMYFUNCTION("GOOGLETRANSLATE(A44751, ""de"", ""en"")"),"come down")</f>
        <v>come down</v>
      </c>
    </row>
    <row r="44752">
      <c r="A44752" s="1" t="s">
        <v>44751</v>
      </c>
      <c r="B44752" s="2" t="str">
        <f>IFERROR(__xludf.DUMMYFUNCTION("GOOGLETRANSLATE(A44752, ""de"", ""en"")"),"shocked")</f>
        <v>shocked</v>
      </c>
    </row>
    <row r="44753">
      <c r="A44753" s="1" t="s">
        <v>44752</v>
      </c>
      <c r="B44753" s="2" t="str">
        <f>IFERROR(__xludf.DUMMYFUNCTION("GOOGLETRANSLATE(A44753, ""de"", ""en"")"),"Ukrainian")</f>
        <v>Ukrainian</v>
      </c>
    </row>
    <row r="44754">
      <c r="A44754" s="1" t="s">
        <v>44753</v>
      </c>
      <c r="B44754" s="2" t="str">
        <f>IFERROR(__xludf.DUMMYFUNCTION("GOOGLETRANSLATE(A44754, ""de"", ""en"")"),"symphony")</f>
        <v>symphony</v>
      </c>
    </row>
    <row r="44755">
      <c r="A44755" s="1" t="s">
        <v>44754</v>
      </c>
      <c r="B44755" s="2" t="str">
        <f>IFERROR(__xludf.DUMMYFUNCTION("GOOGLETRANSLATE(A44755, ""de"", ""en"")"),"elyse")</f>
        <v>elyse</v>
      </c>
    </row>
    <row r="44756">
      <c r="A44756" s="1" t="s">
        <v>44755</v>
      </c>
      <c r="B44756" s="2" t="str">
        <f>IFERROR(__xludf.DUMMYFUNCTION("GOOGLETRANSLATE(A44756, ""de"", ""en"")"),"juvenile prison")</f>
        <v>juvenile prison</v>
      </c>
    </row>
    <row r="44757">
      <c r="A44757" s="1" t="s">
        <v>44756</v>
      </c>
      <c r="B44757" s="2" t="str">
        <f>IFERROR(__xludf.DUMMYFUNCTION("GOOGLETRANSLATE(A44757, ""de"", ""en"")"),"stood there")</f>
        <v>stood there</v>
      </c>
    </row>
    <row r="44758">
      <c r="A44758" s="1" t="s">
        <v>44757</v>
      </c>
      <c r="B44758" s="2" t="str">
        <f>IFERROR(__xludf.DUMMYFUNCTION("GOOGLETRANSLATE(A44758, ""de"", ""en"")"),"security check")</f>
        <v>security check</v>
      </c>
    </row>
    <row r="44759">
      <c r="A44759" s="1" t="s">
        <v>44758</v>
      </c>
      <c r="B44759" s="2" t="str">
        <f>IFERROR(__xludf.DUMMYFUNCTION("GOOGLETRANSLATE(A44759, ""de"", ""en"")"),"belladonna")</f>
        <v>belladonna</v>
      </c>
    </row>
    <row r="44760">
      <c r="A44760" s="1" t="s">
        <v>44759</v>
      </c>
      <c r="B44760" s="2" t="str">
        <f>IFERROR(__xludf.DUMMYFUNCTION("GOOGLETRANSLATE(A44760, ""de"", ""en"")"),"active ingredient")</f>
        <v>active ingredient</v>
      </c>
    </row>
    <row r="44761">
      <c r="A44761" s="1" t="s">
        <v>44760</v>
      </c>
      <c r="B44761" s="2" t="str">
        <f>IFERROR(__xludf.DUMMYFUNCTION("GOOGLETRANSLATE(A44761, ""de"", ""en"")"),"shock absorber")</f>
        <v>shock absorber</v>
      </c>
    </row>
    <row r="44762">
      <c r="A44762" s="1" t="s">
        <v>44761</v>
      </c>
      <c r="B44762" s="2" t="str">
        <f>IFERROR(__xludf.DUMMYFUNCTION("GOOGLETRANSLATE(A44762, ""de"", ""en"")"),"rape")</f>
        <v>rape</v>
      </c>
    </row>
    <row r="44763">
      <c r="A44763" s="1" t="s">
        <v>44762</v>
      </c>
      <c r="B44763" s="2" t="str">
        <f>IFERROR(__xludf.DUMMYFUNCTION("GOOGLETRANSLATE(A44763, ""de"", ""en"")"),"prepared")</f>
        <v>prepared</v>
      </c>
    </row>
    <row r="44764">
      <c r="A44764" s="1" t="s">
        <v>44763</v>
      </c>
      <c r="B44764" s="2" t="str">
        <f>IFERROR(__xludf.DUMMYFUNCTION("GOOGLETRANSLATE(A44764, ""de"", ""en"")"),"falters")</f>
        <v>falters</v>
      </c>
    </row>
    <row r="44765">
      <c r="A44765" s="1" t="s">
        <v>44764</v>
      </c>
      <c r="B44765" s="2" t="str">
        <f>IFERROR(__xludf.DUMMYFUNCTION("GOOGLETRANSLATE(A44765, ""de"", ""en"")"),"boz")</f>
        <v>boz</v>
      </c>
    </row>
    <row r="44766">
      <c r="A44766" s="1" t="s">
        <v>44765</v>
      </c>
      <c r="B44766" s="2" t="str">
        <f>IFERROR(__xludf.DUMMYFUNCTION("GOOGLETRANSLATE(A44766, ""de"", ""en"")"),"daiquiri")</f>
        <v>daiquiri</v>
      </c>
    </row>
    <row r="44767">
      <c r="A44767" s="1" t="s">
        <v>44766</v>
      </c>
      <c r="B44767" s="2" t="str">
        <f>IFERROR(__xludf.DUMMYFUNCTION("GOOGLETRANSLATE(A44767, ""de"", ""en"")"),"crazy things")</f>
        <v>crazy things</v>
      </c>
    </row>
    <row r="44768">
      <c r="A44768" s="1" t="s">
        <v>44767</v>
      </c>
      <c r="B44768" s="2" t="str">
        <f>IFERROR(__xludf.DUMMYFUNCTION("GOOGLETRANSLATE(A44768, ""de"", ""en"")"),"unloved")</f>
        <v>unloved</v>
      </c>
    </row>
    <row r="44769">
      <c r="A44769" s="1" t="s">
        <v>44768</v>
      </c>
      <c r="B44769" s="2" t="str">
        <f>IFERROR(__xludf.DUMMYFUNCTION("GOOGLETRANSLATE(A44769, ""de"", ""en"")"),"moderate")</f>
        <v>moderate</v>
      </c>
    </row>
    <row r="44770">
      <c r="A44770" s="1" t="s">
        <v>44769</v>
      </c>
      <c r="B44770" s="2" t="str">
        <f>IFERROR(__xludf.DUMMYFUNCTION("GOOGLETRANSLATE(A44770, ""de"", ""en"")"),"Huxley")</f>
        <v>Huxley</v>
      </c>
    </row>
    <row r="44771">
      <c r="A44771" s="1" t="s">
        <v>44770</v>
      </c>
      <c r="B44771" s="2" t="str">
        <f>IFERROR(__xludf.DUMMYFUNCTION("GOOGLETRANSLATE(A44771, ""de"", ""en"")"),"fern")</f>
        <v>fern</v>
      </c>
    </row>
    <row r="44772">
      <c r="A44772" s="1" t="s">
        <v>44771</v>
      </c>
      <c r="B44772" s="2" t="str">
        <f>IFERROR(__xludf.DUMMYFUNCTION("GOOGLETRANSLATE(A44772, ""de"", ""en"")"),"cooling")</f>
        <v>cooling</v>
      </c>
    </row>
    <row r="44773">
      <c r="A44773" s="1" t="s">
        <v>44772</v>
      </c>
      <c r="B44773" s="2" t="str">
        <f>IFERROR(__xludf.DUMMYFUNCTION("GOOGLETRANSLATE(A44773, ""de"", ""en"")"),"salazars")</f>
        <v>salazars</v>
      </c>
    </row>
    <row r="44774">
      <c r="A44774" s="1" t="s">
        <v>44773</v>
      </c>
      <c r="B44774" s="2" t="str">
        <f>IFERROR(__xludf.DUMMYFUNCTION("GOOGLETRANSLATE(A44774, ""de"", ""en"")"),"Brunt")</f>
        <v>Brunt</v>
      </c>
    </row>
    <row r="44775">
      <c r="A44775" s="1" t="s">
        <v>44774</v>
      </c>
      <c r="B44775" s="2" t="str">
        <f>IFERROR(__xludf.DUMMYFUNCTION("GOOGLETRANSLATE(A44775, ""de"", ""en"")"),"flounder")</f>
        <v>flounder</v>
      </c>
    </row>
    <row r="44776">
      <c r="A44776" s="1" t="s">
        <v>44775</v>
      </c>
      <c r="B44776" s="2" t="str">
        <f>IFERROR(__xludf.DUMMYFUNCTION("GOOGLETRANSLATE(A44776, ""de"", ""en"")"),"market")</f>
        <v>market</v>
      </c>
    </row>
    <row r="44777">
      <c r="A44777" s="1" t="s">
        <v>44776</v>
      </c>
      <c r="B44777" s="2" t="str">
        <f>IFERROR(__xludf.DUMMYFUNCTION("GOOGLETRANSLATE(A44777, ""de"", ""en"")"),"brats")</f>
        <v>brats</v>
      </c>
    </row>
    <row r="44778">
      <c r="A44778" s="1" t="s">
        <v>44777</v>
      </c>
      <c r="B44778" s="2" t="str">
        <f>IFERROR(__xludf.DUMMYFUNCTION("GOOGLETRANSLATE(A44778, ""de"", ""en"")"),"baran")</f>
        <v>baran</v>
      </c>
    </row>
    <row r="44779">
      <c r="A44779" s="1" t="s">
        <v>44778</v>
      </c>
      <c r="B44779" s="2" t="str">
        <f>IFERROR(__xludf.DUMMYFUNCTION("GOOGLETRANSLATE(A44779, ""de"", ""en"")"),"outstanding")</f>
        <v>outstanding</v>
      </c>
    </row>
    <row r="44780">
      <c r="A44780" s="1" t="s">
        <v>44779</v>
      </c>
      <c r="B44780" s="2" t="str">
        <f>IFERROR(__xludf.DUMMYFUNCTION("GOOGLETRANSLATE(A44780, ""de"", ""en"")"),"to snoop around")</f>
        <v>to snoop around</v>
      </c>
    </row>
    <row r="44781">
      <c r="A44781" s="1" t="s">
        <v>44780</v>
      </c>
      <c r="B44781" s="2" t="str">
        <f>IFERROR(__xludf.DUMMYFUNCTION("GOOGLETRANSLATE(A44781, ""de"", ""en"")"),"nobby")</f>
        <v>nobby</v>
      </c>
    </row>
    <row r="44782">
      <c r="A44782" s="1" t="s">
        <v>44781</v>
      </c>
      <c r="B44782" s="2" t="str">
        <f>IFERROR(__xludf.DUMMYFUNCTION("GOOGLETRANSLATE(A44782, ""de"", ""en"")"),"limp")</f>
        <v>limp</v>
      </c>
    </row>
    <row r="44783">
      <c r="A44783" s="1" t="s">
        <v>44782</v>
      </c>
      <c r="B44783" s="2" t="str">
        <f>IFERROR(__xludf.DUMMYFUNCTION("GOOGLETRANSLATE(A44783, ""de"", ""en"")"),"franchise")</f>
        <v>franchise</v>
      </c>
    </row>
    <row r="44784">
      <c r="A44784" s="1" t="s">
        <v>44783</v>
      </c>
      <c r="B44784" s="2" t="str">
        <f>IFERROR(__xludf.DUMMYFUNCTION("GOOGLETRANSLATE(A44784, ""de"", ""en"")"),"bradbury")</f>
        <v>bradbury</v>
      </c>
    </row>
    <row r="44785">
      <c r="A44785" s="1" t="s">
        <v>44784</v>
      </c>
      <c r="B44785" s="2" t="str">
        <f>IFERROR(__xludf.DUMMYFUNCTION("GOOGLETRANSLATE(A44785, ""de"", ""en"")"),"richy")</f>
        <v>richy</v>
      </c>
    </row>
    <row r="44786">
      <c r="A44786" s="1" t="s">
        <v>44785</v>
      </c>
      <c r="B44786" s="2" t="str">
        <f>IFERROR(__xludf.DUMMYFUNCTION("GOOGLETRANSLATE(A44786, ""de"", ""en"")"),"insincere")</f>
        <v>insincere</v>
      </c>
    </row>
    <row r="44787">
      <c r="A44787" s="1" t="s">
        <v>44786</v>
      </c>
      <c r="B44787" s="2" t="str">
        <f>IFERROR(__xludf.DUMMYFUNCTION("GOOGLETRANSLATE(A44787, ""de"", ""en"")"),"bloodthirsty")</f>
        <v>bloodthirsty</v>
      </c>
    </row>
    <row r="44788">
      <c r="A44788" s="1" t="s">
        <v>44787</v>
      </c>
      <c r="B44788" s="2" t="str">
        <f>IFERROR(__xludf.DUMMYFUNCTION("GOOGLETRANSLATE(A44788, ""de"", ""en"")"),"biggie")</f>
        <v>biggie</v>
      </c>
    </row>
    <row r="44789">
      <c r="A44789" s="1" t="s">
        <v>44788</v>
      </c>
      <c r="B44789" s="2" t="str">
        <f>IFERROR(__xludf.DUMMYFUNCTION("GOOGLETRANSLATE(A44789, ""de"", ""en"")"),"slurring")</f>
        <v>slurring</v>
      </c>
    </row>
    <row r="44790">
      <c r="A44790" s="1" t="s">
        <v>44789</v>
      </c>
      <c r="B44790" s="2" t="str">
        <f>IFERROR(__xludf.DUMMYFUNCTION("GOOGLETRANSLATE(A44790, ""de"", ""en"")"),"add")</f>
        <v>add</v>
      </c>
    </row>
    <row r="44791">
      <c r="A44791" s="1" t="s">
        <v>44790</v>
      </c>
      <c r="B44791" s="2" t="str">
        <f>IFERROR(__xludf.DUMMYFUNCTION("GOOGLETRANSLATE(A44791, ""de"", ""en"")"),"frame")</f>
        <v>frame</v>
      </c>
    </row>
    <row r="44792">
      <c r="A44792" s="1" t="s">
        <v>44791</v>
      </c>
      <c r="B44792" s="2" t="str">
        <f>IFERROR(__xludf.DUMMYFUNCTION("GOOGLETRANSLATE(A44792, ""de"", ""en"")"),"Krister")</f>
        <v>Krister</v>
      </c>
    </row>
    <row r="44793">
      <c r="A44793" s="1" t="s">
        <v>44792</v>
      </c>
      <c r="B44793" s="2" t="str">
        <f>IFERROR(__xludf.DUMMYFUNCTION("GOOGLETRANSLATE(A44793, ""de"", ""en"")"),"occasional")</f>
        <v>occasional</v>
      </c>
    </row>
    <row r="44794">
      <c r="A44794" s="1" t="s">
        <v>44793</v>
      </c>
      <c r="B44794" s="2" t="str">
        <f>IFERROR(__xludf.DUMMYFUNCTION("GOOGLETRANSLATE(A44794, ""de"", ""en"")"),"shamoto")</f>
        <v>shamoto</v>
      </c>
    </row>
    <row r="44795">
      <c r="A44795" s="1" t="s">
        <v>44794</v>
      </c>
      <c r="B44795" s="2" t="str">
        <f>IFERROR(__xludf.DUMMYFUNCTION("GOOGLETRANSLATE(A44795, ""de"", ""en"")"),"shizuku")</f>
        <v>shizuku</v>
      </c>
    </row>
    <row r="44796">
      <c r="A44796" s="1" t="s">
        <v>44795</v>
      </c>
      <c r="B44796" s="2" t="str">
        <f>IFERROR(__xludf.DUMMYFUNCTION("GOOGLETRANSLATE(A44796, ""de"", ""en"")"),"matterhorn")</f>
        <v>matterhorn</v>
      </c>
    </row>
    <row r="44797">
      <c r="A44797" s="1" t="s">
        <v>44796</v>
      </c>
      <c r="B44797" s="2" t="str">
        <f>IFERROR(__xludf.DUMMYFUNCTION("GOOGLETRANSLATE(A44797, ""de"", ""en"")"),"throws off")</f>
        <v>throws off</v>
      </c>
    </row>
    <row r="44798">
      <c r="A44798" s="1" t="s">
        <v>44797</v>
      </c>
      <c r="B44798" s="2" t="str">
        <f>IFERROR(__xludf.DUMMYFUNCTION("GOOGLETRANSLATE(A44798, ""de"", ""en"")"),"shishio")</f>
        <v>shishio</v>
      </c>
    </row>
    <row r="44799">
      <c r="A44799" s="1" t="s">
        <v>44798</v>
      </c>
      <c r="B44799" s="2" t="str">
        <f>IFERROR(__xludf.DUMMYFUNCTION("GOOGLETRANSLATE(A44799, ""de"", ""en"")"),"threatening")</f>
        <v>threatening</v>
      </c>
    </row>
    <row r="44800">
      <c r="A44800" s="1" t="s">
        <v>44799</v>
      </c>
      <c r="B44800" s="2" t="str">
        <f>IFERROR(__xludf.DUMMYFUNCTION("GOOGLETRANSLATE(A44800, ""de"", ""en"")"),"eternal")</f>
        <v>eternal</v>
      </c>
    </row>
    <row r="44801">
      <c r="A44801" s="1" t="s">
        <v>44800</v>
      </c>
      <c r="B44801" s="2" t="str">
        <f>IFERROR(__xludf.DUMMYFUNCTION("GOOGLETRANSLATE(A44801, ""de"", ""en"")"),"fever")</f>
        <v>fever</v>
      </c>
    </row>
    <row r="44802">
      <c r="A44802" s="1" t="s">
        <v>44801</v>
      </c>
      <c r="B44802" s="2" t="str">
        <f>IFERROR(__xludf.DUMMYFUNCTION("GOOGLETRANSLATE(A44802, ""de"", ""en"")"),"Roman")</f>
        <v>Roman</v>
      </c>
    </row>
    <row r="44803">
      <c r="A44803" s="1" t="s">
        <v>44802</v>
      </c>
      <c r="B44803" s="2" t="str">
        <f>IFERROR(__xludf.DUMMYFUNCTION("GOOGLETRANSLATE(A44803, ""de"", ""en"")"),"quoted")</f>
        <v>quoted</v>
      </c>
    </row>
    <row r="44804">
      <c r="A44804" s="1" t="s">
        <v>44803</v>
      </c>
      <c r="B44804" s="2" t="str">
        <f>IFERROR(__xludf.DUMMYFUNCTION("GOOGLETRANSLATE(A44804, ""de"", ""en"")"),"teenager")</f>
        <v>teenager</v>
      </c>
    </row>
    <row r="44805">
      <c r="A44805" s="1" t="s">
        <v>44804</v>
      </c>
      <c r="B44805" s="2" t="str">
        <f>IFERROR(__xludf.DUMMYFUNCTION("GOOGLETRANSLATE(A44805, ""de"", ""en"")"),"sailors")</f>
        <v>sailors</v>
      </c>
    </row>
    <row r="44806">
      <c r="A44806" s="1" t="s">
        <v>44805</v>
      </c>
      <c r="B44806" s="2" t="str">
        <f>IFERROR(__xludf.DUMMYFUNCTION("GOOGLETRANSLATE(A44806, ""de"", ""en"")"),"barometer")</f>
        <v>barometer</v>
      </c>
    </row>
    <row r="44807">
      <c r="A44807" s="1" t="s">
        <v>44806</v>
      </c>
      <c r="B44807" s="2" t="str">
        <f>IFERROR(__xludf.DUMMYFUNCTION("GOOGLETRANSLATE(A44807, ""de"", ""en"")"),"arise")</f>
        <v>arise</v>
      </c>
    </row>
    <row r="44808">
      <c r="A44808" s="1" t="s">
        <v>44807</v>
      </c>
      <c r="B44808" s="2" t="str">
        <f>IFERROR(__xludf.DUMMYFUNCTION("GOOGLETRANSLATE(A44808, ""de"", ""en"")"),"stylish")</f>
        <v>stylish</v>
      </c>
    </row>
    <row r="44809">
      <c r="A44809" s="1" t="s">
        <v>44808</v>
      </c>
      <c r="B44809" s="2" t="str">
        <f>IFERROR(__xludf.DUMMYFUNCTION("GOOGLETRANSLATE(A44809, ""de"", ""en"")"),"lille")</f>
        <v>lille</v>
      </c>
    </row>
    <row r="44810">
      <c r="A44810" s="1" t="s">
        <v>44809</v>
      </c>
      <c r="B44810" s="2" t="str">
        <f>IFERROR(__xludf.DUMMYFUNCTION("GOOGLETRANSLATE(A44810, ""de"", ""en"")"),"federation ship")</f>
        <v>federation ship</v>
      </c>
    </row>
    <row r="44811">
      <c r="A44811" s="1" t="s">
        <v>44810</v>
      </c>
      <c r="B44811" s="2" t="str">
        <f>IFERROR(__xludf.DUMMYFUNCTION("GOOGLETRANSLATE(A44811, ""de"", ""en"")"),"reservation")</f>
        <v>reservation</v>
      </c>
    </row>
    <row r="44812">
      <c r="A44812" s="1" t="s">
        <v>44811</v>
      </c>
      <c r="B44812" s="2" t="str">
        <f>IFERROR(__xludf.DUMMYFUNCTION("GOOGLETRANSLATE(A44812, ""de"", ""en"")"),"more global")</f>
        <v>more global</v>
      </c>
    </row>
    <row r="44813">
      <c r="A44813" s="1" t="s">
        <v>44812</v>
      </c>
      <c r="B44813" s="2" t="str">
        <f>IFERROR(__xludf.DUMMYFUNCTION("GOOGLETRANSLATE(A44813, ""de"", ""en"")"),"Seany")</f>
        <v>Seany</v>
      </c>
    </row>
    <row r="44814">
      <c r="A44814" s="1" t="s">
        <v>44813</v>
      </c>
      <c r="B44814" s="2" t="str">
        <f>IFERROR(__xludf.DUMMYFUNCTION("GOOGLETRANSLATE(A44814, ""de"", ""en"")"),"chanting")</f>
        <v>chanting</v>
      </c>
    </row>
    <row r="44815">
      <c r="A44815" s="1" t="s">
        <v>44814</v>
      </c>
      <c r="B44815" s="2" t="str">
        <f>IFERROR(__xludf.DUMMYFUNCTION("GOOGLETRANSLATE(A44815, ""de"", ""en"")"),"massage parlor")</f>
        <v>massage parlor</v>
      </c>
    </row>
    <row r="44816">
      <c r="A44816" s="1" t="s">
        <v>44815</v>
      </c>
      <c r="B44816" s="2" t="str">
        <f>IFERROR(__xludf.DUMMYFUNCTION("GOOGLETRANSLATE(A44816, ""de"", ""en"")"),"scoreboard")</f>
        <v>scoreboard</v>
      </c>
    </row>
    <row r="44817">
      <c r="A44817" s="1" t="s">
        <v>44816</v>
      </c>
      <c r="B44817" s="2" t="str">
        <f>IFERROR(__xludf.DUMMYFUNCTION("GOOGLETRANSLATE(A44817, ""de"", ""en"")"),"fatty")</f>
        <v>fatty</v>
      </c>
    </row>
    <row r="44818">
      <c r="A44818" s="1" t="s">
        <v>44817</v>
      </c>
      <c r="B44818" s="2" t="str">
        <f>IFERROR(__xludf.DUMMYFUNCTION("GOOGLETRANSLATE(A44818, ""de"", ""en"")"),"sockets")</f>
        <v>sockets</v>
      </c>
    </row>
    <row r="44819">
      <c r="A44819" s="1" t="s">
        <v>44818</v>
      </c>
      <c r="B44819" s="2" t="str">
        <f>IFERROR(__xludf.DUMMYFUNCTION("GOOGLETRANSLATE(A44819, ""de"", ""en"")"),"squat")</f>
        <v>squat</v>
      </c>
    </row>
    <row r="44820">
      <c r="A44820" s="1" t="s">
        <v>44819</v>
      </c>
      <c r="B44820" s="2" t="str">
        <f>IFERROR(__xludf.DUMMYFUNCTION("GOOGLETRANSLATE(A44820, ""de"", ""en"")"),"enveloped")</f>
        <v>enveloped</v>
      </c>
    </row>
    <row r="44821">
      <c r="A44821" s="1" t="s">
        <v>44820</v>
      </c>
      <c r="B44821" s="2" t="str">
        <f>IFERROR(__xludf.DUMMYFUNCTION("GOOGLETRANSLATE(A44821, ""de"", ""en"")"),"poldi")</f>
        <v>poldi</v>
      </c>
    </row>
    <row r="44822">
      <c r="A44822" s="1" t="s">
        <v>44821</v>
      </c>
      <c r="B44822" s="2" t="str">
        <f>IFERROR(__xludf.DUMMYFUNCTION("GOOGLETRANSLATE(A44822, ""de"", ""en"")"),"frozen")</f>
        <v>frozen</v>
      </c>
    </row>
    <row r="44823">
      <c r="A44823" s="1" t="s">
        <v>44822</v>
      </c>
      <c r="B44823" s="2" t="str">
        <f>IFERROR(__xludf.DUMMYFUNCTION("GOOGLETRANSLATE(A44823, ""de"", ""en"")"),"adventurous")</f>
        <v>adventurous</v>
      </c>
    </row>
    <row r="44824">
      <c r="A44824" s="1" t="s">
        <v>44823</v>
      </c>
      <c r="B44824" s="2" t="str">
        <f>IFERROR(__xludf.DUMMYFUNCTION("GOOGLETRANSLATE(A44824, ""de"", ""en"")"),"to play around")</f>
        <v>to play around</v>
      </c>
    </row>
    <row r="44825">
      <c r="A44825" s="1" t="s">
        <v>44824</v>
      </c>
      <c r="B44825" s="2" t="str">
        <f>IFERROR(__xludf.DUMMYFUNCTION("GOOGLETRANSLATE(A44825, ""de"", ""en"")"),"get in")</f>
        <v>get in</v>
      </c>
    </row>
    <row r="44826">
      <c r="A44826" s="1" t="s">
        <v>44825</v>
      </c>
      <c r="B44826" s="2" t="str">
        <f>IFERROR(__xludf.DUMMYFUNCTION("GOOGLETRANSLATE(A44826, ""de"", ""en"")"),"jostled")</f>
        <v>jostled</v>
      </c>
    </row>
    <row r="44827">
      <c r="A44827" s="1" t="s">
        <v>44826</v>
      </c>
      <c r="B44827" s="2" t="str">
        <f>IFERROR(__xludf.DUMMYFUNCTION("GOOGLETRANSLATE(A44827, ""de"", ""en"")"),"calculated")</f>
        <v>calculated</v>
      </c>
    </row>
    <row r="44828">
      <c r="A44828" s="1" t="s">
        <v>44827</v>
      </c>
      <c r="B44828" s="2" t="str">
        <f>IFERROR(__xludf.DUMMYFUNCTION("GOOGLETRANSLATE(A44828, ""de"", ""en"")"),"icing on the cake")</f>
        <v>icing on the cake</v>
      </c>
    </row>
    <row r="44829">
      <c r="A44829" s="1" t="s">
        <v>44828</v>
      </c>
      <c r="B44829" s="2" t="str">
        <f>IFERROR(__xludf.DUMMYFUNCTION("GOOGLETRANSLATE(A44829, ""de"", ""en"")"),"rer")</f>
        <v>rer</v>
      </c>
    </row>
    <row r="44830">
      <c r="A44830" s="1" t="s">
        <v>44829</v>
      </c>
      <c r="B44830" s="2" t="str">
        <f>IFERROR(__xludf.DUMMYFUNCTION("GOOGLETRANSLATE(A44830, ""de"", ""en"")"),"tutti")</f>
        <v>tutti</v>
      </c>
    </row>
    <row r="44831">
      <c r="A44831" s="1" t="s">
        <v>44830</v>
      </c>
      <c r="B44831" s="2" t="str">
        <f>IFERROR(__xludf.DUMMYFUNCTION("GOOGLETRANSLATE(A44831, ""de"", ""en"")"),"swordfish")</f>
        <v>swordfish</v>
      </c>
    </row>
    <row r="44832">
      <c r="A44832" s="1" t="s">
        <v>44831</v>
      </c>
      <c r="B44832" s="2" t="str">
        <f>IFERROR(__xludf.DUMMYFUNCTION("GOOGLETRANSLATE(A44832, ""de"", ""en"")"),"concentrated")</f>
        <v>concentrated</v>
      </c>
    </row>
    <row r="44833">
      <c r="A44833" s="1" t="s">
        <v>44832</v>
      </c>
      <c r="B44833" s="2" t="str">
        <f>IFERROR(__xludf.DUMMYFUNCTION("GOOGLETRANSLATE(A44833, ""de"", ""en"")"),"a thousandfold")</f>
        <v>a thousandfold</v>
      </c>
    </row>
    <row r="44834">
      <c r="A44834" s="1" t="s">
        <v>44833</v>
      </c>
      <c r="B44834" s="2" t="str">
        <f>IFERROR(__xludf.DUMMYFUNCTION("GOOGLETRANSLATE(A44834, ""de"", ""en"")"),"farrier")</f>
        <v>farrier</v>
      </c>
    </row>
    <row r="44835">
      <c r="A44835" s="1" t="s">
        <v>44834</v>
      </c>
      <c r="B44835" s="2" t="str">
        <f>IFERROR(__xludf.DUMMYFUNCTION("GOOGLETRANSLATE(A44835, ""de"", ""en"")"),"anchovies")</f>
        <v>anchovies</v>
      </c>
    </row>
    <row r="44836">
      <c r="A44836" s="1" t="s">
        <v>44835</v>
      </c>
      <c r="B44836" s="2" t="str">
        <f>IFERROR(__xludf.DUMMYFUNCTION("GOOGLETRANSLATE(A44836, ""de"", ""en"")"),"skullcap")</f>
        <v>skullcap</v>
      </c>
    </row>
    <row r="44837">
      <c r="A44837" s="1" t="s">
        <v>44836</v>
      </c>
      <c r="B44837" s="2" t="str">
        <f>IFERROR(__xludf.DUMMYFUNCTION("GOOGLETRANSLATE(A44837, ""de"", ""en"")"),"cherbourg")</f>
        <v>cherbourg</v>
      </c>
    </row>
    <row r="44838">
      <c r="A44838" s="1" t="s">
        <v>44837</v>
      </c>
      <c r="B44838" s="2" t="str">
        <f>IFERROR(__xludf.DUMMYFUNCTION("GOOGLETRANSLATE(A44838, ""de"", ""en"")"),"bonney")</f>
        <v>bonney</v>
      </c>
    </row>
    <row r="44839">
      <c r="A44839" s="1" t="s">
        <v>44838</v>
      </c>
      <c r="B44839" s="2" t="str">
        <f>IFERROR(__xludf.DUMMYFUNCTION("GOOGLETRANSLATE(A44839, ""de"", ""en"")"),"shooting practice")</f>
        <v>shooting practice</v>
      </c>
    </row>
    <row r="44840">
      <c r="A44840" s="1" t="s">
        <v>44839</v>
      </c>
      <c r="B44840" s="2" t="str">
        <f>IFERROR(__xludf.DUMMYFUNCTION("GOOGLETRANSLATE(A44840, ""de"", ""en"")"),"fraud")</f>
        <v>fraud</v>
      </c>
    </row>
    <row r="44841">
      <c r="A44841" s="1" t="s">
        <v>44840</v>
      </c>
      <c r="B44841" s="2" t="str">
        <f>IFERROR(__xludf.DUMMYFUNCTION("GOOGLETRANSLATE(A44841, ""de"", ""en"")"),"free beer")</f>
        <v>free beer</v>
      </c>
    </row>
    <row r="44842">
      <c r="A44842" s="1" t="s">
        <v>44841</v>
      </c>
      <c r="B44842" s="2" t="str">
        <f>IFERROR(__xludf.DUMMYFUNCTION("GOOGLETRANSLATE(A44842, ""de"", ""en"")"),"milner")</f>
        <v>milner</v>
      </c>
    </row>
    <row r="44843">
      <c r="A44843" s="1" t="s">
        <v>44842</v>
      </c>
      <c r="B44843" s="2" t="str">
        <f>IFERROR(__xludf.DUMMYFUNCTION("GOOGLETRANSLATE(A44843, ""de"", ""en"")"),"more primitive")</f>
        <v>more primitive</v>
      </c>
    </row>
    <row r="44844">
      <c r="A44844" s="1" t="s">
        <v>44843</v>
      </c>
      <c r="B44844" s="2" t="str">
        <f>IFERROR(__xludf.DUMMYFUNCTION("GOOGLETRANSLATE(A44844, ""de"", ""en"")"),"silver dollar")</f>
        <v>silver dollar</v>
      </c>
    </row>
    <row r="44845">
      <c r="A44845" s="1" t="s">
        <v>44844</v>
      </c>
      <c r="B44845" s="2" t="str">
        <f>IFERROR(__xludf.DUMMYFUNCTION("GOOGLETRANSLATE(A44845, ""de"", ""en"")"),"negotiate")</f>
        <v>negotiate</v>
      </c>
    </row>
    <row r="44846">
      <c r="A44846" s="1" t="s">
        <v>44845</v>
      </c>
      <c r="B44846" s="2" t="str">
        <f>IFERROR(__xludf.DUMMYFUNCTION("GOOGLETRANSLATE(A44846, ""de"", ""en"")"),"mowed")</f>
        <v>mowed</v>
      </c>
    </row>
    <row r="44847">
      <c r="A44847" s="1" t="s">
        <v>44846</v>
      </c>
      <c r="B44847" s="2" t="str">
        <f>IFERROR(__xludf.DUMMYFUNCTION("GOOGLETRANSLATE(A44847, ""de"", ""en"")"),"tour guide")</f>
        <v>tour guide</v>
      </c>
    </row>
    <row r="44848">
      <c r="A44848" s="1" t="s">
        <v>44847</v>
      </c>
      <c r="B44848" s="2" t="str">
        <f>IFERROR(__xludf.DUMMYFUNCTION("GOOGLETRANSLATE(A44848, ""de"", ""en"")"),"girls school")</f>
        <v>girls school</v>
      </c>
    </row>
    <row r="44849">
      <c r="A44849" s="1" t="s">
        <v>44848</v>
      </c>
      <c r="B44849" s="2" t="str">
        <f>IFERROR(__xludf.DUMMYFUNCTION("GOOGLETRANSLATE(A44849, ""de"", ""en"")"),"falls in")</f>
        <v>falls in</v>
      </c>
    </row>
    <row r="44850">
      <c r="A44850" s="1" t="s">
        <v>44849</v>
      </c>
      <c r="B44850" s="2" t="str">
        <f>IFERROR(__xludf.DUMMYFUNCTION("GOOGLETRANSLATE(A44850, ""de"", ""en"")"),"mireille")</f>
        <v>mireille</v>
      </c>
    </row>
    <row r="44851">
      <c r="A44851" s="1" t="s">
        <v>44850</v>
      </c>
      <c r="B44851" s="2" t="str">
        <f>IFERROR(__xludf.DUMMYFUNCTION("GOOGLETRANSLATE(A44851, ""de"", ""en"")"),"ticklish")</f>
        <v>ticklish</v>
      </c>
    </row>
    <row r="44852">
      <c r="A44852" s="1" t="s">
        <v>44851</v>
      </c>
      <c r="B44852" s="2" t="str">
        <f>IFERROR(__xludf.DUMMYFUNCTION("GOOGLETRANSLATE(A44852, ""de"", ""en"")"),"contact point")</f>
        <v>contact point</v>
      </c>
    </row>
    <row r="44853">
      <c r="A44853" s="1" t="s">
        <v>44852</v>
      </c>
      <c r="B44853" s="2" t="str">
        <f>IFERROR(__xludf.DUMMYFUNCTION("GOOGLETRANSLATE(A44853, ""de"", ""en"")"),"to search")</f>
        <v>to search</v>
      </c>
    </row>
    <row r="44854">
      <c r="A44854" s="1" t="s">
        <v>44853</v>
      </c>
      <c r="B44854" s="2" t="str">
        <f>IFERROR(__xludf.DUMMYFUNCTION("GOOGLETRANSLATE(A44854, ""de"", ""en"")"),"kneel")</f>
        <v>kneel</v>
      </c>
    </row>
    <row r="44855">
      <c r="A44855" s="1" t="s">
        <v>44854</v>
      </c>
      <c r="B44855" s="2" t="str">
        <f>IFERROR(__xludf.DUMMYFUNCTION("GOOGLETRANSLATE(A44855, ""de"", ""en"")"),"civilian population")</f>
        <v>civilian population</v>
      </c>
    </row>
    <row r="44856">
      <c r="A44856" s="1" t="s">
        <v>44855</v>
      </c>
      <c r="B44856" s="2" t="str">
        <f>IFERROR(__xludf.DUMMYFUNCTION("GOOGLETRANSLATE(A44856, ""de"", ""en"")"),"battlestar")</f>
        <v>battlestar</v>
      </c>
    </row>
    <row r="44857">
      <c r="A44857" s="1" t="s">
        <v>44856</v>
      </c>
      <c r="B44857" s="2" t="str">
        <f>IFERROR(__xludf.DUMMYFUNCTION("GOOGLETRANSLATE(A44857, ""de"", ""en"")"),"sparse")</f>
        <v>sparse</v>
      </c>
    </row>
    <row r="44858">
      <c r="A44858" s="1" t="s">
        <v>44857</v>
      </c>
      <c r="B44858" s="2" t="str">
        <f>IFERROR(__xludf.DUMMYFUNCTION("GOOGLETRANSLATE(A44858, ""de"", ""en"")"),"dumplings")</f>
        <v>dumplings</v>
      </c>
    </row>
    <row r="44859">
      <c r="A44859" s="1" t="s">
        <v>44858</v>
      </c>
      <c r="B44859" s="2" t="str">
        <f>IFERROR(__xludf.DUMMYFUNCTION("GOOGLETRANSLATE(A44859, ""de"", ""en"")"),"manifestation")</f>
        <v>manifestation</v>
      </c>
    </row>
    <row r="44860">
      <c r="A44860" s="1" t="s">
        <v>44859</v>
      </c>
      <c r="B44860" s="2" t="str">
        <f>IFERROR(__xludf.DUMMYFUNCTION("GOOGLETRANSLATE(A44860, ""de"", ""en"")"),"eleventh")</f>
        <v>eleventh</v>
      </c>
    </row>
    <row r="44861">
      <c r="A44861" s="1" t="s">
        <v>44860</v>
      </c>
      <c r="B44861" s="2" t="str">
        <f>IFERROR(__xludf.DUMMYFUNCTION("GOOGLETRANSLATE(A44861, ""de"", ""en"")"),"Dunkirk")</f>
        <v>Dunkirk</v>
      </c>
    </row>
    <row r="44862">
      <c r="A44862" s="1" t="s">
        <v>44861</v>
      </c>
      <c r="B44862" s="2" t="str">
        <f>IFERROR(__xludf.DUMMYFUNCTION("GOOGLETRANSLATE(A44862, ""de"", ""en"")"),"negroes")</f>
        <v>negroes</v>
      </c>
    </row>
    <row r="44863">
      <c r="A44863" s="1" t="s">
        <v>44862</v>
      </c>
      <c r="B44863" s="2" t="str">
        <f>IFERROR(__xludf.DUMMYFUNCTION("GOOGLETRANSLATE(A44863, ""de"", ""en"")"),"garbage bags")</f>
        <v>garbage bags</v>
      </c>
    </row>
    <row r="44864">
      <c r="A44864" s="1" t="s">
        <v>44863</v>
      </c>
      <c r="B44864" s="2" t="str">
        <f>IFERROR(__xludf.DUMMYFUNCTION("GOOGLETRANSLATE(A44864, ""de"", ""en"")"),"bounced")</f>
        <v>bounced</v>
      </c>
    </row>
    <row r="44865">
      <c r="A44865" s="1" t="s">
        <v>44864</v>
      </c>
      <c r="B44865" s="2" t="str">
        <f>IFERROR(__xludf.DUMMYFUNCTION("GOOGLETRANSLATE(A44865, ""de"", ""en"")"),"drifted around")</f>
        <v>drifted around</v>
      </c>
    </row>
    <row r="44866">
      <c r="A44866" s="1" t="s">
        <v>44865</v>
      </c>
      <c r="B44866" s="2" t="str">
        <f>IFERROR(__xludf.DUMMYFUNCTION("GOOGLETRANSLATE(A44866, ""de"", ""en"")"),"entangle")</f>
        <v>entangle</v>
      </c>
    </row>
    <row r="44867">
      <c r="A44867" s="1" t="s">
        <v>44866</v>
      </c>
      <c r="B44867" s="2" t="str">
        <f>IFERROR(__xludf.DUMMYFUNCTION("GOOGLETRANSLATE(A44867, ""de"", ""en"")"),"karine")</f>
        <v>karine</v>
      </c>
    </row>
    <row r="44868">
      <c r="A44868" s="1" t="s">
        <v>44867</v>
      </c>
      <c r="B44868" s="2" t="str">
        <f>IFERROR(__xludf.DUMMYFUNCTION("GOOGLETRANSLATE(A44868, ""de"", ""en"")"),"nautilus")</f>
        <v>nautilus</v>
      </c>
    </row>
    <row r="44869">
      <c r="A44869" s="1" t="s">
        <v>44868</v>
      </c>
      <c r="B44869" s="2" t="str">
        <f>IFERROR(__xludf.DUMMYFUNCTION("GOOGLETRANSLATE(A44869, ""de"", ""en"")"),"persist")</f>
        <v>persist</v>
      </c>
    </row>
    <row r="44870">
      <c r="A44870" s="1" t="s">
        <v>44869</v>
      </c>
      <c r="B44870" s="2" t="str">
        <f>IFERROR(__xludf.DUMMYFUNCTION("GOOGLETRANSLATE(A44870, ""de"", ""en"")"),"tessie")</f>
        <v>tessie</v>
      </c>
    </row>
    <row r="44871">
      <c r="A44871" s="1" t="s">
        <v>44870</v>
      </c>
      <c r="B44871" s="2" t="str">
        <f>IFERROR(__xludf.DUMMYFUNCTION("GOOGLETRANSLATE(A44871, ""de"", ""en"")"),"music store")</f>
        <v>music store</v>
      </c>
    </row>
    <row r="44872">
      <c r="A44872" s="1" t="s">
        <v>44871</v>
      </c>
      <c r="B44872" s="2" t="str">
        <f>IFERROR(__xludf.DUMMYFUNCTION("GOOGLETRANSLATE(A44872, ""de"", ""en"")"),"minerva")</f>
        <v>minerva</v>
      </c>
    </row>
    <row r="44873">
      <c r="A44873" s="1" t="s">
        <v>44872</v>
      </c>
      <c r="B44873" s="2" t="str">
        <f>IFERROR(__xludf.DUMMYFUNCTION("GOOGLETRANSLATE(A44873, ""de"", ""en"")"),"illiterate")</f>
        <v>illiterate</v>
      </c>
    </row>
    <row r="44874">
      <c r="A44874" s="1" t="s">
        <v>44873</v>
      </c>
      <c r="B44874" s="2" t="str">
        <f>IFERROR(__xludf.DUMMYFUNCTION("GOOGLETRANSLATE(A44874, ""de"", ""en"")"),"roar")</f>
        <v>roar</v>
      </c>
    </row>
    <row r="44875">
      <c r="A44875" s="1" t="s">
        <v>44874</v>
      </c>
      <c r="B44875" s="2" t="str">
        <f>IFERROR(__xludf.DUMMYFUNCTION("GOOGLETRANSLATE(A44875, ""de"", ""en"")"),"lively")</f>
        <v>lively</v>
      </c>
    </row>
    <row r="44876">
      <c r="A44876" s="1" t="s">
        <v>44875</v>
      </c>
      <c r="B44876" s="2" t="str">
        <f>IFERROR(__xludf.DUMMYFUNCTION("GOOGLETRANSLATE(A44876, ""de"", ""en"")"),"world famous")</f>
        <v>world famous</v>
      </c>
    </row>
    <row r="44877">
      <c r="A44877" s="1" t="s">
        <v>44876</v>
      </c>
      <c r="B44877" s="2" t="str">
        <f>IFERROR(__xludf.DUMMYFUNCTION("GOOGLETRANSLATE(A44877, ""de"", ""en"")"),"valid")</f>
        <v>valid</v>
      </c>
    </row>
    <row r="44878">
      <c r="A44878" s="1" t="s">
        <v>44877</v>
      </c>
      <c r="B44878" s="2" t="str">
        <f>IFERROR(__xludf.DUMMYFUNCTION("GOOGLETRANSLATE(A44878, ""de"", ""en"")"),"bloodthirst")</f>
        <v>bloodthirst</v>
      </c>
    </row>
    <row r="44879">
      <c r="A44879" s="1" t="s">
        <v>44878</v>
      </c>
      <c r="B44879" s="2" t="str">
        <f>IFERROR(__xludf.DUMMYFUNCTION("GOOGLETRANSLATE(A44879, ""de"", ""en"")"),"ran in")</f>
        <v>ran in</v>
      </c>
    </row>
    <row r="44880">
      <c r="A44880" s="1" t="s">
        <v>44879</v>
      </c>
      <c r="B44880" s="2" t="str">
        <f>IFERROR(__xludf.DUMMYFUNCTION("GOOGLETRANSLATE(A44880, ""de"", ""en"")"),"mahir")</f>
        <v>mahir</v>
      </c>
    </row>
    <row r="44881">
      <c r="A44881" s="1" t="s">
        <v>44880</v>
      </c>
      <c r="B44881" s="2" t="str">
        <f>IFERROR(__xludf.DUMMYFUNCTION("GOOGLETRANSLATE(A44881, ""de"", ""en"")"),"to be entitled")</f>
        <v>to be entitled</v>
      </c>
    </row>
    <row r="44882">
      <c r="A44882" s="1" t="s">
        <v>44881</v>
      </c>
      <c r="B44882" s="2" t="str">
        <f>IFERROR(__xludf.DUMMYFUNCTION("GOOGLETRANSLATE(A44882, ""de"", ""en"")"),"tablecloth")</f>
        <v>tablecloth</v>
      </c>
    </row>
    <row r="44883">
      <c r="A44883" s="1" t="s">
        <v>44882</v>
      </c>
      <c r="B44883" s="2" t="str">
        <f>IFERROR(__xludf.DUMMYFUNCTION("GOOGLETRANSLATE(A44883, ""de"", ""en"")"),"capito")</f>
        <v>capito</v>
      </c>
    </row>
    <row r="44884">
      <c r="A44884" s="1" t="s">
        <v>44883</v>
      </c>
      <c r="B44884" s="2" t="str">
        <f>IFERROR(__xludf.DUMMYFUNCTION("GOOGLETRANSLATE(A44884, ""de"", ""en"")"),"sex toys")</f>
        <v>sex toys</v>
      </c>
    </row>
    <row r="44885">
      <c r="A44885" s="1" t="s">
        <v>44884</v>
      </c>
      <c r="B44885" s="2" t="str">
        <f>IFERROR(__xludf.DUMMYFUNCTION("GOOGLETRANSLATE(A44885, ""de"", ""en"")"),"law enforcement officer")</f>
        <v>law enforcement officer</v>
      </c>
    </row>
    <row r="44886">
      <c r="A44886" s="1" t="s">
        <v>44885</v>
      </c>
      <c r="B44886" s="2" t="str">
        <f>IFERROR(__xludf.DUMMYFUNCTION("GOOGLETRANSLATE(A44886, ""de"", ""en"")"),"call back")</f>
        <v>call back</v>
      </c>
    </row>
    <row r="44887">
      <c r="A44887" s="1" t="s">
        <v>44886</v>
      </c>
      <c r="B44887" s="2" t="str">
        <f>IFERROR(__xludf.DUMMYFUNCTION("GOOGLETRANSLATE(A44887, ""de"", ""en"")"),"railroad")</f>
        <v>railroad</v>
      </c>
    </row>
    <row r="44888">
      <c r="A44888" s="1" t="s">
        <v>44887</v>
      </c>
      <c r="B44888" s="2" t="str">
        <f>IFERROR(__xludf.DUMMYFUNCTION("GOOGLETRANSLATE(A44888, ""de"", ""en"")"),"jörgen")</f>
        <v>jörgen</v>
      </c>
    </row>
    <row r="44889">
      <c r="A44889" s="1" t="s">
        <v>44888</v>
      </c>
      <c r="B44889" s="2" t="str">
        <f>IFERROR(__xludf.DUMMYFUNCTION("GOOGLETRANSLATE(A44889, ""de"", ""en"")"),"babou")</f>
        <v>babou</v>
      </c>
    </row>
    <row r="44890">
      <c r="A44890" s="1" t="s">
        <v>44889</v>
      </c>
      <c r="B44890" s="2" t="str">
        <f>IFERROR(__xludf.DUMMYFUNCTION("GOOGLETRANSLATE(A44890, ""de"", ""en"")"),"sinking")</f>
        <v>sinking</v>
      </c>
    </row>
    <row r="44891">
      <c r="A44891" s="1" t="s">
        <v>44890</v>
      </c>
      <c r="B44891" s="2" t="str">
        <f>IFERROR(__xludf.DUMMYFUNCTION("GOOGLETRANSLATE(A44891, ""de"", ""en"")"),"alarms")</f>
        <v>alarms</v>
      </c>
    </row>
    <row r="44892">
      <c r="A44892" s="1" t="s">
        <v>44891</v>
      </c>
      <c r="B44892" s="2" t="str">
        <f>IFERROR(__xludf.DUMMYFUNCTION("GOOGLETRANSLATE(A44892, ""de"", ""en"")"),"artifacts")</f>
        <v>artifacts</v>
      </c>
    </row>
    <row r="44893">
      <c r="A44893" s="1" t="s">
        <v>44892</v>
      </c>
      <c r="B44893" s="2" t="str">
        <f>IFERROR(__xludf.DUMMYFUNCTION("GOOGLETRANSLATE(A44893, ""de"", ""en"")"),"Tchaikovsky")</f>
        <v>Tchaikovsky</v>
      </c>
    </row>
    <row r="44894">
      <c r="A44894" s="1" t="s">
        <v>44893</v>
      </c>
      <c r="B44894" s="2" t="str">
        <f>IFERROR(__xludf.DUMMYFUNCTION("GOOGLETRANSLATE(A44894, ""de"", ""en"")"),"faked")</f>
        <v>faked</v>
      </c>
    </row>
    <row r="44895">
      <c r="A44895" s="1" t="s">
        <v>44894</v>
      </c>
      <c r="B44895" s="2" t="str">
        <f>IFERROR(__xludf.DUMMYFUNCTION("GOOGLETRANSLATE(A44895, ""de"", ""en"")"),"Volga")</f>
        <v>Volga</v>
      </c>
    </row>
    <row r="44896">
      <c r="A44896" s="1" t="s">
        <v>44895</v>
      </c>
      <c r="B44896" s="2" t="str">
        <f>IFERROR(__xludf.DUMMYFUNCTION("GOOGLETRANSLATE(A44896, ""de"", ""en"")"),"main part")</f>
        <v>main part</v>
      </c>
    </row>
    <row r="44897">
      <c r="A44897" s="1" t="s">
        <v>44896</v>
      </c>
      <c r="B44897" s="2" t="str">
        <f>IFERROR(__xludf.DUMMYFUNCTION("GOOGLETRANSLATE(A44897, ""de"", ""en"")"),"socialist")</f>
        <v>socialist</v>
      </c>
    </row>
    <row r="44898">
      <c r="A44898" s="1" t="s">
        <v>44897</v>
      </c>
      <c r="B44898" s="2" t="str">
        <f>IFERROR(__xludf.DUMMYFUNCTION("GOOGLETRANSLATE(A44898, ""de"", ""en"")"),"smaller")</f>
        <v>smaller</v>
      </c>
    </row>
    <row r="44899">
      <c r="A44899" s="1" t="s">
        <v>44898</v>
      </c>
      <c r="B44899" s="2" t="str">
        <f>IFERROR(__xludf.DUMMYFUNCTION("GOOGLETRANSLATE(A44899, ""de"", ""en"")"),"struensee")</f>
        <v>struensee</v>
      </c>
    </row>
    <row r="44900">
      <c r="A44900" s="1" t="s">
        <v>44899</v>
      </c>
      <c r="B44900" s="2" t="str">
        <f>IFERROR(__xludf.DUMMYFUNCTION("GOOGLETRANSLATE(A44900, ""de"", ""en"")"),"legend")</f>
        <v>legend</v>
      </c>
    </row>
    <row r="44901">
      <c r="A44901" s="1" t="s">
        <v>44900</v>
      </c>
      <c r="B44901" s="2" t="str">
        <f>IFERROR(__xludf.DUMMYFUNCTION("GOOGLETRANSLATE(A44901, ""de"", ""en"")"),"poetess")</f>
        <v>poetess</v>
      </c>
    </row>
    <row r="44902">
      <c r="A44902" s="1" t="s">
        <v>44901</v>
      </c>
      <c r="B44902" s="2" t="str">
        <f>IFERROR(__xludf.DUMMYFUNCTION("GOOGLETRANSLATE(A44902, ""de"", ""en"")"),"floppy ear")</f>
        <v>floppy ear</v>
      </c>
    </row>
    <row r="44903">
      <c r="A44903" s="1" t="s">
        <v>44902</v>
      </c>
      <c r="B44903" s="2" t="str">
        <f>IFERROR(__xludf.DUMMYFUNCTION("GOOGLETRANSLATE(A44903, ""de"", ""en"")"),"reversal")</f>
        <v>reversal</v>
      </c>
    </row>
    <row r="44904">
      <c r="A44904" s="1" t="s">
        <v>44903</v>
      </c>
      <c r="B44904" s="2" t="str">
        <f>IFERROR(__xludf.DUMMYFUNCTION("GOOGLETRANSLATE(A44904, ""de"", ""en"")"),"Alatriste")</f>
        <v>Alatriste</v>
      </c>
    </row>
    <row r="44905">
      <c r="A44905" s="1" t="s">
        <v>44904</v>
      </c>
      <c r="B44905" s="2" t="str">
        <f>IFERROR(__xludf.DUMMYFUNCTION("GOOGLETRANSLATE(A44905, ""de"", ""en"")"),"jian")</f>
        <v>jian</v>
      </c>
    </row>
    <row r="44906">
      <c r="A44906" s="1" t="s">
        <v>44905</v>
      </c>
      <c r="B44906" s="2" t="str">
        <f>IFERROR(__xludf.DUMMYFUNCTION("GOOGLETRANSLATE(A44906, ""de"", ""en"")"),"low blow")</f>
        <v>low blow</v>
      </c>
    </row>
    <row r="44907">
      <c r="A44907" s="1" t="s">
        <v>44906</v>
      </c>
      <c r="B44907" s="2" t="str">
        <f>IFERROR(__xludf.DUMMYFUNCTION("GOOGLETRANSLATE(A44907, ""de"", ""en"")"),"bonanza")</f>
        <v>bonanza</v>
      </c>
    </row>
    <row r="44908">
      <c r="A44908" s="1" t="s">
        <v>44907</v>
      </c>
      <c r="B44908" s="2" t="str">
        <f>IFERROR(__xludf.DUMMYFUNCTION("GOOGLETRANSLATE(A44908, ""de"", ""en"")"),"fluffy")</f>
        <v>fluffy</v>
      </c>
    </row>
    <row r="44909">
      <c r="A44909" s="1" t="s">
        <v>44908</v>
      </c>
      <c r="B44909" s="2" t="str">
        <f>IFERROR(__xludf.DUMMYFUNCTION("GOOGLETRANSLATE(A44909, ""de"", ""en"")"),"fiddler")</f>
        <v>fiddler</v>
      </c>
    </row>
    <row r="44910">
      <c r="A44910" s="1" t="s">
        <v>44909</v>
      </c>
      <c r="B44910" s="2" t="str">
        <f>IFERROR(__xludf.DUMMYFUNCTION("GOOGLETRANSLATE(A44910, ""de"", ""en"")"),"villiers")</f>
        <v>villiers</v>
      </c>
    </row>
    <row r="44911">
      <c r="A44911" s="1" t="s">
        <v>44910</v>
      </c>
      <c r="B44911" s="2" t="str">
        <f>IFERROR(__xludf.DUMMYFUNCTION("GOOGLETRANSLATE(A44911, ""de"", ""en"")"),"bits and bobs")</f>
        <v>bits and bobs</v>
      </c>
    </row>
    <row r="44912">
      <c r="A44912" s="1" t="s">
        <v>44911</v>
      </c>
      <c r="B44912" s="2" t="str">
        <f>IFERROR(__xludf.DUMMYFUNCTION("GOOGLETRANSLATE(A44912, ""de"", ""en"")"),"kidded")</f>
        <v>kidded</v>
      </c>
    </row>
    <row r="44913">
      <c r="A44913" s="1" t="s">
        <v>44912</v>
      </c>
      <c r="B44913" s="2" t="str">
        <f>IFERROR(__xludf.DUMMYFUNCTION("GOOGLETRANSLATE(A44913, ""de"", ""en"")"),"Cindy's")</f>
        <v>Cindy's</v>
      </c>
    </row>
    <row r="44914">
      <c r="A44914" s="1" t="s">
        <v>44913</v>
      </c>
      <c r="B44914" s="2" t="str">
        <f>IFERROR(__xludf.DUMMYFUNCTION("GOOGLETRANSLATE(A44914, ""de"", ""en"")"),"strained")</f>
        <v>strained</v>
      </c>
    </row>
    <row r="44915">
      <c r="A44915" s="1" t="s">
        <v>44914</v>
      </c>
      <c r="B44915" s="2" t="str">
        <f>IFERROR(__xludf.DUMMYFUNCTION("GOOGLETRANSLATE(A44915, ""de"", ""en"")"),"chests")</f>
        <v>chests</v>
      </c>
    </row>
    <row r="44916">
      <c r="A44916" s="1" t="s">
        <v>44915</v>
      </c>
      <c r="B44916" s="2" t="str">
        <f>IFERROR(__xludf.DUMMYFUNCTION("GOOGLETRANSLATE(A44916, ""de"", ""en"")"),"gatorade")</f>
        <v>gatorade</v>
      </c>
    </row>
    <row r="44917">
      <c r="A44917" s="1" t="s">
        <v>44916</v>
      </c>
      <c r="B44917" s="2" t="str">
        <f>IFERROR(__xludf.DUMMYFUNCTION("GOOGLETRANSLATE(A44917, ""de"", ""en"")"),"efficient")</f>
        <v>efficient</v>
      </c>
    </row>
    <row r="44918">
      <c r="A44918" s="1" t="s">
        <v>44917</v>
      </c>
      <c r="B44918" s="2" t="str">
        <f>IFERROR(__xludf.DUMMYFUNCTION("GOOGLETRANSLATE(A44918, ""de"", ""en"")"),"money handover")</f>
        <v>money handover</v>
      </c>
    </row>
    <row r="44919">
      <c r="A44919" s="1" t="s">
        <v>44918</v>
      </c>
      <c r="B44919" s="2" t="str">
        <f>IFERROR(__xludf.DUMMYFUNCTION("GOOGLETRANSLATE(A44919, ""de"", ""en"")"),"fjord")</f>
        <v>fjord</v>
      </c>
    </row>
    <row r="44920">
      <c r="A44920" s="1" t="s">
        <v>44919</v>
      </c>
      <c r="B44920" s="2" t="str">
        <f>IFERROR(__xludf.DUMMYFUNCTION("GOOGLETRANSLATE(A44920, ""de"", ""en"")"),"sia")</f>
        <v>sia</v>
      </c>
    </row>
    <row r="44921">
      <c r="A44921" s="1" t="s">
        <v>44920</v>
      </c>
      <c r="B44921" s="2" t="str">
        <f>IFERROR(__xludf.DUMMYFUNCTION("GOOGLETRANSLATE(A44921, ""de"", ""en"")"),"clarified")</f>
        <v>clarified</v>
      </c>
    </row>
    <row r="44922">
      <c r="A44922" s="1" t="s">
        <v>44921</v>
      </c>
      <c r="B44922" s="2" t="str">
        <f>IFERROR(__xludf.DUMMYFUNCTION("GOOGLETRANSLATE(A44922, ""de"", ""en"")"),"rain off")</f>
        <v>rain off</v>
      </c>
    </row>
    <row r="44923">
      <c r="A44923" s="1" t="s">
        <v>44922</v>
      </c>
      <c r="B44923" s="2" t="str">
        <f>IFERROR(__xludf.DUMMYFUNCTION("GOOGLETRANSLATE(A44923, ""de"", ""en"")"),"gasoline tank")</f>
        <v>gasoline tank</v>
      </c>
    </row>
    <row r="44924">
      <c r="A44924" s="1" t="s">
        <v>44923</v>
      </c>
      <c r="B44924" s="2" t="str">
        <f>IFERROR(__xludf.DUMMYFUNCTION("GOOGLETRANSLATE(A44924, ""de"", ""en"")"),"rhythmical")</f>
        <v>rhythmical</v>
      </c>
    </row>
    <row r="44925">
      <c r="A44925" s="1" t="s">
        <v>44924</v>
      </c>
      <c r="B44925" s="2" t="str">
        <f>IFERROR(__xludf.DUMMYFUNCTION("GOOGLETRANSLATE(A44925, ""de"", ""en"")"),"nisse")</f>
        <v>nisse</v>
      </c>
    </row>
    <row r="44926">
      <c r="A44926" s="1" t="s">
        <v>44925</v>
      </c>
      <c r="B44926" s="2" t="str">
        <f>IFERROR(__xludf.DUMMYFUNCTION("GOOGLETRANSLATE(A44926, ""de"", ""en"")"),"madgett")</f>
        <v>madgett</v>
      </c>
    </row>
    <row r="44927">
      <c r="A44927" s="1" t="s">
        <v>44926</v>
      </c>
      <c r="B44927" s="2" t="str">
        <f>IFERROR(__xludf.DUMMYFUNCTION("GOOGLETRANSLATE(A44927, ""de"", ""en"")"),"deportation")</f>
        <v>deportation</v>
      </c>
    </row>
    <row r="44928">
      <c r="A44928" s="1" t="s">
        <v>44927</v>
      </c>
      <c r="B44928" s="2" t="str">
        <f>IFERROR(__xludf.DUMMYFUNCTION("GOOGLETRANSLATE(A44928, ""de"", ""en"")"),"pupil")</f>
        <v>pupil</v>
      </c>
    </row>
    <row r="44929">
      <c r="A44929" s="1" t="s">
        <v>44928</v>
      </c>
      <c r="B44929" s="2" t="str">
        <f>IFERROR(__xludf.DUMMYFUNCTION("GOOGLETRANSLATE(A44929, ""de"", ""en"")"),"gingerbread")</f>
        <v>gingerbread</v>
      </c>
    </row>
    <row r="44930">
      <c r="A44930" s="1" t="s">
        <v>44929</v>
      </c>
      <c r="B44930" s="2" t="str">
        <f>IFERROR(__xludf.DUMMYFUNCTION("GOOGLETRANSLATE(A44930, ""de"", ""en"")"),"rob")</f>
        <v>rob</v>
      </c>
    </row>
    <row r="44931">
      <c r="A44931" s="1" t="s">
        <v>44930</v>
      </c>
      <c r="B44931" s="2" t="str">
        <f>IFERROR(__xludf.DUMMYFUNCTION("GOOGLETRANSLATE(A44931, ""de"", ""en"")"),"alchemy")</f>
        <v>alchemy</v>
      </c>
    </row>
    <row r="44932">
      <c r="A44932" s="1" t="s">
        <v>44931</v>
      </c>
      <c r="B44932" s="2" t="str">
        <f>IFERROR(__xludf.DUMMYFUNCTION("GOOGLETRANSLATE(A44932, ""de"", ""en"")"),"wild")</f>
        <v>wild</v>
      </c>
    </row>
    <row r="44933">
      <c r="A44933" s="1" t="s">
        <v>44932</v>
      </c>
      <c r="B44933" s="2" t="str">
        <f>IFERROR(__xludf.DUMMYFUNCTION("GOOGLETRANSLATE(A44933, ""de"", ""en"")"),"shizuko")</f>
        <v>shizuko</v>
      </c>
    </row>
    <row r="44934">
      <c r="A44934" s="1" t="s">
        <v>44933</v>
      </c>
      <c r="B44934" s="2" t="str">
        <f>IFERROR(__xludf.DUMMYFUNCTION("GOOGLETRANSLATE(A44934, ""de"", ""en"")"),"angina")</f>
        <v>angina</v>
      </c>
    </row>
    <row r="44935">
      <c r="A44935" s="1" t="s">
        <v>44934</v>
      </c>
      <c r="B44935" s="2" t="str">
        <f>IFERROR(__xludf.DUMMYFUNCTION("GOOGLETRANSLATE(A44935, ""de"", ""en"")"),"crush")</f>
        <v>crush</v>
      </c>
    </row>
    <row r="44936">
      <c r="A44936" s="1" t="s">
        <v>44935</v>
      </c>
      <c r="B44936" s="2" t="str">
        <f>IFERROR(__xludf.DUMMYFUNCTION("GOOGLETRANSLATE(A44936, ""de"", ""en"")"),"unlocked")</f>
        <v>unlocked</v>
      </c>
    </row>
    <row r="44937">
      <c r="A44937" s="1" t="s">
        <v>44936</v>
      </c>
      <c r="B44937" s="2" t="str">
        <f>IFERROR(__xludf.DUMMYFUNCTION("GOOGLETRANSLATE(A44937, ""de"", ""en"")"),"more selfish")</f>
        <v>more selfish</v>
      </c>
    </row>
    <row r="44938">
      <c r="A44938" s="1" t="s">
        <v>44937</v>
      </c>
      <c r="B44938" s="2" t="str">
        <f>IFERROR(__xludf.DUMMYFUNCTION("GOOGLETRANSLATE(A44938, ""de"", ""en"")"),"party service")</f>
        <v>party service</v>
      </c>
    </row>
    <row r="44939">
      <c r="A44939" s="1" t="s">
        <v>44938</v>
      </c>
      <c r="B44939" s="2" t="str">
        <f>IFERROR(__xludf.DUMMYFUNCTION("GOOGLETRANSLATE(A44939, ""de"", ""en"")"),"browse")</f>
        <v>browse</v>
      </c>
    </row>
    <row r="44940">
      <c r="A44940" s="1" t="s">
        <v>44939</v>
      </c>
      <c r="B44940" s="2" t="str">
        <f>IFERROR(__xludf.DUMMYFUNCTION("GOOGLETRANSLATE(A44940, ""de"", ""en"")"),"satanists")</f>
        <v>satanists</v>
      </c>
    </row>
    <row r="44941">
      <c r="A44941" s="1" t="s">
        <v>44940</v>
      </c>
      <c r="B44941" s="2" t="str">
        <f>IFERROR(__xludf.DUMMYFUNCTION("GOOGLETRANSLATE(A44941, ""de"", ""en"")"),"nylon")</f>
        <v>nylon</v>
      </c>
    </row>
    <row r="44942">
      <c r="A44942" s="1" t="s">
        <v>44941</v>
      </c>
      <c r="B44942" s="2" t="str">
        <f>IFERROR(__xludf.DUMMYFUNCTION("GOOGLETRANSLATE(A44942, ""de"", ""en"")"),"biblical")</f>
        <v>biblical</v>
      </c>
    </row>
    <row r="44943">
      <c r="A44943" s="1" t="s">
        <v>44942</v>
      </c>
      <c r="B44943" s="2" t="str">
        <f>IFERROR(__xludf.DUMMYFUNCTION("GOOGLETRANSLATE(A44943, ""de"", ""en"")"),"rikichi")</f>
        <v>rikichi</v>
      </c>
    </row>
    <row r="44944">
      <c r="A44944" s="1" t="s">
        <v>44943</v>
      </c>
      <c r="B44944" s="2" t="str">
        <f>IFERROR(__xludf.DUMMYFUNCTION("GOOGLETRANSLATE(A44944, ""de"", ""en"")"),"heart transplant")</f>
        <v>heart transplant</v>
      </c>
    </row>
    <row r="44945">
      <c r="A44945" s="1" t="s">
        <v>44944</v>
      </c>
      <c r="B44945" s="2" t="str">
        <f>IFERROR(__xludf.DUMMYFUNCTION("GOOGLETRANSLATE(A44945, ""de"", ""en"")"),"to initiate")</f>
        <v>to initiate</v>
      </c>
    </row>
    <row r="44946">
      <c r="A44946" s="1" t="s">
        <v>44945</v>
      </c>
      <c r="B44946" s="2" t="str">
        <f>IFERROR(__xludf.DUMMYFUNCTION("GOOGLETRANSLATE(A44946, ""de"", ""en"")"),"lemurs")</f>
        <v>lemurs</v>
      </c>
    </row>
    <row r="44947">
      <c r="A44947" s="1" t="s">
        <v>44946</v>
      </c>
      <c r="B44947" s="2" t="str">
        <f>IFERROR(__xludf.DUMMYFUNCTION("GOOGLETRANSLATE(A44947, ""de"", ""en"")"),"puny")</f>
        <v>puny</v>
      </c>
    </row>
    <row r="44948">
      <c r="A44948" s="1" t="s">
        <v>44947</v>
      </c>
      <c r="B44948" s="2" t="str">
        <f>IFERROR(__xludf.DUMMYFUNCTION("GOOGLETRANSLATE(A44948, ""de"", ""en"")"),"greenpeace")</f>
        <v>greenpeace</v>
      </c>
    </row>
    <row r="44949">
      <c r="A44949" s="1" t="s">
        <v>44948</v>
      </c>
      <c r="B44949" s="2" t="str">
        <f>IFERROR(__xludf.DUMMYFUNCTION("GOOGLETRANSLATE(A44949, ""de"", ""en"")"),"to satisfy")</f>
        <v>to satisfy</v>
      </c>
    </row>
    <row r="44950">
      <c r="A44950" s="1" t="s">
        <v>44949</v>
      </c>
      <c r="B44950" s="2" t="str">
        <f>IFERROR(__xludf.DUMMYFUNCTION("GOOGLETRANSLATE(A44950, ""de"", ""en"")"),"teens")</f>
        <v>teens</v>
      </c>
    </row>
    <row r="44951">
      <c r="A44951" s="1" t="s">
        <v>44950</v>
      </c>
      <c r="B44951" s="2" t="str">
        <f>IFERROR(__xludf.DUMMYFUNCTION("GOOGLETRANSLATE(A44951, ""de"", ""en"")"),"no good")</f>
        <v>no good</v>
      </c>
    </row>
    <row r="44952">
      <c r="A44952" s="1" t="s">
        <v>44951</v>
      </c>
      <c r="B44952" s="2" t="str">
        <f>IFERROR(__xludf.DUMMYFUNCTION("GOOGLETRANSLATE(A44952, ""de"", ""en"")"),"vinyl")</f>
        <v>vinyl</v>
      </c>
    </row>
    <row r="44953">
      <c r="A44953" s="1" t="s">
        <v>44952</v>
      </c>
      <c r="B44953" s="2" t="str">
        <f>IFERROR(__xludf.DUMMYFUNCTION("GOOGLETRANSLATE(A44953, ""de"", ""en"")"),"caderousse")</f>
        <v>caderousse</v>
      </c>
    </row>
    <row r="44954">
      <c r="A44954" s="1" t="s">
        <v>44953</v>
      </c>
      <c r="B44954" s="2" t="str">
        <f>IFERROR(__xludf.DUMMYFUNCTION("GOOGLETRANSLATE(A44954, ""de"", ""en"")"),"pontifex")</f>
        <v>pontifex</v>
      </c>
    </row>
    <row r="44955">
      <c r="A44955" s="1" t="s">
        <v>44954</v>
      </c>
      <c r="B44955" s="2" t="str">
        <f>IFERROR(__xludf.DUMMYFUNCTION("GOOGLETRANSLATE(A44955, ""de"", ""en"")"),"recovery room")</f>
        <v>recovery room</v>
      </c>
    </row>
    <row r="44956">
      <c r="A44956" s="1" t="s">
        <v>44955</v>
      </c>
      <c r="B44956" s="2" t="str">
        <f>IFERROR(__xludf.DUMMYFUNCTION("GOOGLETRANSLATE(A44956, ""de"", ""en"")"),"seo")</f>
        <v>seo</v>
      </c>
    </row>
    <row r="44957">
      <c r="A44957" s="1" t="s">
        <v>44956</v>
      </c>
      <c r="B44957" s="2" t="str">
        <f>IFERROR(__xludf.DUMMYFUNCTION("GOOGLETRANSLATE(A44957, ""de"", ""en"")"),"fir")</f>
        <v>fir</v>
      </c>
    </row>
    <row r="44958">
      <c r="A44958" s="1" t="s">
        <v>44957</v>
      </c>
      <c r="B44958" s="2" t="str">
        <f>IFERROR(__xludf.DUMMYFUNCTION("GOOGLETRANSLATE(A44958, ""de"", ""en"")"),"Mendel")</f>
        <v>Mendel</v>
      </c>
    </row>
    <row r="44959">
      <c r="A44959" s="1" t="s">
        <v>44958</v>
      </c>
      <c r="B44959" s="2" t="str">
        <f>IFERROR(__xludf.DUMMYFUNCTION("GOOGLETRANSLATE(A44959, ""de"", ""en"")"),"verdun")</f>
        <v>verdun</v>
      </c>
    </row>
    <row r="44960">
      <c r="A44960" s="1" t="s">
        <v>44959</v>
      </c>
      <c r="B44960" s="2" t="str">
        <f>IFERROR(__xludf.DUMMYFUNCTION("GOOGLETRANSLATE(A44960, ""de"", ""en"")"),"business idea")</f>
        <v>business idea</v>
      </c>
    </row>
    <row r="44961">
      <c r="A44961" s="1" t="s">
        <v>44960</v>
      </c>
      <c r="B44961" s="2" t="str">
        <f>IFERROR(__xludf.DUMMYFUNCTION("GOOGLETRANSLATE(A44961, ""de"", ""en"")"),"tiger")</f>
        <v>tiger</v>
      </c>
    </row>
    <row r="44962">
      <c r="A44962" s="1" t="s">
        <v>44961</v>
      </c>
      <c r="B44962" s="2" t="str">
        <f>IFERROR(__xludf.DUMMYFUNCTION("GOOGLETRANSLATE(A44962, ""de"", ""en"")"),"briarcliff")</f>
        <v>briarcliff</v>
      </c>
    </row>
    <row r="44963">
      <c r="A44963" s="1" t="s">
        <v>44962</v>
      </c>
      <c r="B44963" s="2" t="str">
        <f>IFERROR(__xludf.DUMMYFUNCTION("GOOGLETRANSLATE(A44963, ""de"", ""en"")"),"darkness")</f>
        <v>darkness</v>
      </c>
    </row>
    <row r="44964">
      <c r="A44964" s="1" t="s">
        <v>44963</v>
      </c>
      <c r="B44964" s="2" t="str">
        <f>IFERROR(__xludf.DUMMYFUNCTION("GOOGLETRANSLATE(A44964, ""de"", ""en"")"),"sexier")</f>
        <v>sexier</v>
      </c>
    </row>
    <row r="44965">
      <c r="A44965" s="1" t="s">
        <v>44964</v>
      </c>
      <c r="B44965" s="2" t="str">
        <f>IFERROR(__xludf.DUMMYFUNCTION("GOOGLETRANSLATE(A44965, ""de"", ""en"")"),"slink")</f>
        <v>slink</v>
      </c>
    </row>
    <row r="44966">
      <c r="A44966" s="1" t="s">
        <v>44965</v>
      </c>
      <c r="B44966" s="2" t="str">
        <f>IFERROR(__xludf.DUMMYFUNCTION("GOOGLETRANSLATE(A44966, ""de"", ""en"")"),"suicide mission")</f>
        <v>suicide mission</v>
      </c>
    </row>
    <row r="44967">
      <c r="A44967" s="1" t="s">
        <v>44966</v>
      </c>
      <c r="B44967" s="2" t="str">
        <f>IFERROR(__xludf.DUMMYFUNCTION("GOOGLETRANSLATE(A44967, ""de"", ""en"")"),"drowning")</f>
        <v>drowning</v>
      </c>
    </row>
    <row r="44968">
      <c r="A44968" s="1" t="s">
        <v>44967</v>
      </c>
      <c r="B44968" s="2" t="str">
        <f>IFERROR(__xludf.DUMMYFUNCTION("GOOGLETRANSLATE(A44968, ""de"", ""en"")"),"sniff")</f>
        <v>sniff</v>
      </c>
    </row>
    <row r="44969">
      <c r="A44969" s="1" t="s">
        <v>44968</v>
      </c>
      <c r="B44969" s="2" t="str">
        <f>IFERROR(__xludf.DUMMYFUNCTION("GOOGLETRANSLATE(A44969, ""de"", ""en"")"),"gulag")</f>
        <v>gulag</v>
      </c>
    </row>
    <row r="44970">
      <c r="A44970" s="1" t="s">
        <v>44969</v>
      </c>
      <c r="B44970" s="2" t="str">
        <f>IFERROR(__xludf.DUMMYFUNCTION("GOOGLETRANSLATE(A44970, ""de"", ""en"")"),"nettie")</f>
        <v>nettie</v>
      </c>
    </row>
    <row r="44971">
      <c r="A44971" s="1" t="s">
        <v>44970</v>
      </c>
      <c r="B44971" s="2" t="str">
        <f>IFERROR(__xludf.DUMMYFUNCTION("GOOGLETRANSLATE(A44971, ""de"", ""en"")"),"to reproduce")</f>
        <v>to reproduce</v>
      </c>
    </row>
    <row r="44972">
      <c r="A44972" s="1" t="s">
        <v>44971</v>
      </c>
      <c r="B44972" s="2" t="str">
        <f>IFERROR(__xludf.DUMMYFUNCTION("GOOGLETRANSLATE(A44972, ""de"", ""en"")"),"host")</f>
        <v>host</v>
      </c>
    </row>
    <row r="44973">
      <c r="A44973" s="1" t="s">
        <v>44972</v>
      </c>
      <c r="B44973" s="2" t="str">
        <f>IFERROR(__xludf.DUMMYFUNCTION("GOOGLETRANSLATE(A44973, ""de"", ""en"")"),"art college")</f>
        <v>art college</v>
      </c>
    </row>
    <row r="44974">
      <c r="A44974" s="1" t="s">
        <v>44973</v>
      </c>
      <c r="B44974" s="2" t="str">
        <f>IFERROR(__xludf.DUMMYFUNCTION("GOOGLETRANSLATE(A44974, ""de"", ""en"")"),"interpretation")</f>
        <v>interpretation</v>
      </c>
    </row>
    <row r="44975">
      <c r="A44975" s="1" t="s">
        <v>44974</v>
      </c>
      <c r="B44975" s="2" t="str">
        <f>IFERROR(__xludf.DUMMYFUNCTION("GOOGLETRANSLATE(A44975, ""de"", ""en"")"),"Ottomans")</f>
        <v>Ottomans</v>
      </c>
    </row>
    <row r="44976">
      <c r="A44976" s="1" t="s">
        <v>44975</v>
      </c>
      <c r="B44976" s="2" t="str">
        <f>IFERROR(__xludf.DUMMYFUNCTION("GOOGLETRANSLATE(A44976, ""de"", ""en"")"),"blackburn")</f>
        <v>blackburn</v>
      </c>
    </row>
    <row r="44977">
      <c r="A44977" s="1" t="s">
        <v>44976</v>
      </c>
      <c r="B44977" s="2" t="str">
        <f>IFERROR(__xludf.DUMMYFUNCTION("GOOGLETRANSLATE(A44977, ""de"", ""en"")"),"think back")</f>
        <v>think back</v>
      </c>
    </row>
    <row r="44978">
      <c r="A44978" s="1" t="s">
        <v>44977</v>
      </c>
      <c r="B44978" s="2" t="str">
        <f>IFERROR(__xludf.DUMMYFUNCTION("GOOGLETRANSLATE(A44978, ""de"", ""en"")"),"anjou")</f>
        <v>anjou</v>
      </c>
    </row>
    <row r="44979">
      <c r="A44979" s="1" t="s">
        <v>44978</v>
      </c>
      <c r="B44979" s="2" t="str">
        <f>IFERROR(__xludf.DUMMYFUNCTION("GOOGLETRANSLATE(A44979, ""de"", ""en"")"),"skin cancer")</f>
        <v>skin cancer</v>
      </c>
    </row>
    <row r="44980">
      <c r="A44980" s="1" t="s">
        <v>44979</v>
      </c>
      <c r="B44980" s="2" t="str">
        <f>IFERROR(__xludf.DUMMYFUNCTION("GOOGLETRANSLATE(A44980, ""de"", ""en"")"),"renaldo")</f>
        <v>renaldo</v>
      </c>
    </row>
    <row r="44981">
      <c r="A44981" s="1" t="s">
        <v>44980</v>
      </c>
      <c r="B44981" s="2" t="str">
        <f>IFERROR(__xludf.DUMMYFUNCTION("GOOGLETRANSLATE(A44981, ""de"", ""en"")"),"personal doctor")</f>
        <v>personal doctor</v>
      </c>
    </row>
    <row r="44982">
      <c r="A44982" s="1" t="s">
        <v>44981</v>
      </c>
      <c r="B44982" s="2" t="str">
        <f>IFERROR(__xludf.DUMMYFUNCTION("GOOGLETRANSLATE(A44982, ""de"", ""en"")"),"desolate")</f>
        <v>desolate</v>
      </c>
    </row>
    <row r="44983">
      <c r="A44983" s="1" t="s">
        <v>44982</v>
      </c>
      <c r="B44983" s="2" t="str">
        <f>IFERROR(__xludf.DUMMYFUNCTION("GOOGLETRANSLATE(A44983, ""de"", ""en"")"),"flight attendant")</f>
        <v>flight attendant</v>
      </c>
    </row>
    <row r="44984">
      <c r="A44984" s="1" t="s">
        <v>44983</v>
      </c>
      <c r="B44984" s="2" t="str">
        <f>IFERROR(__xludf.DUMMYFUNCTION("GOOGLETRANSLATE(A44984, ""de"", ""en"")"),"sneaky")</f>
        <v>sneaky</v>
      </c>
    </row>
    <row r="44985">
      <c r="A44985" s="1" t="s">
        <v>44984</v>
      </c>
      <c r="B44985" s="2" t="str">
        <f>IFERROR(__xludf.DUMMYFUNCTION("GOOGLETRANSLATE(A44985, ""de"", ""en"")"),"macchiato")</f>
        <v>macchiato</v>
      </c>
    </row>
    <row r="44986">
      <c r="A44986" s="1" t="s">
        <v>44985</v>
      </c>
      <c r="B44986" s="2" t="str">
        <f>IFERROR(__xludf.DUMMYFUNCTION("GOOGLETRANSLATE(A44986, ""de"", ""en"")"),"eaten away")</f>
        <v>eaten away</v>
      </c>
    </row>
    <row r="44987">
      <c r="A44987" s="1" t="s">
        <v>44986</v>
      </c>
      <c r="B44987" s="2" t="str">
        <f>IFERROR(__xludf.DUMMYFUNCTION("GOOGLETRANSLATE(A44987, ""de"", ""en"")"),"passed by")</f>
        <v>passed by</v>
      </c>
    </row>
    <row r="44988">
      <c r="A44988" s="1" t="s">
        <v>44987</v>
      </c>
      <c r="B44988" s="2" t="str">
        <f>IFERROR(__xludf.DUMMYFUNCTION("GOOGLETRANSLATE(A44988, ""de"", ""en"")"),"revenge")</f>
        <v>revenge</v>
      </c>
    </row>
    <row r="44989">
      <c r="A44989" s="1" t="s">
        <v>44988</v>
      </c>
      <c r="B44989" s="2" t="str">
        <f>IFERROR(__xludf.DUMMYFUNCTION("GOOGLETRANSLATE(A44989, ""de"", ""en"")"),"feed")</f>
        <v>feed</v>
      </c>
    </row>
    <row r="44990">
      <c r="A44990" s="1" t="s">
        <v>44989</v>
      </c>
      <c r="B44990" s="2" t="str">
        <f>IFERROR(__xludf.DUMMYFUNCTION("GOOGLETRANSLATE(A44990, ""de"", ""en"")"),"disturbing")</f>
        <v>disturbing</v>
      </c>
    </row>
    <row r="44991">
      <c r="A44991" s="1" t="s">
        <v>44990</v>
      </c>
      <c r="B44991" s="2" t="str">
        <f>IFERROR(__xludf.DUMMYFUNCTION("GOOGLETRANSLATE(A44991, ""de"", ""en"")"),"ccpd")</f>
        <v>ccpd</v>
      </c>
    </row>
    <row r="44992">
      <c r="A44992" s="1" t="s">
        <v>44991</v>
      </c>
      <c r="B44992" s="2" t="str">
        <f>IFERROR(__xludf.DUMMYFUNCTION("GOOGLETRANSLATE(A44992, ""de"", ""en"")"),"worked towards")</f>
        <v>worked towards</v>
      </c>
    </row>
    <row r="44993">
      <c r="A44993" s="1" t="s">
        <v>44992</v>
      </c>
      <c r="B44993" s="2" t="str">
        <f>IFERROR(__xludf.DUMMYFUNCTION("GOOGLETRANSLATE(A44993, ""de"", ""en"")"),"parental")</f>
        <v>parental</v>
      </c>
    </row>
    <row r="44994">
      <c r="A44994" s="1" t="s">
        <v>44993</v>
      </c>
      <c r="B44994" s="2" t="str">
        <f>IFERROR(__xludf.DUMMYFUNCTION("GOOGLETRANSLATE(A44994, ""de"", ""en"")"),"visitor")</f>
        <v>visitor</v>
      </c>
    </row>
    <row r="44995">
      <c r="A44995" s="1" t="s">
        <v>44994</v>
      </c>
      <c r="B44995" s="2" t="str">
        <f>IFERROR(__xludf.DUMMYFUNCTION("GOOGLETRANSLATE(A44995, ""de"", ""en"")"),"pioneer")</f>
        <v>pioneer</v>
      </c>
    </row>
    <row r="44996">
      <c r="A44996" s="1" t="s">
        <v>44995</v>
      </c>
      <c r="B44996" s="2" t="str">
        <f>IFERROR(__xludf.DUMMYFUNCTION("GOOGLETRANSLATE(A44996, ""de"", ""en"")"),"Persian")</f>
        <v>Persian</v>
      </c>
    </row>
    <row r="44997">
      <c r="A44997" s="1" t="s">
        <v>44996</v>
      </c>
      <c r="B44997" s="2" t="str">
        <f>IFERROR(__xludf.DUMMYFUNCTION("GOOGLETRANSLATE(A44997, ""de"", ""en"")"),"human child")</f>
        <v>human child</v>
      </c>
    </row>
    <row r="44998">
      <c r="A44998" s="1" t="s">
        <v>44997</v>
      </c>
      <c r="B44998" s="2" t="str">
        <f>IFERROR(__xludf.DUMMYFUNCTION("GOOGLETRANSLATE(A44998, ""de"", ""en"")"),"vulva")</f>
        <v>vulva</v>
      </c>
    </row>
    <row r="44999">
      <c r="A44999" s="1" t="s">
        <v>44998</v>
      </c>
      <c r="B44999" s="2" t="str">
        <f>IFERROR(__xludf.DUMMYFUNCTION("GOOGLETRANSLATE(A44999, ""de"", ""en"")"),"foresight")</f>
        <v>foresight</v>
      </c>
    </row>
    <row r="45000">
      <c r="A45000" s="1" t="s">
        <v>44999</v>
      </c>
      <c r="B45000" s="2" t="str">
        <f>IFERROR(__xludf.DUMMYFUNCTION("GOOGLETRANSLATE(A45000, ""de"", ""en"")"),"cherien")</f>
        <v>cherien</v>
      </c>
    </row>
    <row r="45001">
      <c r="A45001" s="1" t="s">
        <v>45000</v>
      </c>
      <c r="B45001" s="2" t="str">
        <f>IFERROR(__xludf.DUMMYFUNCTION("GOOGLETRANSLATE(A45001, ""de"", ""en"")"),"playmates")</f>
        <v>playmates</v>
      </c>
    </row>
    <row r="45002">
      <c r="A45002" s="1" t="s">
        <v>45001</v>
      </c>
      <c r="B45002" s="2" t="str">
        <f>IFERROR(__xludf.DUMMYFUNCTION("GOOGLETRANSLATE(A45002, ""de"", ""en"")"),"lopez")</f>
        <v>lopez</v>
      </c>
    </row>
    <row r="45003">
      <c r="A45003" s="1" t="s">
        <v>45002</v>
      </c>
      <c r="B45003" s="2" t="str">
        <f>IFERROR(__xludf.DUMMYFUNCTION("GOOGLETRANSLATE(A45003, ""de"", ""en"")"),"sassenach")</f>
        <v>sassenach</v>
      </c>
    </row>
    <row r="45004">
      <c r="A45004" s="1" t="s">
        <v>45003</v>
      </c>
      <c r="B45004" s="2" t="str">
        <f>IFERROR(__xludf.DUMMYFUNCTION("GOOGLETRANSLATE(A45004, ""de"", ""en"")"),"0order")</f>
        <v>0order</v>
      </c>
    </row>
    <row r="45005">
      <c r="A45005" s="1" t="s">
        <v>45004</v>
      </c>
      <c r="B45005" s="2" t="str">
        <f>IFERROR(__xludf.DUMMYFUNCTION("GOOGLETRANSLATE(A45005, ""de"", ""en"")"),"loxley")</f>
        <v>loxley</v>
      </c>
    </row>
    <row r="45006">
      <c r="A45006" s="1" t="s">
        <v>45005</v>
      </c>
      <c r="B45006" s="2" t="str">
        <f>IFERROR(__xludf.DUMMYFUNCTION("GOOGLETRANSLATE(A45006, ""de"", ""en"")"),"foolish")</f>
        <v>foolish</v>
      </c>
    </row>
    <row r="45007">
      <c r="A45007" s="1" t="s">
        <v>45006</v>
      </c>
      <c r="B45007" s="2" t="str">
        <f>IFERROR(__xludf.DUMMYFUNCTION("GOOGLETRANSLATE(A45007, ""de"", ""en"")"),"Caleb")</f>
        <v>Caleb</v>
      </c>
    </row>
    <row r="45008">
      <c r="A45008" s="1" t="s">
        <v>45007</v>
      </c>
      <c r="B45008" s="2" t="str">
        <f>IFERROR(__xludf.DUMMYFUNCTION("GOOGLETRANSLATE(A45008, ""de"", ""en"")"),"DNA analysis")</f>
        <v>DNA analysis</v>
      </c>
    </row>
    <row r="45009">
      <c r="A45009" s="1" t="s">
        <v>45008</v>
      </c>
      <c r="B45009" s="2" t="str">
        <f>IFERROR(__xludf.DUMMYFUNCTION("GOOGLETRANSLATE(A45009, ""de"", ""en"")"),"fed")</f>
        <v>fed</v>
      </c>
    </row>
    <row r="45010">
      <c r="A45010" s="1" t="s">
        <v>45009</v>
      </c>
      <c r="B45010" s="2" t="str">
        <f>IFERROR(__xludf.DUMMYFUNCTION("GOOGLETRANSLATE(A45010, ""de"", ""en"")"),"schuyler")</f>
        <v>schuyler</v>
      </c>
    </row>
    <row r="45011">
      <c r="A45011" s="1" t="s">
        <v>45010</v>
      </c>
      <c r="B45011" s="2" t="str">
        <f>IFERROR(__xludf.DUMMYFUNCTION("GOOGLETRANSLATE(A45011, ""de"", ""en"")"),"vegan")</f>
        <v>vegan</v>
      </c>
    </row>
    <row r="45012">
      <c r="A45012" s="1" t="s">
        <v>45011</v>
      </c>
      <c r="B45012" s="2" t="str">
        <f>IFERROR(__xludf.DUMMYFUNCTION("GOOGLETRANSLATE(A45012, ""de"", ""en"")"),"trusted teacher")</f>
        <v>trusted teacher</v>
      </c>
    </row>
    <row r="45013">
      <c r="A45013" s="1" t="s">
        <v>45012</v>
      </c>
      <c r="B45013" s="2" t="str">
        <f>IFERROR(__xludf.DUMMYFUNCTION("GOOGLETRANSLATE(A45013, ""de"", ""en"")"),"dragon warrior")</f>
        <v>dragon warrior</v>
      </c>
    </row>
    <row r="45014">
      <c r="A45014" s="1" t="s">
        <v>45013</v>
      </c>
      <c r="B45014" s="2" t="str">
        <f>IFERROR(__xludf.DUMMYFUNCTION("GOOGLETRANSLATE(A45014, ""de"", ""en"")"),"uncertainties")</f>
        <v>uncertainties</v>
      </c>
    </row>
    <row r="45015">
      <c r="A45015" s="1" t="s">
        <v>45014</v>
      </c>
      <c r="B45015" s="2" t="str">
        <f>IFERROR(__xludf.DUMMYFUNCTION("GOOGLETRANSLATE(A45015, ""de"", ""en"")"),"chanterelle")</f>
        <v>chanterelle</v>
      </c>
    </row>
    <row r="45016">
      <c r="A45016" s="1" t="s">
        <v>45015</v>
      </c>
      <c r="B45016" s="2" t="str">
        <f>IFERROR(__xludf.DUMMYFUNCTION("GOOGLETRANSLATE(A45016, ""de"", ""en"")"),"campsite")</f>
        <v>campsite</v>
      </c>
    </row>
    <row r="45017">
      <c r="A45017" s="1" t="s">
        <v>45016</v>
      </c>
      <c r="B45017" s="2" t="str">
        <f>IFERROR(__xludf.DUMMYFUNCTION("GOOGLETRANSLATE(A45017, ""de"", ""en"")"),"kayak")</f>
        <v>kayak</v>
      </c>
    </row>
    <row r="45018">
      <c r="A45018" s="1" t="s">
        <v>45017</v>
      </c>
      <c r="B45018" s="2" t="str">
        <f>IFERROR(__xludf.DUMMYFUNCTION("GOOGLETRANSLATE(A45018, ""de"", ""en"")"),"bun")</f>
        <v>bun</v>
      </c>
    </row>
    <row r="45019">
      <c r="A45019" s="1" t="s">
        <v>45018</v>
      </c>
      <c r="B45019" s="2" t="str">
        <f>IFERROR(__xludf.DUMMYFUNCTION("GOOGLETRANSLATE(A45019, ""de"", ""en"")"),"infection")</f>
        <v>infection</v>
      </c>
    </row>
    <row r="45020">
      <c r="A45020" s="1" t="s">
        <v>45019</v>
      </c>
      <c r="B45020" s="2" t="str">
        <f>IFERROR(__xludf.DUMMYFUNCTION("GOOGLETRANSLATE(A45020, ""de"", ""en"")"),"counterproductive")</f>
        <v>counterproductive</v>
      </c>
    </row>
    <row r="45021">
      <c r="A45021" s="1" t="s">
        <v>45020</v>
      </c>
      <c r="B45021" s="2" t="str">
        <f>IFERROR(__xludf.DUMMYFUNCTION("GOOGLETRANSLATE(A45021, ""de"", ""en"")"),"clout")</f>
        <v>clout</v>
      </c>
    </row>
    <row r="45022">
      <c r="A45022" s="1" t="s">
        <v>45021</v>
      </c>
      <c r="B45022" s="2" t="str">
        <f>IFERROR(__xludf.DUMMYFUNCTION("GOOGLETRANSLATE(A45022, ""de"", ""en"")"),"disabled")</f>
        <v>disabled</v>
      </c>
    </row>
    <row r="45023">
      <c r="A45023" s="1" t="s">
        <v>45022</v>
      </c>
      <c r="B45023" s="2" t="str">
        <f>IFERROR(__xludf.DUMMYFUNCTION("GOOGLETRANSLATE(A45023, ""de"", ""en"")"),"house rules")</f>
        <v>house rules</v>
      </c>
    </row>
    <row r="45024">
      <c r="A45024" s="1" t="s">
        <v>45023</v>
      </c>
      <c r="B45024" s="2" t="str">
        <f>IFERROR(__xludf.DUMMYFUNCTION("GOOGLETRANSLATE(A45024, ""de"", ""en"")"),"humanity")</f>
        <v>humanity</v>
      </c>
    </row>
    <row r="45025">
      <c r="A45025" s="1" t="s">
        <v>45024</v>
      </c>
      <c r="B45025" s="2" t="str">
        <f>IFERROR(__xludf.DUMMYFUNCTION("GOOGLETRANSLATE(A45025, ""de"", ""en"")"),"camerons")</f>
        <v>camerons</v>
      </c>
    </row>
    <row r="45026">
      <c r="A45026" s="1" t="s">
        <v>45025</v>
      </c>
      <c r="B45026" s="2" t="str">
        <f>IFERROR(__xludf.DUMMYFUNCTION("GOOGLETRANSLATE(A45026, ""de"", ""en"")"),"compete")</f>
        <v>compete</v>
      </c>
    </row>
    <row r="45027">
      <c r="A45027" s="1" t="s">
        <v>45026</v>
      </c>
      <c r="B45027" s="2" t="str">
        <f>IFERROR(__xludf.DUMMYFUNCTION("GOOGLETRANSLATE(A45027, ""de"", ""en"")"),"prepare")</f>
        <v>prepare</v>
      </c>
    </row>
    <row r="45028">
      <c r="A45028" s="1" t="s">
        <v>45027</v>
      </c>
      <c r="B45028" s="2" t="str">
        <f>IFERROR(__xludf.DUMMYFUNCTION("GOOGLETRANSLATE(A45028, ""de"", ""en"")"),"drunk")</f>
        <v>drunk</v>
      </c>
    </row>
    <row r="45029">
      <c r="A45029" s="1" t="s">
        <v>45028</v>
      </c>
      <c r="B45029" s="2" t="str">
        <f>IFERROR(__xludf.DUMMYFUNCTION("GOOGLETRANSLATE(A45029, ""de"", ""en"")"),"reduce")</f>
        <v>reduce</v>
      </c>
    </row>
    <row r="45030">
      <c r="A45030" s="1" t="s">
        <v>45029</v>
      </c>
      <c r="B45030" s="2" t="str">
        <f>IFERROR(__xludf.DUMMYFUNCTION("GOOGLETRANSLATE(A45030, ""de"", ""en"")"),"morass")</f>
        <v>morass</v>
      </c>
    </row>
    <row r="45031">
      <c r="A45031" s="1" t="s">
        <v>45030</v>
      </c>
      <c r="B45031" s="2" t="str">
        <f>IFERROR(__xludf.DUMMYFUNCTION("GOOGLETRANSLATE(A45031, ""de"", ""en"")"),"creditworthy")</f>
        <v>creditworthy</v>
      </c>
    </row>
    <row r="45032">
      <c r="A45032" s="1" t="s">
        <v>45031</v>
      </c>
      <c r="B45032" s="2" t="str">
        <f>IFERROR(__xludf.DUMMYFUNCTION("GOOGLETRANSLATE(A45032, ""de"", ""en"")"),"window cleaner")</f>
        <v>window cleaner</v>
      </c>
    </row>
    <row r="45033">
      <c r="A45033" s="1" t="s">
        <v>45032</v>
      </c>
      <c r="B45033" s="2" t="str">
        <f>IFERROR(__xludf.DUMMYFUNCTION("GOOGLETRANSLATE(A45033, ""de"", ""en"")"),"lying around")</f>
        <v>lying around</v>
      </c>
    </row>
    <row r="45034">
      <c r="A45034" s="1" t="s">
        <v>45033</v>
      </c>
      <c r="B45034" s="2" t="str">
        <f>IFERROR(__xludf.DUMMYFUNCTION("GOOGLETRANSLATE(A45034, ""de"", ""en"")"),"board of directors")</f>
        <v>board of directors</v>
      </c>
    </row>
    <row r="45035">
      <c r="A45035" s="1" t="s">
        <v>45034</v>
      </c>
      <c r="B45035" s="2" t="str">
        <f>IFERROR(__xludf.DUMMYFUNCTION("GOOGLETRANSLATE(A45035, ""de"", ""en"")"),"lovers")</f>
        <v>lovers</v>
      </c>
    </row>
    <row r="45036">
      <c r="A45036" s="1" t="s">
        <v>45035</v>
      </c>
      <c r="B45036" s="2" t="str">
        <f>IFERROR(__xludf.DUMMYFUNCTION("GOOGLETRANSLATE(A45036, ""de"", ""en"")"),"pool")</f>
        <v>pool</v>
      </c>
    </row>
    <row r="45037">
      <c r="A45037" s="1" t="s">
        <v>45036</v>
      </c>
      <c r="B45037" s="2" t="str">
        <f>IFERROR(__xludf.DUMMYFUNCTION("GOOGLETRANSLATE(A45037, ""de"", ""en"")"),"rose")</f>
        <v>rose</v>
      </c>
    </row>
    <row r="45038">
      <c r="A45038" s="1" t="s">
        <v>45037</v>
      </c>
      <c r="B45038" s="2" t="str">
        <f>IFERROR(__xludf.DUMMYFUNCTION("GOOGLETRANSLATE(A45038, ""de"", ""en"")"),"poured")</f>
        <v>poured</v>
      </c>
    </row>
    <row r="45039">
      <c r="A45039" s="1" t="s">
        <v>45038</v>
      </c>
      <c r="B45039" s="2" t="str">
        <f>IFERROR(__xludf.DUMMYFUNCTION("GOOGLETRANSLATE(A45039, ""de"", ""en"")"),"selmak")</f>
        <v>selmak</v>
      </c>
    </row>
    <row r="45040">
      <c r="A45040" s="1" t="s">
        <v>45039</v>
      </c>
      <c r="B45040" s="2" t="str">
        <f>IFERROR(__xludf.DUMMYFUNCTION("GOOGLETRANSLATE(A45040, ""de"", ""en"")"),"monastery")</f>
        <v>monastery</v>
      </c>
    </row>
    <row r="45041">
      <c r="A45041" s="1" t="s">
        <v>45040</v>
      </c>
      <c r="B45041" s="2" t="str">
        <f>IFERROR(__xludf.DUMMYFUNCTION("GOOGLETRANSLATE(A45041, ""de"", ""en"")"),"airtight")</f>
        <v>airtight</v>
      </c>
    </row>
    <row r="45042">
      <c r="A45042" s="1" t="s">
        <v>45041</v>
      </c>
      <c r="B45042" s="2" t="str">
        <f>IFERROR(__xludf.DUMMYFUNCTION("GOOGLETRANSLATE(A45042, ""de"", ""en"")"),"bullying")</f>
        <v>bullying</v>
      </c>
    </row>
    <row r="45043">
      <c r="A45043" s="1" t="s">
        <v>45042</v>
      </c>
      <c r="B45043" s="2" t="str">
        <f>IFERROR(__xludf.DUMMYFUNCTION("GOOGLETRANSLATE(A45043, ""de"", ""en"")"),"to slash")</f>
        <v>to slash</v>
      </c>
    </row>
    <row r="45044">
      <c r="A45044" s="1" t="s">
        <v>45043</v>
      </c>
      <c r="B45044" s="2" t="str">
        <f>IFERROR(__xludf.DUMMYFUNCTION("GOOGLETRANSLATE(A45044, ""de"", ""en"")"),"covered")</f>
        <v>covered</v>
      </c>
    </row>
    <row r="45045">
      <c r="A45045" s="1" t="s">
        <v>45044</v>
      </c>
      <c r="B45045" s="2" t="str">
        <f>IFERROR(__xludf.DUMMYFUNCTION("GOOGLETRANSLATE(A45045, ""de"", ""en"")"),"auditioned")</f>
        <v>auditioned</v>
      </c>
    </row>
    <row r="45046">
      <c r="A45046" s="1" t="s">
        <v>45045</v>
      </c>
      <c r="B45046" s="2" t="str">
        <f>IFERROR(__xludf.DUMMYFUNCTION("GOOGLETRANSLATE(A45046, ""de"", ""en"")"),"bled to death")</f>
        <v>bled to death</v>
      </c>
    </row>
    <row r="45047">
      <c r="A45047" s="1" t="s">
        <v>45046</v>
      </c>
      <c r="B45047" s="2" t="str">
        <f>IFERROR(__xludf.DUMMYFUNCTION("GOOGLETRANSLATE(A45047, ""de"", ""en"")"),"smooches")</f>
        <v>smooches</v>
      </c>
    </row>
    <row r="45048">
      <c r="A45048" s="1" t="s">
        <v>45047</v>
      </c>
      <c r="B45048" s="2" t="str">
        <f>IFERROR(__xludf.DUMMYFUNCTION("GOOGLETRANSLATE(A45048, ""de"", ""en"")"),"broke")</f>
        <v>broke</v>
      </c>
    </row>
    <row r="45049">
      <c r="A45049" s="1" t="s">
        <v>45048</v>
      </c>
      <c r="B45049" s="2" t="str">
        <f>IFERROR(__xludf.DUMMYFUNCTION("GOOGLETRANSLATE(A45049, ""de"", ""en"")"),"sharky1980")</f>
        <v>sharky1980</v>
      </c>
    </row>
    <row r="45050">
      <c r="A45050" s="1" t="s">
        <v>45049</v>
      </c>
      <c r="B45050" s="2" t="str">
        <f>IFERROR(__xludf.DUMMYFUNCTION("GOOGLETRANSLATE(A45050, ""de"", ""en"")"),"bleeding")</f>
        <v>bleeding</v>
      </c>
    </row>
    <row r="45051">
      <c r="A45051" s="1" t="s">
        <v>45050</v>
      </c>
      <c r="B45051" s="2" t="str">
        <f>IFERROR(__xludf.DUMMYFUNCTION("GOOGLETRANSLATE(A45051, ""de"", ""en"")"),"authentic")</f>
        <v>authentic</v>
      </c>
    </row>
    <row r="45052">
      <c r="A45052" s="1" t="s">
        <v>45051</v>
      </c>
      <c r="B45052" s="2" t="str">
        <f>IFERROR(__xludf.DUMMYFUNCTION("GOOGLETRANSLATE(A45052, ""de"", ""en"")"),"latour")</f>
        <v>latour</v>
      </c>
    </row>
    <row r="45053">
      <c r="A45053" s="1" t="s">
        <v>45052</v>
      </c>
      <c r="B45053" s="2" t="str">
        <f>IFERROR(__xludf.DUMMYFUNCTION("GOOGLETRANSLATE(A45053, ""de"", ""en"")"),"hundredweight")</f>
        <v>hundredweight</v>
      </c>
    </row>
    <row r="45054">
      <c r="A45054" s="1" t="s">
        <v>45053</v>
      </c>
      <c r="B45054" s="2" t="str">
        <f>IFERROR(__xludf.DUMMYFUNCTION("GOOGLETRANSLATE(A45054, ""de"", ""en"")"),"bill collector")</f>
        <v>bill collector</v>
      </c>
    </row>
    <row r="45055">
      <c r="A45055" s="1" t="s">
        <v>45054</v>
      </c>
      <c r="B45055" s="2" t="str">
        <f>IFERROR(__xludf.DUMMYFUNCTION("GOOGLETRANSLATE(A45055, ""de"", ""en"")"),"bomb attack")</f>
        <v>bomb attack</v>
      </c>
    </row>
    <row r="45056">
      <c r="A45056" s="1" t="s">
        <v>45055</v>
      </c>
      <c r="B45056" s="2" t="str">
        <f>IFERROR(__xludf.DUMMYFUNCTION("GOOGLETRANSLATE(A45056, ""de"", ""en"")"),"pins")</f>
        <v>pins</v>
      </c>
    </row>
    <row r="45057">
      <c r="A45057" s="1" t="s">
        <v>45056</v>
      </c>
      <c r="B45057" s="2" t="str">
        <f>IFERROR(__xludf.DUMMYFUNCTION("GOOGLETRANSLATE(A45057, ""de"", ""en"")"),"rewarded")</f>
        <v>rewarded</v>
      </c>
    </row>
    <row r="45058">
      <c r="A45058" s="1" t="s">
        <v>45057</v>
      </c>
      <c r="B45058" s="2" t="str">
        <f>IFERROR(__xludf.DUMMYFUNCTION("GOOGLETRANSLATE(A45058, ""de"", ""en"")"),"musical")</f>
        <v>musical</v>
      </c>
    </row>
    <row r="45059">
      <c r="A45059" s="1" t="s">
        <v>45058</v>
      </c>
      <c r="B45059" s="2" t="str">
        <f>IFERROR(__xludf.DUMMYFUNCTION("GOOGLETRANSLATE(A45059, ""de"", ""en"")"),"renly")</f>
        <v>renly</v>
      </c>
    </row>
    <row r="45060">
      <c r="A45060" s="1" t="s">
        <v>45059</v>
      </c>
      <c r="B45060" s="2" t="str">
        <f>IFERROR(__xludf.DUMMYFUNCTION("GOOGLETRANSLATE(A45060, ""de"", ""en"")"),"plastic surgeon")</f>
        <v>plastic surgeon</v>
      </c>
    </row>
    <row r="45061">
      <c r="A45061" s="1" t="s">
        <v>45060</v>
      </c>
      <c r="B45061" s="2" t="str">
        <f>IFERROR(__xludf.DUMMYFUNCTION("GOOGLETRANSLATE(A45061, ""de"", ""en"")"),"cocky")</f>
        <v>cocky</v>
      </c>
    </row>
    <row r="45062">
      <c r="A45062" s="1" t="s">
        <v>45061</v>
      </c>
      <c r="B45062" s="2" t="str">
        <f>IFERROR(__xludf.DUMMYFUNCTION("GOOGLETRANSLATE(A45062, ""de"", ""en"")"),"impossible")</f>
        <v>impossible</v>
      </c>
    </row>
    <row r="45063">
      <c r="A45063" s="1" t="s">
        <v>45062</v>
      </c>
      <c r="B45063" s="2" t="str">
        <f>IFERROR(__xludf.DUMMYFUNCTION("GOOGLETRANSLATE(A45063, ""de"", ""en"")"),"guide dog")</f>
        <v>guide dog</v>
      </c>
    </row>
    <row r="45064">
      <c r="A45064" s="1" t="s">
        <v>45063</v>
      </c>
      <c r="B45064" s="2" t="str">
        <f>IFERROR(__xludf.DUMMYFUNCTION("GOOGLETRANSLATE(A45064, ""de"", ""en"")"),"functions")</f>
        <v>functions</v>
      </c>
    </row>
    <row r="45065">
      <c r="A45065" s="1" t="s">
        <v>45064</v>
      </c>
      <c r="B45065" s="2" t="str">
        <f>IFERROR(__xludf.DUMMYFUNCTION("GOOGLETRANSLATE(A45065, ""de"", ""en"")"),"pull along")</f>
        <v>pull along</v>
      </c>
    </row>
    <row r="45066">
      <c r="A45066" s="1" t="s">
        <v>45065</v>
      </c>
      <c r="B45066" s="2" t="str">
        <f>IFERROR(__xludf.DUMMYFUNCTION("GOOGLETRANSLATE(A45066, ""de"", ""en"")"),"raccoon dogs")</f>
        <v>raccoon dogs</v>
      </c>
    </row>
    <row r="45067">
      <c r="A45067" s="1" t="s">
        <v>45066</v>
      </c>
      <c r="B45067" s="2" t="str">
        <f>IFERROR(__xludf.DUMMYFUNCTION("GOOGLETRANSLATE(A45067, ""de"", ""en"")"),"distrust")</f>
        <v>distrust</v>
      </c>
    </row>
    <row r="45068">
      <c r="A45068" s="1" t="s">
        <v>45067</v>
      </c>
      <c r="B45068" s="2" t="str">
        <f>IFERROR(__xludf.DUMMYFUNCTION("GOOGLETRANSLATE(A45068, ""de"", ""en"")"),"wither away")</f>
        <v>wither away</v>
      </c>
    </row>
    <row r="45069">
      <c r="A45069" s="1" t="s">
        <v>45068</v>
      </c>
      <c r="B45069" s="2" t="str">
        <f>IFERROR(__xludf.DUMMYFUNCTION("GOOGLETRANSLATE(A45069, ""de"", ""en"")"),"jaffe")</f>
        <v>jaffe</v>
      </c>
    </row>
    <row r="45070">
      <c r="A45070" s="1" t="s">
        <v>45069</v>
      </c>
      <c r="B45070" s="2" t="str">
        <f>IFERROR(__xludf.DUMMYFUNCTION("GOOGLETRANSLATE(A45070, ""de"", ""en"")"),"hürmüz")</f>
        <v>hürmüz</v>
      </c>
    </row>
    <row r="45071">
      <c r="A45071" s="1" t="s">
        <v>45070</v>
      </c>
      <c r="B45071" s="2" t="str">
        <f>IFERROR(__xludf.DUMMYFUNCTION("GOOGLETRANSLATE(A45071, ""de"", ""en"")"),"put in")</f>
        <v>put in</v>
      </c>
    </row>
    <row r="45072">
      <c r="A45072" s="1" t="s">
        <v>45071</v>
      </c>
      <c r="B45072" s="2" t="str">
        <f>IFERROR(__xludf.DUMMYFUNCTION("GOOGLETRANSLATE(A45072, ""de"", ""en"")"),"steeper")</f>
        <v>steeper</v>
      </c>
    </row>
    <row r="45073">
      <c r="A45073" s="1" t="s">
        <v>45072</v>
      </c>
      <c r="B45073" s="2" t="str">
        <f>IFERROR(__xludf.DUMMYFUNCTION("GOOGLETRANSLATE(A45073, ""de"", ""en"")"),"devastating")</f>
        <v>devastating</v>
      </c>
    </row>
    <row r="45074">
      <c r="A45074" s="1" t="s">
        <v>45073</v>
      </c>
      <c r="B45074" s="2" t="str">
        <f>IFERROR(__xludf.DUMMYFUNCTION("GOOGLETRANSLATE(A45074, ""de"", ""en"")"),"well")</f>
        <v>well</v>
      </c>
    </row>
    <row r="45075">
      <c r="A45075" s="1" t="s">
        <v>45074</v>
      </c>
      <c r="B45075" s="2" t="str">
        <f>IFERROR(__xludf.DUMMYFUNCTION("GOOGLETRANSLATE(A45075, ""de"", ""en"")"),"dispatch")</f>
        <v>dispatch</v>
      </c>
    </row>
    <row r="45076">
      <c r="A45076" s="1" t="s">
        <v>45075</v>
      </c>
      <c r="B45076" s="2" t="str">
        <f>IFERROR(__xludf.DUMMYFUNCTION("GOOGLETRANSLATE(A45076, ""de"", ""en"")"),"collared")</f>
        <v>collared</v>
      </c>
    </row>
    <row r="45077">
      <c r="A45077" s="1" t="s">
        <v>45076</v>
      </c>
      <c r="B45077" s="2" t="str">
        <f>IFERROR(__xludf.DUMMYFUNCTION("GOOGLETRANSLATE(A45077, ""de"", ""en"")"),"snatch away")</f>
        <v>snatch away</v>
      </c>
    </row>
    <row r="45078">
      <c r="A45078" s="1" t="s">
        <v>45077</v>
      </c>
      <c r="B45078" s="2" t="str">
        <f>IFERROR(__xludf.DUMMYFUNCTION("GOOGLETRANSLATE(A45078, ""de"", ""en"")"),"vivienne")</f>
        <v>vivienne</v>
      </c>
    </row>
    <row r="45079">
      <c r="A45079" s="1" t="s">
        <v>45078</v>
      </c>
      <c r="B45079" s="2" t="str">
        <f>IFERROR(__xludf.DUMMYFUNCTION("GOOGLETRANSLATE(A45079, ""de"", ""en"")"),"radio waves")</f>
        <v>radio waves</v>
      </c>
    </row>
    <row r="45080">
      <c r="A45080" s="1" t="s">
        <v>45079</v>
      </c>
      <c r="B45080" s="2" t="str">
        <f>IFERROR(__xludf.DUMMYFUNCTION("GOOGLETRANSLATE(A45080, ""de"", ""en"")"),"brainstem")</f>
        <v>brainstem</v>
      </c>
    </row>
    <row r="45081">
      <c r="A45081" s="1" t="s">
        <v>45080</v>
      </c>
      <c r="B45081" s="2" t="str">
        <f>IFERROR(__xludf.DUMMYFUNCTION("GOOGLETRANSLATE(A45081, ""de"", ""en"")"),"crying")</f>
        <v>crying</v>
      </c>
    </row>
    <row r="45082">
      <c r="A45082" s="1" t="s">
        <v>45081</v>
      </c>
      <c r="B45082" s="2" t="str">
        <f>IFERROR(__xludf.DUMMYFUNCTION("GOOGLETRANSLATE(A45082, ""de"", ""en"")"),"gisele")</f>
        <v>gisele</v>
      </c>
    </row>
    <row r="45083">
      <c r="A45083" s="1" t="s">
        <v>45082</v>
      </c>
      <c r="B45083" s="2" t="str">
        <f>IFERROR(__xludf.DUMMYFUNCTION("GOOGLETRANSLATE(A45083, ""de"", ""en"")"),"implosion")</f>
        <v>implosion</v>
      </c>
    </row>
    <row r="45084">
      <c r="A45084" s="1" t="s">
        <v>45083</v>
      </c>
      <c r="B45084" s="2" t="str">
        <f>IFERROR(__xludf.DUMMYFUNCTION("GOOGLETRANSLATE(A45084, ""de"", ""en"")"),"lax")</f>
        <v>lax</v>
      </c>
    </row>
    <row r="45085">
      <c r="A45085" s="1" t="s">
        <v>45084</v>
      </c>
      <c r="B45085" s="2" t="str">
        <f>IFERROR(__xludf.DUMMYFUNCTION("GOOGLETRANSLATE(A45085, ""de"", ""en"")"),"whisked")</f>
        <v>whisked</v>
      </c>
    </row>
    <row r="45086">
      <c r="A45086" s="1" t="s">
        <v>45085</v>
      </c>
      <c r="B45086" s="2" t="str">
        <f>IFERROR(__xludf.DUMMYFUNCTION("GOOGLETRANSLATE(A45086, ""de"", ""en"")"),"tender")</f>
        <v>tender</v>
      </c>
    </row>
    <row r="45087">
      <c r="A45087" s="1" t="s">
        <v>45086</v>
      </c>
      <c r="B45087" s="2" t="str">
        <f>IFERROR(__xludf.DUMMYFUNCTION("GOOGLETRANSLATE(A45087, ""de"", ""en"")"),"cunning")</f>
        <v>cunning</v>
      </c>
    </row>
    <row r="45088">
      <c r="A45088" s="1" t="s">
        <v>45087</v>
      </c>
      <c r="B45088" s="2" t="str">
        <f>IFERROR(__xludf.DUMMYFUNCTION("GOOGLETRANSLATE(A45088, ""de"", ""en"")"),"mobile phones")</f>
        <v>mobile phones</v>
      </c>
    </row>
    <row r="45089">
      <c r="A45089" s="1" t="s">
        <v>45088</v>
      </c>
      <c r="B45089" s="2" t="str">
        <f>IFERROR(__xludf.DUMMYFUNCTION("GOOGLETRANSLATE(A45089, ""de"", ""en"")"),"traffic")</f>
        <v>traffic</v>
      </c>
    </row>
    <row r="45090">
      <c r="A45090" s="1" t="s">
        <v>45089</v>
      </c>
      <c r="B45090" s="2" t="str">
        <f>IFERROR(__xludf.DUMMYFUNCTION("GOOGLETRANSLATE(A45090, ""de"", ""en"")"),"sneak in")</f>
        <v>sneak in</v>
      </c>
    </row>
    <row r="45091">
      <c r="A45091" s="1" t="s">
        <v>45090</v>
      </c>
      <c r="B45091" s="2" t="str">
        <f>IFERROR(__xludf.DUMMYFUNCTION("GOOGLETRANSLATE(A45091, ""de"", ""en"")"),"perpetrator")</f>
        <v>perpetrator</v>
      </c>
    </row>
    <row r="45092">
      <c r="A45092" s="1" t="s">
        <v>45091</v>
      </c>
      <c r="B45092" s="2" t="str">
        <f>IFERROR(__xludf.DUMMYFUNCTION("GOOGLETRANSLATE(A45092, ""de"", ""en"")"),"overwhelmed")</f>
        <v>overwhelmed</v>
      </c>
    </row>
    <row r="45093">
      <c r="A45093" s="1" t="s">
        <v>45092</v>
      </c>
      <c r="B45093" s="2" t="str">
        <f>IFERROR(__xludf.DUMMYFUNCTION("GOOGLETRANSLATE(A45093, ""de"", ""en"")"),"circumstantial evidence")</f>
        <v>circumstantial evidence</v>
      </c>
    </row>
    <row r="45094">
      <c r="A45094" s="1" t="s">
        <v>45093</v>
      </c>
      <c r="B45094" s="2" t="str">
        <f>IFERROR(__xludf.DUMMYFUNCTION("GOOGLETRANSLATE(A45094, ""de"", ""en"")"),"peed")</f>
        <v>peed</v>
      </c>
    </row>
    <row r="45095">
      <c r="A45095" s="1" t="s">
        <v>45094</v>
      </c>
      <c r="B45095" s="2" t="str">
        <f>IFERROR(__xludf.DUMMYFUNCTION("GOOGLETRANSLATE(A45095, ""de"", ""en"")"),"craddock")</f>
        <v>craddock</v>
      </c>
    </row>
    <row r="45096">
      <c r="A45096" s="1" t="s">
        <v>45095</v>
      </c>
      <c r="B45096" s="2" t="str">
        <f>IFERROR(__xludf.DUMMYFUNCTION("GOOGLETRANSLATE(A45096, ""de"", ""en"")"),"most important")</f>
        <v>most important</v>
      </c>
    </row>
    <row r="45097">
      <c r="A45097" s="1" t="s">
        <v>45096</v>
      </c>
      <c r="B45097" s="2" t="str">
        <f>IFERROR(__xludf.DUMMYFUNCTION("GOOGLETRANSLATE(A45097, ""de"", ""en"")"),"tempting")</f>
        <v>tempting</v>
      </c>
    </row>
    <row r="45098">
      <c r="A45098" s="1" t="s">
        <v>45097</v>
      </c>
      <c r="B45098" s="2" t="str">
        <f>IFERROR(__xludf.DUMMYFUNCTION("GOOGLETRANSLATE(A45098, ""de"", ""en"")"),"Welsh")</f>
        <v>Welsh</v>
      </c>
    </row>
    <row r="45099">
      <c r="A45099" s="1" t="s">
        <v>45098</v>
      </c>
      <c r="B45099" s="2" t="str">
        <f>IFERROR(__xludf.DUMMYFUNCTION("GOOGLETRANSLATE(A45099, ""de"", ""en"")"),"configuration")</f>
        <v>configuration</v>
      </c>
    </row>
    <row r="45100">
      <c r="A45100" s="1" t="s">
        <v>45099</v>
      </c>
      <c r="B45100" s="2" t="str">
        <f>IFERROR(__xludf.DUMMYFUNCTION("GOOGLETRANSLATE(A45100, ""de"", ""en"")"),"favored")</f>
        <v>favored</v>
      </c>
    </row>
    <row r="45101">
      <c r="A45101" s="1" t="s">
        <v>45100</v>
      </c>
      <c r="B45101" s="2" t="str">
        <f>IFERROR(__xludf.DUMMYFUNCTION("GOOGLETRANSLATE(A45101, ""de"", ""en"")"),"shown")</f>
        <v>shown</v>
      </c>
    </row>
    <row r="45102">
      <c r="A45102" s="1" t="s">
        <v>45101</v>
      </c>
      <c r="B45102" s="2" t="str">
        <f>IFERROR(__xludf.DUMMYFUNCTION("GOOGLETRANSLATE(A45102, ""de"", ""en"")"),"slumber")</f>
        <v>slumber</v>
      </c>
    </row>
    <row r="45103">
      <c r="A45103" s="1" t="s">
        <v>45102</v>
      </c>
      <c r="B45103" s="2" t="str">
        <f>IFERROR(__xludf.DUMMYFUNCTION("GOOGLETRANSLATE(A45103, ""de"", ""en"")"),"college")</f>
        <v>college</v>
      </c>
    </row>
    <row r="45104">
      <c r="A45104" s="1" t="s">
        <v>45103</v>
      </c>
      <c r="B45104" s="2" t="str">
        <f>IFERROR(__xludf.DUMMYFUNCTION("GOOGLETRANSLATE(A45104, ""de"", ""en"")"),"bukowski")</f>
        <v>bukowski</v>
      </c>
    </row>
    <row r="45105">
      <c r="A45105" s="1" t="s">
        <v>45104</v>
      </c>
      <c r="B45105" s="2" t="str">
        <f>IFERROR(__xludf.DUMMYFUNCTION("GOOGLETRANSLATE(A45105, ""de"", ""en"")"),"frivolous")</f>
        <v>frivolous</v>
      </c>
    </row>
    <row r="45106">
      <c r="A45106" s="1" t="s">
        <v>45105</v>
      </c>
      <c r="B45106" s="2" t="str">
        <f>IFERROR(__xludf.DUMMYFUNCTION("GOOGLETRANSLATE(A45106, ""de"", ""en"")"),"playing cards")</f>
        <v>playing cards</v>
      </c>
    </row>
    <row r="45107">
      <c r="A45107" s="1" t="s">
        <v>45106</v>
      </c>
      <c r="B45107" s="2" t="str">
        <f>IFERROR(__xludf.DUMMYFUNCTION("GOOGLETRANSLATE(A45107, ""de"", ""en"")"),"oils")</f>
        <v>oils</v>
      </c>
    </row>
    <row r="45108">
      <c r="A45108" s="1" t="s">
        <v>45107</v>
      </c>
      <c r="B45108" s="2" t="str">
        <f>IFERROR(__xludf.DUMMYFUNCTION("GOOGLETRANSLATE(A45108, ""de"", ""en"")"),"Hungarian")</f>
        <v>Hungarian</v>
      </c>
    </row>
    <row r="45109">
      <c r="A45109" s="1" t="s">
        <v>45108</v>
      </c>
      <c r="B45109" s="2" t="str">
        <f>IFERROR(__xludf.DUMMYFUNCTION("GOOGLETRANSLATE(A45109, ""de"", ""en"")"),"interstellar")</f>
        <v>interstellar</v>
      </c>
    </row>
    <row r="45110">
      <c r="A45110" s="1" t="s">
        <v>45109</v>
      </c>
      <c r="B45110" s="2" t="str">
        <f>IFERROR(__xludf.DUMMYFUNCTION("GOOGLETRANSLATE(A45110, ""de"", ""en"")"),"penal system")</f>
        <v>penal system</v>
      </c>
    </row>
    <row r="45111">
      <c r="A45111" s="1" t="s">
        <v>45110</v>
      </c>
      <c r="B45111" s="2" t="str">
        <f>IFERROR(__xludf.DUMMYFUNCTION("GOOGLETRANSLATE(A45111, ""de"", ""en"")"),"potentially")</f>
        <v>potentially</v>
      </c>
    </row>
    <row r="45112">
      <c r="A45112" s="1" t="s">
        <v>45111</v>
      </c>
      <c r="B45112" s="2" t="str">
        <f>IFERROR(__xludf.DUMMYFUNCTION("GOOGLETRANSLATE(A45112, ""de"", ""en"")"),"scout troop")</f>
        <v>scout troop</v>
      </c>
    </row>
    <row r="45113">
      <c r="A45113" s="1" t="s">
        <v>45112</v>
      </c>
      <c r="B45113" s="2" t="str">
        <f>IFERROR(__xludf.DUMMYFUNCTION("GOOGLETRANSLATE(A45113, ""de"", ""en"")"),"natã")</f>
        <v>natã</v>
      </c>
    </row>
    <row r="45114">
      <c r="A45114" s="1" t="s">
        <v>45113</v>
      </c>
      <c r="B45114" s="2" t="str">
        <f>IFERROR(__xludf.DUMMYFUNCTION("GOOGLETRANSLATE(A45114, ""de"", ""en"")"),"sponges")</f>
        <v>sponges</v>
      </c>
    </row>
    <row r="45115">
      <c r="A45115" s="1" t="s">
        <v>45114</v>
      </c>
      <c r="B45115" s="2" t="str">
        <f>IFERROR(__xludf.DUMMYFUNCTION("GOOGLETRANSLATE(A45115, ""de"", ""en"")"),"teach")</f>
        <v>teach</v>
      </c>
    </row>
    <row r="45116">
      <c r="A45116" s="1" t="s">
        <v>45115</v>
      </c>
      <c r="B45116" s="2" t="str">
        <f>IFERROR(__xludf.DUMMYFUNCTION("GOOGLETRANSLATE(A45116, ""de"", ""en"")"),"favorite part")</f>
        <v>favorite part</v>
      </c>
    </row>
    <row r="45117">
      <c r="A45117" s="1" t="s">
        <v>45116</v>
      </c>
      <c r="B45117" s="2" t="str">
        <f>IFERROR(__xludf.DUMMYFUNCTION("GOOGLETRANSLATE(A45117, ""de"", ""en"")"),"portable")</f>
        <v>portable</v>
      </c>
    </row>
    <row r="45118">
      <c r="A45118" s="1" t="s">
        <v>45117</v>
      </c>
      <c r="B45118" s="2" t="str">
        <f>IFERROR(__xludf.DUMMYFUNCTION("GOOGLETRANSLATE(A45118, ""de"", ""en"")"),"polluted")</f>
        <v>polluted</v>
      </c>
    </row>
    <row r="45119">
      <c r="A45119" s="1" t="s">
        <v>45118</v>
      </c>
      <c r="B45119" s="2" t="str">
        <f>IFERROR(__xludf.DUMMYFUNCTION("GOOGLETRANSLATE(A45119, ""de"", ""en"")"),"precipitation")</f>
        <v>precipitation</v>
      </c>
    </row>
    <row r="45120">
      <c r="A45120" s="1" t="s">
        <v>45119</v>
      </c>
      <c r="B45120" s="2" t="str">
        <f>IFERROR(__xludf.DUMMYFUNCTION("GOOGLETRANSLATE(A45120, ""de"", ""en"")"),"on the")</f>
        <v>on the</v>
      </c>
    </row>
    <row r="45121">
      <c r="A45121" s="1" t="s">
        <v>45120</v>
      </c>
      <c r="B45121" s="2" t="str">
        <f>IFERROR(__xludf.DUMMYFUNCTION("GOOGLETRANSLATE(A45121, ""de"", ""en"")"),"divinity")</f>
        <v>divinity</v>
      </c>
    </row>
    <row r="45122">
      <c r="A45122" s="1" t="s">
        <v>45121</v>
      </c>
      <c r="B45122" s="2" t="str">
        <f>IFERROR(__xludf.DUMMYFUNCTION("GOOGLETRANSLATE(A45122, ""de"", ""en"")"),"dereks")</f>
        <v>dereks</v>
      </c>
    </row>
    <row r="45123">
      <c r="A45123" s="1" t="s">
        <v>45122</v>
      </c>
      <c r="B45123" s="2" t="str">
        <f>IFERROR(__xludf.DUMMYFUNCTION("GOOGLETRANSLATE(A45123, ""de"", ""en"")"),"baptist")</f>
        <v>baptist</v>
      </c>
    </row>
    <row r="45124">
      <c r="A45124" s="1" t="s">
        <v>45123</v>
      </c>
      <c r="B45124" s="2" t="str">
        <f>IFERROR(__xludf.DUMMYFUNCTION("GOOGLETRANSLATE(A45124, ""de"", ""en"")"),"warp field")</f>
        <v>warp field</v>
      </c>
    </row>
    <row r="45125">
      <c r="A45125" s="1" t="s">
        <v>45124</v>
      </c>
      <c r="B45125" s="2" t="str">
        <f>IFERROR(__xludf.DUMMYFUNCTION("GOOGLETRANSLATE(A45125, ""de"", ""en"")"),"Protestant")</f>
        <v>Protestant</v>
      </c>
    </row>
    <row r="45126">
      <c r="A45126" s="1" t="s">
        <v>45125</v>
      </c>
      <c r="B45126" s="2" t="str">
        <f>IFERROR(__xludf.DUMMYFUNCTION("GOOGLETRANSLATE(A45126, ""de"", ""en"")"),"tangible")</f>
        <v>tangible</v>
      </c>
    </row>
    <row r="45127">
      <c r="A45127" s="1" t="s">
        <v>45126</v>
      </c>
      <c r="B45127" s="2" t="str">
        <f>IFERROR(__xludf.DUMMYFUNCTION("GOOGLETRANSLATE(A45127, ""de"", ""en"")"),"day-day")</f>
        <v>day-day</v>
      </c>
    </row>
    <row r="45128">
      <c r="A45128" s="1" t="s">
        <v>45127</v>
      </c>
      <c r="B45128" s="2" t="str">
        <f>IFERROR(__xludf.DUMMYFUNCTION("GOOGLETRANSLATE(A45128, ""de"", ""en"")"),"harbinger")</f>
        <v>harbinger</v>
      </c>
    </row>
    <row r="45129">
      <c r="A45129" s="1" t="s">
        <v>45128</v>
      </c>
      <c r="B45129" s="2" t="str">
        <f>IFERROR(__xludf.DUMMYFUNCTION("GOOGLETRANSLATE(A45129, ""de"", ""en"")"),"dawkins")</f>
        <v>dawkins</v>
      </c>
    </row>
    <row r="45130">
      <c r="A45130" s="1" t="s">
        <v>45129</v>
      </c>
      <c r="B45130" s="2" t="str">
        <f>IFERROR(__xludf.DUMMYFUNCTION("GOOGLETRANSLATE(A45130, ""de"", ""en"")"),"years")</f>
        <v>years</v>
      </c>
    </row>
    <row r="45131">
      <c r="A45131" s="1" t="s">
        <v>45130</v>
      </c>
      <c r="B45131" s="2" t="str">
        <f>IFERROR(__xludf.DUMMYFUNCTION("GOOGLETRANSLATE(A45131, ""de"", ""en"")"),"anno")</f>
        <v>anno</v>
      </c>
    </row>
    <row r="45132">
      <c r="A45132" s="1" t="s">
        <v>45131</v>
      </c>
      <c r="B45132" s="2" t="str">
        <f>IFERROR(__xludf.DUMMYFUNCTION("GOOGLETRANSLATE(A45132, ""de"", ""en"")"),"smear")</f>
        <v>smear</v>
      </c>
    </row>
    <row r="45133">
      <c r="A45133" s="1" t="s">
        <v>45132</v>
      </c>
      <c r="B45133" s="2" t="str">
        <f>IFERROR(__xludf.DUMMYFUNCTION("GOOGLETRANSLATE(A45133, ""de"", ""en"")"),"robbed")</f>
        <v>robbed</v>
      </c>
    </row>
    <row r="45134">
      <c r="A45134" s="1" t="s">
        <v>45133</v>
      </c>
      <c r="B45134" s="2" t="str">
        <f>IFERROR(__xludf.DUMMYFUNCTION("GOOGLETRANSLATE(A45134, ""de"", ""en"")"),"chubby")</f>
        <v>chubby</v>
      </c>
    </row>
    <row r="45135">
      <c r="A45135" s="1" t="s">
        <v>45134</v>
      </c>
      <c r="B45135" s="2" t="str">
        <f>IFERROR(__xludf.DUMMYFUNCTION("GOOGLETRANSLATE(A45135, ""de"", ""en"")"),"heroic")</f>
        <v>heroic</v>
      </c>
    </row>
    <row r="45136">
      <c r="A45136" s="1" t="s">
        <v>45135</v>
      </c>
      <c r="B45136" s="2" t="str">
        <f>IFERROR(__xludf.DUMMYFUNCTION("GOOGLETRANSLATE(A45136, ""de"", ""en"")"),"attribute")</f>
        <v>attribute</v>
      </c>
    </row>
    <row r="45137">
      <c r="A45137" s="1" t="s">
        <v>45136</v>
      </c>
      <c r="B45137" s="2" t="str">
        <f>IFERROR(__xludf.DUMMYFUNCTION("GOOGLETRANSLATE(A45137, ""de"", ""en"")"),"patrolman")</f>
        <v>patrolman</v>
      </c>
    </row>
    <row r="45138">
      <c r="A45138" s="1" t="s">
        <v>45137</v>
      </c>
      <c r="B45138" s="2" t="str">
        <f>IFERROR(__xludf.DUMMYFUNCTION("GOOGLETRANSLATE(A45138, ""de"", ""en"")"),"served")</f>
        <v>served</v>
      </c>
    </row>
    <row r="45139">
      <c r="A45139" s="1" t="s">
        <v>45138</v>
      </c>
      <c r="B45139" s="2" t="str">
        <f>IFERROR(__xludf.DUMMYFUNCTION("GOOGLETRANSLATE(A45139, ""de"", ""en"")"),"johansen")</f>
        <v>johansen</v>
      </c>
    </row>
    <row r="45140">
      <c r="A45140" s="1" t="s">
        <v>45139</v>
      </c>
      <c r="B45140" s="2" t="str">
        <f>IFERROR(__xludf.DUMMYFUNCTION("GOOGLETRANSLATE(A45140, ""de"", ""en"")"),"raises")</f>
        <v>raises</v>
      </c>
    </row>
    <row r="45141">
      <c r="A45141" s="1" t="s">
        <v>45140</v>
      </c>
      <c r="B45141" s="2" t="str">
        <f>IFERROR(__xludf.DUMMYFUNCTION("GOOGLETRANSLATE(A45141, ""de"", ""en"")"),"strangulation")</f>
        <v>strangulation</v>
      </c>
    </row>
    <row r="45142">
      <c r="A45142" s="1" t="s">
        <v>45141</v>
      </c>
      <c r="B45142" s="2" t="str">
        <f>IFERROR(__xludf.DUMMYFUNCTION("GOOGLETRANSLATE(A45142, ""de"", ""en"")"),"hope1403")</f>
        <v>hope1403</v>
      </c>
    </row>
    <row r="45143">
      <c r="A45143" s="1" t="s">
        <v>45142</v>
      </c>
      <c r="B45143" s="2" t="str">
        <f>IFERROR(__xludf.DUMMYFUNCTION("GOOGLETRANSLATE(A45143, ""de"", ""en"")"),"special agent")</f>
        <v>special agent</v>
      </c>
    </row>
    <row r="45144">
      <c r="A45144" s="1" t="s">
        <v>45143</v>
      </c>
      <c r="B45144" s="2" t="str">
        <f>IFERROR(__xludf.DUMMYFUNCTION("GOOGLETRANSLATE(A45144, ""de"", ""en"")"),"haltingly")</f>
        <v>haltingly</v>
      </c>
    </row>
    <row r="45145">
      <c r="A45145" s="1" t="s">
        <v>45144</v>
      </c>
      <c r="B45145" s="2" t="str">
        <f>IFERROR(__xludf.DUMMYFUNCTION("GOOGLETRANSLATE(A45145, ""de"", ""en"")"),"bunker")</f>
        <v>bunker</v>
      </c>
    </row>
    <row r="45146">
      <c r="A45146" s="1" t="s">
        <v>45145</v>
      </c>
      <c r="B45146" s="2" t="str">
        <f>IFERROR(__xludf.DUMMYFUNCTION("GOOGLETRANSLATE(A45146, ""de"", ""en"")"),"controlled")</f>
        <v>controlled</v>
      </c>
    </row>
    <row r="45147">
      <c r="A45147" s="1" t="s">
        <v>45146</v>
      </c>
      <c r="B45147" s="2" t="str">
        <f>IFERROR(__xludf.DUMMYFUNCTION("GOOGLETRANSLATE(A45147, ""de"", ""en"")"),"puzzle piece")</f>
        <v>puzzle piece</v>
      </c>
    </row>
    <row r="45148">
      <c r="A45148" s="1" t="s">
        <v>45147</v>
      </c>
      <c r="B45148" s="2" t="str">
        <f>IFERROR(__xludf.DUMMYFUNCTION("GOOGLETRANSLATE(A45148, ""de"", ""en"")"),"curlers")</f>
        <v>curlers</v>
      </c>
    </row>
    <row r="45149">
      <c r="A45149" s="1" t="s">
        <v>45148</v>
      </c>
      <c r="B45149" s="2" t="str">
        <f>IFERROR(__xludf.DUMMYFUNCTION("GOOGLETRANSLATE(A45149, ""de"", ""en"")"),"more tender")</f>
        <v>more tender</v>
      </c>
    </row>
    <row r="45150">
      <c r="A45150" s="1" t="s">
        <v>45149</v>
      </c>
      <c r="B45150" s="2" t="str">
        <f>IFERROR(__xludf.DUMMYFUNCTION("GOOGLETRANSLATE(A45150, ""de"", ""en"")"),"constants")</f>
        <v>constants</v>
      </c>
    </row>
    <row r="45151">
      <c r="A45151" s="1" t="s">
        <v>45150</v>
      </c>
      <c r="B45151" s="2" t="str">
        <f>IFERROR(__xludf.DUMMYFUNCTION("GOOGLETRANSLATE(A45151, ""de"", ""en"")"),"fluctuations")</f>
        <v>fluctuations</v>
      </c>
    </row>
    <row r="45152">
      <c r="A45152" s="1" t="s">
        <v>45151</v>
      </c>
      <c r="B45152" s="2" t="str">
        <f>IFERROR(__xludf.DUMMYFUNCTION("GOOGLETRANSLATE(A45152, ""de"", ""en"")"),"invasion")</f>
        <v>invasion</v>
      </c>
    </row>
    <row r="45153">
      <c r="A45153" s="1" t="s">
        <v>45152</v>
      </c>
      <c r="B45153" s="2" t="str">
        <f>IFERROR(__xludf.DUMMYFUNCTION("GOOGLETRANSLATE(A45153, ""de"", ""en"")"),"top form")</f>
        <v>top form</v>
      </c>
    </row>
    <row r="45154">
      <c r="A45154" s="1" t="s">
        <v>45153</v>
      </c>
      <c r="B45154" s="2" t="str">
        <f>IFERROR(__xludf.DUMMYFUNCTION("GOOGLETRANSLATE(A45154, ""de"", ""en"")"),"unsatisfactory")</f>
        <v>unsatisfactory</v>
      </c>
    </row>
    <row r="45155">
      <c r="A45155" s="1" t="s">
        <v>45154</v>
      </c>
      <c r="B45155" s="2" t="str">
        <f>IFERROR(__xludf.DUMMYFUNCTION("GOOGLETRANSLATE(A45155, ""de"", ""en"")"),"bubbles")</f>
        <v>bubbles</v>
      </c>
    </row>
    <row r="45156">
      <c r="A45156" s="1" t="s">
        <v>45155</v>
      </c>
      <c r="B45156" s="2" t="str">
        <f>IFERROR(__xludf.DUMMYFUNCTION("GOOGLETRANSLATE(A45156, ""de"", ""en"")"),"sorry")</f>
        <v>sorry</v>
      </c>
    </row>
    <row r="45157">
      <c r="A45157" s="1" t="s">
        <v>45156</v>
      </c>
      <c r="B45157" s="2" t="str">
        <f>IFERROR(__xludf.DUMMYFUNCTION("GOOGLETRANSLATE(A45157, ""de"", ""en"")"),"cyanide")</f>
        <v>cyanide</v>
      </c>
    </row>
    <row r="45158">
      <c r="A45158" s="1" t="s">
        <v>45157</v>
      </c>
      <c r="B45158" s="2" t="str">
        <f>IFERROR(__xludf.DUMMYFUNCTION("GOOGLETRANSLATE(A45158, ""de"", ""en"")"),"dunya")</f>
        <v>dunya</v>
      </c>
    </row>
    <row r="45159">
      <c r="A45159" s="1" t="s">
        <v>45158</v>
      </c>
      <c r="B45159" s="2" t="str">
        <f>IFERROR(__xludf.DUMMYFUNCTION("GOOGLETRANSLATE(A45159, ""de"", ""en"")"),"sniffer dogs")</f>
        <v>sniffer dogs</v>
      </c>
    </row>
    <row r="45160">
      <c r="A45160" s="1" t="s">
        <v>45159</v>
      </c>
      <c r="B45160" s="2" t="str">
        <f>IFERROR(__xludf.DUMMYFUNCTION("GOOGLETRANSLATE(A45160, ""de"", ""en"")"),"escaped")</f>
        <v>escaped</v>
      </c>
    </row>
    <row r="45161">
      <c r="A45161" s="1" t="s">
        <v>45160</v>
      </c>
      <c r="B45161" s="2" t="str">
        <f>IFERROR(__xludf.DUMMYFUNCTION("GOOGLETRANSLATE(A45161, ""de"", ""en"")"),"sosa")</f>
        <v>sosa</v>
      </c>
    </row>
    <row r="45162">
      <c r="A45162" s="1" t="s">
        <v>45161</v>
      </c>
      <c r="B45162" s="2" t="str">
        <f>IFERROR(__xludf.DUMMYFUNCTION("GOOGLETRANSLATE(A45162, ""de"", ""en"")"),"Obergruppenführer")</f>
        <v>Obergruppenführer</v>
      </c>
    </row>
    <row r="45163">
      <c r="A45163" s="1" t="s">
        <v>45162</v>
      </c>
      <c r="B45163" s="2" t="str">
        <f>IFERROR(__xludf.DUMMYFUNCTION("GOOGLETRANSLATE(A45163, ""de"", ""en"")"),"hangs up")</f>
        <v>hangs up</v>
      </c>
    </row>
    <row r="45164">
      <c r="A45164" s="1" t="s">
        <v>45163</v>
      </c>
      <c r="B45164" s="2" t="str">
        <f>IFERROR(__xludf.DUMMYFUNCTION("GOOGLETRANSLATE(A45164, ""de"", ""en"")"),"mirandas")</f>
        <v>mirandas</v>
      </c>
    </row>
    <row r="45165">
      <c r="A45165" s="1" t="s">
        <v>45164</v>
      </c>
      <c r="B45165" s="2" t="str">
        <f>IFERROR(__xludf.DUMMYFUNCTION("GOOGLETRANSLATE(A45165, ""de"", ""en"")"),"karloff")</f>
        <v>karloff</v>
      </c>
    </row>
    <row r="45166">
      <c r="A45166" s="1" t="s">
        <v>45165</v>
      </c>
      <c r="B45166" s="2" t="str">
        <f>IFERROR(__xludf.DUMMYFUNCTION("GOOGLETRANSLATE(A45166, ""de"", ""en"")"),"torn")</f>
        <v>torn</v>
      </c>
    </row>
    <row r="45167">
      <c r="A45167" s="1" t="s">
        <v>45166</v>
      </c>
      <c r="B45167" s="2" t="str">
        <f>IFERROR(__xludf.DUMMYFUNCTION("GOOGLETRANSLATE(A45167, ""de"", ""en"")"),"processed")</f>
        <v>processed</v>
      </c>
    </row>
    <row r="45168">
      <c r="A45168" s="1" t="s">
        <v>45167</v>
      </c>
      <c r="B45168" s="2" t="str">
        <f>IFERROR(__xludf.DUMMYFUNCTION("GOOGLETRANSLATE(A45168, ""de"", ""en"")"),"trade minister")</f>
        <v>trade minister</v>
      </c>
    </row>
    <row r="45169">
      <c r="A45169" s="1" t="s">
        <v>45168</v>
      </c>
      <c r="B45169" s="2" t="str">
        <f>IFERROR(__xludf.DUMMYFUNCTION("GOOGLETRANSLATE(A45169, ""de"", ""en"")"),"12 year old")</f>
        <v>12 year old</v>
      </c>
    </row>
    <row r="45170">
      <c r="A45170" s="1" t="s">
        <v>45169</v>
      </c>
      <c r="B45170" s="2" t="str">
        <f>IFERROR(__xludf.DUMMYFUNCTION("GOOGLETRANSLATE(A45170, ""de"", ""en"")"),"rot")</f>
        <v>rot</v>
      </c>
    </row>
    <row r="45171">
      <c r="A45171" s="1" t="s">
        <v>45170</v>
      </c>
      <c r="B45171" s="2" t="str">
        <f>IFERROR(__xludf.DUMMYFUNCTION("GOOGLETRANSLATE(A45171, ""de"", ""en"")"),"nirrti")</f>
        <v>nirrti</v>
      </c>
    </row>
    <row r="45172">
      <c r="A45172" s="1" t="s">
        <v>45171</v>
      </c>
      <c r="B45172" s="2" t="str">
        <f>IFERROR(__xludf.DUMMYFUNCTION("GOOGLETRANSLATE(A45172, ""de"", ""en"")"),"storage")</f>
        <v>storage</v>
      </c>
    </row>
    <row r="45173">
      <c r="A45173" s="1" t="s">
        <v>45172</v>
      </c>
      <c r="B45173" s="2" t="str">
        <f>IFERROR(__xludf.DUMMYFUNCTION("GOOGLETRANSLATE(A45173, ""de"", ""en"")"),"5th")</f>
        <v>5th</v>
      </c>
    </row>
    <row r="45174">
      <c r="A45174" s="1" t="s">
        <v>45173</v>
      </c>
      <c r="B45174" s="2" t="str">
        <f>IFERROR(__xludf.DUMMYFUNCTION("GOOGLETRANSLATE(A45174, ""de"", ""en"")"),"duchemin")</f>
        <v>duchemin</v>
      </c>
    </row>
    <row r="45175">
      <c r="A45175" s="1" t="s">
        <v>45174</v>
      </c>
      <c r="B45175" s="2" t="str">
        <f>IFERROR(__xludf.DUMMYFUNCTION("GOOGLETRANSLATE(A45175, ""de"", ""en"")"),"immortalized")</f>
        <v>immortalized</v>
      </c>
    </row>
    <row r="45176">
      <c r="A45176" s="1" t="s">
        <v>45175</v>
      </c>
      <c r="B45176" s="2" t="str">
        <f>IFERROR(__xludf.DUMMYFUNCTION("GOOGLETRANSLATE(A45176, ""de"", ""en"")"),"cake")</f>
        <v>cake</v>
      </c>
    </row>
    <row r="45177">
      <c r="A45177" s="1" t="s">
        <v>45176</v>
      </c>
      <c r="B45177" s="2" t="str">
        <f>IFERROR(__xludf.DUMMYFUNCTION("GOOGLETRANSLATE(A45177, ""de"", ""en"")"),"more subdued")</f>
        <v>more subdued</v>
      </c>
    </row>
    <row r="45178">
      <c r="A45178" s="1" t="s">
        <v>45177</v>
      </c>
      <c r="B45178" s="2" t="str">
        <f>IFERROR(__xludf.DUMMYFUNCTION("GOOGLETRANSLATE(A45178, ""de"", ""en"")"),"woman")</f>
        <v>woman</v>
      </c>
    </row>
    <row r="45179">
      <c r="A45179" s="1" t="s">
        <v>45178</v>
      </c>
      <c r="B45179" s="2" t="str">
        <f>IFERROR(__xludf.DUMMYFUNCTION("GOOGLETRANSLATE(A45179, ""de"", ""en"")"),"s02e03")</f>
        <v>s02e03</v>
      </c>
    </row>
    <row r="45180">
      <c r="A45180" s="1" t="s">
        <v>45179</v>
      </c>
      <c r="B45180" s="2" t="str">
        <f>IFERROR(__xludf.DUMMYFUNCTION("GOOGLETRANSLATE(A45180, ""de"", ""en"")"),"sheiks")</f>
        <v>sheiks</v>
      </c>
    </row>
    <row r="45181">
      <c r="A45181" s="1" t="s">
        <v>45180</v>
      </c>
      <c r="B45181" s="2" t="str">
        <f>IFERROR(__xludf.DUMMYFUNCTION("GOOGLETRANSLATE(A45181, ""de"", ""en"")"),"beckwith")</f>
        <v>beckwith</v>
      </c>
    </row>
    <row r="45182">
      <c r="A45182" s="1" t="s">
        <v>45181</v>
      </c>
      <c r="B45182" s="2" t="str">
        <f>IFERROR(__xludf.DUMMYFUNCTION("GOOGLETRANSLATE(A45182, ""de"", ""en"")"),"exchange of blows")</f>
        <v>exchange of blows</v>
      </c>
    </row>
    <row r="45183">
      <c r="A45183" s="1" t="s">
        <v>45182</v>
      </c>
      <c r="B45183" s="2" t="str">
        <f>IFERROR(__xludf.DUMMYFUNCTION("GOOGLETRANSLATE(A45183, ""de"", ""en"")"),"prepared")</f>
        <v>prepared</v>
      </c>
    </row>
    <row r="45184">
      <c r="A45184" s="1" t="s">
        <v>45183</v>
      </c>
      <c r="B45184" s="2" t="str">
        <f>IFERROR(__xludf.DUMMYFUNCTION("GOOGLETRANSLATE(A45184, ""de"", ""en"")"),"sheng")</f>
        <v>sheng</v>
      </c>
    </row>
    <row r="45185">
      <c r="A45185" s="1" t="s">
        <v>45184</v>
      </c>
      <c r="B45185" s="2" t="str">
        <f>IFERROR(__xludf.DUMMYFUNCTION("GOOGLETRANSLATE(A45185, ""de"", ""en"")"),"response time")</f>
        <v>response time</v>
      </c>
    </row>
    <row r="45186">
      <c r="A45186" s="1" t="s">
        <v>45185</v>
      </c>
      <c r="B45186" s="2" t="str">
        <f>IFERROR(__xludf.DUMMYFUNCTION("GOOGLETRANSLATE(A45186, ""de"", ""en"")"),"areas")</f>
        <v>areas</v>
      </c>
    </row>
    <row r="45187">
      <c r="A45187" s="1" t="s">
        <v>45186</v>
      </c>
      <c r="B45187" s="2" t="str">
        <f>IFERROR(__xludf.DUMMYFUNCTION("GOOGLETRANSLATE(A45187, ""de"", ""en"")"),"statutes")</f>
        <v>statutes</v>
      </c>
    </row>
    <row r="45188">
      <c r="A45188" s="1" t="s">
        <v>45187</v>
      </c>
      <c r="B45188" s="2" t="str">
        <f>IFERROR(__xludf.DUMMYFUNCTION("GOOGLETRANSLATE(A45188, ""de"", ""en"")"),"Caesar")</f>
        <v>Caesar</v>
      </c>
    </row>
    <row r="45189">
      <c r="A45189" s="1" t="s">
        <v>45188</v>
      </c>
      <c r="B45189" s="2" t="str">
        <f>IFERROR(__xludf.DUMMYFUNCTION("GOOGLETRANSLATE(A45189, ""de"", ""en"")"),"long-time")</f>
        <v>long-time</v>
      </c>
    </row>
    <row r="45190">
      <c r="A45190" s="1" t="s">
        <v>45189</v>
      </c>
      <c r="B45190" s="2" t="str">
        <f>IFERROR(__xludf.DUMMYFUNCTION("GOOGLETRANSLATE(A45190, ""de"", ""en"")"),"prolet")</f>
        <v>prolet</v>
      </c>
    </row>
    <row r="45191">
      <c r="A45191" s="1" t="s">
        <v>45190</v>
      </c>
      <c r="B45191" s="2" t="str">
        <f>IFERROR(__xludf.DUMMYFUNCTION("GOOGLETRANSLATE(A45191, ""de"", ""en"")"),"yields")</f>
        <v>yields</v>
      </c>
    </row>
    <row r="45192">
      <c r="A45192" s="1" t="s">
        <v>45191</v>
      </c>
      <c r="B45192" s="2" t="str">
        <f>IFERROR(__xludf.DUMMYFUNCTION("GOOGLETRANSLATE(A45192, ""de"", ""en"")"),"synapse")</f>
        <v>synapse</v>
      </c>
    </row>
    <row r="45193">
      <c r="A45193" s="1" t="s">
        <v>45192</v>
      </c>
      <c r="B45193" s="2" t="str">
        <f>IFERROR(__xludf.DUMMYFUNCTION("GOOGLETRANSLATE(A45193, ""de"", ""en"")"),"convincing")</f>
        <v>convincing</v>
      </c>
    </row>
    <row r="45194">
      <c r="A45194" s="1" t="s">
        <v>45193</v>
      </c>
      <c r="B45194" s="2" t="str">
        <f>IFERROR(__xludf.DUMMYFUNCTION("GOOGLETRANSLATE(A45194, ""de"", ""en"")"),"playback")</f>
        <v>playback</v>
      </c>
    </row>
    <row r="45195">
      <c r="A45195" s="1" t="s">
        <v>45194</v>
      </c>
      <c r="B45195" s="2" t="str">
        <f>IFERROR(__xludf.DUMMYFUNCTION("GOOGLETRANSLATE(A45195, ""de"", ""en"")"),"caring")</f>
        <v>caring</v>
      </c>
    </row>
    <row r="45196">
      <c r="A45196" s="1" t="s">
        <v>45195</v>
      </c>
      <c r="B45196" s="2" t="str">
        <f>IFERROR(__xludf.DUMMYFUNCTION("GOOGLETRANSLATE(A45196, ""de"", ""en"")"),"sas")</f>
        <v>sas</v>
      </c>
    </row>
    <row r="45197">
      <c r="A45197" s="1" t="s">
        <v>45196</v>
      </c>
      <c r="B45197" s="2" t="str">
        <f>IFERROR(__xludf.DUMMYFUNCTION("GOOGLETRANSLATE(A45197, ""de"", ""en"")"),"jeannot")</f>
        <v>jeannot</v>
      </c>
    </row>
    <row r="45198">
      <c r="A45198" s="1" t="s">
        <v>45197</v>
      </c>
      <c r="B45198" s="2" t="str">
        <f>IFERROR(__xludf.DUMMYFUNCTION("GOOGLETRANSLATE(A45198, ""de"", ""en"")"),"tasty")</f>
        <v>tasty</v>
      </c>
    </row>
    <row r="45199">
      <c r="A45199" s="1" t="s">
        <v>45198</v>
      </c>
      <c r="B45199" s="2" t="str">
        <f>IFERROR(__xludf.DUMMYFUNCTION("GOOGLETRANSLATE(A45199, ""de"", ""en"")"),"private clinic")</f>
        <v>private clinic</v>
      </c>
    </row>
    <row r="45200">
      <c r="A45200" s="1" t="s">
        <v>45199</v>
      </c>
      <c r="B45200" s="2" t="str">
        <f>IFERROR(__xludf.DUMMYFUNCTION("GOOGLETRANSLATE(A45200, ""de"", ""en"")"),"foresight")</f>
        <v>foresight</v>
      </c>
    </row>
    <row r="45201">
      <c r="A45201" s="1" t="s">
        <v>45200</v>
      </c>
      <c r="B45201" s="2" t="str">
        <f>IFERROR(__xludf.DUMMYFUNCTION("GOOGLETRANSLATE(A45201, ""de"", ""en"")"),"salamanca")</f>
        <v>salamanca</v>
      </c>
    </row>
    <row r="45202">
      <c r="A45202" s="1" t="s">
        <v>45201</v>
      </c>
      <c r="B45202" s="2" t="str">
        <f>IFERROR(__xludf.DUMMYFUNCTION("GOOGLETRANSLATE(A45202, ""de"", ""en"")"),"faster")</f>
        <v>faster</v>
      </c>
    </row>
    <row r="45203">
      <c r="A45203" s="1" t="s">
        <v>45202</v>
      </c>
      <c r="B45203" s="2" t="str">
        <f>IFERROR(__xludf.DUMMYFUNCTION("GOOGLETRANSLATE(A45203, ""de"", ""en"")"),"school performance")</f>
        <v>school performance</v>
      </c>
    </row>
    <row r="45204">
      <c r="A45204" s="1" t="s">
        <v>45203</v>
      </c>
      <c r="B45204" s="2" t="str">
        <f>IFERROR(__xludf.DUMMYFUNCTION("GOOGLETRANSLATE(A45204, ""de"", ""en"")"),"recaptured")</f>
        <v>recaptured</v>
      </c>
    </row>
    <row r="45205">
      <c r="A45205" s="1" t="s">
        <v>45204</v>
      </c>
      <c r="B45205" s="2" t="str">
        <f>IFERROR(__xludf.DUMMYFUNCTION("GOOGLETRANSLATE(A45205, ""de"", ""en"")"),"shops")</f>
        <v>shops</v>
      </c>
    </row>
    <row r="45206">
      <c r="A45206" s="1" t="s">
        <v>45205</v>
      </c>
      <c r="B45206" s="2" t="str">
        <f>IFERROR(__xludf.DUMMYFUNCTION("GOOGLETRANSLATE(A45206, ""de"", ""en"")"),"European")</f>
        <v>European</v>
      </c>
    </row>
    <row r="45207">
      <c r="A45207" s="1" t="s">
        <v>45206</v>
      </c>
      <c r="B45207" s="2" t="str">
        <f>IFERROR(__xludf.DUMMYFUNCTION("GOOGLETRANSLATE(A45207, ""de"", ""en"")"),"Stef")</f>
        <v>Stef</v>
      </c>
    </row>
    <row r="45208">
      <c r="A45208" s="1" t="s">
        <v>45207</v>
      </c>
      <c r="B45208" s="2" t="str">
        <f>IFERROR(__xludf.DUMMYFUNCTION("GOOGLETRANSLATE(A45208, ""de"", ""en"")"),"looks")</f>
        <v>looks</v>
      </c>
    </row>
    <row r="45209">
      <c r="A45209" s="1" t="s">
        <v>45208</v>
      </c>
      <c r="B45209" s="2" t="str">
        <f>IFERROR(__xludf.DUMMYFUNCTION("GOOGLETRANSLATE(A45209, ""de"", ""en"")"),"messed up")</f>
        <v>messed up</v>
      </c>
    </row>
    <row r="45210">
      <c r="A45210" s="1" t="s">
        <v>45209</v>
      </c>
      <c r="B45210" s="2" t="str">
        <f>IFERROR(__xludf.DUMMYFUNCTION("GOOGLETRANSLATE(A45210, ""de"", ""en"")"),"drill")</f>
        <v>drill</v>
      </c>
    </row>
    <row r="45211">
      <c r="A45211" s="1" t="s">
        <v>45210</v>
      </c>
      <c r="B45211" s="2" t="str">
        <f>IFERROR(__xludf.DUMMYFUNCTION("GOOGLETRANSLATE(A45211, ""de"", ""en"")"),"more random")</f>
        <v>more random</v>
      </c>
    </row>
    <row r="45212">
      <c r="A45212" s="1" t="s">
        <v>45211</v>
      </c>
      <c r="B45212" s="2" t="str">
        <f>IFERROR(__xludf.DUMMYFUNCTION("GOOGLETRANSLATE(A45212, ""de"", ""en"")"),"most important")</f>
        <v>most important</v>
      </c>
    </row>
    <row r="45213">
      <c r="A45213" s="1" t="s">
        <v>45212</v>
      </c>
      <c r="B45213" s="2" t="str">
        <f>IFERROR(__xludf.DUMMYFUNCTION("GOOGLETRANSLATE(A45213, ""de"", ""en"")"),"giscard")</f>
        <v>giscard</v>
      </c>
    </row>
    <row r="45214">
      <c r="A45214" s="1" t="s">
        <v>45213</v>
      </c>
      <c r="B45214" s="2" t="str">
        <f>IFERROR(__xludf.DUMMYFUNCTION("GOOGLETRANSLATE(A45214, ""de"", ""en"")"),"congenital")</f>
        <v>congenital</v>
      </c>
    </row>
    <row r="45215">
      <c r="A45215" s="1" t="s">
        <v>45214</v>
      </c>
      <c r="B45215" s="2" t="str">
        <f>IFERROR(__xludf.DUMMYFUNCTION("GOOGLETRANSLATE(A45215, ""de"", ""en"")"),"sealed")</f>
        <v>sealed</v>
      </c>
    </row>
    <row r="45216">
      <c r="A45216" s="1" t="s">
        <v>45215</v>
      </c>
      <c r="B45216" s="2" t="str">
        <f>IFERROR(__xludf.DUMMYFUNCTION("GOOGLETRANSLATE(A45216, ""de"", ""en"")"),"system lords")</f>
        <v>system lords</v>
      </c>
    </row>
    <row r="45217">
      <c r="A45217" s="1" t="s">
        <v>45216</v>
      </c>
      <c r="B45217" s="2" t="str">
        <f>IFERROR(__xludf.DUMMYFUNCTION("GOOGLETRANSLATE(A45217, ""de"", ""en"")"),"awaken")</f>
        <v>awaken</v>
      </c>
    </row>
    <row r="45218">
      <c r="A45218" s="1" t="s">
        <v>45217</v>
      </c>
      <c r="B45218" s="2" t="str">
        <f>IFERROR(__xludf.DUMMYFUNCTION("GOOGLETRANSLATE(A45218, ""de"", ""en"")"),"lit up")</f>
        <v>lit up</v>
      </c>
    </row>
    <row r="45219">
      <c r="A45219" s="1" t="s">
        <v>45218</v>
      </c>
      <c r="B45219" s="2" t="str">
        <f>IFERROR(__xludf.DUMMYFUNCTION("GOOGLETRANSLATE(A45219, ""de"", ""en"")"),"bumblebee")</f>
        <v>bumblebee</v>
      </c>
    </row>
    <row r="45220">
      <c r="A45220" s="1" t="s">
        <v>45219</v>
      </c>
      <c r="B45220" s="2" t="str">
        <f>IFERROR(__xludf.DUMMYFUNCTION("GOOGLETRANSLATE(A45220, ""de"", ""en"")"),"pont")</f>
        <v>pont</v>
      </c>
    </row>
    <row r="45221">
      <c r="A45221" s="1" t="s">
        <v>45220</v>
      </c>
      <c r="B45221" s="2" t="str">
        <f>IFERROR(__xludf.DUMMYFUNCTION("GOOGLETRANSLATE(A45221, ""de"", ""en"")"),"petrie")</f>
        <v>petrie</v>
      </c>
    </row>
    <row r="45222">
      <c r="A45222" s="1" t="s">
        <v>45221</v>
      </c>
      <c r="B45222" s="2" t="str">
        <f>IFERROR(__xludf.DUMMYFUNCTION("GOOGLETRANSLATE(A45222, ""de"", ""en"")"),"assurance")</f>
        <v>assurance</v>
      </c>
    </row>
    <row r="45223">
      <c r="A45223" s="1" t="s">
        <v>45222</v>
      </c>
      <c r="B45223" s="2" t="str">
        <f>IFERROR(__xludf.DUMMYFUNCTION("GOOGLETRANSLATE(A45223, ""de"", ""en"")"),"aruba")</f>
        <v>aruba</v>
      </c>
    </row>
    <row r="45224">
      <c r="A45224" s="1" t="s">
        <v>45223</v>
      </c>
      <c r="B45224" s="2" t="str">
        <f>IFERROR(__xludf.DUMMYFUNCTION("GOOGLETRANSLATE(A45224, ""de"", ""en"")"),"more industrial")</f>
        <v>more industrial</v>
      </c>
    </row>
    <row r="45225">
      <c r="A45225" s="1" t="s">
        <v>45224</v>
      </c>
      <c r="B45225" s="2" t="str">
        <f>IFERROR(__xludf.DUMMYFUNCTION("GOOGLETRANSLATE(A45225, ""de"", ""en"")"),"Afghan")</f>
        <v>Afghan</v>
      </c>
    </row>
    <row r="45226">
      <c r="A45226" s="1" t="s">
        <v>45225</v>
      </c>
      <c r="B45226" s="2" t="str">
        <f>IFERROR(__xludf.DUMMYFUNCTION("GOOGLETRANSLATE(A45226, ""de"", ""en"")"),"flute playing")</f>
        <v>flute playing</v>
      </c>
    </row>
    <row r="45227">
      <c r="A45227" s="1" t="s">
        <v>45226</v>
      </c>
      <c r="B45227" s="2" t="str">
        <f>IFERROR(__xludf.DUMMYFUNCTION("GOOGLETRANSLATE(A45227, ""de"", ""en"")"),"throw")</f>
        <v>throw</v>
      </c>
    </row>
    <row r="45228">
      <c r="A45228" s="1" t="s">
        <v>45227</v>
      </c>
      <c r="B45228" s="2" t="str">
        <f>IFERROR(__xludf.DUMMYFUNCTION("GOOGLETRANSLATE(A45228, ""de"", ""en"")"),"blood red")</f>
        <v>blood red</v>
      </c>
    </row>
    <row r="45229">
      <c r="A45229" s="1" t="s">
        <v>45228</v>
      </c>
      <c r="B45229" s="2" t="str">
        <f>IFERROR(__xludf.DUMMYFUNCTION("GOOGLETRANSLATE(A45229, ""de"", ""en"")"),"subway")</f>
        <v>subway</v>
      </c>
    </row>
    <row r="45230">
      <c r="A45230" s="1" t="s">
        <v>45229</v>
      </c>
      <c r="B45230" s="2" t="str">
        <f>IFERROR(__xludf.DUMMYFUNCTION("GOOGLETRANSLATE(A45230, ""de"", ""en"")"),"Thurman")</f>
        <v>Thurman</v>
      </c>
    </row>
    <row r="45231">
      <c r="A45231" s="1" t="s">
        <v>45230</v>
      </c>
      <c r="B45231" s="2" t="str">
        <f>IFERROR(__xludf.DUMMYFUNCTION("GOOGLETRANSLATE(A45231, ""de"", ""en"")"),"jiminy")</f>
        <v>jiminy</v>
      </c>
    </row>
    <row r="45232">
      <c r="A45232" s="1" t="s">
        <v>45231</v>
      </c>
      <c r="B45232" s="2" t="str">
        <f>IFERROR(__xludf.DUMMYFUNCTION("GOOGLETRANSLATE(A45232, ""de"", ""en"")"),"wicker")</f>
        <v>wicker</v>
      </c>
    </row>
    <row r="45233">
      <c r="A45233" s="1" t="s">
        <v>45232</v>
      </c>
      <c r="B45233" s="2" t="str">
        <f>IFERROR(__xludf.DUMMYFUNCTION("GOOGLETRANSLATE(A45233, ""de"", ""en"")"),"corns")</f>
        <v>corns</v>
      </c>
    </row>
    <row r="45234">
      <c r="A45234" s="1" t="s">
        <v>45233</v>
      </c>
      <c r="B45234" s="2" t="str">
        <f>IFERROR(__xludf.DUMMYFUNCTION("GOOGLETRANSLATE(A45234, ""de"", ""en"")"),"Nazarene")</f>
        <v>Nazarene</v>
      </c>
    </row>
    <row r="45235">
      <c r="A45235" s="1" t="s">
        <v>45234</v>
      </c>
      <c r="B45235" s="2" t="str">
        <f>IFERROR(__xludf.DUMMYFUNCTION("GOOGLETRANSLATE(A45235, ""de"", ""en"")"),"pensions")</f>
        <v>pensions</v>
      </c>
    </row>
    <row r="45236">
      <c r="A45236" s="1" t="s">
        <v>45235</v>
      </c>
      <c r="B45236" s="2" t="str">
        <f>IFERROR(__xludf.DUMMYFUNCTION("GOOGLETRANSLATE(A45236, ""de"", ""en"")"),"most likely")</f>
        <v>most likely</v>
      </c>
    </row>
    <row r="45237">
      <c r="A45237" s="1" t="s">
        <v>45236</v>
      </c>
      <c r="B45237" s="2" t="str">
        <f>IFERROR(__xludf.DUMMYFUNCTION("GOOGLETRANSLATE(A45237, ""de"", ""en"")"),"drug addicts")</f>
        <v>drug addicts</v>
      </c>
    </row>
    <row r="45238">
      <c r="A45238" s="1" t="s">
        <v>45237</v>
      </c>
      <c r="B45238" s="2" t="str">
        <f>IFERROR(__xludf.DUMMYFUNCTION("GOOGLETRANSLATE(A45238, ""de"", ""en"")"),"ezequiel")</f>
        <v>ezequiel</v>
      </c>
    </row>
    <row r="45239">
      <c r="A45239" s="1" t="s">
        <v>45238</v>
      </c>
      <c r="B45239" s="2" t="str">
        <f>IFERROR(__xludf.DUMMYFUNCTION("GOOGLETRANSLATE(A45239, ""de"", ""en"")"),"customs")</f>
        <v>customs</v>
      </c>
    </row>
    <row r="45240">
      <c r="A45240" s="1" t="s">
        <v>45239</v>
      </c>
      <c r="B45240" s="2" t="str">
        <f>IFERROR(__xludf.DUMMYFUNCTION("GOOGLETRANSLATE(A45240, ""de"", ""en"")"),"scusi")</f>
        <v>scusi</v>
      </c>
    </row>
    <row r="45241">
      <c r="A45241" s="1" t="s">
        <v>45240</v>
      </c>
      <c r="B45241" s="2" t="str">
        <f>IFERROR(__xludf.DUMMYFUNCTION("GOOGLETRANSLATE(A45241, ""de"", ""en"")"),"to go underground")</f>
        <v>to go underground</v>
      </c>
    </row>
    <row r="45242">
      <c r="A45242" s="1" t="s">
        <v>45241</v>
      </c>
      <c r="B45242" s="2" t="str">
        <f>IFERROR(__xludf.DUMMYFUNCTION("GOOGLETRANSLATE(A45242, ""de"", ""en"")"),"goscinny")</f>
        <v>goscinny</v>
      </c>
    </row>
    <row r="45243">
      <c r="A45243" s="1" t="s">
        <v>45242</v>
      </c>
      <c r="B45243" s="2" t="str">
        <f>IFERROR(__xludf.DUMMYFUNCTION("GOOGLETRANSLATE(A45243, ""de"", ""en"")"),"computer program")</f>
        <v>computer program</v>
      </c>
    </row>
    <row r="45244">
      <c r="A45244" s="1" t="s">
        <v>45243</v>
      </c>
      <c r="B45244" s="2" t="str">
        <f>IFERROR(__xludf.DUMMYFUNCTION("GOOGLETRANSLATE(A45244, ""de"", ""en"")"),"ozone layer")</f>
        <v>ozone layer</v>
      </c>
    </row>
    <row r="45245">
      <c r="A45245" s="1" t="s">
        <v>45244</v>
      </c>
      <c r="B45245" s="2" t="str">
        <f>IFERROR(__xludf.DUMMYFUNCTION("GOOGLETRANSLATE(A45245, ""de"", ""en"")"),"bebbanburg")</f>
        <v>bebbanburg</v>
      </c>
    </row>
    <row r="45246">
      <c r="A45246" s="1" t="s">
        <v>45245</v>
      </c>
      <c r="B45246" s="2" t="str">
        <f>IFERROR(__xludf.DUMMYFUNCTION("GOOGLETRANSLATE(A45246, ""de"", ""en"")"),"chair")</f>
        <v>chair</v>
      </c>
    </row>
    <row r="45247">
      <c r="A45247" s="1" t="s">
        <v>45246</v>
      </c>
      <c r="B45247" s="2" t="str">
        <f>IFERROR(__xludf.DUMMYFUNCTION("GOOGLETRANSLATE(A45247, ""de"", ""en"")"),"sit still")</f>
        <v>sit still</v>
      </c>
    </row>
    <row r="45248">
      <c r="A45248" s="1" t="s">
        <v>45247</v>
      </c>
      <c r="B45248" s="2" t="str">
        <f>IFERROR(__xludf.DUMMYFUNCTION("GOOGLETRANSLATE(A45248, ""de"", ""en"")"),"cremate")</f>
        <v>cremate</v>
      </c>
    </row>
    <row r="45249">
      <c r="A45249" s="1" t="s">
        <v>45248</v>
      </c>
      <c r="B45249" s="2" t="str">
        <f>IFERROR(__xludf.DUMMYFUNCTION("GOOGLETRANSLATE(A45249, ""de"", ""en"")"),"bases")</f>
        <v>bases</v>
      </c>
    </row>
    <row r="45250">
      <c r="A45250" s="1" t="s">
        <v>45249</v>
      </c>
      <c r="B45250" s="2" t="str">
        <f>IFERROR(__xludf.DUMMYFUNCTION("GOOGLETRANSLATE(A45250, ""de"", ""en"")"),"movie night")</f>
        <v>movie night</v>
      </c>
    </row>
    <row r="45251">
      <c r="A45251" s="1" t="s">
        <v>45250</v>
      </c>
      <c r="B45251" s="2" t="str">
        <f>IFERROR(__xludf.DUMMYFUNCTION("GOOGLETRANSLATE(A45251, ""de"", ""en"")"),"snatches of conversation")</f>
        <v>snatches of conversation</v>
      </c>
    </row>
    <row r="45252">
      <c r="A45252" s="1" t="s">
        <v>45251</v>
      </c>
      <c r="B45252" s="2" t="str">
        <f>IFERROR(__xludf.DUMMYFUNCTION("GOOGLETRANSLATE(A45252, ""de"", ""en"")"),"tinas")</f>
        <v>tinas</v>
      </c>
    </row>
    <row r="45253">
      <c r="A45253" s="1" t="s">
        <v>45252</v>
      </c>
      <c r="B45253" s="2" t="str">
        <f>IFERROR(__xludf.DUMMYFUNCTION("GOOGLETRANSLATE(A45253, ""de"", ""en"")"),"Christmas money")</f>
        <v>Christmas money</v>
      </c>
    </row>
    <row r="45254">
      <c r="A45254" s="1" t="s">
        <v>45253</v>
      </c>
      <c r="B45254" s="2" t="str">
        <f>IFERROR(__xludf.DUMMYFUNCTION("GOOGLETRANSLATE(A45254, ""de"", ""en"")"),"bowed")</f>
        <v>bowed</v>
      </c>
    </row>
    <row r="45255">
      <c r="A45255" s="1" t="s">
        <v>45254</v>
      </c>
      <c r="B45255" s="2" t="str">
        <f>IFERROR(__xludf.DUMMYFUNCTION("GOOGLETRANSLATE(A45255, ""de"", ""en"")"),"cimbom1905")</f>
        <v>cimbom1905</v>
      </c>
    </row>
    <row r="45256">
      <c r="A45256" s="1" t="s">
        <v>45255</v>
      </c>
      <c r="B45256" s="2" t="str">
        <f>IFERROR(__xludf.DUMMYFUNCTION("GOOGLETRANSLATE(A45256, ""de"", ""en"")"),"sec")</f>
        <v>sec</v>
      </c>
    </row>
    <row r="45257">
      <c r="A45257" s="1" t="s">
        <v>45256</v>
      </c>
      <c r="B45257" s="2" t="str">
        <f>IFERROR(__xludf.DUMMYFUNCTION("GOOGLETRANSLATE(A45257, ""de"", ""en"")"),"close")</f>
        <v>close</v>
      </c>
    </row>
    <row r="45258">
      <c r="A45258" s="1" t="s">
        <v>45257</v>
      </c>
      <c r="B45258" s="2" t="str">
        <f>IFERROR(__xludf.DUMMYFUNCTION("GOOGLETRANSLATE(A45258, ""de"", ""en"")"),"drudgery")</f>
        <v>drudgery</v>
      </c>
    </row>
    <row r="45259">
      <c r="A45259" s="1" t="s">
        <v>45258</v>
      </c>
      <c r="B45259" s="2" t="str">
        <f>IFERROR(__xludf.DUMMYFUNCTION("GOOGLETRANSLATE(A45259, ""de"", ""en"")"),"private lessons")</f>
        <v>private lessons</v>
      </c>
    </row>
    <row r="45260">
      <c r="A45260" s="1" t="s">
        <v>45259</v>
      </c>
      <c r="B45260" s="2" t="str">
        <f>IFERROR(__xludf.DUMMYFUNCTION("GOOGLETRANSLATE(A45260, ""de"", ""en"")"),"narcos")</f>
        <v>narcos</v>
      </c>
    </row>
    <row r="45261">
      <c r="A45261" s="1" t="s">
        <v>45260</v>
      </c>
      <c r="B45261" s="2" t="str">
        <f>IFERROR(__xludf.DUMMYFUNCTION("GOOGLETRANSLATE(A45261, ""de"", ""en"")"),"guerrilla")</f>
        <v>guerrilla</v>
      </c>
    </row>
    <row r="45262">
      <c r="A45262" s="1" t="s">
        <v>45261</v>
      </c>
      <c r="B45262" s="2" t="str">
        <f>IFERROR(__xludf.DUMMYFUNCTION("GOOGLETRANSLATE(A45262, ""de"", ""en"")"),"recently")</f>
        <v>recently</v>
      </c>
    </row>
    <row r="45263">
      <c r="A45263" s="1" t="s">
        <v>45262</v>
      </c>
      <c r="B45263" s="2" t="str">
        <f>IFERROR(__xludf.DUMMYFUNCTION("GOOGLETRANSLATE(A45263, ""de"", ""en"")"),"dara")</f>
        <v>dara</v>
      </c>
    </row>
    <row r="45264">
      <c r="A45264" s="1" t="s">
        <v>45263</v>
      </c>
      <c r="B45264" s="2" t="str">
        <f>IFERROR(__xludf.DUMMYFUNCTION("GOOGLETRANSLATE(A45264, ""de"", ""en"")"),"eruption")</f>
        <v>eruption</v>
      </c>
    </row>
    <row r="45265">
      <c r="A45265" s="1" t="s">
        <v>45264</v>
      </c>
      <c r="B45265" s="2" t="str">
        <f>IFERROR(__xludf.DUMMYFUNCTION("GOOGLETRANSLATE(A45265, ""de"", ""en"")"),"search operation")</f>
        <v>search operation</v>
      </c>
    </row>
    <row r="45266">
      <c r="A45266" s="1" t="s">
        <v>45265</v>
      </c>
      <c r="B45266" s="2" t="str">
        <f>IFERROR(__xludf.DUMMYFUNCTION("GOOGLETRANSLATE(A45266, ""de"", ""en"")"),"liters")</f>
        <v>liters</v>
      </c>
    </row>
    <row r="45267">
      <c r="A45267" s="1" t="s">
        <v>45266</v>
      </c>
      <c r="B45267" s="2" t="str">
        <f>IFERROR(__xludf.DUMMYFUNCTION("GOOGLETRANSLATE(A45267, ""de"", ""en"")"),"snap")</f>
        <v>snap</v>
      </c>
    </row>
    <row r="45268">
      <c r="A45268" s="1" t="s">
        <v>45267</v>
      </c>
      <c r="B45268" s="2" t="str">
        <f>IFERROR(__xludf.DUMMYFUNCTION("GOOGLETRANSLATE(A45268, ""de"", ""en"")"),"upset")</f>
        <v>upset</v>
      </c>
    </row>
    <row r="45269">
      <c r="A45269" s="1" t="s">
        <v>45268</v>
      </c>
      <c r="B45269" s="2" t="str">
        <f>IFERROR(__xludf.DUMMYFUNCTION("GOOGLETRANSLATE(A45269, ""de"", ""en"")"),"added")</f>
        <v>added</v>
      </c>
    </row>
    <row r="45270">
      <c r="A45270" s="1" t="s">
        <v>45269</v>
      </c>
      <c r="B45270" s="2" t="str">
        <f>IFERROR(__xludf.DUMMYFUNCTION("GOOGLETRANSLATE(A45270, ""de"", ""en"")"),"super soldiers")</f>
        <v>super soldiers</v>
      </c>
    </row>
    <row r="45271">
      <c r="A45271" s="1" t="s">
        <v>45270</v>
      </c>
      <c r="B45271" s="2" t="str">
        <f>IFERROR(__xludf.DUMMYFUNCTION("GOOGLETRANSLATE(A45271, ""de"", ""en"")"),"car rental")</f>
        <v>car rental</v>
      </c>
    </row>
    <row r="45272">
      <c r="A45272" s="1" t="s">
        <v>45271</v>
      </c>
      <c r="B45272" s="2" t="str">
        <f>IFERROR(__xludf.DUMMYFUNCTION("GOOGLETRANSLATE(A45272, ""de"", ""en"")"),"Medellin")</f>
        <v>Medellin</v>
      </c>
    </row>
    <row r="45273">
      <c r="A45273" s="1" t="s">
        <v>45272</v>
      </c>
      <c r="B45273" s="2" t="str">
        <f>IFERROR(__xludf.DUMMYFUNCTION("GOOGLETRANSLATE(A45273, ""de"", ""en"")"),"still image")</f>
        <v>still image</v>
      </c>
    </row>
    <row r="45274">
      <c r="A45274" s="1" t="s">
        <v>45273</v>
      </c>
      <c r="B45274" s="2" t="str">
        <f>IFERROR(__xludf.DUMMYFUNCTION("GOOGLETRANSLATE(A45274, ""de"", ""en"")"),"spoiled")</f>
        <v>spoiled</v>
      </c>
    </row>
    <row r="45275">
      <c r="A45275" s="1" t="s">
        <v>45274</v>
      </c>
      <c r="B45275" s="2" t="str">
        <f>IFERROR(__xludf.DUMMYFUNCTION("GOOGLETRANSLATE(A45275, ""de"", ""en"")"),"pronounced")</f>
        <v>pronounced</v>
      </c>
    </row>
    <row r="45276">
      <c r="A45276" s="1" t="s">
        <v>45275</v>
      </c>
      <c r="B45276" s="2" t="str">
        <f>IFERROR(__xludf.DUMMYFUNCTION("GOOGLETRANSLATE(A45276, ""de"", ""en"")"),"auditor")</f>
        <v>auditor</v>
      </c>
    </row>
    <row r="45277">
      <c r="A45277" s="1" t="s">
        <v>45276</v>
      </c>
      <c r="B45277" s="2" t="str">
        <f>IFERROR(__xludf.DUMMYFUNCTION("GOOGLETRANSLATE(A45277, ""de"", ""en"")"),"give in")</f>
        <v>give in</v>
      </c>
    </row>
    <row r="45278">
      <c r="A45278" s="1" t="s">
        <v>45277</v>
      </c>
      <c r="B45278" s="2" t="str">
        <f>IFERROR(__xludf.DUMMYFUNCTION("GOOGLETRANSLATE(A45278, ""de"", ""en"")"),"swan lake")</f>
        <v>swan lake</v>
      </c>
    </row>
    <row r="45279">
      <c r="A45279" s="1" t="s">
        <v>45278</v>
      </c>
      <c r="B45279" s="2" t="str">
        <f>IFERROR(__xludf.DUMMYFUNCTION("GOOGLETRANSLATE(A45279, ""de"", ""en"")"),"helicopters")</f>
        <v>helicopters</v>
      </c>
    </row>
    <row r="45280">
      <c r="A45280" s="1" t="s">
        <v>45279</v>
      </c>
      <c r="B45280" s="2" t="str">
        <f>IFERROR(__xludf.DUMMYFUNCTION("GOOGLETRANSLATE(A45280, ""de"", ""en"")"),"duu")</f>
        <v>duu</v>
      </c>
    </row>
    <row r="45281">
      <c r="A45281" s="1" t="s">
        <v>45280</v>
      </c>
      <c r="B45281" s="2" t="str">
        <f>IFERROR(__xludf.DUMMYFUNCTION("GOOGLETRANSLATE(A45281, ""de"", ""en"")"),"turn inside out")</f>
        <v>turn inside out</v>
      </c>
    </row>
    <row r="45282">
      <c r="A45282" s="1" t="s">
        <v>45281</v>
      </c>
      <c r="B45282" s="2" t="str">
        <f>IFERROR(__xludf.DUMMYFUNCTION("GOOGLETRANSLATE(A45282, ""de"", ""en"")"),"ezri")</f>
        <v>ezri</v>
      </c>
    </row>
    <row r="45283">
      <c r="A45283" s="1" t="s">
        <v>45282</v>
      </c>
      <c r="B45283" s="2" t="str">
        <f>IFERROR(__xludf.DUMMYFUNCTION("GOOGLETRANSLATE(A45283, ""de"", ""en"")"),"leave")</f>
        <v>leave</v>
      </c>
    </row>
    <row r="45284">
      <c r="A45284" s="1" t="s">
        <v>45283</v>
      </c>
      <c r="B45284" s="2" t="str">
        <f>IFERROR(__xludf.DUMMYFUNCTION("GOOGLETRANSLATE(A45284, ""de"", ""en"")"),"fleur")</f>
        <v>fleur</v>
      </c>
    </row>
    <row r="45285">
      <c r="A45285" s="1" t="s">
        <v>45284</v>
      </c>
      <c r="B45285" s="2" t="str">
        <f>IFERROR(__xludf.DUMMYFUNCTION("GOOGLETRANSLATE(A45285, ""de"", ""en"")"),"merdle")</f>
        <v>merdle</v>
      </c>
    </row>
    <row r="45286">
      <c r="A45286" s="1" t="s">
        <v>45285</v>
      </c>
      <c r="B45286" s="2" t="str">
        <f>IFERROR(__xludf.DUMMYFUNCTION("GOOGLETRANSLATE(A45286, ""de"", ""en"")"),"porthole")</f>
        <v>porthole</v>
      </c>
    </row>
    <row r="45287">
      <c r="A45287" s="1" t="s">
        <v>45286</v>
      </c>
      <c r="B45287" s="2" t="str">
        <f>IFERROR(__xludf.DUMMYFUNCTION("GOOGLETRANSLATE(A45287, ""de"", ""en"")"),"to return home")</f>
        <v>to return home</v>
      </c>
    </row>
    <row r="45288">
      <c r="A45288" s="1" t="s">
        <v>45287</v>
      </c>
      <c r="B45288" s="2" t="str">
        <f>IFERROR(__xludf.DUMMYFUNCTION("GOOGLETRANSLATE(A45288, ""de"", ""en"")"),"construct")</f>
        <v>construct</v>
      </c>
    </row>
    <row r="45289">
      <c r="A45289" s="1" t="s">
        <v>45288</v>
      </c>
      <c r="B45289" s="2" t="str">
        <f>IFERROR(__xludf.DUMMYFUNCTION("GOOGLETRANSLATE(A45289, ""de"", ""en"")"),"career ladder")</f>
        <v>career ladder</v>
      </c>
    </row>
    <row r="45290">
      <c r="A45290" s="1" t="s">
        <v>45289</v>
      </c>
      <c r="B45290" s="2" t="str">
        <f>IFERROR(__xludf.DUMMYFUNCTION("GOOGLETRANSLATE(A45290, ""de"", ""en"")"),"quinjet")</f>
        <v>quinjet</v>
      </c>
    </row>
    <row r="45291">
      <c r="A45291" s="1" t="s">
        <v>45290</v>
      </c>
      <c r="B45291" s="2" t="str">
        <f>IFERROR(__xludf.DUMMYFUNCTION("GOOGLETRANSLATE(A45291, ""de"", ""en"")"),"midwives")</f>
        <v>midwives</v>
      </c>
    </row>
    <row r="45292">
      <c r="A45292" s="1" t="s">
        <v>45291</v>
      </c>
      <c r="B45292" s="2" t="str">
        <f>IFERROR(__xludf.DUMMYFUNCTION("GOOGLETRANSLATE(A45292, ""de"", ""en"")"),"heart attacks")</f>
        <v>heart attacks</v>
      </c>
    </row>
    <row r="45293">
      <c r="A45293" s="1" t="s">
        <v>45292</v>
      </c>
      <c r="B45293" s="2" t="str">
        <f>IFERROR(__xludf.DUMMYFUNCTION("GOOGLETRANSLATE(A45293, ""de"", ""en"")"),"horse manure")</f>
        <v>horse manure</v>
      </c>
    </row>
    <row r="45294">
      <c r="A45294" s="1" t="s">
        <v>45293</v>
      </c>
      <c r="B45294" s="2" t="str">
        <f>IFERROR(__xludf.DUMMYFUNCTION("GOOGLETRANSLATE(A45294, ""de"", ""en"")"),"saw off")</f>
        <v>saw off</v>
      </c>
    </row>
    <row r="45295">
      <c r="A45295" s="1" t="s">
        <v>45294</v>
      </c>
      <c r="B45295" s="2" t="str">
        <f>IFERROR(__xludf.DUMMYFUNCTION("GOOGLETRANSLATE(A45295, ""de"", ""en"")"),"renjie")</f>
        <v>renjie</v>
      </c>
    </row>
    <row r="45296">
      <c r="A45296" s="1" t="s">
        <v>45295</v>
      </c>
      <c r="B45296" s="2" t="str">
        <f>IFERROR(__xludf.DUMMYFUNCTION("GOOGLETRANSLATE(A45296, ""de"", ""en"")"),"stung")</f>
        <v>stung</v>
      </c>
    </row>
    <row r="45297">
      <c r="A45297" s="1" t="s">
        <v>45296</v>
      </c>
      <c r="B45297" s="2" t="str">
        <f>IFERROR(__xludf.DUMMYFUNCTION("GOOGLETRANSLATE(A45297, ""de"", ""en"")"),"cell phone reception")</f>
        <v>cell phone reception</v>
      </c>
    </row>
    <row r="45298">
      <c r="A45298" s="1" t="s">
        <v>45297</v>
      </c>
      <c r="B45298" s="2" t="str">
        <f>IFERROR(__xludf.DUMMYFUNCTION("GOOGLETRANSLATE(A45298, ""de"", ""en"")"),"tico")</f>
        <v>tico</v>
      </c>
    </row>
    <row r="45299">
      <c r="A45299" s="1" t="s">
        <v>45298</v>
      </c>
      <c r="B45299" s="2" t="str">
        <f>IFERROR(__xludf.DUMMYFUNCTION("GOOGLETRANSLATE(A45299, ""de"", ""en"")"),"delays")</f>
        <v>delays</v>
      </c>
    </row>
    <row r="45300">
      <c r="A45300" s="1" t="s">
        <v>45299</v>
      </c>
      <c r="B45300" s="2" t="str">
        <f>IFERROR(__xludf.DUMMYFUNCTION("GOOGLETRANSLATE(A45300, ""de"", ""en"")"),"school education")</f>
        <v>school education</v>
      </c>
    </row>
    <row r="45301">
      <c r="A45301" s="1" t="s">
        <v>45300</v>
      </c>
      <c r="B45301" s="2" t="str">
        <f>IFERROR(__xludf.DUMMYFUNCTION("GOOGLETRANSLATE(A45301, ""de"", ""en"")"),"proles")</f>
        <v>proles</v>
      </c>
    </row>
    <row r="45302">
      <c r="A45302" s="1" t="s">
        <v>45301</v>
      </c>
      <c r="B45302" s="2" t="str">
        <f>IFERROR(__xludf.DUMMYFUNCTION("GOOGLETRANSLATE(A45302, ""de"", ""en"")"),"guadalupe")</f>
        <v>guadalupe</v>
      </c>
    </row>
    <row r="45303">
      <c r="A45303" s="1" t="s">
        <v>45302</v>
      </c>
      <c r="B45303" s="2" t="str">
        <f>IFERROR(__xludf.DUMMYFUNCTION("GOOGLETRANSLATE(A45303, ""de"", ""en"")"),"war heroes")</f>
        <v>war heroes</v>
      </c>
    </row>
    <row r="45304">
      <c r="A45304" s="1" t="s">
        <v>45303</v>
      </c>
      <c r="B45304" s="2" t="str">
        <f>IFERROR(__xludf.DUMMYFUNCTION("GOOGLETRANSLATE(A45304, ""de"", ""en"")"),"conclude")</f>
        <v>conclude</v>
      </c>
    </row>
    <row r="45305">
      <c r="A45305" s="1" t="s">
        <v>45304</v>
      </c>
      <c r="B45305" s="2" t="str">
        <f>IFERROR(__xludf.DUMMYFUNCTION("GOOGLETRANSLATE(A45305, ""de"", ""en"")"),"listening device")</f>
        <v>listening device</v>
      </c>
    </row>
    <row r="45306">
      <c r="A45306" s="1" t="s">
        <v>45305</v>
      </c>
      <c r="B45306" s="2" t="str">
        <f>IFERROR(__xludf.DUMMYFUNCTION("GOOGLETRANSLATE(A45306, ""de"", ""en"")"),"cyber")</f>
        <v>cyber</v>
      </c>
    </row>
    <row r="45307">
      <c r="A45307" s="1" t="s">
        <v>45306</v>
      </c>
      <c r="B45307" s="2" t="str">
        <f>IFERROR(__xludf.DUMMYFUNCTION("GOOGLETRANSLATE(A45307, ""de"", ""en"")"),"tarrant")</f>
        <v>tarrant</v>
      </c>
    </row>
    <row r="45308">
      <c r="A45308" s="1" t="s">
        <v>45307</v>
      </c>
      <c r="B45308" s="2" t="str">
        <f>IFERROR(__xludf.DUMMYFUNCTION("GOOGLETRANSLATE(A45308, ""de"", ""en"")"),"radu")</f>
        <v>radu</v>
      </c>
    </row>
    <row r="45309">
      <c r="A45309" s="1" t="s">
        <v>45308</v>
      </c>
      <c r="B45309" s="2" t="str">
        <f>IFERROR(__xludf.DUMMYFUNCTION("GOOGLETRANSLATE(A45309, ""de"", ""en"")"),"sneaker")</f>
        <v>sneaker</v>
      </c>
    </row>
    <row r="45310">
      <c r="A45310" s="1" t="s">
        <v>45309</v>
      </c>
      <c r="B45310" s="2" t="str">
        <f>IFERROR(__xludf.DUMMYFUNCTION("GOOGLETRANSLATE(A45310, ""de"", ""en"")"),"website")</f>
        <v>website</v>
      </c>
    </row>
    <row r="45311">
      <c r="A45311" s="1" t="s">
        <v>45310</v>
      </c>
      <c r="B45311" s="2" t="str">
        <f>IFERROR(__xludf.DUMMYFUNCTION("GOOGLETRANSLATE(A45311, ""de"", ""en"")"),"stay in")</f>
        <v>stay in</v>
      </c>
    </row>
    <row r="45312">
      <c r="A45312" s="1" t="s">
        <v>45311</v>
      </c>
      <c r="B45312" s="2" t="str">
        <f>IFERROR(__xludf.DUMMYFUNCTION("GOOGLETRANSLATE(A45312, ""de"", ""en"")"),"Schröter")</f>
        <v>Schröter</v>
      </c>
    </row>
    <row r="45313">
      <c r="A45313" s="1" t="s">
        <v>45312</v>
      </c>
      <c r="B45313" s="2" t="str">
        <f>IFERROR(__xludf.DUMMYFUNCTION("GOOGLETRANSLATE(A45313, ""de"", ""en"")"),"hoo")</f>
        <v>hoo</v>
      </c>
    </row>
    <row r="45314">
      <c r="A45314" s="1" t="s">
        <v>45313</v>
      </c>
      <c r="B45314" s="2" t="str">
        <f>IFERROR(__xludf.DUMMYFUNCTION("GOOGLETRANSLATE(A45314, ""de"", ""en"")"),"Ashe")</f>
        <v>Ashe</v>
      </c>
    </row>
    <row r="45315">
      <c r="A45315" s="1" t="s">
        <v>45314</v>
      </c>
      <c r="B45315" s="2" t="str">
        <f>IFERROR(__xludf.DUMMYFUNCTION("GOOGLETRANSLATE(A45315, ""de"", ""en"")"),"remain seated")</f>
        <v>remain seated</v>
      </c>
    </row>
    <row r="45316">
      <c r="A45316" s="1" t="s">
        <v>45315</v>
      </c>
      <c r="B45316" s="2" t="str">
        <f>IFERROR(__xludf.DUMMYFUNCTION("GOOGLETRANSLATE(A45316, ""de"", ""en"")"),"exhaust fumes")</f>
        <v>exhaust fumes</v>
      </c>
    </row>
    <row r="45317">
      <c r="A45317" s="1" t="s">
        <v>45316</v>
      </c>
      <c r="B45317" s="2" t="str">
        <f>IFERROR(__xludf.DUMMYFUNCTION("GOOGLETRANSLATE(A45317, ""de"", ""en"")"),"complicity")</f>
        <v>complicity</v>
      </c>
    </row>
    <row r="45318">
      <c r="A45318" s="1" t="s">
        <v>45317</v>
      </c>
      <c r="B45318" s="2" t="str">
        <f>IFERROR(__xludf.DUMMYFUNCTION("GOOGLETRANSLATE(A45318, ""de"", ""en"")"),"instilled")</f>
        <v>instilled</v>
      </c>
    </row>
    <row r="45319">
      <c r="A45319" s="1" t="s">
        <v>45318</v>
      </c>
      <c r="B45319" s="2" t="str">
        <f>IFERROR(__xludf.DUMMYFUNCTION("GOOGLETRANSLATE(A45319, ""de"", ""en"")"),"fishing trip")</f>
        <v>fishing trip</v>
      </c>
    </row>
    <row r="45320">
      <c r="A45320" s="1" t="s">
        <v>45319</v>
      </c>
      <c r="B45320" s="2" t="str">
        <f>IFERROR(__xludf.DUMMYFUNCTION("GOOGLETRANSLATE(A45320, ""de"", ""en"")"),"reward")</f>
        <v>reward</v>
      </c>
    </row>
    <row r="45321">
      <c r="A45321" s="1" t="s">
        <v>45320</v>
      </c>
      <c r="B45321" s="2" t="str">
        <f>IFERROR(__xludf.DUMMYFUNCTION("GOOGLETRANSLATE(A45321, ""de"", ""en"")"),"pris")</f>
        <v>pris</v>
      </c>
    </row>
    <row r="45322">
      <c r="A45322" s="1" t="s">
        <v>45321</v>
      </c>
      <c r="B45322" s="2" t="str">
        <f>IFERROR(__xludf.DUMMYFUNCTION("GOOGLETRANSLATE(A45322, ""de"", ""en"")"),"cruise ship")</f>
        <v>cruise ship</v>
      </c>
    </row>
    <row r="45323">
      <c r="A45323" s="1" t="s">
        <v>45322</v>
      </c>
      <c r="B45323" s="2" t="str">
        <f>IFERROR(__xludf.DUMMYFUNCTION("GOOGLETRANSLATE(A45323, ""de"", ""en"")"),"huan")</f>
        <v>huan</v>
      </c>
    </row>
    <row r="45324">
      <c r="A45324" s="1" t="s">
        <v>45323</v>
      </c>
      <c r="B45324" s="2" t="str">
        <f>IFERROR(__xludf.DUMMYFUNCTION("GOOGLETRANSLATE(A45324, ""de"", ""en"")"),"good night kiss")</f>
        <v>good night kiss</v>
      </c>
    </row>
    <row r="45325">
      <c r="A45325" s="1" t="s">
        <v>45324</v>
      </c>
      <c r="B45325" s="2" t="str">
        <f>IFERROR(__xludf.DUMMYFUNCTION("GOOGLETRANSLATE(A45325, ""de"", ""en"")"),"move forward")</f>
        <v>move forward</v>
      </c>
    </row>
    <row r="45326">
      <c r="A45326" s="1" t="s">
        <v>45325</v>
      </c>
      <c r="B45326" s="2" t="str">
        <f>IFERROR(__xludf.DUMMYFUNCTION("GOOGLETRANSLATE(A45326, ""de"", ""en"")"),"poured out")</f>
        <v>poured out</v>
      </c>
    </row>
    <row r="45327">
      <c r="A45327" s="1" t="s">
        <v>45326</v>
      </c>
      <c r="B45327" s="2" t="str">
        <f>IFERROR(__xludf.DUMMYFUNCTION("GOOGLETRANSLATE(A45327, ""de"", ""en"")"),"Walmart")</f>
        <v>Walmart</v>
      </c>
    </row>
    <row r="45328">
      <c r="A45328" s="1" t="s">
        <v>45327</v>
      </c>
      <c r="B45328" s="2" t="str">
        <f>IFERROR(__xludf.DUMMYFUNCTION("GOOGLETRANSLATE(A45328, ""de"", ""en"")"),"unbelievable")</f>
        <v>unbelievable</v>
      </c>
    </row>
    <row r="45329">
      <c r="A45329" s="1" t="s">
        <v>45328</v>
      </c>
      <c r="B45329" s="2" t="str">
        <f>IFERROR(__xludf.DUMMYFUNCTION("GOOGLETRANSLATE(A45329, ""de"", ""en"")"),"sorata")</f>
        <v>sorata</v>
      </c>
    </row>
    <row r="45330">
      <c r="A45330" s="1" t="s">
        <v>45329</v>
      </c>
      <c r="B45330" s="2" t="str">
        <f>IFERROR(__xludf.DUMMYFUNCTION("GOOGLETRANSLATE(A45330, ""de"", ""en"")"),"camera crew")</f>
        <v>camera crew</v>
      </c>
    </row>
    <row r="45331">
      <c r="A45331" s="1" t="s">
        <v>45330</v>
      </c>
      <c r="B45331" s="2" t="str">
        <f>IFERROR(__xludf.DUMMYFUNCTION("GOOGLETRANSLATE(A45331, ""de"", ""en"")"),"short film")</f>
        <v>short film</v>
      </c>
    </row>
    <row r="45332">
      <c r="A45332" s="1" t="s">
        <v>45331</v>
      </c>
      <c r="B45332" s="2" t="str">
        <f>IFERROR(__xludf.DUMMYFUNCTION("GOOGLETRANSLATE(A45332, ""de"", ""en"")"),"scraped off")</f>
        <v>scraped off</v>
      </c>
    </row>
    <row r="45333">
      <c r="A45333" s="1" t="s">
        <v>45332</v>
      </c>
      <c r="B45333" s="2" t="str">
        <f>IFERROR(__xludf.DUMMYFUNCTION("GOOGLETRANSLATE(A45333, ""de"", ""en"")"),"deactivate")</f>
        <v>deactivate</v>
      </c>
    </row>
    <row r="45334">
      <c r="A45334" s="1" t="s">
        <v>45333</v>
      </c>
      <c r="B45334" s="2" t="str">
        <f>IFERROR(__xludf.DUMMYFUNCTION("GOOGLETRANSLATE(A45334, ""de"", ""en"")"),"penetrated")</f>
        <v>penetrated</v>
      </c>
    </row>
    <row r="45335">
      <c r="A45335" s="1" t="s">
        <v>45334</v>
      </c>
      <c r="B45335" s="2" t="str">
        <f>IFERROR(__xludf.DUMMYFUNCTION("GOOGLETRANSLATE(A45335, ""de"", ""en"")"),"get behind it")</f>
        <v>get behind it</v>
      </c>
    </row>
    <row r="45336">
      <c r="A45336" s="1" t="s">
        <v>45335</v>
      </c>
      <c r="B45336" s="2" t="str">
        <f>IFERROR(__xludf.DUMMYFUNCTION("GOOGLETRANSLATE(A45336, ""de"", ""en"")"),"reds")</f>
        <v>reds</v>
      </c>
    </row>
    <row r="45337">
      <c r="A45337" s="1" t="s">
        <v>45336</v>
      </c>
      <c r="B45337" s="2" t="str">
        <f>IFERROR(__xludf.DUMMYFUNCTION("GOOGLETRANSLATE(A45337, ""de"", ""en"")"),"to put together")</f>
        <v>to put together</v>
      </c>
    </row>
    <row r="45338">
      <c r="A45338" s="1" t="s">
        <v>45337</v>
      </c>
      <c r="B45338" s="2" t="str">
        <f>IFERROR(__xludf.DUMMYFUNCTION("GOOGLETRANSLATE(A45338, ""de"", ""en"")"),"destroy")</f>
        <v>destroy</v>
      </c>
    </row>
    <row r="45339">
      <c r="A45339" s="1" t="s">
        <v>45338</v>
      </c>
      <c r="B45339" s="2" t="str">
        <f>IFERROR(__xludf.DUMMYFUNCTION("GOOGLETRANSLATE(A45339, ""de"", ""en"")"),"to make an effort")</f>
        <v>to make an effort</v>
      </c>
    </row>
    <row r="45340">
      <c r="A45340" s="1" t="s">
        <v>45339</v>
      </c>
      <c r="B45340" s="2" t="str">
        <f>IFERROR(__xludf.DUMMYFUNCTION("GOOGLETRANSLATE(A45340, ""de"", ""en"")"),"to wipe off")</f>
        <v>to wipe off</v>
      </c>
    </row>
    <row r="45341">
      <c r="A45341" s="1" t="s">
        <v>45340</v>
      </c>
      <c r="B45341" s="2" t="str">
        <f>IFERROR(__xludf.DUMMYFUNCTION("GOOGLETRANSLATE(A45341, ""de"", ""en"")"),"grind")</f>
        <v>grind</v>
      </c>
    </row>
    <row r="45342">
      <c r="A45342" s="1" t="s">
        <v>45341</v>
      </c>
      <c r="B45342" s="2" t="str">
        <f>IFERROR(__xludf.DUMMYFUNCTION("GOOGLETRANSLATE(A45342, ""de"", ""en"")"),"bite into it")</f>
        <v>bite into it</v>
      </c>
    </row>
    <row r="45343">
      <c r="A45343" s="1" t="s">
        <v>45342</v>
      </c>
      <c r="B45343" s="2" t="str">
        <f>IFERROR(__xludf.DUMMYFUNCTION("GOOGLETRANSLATE(A45343, ""de"", ""en"")"),"experiences")</f>
        <v>experiences</v>
      </c>
    </row>
    <row r="45344">
      <c r="A45344" s="1" t="s">
        <v>45343</v>
      </c>
      <c r="B45344" s="2" t="str">
        <f>IFERROR(__xludf.DUMMYFUNCTION("GOOGLETRANSLATE(A45344, ""de"", ""en"")"),"to come together")</f>
        <v>to come together</v>
      </c>
    </row>
    <row r="45345">
      <c r="A45345" s="1" t="s">
        <v>45344</v>
      </c>
      <c r="B45345" s="2" t="str">
        <f>IFERROR(__xludf.DUMMYFUNCTION("GOOGLETRANSLATE(A45345, ""de"", ""en"")"),"southeast")</f>
        <v>southeast</v>
      </c>
    </row>
    <row r="45346">
      <c r="A45346" s="1" t="s">
        <v>45345</v>
      </c>
      <c r="B45346" s="2" t="str">
        <f>IFERROR(__xludf.DUMMYFUNCTION("GOOGLETRANSLATE(A45346, ""de"", ""en"")"),"imperial")</f>
        <v>imperial</v>
      </c>
    </row>
    <row r="45347">
      <c r="A45347" s="1" t="s">
        <v>45346</v>
      </c>
      <c r="B45347" s="2" t="str">
        <f>IFERROR(__xludf.DUMMYFUNCTION("GOOGLETRANSLATE(A45347, ""de"", ""en"")"),"companies")</f>
        <v>companies</v>
      </c>
    </row>
    <row r="45348">
      <c r="A45348" s="1" t="s">
        <v>45347</v>
      </c>
      <c r="B45348" s="2" t="str">
        <f>IFERROR(__xludf.DUMMYFUNCTION("GOOGLETRANSLATE(A45348, ""de"", ""en"")"),"thaws")</f>
        <v>thaws</v>
      </c>
    </row>
    <row r="45349">
      <c r="A45349" s="1" t="s">
        <v>45348</v>
      </c>
      <c r="B45349" s="2" t="str">
        <f>IFERROR(__xludf.DUMMYFUNCTION("GOOGLETRANSLATE(A45349, ""de"", ""en"")"),"loras")</f>
        <v>loras</v>
      </c>
    </row>
    <row r="45350">
      <c r="A45350" s="1" t="s">
        <v>45349</v>
      </c>
      <c r="B45350" s="2" t="str">
        <f>IFERROR(__xludf.DUMMYFUNCTION("GOOGLETRANSLATE(A45350, ""de"", ""en"")"),"maritza")</f>
        <v>maritza</v>
      </c>
    </row>
    <row r="45351">
      <c r="A45351" s="1" t="s">
        <v>45350</v>
      </c>
      <c r="B45351" s="2" t="str">
        <f>IFERROR(__xludf.DUMMYFUNCTION("GOOGLETRANSLATE(A45351, ""de"", ""en"")"),"sense of duty")</f>
        <v>sense of duty</v>
      </c>
    </row>
    <row r="45352">
      <c r="A45352" s="1" t="s">
        <v>45351</v>
      </c>
      <c r="B45352" s="2" t="str">
        <f>IFERROR(__xludf.DUMMYFUNCTION("GOOGLETRANSLATE(A45352, ""de"", ""en"")"),"unscrupulous")</f>
        <v>unscrupulous</v>
      </c>
    </row>
    <row r="45353">
      <c r="A45353" s="1" t="s">
        <v>45352</v>
      </c>
      <c r="B45353" s="2" t="str">
        <f>IFERROR(__xludf.DUMMYFUNCTION("GOOGLETRANSLATE(A45353, ""de"", ""en"")"),"film roll")</f>
        <v>film roll</v>
      </c>
    </row>
    <row r="45354">
      <c r="A45354" s="1" t="s">
        <v>45353</v>
      </c>
      <c r="B45354" s="2" t="str">
        <f>IFERROR(__xludf.DUMMYFUNCTION("GOOGLETRANSLATE(A45354, ""de"", ""en"")"),"fair")</f>
        <v>fair</v>
      </c>
    </row>
    <row r="45355">
      <c r="A45355" s="1" t="s">
        <v>45354</v>
      </c>
      <c r="B45355" s="2" t="str">
        <f>IFERROR(__xludf.DUMMYFUNCTION("GOOGLETRANSLATE(A45355, ""de"", ""en"")"),"tinder")</f>
        <v>tinder</v>
      </c>
    </row>
    <row r="45356">
      <c r="A45356" s="1" t="s">
        <v>45355</v>
      </c>
      <c r="B45356" s="2" t="str">
        <f>IFERROR(__xludf.DUMMYFUNCTION("GOOGLETRANSLATE(A45356, ""de"", ""en"")"),"Kallen")</f>
        <v>Kallen</v>
      </c>
    </row>
    <row r="45357">
      <c r="A45357" s="1" t="s">
        <v>45356</v>
      </c>
      <c r="B45357" s="2" t="str">
        <f>IFERROR(__xludf.DUMMYFUNCTION("GOOGLETRANSLATE(A45357, ""de"", ""en"")"),"evidence")</f>
        <v>evidence</v>
      </c>
    </row>
    <row r="45358">
      <c r="A45358" s="1" t="s">
        <v>45357</v>
      </c>
      <c r="B45358" s="2" t="str">
        <f>IFERROR(__xludf.DUMMYFUNCTION("GOOGLETRANSLATE(A45358, ""de"", ""en"")"),"Afghans")</f>
        <v>Afghans</v>
      </c>
    </row>
    <row r="45359">
      <c r="A45359" s="1" t="s">
        <v>45358</v>
      </c>
      <c r="B45359" s="2" t="str">
        <f>IFERROR(__xludf.DUMMYFUNCTION("GOOGLETRANSLATE(A45359, ""de"", ""en"")"),"racquetball")</f>
        <v>racquetball</v>
      </c>
    </row>
    <row r="45360">
      <c r="A45360" s="1" t="s">
        <v>45359</v>
      </c>
      <c r="B45360" s="2" t="str">
        <f>IFERROR(__xludf.DUMMYFUNCTION("GOOGLETRANSLATE(A45360, ""de"", ""en"")"),"more comfortable")</f>
        <v>more comfortable</v>
      </c>
    </row>
    <row r="45361">
      <c r="A45361" s="1" t="s">
        <v>45360</v>
      </c>
      <c r="B45361" s="2" t="str">
        <f>IFERROR(__xludf.DUMMYFUNCTION("GOOGLETRANSLATE(A45361, ""de"", ""en"")"),"lying")</f>
        <v>lying</v>
      </c>
    </row>
    <row r="45362">
      <c r="A45362" s="1" t="s">
        <v>45361</v>
      </c>
      <c r="B45362" s="2" t="str">
        <f>IFERROR(__xludf.DUMMYFUNCTION("GOOGLETRANSLATE(A45362, ""de"", ""en"")"),"game plan")</f>
        <v>game plan</v>
      </c>
    </row>
    <row r="45363">
      <c r="A45363" s="1" t="s">
        <v>45362</v>
      </c>
      <c r="B45363" s="2" t="str">
        <f>IFERROR(__xludf.DUMMYFUNCTION("GOOGLETRANSLATE(A45363, ""de"", ""en"")"),"persistent")</f>
        <v>persistent</v>
      </c>
    </row>
    <row r="45364">
      <c r="A45364" s="1" t="s">
        <v>45363</v>
      </c>
      <c r="B45364" s="2" t="str">
        <f>IFERROR(__xludf.DUMMYFUNCTION("GOOGLETRANSLATE(A45364, ""de"", ""en"")"),"milky")</f>
        <v>milky</v>
      </c>
    </row>
    <row r="45365">
      <c r="A45365" s="1" t="s">
        <v>45364</v>
      </c>
      <c r="B45365" s="2" t="str">
        <f>IFERROR(__xludf.DUMMYFUNCTION("GOOGLETRANSLATE(A45365, ""de"", ""en"")"),"fucked up")</f>
        <v>fucked up</v>
      </c>
    </row>
    <row r="45366">
      <c r="A45366" s="1" t="s">
        <v>45365</v>
      </c>
      <c r="B45366" s="2" t="str">
        <f>IFERROR(__xludf.DUMMYFUNCTION("GOOGLETRANSLATE(A45366, ""de"", ""en"")"),"territory")</f>
        <v>territory</v>
      </c>
    </row>
    <row r="45367">
      <c r="A45367" s="1" t="s">
        <v>45366</v>
      </c>
      <c r="B45367" s="2" t="str">
        <f>IFERROR(__xludf.DUMMYFUNCTION("GOOGLETRANSLATE(A45367, ""de"", ""en"")"),"bishop")</f>
        <v>bishop</v>
      </c>
    </row>
    <row r="45368">
      <c r="A45368" s="1" t="s">
        <v>45367</v>
      </c>
      <c r="B45368" s="2" t="str">
        <f>IFERROR(__xludf.DUMMYFUNCTION("GOOGLETRANSLATE(A45368, ""de"", ""en"")"),"sugar cane")</f>
        <v>sugar cane</v>
      </c>
    </row>
    <row r="45369">
      <c r="A45369" s="1" t="s">
        <v>45368</v>
      </c>
      <c r="B45369" s="2" t="str">
        <f>IFERROR(__xludf.DUMMYFUNCTION("GOOGLETRANSLATE(A45369, ""de"", ""en"")"),"limited")</f>
        <v>limited</v>
      </c>
    </row>
    <row r="45370">
      <c r="A45370" s="1" t="s">
        <v>45369</v>
      </c>
      <c r="B45370" s="2" t="str">
        <f>IFERROR(__xludf.DUMMYFUNCTION("GOOGLETRANSLATE(A45370, ""de"", ""en"")"),"raccoon")</f>
        <v>raccoon</v>
      </c>
    </row>
    <row r="45371">
      <c r="A45371" s="1" t="s">
        <v>45370</v>
      </c>
      <c r="B45371" s="2" t="str">
        <f>IFERROR(__xludf.DUMMYFUNCTION("GOOGLETRANSLATE(A45371, ""de"", ""en"")"),"doubtful")</f>
        <v>doubtful</v>
      </c>
    </row>
    <row r="45372">
      <c r="A45372" s="1" t="s">
        <v>45371</v>
      </c>
      <c r="B45372" s="2" t="str">
        <f>IFERROR(__xludf.DUMMYFUNCTION("GOOGLETRANSLATE(A45372, ""de"", ""en"")"),"shaggy")</f>
        <v>shaggy</v>
      </c>
    </row>
    <row r="45373">
      <c r="A45373" s="1" t="s">
        <v>45372</v>
      </c>
      <c r="B45373" s="2" t="str">
        <f>IFERROR(__xludf.DUMMYFUNCTION("GOOGLETRANSLATE(A45373, ""de"", ""en"")"),"stalemate")</f>
        <v>stalemate</v>
      </c>
    </row>
    <row r="45374">
      <c r="A45374" s="1" t="s">
        <v>45373</v>
      </c>
      <c r="B45374" s="2" t="str">
        <f>IFERROR(__xludf.DUMMYFUNCTION("GOOGLETRANSLATE(A45374, ""de"", ""en"")"),"couple therapy")</f>
        <v>couple therapy</v>
      </c>
    </row>
    <row r="45375">
      <c r="A45375" s="1" t="s">
        <v>45374</v>
      </c>
      <c r="B45375" s="2" t="str">
        <f>IFERROR(__xludf.DUMMYFUNCTION("GOOGLETRANSLATE(A45375, ""de"", ""en"")"),"nintendo")</f>
        <v>nintendo</v>
      </c>
    </row>
    <row r="45376">
      <c r="A45376" s="1" t="s">
        <v>45375</v>
      </c>
      <c r="B45376" s="2" t="str">
        <f>IFERROR(__xludf.DUMMYFUNCTION("GOOGLETRANSLATE(A45376, ""de"", ""en"")"),"oddball")</f>
        <v>oddball</v>
      </c>
    </row>
    <row r="45377">
      <c r="A45377" s="1" t="s">
        <v>45376</v>
      </c>
      <c r="B45377" s="2" t="str">
        <f>IFERROR(__xludf.DUMMYFUNCTION("GOOGLETRANSLATE(A45377, ""de"", ""en"")"),"sokka")</f>
        <v>sokka</v>
      </c>
    </row>
    <row r="45378">
      <c r="A45378" s="1" t="s">
        <v>45377</v>
      </c>
      <c r="B45378" s="2" t="str">
        <f>IFERROR(__xludf.DUMMYFUNCTION("GOOGLETRANSLATE(A45378, ""de"", ""en"")"),"supply")</f>
        <v>supply</v>
      </c>
    </row>
    <row r="45379">
      <c r="A45379" s="1" t="s">
        <v>45378</v>
      </c>
      <c r="B45379" s="2" t="str">
        <f>IFERROR(__xludf.DUMMYFUNCTION("GOOGLETRANSLATE(A45379, ""de"", ""en"")"),"neddy")</f>
        <v>neddy</v>
      </c>
    </row>
    <row r="45380">
      <c r="A45380" s="1" t="s">
        <v>45379</v>
      </c>
      <c r="B45380" s="2" t="str">
        <f>IFERROR(__xludf.DUMMYFUNCTION("GOOGLETRANSLATE(A45380, ""de"", ""en"")"),"immobile")</f>
        <v>immobile</v>
      </c>
    </row>
    <row r="45381">
      <c r="A45381" s="1" t="s">
        <v>45380</v>
      </c>
      <c r="B45381" s="2" t="str">
        <f>IFERROR(__xludf.DUMMYFUNCTION("GOOGLETRANSLATE(A45381, ""de"", ""en"")"),"self-discipline")</f>
        <v>self-discipline</v>
      </c>
    </row>
    <row r="45382">
      <c r="A45382" s="1" t="s">
        <v>45381</v>
      </c>
      <c r="B45382" s="2" t="str">
        <f>IFERROR(__xludf.DUMMYFUNCTION("GOOGLETRANSLATE(A45382, ""de"", ""en"")"),"zheng")</f>
        <v>zheng</v>
      </c>
    </row>
    <row r="45383">
      <c r="A45383" s="1" t="s">
        <v>45382</v>
      </c>
      <c r="B45383" s="2" t="str">
        <f>IFERROR(__xludf.DUMMYFUNCTION("GOOGLETRANSLATE(A45383, ""de"", ""en"")"),"lieutenants")</f>
        <v>lieutenants</v>
      </c>
    </row>
    <row r="45384">
      <c r="A45384" s="1" t="s">
        <v>45383</v>
      </c>
      <c r="B45384" s="2" t="str">
        <f>IFERROR(__xludf.DUMMYFUNCTION("GOOGLETRANSLATE(A45384, ""de"", ""en"")"),"coded")</f>
        <v>coded</v>
      </c>
    </row>
    <row r="45385">
      <c r="A45385" s="1" t="s">
        <v>45384</v>
      </c>
      <c r="B45385" s="2" t="str">
        <f>IFERROR(__xludf.DUMMYFUNCTION("GOOGLETRANSLATE(A45385, ""de"", ""en"")"),"taurus")</f>
        <v>taurus</v>
      </c>
    </row>
    <row r="45386">
      <c r="A45386" s="1" t="s">
        <v>45385</v>
      </c>
      <c r="B45386" s="2" t="str">
        <f>IFERROR(__xludf.DUMMYFUNCTION("GOOGLETRANSLATE(A45386, ""de"", ""en"")"),"roque")</f>
        <v>roque</v>
      </c>
    </row>
    <row r="45387">
      <c r="A45387" s="1" t="s">
        <v>45386</v>
      </c>
      <c r="B45387" s="2" t="str">
        <f>IFERROR(__xludf.DUMMYFUNCTION("GOOGLETRANSLATE(A45387, ""de"", ""en"")"),"more organic")</f>
        <v>more organic</v>
      </c>
    </row>
    <row r="45388">
      <c r="A45388" s="1" t="s">
        <v>45387</v>
      </c>
      <c r="B45388" s="2" t="str">
        <f>IFERROR(__xludf.DUMMYFUNCTION("GOOGLETRANSLATE(A45388, ""de"", ""en"")"),"export")</f>
        <v>export</v>
      </c>
    </row>
    <row r="45389">
      <c r="A45389" s="1" t="s">
        <v>45388</v>
      </c>
      <c r="B45389" s="2" t="str">
        <f>IFERROR(__xludf.DUMMYFUNCTION("GOOGLETRANSLATE(A45389, ""de"", ""en"")"),"wingman")</f>
        <v>wingman</v>
      </c>
    </row>
    <row r="45390">
      <c r="A45390" s="1" t="s">
        <v>45389</v>
      </c>
      <c r="B45390" s="2" t="str">
        <f>IFERROR(__xludf.DUMMYFUNCTION("GOOGLETRANSLATE(A45390, ""de"", ""en"")"),"ora")</f>
        <v>ora</v>
      </c>
    </row>
    <row r="45391">
      <c r="A45391" s="1" t="s">
        <v>45390</v>
      </c>
      <c r="B45391" s="2" t="str">
        <f>IFERROR(__xludf.DUMMYFUNCTION("GOOGLETRANSLATE(A45391, ""de"", ""en"")"),"juju")</f>
        <v>juju</v>
      </c>
    </row>
    <row r="45392">
      <c r="A45392" s="1" t="s">
        <v>45391</v>
      </c>
      <c r="B45392" s="2" t="str">
        <f>IFERROR(__xludf.DUMMYFUNCTION("GOOGLETRANSLATE(A45392, ""de"", ""en"")"),"siralos")</f>
        <v>siralos</v>
      </c>
    </row>
    <row r="45393">
      <c r="A45393" s="1" t="s">
        <v>45392</v>
      </c>
      <c r="B45393" s="2" t="str">
        <f>IFERROR(__xludf.DUMMYFUNCTION("GOOGLETRANSLATE(A45393, ""de"", ""en"")"),"thousand")</f>
        <v>thousand</v>
      </c>
    </row>
    <row r="45394">
      <c r="A45394" s="1" t="s">
        <v>45393</v>
      </c>
      <c r="B45394" s="2" t="str">
        <f>IFERROR(__xludf.DUMMYFUNCTION("GOOGLETRANSLATE(A45394, ""de"", ""en"")"),"stoke")</f>
        <v>stoke</v>
      </c>
    </row>
    <row r="45395">
      <c r="A45395" s="1" t="s">
        <v>45394</v>
      </c>
      <c r="B45395" s="2" t="str">
        <f>IFERROR(__xludf.DUMMYFUNCTION("GOOGLETRANSLATE(A45395, ""de"", ""en"")"),"sheep head")</f>
        <v>sheep head</v>
      </c>
    </row>
    <row r="45396">
      <c r="A45396" s="1" t="s">
        <v>45395</v>
      </c>
      <c r="B45396" s="2" t="str">
        <f>IFERROR(__xludf.DUMMYFUNCTION("GOOGLETRANSLATE(A45396, ""de"", ""en"")"),"optic nerve")</f>
        <v>optic nerve</v>
      </c>
    </row>
    <row r="45397">
      <c r="A45397" s="1" t="s">
        <v>45396</v>
      </c>
      <c r="B45397" s="2" t="str">
        <f>IFERROR(__xludf.DUMMYFUNCTION("GOOGLETRANSLATE(A45397, ""de"", ""en"")"),"invincible")</f>
        <v>invincible</v>
      </c>
    </row>
    <row r="45398">
      <c r="A45398" s="1" t="s">
        <v>45397</v>
      </c>
      <c r="B45398" s="2" t="str">
        <f>IFERROR(__xludf.DUMMYFUNCTION("GOOGLETRANSLATE(A45398, ""de"", ""en"")"),"headphones")</f>
        <v>headphones</v>
      </c>
    </row>
    <row r="45399">
      <c r="A45399" s="1" t="s">
        <v>45398</v>
      </c>
      <c r="B45399" s="2" t="str">
        <f>IFERROR(__xludf.DUMMYFUNCTION("GOOGLETRANSLATE(A45399, ""de"", ""en"")"),"lunar")</f>
        <v>lunar</v>
      </c>
    </row>
    <row r="45400">
      <c r="A45400" s="1" t="s">
        <v>45399</v>
      </c>
      <c r="B45400" s="2" t="str">
        <f>IFERROR(__xludf.DUMMYFUNCTION("GOOGLETRANSLATE(A45400, ""de"", ""en"")"),"jonathans")</f>
        <v>jonathans</v>
      </c>
    </row>
    <row r="45401">
      <c r="A45401" s="1" t="s">
        <v>45400</v>
      </c>
      <c r="B45401" s="2" t="str">
        <f>IFERROR(__xludf.DUMMYFUNCTION("GOOGLETRANSLATE(A45401, ""de"", ""en"")"),"drains")</f>
        <v>drains</v>
      </c>
    </row>
    <row r="45402">
      <c r="A45402" s="1" t="s">
        <v>45401</v>
      </c>
      <c r="B45402" s="2" t="str">
        <f>IFERROR(__xludf.DUMMYFUNCTION("GOOGLETRANSLATE(A45402, ""de"", ""en"")"),"taps")</f>
        <v>taps</v>
      </c>
    </row>
    <row r="45403">
      <c r="A45403" s="1" t="s">
        <v>45402</v>
      </c>
      <c r="B45403" s="2" t="str">
        <f>IFERROR(__xludf.DUMMYFUNCTION("GOOGLETRANSLATE(A45403, ""de"", ""en"")"),"school management")</f>
        <v>school management</v>
      </c>
    </row>
    <row r="45404">
      <c r="A45404" s="1" t="s">
        <v>45403</v>
      </c>
      <c r="B45404" s="2" t="str">
        <f>IFERROR(__xludf.DUMMYFUNCTION("GOOGLETRANSLATE(A45404, ""de"", ""en"")"),"bowden")</f>
        <v>bowden</v>
      </c>
    </row>
    <row r="45405">
      <c r="A45405" s="1" t="s">
        <v>45404</v>
      </c>
      <c r="B45405" s="2" t="str">
        <f>IFERROR(__xludf.DUMMYFUNCTION("GOOGLETRANSLATE(A45405, ""de"", ""en"")"),"hinne")</f>
        <v>hinne</v>
      </c>
    </row>
    <row r="45406">
      <c r="A45406" s="1" t="s">
        <v>45405</v>
      </c>
      <c r="B45406" s="2" t="str">
        <f>IFERROR(__xludf.DUMMYFUNCTION("GOOGLETRANSLATE(A45406, ""de"", ""en"")"),"had to")</f>
        <v>had to</v>
      </c>
    </row>
    <row r="45407">
      <c r="A45407" s="1" t="s">
        <v>45406</v>
      </c>
      <c r="B45407" s="2" t="str">
        <f>IFERROR(__xludf.DUMMYFUNCTION("GOOGLETRANSLATE(A45407, ""de"", ""en"")"),"child head")</f>
        <v>child head</v>
      </c>
    </row>
    <row r="45408">
      <c r="A45408" s="1" t="s">
        <v>45407</v>
      </c>
      <c r="B45408" s="2" t="str">
        <f>IFERROR(__xludf.DUMMYFUNCTION("GOOGLETRANSLATE(A45408, ""de"", ""en"")"),"fire pit")</f>
        <v>fire pit</v>
      </c>
    </row>
    <row r="45409">
      <c r="A45409" s="1" t="s">
        <v>45408</v>
      </c>
      <c r="B45409" s="2" t="str">
        <f>IFERROR(__xludf.DUMMYFUNCTION("GOOGLETRANSLATE(A45409, ""de"", ""en"")"),"cuddled")</f>
        <v>cuddled</v>
      </c>
    </row>
    <row r="45410">
      <c r="A45410" s="1" t="s">
        <v>45409</v>
      </c>
      <c r="B45410" s="2" t="str">
        <f>IFERROR(__xludf.DUMMYFUNCTION("GOOGLETRANSLATE(A45410, ""de"", ""en"")"),"resisted")</f>
        <v>resisted</v>
      </c>
    </row>
    <row r="45411">
      <c r="A45411" s="1" t="s">
        <v>45410</v>
      </c>
      <c r="B45411" s="2" t="str">
        <f>IFERROR(__xludf.DUMMYFUNCTION("GOOGLETRANSLATE(A45411, ""de"", ""en"")"),"to participate")</f>
        <v>to participate</v>
      </c>
    </row>
    <row r="45412">
      <c r="A45412" s="1" t="s">
        <v>45411</v>
      </c>
      <c r="B45412" s="2" t="str">
        <f>IFERROR(__xludf.DUMMYFUNCTION("GOOGLETRANSLATE(A45412, ""de"", ""en"")"),"homes")</f>
        <v>homes</v>
      </c>
    </row>
    <row r="45413">
      <c r="A45413" s="1" t="s">
        <v>45412</v>
      </c>
      <c r="B45413" s="2" t="str">
        <f>IFERROR(__xludf.DUMMYFUNCTION("GOOGLETRANSLATE(A45413, ""de"", ""en"")"),"palo")</f>
        <v>palo</v>
      </c>
    </row>
    <row r="45414">
      <c r="A45414" s="1" t="s">
        <v>45413</v>
      </c>
      <c r="B45414" s="2" t="str">
        <f>IFERROR(__xludf.DUMMYFUNCTION("GOOGLETRANSLATE(A45414, ""de"", ""en"")"),"vehemently")</f>
        <v>vehemently</v>
      </c>
    </row>
    <row r="45415">
      <c r="A45415" s="1" t="s">
        <v>45414</v>
      </c>
      <c r="B45415" s="2" t="str">
        <f>IFERROR(__xludf.DUMMYFUNCTION("GOOGLETRANSLATE(A45415, ""de"", ""en"")"),"trimester")</f>
        <v>trimester</v>
      </c>
    </row>
    <row r="45416">
      <c r="A45416" s="1" t="s">
        <v>45415</v>
      </c>
      <c r="B45416" s="2" t="str">
        <f>IFERROR(__xludf.DUMMYFUNCTION("GOOGLETRANSLATE(A45416, ""de"", ""en"")"),"popped")</f>
        <v>popped</v>
      </c>
    </row>
    <row r="45417">
      <c r="A45417" s="1" t="s">
        <v>45416</v>
      </c>
      <c r="B45417" s="2" t="str">
        <f>IFERROR(__xludf.DUMMYFUNCTION("GOOGLETRANSLATE(A45417, ""de"", ""en"")"),"roofer")</f>
        <v>roofer</v>
      </c>
    </row>
    <row r="45418">
      <c r="A45418" s="1" t="s">
        <v>45417</v>
      </c>
      <c r="B45418" s="2" t="str">
        <f>IFERROR(__xludf.DUMMYFUNCTION("GOOGLETRANSLATE(A45418, ""de"", ""en"")"),"conceived")</f>
        <v>conceived</v>
      </c>
    </row>
    <row r="45419">
      <c r="A45419" s="1" t="s">
        <v>45418</v>
      </c>
      <c r="B45419" s="2" t="str">
        <f>IFERROR(__xludf.DUMMYFUNCTION("GOOGLETRANSLATE(A45419, ""de"", ""en"")"),"igen")</f>
        <v>igen</v>
      </c>
    </row>
    <row r="45420">
      <c r="A45420" s="1" t="s">
        <v>45419</v>
      </c>
      <c r="B45420" s="2" t="str">
        <f>IFERROR(__xludf.DUMMYFUNCTION("GOOGLETRANSLATE(A45420, ""de"", ""en"")"),"remote ones")</f>
        <v>remote ones</v>
      </c>
    </row>
    <row r="45421">
      <c r="A45421" s="1" t="s">
        <v>45420</v>
      </c>
      <c r="B45421" s="2" t="str">
        <f>IFERROR(__xludf.DUMMYFUNCTION("GOOGLETRANSLATE(A45421, ""de"", ""en"")"),"tuvia")</f>
        <v>tuvia</v>
      </c>
    </row>
    <row r="45422">
      <c r="A45422" s="1" t="s">
        <v>45421</v>
      </c>
      <c r="B45422" s="2" t="str">
        <f>IFERROR(__xludf.DUMMYFUNCTION("GOOGLETRANSLATE(A45422, ""de"", ""en"")"),"electromagnetic")</f>
        <v>electromagnetic</v>
      </c>
    </row>
    <row r="45423">
      <c r="A45423" s="1" t="s">
        <v>45422</v>
      </c>
      <c r="B45423" s="2" t="str">
        <f>IFERROR(__xludf.DUMMYFUNCTION("GOOGLETRANSLATE(A45423, ""de"", ""en"")"),"ghost hunter")</f>
        <v>ghost hunter</v>
      </c>
    </row>
    <row r="45424">
      <c r="A45424" s="1" t="s">
        <v>45423</v>
      </c>
      <c r="B45424" s="2" t="str">
        <f>IFERROR(__xludf.DUMMYFUNCTION("GOOGLETRANSLATE(A45424, ""de"", ""en"")"),"gets rid of")</f>
        <v>gets rid of</v>
      </c>
    </row>
    <row r="45425">
      <c r="A45425" s="1" t="s">
        <v>45424</v>
      </c>
      <c r="B45425" s="2" t="str">
        <f>IFERROR(__xludf.DUMMYFUNCTION("GOOGLETRANSLATE(A45425, ""de"", ""en"")"),"deadly sins")</f>
        <v>deadly sins</v>
      </c>
    </row>
    <row r="45426">
      <c r="A45426" s="1" t="s">
        <v>45425</v>
      </c>
      <c r="B45426" s="2" t="str">
        <f>IFERROR(__xludf.DUMMYFUNCTION("GOOGLETRANSLATE(A45426, ""de"", ""en"")"),"rosetti")</f>
        <v>rosetti</v>
      </c>
    </row>
    <row r="45427">
      <c r="A45427" s="1" t="s">
        <v>45426</v>
      </c>
      <c r="B45427" s="2" t="str">
        <f>IFERROR(__xludf.DUMMYFUNCTION("GOOGLETRANSLATE(A45427, ""de"", ""en"")"),"warrens")</f>
        <v>warrens</v>
      </c>
    </row>
    <row r="45428">
      <c r="A45428" s="1" t="s">
        <v>45427</v>
      </c>
      <c r="B45428" s="2" t="str">
        <f>IFERROR(__xludf.DUMMYFUNCTION("GOOGLETRANSLATE(A45428, ""de"", ""en"")"),"fedex")</f>
        <v>fedex</v>
      </c>
    </row>
    <row r="45429">
      <c r="A45429" s="1" t="s">
        <v>45428</v>
      </c>
      <c r="B45429" s="2" t="str">
        <f>IFERROR(__xludf.DUMMYFUNCTION("GOOGLETRANSLATE(A45429, ""de"", ""en"")"),"twenty-two")</f>
        <v>twenty-two</v>
      </c>
    </row>
    <row r="45430">
      <c r="A45430" s="1" t="s">
        <v>45429</v>
      </c>
      <c r="B45430" s="2" t="str">
        <f>IFERROR(__xludf.DUMMYFUNCTION("GOOGLETRANSLATE(A45430, ""de"", ""en"")"),"kosh")</f>
        <v>kosh</v>
      </c>
    </row>
    <row r="45431">
      <c r="A45431" s="1" t="s">
        <v>45430</v>
      </c>
      <c r="B45431" s="2" t="str">
        <f>IFERROR(__xludf.DUMMYFUNCTION("GOOGLETRANSLATE(A45431, ""de"", ""en"")"),"narcotics department")</f>
        <v>narcotics department</v>
      </c>
    </row>
    <row r="45432">
      <c r="A45432" s="1" t="s">
        <v>45431</v>
      </c>
      <c r="B45432" s="2" t="str">
        <f>IFERROR(__xludf.DUMMYFUNCTION("GOOGLETRANSLATE(A45432, ""de"", ""en"")"),"symbiosis")</f>
        <v>symbiosis</v>
      </c>
    </row>
    <row r="45433">
      <c r="A45433" s="1" t="s">
        <v>45432</v>
      </c>
      <c r="B45433" s="2" t="str">
        <f>IFERROR(__xludf.DUMMYFUNCTION("GOOGLETRANSLATE(A45433, ""de"", ""en"")"),"got around")</f>
        <v>got around</v>
      </c>
    </row>
    <row r="45434">
      <c r="A45434" s="1" t="s">
        <v>45433</v>
      </c>
      <c r="B45434" s="2" t="str">
        <f>IFERROR(__xludf.DUMMYFUNCTION("GOOGLETRANSLATE(A45434, ""de"", ""en"")"),"dreamlike")</f>
        <v>dreamlike</v>
      </c>
    </row>
    <row r="45435">
      <c r="A45435" s="1" t="s">
        <v>45434</v>
      </c>
      <c r="B45435" s="2" t="str">
        <f>IFERROR(__xludf.DUMMYFUNCTION("GOOGLETRANSLATE(A45435, ""de"", ""en"")"),"to stand around")</f>
        <v>to stand around</v>
      </c>
    </row>
    <row r="45436">
      <c r="A45436" s="1" t="s">
        <v>45435</v>
      </c>
      <c r="B45436" s="2" t="str">
        <f>IFERROR(__xludf.DUMMYFUNCTION("GOOGLETRANSLATE(A45436, ""de"", ""en"")"),"were")</f>
        <v>were</v>
      </c>
    </row>
    <row r="45437">
      <c r="A45437" s="1" t="s">
        <v>45436</v>
      </c>
      <c r="B45437" s="2" t="str">
        <f>IFERROR(__xludf.DUMMYFUNCTION("GOOGLETRANSLATE(A45437, ""de"", ""en"")"),"blameless")</f>
        <v>blameless</v>
      </c>
    </row>
    <row r="45438">
      <c r="A45438" s="1" t="s">
        <v>45437</v>
      </c>
      <c r="B45438" s="2" t="str">
        <f>IFERROR(__xludf.DUMMYFUNCTION("GOOGLETRANSLATE(A45438, ""de"", ""en"")"),"body parts")</f>
        <v>body parts</v>
      </c>
    </row>
    <row r="45439">
      <c r="A45439" s="1" t="s">
        <v>45438</v>
      </c>
      <c r="B45439" s="2" t="str">
        <f>IFERROR(__xludf.DUMMYFUNCTION("GOOGLETRANSLATE(A45439, ""de"", ""en"")"),"landowner")</f>
        <v>landowner</v>
      </c>
    </row>
    <row r="45440">
      <c r="A45440" s="1" t="s">
        <v>45439</v>
      </c>
      <c r="B45440" s="2" t="str">
        <f>IFERROR(__xludf.DUMMYFUNCTION("GOOGLETRANSLATE(A45440, ""de"", ""en"")"),"natacha")</f>
        <v>natacha</v>
      </c>
    </row>
    <row r="45441">
      <c r="A45441" s="1" t="s">
        <v>45440</v>
      </c>
      <c r="B45441" s="2" t="str">
        <f>IFERROR(__xludf.DUMMYFUNCTION("GOOGLETRANSLATE(A45441, ""de"", ""en"")"),"mirakuru")</f>
        <v>mirakuru</v>
      </c>
    </row>
    <row r="45442">
      <c r="A45442" s="1" t="s">
        <v>45441</v>
      </c>
      <c r="B45442" s="2" t="str">
        <f>IFERROR(__xludf.DUMMYFUNCTION("GOOGLETRANSLATE(A45442, ""de"", ""en"")"),"tsa")</f>
        <v>tsa</v>
      </c>
    </row>
    <row r="45443">
      <c r="A45443" s="1" t="s">
        <v>45442</v>
      </c>
      <c r="B45443" s="2" t="str">
        <f>IFERROR(__xludf.DUMMYFUNCTION("GOOGLETRANSLATE(A45443, ""de"", ""en"")"),"more advanced")</f>
        <v>more advanced</v>
      </c>
    </row>
    <row r="45444">
      <c r="A45444" s="1" t="s">
        <v>45443</v>
      </c>
      <c r="B45444" s="2" t="str">
        <f>IFERROR(__xludf.DUMMYFUNCTION("GOOGLETRANSLATE(A45444, ""de"", ""en"")"),"gold digger")</f>
        <v>gold digger</v>
      </c>
    </row>
    <row r="45445">
      <c r="A45445" s="1" t="s">
        <v>45444</v>
      </c>
      <c r="B45445" s="2" t="str">
        <f>IFERROR(__xludf.DUMMYFUNCTION("GOOGLETRANSLATE(A45445, ""de"", ""en"")"),"Barbarossa")</f>
        <v>Barbarossa</v>
      </c>
    </row>
    <row r="45446">
      <c r="A45446" s="1" t="s">
        <v>45445</v>
      </c>
      <c r="B45446" s="2" t="str">
        <f>IFERROR(__xludf.DUMMYFUNCTION("GOOGLETRANSLATE(A45446, ""de"", ""en"")"),"pulled out")</f>
        <v>pulled out</v>
      </c>
    </row>
    <row r="45447">
      <c r="A45447" s="1" t="s">
        <v>45446</v>
      </c>
      <c r="B45447" s="2" t="str">
        <f>IFERROR(__xludf.DUMMYFUNCTION("GOOGLETRANSLATE(A45447, ""de"", ""en"")"),"er now")</f>
        <v>er now</v>
      </c>
    </row>
    <row r="45448">
      <c r="A45448" s="1" t="s">
        <v>45447</v>
      </c>
      <c r="B45448" s="2" t="str">
        <f>IFERROR(__xludf.DUMMYFUNCTION("GOOGLETRANSLATE(A45448, ""de"", ""en"")"),"stripes")</f>
        <v>stripes</v>
      </c>
    </row>
    <row r="45449">
      <c r="A45449" s="1" t="s">
        <v>45448</v>
      </c>
      <c r="B45449" s="2" t="str">
        <f>IFERROR(__xludf.DUMMYFUNCTION("GOOGLETRANSLATE(A45449, ""de"", ""en"")"),"ostracized")</f>
        <v>ostracized</v>
      </c>
    </row>
    <row r="45450">
      <c r="A45450" s="1" t="s">
        <v>45449</v>
      </c>
      <c r="B45450" s="2" t="str">
        <f>IFERROR(__xludf.DUMMYFUNCTION("GOOGLETRANSLATE(A45450, ""de"", ""en"")"),"air force base")</f>
        <v>air force base</v>
      </c>
    </row>
    <row r="45451">
      <c r="A45451" s="1" t="s">
        <v>45450</v>
      </c>
      <c r="B45451" s="2" t="str">
        <f>IFERROR(__xludf.DUMMYFUNCTION("GOOGLETRANSLATE(A45451, ""de"", ""en"")"),"mass grave")</f>
        <v>mass grave</v>
      </c>
    </row>
    <row r="45452">
      <c r="A45452" s="1" t="s">
        <v>45451</v>
      </c>
      <c r="B45452" s="2" t="str">
        <f>IFERROR(__xludf.DUMMYFUNCTION("GOOGLETRANSLATE(A45452, ""de"", ""en"")"),"free ticket")</f>
        <v>free ticket</v>
      </c>
    </row>
    <row r="45453">
      <c r="A45453" s="1" t="s">
        <v>45452</v>
      </c>
      <c r="B45453" s="2" t="str">
        <f>IFERROR(__xludf.DUMMYFUNCTION("GOOGLETRANSLATE(A45453, ""de"", ""en"")"),"shopping spree")</f>
        <v>shopping spree</v>
      </c>
    </row>
    <row r="45454">
      <c r="A45454" s="1" t="s">
        <v>45453</v>
      </c>
      <c r="B45454" s="2" t="str">
        <f>IFERROR(__xludf.DUMMYFUNCTION("GOOGLETRANSLATE(A45454, ""de"", ""en"")"),"preached")</f>
        <v>preached</v>
      </c>
    </row>
    <row r="45455">
      <c r="A45455" s="1" t="s">
        <v>45454</v>
      </c>
      <c r="B45455" s="2" t="str">
        <f>IFERROR(__xludf.DUMMYFUNCTION("GOOGLETRANSLATE(A45455, ""de"", ""en"")"),"Saudi")</f>
        <v>Saudi</v>
      </c>
    </row>
    <row r="45456">
      <c r="A45456" s="1" t="s">
        <v>45455</v>
      </c>
      <c r="B45456" s="2" t="str">
        <f>IFERROR(__xludf.DUMMYFUNCTION("GOOGLETRANSLATE(A45456, ""de"", ""en"")"),"marky")</f>
        <v>marky</v>
      </c>
    </row>
    <row r="45457">
      <c r="A45457" s="1" t="s">
        <v>45456</v>
      </c>
      <c r="B45457" s="2" t="str">
        <f>IFERROR(__xludf.DUMMYFUNCTION("GOOGLETRANSLATE(A45457, ""de"", ""en"")"),"repeat offenders")</f>
        <v>repeat offenders</v>
      </c>
    </row>
    <row r="45458">
      <c r="A45458" s="1" t="s">
        <v>45457</v>
      </c>
      <c r="B45458" s="2" t="str">
        <f>IFERROR(__xludf.DUMMYFUNCTION("GOOGLETRANSLATE(A45458, ""de"", ""en"")"),"spice up")</f>
        <v>spice up</v>
      </c>
    </row>
    <row r="45459">
      <c r="A45459" s="1" t="s">
        <v>45458</v>
      </c>
      <c r="B45459" s="2" t="str">
        <f>IFERROR(__xludf.DUMMYFUNCTION("GOOGLETRANSLATE(A45459, ""de"", ""en"")"),"undead")</f>
        <v>undead</v>
      </c>
    </row>
    <row r="45460">
      <c r="A45460" s="1" t="s">
        <v>45459</v>
      </c>
      <c r="B45460" s="2" t="str">
        <f>IFERROR(__xludf.DUMMYFUNCTION("GOOGLETRANSLATE(A45460, ""de"", ""en"")"),"scrap")</f>
        <v>scrap</v>
      </c>
    </row>
    <row r="45461">
      <c r="A45461" s="1" t="s">
        <v>45460</v>
      </c>
      <c r="B45461" s="2" t="str">
        <f>IFERROR(__xludf.DUMMYFUNCTION("GOOGLETRANSLATE(A45461, ""de"", ""en"")"),"saboteurs")</f>
        <v>saboteurs</v>
      </c>
    </row>
    <row r="45462">
      <c r="A45462" s="1" t="s">
        <v>45461</v>
      </c>
      <c r="B45462" s="2" t="str">
        <f>IFERROR(__xludf.DUMMYFUNCTION("GOOGLETRANSLATE(A45462, ""de"", ""en"")"),"lundgren")</f>
        <v>lundgren</v>
      </c>
    </row>
    <row r="45463">
      <c r="A45463" s="1" t="s">
        <v>45462</v>
      </c>
      <c r="B45463" s="2" t="str">
        <f>IFERROR(__xludf.DUMMYFUNCTION("GOOGLETRANSLATE(A45463, ""de"", ""en"")"),"boasted")</f>
        <v>boasted</v>
      </c>
    </row>
    <row r="45464">
      <c r="A45464" s="1" t="s">
        <v>45463</v>
      </c>
      <c r="B45464" s="2" t="str">
        <f>IFERROR(__xludf.DUMMYFUNCTION("GOOGLETRANSLATE(A45464, ""de"", ""en"")"),"monozygotic")</f>
        <v>monozygotic</v>
      </c>
    </row>
    <row r="45465">
      <c r="A45465" s="1" t="s">
        <v>45464</v>
      </c>
      <c r="B45465" s="2" t="str">
        <f>IFERROR(__xludf.DUMMYFUNCTION("GOOGLETRANSLATE(A45465, ""de"", ""en"")"),"chemical")</f>
        <v>chemical</v>
      </c>
    </row>
    <row r="45466">
      <c r="A45466" s="1" t="s">
        <v>45465</v>
      </c>
      <c r="B45466" s="2" t="str">
        <f>IFERROR(__xludf.DUMMYFUNCTION("GOOGLETRANSLATE(A45466, ""de"", ""en"")"),"proportions")</f>
        <v>proportions</v>
      </c>
    </row>
    <row r="45467">
      <c r="A45467" s="1" t="s">
        <v>45466</v>
      </c>
      <c r="B45467" s="2" t="str">
        <f>IFERROR(__xludf.DUMMYFUNCTION("GOOGLETRANSLATE(A45467, ""de"", ""en"")"),"misfortune")</f>
        <v>misfortune</v>
      </c>
    </row>
    <row r="45468">
      <c r="A45468" s="1" t="s">
        <v>45467</v>
      </c>
      <c r="B45468" s="2" t="str">
        <f>IFERROR(__xludf.DUMMYFUNCTION("GOOGLETRANSLATE(A45468, ""de"", ""en"")"),"marcels")</f>
        <v>marcels</v>
      </c>
    </row>
    <row r="45469">
      <c r="A45469" s="1" t="s">
        <v>45468</v>
      </c>
      <c r="B45469" s="2" t="str">
        <f>IFERROR(__xludf.DUMMYFUNCTION("GOOGLETRANSLATE(A45469, ""de"", ""en"")"),"hit it")</f>
        <v>hit it</v>
      </c>
    </row>
    <row r="45470">
      <c r="A45470" s="1" t="s">
        <v>45469</v>
      </c>
      <c r="B45470" s="2" t="str">
        <f>IFERROR(__xludf.DUMMYFUNCTION("GOOGLETRANSLATE(A45470, ""de"", ""en"")"),"deadlysins")</f>
        <v>deadlysins</v>
      </c>
    </row>
    <row r="45471">
      <c r="A45471" s="1" t="s">
        <v>45470</v>
      </c>
      <c r="B45471" s="2" t="str">
        <f>IFERROR(__xludf.DUMMYFUNCTION("GOOGLETRANSLATE(A45471, ""de"", ""en"")"),"looked")</f>
        <v>looked</v>
      </c>
    </row>
    <row r="45472">
      <c r="A45472" s="1" t="s">
        <v>45471</v>
      </c>
      <c r="B45472" s="2" t="str">
        <f>IFERROR(__xludf.DUMMYFUNCTION("GOOGLETRANSLATE(A45472, ""de"", ""en"")"),"threat")</f>
        <v>threat</v>
      </c>
    </row>
    <row r="45473">
      <c r="A45473" s="1" t="s">
        <v>45472</v>
      </c>
      <c r="B45473" s="2" t="str">
        <f>IFERROR(__xludf.DUMMYFUNCTION("GOOGLETRANSLATE(A45473, ""de"", ""en"")"),"estrada")</f>
        <v>estrada</v>
      </c>
    </row>
    <row r="45474">
      <c r="A45474" s="1" t="s">
        <v>45473</v>
      </c>
      <c r="B45474" s="2" t="str">
        <f>IFERROR(__xludf.DUMMYFUNCTION("GOOGLETRANSLATE(A45474, ""de"", ""en"")"),"nine times")</f>
        <v>nine times</v>
      </c>
    </row>
    <row r="45475">
      <c r="A45475" s="1" t="s">
        <v>45474</v>
      </c>
      <c r="B45475" s="2" t="str">
        <f>IFERROR(__xludf.DUMMYFUNCTION("GOOGLETRANSLATE(A45475, ""de"", ""en"")"),"shah")</f>
        <v>shah</v>
      </c>
    </row>
    <row r="45476">
      <c r="A45476" s="1" t="s">
        <v>45475</v>
      </c>
      <c r="B45476" s="2" t="str">
        <f>IFERROR(__xludf.DUMMYFUNCTION("GOOGLETRANSLATE(A45476, ""de"", ""en"")"),"electric car")</f>
        <v>electric car</v>
      </c>
    </row>
    <row r="45477">
      <c r="A45477" s="1" t="s">
        <v>45476</v>
      </c>
      <c r="B45477" s="2" t="str">
        <f>IFERROR(__xludf.DUMMYFUNCTION("GOOGLETRANSLATE(A45477, ""de"", ""en"")"),"schnapps")</f>
        <v>schnapps</v>
      </c>
    </row>
    <row r="45478">
      <c r="A45478" s="1" t="s">
        <v>45477</v>
      </c>
      <c r="B45478" s="2" t="str">
        <f>IFERROR(__xludf.DUMMYFUNCTION("GOOGLETRANSLATE(A45478, ""de"", ""en"")"),"full time job")</f>
        <v>full time job</v>
      </c>
    </row>
    <row r="45479">
      <c r="A45479" s="1" t="s">
        <v>45478</v>
      </c>
      <c r="B45479" s="2" t="str">
        <f>IFERROR(__xludf.DUMMYFUNCTION("GOOGLETRANSLATE(A45479, ""de"", ""en"")"),"muharrem")</f>
        <v>muharrem</v>
      </c>
    </row>
    <row r="45480">
      <c r="A45480" s="1" t="s">
        <v>45479</v>
      </c>
      <c r="B45480" s="2" t="str">
        <f>IFERROR(__xludf.DUMMYFUNCTION("GOOGLETRANSLATE(A45480, ""de"", ""en"")"),"breadwinner")</f>
        <v>breadwinner</v>
      </c>
    </row>
    <row r="45481">
      <c r="A45481" s="1" t="s">
        <v>45480</v>
      </c>
      <c r="B45481" s="2" t="str">
        <f>IFERROR(__xludf.DUMMYFUNCTION("GOOGLETRANSLATE(A45481, ""de"", ""en"")"),"chubby")</f>
        <v>chubby</v>
      </c>
    </row>
    <row r="45482">
      <c r="A45482" s="1" t="s">
        <v>45481</v>
      </c>
      <c r="B45482" s="2" t="str">
        <f>IFERROR(__xludf.DUMMYFUNCTION("GOOGLETRANSLATE(A45482, ""de"", ""en"")"),"gust of wind")</f>
        <v>gust of wind</v>
      </c>
    </row>
    <row r="45483">
      <c r="A45483" s="1" t="s">
        <v>45482</v>
      </c>
      <c r="B45483" s="2" t="str">
        <f>IFERROR(__xludf.DUMMYFUNCTION("GOOGLETRANSLATE(A45483, ""de"", ""en"")"),"gets back")</f>
        <v>gets back</v>
      </c>
    </row>
    <row r="45484">
      <c r="A45484" s="1" t="s">
        <v>45483</v>
      </c>
      <c r="B45484" s="2" t="str">
        <f>IFERROR(__xludf.DUMMYFUNCTION("GOOGLETRANSLATE(A45484, ""de"", ""en"")"),"undertone")</f>
        <v>undertone</v>
      </c>
    </row>
    <row r="45485">
      <c r="A45485" s="1" t="s">
        <v>45484</v>
      </c>
      <c r="B45485" s="2" t="str">
        <f>IFERROR(__xludf.DUMMYFUNCTION("GOOGLETRANSLATE(A45485, ""de"", ""en"")"),"protected")</f>
        <v>protected</v>
      </c>
    </row>
    <row r="45486">
      <c r="A45486" s="1" t="s">
        <v>45485</v>
      </c>
      <c r="B45486" s="2" t="str">
        <f>IFERROR(__xludf.DUMMYFUNCTION("GOOGLETRANSLATE(A45486, ""de"", ""en"")"),"ice nation")</f>
        <v>ice nation</v>
      </c>
    </row>
    <row r="45487">
      <c r="A45487" s="1" t="s">
        <v>45486</v>
      </c>
      <c r="B45487" s="2" t="str">
        <f>IFERROR(__xludf.DUMMYFUNCTION("GOOGLETRANSLATE(A45487, ""de"", ""en"")"),"left free")</f>
        <v>left free</v>
      </c>
    </row>
    <row r="45488">
      <c r="A45488" s="1" t="s">
        <v>45487</v>
      </c>
      <c r="B45488" s="2" t="str">
        <f>IFERROR(__xludf.DUMMYFUNCTION("GOOGLETRANSLATE(A45488, ""de"", ""en"")"),"transported away")</f>
        <v>transported away</v>
      </c>
    </row>
    <row r="45489">
      <c r="A45489" s="1" t="s">
        <v>45488</v>
      </c>
      <c r="B45489" s="2" t="str">
        <f>IFERROR(__xludf.DUMMYFUNCTION("GOOGLETRANSLATE(A45489, ""de"", ""en"")"),"midge")</f>
        <v>midge</v>
      </c>
    </row>
    <row r="45490">
      <c r="A45490" s="1" t="s">
        <v>45489</v>
      </c>
      <c r="B45490" s="2" t="str">
        <f>IFERROR(__xludf.DUMMYFUNCTION("GOOGLETRANSLATE(A45490, ""de"", ""en"")"),"courtesy visit")</f>
        <v>courtesy visit</v>
      </c>
    </row>
    <row r="45491">
      <c r="A45491" s="1" t="s">
        <v>45490</v>
      </c>
      <c r="B45491" s="2" t="str">
        <f>IFERROR(__xludf.DUMMYFUNCTION("GOOGLETRANSLATE(A45491, ""de"", ""en"")"),"eject")</f>
        <v>eject</v>
      </c>
    </row>
    <row r="45492">
      <c r="A45492" s="1" t="s">
        <v>45491</v>
      </c>
      <c r="B45492" s="2" t="str">
        <f>IFERROR(__xludf.DUMMYFUNCTION("GOOGLETRANSLATE(A45492, ""de"", ""en"")"),"built")</f>
        <v>built</v>
      </c>
    </row>
    <row r="45493">
      <c r="A45493" s="1" t="s">
        <v>45492</v>
      </c>
      <c r="B45493" s="2" t="str">
        <f>IFERROR(__xludf.DUMMYFUNCTION("GOOGLETRANSLATE(A45493, ""de"", ""en"")"),"mount")</f>
        <v>mount</v>
      </c>
    </row>
    <row r="45494">
      <c r="A45494" s="1" t="s">
        <v>45493</v>
      </c>
      <c r="B45494" s="2" t="str">
        <f>IFERROR(__xludf.DUMMYFUNCTION("GOOGLETRANSLATE(A45494, ""de"", ""en"")"),"tail")</f>
        <v>tail</v>
      </c>
    </row>
    <row r="45495">
      <c r="A45495" s="1" t="s">
        <v>45494</v>
      </c>
      <c r="B45495" s="2" t="str">
        <f>IFERROR(__xludf.DUMMYFUNCTION("GOOGLETRANSLATE(A45495, ""de"", ""en"")"),"Eleanor")</f>
        <v>Eleanor</v>
      </c>
    </row>
    <row r="45496">
      <c r="A45496" s="1" t="s">
        <v>45495</v>
      </c>
      <c r="B45496" s="2" t="str">
        <f>IFERROR(__xludf.DUMMYFUNCTION("GOOGLETRANSLATE(A45496, ""de"", ""en"")"),"worldview")</f>
        <v>worldview</v>
      </c>
    </row>
    <row r="45497">
      <c r="A45497" s="1" t="s">
        <v>45496</v>
      </c>
      <c r="B45497" s="2" t="str">
        <f>IFERROR(__xludf.DUMMYFUNCTION("GOOGLETRANSLATE(A45497, ""de"", ""en"")"),"staked")</f>
        <v>staked</v>
      </c>
    </row>
    <row r="45498">
      <c r="A45498" s="1" t="s">
        <v>45497</v>
      </c>
      <c r="B45498" s="2" t="str">
        <f>IFERROR(__xludf.DUMMYFUNCTION("GOOGLETRANSLATE(A45498, ""de"", ""en"")"),"pepito")</f>
        <v>pepito</v>
      </c>
    </row>
    <row r="45499">
      <c r="A45499" s="1" t="s">
        <v>45498</v>
      </c>
      <c r="B45499" s="2" t="str">
        <f>IFERROR(__xludf.DUMMYFUNCTION("GOOGLETRANSLATE(A45499, ""de"", ""en"")"),"s01e06")</f>
        <v>s01e06</v>
      </c>
    </row>
    <row r="45500">
      <c r="A45500" s="1" t="s">
        <v>45499</v>
      </c>
      <c r="B45500" s="2" t="str">
        <f>IFERROR(__xludf.DUMMYFUNCTION("GOOGLETRANSLATE(A45500, ""de"", ""en"")"),"accord")</f>
        <v>accord</v>
      </c>
    </row>
    <row r="45501">
      <c r="A45501" s="1" t="s">
        <v>45500</v>
      </c>
      <c r="B45501" s="2" t="str">
        <f>IFERROR(__xludf.DUMMYFUNCTION("GOOGLETRANSLATE(A45501, ""de"", ""en"")"),"savings bank")</f>
        <v>savings bank</v>
      </c>
    </row>
    <row r="45502">
      <c r="A45502" s="1" t="s">
        <v>45501</v>
      </c>
      <c r="B45502" s="2" t="str">
        <f>IFERROR(__xludf.DUMMYFUNCTION("GOOGLETRANSLATE(A45502, ""de"", ""en"")"),"numbered")</f>
        <v>numbered</v>
      </c>
    </row>
    <row r="45503">
      <c r="A45503" s="1" t="s">
        <v>45502</v>
      </c>
      <c r="B45503" s="2" t="str">
        <f>IFERROR(__xludf.DUMMYFUNCTION("GOOGLETRANSLATE(A45503, ""de"", ""en"")"),"jaspers")</f>
        <v>jaspers</v>
      </c>
    </row>
    <row r="45504">
      <c r="A45504" s="1" t="s">
        <v>45503</v>
      </c>
      <c r="B45504" s="2" t="str">
        <f>IFERROR(__xludf.DUMMYFUNCTION("GOOGLETRANSLATE(A45504, ""de"", ""en"")"),"espn")</f>
        <v>espn</v>
      </c>
    </row>
    <row r="45505">
      <c r="A45505" s="1" t="s">
        <v>45504</v>
      </c>
      <c r="B45505" s="2" t="str">
        <f>IFERROR(__xludf.DUMMYFUNCTION("GOOGLETRANSLATE(A45505, ""de"", ""en"")"),"blooming")</f>
        <v>blooming</v>
      </c>
    </row>
    <row r="45506">
      <c r="A45506" s="1" t="s">
        <v>45505</v>
      </c>
      <c r="B45506" s="2" t="str">
        <f>IFERROR(__xludf.DUMMYFUNCTION("GOOGLETRANSLATE(A45506, ""de"", ""en"")"),"to complete")</f>
        <v>to complete</v>
      </c>
    </row>
    <row r="45507">
      <c r="A45507" s="1" t="s">
        <v>45506</v>
      </c>
      <c r="B45507" s="2" t="str">
        <f>IFERROR(__xludf.DUMMYFUNCTION("GOOGLETRANSLATE(A45507, ""de"", ""en"")"),"shoe shop")</f>
        <v>shoe shop</v>
      </c>
    </row>
    <row r="45508">
      <c r="A45508" s="1" t="s">
        <v>45507</v>
      </c>
      <c r="B45508" s="2" t="str">
        <f>IFERROR(__xludf.DUMMYFUNCTION("GOOGLETRANSLATE(A45508, ""de"", ""en"")"),"burn out")</f>
        <v>burn out</v>
      </c>
    </row>
    <row r="45509">
      <c r="A45509" s="1" t="s">
        <v>45508</v>
      </c>
      <c r="B45509" s="2" t="str">
        <f>IFERROR(__xludf.DUMMYFUNCTION("GOOGLETRANSLATE(A45509, ""de"", ""en"")"),"play around")</f>
        <v>play around</v>
      </c>
    </row>
    <row r="45510">
      <c r="A45510" s="1" t="s">
        <v>45509</v>
      </c>
      <c r="B45510" s="2" t="str">
        <f>IFERROR(__xludf.DUMMYFUNCTION("GOOGLETRANSLATE(A45510, ""de"", ""en"")"),"fonda")</f>
        <v>fonda</v>
      </c>
    </row>
    <row r="45511">
      <c r="A45511" s="1" t="s">
        <v>45510</v>
      </c>
      <c r="B45511" s="2" t="str">
        <f>IFERROR(__xludf.DUMMYFUNCTION("GOOGLETRANSLATE(A45511, ""de"", ""en"")"),"zouri")</f>
        <v>zouri</v>
      </c>
    </row>
    <row r="45512">
      <c r="A45512" s="1" t="s">
        <v>45511</v>
      </c>
      <c r="B45512" s="2" t="str">
        <f>IFERROR(__xludf.DUMMYFUNCTION("GOOGLETRANSLATE(A45512, ""de"", ""en"")"),"comme")</f>
        <v>comme</v>
      </c>
    </row>
    <row r="45513">
      <c r="A45513" s="1" t="s">
        <v>45512</v>
      </c>
      <c r="B45513" s="2" t="str">
        <f>IFERROR(__xludf.DUMMYFUNCTION("GOOGLETRANSLATE(A45513, ""de"", ""en"")"),"gamble")</f>
        <v>gamble</v>
      </c>
    </row>
    <row r="45514">
      <c r="A45514" s="1" t="s">
        <v>45513</v>
      </c>
      <c r="B45514" s="2" t="str">
        <f>IFERROR(__xludf.DUMMYFUNCTION("GOOGLETRANSLATE(A45514, ""de"", ""en"")"),"broken")</f>
        <v>broken</v>
      </c>
    </row>
    <row r="45515">
      <c r="A45515" s="1" t="s">
        <v>45514</v>
      </c>
      <c r="B45515" s="2" t="str">
        <f>IFERROR(__xludf.DUMMYFUNCTION("GOOGLETRANSLATE(A45515, ""de"", ""en"")"),"tended")</f>
        <v>tended</v>
      </c>
    </row>
    <row r="45516">
      <c r="A45516" s="1" t="s">
        <v>45515</v>
      </c>
      <c r="B45516" s="2" t="str">
        <f>IFERROR(__xludf.DUMMYFUNCTION("GOOGLETRANSLATE(A45516, ""de"", ""en"")"),"cashed in")</f>
        <v>cashed in</v>
      </c>
    </row>
    <row r="45517">
      <c r="A45517" s="1" t="s">
        <v>45516</v>
      </c>
      <c r="B45517" s="2" t="str">
        <f>IFERROR(__xludf.DUMMYFUNCTION("GOOGLETRANSLATE(A45517, ""de"", ""en"")"),"experimental object")</f>
        <v>experimental object</v>
      </c>
    </row>
    <row r="45518">
      <c r="A45518" s="1" t="s">
        <v>45517</v>
      </c>
      <c r="B45518" s="2" t="str">
        <f>IFERROR(__xludf.DUMMYFUNCTION("GOOGLETRANSLATE(A45518, ""de"", ""en"")"),"Antilles")</f>
        <v>Antilles</v>
      </c>
    </row>
    <row r="45519">
      <c r="A45519" s="1" t="s">
        <v>45518</v>
      </c>
      <c r="B45519" s="2" t="str">
        <f>IFERROR(__xludf.DUMMYFUNCTION("GOOGLETRANSLATE(A45519, ""de"", ""en"")"),"fawn")</f>
        <v>fawn</v>
      </c>
    </row>
    <row r="45520">
      <c r="A45520" s="1" t="s">
        <v>45519</v>
      </c>
      <c r="B45520" s="2" t="str">
        <f>IFERROR(__xludf.DUMMYFUNCTION("GOOGLETRANSLATE(A45520, ""de"", ""en"")"),"overwhelmed")</f>
        <v>overwhelmed</v>
      </c>
    </row>
    <row r="45521">
      <c r="A45521" s="1" t="s">
        <v>45520</v>
      </c>
      <c r="B45521" s="2" t="str">
        <f>IFERROR(__xludf.DUMMYFUNCTION("GOOGLETRANSLATE(A45521, ""de"", ""en"")"),"hado")</f>
        <v>hado</v>
      </c>
    </row>
    <row r="45522">
      <c r="A45522" s="1" t="s">
        <v>45521</v>
      </c>
      <c r="B45522" s="2" t="str">
        <f>IFERROR(__xludf.DUMMYFUNCTION("GOOGLETRANSLATE(A45522, ""de"", ""en"")"),"treadwell")</f>
        <v>treadwell</v>
      </c>
    </row>
    <row r="45523">
      <c r="A45523" s="1" t="s">
        <v>45522</v>
      </c>
      <c r="B45523" s="2" t="str">
        <f>IFERROR(__xludf.DUMMYFUNCTION("GOOGLETRANSLATE(A45523, ""de"", ""en"")"),"silver pieces")</f>
        <v>silver pieces</v>
      </c>
    </row>
    <row r="45524">
      <c r="A45524" s="1" t="s">
        <v>45523</v>
      </c>
      <c r="B45524" s="2" t="str">
        <f>IFERROR(__xludf.DUMMYFUNCTION("GOOGLETRANSLATE(A45524, ""de"", ""en"")"),"duffel bag")</f>
        <v>duffel bag</v>
      </c>
    </row>
    <row r="45525">
      <c r="A45525" s="1" t="s">
        <v>45524</v>
      </c>
      <c r="B45525" s="2" t="str">
        <f>IFERROR(__xludf.DUMMYFUNCTION("GOOGLETRANSLATE(A45525, ""de"", ""en"")"),"floors")</f>
        <v>floors</v>
      </c>
    </row>
    <row r="45526">
      <c r="A45526" s="1" t="s">
        <v>45525</v>
      </c>
      <c r="B45526" s="2" t="str">
        <f>IFERROR(__xludf.DUMMYFUNCTION("GOOGLETRANSLATE(A45526, ""de"", ""en"")"),"scuffle")</f>
        <v>scuffle</v>
      </c>
    </row>
    <row r="45527">
      <c r="A45527" s="1" t="s">
        <v>45526</v>
      </c>
      <c r="B45527" s="2" t="str">
        <f>IFERROR(__xludf.DUMMYFUNCTION("GOOGLETRANSLATE(A45527, ""de"", ""en"")"),"happening")</f>
        <v>happening</v>
      </c>
    </row>
    <row r="45528">
      <c r="A45528" s="1" t="s">
        <v>45527</v>
      </c>
      <c r="B45528" s="2" t="str">
        <f>IFERROR(__xludf.DUMMYFUNCTION("GOOGLETRANSLATE(A45528, ""de"", ""en"")"),"goffredo")</f>
        <v>goffredo</v>
      </c>
    </row>
    <row r="45529">
      <c r="A45529" s="1" t="s">
        <v>45528</v>
      </c>
      <c r="B45529" s="2" t="str">
        <f>IFERROR(__xludf.DUMMYFUNCTION("GOOGLETRANSLATE(A45529, ""de"", ""en"")"),"bracket")</f>
        <v>bracket</v>
      </c>
    </row>
    <row r="45530">
      <c r="A45530" s="1" t="s">
        <v>45529</v>
      </c>
      <c r="B45530" s="2" t="str">
        <f>IFERROR(__xludf.DUMMYFUNCTION("GOOGLETRANSLATE(A45530, ""de"", ""en"")"),"bidet")</f>
        <v>bidet</v>
      </c>
    </row>
    <row r="45531">
      <c r="A45531" s="1" t="s">
        <v>45530</v>
      </c>
      <c r="B45531" s="2" t="str">
        <f>IFERROR(__xludf.DUMMYFUNCTION("GOOGLETRANSLATE(A45531, ""de"", ""en"")"),"dislocated")</f>
        <v>dislocated</v>
      </c>
    </row>
    <row r="45532">
      <c r="A45532" s="1" t="s">
        <v>45531</v>
      </c>
      <c r="B45532" s="2" t="str">
        <f>IFERROR(__xludf.DUMMYFUNCTION("GOOGLETRANSLATE(A45532, ""de"", ""en"")"),"solid")</f>
        <v>solid</v>
      </c>
    </row>
    <row r="45533">
      <c r="A45533" s="1" t="s">
        <v>45532</v>
      </c>
      <c r="B45533" s="2" t="str">
        <f>IFERROR(__xludf.DUMMYFUNCTION("GOOGLETRANSLATE(A45533, ""de"", ""en"")"),"offerings")</f>
        <v>offerings</v>
      </c>
    </row>
    <row r="45534">
      <c r="A45534" s="1" t="s">
        <v>45533</v>
      </c>
      <c r="B45534" s="2" t="str">
        <f>IFERROR(__xludf.DUMMYFUNCTION("GOOGLETRANSLATE(A45534, ""de"", ""en"")"),"olympic")</f>
        <v>olympic</v>
      </c>
    </row>
    <row r="45535">
      <c r="A45535" s="1" t="s">
        <v>45534</v>
      </c>
      <c r="B45535" s="2" t="str">
        <f>IFERROR(__xludf.DUMMYFUNCTION("GOOGLETRANSLATE(A45535, ""de"", ""en"")"),"regional")</f>
        <v>regional</v>
      </c>
    </row>
    <row r="45536">
      <c r="A45536" s="1" t="s">
        <v>45535</v>
      </c>
      <c r="B45536" s="2" t="str">
        <f>IFERROR(__xludf.DUMMYFUNCTION("GOOGLETRANSLATE(A45536, ""de"", ""en"")"),"goblets")</f>
        <v>goblets</v>
      </c>
    </row>
    <row r="45537">
      <c r="A45537" s="1" t="s">
        <v>45536</v>
      </c>
      <c r="B45537" s="2" t="str">
        <f>IFERROR(__xludf.DUMMYFUNCTION("GOOGLETRANSLATE(A45537, ""de"", ""en"")"),"get out")</f>
        <v>get out</v>
      </c>
    </row>
    <row r="45538">
      <c r="A45538" s="1" t="s">
        <v>45537</v>
      </c>
      <c r="B45538" s="2" t="str">
        <f>IFERROR(__xludf.DUMMYFUNCTION("GOOGLETRANSLATE(A45538, ""de"", ""en"")"),"weaned off")</f>
        <v>weaned off</v>
      </c>
    </row>
    <row r="45539">
      <c r="A45539" s="1" t="s">
        <v>45538</v>
      </c>
      <c r="B45539" s="2" t="str">
        <f>IFERROR(__xludf.DUMMYFUNCTION("GOOGLETRANSLATE(A45539, ""de"", ""en"")"),"cute")</f>
        <v>cute</v>
      </c>
    </row>
    <row r="45540">
      <c r="A45540" s="1" t="s">
        <v>45539</v>
      </c>
      <c r="B45540" s="2" t="str">
        <f>IFERROR(__xludf.DUMMYFUNCTION("GOOGLETRANSLATE(A45540, ""de"", ""en"")"),"attracted")</f>
        <v>attracted</v>
      </c>
    </row>
    <row r="45541">
      <c r="A45541" s="1" t="s">
        <v>45540</v>
      </c>
      <c r="B45541" s="2" t="str">
        <f>IFERROR(__xludf.DUMMYFUNCTION("GOOGLETRANSLATE(A45541, ""de"", ""en"")"),"doinel")</f>
        <v>doinel</v>
      </c>
    </row>
    <row r="45542">
      <c r="A45542" s="1" t="s">
        <v>45541</v>
      </c>
      <c r="B45542" s="2" t="str">
        <f>IFERROR(__xludf.DUMMYFUNCTION("GOOGLETRANSLATE(A45542, ""de"", ""en"")"),"Goodbye")</f>
        <v>Goodbye</v>
      </c>
    </row>
    <row r="45543">
      <c r="A45543" s="1" t="s">
        <v>45542</v>
      </c>
      <c r="B45543" s="2" t="str">
        <f>IFERROR(__xludf.DUMMYFUNCTION("GOOGLETRANSLATE(A45543, ""de"", ""en"")"),"stubborn")</f>
        <v>stubborn</v>
      </c>
    </row>
    <row r="45544">
      <c r="A45544" s="1" t="s">
        <v>45543</v>
      </c>
      <c r="B45544" s="2" t="str">
        <f>IFERROR(__xludf.DUMMYFUNCTION("GOOGLETRANSLATE(A45544, ""de"", ""en"")"),"mediocre")</f>
        <v>mediocre</v>
      </c>
    </row>
    <row r="45545">
      <c r="A45545" s="1" t="s">
        <v>45544</v>
      </c>
      <c r="B45545" s="2" t="str">
        <f>IFERROR(__xludf.DUMMYFUNCTION("GOOGLETRANSLATE(A45545, ""de"", ""en"")"),"house guest")</f>
        <v>house guest</v>
      </c>
    </row>
    <row r="45546">
      <c r="A45546" s="1" t="s">
        <v>45545</v>
      </c>
      <c r="B45546" s="2" t="str">
        <f>IFERROR(__xludf.DUMMYFUNCTION("GOOGLETRANSLATE(A45546, ""de"", ""en"")"),"externalities")</f>
        <v>externalities</v>
      </c>
    </row>
    <row r="45547">
      <c r="A45547" s="1" t="s">
        <v>45546</v>
      </c>
      <c r="B45547" s="2" t="str">
        <f>IFERROR(__xludf.DUMMYFUNCTION("GOOGLETRANSLATE(A45547, ""de"", ""en"")"),"hedwig")</f>
        <v>hedwig</v>
      </c>
    </row>
    <row r="45548">
      <c r="A45548" s="1" t="s">
        <v>45547</v>
      </c>
      <c r="B45548" s="2" t="str">
        <f>IFERROR(__xludf.DUMMYFUNCTION("GOOGLETRANSLATE(A45548, ""de"", ""en"")"),"private party")</f>
        <v>private party</v>
      </c>
    </row>
    <row r="45549">
      <c r="A45549" s="1" t="s">
        <v>45548</v>
      </c>
      <c r="B45549" s="2" t="str">
        <f>IFERROR(__xludf.DUMMYFUNCTION("GOOGLETRANSLATE(A45549, ""de"", ""en"")"),"name day")</f>
        <v>name day</v>
      </c>
    </row>
    <row r="45550">
      <c r="A45550" s="1" t="s">
        <v>45549</v>
      </c>
      <c r="B45550" s="2" t="str">
        <f>IFERROR(__xludf.DUMMYFUNCTION("GOOGLETRANSLATE(A45550, ""de"", ""en"")"),"flawless")</f>
        <v>flawless</v>
      </c>
    </row>
    <row r="45551">
      <c r="A45551" s="1" t="s">
        <v>45550</v>
      </c>
      <c r="B45551" s="2" t="str">
        <f>IFERROR(__xludf.DUMMYFUNCTION("GOOGLETRANSLATE(A45551, ""de"", ""en"")"),"boyz")</f>
        <v>boyz</v>
      </c>
    </row>
    <row r="45552">
      <c r="A45552" s="1" t="s">
        <v>45551</v>
      </c>
      <c r="B45552" s="2" t="str">
        <f>IFERROR(__xludf.DUMMYFUNCTION("GOOGLETRANSLATE(A45552, ""de"", ""en"")"),"zeliha")</f>
        <v>zeliha</v>
      </c>
    </row>
    <row r="45553">
      <c r="A45553" s="1" t="s">
        <v>45552</v>
      </c>
      <c r="B45553" s="2" t="str">
        <f>IFERROR(__xludf.DUMMYFUNCTION("GOOGLETRANSLATE(A45553, ""de"", ""en"")"),"rambunctious")</f>
        <v>rambunctious</v>
      </c>
    </row>
    <row r="45554">
      <c r="A45554" s="1" t="s">
        <v>45553</v>
      </c>
      <c r="B45554" s="2" t="str">
        <f>IFERROR(__xludf.DUMMYFUNCTION("GOOGLETRANSLATE(A45554, ""de"", ""en"")"),"lebowski")</f>
        <v>lebowski</v>
      </c>
    </row>
    <row r="45555">
      <c r="A45555" s="1" t="s">
        <v>45554</v>
      </c>
      <c r="B45555" s="2" t="str">
        <f>IFERROR(__xludf.DUMMYFUNCTION("GOOGLETRANSLATE(A45555, ""de"", ""en"")"),"rã")</f>
        <v>rã</v>
      </c>
    </row>
    <row r="45556">
      <c r="A45556" s="1" t="s">
        <v>45555</v>
      </c>
      <c r="B45556" s="2" t="str">
        <f>IFERROR(__xludf.DUMMYFUNCTION("GOOGLETRANSLATE(A45556, ""de"", ""en"")"),"Lowenstein")</f>
        <v>Lowenstein</v>
      </c>
    </row>
    <row r="45557">
      <c r="A45557" s="1" t="s">
        <v>45556</v>
      </c>
      <c r="B45557" s="2" t="str">
        <f>IFERROR(__xludf.DUMMYFUNCTION("GOOGLETRANSLATE(A45557, ""de"", ""en"")"),"Teresa")</f>
        <v>Teresa</v>
      </c>
    </row>
    <row r="45558">
      <c r="A45558" s="1" t="s">
        <v>45557</v>
      </c>
      <c r="B45558" s="2" t="str">
        <f>IFERROR(__xludf.DUMMYFUNCTION("GOOGLETRANSLATE(A45558, ""de"", ""en"")"),"point out")</f>
        <v>point out</v>
      </c>
    </row>
    <row r="45559">
      <c r="A45559" s="1" t="s">
        <v>45558</v>
      </c>
      <c r="B45559" s="2" t="str">
        <f>IFERROR(__xludf.DUMMYFUNCTION("GOOGLETRANSLATE(A45559, ""de"", ""en"")"),"strike out")</f>
        <v>strike out</v>
      </c>
    </row>
    <row r="45560">
      <c r="A45560" s="1" t="s">
        <v>45559</v>
      </c>
      <c r="B45560" s="2" t="str">
        <f>IFERROR(__xludf.DUMMYFUNCTION("GOOGLETRANSLATE(A45560, ""de"", ""en"")"),"general store")</f>
        <v>general store</v>
      </c>
    </row>
    <row r="45561">
      <c r="A45561" s="1" t="s">
        <v>45560</v>
      </c>
      <c r="B45561" s="2" t="str">
        <f>IFERROR(__xludf.DUMMYFUNCTION("GOOGLETRANSLATE(A45561, ""de"", ""en"")"),"stretch")</f>
        <v>stretch</v>
      </c>
    </row>
    <row r="45562">
      <c r="A45562" s="1" t="s">
        <v>45561</v>
      </c>
      <c r="B45562" s="2" t="str">
        <f>IFERROR(__xludf.DUMMYFUNCTION("GOOGLETRANSLATE(A45562, ""de"", ""en"")"),"hl")</f>
        <v>hl</v>
      </c>
    </row>
    <row r="45563">
      <c r="A45563" s="1" t="s">
        <v>45562</v>
      </c>
      <c r="B45563" s="2" t="str">
        <f>IFERROR(__xludf.DUMMYFUNCTION("GOOGLETRANSLATE(A45563, ""de"", ""en"")"),"shamrock")</f>
        <v>shamrock</v>
      </c>
    </row>
    <row r="45564">
      <c r="A45564" s="1" t="s">
        <v>45563</v>
      </c>
      <c r="B45564" s="2" t="str">
        <f>IFERROR(__xludf.DUMMYFUNCTION("GOOGLETRANSLATE(A45564, ""de"", ""en"")"),"funny characters")</f>
        <v>funny characters</v>
      </c>
    </row>
    <row r="45565">
      <c r="A45565" s="1" t="s">
        <v>45564</v>
      </c>
      <c r="B45565" s="2" t="str">
        <f>IFERROR(__xludf.DUMMYFUNCTION("GOOGLETRANSLATE(A45565, ""de"", ""en"")"),"falsehood")</f>
        <v>falsehood</v>
      </c>
    </row>
    <row r="45566">
      <c r="A45566" s="1" t="s">
        <v>45565</v>
      </c>
      <c r="B45566" s="2" t="str">
        <f>IFERROR(__xludf.DUMMYFUNCTION("GOOGLETRANSLATE(A45566, ""de"", ""en"")"),"gull")</f>
        <v>gull</v>
      </c>
    </row>
    <row r="45567">
      <c r="A45567" s="1" t="s">
        <v>45566</v>
      </c>
      <c r="B45567" s="2" t="str">
        <f>IFERROR(__xludf.DUMMYFUNCTION("GOOGLETRANSLATE(A45567, ""de"", ""en"")"),"peace negotiations")</f>
        <v>peace negotiations</v>
      </c>
    </row>
    <row r="45568">
      <c r="A45568" s="1" t="s">
        <v>45567</v>
      </c>
      <c r="B45568" s="2" t="str">
        <f>IFERROR(__xludf.DUMMYFUNCTION("GOOGLETRANSLATE(A45568, ""de"", ""en"")"),"cree")</f>
        <v>cree</v>
      </c>
    </row>
    <row r="45569">
      <c r="A45569" s="1" t="s">
        <v>45568</v>
      </c>
      <c r="B45569" s="2" t="str">
        <f>IFERROR(__xludf.DUMMYFUNCTION("GOOGLETRANSLATE(A45569, ""de"", ""en"")"),"nights")</f>
        <v>nights</v>
      </c>
    </row>
    <row r="45570">
      <c r="A45570" s="1" t="s">
        <v>45569</v>
      </c>
      <c r="B45570" s="2" t="str">
        <f>IFERROR(__xludf.DUMMYFUNCTION("GOOGLETRANSLATE(A45570, ""de"", ""en"")"),"christ child")</f>
        <v>christ child</v>
      </c>
    </row>
    <row r="45571">
      <c r="A45571" s="1" t="s">
        <v>45570</v>
      </c>
      <c r="B45571" s="2" t="str">
        <f>IFERROR(__xludf.DUMMYFUNCTION("GOOGLETRANSLATE(A45571, ""de"", ""en"")"),"glass pane")</f>
        <v>glass pane</v>
      </c>
    </row>
    <row r="45572">
      <c r="A45572" s="1" t="s">
        <v>45571</v>
      </c>
      <c r="B45572" s="2" t="str">
        <f>IFERROR(__xludf.DUMMYFUNCTION("GOOGLETRANSLATE(A45572, ""de"", ""en"")"),"hush money")</f>
        <v>hush money</v>
      </c>
    </row>
    <row r="45573">
      <c r="A45573" s="1" t="s">
        <v>45572</v>
      </c>
      <c r="B45573" s="2" t="str">
        <f>IFERROR(__xludf.DUMMYFUNCTION("GOOGLETRANSLATE(A45573, ""de"", ""en"")"),"misa")</f>
        <v>misa</v>
      </c>
    </row>
    <row r="45574">
      <c r="A45574" s="1" t="s">
        <v>45573</v>
      </c>
      <c r="B45574" s="2" t="str">
        <f>IFERROR(__xludf.DUMMYFUNCTION("GOOGLETRANSLATE(A45574, ""de"", ""en"")"),"gargles")</f>
        <v>gargles</v>
      </c>
    </row>
    <row r="45575">
      <c r="A45575" s="1" t="s">
        <v>45574</v>
      </c>
      <c r="B45575" s="2" t="str">
        <f>IFERROR(__xludf.DUMMYFUNCTION("GOOGLETRANSLATE(A45575, ""de"", ""en"")"),"muchacho")</f>
        <v>muchacho</v>
      </c>
    </row>
    <row r="45576">
      <c r="A45576" s="1" t="s">
        <v>45575</v>
      </c>
      <c r="B45576" s="2" t="str">
        <f>IFERROR(__xludf.DUMMYFUNCTION("GOOGLETRANSLATE(A45576, ""de"", ""en"")"),"banshee")</f>
        <v>banshee</v>
      </c>
    </row>
    <row r="45577">
      <c r="A45577" s="1" t="s">
        <v>45576</v>
      </c>
      <c r="B45577" s="2" t="str">
        <f>IFERROR(__xludf.DUMMYFUNCTION("GOOGLETRANSLATE(A45577, ""de"", ""en"")"),"lidocaine")</f>
        <v>lidocaine</v>
      </c>
    </row>
    <row r="45578">
      <c r="A45578" s="1" t="s">
        <v>45577</v>
      </c>
      <c r="B45578" s="2" t="str">
        <f>IFERROR(__xludf.DUMMYFUNCTION("GOOGLETRANSLATE(A45578, ""de"", ""en"")"),"cultural")</f>
        <v>cultural</v>
      </c>
    </row>
    <row r="45579">
      <c r="A45579" s="1" t="s">
        <v>45578</v>
      </c>
      <c r="B45579" s="2" t="str">
        <f>IFERROR(__xludf.DUMMYFUNCTION("GOOGLETRANSLATE(A45579, ""de"", ""en"")"),"most urgent")</f>
        <v>most urgent</v>
      </c>
    </row>
    <row r="45580">
      <c r="A45580" s="1" t="s">
        <v>45579</v>
      </c>
      <c r="B45580" s="2" t="str">
        <f>IFERROR(__xludf.DUMMYFUNCTION("GOOGLETRANSLATE(A45580, ""de"", ""en"")"),"go crazy")</f>
        <v>go crazy</v>
      </c>
    </row>
    <row r="45581">
      <c r="A45581" s="1" t="s">
        <v>45580</v>
      </c>
      <c r="B45581" s="2" t="str">
        <f>IFERROR(__xludf.DUMMYFUNCTION("GOOGLETRANSLATE(A45581, ""de"", ""en"")"),"extended")</f>
        <v>extended</v>
      </c>
    </row>
    <row r="45582">
      <c r="A45582" s="1" t="s">
        <v>45581</v>
      </c>
      <c r="B45582" s="2" t="str">
        <f>IFERROR(__xludf.DUMMYFUNCTION("GOOGLETRANSLATE(A45582, ""de"", ""en"")"),"public servant")</f>
        <v>public servant</v>
      </c>
    </row>
    <row r="45583">
      <c r="A45583" s="1" t="s">
        <v>45582</v>
      </c>
      <c r="B45583" s="2" t="str">
        <f>IFERROR(__xludf.DUMMYFUNCTION("GOOGLETRANSLATE(A45583, ""de"", ""en"")"),"endo")</f>
        <v>endo</v>
      </c>
    </row>
    <row r="45584">
      <c r="A45584" s="1" t="s">
        <v>45583</v>
      </c>
      <c r="B45584" s="2" t="str">
        <f>IFERROR(__xludf.DUMMYFUNCTION("GOOGLETRANSLATE(A45584, ""de"", ""en"")"),"slumber")</f>
        <v>slumber</v>
      </c>
    </row>
    <row r="45585">
      <c r="A45585" s="1" t="s">
        <v>45584</v>
      </c>
      <c r="B45585" s="2" t="str">
        <f>IFERROR(__xludf.DUMMYFUNCTION("GOOGLETRANSLATE(A45585, ""de"", ""en"")"),"to bring about")</f>
        <v>to bring about</v>
      </c>
    </row>
    <row r="45586">
      <c r="A45586" s="1" t="s">
        <v>45585</v>
      </c>
      <c r="B45586" s="2" t="str">
        <f>IFERROR(__xludf.DUMMYFUNCTION("GOOGLETRANSLATE(A45586, ""de"", ""en"")"),"confectioner")</f>
        <v>confectioner</v>
      </c>
    </row>
    <row r="45587">
      <c r="A45587" s="1" t="s">
        <v>45586</v>
      </c>
      <c r="B45587" s="2" t="str">
        <f>IFERROR(__xludf.DUMMYFUNCTION("GOOGLETRANSLATE(A45587, ""de"", ""en"")"),"youthful love")</f>
        <v>youthful love</v>
      </c>
    </row>
    <row r="45588">
      <c r="A45588" s="1" t="s">
        <v>45587</v>
      </c>
      <c r="B45588" s="2" t="str">
        <f>IFERROR(__xludf.DUMMYFUNCTION("GOOGLETRANSLATE(A45588, ""de"", ""en"")"),"pilgrimage")</f>
        <v>pilgrimage</v>
      </c>
    </row>
    <row r="45589">
      <c r="A45589" s="1" t="s">
        <v>45588</v>
      </c>
      <c r="B45589" s="2" t="str">
        <f>IFERROR(__xludf.DUMMYFUNCTION("GOOGLETRANSLATE(A45589, ""de"", ""en"")"),"scuffle")</f>
        <v>scuffle</v>
      </c>
    </row>
    <row r="45590">
      <c r="A45590" s="1" t="s">
        <v>45589</v>
      </c>
      <c r="B45590" s="2" t="str">
        <f>IFERROR(__xludf.DUMMYFUNCTION("GOOGLETRANSLATE(A45590, ""de"", ""en"")"),"ferox")</f>
        <v>ferox</v>
      </c>
    </row>
    <row r="45591">
      <c r="A45591" s="1" t="s">
        <v>45590</v>
      </c>
      <c r="B45591" s="2" t="str">
        <f>IFERROR(__xludf.DUMMYFUNCTION("GOOGLETRANSLATE(A45591, ""de"", ""en"")"),"rebellious")</f>
        <v>rebellious</v>
      </c>
    </row>
    <row r="45592">
      <c r="A45592" s="1" t="s">
        <v>45591</v>
      </c>
      <c r="B45592" s="2" t="str">
        <f>IFERROR(__xludf.DUMMYFUNCTION("GOOGLETRANSLATE(A45592, ""de"", ""en"")"),"Scrooge")</f>
        <v>Scrooge</v>
      </c>
    </row>
    <row r="45593">
      <c r="A45593" s="1" t="s">
        <v>45592</v>
      </c>
      <c r="B45593" s="2" t="str">
        <f>IFERROR(__xludf.DUMMYFUNCTION("GOOGLETRANSLATE(A45593, ""de"", ""en"")"),"pappas")</f>
        <v>pappas</v>
      </c>
    </row>
    <row r="45594">
      <c r="A45594" s="1" t="s">
        <v>45593</v>
      </c>
      <c r="B45594" s="2" t="str">
        <f>IFERROR(__xludf.DUMMYFUNCTION("GOOGLETRANSLATE(A45594, ""de"", ""en"")"),"type")</f>
        <v>type</v>
      </c>
    </row>
    <row r="45595">
      <c r="A45595" s="1" t="s">
        <v>45594</v>
      </c>
      <c r="B45595" s="2" t="str">
        <f>IFERROR(__xludf.DUMMYFUNCTION("GOOGLETRANSLATE(A45595, ""de"", ""en"")"),"kangaroos")</f>
        <v>kangaroos</v>
      </c>
    </row>
    <row r="45596">
      <c r="A45596" s="1" t="s">
        <v>45595</v>
      </c>
      <c r="B45596" s="2" t="str">
        <f>IFERROR(__xludf.DUMMYFUNCTION("GOOGLETRANSLATE(A45596, ""de"", ""en"")"),"enforcement")</f>
        <v>enforcement</v>
      </c>
    </row>
    <row r="45597">
      <c r="A45597" s="1" t="s">
        <v>45596</v>
      </c>
      <c r="B45597" s="2" t="str">
        <f>IFERROR(__xludf.DUMMYFUNCTION("GOOGLETRANSLATE(A45597, ""de"", ""en"")"),"kitchen service")</f>
        <v>kitchen service</v>
      </c>
    </row>
    <row r="45598">
      <c r="A45598" s="1" t="s">
        <v>45597</v>
      </c>
      <c r="B45598" s="2" t="str">
        <f>IFERROR(__xludf.DUMMYFUNCTION("GOOGLETRANSLATE(A45598, ""de"", ""en"")"),"usher")</f>
        <v>usher</v>
      </c>
    </row>
    <row r="45599">
      <c r="A45599" s="1" t="s">
        <v>45598</v>
      </c>
      <c r="B45599" s="2" t="str">
        <f>IFERROR(__xludf.DUMMYFUNCTION("GOOGLETRANSLATE(A45599, ""de"", ""en"")"),"cheers")</f>
        <v>cheers</v>
      </c>
    </row>
    <row r="45600">
      <c r="A45600" s="1" t="s">
        <v>45599</v>
      </c>
      <c r="B45600" s="2" t="str">
        <f>IFERROR(__xludf.DUMMYFUNCTION("GOOGLETRANSLATE(A45600, ""de"", ""en"")"),"lines")</f>
        <v>lines</v>
      </c>
    </row>
    <row r="45601">
      <c r="A45601" s="1" t="s">
        <v>45600</v>
      </c>
      <c r="B45601" s="2" t="str">
        <f>IFERROR(__xludf.DUMMYFUNCTION("GOOGLETRANSLATE(A45601, ""de"", ""en"")"),"janina")</f>
        <v>janina</v>
      </c>
    </row>
    <row r="45602">
      <c r="A45602" s="1" t="s">
        <v>45601</v>
      </c>
      <c r="B45602" s="2" t="str">
        <f>IFERROR(__xludf.DUMMYFUNCTION("GOOGLETRANSLATE(A45602, ""de"", ""en"")"),"overweight")</f>
        <v>overweight</v>
      </c>
    </row>
    <row r="45603">
      <c r="A45603" s="1" t="s">
        <v>45602</v>
      </c>
      <c r="B45603" s="2" t="str">
        <f>IFERROR(__xludf.DUMMYFUNCTION("GOOGLETRANSLATE(A45603, ""de"", ""en"")"),"plus")</f>
        <v>plus</v>
      </c>
    </row>
    <row r="45604">
      <c r="A45604" s="1" t="s">
        <v>45603</v>
      </c>
      <c r="B45604" s="2" t="str">
        <f>IFERROR(__xludf.DUMMYFUNCTION("GOOGLETRANSLATE(A45604, ""de"", ""en"")"),"faulty")</f>
        <v>faulty</v>
      </c>
    </row>
    <row r="45605">
      <c r="A45605" s="1" t="s">
        <v>45604</v>
      </c>
      <c r="B45605" s="2" t="str">
        <f>IFERROR(__xludf.DUMMYFUNCTION("GOOGLETRANSLATE(A45605, ""de"", ""en"")"),"lorca")</f>
        <v>lorca</v>
      </c>
    </row>
    <row r="45606">
      <c r="A45606" s="1" t="s">
        <v>45605</v>
      </c>
      <c r="B45606" s="2" t="str">
        <f>IFERROR(__xludf.DUMMYFUNCTION("GOOGLETRANSLATE(A45606, ""de"", ""en"")"),"shaitana")</f>
        <v>shaitana</v>
      </c>
    </row>
    <row r="45607">
      <c r="A45607" s="1" t="s">
        <v>45606</v>
      </c>
      <c r="B45607" s="2" t="str">
        <f>IFERROR(__xludf.DUMMYFUNCTION("GOOGLETRANSLATE(A45607, ""de"", ""en"")"),"parasol")</f>
        <v>parasol</v>
      </c>
    </row>
    <row r="45608">
      <c r="A45608" s="1" t="s">
        <v>45607</v>
      </c>
      <c r="B45608" s="2" t="str">
        <f>IFERROR(__xludf.DUMMYFUNCTION("GOOGLETRANSLATE(A45608, ""de"", ""en"")"),"Ulysses")</f>
        <v>Ulysses</v>
      </c>
    </row>
    <row r="45609">
      <c r="A45609" s="1" t="s">
        <v>45608</v>
      </c>
      <c r="B45609" s="2" t="str">
        <f>IFERROR(__xludf.DUMMYFUNCTION("GOOGLETRANSLATE(A45609, ""de"", ""en"")"),"UV light")</f>
        <v>UV light</v>
      </c>
    </row>
    <row r="45610">
      <c r="A45610" s="1" t="s">
        <v>45609</v>
      </c>
      <c r="B45610" s="2" t="str">
        <f>IFERROR(__xludf.DUMMYFUNCTION("GOOGLETRANSLATE(A45610, ""de"", ""en"")"),"however")</f>
        <v>however</v>
      </c>
    </row>
    <row r="45611">
      <c r="A45611" s="1" t="s">
        <v>45610</v>
      </c>
      <c r="B45611" s="2" t="str">
        <f>IFERROR(__xludf.DUMMYFUNCTION("GOOGLETRANSLATE(A45611, ""de"", ""en"")"),"chisum")</f>
        <v>chisum</v>
      </c>
    </row>
    <row r="45612">
      <c r="A45612" s="1" t="s">
        <v>45611</v>
      </c>
      <c r="B45612" s="2" t="str">
        <f>IFERROR(__xludf.DUMMYFUNCTION("GOOGLETRANSLATE(A45612, ""de"", ""en"")"),"birthday card")</f>
        <v>birthday card</v>
      </c>
    </row>
    <row r="45613">
      <c r="A45613" s="1" t="s">
        <v>45612</v>
      </c>
      <c r="B45613" s="2" t="str">
        <f>IFERROR(__xludf.DUMMYFUNCTION("GOOGLETRANSLATE(A45613, ""de"", ""en"")"),"fentanyl")</f>
        <v>fentanyl</v>
      </c>
    </row>
    <row r="45614">
      <c r="A45614" s="1" t="s">
        <v>45613</v>
      </c>
      <c r="B45614" s="2" t="str">
        <f>IFERROR(__xludf.DUMMYFUNCTION("GOOGLETRANSLATE(A45614, ""de"", ""en"")"),"oates")</f>
        <v>oates</v>
      </c>
    </row>
    <row r="45615">
      <c r="A45615" s="1" t="s">
        <v>45614</v>
      </c>
      <c r="B45615" s="2" t="str">
        <f>IFERROR(__xludf.DUMMYFUNCTION("GOOGLETRANSLATE(A45615, ""de"", ""en"")"),"pappy")</f>
        <v>pappy</v>
      </c>
    </row>
    <row r="45616">
      <c r="A45616" s="1" t="s">
        <v>45615</v>
      </c>
      <c r="B45616" s="2" t="str">
        <f>IFERROR(__xludf.DUMMYFUNCTION("GOOGLETRANSLATE(A45616, ""de"", ""en"")"),"destabilize")</f>
        <v>destabilize</v>
      </c>
    </row>
    <row r="45617">
      <c r="A45617" s="1" t="s">
        <v>45616</v>
      </c>
      <c r="B45617" s="2" t="str">
        <f>IFERROR(__xludf.DUMMYFUNCTION("GOOGLETRANSLATE(A45617, ""de"", ""en"")"),"selflessness")</f>
        <v>selflessness</v>
      </c>
    </row>
    <row r="45618">
      <c r="A45618" s="1" t="s">
        <v>45617</v>
      </c>
      <c r="B45618" s="2" t="str">
        <f>IFERROR(__xludf.DUMMYFUNCTION("GOOGLETRANSLATE(A45618, ""de"", ""en"")"),"crazy")</f>
        <v>crazy</v>
      </c>
    </row>
    <row r="45619">
      <c r="A45619" s="1" t="s">
        <v>45618</v>
      </c>
      <c r="B45619" s="2" t="str">
        <f>IFERROR(__xludf.DUMMYFUNCTION("GOOGLETRANSLATE(A45619, ""de"", ""en"")"),"newly")</f>
        <v>newly</v>
      </c>
    </row>
    <row r="45620">
      <c r="A45620" s="1" t="s">
        <v>45619</v>
      </c>
      <c r="B45620" s="2" t="str">
        <f>IFERROR(__xludf.DUMMYFUNCTION("GOOGLETRANSLATE(A45620, ""de"", ""en"")"),"provoke")</f>
        <v>provoke</v>
      </c>
    </row>
    <row r="45621">
      <c r="A45621" s="1" t="s">
        <v>45620</v>
      </c>
      <c r="B45621" s="2" t="str">
        <f>IFERROR(__xludf.DUMMYFUNCTION("GOOGLETRANSLATE(A45621, ""de"", ""en"")"),"Hanley")</f>
        <v>Hanley</v>
      </c>
    </row>
    <row r="45622">
      <c r="A45622" s="1" t="s">
        <v>45621</v>
      </c>
      <c r="B45622" s="2" t="str">
        <f>IFERROR(__xludf.DUMMYFUNCTION("GOOGLETRANSLATE(A45622, ""de"", ""en"")"),"extremely")</f>
        <v>extremely</v>
      </c>
    </row>
    <row r="45623">
      <c r="A45623" s="1" t="s">
        <v>45622</v>
      </c>
      <c r="B45623" s="2" t="str">
        <f>IFERROR(__xludf.DUMMYFUNCTION("GOOGLETRANSLATE(A45623, ""de"", ""en"")"),"crispy")</f>
        <v>crispy</v>
      </c>
    </row>
    <row r="45624">
      <c r="A45624" s="1" t="s">
        <v>45623</v>
      </c>
      <c r="B45624" s="2" t="str">
        <f>IFERROR(__xludf.DUMMYFUNCTION("GOOGLETRANSLATE(A45624, ""de"", ""en"")"),"to grow")</f>
        <v>to grow</v>
      </c>
    </row>
    <row r="45625">
      <c r="A45625" s="1" t="s">
        <v>45624</v>
      </c>
      <c r="B45625" s="2" t="str">
        <f>IFERROR(__xludf.DUMMYFUNCTION("GOOGLETRANSLATE(A45625, ""de"", ""en"")"),"warlords")</f>
        <v>warlords</v>
      </c>
    </row>
    <row r="45626">
      <c r="A45626" s="1" t="s">
        <v>45625</v>
      </c>
      <c r="B45626" s="2" t="str">
        <f>IFERROR(__xludf.DUMMYFUNCTION("GOOGLETRANSLATE(A45626, ""de"", ""en"")"),"gemenon")</f>
        <v>gemenon</v>
      </c>
    </row>
    <row r="45627">
      <c r="A45627" s="1" t="s">
        <v>45626</v>
      </c>
      <c r="B45627" s="2" t="str">
        <f>IFERROR(__xludf.DUMMYFUNCTION("GOOGLETRANSLATE(A45627, ""de"", ""en"")"),"parbat")</f>
        <v>parbat</v>
      </c>
    </row>
    <row r="45628">
      <c r="A45628" s="1" t="s">
        <v>45627</v>
      </c>
      <c r="B45628" s="2" t="str">
        <f>IFERROR(__xludf.DUMMYFUNCTION("GOOGLETRANSLATE(A45628, ""de"", ""en"")"),"overcautious")</f>
        <v>overcautious</v>
      </c>
    </row>
    <row r="45629">
      <c r="A45629" s="1" t="s">
        <v>45628</v>
      </c>
      <c r="B45629" s="2" t="str">
        <f>IFERROR(__xludf.DUMMYFUNCTION("GOOGLETRANSLATE(A45629, ""de"", ""en"")"),"architect")</f>
        <v>architect</v>
      </c>
    </row>
    <row r="45630">
      <c r="A45630" s="1" t="s">
        <v>45629</v>
      </c>
      <c r="B45630" s="2" t="str">
        <f>IFERROR(__xludf.DUMMYFUNCTION("GOOGLETRANSLATE(A45630, ""de"", ""en"")"),"knocked out")</f>
        <v>knocked out</v>
      </c>
    </row>
    <row r="45631">
      <c r="A45631" s="1" t="s">
        <v>45630</v>
      </c>
      <c r="B45631" s="2" t="str">
        <f>IFERROR(__xludf.DUMMYFUNCTION("GOOGLETRANSLATE(A45631, ""de"", ""en"")"),"gloss over")</f>
        <v>gloss over</v>
      </c>
    </row>
    <row r="45632">
      <c r="A45632" s="1" t="s">
        <v>45631</v>
      </c>
      <c r="B45632" s="2" t="str">
        <f>IFERROR(__xludf.DUMMYFUNCTION("GOOGLETRANSLATE(A45632, ""de"", ""en"")"),"stock market")</f>
        <v>stock market</v>
      </c>
    </row>
    <row r="45633">
      <c r="A45633" s="1" t="s">
        <v>45632</v>
      </c>
      <c r="B45633" s="2" t="str">
        <f>IFERROR(__xludf.DUMMYFUNCTION("GOOGLETRANSLATE(A45633, ""de"", ""en"")"),"physical")</f>
        <v>physical</v>
      </c>
    </row>
    <row r="45634">
      <c r="A45634" s="1" t="s">
        <v>45633</v>
      </c>
      <c r="B45634" s="2" t="str">
        <f>IFERROR(__xludf.DUMMYFUNCTION("GOOGLETRANSLATE(A45634, ""de"", ""en"")"),"worst of all")</f>
        <v>worst of all</v>
      </c>
    </row>
    <row r="45635">
      <c r="A45635" s="1" t="s">
        <v>45634</v>
      </c>
      <c r="B45635" s="2" t="str">
        <f>IFERROR(__xludf.DUMMYFUNCTION("GOOGLETRANSLATE(A45635, ""de"", ""en"")"),"you intended")</f>
        <v>you intended</v>
      </c>
    </row>
    <row r="45636">
      <c r="A45636" s="1" t="s">
        <v>45635</v>
      </c>
      <c r="B45636" s="2" t="str">
        <f>IFERROR(__xludf.DUMMYFUNCTION("GOOGLETRANSLATE(A45636, ""de"", ""en"")"),"pulsation")</f>
        <v>pulsation</v>
      </c>
    </row>
    <row r="45637">
      <c r="A45637" s="1" t="s">
        <v>45636</v>
      </c>
      <c r="B45637" s="2" t="str">
        <f>IFERROR(__xludf.DUMMYFUNCTION("GOOGLETRANSLATE(A45637, ""de"", ""en"")"),"natural laws")</f>
        <v>natural laws</v>
      </c>
    </row>
    <row r="45638">
      <c r="A45638" s="1" t="s">
        <v>45637</v>
      </c>
      <c r="B45638" s="2" t="str">
        <f>IFERROR(__xludf.DUMMYFUNCTION("GOOGLETRANSLATE(A45638, ""de"", ""en"")"),"arrhythmia")</f>
        <v>arrhythmia</v>
      </c>
    </row>
    <row r="45639">
      <c r="A45639" s="1" t="s">
        <v>45638</v>
      </c>
      <c r="B45639" s="2" t="str">
        <f>IFERROR(__xludf.DUMMYFUNCTION("GOOGLETRANSLATE(A45639, ""de"", ""en"")"),"payroll")</f>
        <v>payroll</v>
      </c>
    </row>
    <row r="45640">
      <c r="A45640" s="1" t="s">
        <v>45639</v>
      </c>
      <c r="B45640" s="2" t="str">
        <f>IFERROR(__xludf.DUMMYFUNCTION("GOOGLETRANSLATE(A45640, ""de"", ""en"")"),"mitsu")</f>
        <v>mitsu</v>
      </c>
    </row>
    <row r="45641">
      <c r="A45641" s="1" t="s">
        <v>45640</v>
      </c>
      <c r="B45641" s="2" t="str">
        <f>IFERROR(__xludf.DUMMYFUNCTION("GOOGLETRANSLATE(A45641, ""de"", ""en"")"),"fresh air")</f>
        <v>fresh air</v>
      </c>
    </row>
    <row r="45642">
      <c r="A45642" s="1" t="s">
        <v>45641</v>
      </c>
      <c r="B45642" s="2" t="str">
        <f>IFERROR(__xludf.DUMMYFUNCTION("GOOGLETRANSLATE(A45642, ""de"", ""en"")"),"su jin")</f>
        <v>su jin</v>
      </c>
    </row>
    <row r="45643">
      <c r="A45643" s="1" t="s">
        <v>45642</v>
      </c>
      <c r="B45643" s="2" t="str">
        <f>IFERROR(__xludf.DUMMYFUNCTION("GOOGLETRANSLATE(A45643, ""de"", ""en"")"),"moved")</f>
        <v>moved</v>
      </c>
    </row>
    <row r="45644">
      <c r="A45644" s="1" t="s">
        <v>45643</v>
      </c>
      <c r="B45644" s="2" t="str">
        <f>IFERROR(__xludf.DUMMYFUNCTION("GOOGLETRANSLATE(A45644, ""de"", ""en"")"),"physical ones")</f>
        <v>physical ones</v>
      </c>
    </row>
    <row r="45645">
      <c r="A45645" s="1" t="s">
        <v>45644</v>
      </c>
      <c r="B45645" s="2" t="str">
        <f>IFERROR(__xludf.DUMMYFUNCTION("GOOGLETRANSLATE(A45645, ""de"", ""en"")"),"illustrated")</f>
        <v>illustrated</v>
      </c>
    </row>
    <row r="45646">
      <c r="A45646" s="1" t="s">
        <v>45645</v>
      </c>
      <c r="B45646" s="2" t="str">
        <f>IFERROR(__xludf.DUMMYFUNCTION("GOOGLETRANSLATE(A45646, ""de"", ""en"")"),"programs")</f>
        <v>programs</v>
      </c>
    </row>
    <row r="45647">
      <c r="A45647" s="1" t="s">
        <v>45646</v>
      </c>
      <c r="B45647" s="2" t="str">
        <f>IFERROR(__xludf.DUMMYFUNCTION("GOOGLETRANSLATE(A45647, ""de"", ""en"")"),"liquid")</f>
        <v>liquid</v>
      </c>
    </row>
    <row r="45648">
      <c r="A45648" s="1" t="s">
        <v>45647</v>
      </c>
      <c r="B45648" s="2" t="str">
        <f>IFERROR(__xludf.DUMMYFUNCTION("GOOGLETRANSLATE(A45648, ""de"", ""en"")"),"watching")</f>
        <v>watching</v>
      </c>
    </row>
    <row r="45649">
      <c r="A45649" s="1" t="s">
        <v>45648</v>
      </c>
      <c r="B45649" s="2" t="str">
        <f>IFERROR(__xludf.DUMMYFUNCTION("GOOGLETRANSLATE(A45649, ""de"", ""en"")"),"loosen up")</f>
        <v>loosen up</v>
      </c>
    </row>
    <row r="45650">
      <c r="A45650" s="1" t="s">
        <v>45649</v>
      </c>
      <c r="B45650" s="2" t="str">
        <f>IFERROR(__xludf.DUMMYFUNCTION("GOOGLETRANSLATE(A45650, ""de"", ""en"")"),"petersons")</f>
        <v>petersons</v>
      </c>
    </row>
    <row r="45651">
      <c r="A45651" s="1" t="s">
        <v>45650</v>
      </c>
      <c r="B45651" s="2" t="str">
        <f>IFERROR(__xludf.DUMMYFUNCTION("GOOGLETRANSLATE(A45651, ""de"", ""en"")"),"suvarov")</f>
        <v>suvarov</v>
      </c>
    </row>
    <row r="45652">
      <c r="A45652" s="1" t="s">
        <v>45651</v>
      </c>
      <c r="B45652" s="2" t="str">
        <f>IFERROR(__xludf.DUMMYFUNCTION("GOOGLETRANSLATE(A45652, ""de"", ""en"")"),"electromagnetic")</f>
        <v>electromagnetic</v>
      </c>
    </row>
    <row r="45653">
      <c r="A45653" s="1" t="s">
        <v>45652</v>
      </c>
      <c r="B45653" s="2" t="str">
        <f>IFERROR(__xludf.DUMMYFUNCTION("GOOGLETRANSLATE(A45653, ""de"", ""en"")"),"flossie")</f>
        <v>flossie</v>
      </c>
    </row>
    <row r="45654">
      <c r="A45654" s="1" t="s">
        <v>45653</v>
      </c>
      <c r="B45654" s="2" t="str">
        <f>IFERROR(__xludf.DUMMYFUNCTION("GOOGLETRANSLATE(A45654, ""de"", ""en"")"),"hot flashes")</f>
        <v>hot flashes</v>
      </c>
    </row>
    <row r="45655">
      <c r="A45655" s="1" t="s">
        <v>45654</v>
      </c>
      <c r="B45655" s="2" t="str">
        <f>IFERROR(__xludf.DUMMYFUNCTION("GOOGLETRANSLATE(A45655, ""de"", ""en"")"),"sonnet")</f>
        <v>sonnet</v>
      </c>
    </row>
    <row r="45656">
      <c r="A45656" s="1" t="s">
        <v>45655</v>
      </c>
      <c r="B45656" s="2" t="str">
        <f>IFERROR(__xludf.DUMMYFUNCTION("GOOGLETRANSLATE(A45656, ""de"", ""en"")"),"hang in")</f>
        <v>hang in</v>
      </c>
    </row>
    <row r="45657">
      <c r="A45657" s="1" t="s">
        <v>45656</v>
      </c>
      <c r="B45657" s="2" t="str">
        <f>IFERROR(__xludf.DUMMYFUNCTION("GOOGLETRANSLATE(A45657, ""de"", ""en"")"),"nanotechnology")</f>
        <v>nanotechnology</v>
      </c>
    </row>
    <row r="45658">
      <c r="A45658" s="1" t="s">
        <v>45657</v>
      </c>
      <c r="B45658" s="2" t="str">
        <f>IFERROR(__xludf.DUMMYFUNCTION("GOOGLETRANSLATE(A45658, ""de"", ""en"")"),"herberts")</f>
        <v>herberts</v>
      </c>
    </row>
    <row r="45659">
      <c r="A45659" s="1" t="s">
        <v>45658</v>
      </c>
      <c r="B45659" s="2" t="str">
        <f>IFERROR(__xludf.DUMMYFUNCTION("GOOGLETRANSLATE(A45659, ""de"", ""en"")"),"rewards")</f>
        <v>rewards</v>
      </c>
    </row>
    <row r="45660">
      <c r="A45660" s="1" t="s">
        <v>45659</v>
      </c>
      <c r="B45660" s="2" t="str">
        <f>IFERROR(__xludf.DUMMYFUNCTION("GOOGLETRANSLATE(A45660, ""de"", ""en"")"),"split")</f>
        <v>split</v>
      </c>
    </row>
    <row r="45661">
      <c r="A45661" s="1" t="s">
        <v>45660</v>
      </c>
      <c r="B45661" s="2" t="str">
        <f>IFERROR(__xludf.DUMMYFUNCTION("GOOGLETRANSLATE(A45661, ""de"", ""en"")"),"eugenie")</f>
        <v>eugenie</v>
      </c>
    </row>
    <row r="45662">
      <c r="A45662" s="1" t="s">
        <v>45661</v>
      </c>
      <c r="B45662" s="2" t="str">
        <f>IFERROR(__xludf.DUMMYFUNCTION("GOOGLETRANSLATE(A45662, ""de"", ""en"")"),"immaculate")</f>
        <v>immaculate</v>
      </c>
    </row>
    <row r="45663">
      <c r="A45663" s="1" t="s">
        <v>45662</v>
      </c>
      <c r="B45663" s="2" t="str">
        <f>IFERROR(__xludf.DUMMYFUNCTION("GOOGLETRANSLATE(A45663, ""de"", ""en"")"),"future")</f>
        <v>future</v>
      </c>
    </row>
    <row r="45664">
      <c r="A45664" s="1" t="s">
        <v>45663</v>
      </c>
      <c r="B45664" s="2" t="str">
        <f>IFERROR(__xludf.DUMMYFUNCTION("GOOGLETRANSLATE(A45664, ""de"", ""en"")"),"mordred")</f>
        <v>mordred</v>
      </c>
    </row>
    <row r="45665">
      <c r="A45665" s="1" t="s">
        <v>45664</v>
      </c>
      <c r="B45665" s="2" t="str">
        <f>IFERROR(__xludf.DUMMYFUNCTION("GOOGLETRANSLATE(A45665, ""de"", ""en"")"),"joosep")</f>
        <v>joosep</v>
      </c>
    </row>
    <row r="45666">
      <c r="A45666" s="1" t="s">
        <v>45665</v>
      </c>
      <c r="B45666" s="2" t="str">
        <f>IFERROR(__xludf.DUMMYFUNCTION("GOOGLETRANSLATE(A45666, ""de"", ""en"")"),"blade of grass")</f>
        <v>blade of grass</v>
      </c>
    </row>
    <row r="45667">
      <c r="A45667" s="1" t="s">
        <v>45666</v>
      </c>
      <c r="B45667" s="2" t="str">
        <f>IFERROR(__xludf.DUMMYFUNCTION("GOOGLETRANSLATE(A45667, ""de"", ""en"")"),"coarse")</f>
        <v>coarse</v>
      </c>
    </row>
    <row r="45668">
      <c r="A45668" s="1" t="s">
        <v>45667</v>
      </c>
      <c r="B45668" s="2" t="str">
        <f>IFERROR(__xludf.DUMMYFUNCTION("GOOGLETRANSLATE(A45668, ""de"", ""en"")"),"stages")</f>
        <v>stages</v>
      </c>
    </row>
    <row r="45669">
      <c r="A45669" s="1" t="s">
        <v>45668</v>
      </c>
      <c r="B45669" s="2" t="str">
        <f>IFERROR(__xludf.DUMMYFUNCTION("GOOGLETRANSLATE(A45669, ""de"", ""en"")"),"start")</f>
        <v>start</v>
      </c>
    </row>
    <row r="45670">
      <c r="A45670" s="1" t="s">
        <v>45669</v>
      </c>
      <c r="B45670" s="2" t="str">
        <f>IFERROR(__xludf.DUMMYFUNCTION("GOOGLETRANSLATE(A45670, ""de"", ""en"")"),"hydrogen bomb")</f>
        <v>hydrogen bomb</v>
      </c>
    </row>
    <row r="45671">
      <c r="A45671" s="1" t="s">
        <v>45670</v>
      </c>
      <c r="B45671" s="2" t="str">
        <f>IFERROR(__xludf.DUMMYFUNCTION("GOOGLETRANSLATE(A45671, ""de"", ""en"")"),"indictment")</f>
        <v>indictment</v>
      </c>
    </row>
    <row r="45672">
      <c r="A45672" s="1" t="s">
        <v>45671</v>
      </c>
      <c r="B45672" s="2" t="str">
        <f>IFERROR(__xludf.DUMMYFUNCTION("GOOGLETRANSLATE(A45672, ""de"", ""en"")"),"assistants")</f>
        <v>assistants</v>
      </c>
    </row>
    <row r="45673">
      <c r="A45673" s="1" t="s">
        <v>45672</v>
      </c>
      <c r="B45673" s="2" t="str">
        <f>IFERROR(__xludf.DUMMYFUNCTION("GOOGLETRANSLATE(A45673, ""de"", ""en"")"),"piercing")</f>
        <v>piercing</v>
      </c>
    </row>
    <row r="45674">
      <c r="A45674" s="1" t="s">
        <v>45673</v>
      </c>
      <c r="B45674" s="2" t="str">
        <f>IFERROR(__xludf.DUMMYFUNCTION("GOOGLETRANSLATE(A45674, ""de"", ""en"")"),"general anesthesia")</f>
        <v>general anesthesia</v>
      </c>
    </row>
    <row r="45675">
      <c r="A45675" s="1" t="s">
        <v>45674</v>
      </c>
      <c r="B45675" s="2" t="str">
        <f>IFERROR(__xludf.DUMMYFUNCTION("GOOGLETRANSLATE(A45675, ""de"", ""en"")"),"electronic")</f>
        <v>electronic</v>
      </c>
    </row>
    <row r="45676">
      <c r="A45676" s="1" t="s">
        <v>45675</v>
      </c>
      <c r="B45676" s="2" t="str">
        <f>IFERROR(__xludf.DUMMYFUNCTION("GOOGLETRANSLATE(A45676, ""de"", ""en"")"),"choke")</f>
        <v>choke</v>
      </c>
    </row>
    <row r="45677">
      <c r="A45677" s="1" t="s">
        <v>45676</v>
      </c>
      <c r="B45677" s="2" t="str">
        <f>IFERROR(__xludf.DUMMYFUNCTION("GOOGLETRANSLATE(A45677, ""de"", ""en"")"),"satellite")</f>
        <v>satellite</v>
      </c>
    </row>
    <row r="45678">
      <c r="A45678" s="1" t="s">
        <v>45677</v>
      </c>
      <c r="B45678" s="2" t="str">
        <f>IFERROR(__xludf.DUMMYFUNCTION("GOOGLETRANSLATE(A45678, ""de"", ""en"")"),"booming")</f>
        <v>booming</v>
      </c>
    </row>
    <row r="45679">
      <c r="A45679" s="1" t="s">
        <v>45678</v>
      </c>
      <c r="B45679" s="2" t="str">
        <f>IFERROR(__xludf.DUMMYFUNCTION("GOOGLETRANSLATE(A45679, ""de"", ""en"")"),"tragically")</f>
        <v>tragically</v>
      </c>
    </row>
    <row r="45680">
      <c r="A45680" s="1" t="s">
        <v>45679</v>
      </c>
      <c r="B45680" s="2" t="str">
        <f>IFERROR(__xludf.DUMMYFUNCTION("GOOGLETRANSLATE(A45680, ""de"", ""en"")"),"alleged")</f>
        <v>alleged</v>
      </c>
    </row>
    <row r="45681">
      <c r="A45681" s="1" t="s">
        <v>45680</v>
      </c>
      <c r="B45681" s="2" t="str">
        <f>IFERROR(__xludf.DUMMYFUNCTION("GOOGLETRANSLATE(A45681, ""de"", ""en"")"),"cleaner")</f>
        <v>cleaner</v>
      </c>
    </row>
    <row r="45682">
      <c r="A45682" s="1" t="s">
        <v>45681</v>
      </c>
      <c r="B45682" s="2" t="str">
        <f>IFERROR(__xludf.DUMMYFUNCTION("GOOGLETRANSLATE(A45682, ""de"", ""en"")"),"money bag")</f>
        <v>money bag</v>
      </c>
    </row>
    <row r="45683">
      <c r="A45683" s="1" t="s">
        <v>45682</v>
      </c>
      <c r="B45683" s="2" t="str">
        <f>IFERROR(__xludf.DUMMYFUNCTION("GOOGLETRANSLATE(A45683, ""de"", ""en"")"),"harmonica")</f>
        <v>harmonica</v>
      </c>
    </row>
    <row r="45684">
      <c r="A45684" s="1" t="s">
        <v>45683</v>
      </c>
      <c r="B45684" s="2" t="str">
        <f>IFERROR(__xludf.DUMMYFUNCTION("GOOGLETRANSLATE(A45684, ""de"", ""en"")"),"bias")</f>
        <v>bias</v>
      </c>
    </row>
    <row r="45685">
      <c r="A45685" s="1" t="s">
        <v>45684</v>
      </c>
      <c r="B45685" s="2" t="str">
        <f>IFERROR(__xludf.DUMMYFUNCTION("GOOGLETRANSLATE(A45685, ""de"", ""en"")"),"headlights")</f>
        <v>headlights</v>
      </c>
    </row>
    <row r="45686">
      <c r="A45686" s="1" t="s">
        <v>45685</v>
      </c>
      <c r="B45686" s="2" t="str">
        <f>IFERROR(__xludf.DUMMYFUNCTION("GOOGLETRANSLATE(A45686, ""de"", ""en"")"),"eun young")</f>
        <v>eun young</v>
      </c>
    </row>
    <row r="45687">
      <c r="A45687" s="1" t="s">
        <v>45686</v>
      </c>
      <c r="B45687" s="2" t="str">
        <f>IFERROR(__xludf.DUMMYFUNCTION("GOOGLETRANSLATE(A45687, ""de"", ""en"")"),"ticked")</f>
        <v>ticked</v>
      </c>
    </row>
    <row r="45688">
      <c r="A45688" s="1" t="s">
        <v>45687</v>
      </c>
      <c r="B45688" s="2" t="str">
        <f>IFERROR(__xludf.DUMMYFUNCTION("GOOGLETRANSLATE(A45688, ""de"", ""en"")"),"would look")</f>
        <v>would look</v>
      </c>
    </row>
    <row r="45689">
      <c r="A45689" s="1" t="s">
        <v>45688</v>
      </c>
      <c r="B45689" s="2" t="str">
        <f>IFERROR(__xludf.DUMMYFUNCTION("GOOGLETRANSLATE(A45689, ""de"", ""en"")"),"bottomless")</f>
        <v>bottomless</v>
      </c>
    </row>
    <row r="45690">
      <c r="A45690" s="1" t="s">
        <v>45689</v>
      </c>
      <c r="B45690" s="2" t="str">
        <f>IFERROR(__xludf.DUMMYFUNCTION("GOOGLETRANSLATE(A45690, ""de"", ""en"")"),"snapshots")</f>
        <v>snapshots</v>
      </c>
    </row>
    <row r="45691">
      <c r="A45691" s="1" t="s">
        <v>45690</v>
      </c>
      <c r="B45691" s="2" t="str">
        <f>IFERROR(__xludf.DUMMYFUNCTION("GOOGLETRANSLATE(A45691, ""de"", ""en"")"),"tyrannized")</f>
        <v>tyrannized</v>
      </c>
    </row>
    <row r="45692">
      <c r="A45692" s="1" t="s">
        <v>45691</v>
      </c>
      <c r="B45692" s="2" t="str">
        <f>IFERROR(__xludf.DUMMYFUNCTION("GOOGLETRANSLATE(A45692, ""de"", ""en"")"),"kidd")</f>
        <v>kidd</v>
      </c>
    </row>
    <row r="45693">
      <c r="A45693" s="1" t="s">
        <v>45692</v>
      </c>
      <c r="B45693" s="2" t="str">
        <f>IFERROR(__xludf.DUMMYFUNCTION("GOOGLETRANSLATE(A45693, ""de"", ""en"")"),"fundamental")</f>
        <v>fundamental</v>
      </c>
    </row>
    <row r="45694">
      <c r="A45694" s="1" t="s">
        <v>45693</v>
      </c>
      <c r="B45694" s="2" t="str">
        <f>IFERROR(__xludf.DUMMYFUNCTION("GOOGLETRANSLATE(A45694, ""de"", ""en"")"),"rao")</f>
        <v>rao</v>
      </c>
    </row>
    <row r="45695">
      <c r="A45695" s="1" t="s">
        <v>45694</v>
      </c>
      <c r="B45695" s="2" t="str">
        <f>IFERROR(__xludf.DUMMYFUNCTION("GOOGLETRANSLATE(A45695, ""de"", ""en"")"),"fly away")</f>
        <v>fly away</v>
      </c>
    </row>
    <row r="45696">
      <c r="A45696" s="1" t="s">
        <v>45695</v>
      </c>
      <c r="B45696" s="2" t="str">
        <f>IFERROR(__xludf.DUMMYFUNCTION("GOOGLETRANSLATE(A45696, ""de"", ""en"")"),"defense system")</f>
        <v>defense system</v>
      </c>
    </row>
    <row r="45697">
      <c r="A45697" s="1" t="s">
        <v>45696</v>
      </c>
      <c r="B45697" s="2" t="str">
        <f>IFERROR(__xludf.DUMMYFUNCTION("GOOGLETRANSLATE(A45697, ""de"", ""en"")"),"want to go out")</f>
        <v>want to go out</v>
      </c>
    </row>
    <row r="45698">
      <c r="A45698" s="1" t="s">
        <v>45697</v>
      </c>
      <c r="B45698" s="2" t="str">
        <f>IFERROR(__xludf.DUMMYFUNCTION("GOOGLETRANSLATE(A45698, ""de"", ""en"")"),"sniper")</f>
        <v>sniper</v>
      </c>
    </row>
    <row r="45699">
      <c r="A45699" s="1" t="s">
        <v>45698</v>
      </c>
      <c r="B45699" s="2" t="str">
        <f>IFERROR(__xludf.DUMMYFUNCTION("GOOGLETRANSLATE(A45699, ""de"", ""en"")"),"pollute")</f>
        <v>pollute</v>
      </c>
    </row>
    <row r="45700">
      <c r="A45700" s="1" t="s">
        <v>45699</v>
      </c>
      <c r="B45700" s="2" t="str">
        <f>IFERROR(__xludf.DUMMYFUNCTION("GOOGLETRANSLATE(A45700, ""de"", ""en"")"),"animated")</f>
        <v>animated</v>
      </c>
    </row>
    <row r="45701">
      <c r="A45701" s="1" t="s">
        <v>45700</v>
      </c>
      <c r="B45701" s="2" t="str">
        <f>IFERROR(__xludf.DUMMYFUNCTION("GOOGLETRANSLATE(A45701, ""de"", ""en"")"),"called in sick")</f>
        <v>called in sick</v>
      </c>
    </row>
    <row r="45702">
      <c r="A45702" s="1" t="s">
        <v>45701</v>
      </c>
      <c r="B45702" s="2" t="str">
        <f>IFERROR(__xludf.DUMMYFUNCTION("GOOGLETRANSLATE(A45702, ""de"", ""en"")"),"embolism")</f>
        <v>embolism</v>
      </c>
    </row>
    <row r="45703">
      <c r="A45703" s="1" t="s">
        <v>45702</v>
      </c>
      <c r="B45703" s="2" t="str">
        <f>IFERROR(__xludf.DUMMYFUNCTION("GOOGLETRANSLATE(A45703, ""de"", ""en"")"),"interfere")</f>
        <v>interfere</v>
      </c>
    </row>
    <row r="45704">
      <c r="A45704" s="1" t="s">
        <v>45703</v>
      </c>
      <c r="B45704" s="2" t="str">
        <f>IFERROR(__xludf.DUMMYFUNCTION("GOOGLETRANSLATE(A45704, ""de"", ""en"")"),"plank")</f>
        <v>plank</v>
      </c>
    </row>
    <row r="45705">
      <c r="A45705" s="1" t="s">
        <v>45704</v>
      </c>
      <c r="B45705" s="2" t="str">
        <f>IFERROR(__xludf.DUMMYFUNCTION("GOOGLETRANSLATE(A45705, ""de"", ""en"")"),"yodel")</f>
        <v>yodel</v>
      </c>
    </row>
    <row r="45706">
      <c r="A45706" s="1" t="s">
        <v>45705</v>
      </c>
      <c r="B45706" s="2" t="str">
        <f>IFERROR(__xludf.DUMMYFUNCTION("GOOGLETRANSLATE(A45706, ""de"", ""en"")"),"damage")</f>
        <v>damage</v>
      </c>
    </row>
    <row r="45707">
      <c r="A45707" s="1" t="s">
        <v>45706</v>
      </c>
      <c r="B45707" s="2" t="str">
        <f>IFERROR(__xludf.DUMMYFUNCTION("GOOGLETRANSLATE(A45707, ""de"", ""en"")"),"distortions")</f>
        <v>distortions</v>
      </c>
    </row>
    <row r="45708">
      <c r="A45708" s="1" t="s">
        <v>45707</v>
      </c>
      <c r="B45708" s="2" t="str">
        <f>IFERROR(__xludf.DUMMYFUNCTION("GOOGLETRANSLATE(A45708, ""de"", ""en"")"),"waxed")</f>
        <v>waxed</v>
      </c>
    </row>
    <row r="45709">
      <c r="A45709" s="1" t="s">
        <v>45708</v>
      </c>
      <c r="B45709" s="2" t="str">
        <f>IFERROR(__xludf.DUMMYFUNCTION("GOOGLETRANSLATE(A45709, ""de"", ""en"")"),"phips")</f>
        <v>phips</v>
      </c>
    </row>
    <row r="45710">
      <c r="A45710" s="1" t="s">
        <v>45709</v>
      </c>
      <c r="B45710" s="2" t="str">
        <f>IFERROR(__xludf.DUMMYFUNCTION("GOOGLETRANSLATE(A45710, ""de"", ""en"")"),"boiling")</f>
        <v>boiling</v>
      </c>
    </row>
    <row r="45711">
      <c r="A45711" s="1" t="s">
        <v>45710</v>
      </c>
      <c r="B45711" s="2" t="str">
        <f>IFERROR(__xludf.DUMMYFUNCTION("GOOGLETRANSLATE(A45711, ""de"", ""en"")"),"gust")</f>
        <v>gust</v>
      </c>
    </row>
    <row r="45712">
      <c r="A45712" s="1" t="s">
        <v>45711</v>
      </c>
      <c r="B45712" s="2" t="str">
        <f>IFERROR(__xludf.DUMMYFUNCTION("GOOGLETRANSLATE(A45712, ""de"", ""en"")"),"retirement home")</f>
        <v>retirement home</v>
      </c>
    </row>
    <row r="45713">
      <c r="A45713" s="1" t="s">
        <v>45712</v>
      </c>
      <c r="B45713" s="2" t="str">
        <f>IFERROR(__xludf.DUMMYFUNCTION("GOOGLETRANSLATE(A45713, ""de"", ""en"")"),"gunnery")</f>
        <v>gunnery</v>
      </c>
    </row>
    <row r="45714">
      <c r="A45714" s="1" t="s">
        <v>45713</v>
      </c>
      <c r="B45714" s="2" t="str">
        <f>IFERROR(__xludf.DUMMYFUNCTION("GOOGLETRANSLATE(A45714, ""de"", ""en"")"),"driving instructor")</f>
        <v>driving instructor</v>
      </c>
    </row>
    <row r="45715">
      <c r="A45715" s="1" t="s">
        <v>45714</v>
      </c>
      <c r="B45715" s="2" t="str">
        <f>IFERROR(__xludf.DUMMYFUNCTION("GOOGLETRANSLATE(A45715, ""de"", ""en"")"),"civil war")</f>
        <v>civil war</v>
      </c>
    </row>
    <row r="45716">
      <c r="A45716" s="1" t="s">
        <v>45715</v>
      </c>
      <c r="B45716" s="2" t="str">
        <f>IFERROR(__xludf.DUMMYFUNCTION("GOOGLETRANSLATE(A45716, ""de"", ""en"")"),"horse shit")</f>
        <v>horse shit</v>
      </c>
    </row>
    <row r="45717">
      <c r="A45717" s="1" t="s">
        <v>45716</v>
      </c>
      <c r="B45717" s="2" t="str">
        <f>IFERROR(__xludf.DUMMYFUNCTION("GOOGLETRANSLATE(A45717, ""de"", ""en"")"),"squander")</f>
        <v>squander</v>
      </c>
    </row>
    <row r="45718">
      <c r="A45718" s="1" t="s">
        <v>45717</v>
      </c>
      <c r="B45718" s="2" t="str">
        <f>IFERROR(__xludf.DUMMYFUNCTION("GOOGLETRANSLATE(A45718, ""de"", ""en"")"),"bolognese")</f>
        <v>bolognese</v>
      </c>
    </row>
    <row r="45719">
      <c r="A45719" s="1" t="s">
        <v>45718</v>
      </c>
      <c r="B45719" s="2" t="str">
        <f>IFERROR(__xludf.DUMMYFUNCTION("GOOGLETRANSLATE(A45719, ""de"", ""en"")"),"vintage")</f>
        <v>vintage</v>
      </c>
    </row>
    <row r="45720">
      <c r="A45720" s="1" t="s">
        <v>45719</v>
      </c>
      <c r="B45720" s="2" t="str">
        <f>IFERROR(__xludf.DUMMYFUNCTION("GOOGLETRANSLATE(A45720, ""de"", ""en"")"),"shit door")</f>
        <v>shit door</v>
      </c>
    </row>
    <row r="45721">
      <c r="A45721" s="1" t="s">
        <v>45720</v>
      </c>
      <c r="B45721" s="2" t="str">
        <f>IFERROR(__xludf.DUMMYFUNCTION("GOOGLETRANSLATE(A45721, ""de"", ""en"")"),"grandpas")</f>
        <v>grandpas</v>
      </c>
    </row>
    <row r="45722">
      <c r="A45722" s="1" t="s">
        <v>45721</v>
      </c>
      <c r="B45722" s="2" t="str">
        <f>IFERROR(__xludf.DUMMYFUNCTION("GOOGLETRANSLATE(A45722, ""de"", ""en"")"),"presumption")</f>
        <v>presumption</v>
      </c>
    </row>
    <row r="45723">
      <c r="A45723" s="1" t="s">
        <v>45722</v>
      </c>
      <c r="B45723" s="2" t="str">
        <f>IFERROR(__xludf.DUMMYFUNCTION("GOOGLETRANSLATE(A45723, ""de"", ""en"")"),"lash")</f>
        <v>lash</v>
      </c>
    </row>
    <row r="45724">
      <c r="A45724" s="1" t="s">
        <v>45723</v>
      </c>
      <c r="B45724" s="2" t="str">
        <f>IFERROR(__xludf.DUMMYFUNCTION("GOOGLETRANSLATE(A45724, ""de"", ""en"")"),"breather")</f>
        <v>breather</v>
      </c>
    </row>
    <row r="45725">
      <c r="A45725" s="1" t="s">
        <v>45724</v>
      </c>
      <c r="B45725" s="2" t="str">
        <f>IFERROR(__xludf.DUMMYFUNCTION("GOOGLETRANSLATE(A45725, ""de"", ""en"")"),"soap bubble")</f>
        <v>soap bubble</v>
      </c>
    </row>
    <row r="45726">
      <c r="A45726" s="1" t="s">
        <v>45725</v>
      </c>
      <c r="B45726" s="2" t="str">
        <f>IFERROR(__xludf.DUMMYFUNCTION("GOOGLETRANSLATE(A45726, ""de"", ""en"")"),"more excited")</f>
        <v>more excited</v>
      </c>
    </row>
    <row r="45727">
      <c r="A45727" s="1" t="s">
        <v>45726</v>
      </c>
      <c r="B45727" s="2" t="str">
        <f>IFERROR(__xludf.DUMMYFUNCTION("GOOGLETRANSLATE(A45727, ""de"", ""en"")"),"cohens")</f>
        <v>cohens</v>
      </c>
    </row>
    <row r="45728">
      <c r="A45728" s="1" t="s">
        <v>45727</v>
      </c>
      <c r="B45728" s="2" t="str">
        <f>IFERROR(__xludf.DUMMYFUNCTION("GOOGLETRANSLATE(A45728, ""de"", ""en"")"),"echoes")</f>
        <v>echoes</v>
      </c>
    </row>
    <row r="45729">
      <c r="A45729" s="1" t="s">
        <v>45728</v>
      </c>
      <c r="B45729" s="2" t="str">
        <f>IFERROR(__xludf.DUMMYFUNCTION("GOOGLETRANSLATE(A45729, ""de"", ""en"")"),"eulogy")</f>
        <v>eulogy</v>
      </c>
    </row>
    <row r="45730">
      <c r="A45730" s="1" t="s">
        <v>45729</v>
      </c>
      <c r="B45730" s="2" t="str">
        <f>IFERROR(__xludf.DUMMYFUNCTION("GOOGLETRANSLATE(A45730, ""de"", ""en"")"),"venture")</f>
        <v>venture</v>
      </c>
    </row>
    <row r="45731">
      <c r="A45731" s="1" t="s">
        <v>45730</v>
      </c>
      <c r="B45731" s="2" t="str">
        <f>IFERROR(__xludf.DUMMYFUNCTION("GOOGLETRANSLATE(A45731, ""de"", ""en"")"),"swallow")</f>
        <v>swallow</v>
      </c>
    </row>
    <row r="45732">
      <c r="A45732" s="1" t="s">
        <v>45731</v>
      </c>
      <c r="B45732" s="2" t="str">
        <f>IFERROR(__xludf.DUMMYFUNCTION("GOOGLETRANSLATE(A45732, ""de"", ""en"")"),"Dutch")</f>
        <v>Dutch</v>
      </c>
    </row>
    <row r="45733">
      <c r="A45733" s="1" t="s">
        <v>45732</v>
      </c>
      <c r="B45733" s="2" t="str">
        <f>IFERROR(__xludf.DUMMYFUNCTION("GOOGLETRANSLATE(A45733, ""de"", ""en"")"),"love")</f>
        <v>love</v>
      </c>
    </row>
    <row r="45734">
      <c r="A45734" s="1" t="s">
        <v>45733</v>
      </c>
      <c r="B45734" s="2" t="str">
        <f>IFERROR(__xludf.DUMMYFUNCTION("GOOGLETRANSLATE(A45734, ""de"", ""en"")"),"net")</f>
        <v>net</v>
      </c>
    </row>
    <row r="45735">
      <c r="A45735" s="1" t="s">
        <v>45734</v>
      </c>
      <c r="B45735" s="2" t="str">
        <f>IFERROR(__xludf.DUMMYFUNCTION("GOOGLETRANSLATE(A45735, ""de"", ""en"")"),"tuna")</f>
        <v>tuna</v>
      </c>
    </row>
    <row r="45736">
      <c r="A45736" s="1" t="s">
        <v>45735</v>
      </c>
      <c r="B45736" s="2" t="str">
        <f>IFERROR(__xludf.DUMMYFUNCTION("GOOGLETRANSLATE(A45736, ""de"", ""en"")"),"twitched")</f>
        <v>twitched</v>
      </c>
    </row>
    <row r="45737">
      <c r="A45737" s="1" t="s">
        <v>45736</v>
      </c>
      <c r="B45737" s="2" t="str">
        <f>IFERROR(__xludf.DUMMYFUNCTION("GOOGLETRANSLATE(A45737, ""de"", ""en"")"),"step out")</f>
        <v>step out</v>
      </c>
    </row>
    <row r="45738">
      <c r="A45738" s="1" t="s">
        <v>45737</v>
      </c>
      <c r="B45738" s="2" t="str">
        <f>IFERROR(__xludf.DUMMYFUNCTION("GOOGLETRANSLATE(A45738, ""de"", ""en"")"),"sperm donor")</f>
        <v>sperm donor</v>
      </c>
    </row>
    <row r="45739">
      <c r="A45739" s="1" t="s">
        <v>45738</v>
      </c>
      <c r="B45739" s="2" t="str">
        <f>IFERROR(__xludf.DUMMYFUNCTION("GOOGLETRANSLATE(A45739, ""de"", ""en"")"),"hogg")</f>
        <v>hogg</v>
      </c>
    </row>
    <row r="45740">
      <c r="A45740" s="1" t="s">
        <v>45739</v>
      </c>
      <c r="B45740" s="2" t="str">
        <f>IFERROR(__xludf.DUMMYFUNCTION("GOOGLETRANSLATE(A45740, ""de"", ""en"")"),"criminal")</f>
        <v>criminal</v>
      </c>
    </row>
    <row r="45741">
      <c r="A45741" s="1" t="s">
        <v>45740</v>
      </c>
      <c r="B45741" s="2" t="str">
        <f>IFERROR(__xludf.DUMMYFUNCTION("GOOGLETRANSLATE(A45741, ""de"", ""en"")"),"confiscated")</f>
        <v>confiscated</v>
      </c>
    </row>
    <row r="45742">
      <c r="A45742" s="1" t="s">
        <v>45741</v>
      </c>
      <c r="B45742" s="2" t="str">
        <f>IFERROR(__xludf.DUMMYFUNCTION("GOOGLETRANSLATE(A45742, ""de"", ""en"")"),"reverse")</f>
        <v>reverse</v>
      </c>
    </row>
    <row r="45743">
      <c r="A45743" s="1" t="s">
        <v>45742</v>
      </c>
      <c r="B45743" s="2" t="str">
        <f>IFERROR(__xludf.DUMMYFUNCTION("GOOGLETRANSLATE(A45743, ""de"", ""en"")"),"haji")</f>
        <v>haji</v>
      </c>
    </row>
    <row r="45744">
      <c r="A45744" s="1" t="s">
        <v>45743</v>
      </c>
      <c r="B45744" s="2" t="str">
        <f>IFERROR(__xludf.DUMMYFUNCTION("GOOGLETRANSLATE(A45744, ""de"", ""en"")"),"replacement bench")</f>
        <v>replacement bench</v>
      </c>
    </row>
    <row r="45745">
      <c r="A45745" s="1" t="s">
        <v>45744</v>
      </c>
      <c r="B45745" s="2" t="str">
        <f>IFERROR(__xludf.DUMMYFUNCTION("GOOGLETRANSLATE(A45745, ""de"", ""en"")"),"mishima")</f>
        <v>mishima</v>
      </c>
    </row>
    <row r="45746">
      <c r="A45746" s="1" t="s">
        <v>45745</v>
      </c>
      <c r="B45746" s="2" t="str">
        <f>IFERROR(__xludf.DUMMYFUNCTION("GOOGLETRANSLATE(A45746, ""de"", ""en"")"),"bagatelle")</f>
        <v>bagatelle</v>
      </c>
    </row>
    <row r="45747">
      <c r="A45747" s="1" t="s">
        <v>45746</v>
      </c>
      <c r="B45747" s="2" t="str">
        <f>IFERROR(__xludf.DUMMYFUNCTION("GOOGLETRANSLATE(A45747, ""de"", ""en"")"),"heart sick")</f>
        <v>heart sick</v>
      </c>
    </row>
    <row r="45748">
      <c r="A45748" s="1" t="s">
        <v>45747</v>
      </c>
      <c r="B45748" s="2" t="str">
        <f>IFERROR(__xludf.DUMMYFUNCTION("GOOGLETRANSLATE(A45748, ""de"", ""en"")"),"setauket")</f>
        <v>setauket</v>
      </c>
    </row>
    <row r="45749">
      <c r="A45749" s="1" t="s">
        <v>45748</v>
      </c>
      <c r="B45749" s="2" t="str">
        <f>IFERROR(__xludf.DUMMYFUNCTION("GOOGLETRANSLATE(A45749, ""de"", ""en"")"),"chou heung")</f>
        <v>chou heung</v>
      </c>
    </row>
    <row r="45750">
      <c r="A45750" s="1" t="s">
        <v>45749</v>
      </c>
      <c r="B45750" s="2" t="str">
        <f>IFERROR(__xludf.DUMMYFUNCTION("GOOGLETRANSLATE(A45750, ""de"", ""en"")"),"recognizable")</f>
        <v>recognizable</v>
      </c>
    </row>
    <row r="45751">
      <c r="A45751" s="1" t="s">
        <v>45750</v>
      </c>
      <c r="B45751" s="2" t="str">
        <f>IFERROR(__xludf.DUMMYFUNCTION("GOOGLETRANSLATE(A45751, ""de"", ""en"")"),"slippery")</f>
        <v>slippery</v>
      </c>
    </row>
    <row r="45752">
      <c r="A45752" s="1" t="s">
        <v>45751</v>
      </c>
      <c r="B45752" s="2" t="str">
        <f>IFERROR(__xludf.DUMMYFUNCTION("GOOGLETRANSLATE(A45752, ""de"", ""en"")"),"modesto")</f>
        <v>modesto</v>
      </c>
    </row>
    <row r="45753">
      <c r="A45753" s="1" t="s">
        <v>45752</v>
      </c>
      <c r="B45753" s="2" t="str">
        <f>IFERROR(__xludf.DUMMYFUNCTION("GOOGLETRANSLATE(A45753, ""de"", ""en"")"),"hiya")</f>
        <v>hiya</v>
      </c>
    </row>
    <row r="45754">
      <c r="A45754" s="1" t="s">
        <v>45753</v>
      </c>
      <c r="B45754" s="2" t="str">
        <f>IFERROR(__xludf.DUMMYFUNCTION("GOOGLETRANSLATE(A45754, ""de"", ""en"")"),"health")</f>
        <v>health</v>
      </c>
    </row>
    <row r="45755">
      <c r="A45755" s="1" t="s">
        <v>45754</v>
      </c>
      <c r="B45755" s="2" t="str">
        <f>IFERROR(__xludf.DUMMYFUNCTION("GOOGLETRANSLATE(A45755, ""de"", ""en"")"),"ronnies")</f>
        <v>ronnies</v>
      </c>
    </row>
    <row r="45756">
      <c r="A45756" s="1" t="s">
        <v>45755</v>
      </c>
      <c r="B45756" s="2" t="str">
        <f>IFERROR(__xludf.DUMMYFUNCTION("GOOGLETRANSLATE(A45756, ""de"", ""en"")"),"heater")</f>
        <v>heater</v>
      </c>
    </row>
    <row r="45757">
      <c r="A45757" s="1" t="s">
        <v>45756</v>
      </c>
      <c r="B45757" s="2" t="str">
        <f>IFERROR(__xludf.DUMMYFUNCTION("GOOGLETRANSLATE(A45757, ""de"", ""en"")"),"mcclaren")</f>
        <v>mcclaren</v>
      </c>
    </row>
    <row r="45758">
      <c r="A45758" s="1" t="s">
        <v>45757</v>
      </c>
      <c r="B45758" s="2" t="str">
        <f>IFERROR(__xludf.DUMMYFUNCTION("GOOGLETRANSLATE(A45758, ""de"", ""en"")"),"provo")</f>
        <v>provo</v>
      </c>
    </row>
    <row r="45759">
      <c r="A45759" s="1" t="s">
        <v>45758</v>
      </c>
      <c r="B45759" s="2" t="str">
        <f>IFERROR(__xludf.DUMMYFUNCTION("GOOGLETRANSLATE(A45759, ""de"", ""en"")"),"naughty")</f>
        <v>naughty</v>
      </c>
    </row>
    <row r="45760">
      <c r="A45760" s="1" t="s">
        <v>45759</v>
      </c>
      <c r="B45760" s="2" t="str">
        <f>IFERROR(__xludf.DUMMYFUNCTION("GOOGLETRANSLATE(A45760, ""de"", ""en"")"),"Lombardi")</f>
        <v>Lombardi</v>
      </c>
    </row>
    <row r="45761">
      <c r="A45761" s="1" t="s">
        <v>45760</v>
      </c>
      <c r="B45761" s="2" t="str">
        <f>IFERROR(__xludf.DUMMYFUNCTION("GOOGLETRANSLATE(A45761, ""de"", ""en"")"),"quadruple")</f>
        <v>quadruple</v>
      </c>
    </row>
    <row r="45762">
      <c r="A45762" s="1" t="s">
        <v>45761</v>
      </c>
      <c r="B45762" s="2" t="str">
        <f>IFERROR(__xludf.DUMMYFUNCTION("GOOGLETRANSLATE(A45762, ""de"", ""en"")"),"Canaan")</f>
        <v>Canaan</v>
      </c>
    </row>
    <row r="45763">
      <c r="A45763" s="1" t="s">
        <v>45762</v>
      </c>
      <c r="B45763" s="2" t="str">
        <f>IFERROR(__xludf.DUMMYFUNCTION("GOOGLETRANSLATE(A45763, ""de"", ""en"")"),"carney")</f>
        <v>carney</v>
      </c>
    </row>
    <row r="45764">
      <c r="A45764" s="1" t="s">
        <v>45763</v>
      </c>
      <c r="B45764" s="2" t="str">
        <f>IFERROR(__xludf.DUMMYFUNCTION("GOOGLETRANSLATE(A45764, ""de"", ""en"")"),"know")</f>
        <v>know</v>
      </c>
    </row>
    <row r="45765">
      <c r="A45765" s="1" t="s">
        <v>45764</v>
      </c>
      <c r="B45765" s="2" t="str">
        <f>IFERROR(__xludf.DUMMYFUNCTION("GOOGLETRANSLATE(A45765, ""de"", ""en"")"),"meridian")</f>
        <v>meridian</v>
      </c>
    </row>
    <row r="45766">
      <c r="A45766" s="1" t="s">
        <v>45765</v>
      </c>
      <c r="B45766" s="2" t="str">
        <f>IFERROR(__xludf.DUMMYFUNCTION("GOOGLETRANSLATE(A45766, ""de"", ""en"")"),"chao-li")</f>
        <v>chao-li</v>
      </c>
    </row>
    <row r="45767">
      <c r="A45767" s="1" t="s">
        <v>45766</v>
      </c>
      <c r="B45767" s="2" t="str">
        <f>IFERROR(__xludf.DUMMYFUNCTION("GOOGLETRANSLATE(A45767, ""de"", ""en"")"),"heartless")</f>
        <v>heartless</v>
      </c>
    </row>
    <row r="45768">
      <c r="A45768" s="1" t="s">
        <v>45767</v>
      </c>
      <c r="B45768" s="2" t="str">
        <f>IFERROR(__xludf.DUMMYFUNCTION("GOOGLETRANSLATE(A45768, ""de"", ""en"")"),"low")</f>
        <v>low</v>
      </c>
    </row>
    <row r="45769">
      <c r="A45769" s="1" t="s">
        <v>45768</v>
      </c>
      <c r="B45769" s="2" t="str">
        <f>IFERROR(__xludf.DUMMYFUNCTION("GOOGLETRANSLATE(A45769, ""de"", ""en"")"),"vizier")</f>
        <v>vizier</v>
      </c>
    </row>
    <row r="45770">
      <c r="A45770" s="1" t="s">
        <v>45769</v>
      </c>
      <c r="B45770" s="2" t="str">
        <f>IFERROR(__xludf.DUMMYFUNCTION("GOOGLETRANSLATE(A45770, ""de"", ""en"")"),"to foresee")</f>
        <v>to foresee</v>
      </c>
    </row>
    <row r="45771">
      <c r="A45771" s="1" t="s">
        <v>45770</v>
      </c>
      <c r="B45771" s="2" t="str">
        <f>IFERROR(__xludf.DUMMYFUNCTION("GOOGLETRANSLATE(A45771, ""de"", ""en"")"),"grocery store")</f>
        <v>grocery store</v>
      </c>
    </row>
    <row r="45772">
      <c r="A45772" s="1" t="s">
        <v>45771</v>
      </c>
      <c r="B45772" s="2" t="str">
        <f>IFERROR(__xludf.DUMMYFUNCTION("GOOGLETRANSLATE(A45772, ""de"", ""en"")"),"plunkett")</f>
        <v>plunkett</v>
      </c>
    </row>
    <row r="45773">
      <c r="A45773" s="1" t="s">
        <v>45772</v>
      </c>
      <c r="B45773" s="2" t="str">
        <f>IFERROR(__xludf.DUMMYFUNCTION("GOOGLETRANSLATE(A45773, ""de"", ""en"")"),"perishes")</f>
        <v>perishes</v>
      </c>
    </row>
    <row r="45774">
      <c r="A45774" s="1" t="s">
        <v>45773</v>
      </c>
      <c r="B45774" s="2" t="str">
        <f>IFERROR(__xludf.DUMMYFUNCTION("GOOGLETRANSLATE(A45774, ""de"", ""en"")"),"click")</f>
        <v>click</v>
      </c>
    </row>
    <row r="45775">
      <c r="A45775" s="1" t="s">
        <v>45774</v>
      </c>
      <c r="B45775" s="2" t="str">
        <f>IFERROR(__xludf.DUMMYFUNCTION("GOOGLETRANSLATE(A45775, ""de"", ""en"")"),"burns up")</f>
        <v>burns up</v>
      </c>
    </row>
    <row r="45776">
      <c r="A45776" s="1" t="s">
        <v>45775</v>
      </c>
      <c r="B45776" s="2" t="str">
        <f>IFERROR(__xludf.DUMMYFUNCTION("GOOGLETRANSLATE(A45776, ""de"", ""en"")"),"obeyed")</f>
        <v>obeyed</v>
      </c>
    </row>
    <row r="45777">
      <c r="A45777" s="1" t="s">
        <v>45776</v>
      </c>
      <c r="B45777" s="2" t="str">
        <f>IFERROR(__xludf.DUMMYFUNCTION("GOOGLETRANSLATE(A45777, ""de"", ""en"")"),"ranjit")</f>
        <v>ranjit</v>
      </c>
    </row>
    <row r="45778">
      <c r="A45778" s="1" t="s">
        <v>45777</v>
      </c>
      <c r="B45778" s="2" t="str">
        <f>IFERROR(__xludf.DUMMYFUNCTION("GOOGLETRANSLATE(A45778, ""de"", ""en"")"),"mclean")</f>
        <v>mclean</v>
      </c>
    </row>
    <row r="45779">
      <c r="A45779" s="1" t="s">
        <v>45778</v>
      </c>
      <c r="B45779" s="2" t="str">
        <f>IFERROR(__xludf.DUMMYFUNCTION("GOOGLETRANSLATE(A45779, ""de"", ""en"")"),"research")</f>
        <v>research</v>
      </c>
    </row>
    <row r="45780">
      <c r="A45780" s="1" t="s">
        <v>45779</v>
      </c>
      <c r="B45780" s="2" t="str">
        <f>IFERROR(__xludf.DUMMYFUNCTION("GOOGLETRANSLATE(A45780, ""de"", ""en"")"),"note")</f>
        <v>note</v>
      </c>
    </row>
    <row r="45781">
      <c r="A45781" s="1" t="s">
        <v>45780</v>
      </c>
      <c r="B45781" s="2" t="str">
        <f>IFERROR(__xludf.DUMMYFUNCTION("GOOGLETRANSLATE(A45781, ""de"", ""en"")"),"backgammon")</f>
        <v>backgammon</v>
      </c>
    </row>
    <row r="45782">
      <c r="A45782" s="1" t="s">
        <v>45781</v>
      </c>
      <c r="B45782" s="2" t="str">
        <f>IFERROR(__xludf.DUMMYFUNCTION("GOOGLETRANSLATE(A45782, ""de"", ""en"")"),"glasshouse")</f>
        <v>glasshouse</v>
      </c>
    </row>
    <row r="45783">
      <c r="A45783" s="1" t="s">
        <v>45782</v>
      </c>
      <c r="B45783" s="2" t="str">
        <f>IFERROR(__xludf.DUMMYFUNCTION("GOOGLETRANSLATE(A45783, ""de"", ""en"")"),"put up")</f>
        <v>put up</v>
      </c>
    </row>
    <row r="45784">
      <c r="A45784" s="1" t="s">
        <v>45783</v>
      </c>
      <c r="B45784" s="2" t="str">
        <f>IFERROR(__xludf.DUMMYFUNCTION("GOOGLETRANSLATE(A45784, ""de"", ""en"")"),"wordlessly")</f>
        <v>wordlessly</v>
      </c>
    </row>
    <row r="45785">
      <c r="A45785" s="1" t="s">
        <v>45784</v>
      </c>
      <c r="B45785" s="2" t="str">
        <f>IFERROR(__xludf.DUMMYFUNCTION("GOOGLETRANSLATE(A45785, ""de"", ""en"")"),"etc")</f>
        <v>etc</v>
      </c>
    </row>
    <row r="45786">
      <c r="A45786" s="1" t="s">
        <v>45785</v>
      </c>
      <c r="B45786" s="2" t="str">
        <f>IFERROR(__xludf.DUMMYFUNCTION("GOOGLETRANSLATE(A45786, ""de"", ""en"")"),"warped")</f>
        <v>warped</v>
      </c>
    </row>
    <row r="45787">
      <c r="A45787" s="1" t="s">
        <v>45786</v>
      </c>
      <c r="B45787" s="2" t="str">
        <f>IFERROR(__xludf.DUMMYFUNCTION("GOOGLETRANSLATE(A45787, ""de"", ""en"")"),"linebacker")</f>
        <v>linebacker</v>
      </c>
    </row>
    <row r="45788">
      <c r="A45788" s="1" t="s">
        <v>45787</v>
      </c>
      <c r="B45788" s="2" t="str">
        <f>IFERROR(__xludf.DUMMYFUNCTION("GOOGLETRANSLATE(A45788, ""de"", ""en"")"),"film studio")</f>
        <v>film studio</v>
      </c>
    </row>
    <row r="45789">
      <c r="A45789" s="1" t="s">
        <v>45788</v>
      </c>
      <c r="B45789" s="2" t="str">
        <f>IFERROR(__xludf.DUMMYFUNCTION("GOOGLETRANSLATE(A45789, ""de"", ""en"")"),"lung wings")</f>
        <v>lung wings</v>
      </c>
    </row>
    <row r="45790">
      <c r="A45790" s="1" t="s">
        <v>45789</v>
      </c>
      <c r="B45790" s="2" t="str">
        <f>IFERROR(__xludf.DUMMYFUNCTION("GOOGLETRANSLATE(A45790, ""de"", ""en"")"),"opener")</f>
        <v>opener</v>
      </c>
    </row>
    <row r="45791">
      <c r="A45791" s="1" t="s">
        <v>45790</v>
      </c>
      <c r="B45791" s="2" t="str">
        <f>IFERROR(__xludf.DUMMYFUNCTION("GOOGLETRANSLATE(A45791, ""de"", ""en"")"),"central")</f>
        <v>central</v>
      </c>
    </row>
    <row r="45792">
      <c r="A45792" s="1" t="s">
        <v>45791</v>
      </c>
      <c r="B45792" s="2" t="str">
        <f>IFERROR(__xludf.DUMMYFUNCTION("GOOGLETRANSLATE(A45792, ""de"", ""en"")"),"looted")</f>
        <v>looted</v>
      </c>
    </row>
    <row r="45793">
      <c r="A45793" s="1" t="s">
        <v>45792</v>
      </c>
      <c r="B45793" s="2" t="str">
        <f>IFERROR(__xludf.DUMMYFUNCTION("GOOGLETRANSLATE(A45793, ""de"", ""en"")"),"nose")</f>
        <v>nose</v>
      </c>
    </row>
    <row r="45794">
      <c r="A45794" s="1" t="s">
        <v>45793</v>
      </c>
      <c r="B45794" s="2" t="str">
        <f>IFERROR(__xludf.DUMMYFUNCTION("GOOGLETRANSLATE(A45794, ""de"", ""en"")"),"styrofoam")</f>
        <v>styrofoam</v>
      </c>
    </row>
    <row r="45795">
      <c r="A45795" s="1" t="s">
        <v>45794</v>
      </c>
      <c r="B45795" s="2" t="str">
        <f>IFERROR(__xludf.DUMMYFUNCTION("GOOGLETRANSLATE(A45795, ""de"", ""en"")"),"autumn")</f>
        <v>autumn</v>
      </c>
    </row>
    <row r="45796">
      <c r="A45796" s="1" t="s">
        <v>45795</v>
      </c>
      <c r="B45796" s="2" t="str">
        <f>IFERROR(__xludf.DUMMYFUNCTION("GOOGLETRANSLATE(A45796, ""de"", ""en"")"),"excess")</f>
        <v>excess</v>
      </c>
    </row>
    <row r="45797">
      <c r="A45797" s="1" t="s">
        <v>45796</v>
      </c>
      <c r="B45797" s="2" t="str">
        <f>IFERROR(__xludf.DUMMYFUNCTION("GOOGLETRANSLATE(A45797, ""de"", ""en"")"),"unbuttoned")</f>
        <v>unbuttoned</v>
      </c>
    </row>
    <row r="45798">
      <c r="A45798" s="1" t="s">
        <v>45797</v>
      </c>
      <c r="B45798" s="2" t="str">
        <f>IFERROR(__xludf.DUMMYFUNCTION("GOOGLETRANSLATE(A45798, ""de"", ""en"")"),"fatty ones")</f>
        <v>fatty ones</v>
      </c>
    </row>
    <row r="45799">
      <c r="A45799" s="1" t="s">
        <v>45798</v>
      </c>
      <c r="B45799" s="2" t="str">
        <f>IFERROR(__xludf.DUMMYFUNCTION("GOOGLETRANSLATE(A45799, ""de"", ""en"")"),"hear")</f>
        <v>hear</v>
      </c>
    </row>
    <row r="45800">
      <c r="A45800" s="1" t="s">
        <v>45799</v>
      </c>
      <c r="B45800" s="2" t="str">
        <f>IFERROR(__xludf.DUMMYFUNCTION("GOOGLETRANSLATE(A45800, ""de"", ""en"")"),"procreation")</f>
        <v>procreation</v>
      </c>
    </row>
    <row r="45801">
      <c r="A45801" s="1" t="s">
        <v>45800</v>
      </c>
      <c r="B45801" s="2" t="str">
        <f>IFERROR(__xludf.DUMMYFUNCTION("GOOGLETRANSLATE(A45801, ""de"", ""en"")"),"victorious")</f>
        <v>victorious</v>
      </c>
    </row>
    <row r="45802">
      <c r="A45802" s="1" t="s">
        <v>45801</v>
      </c>
      <c r="B45802" s="2" t="str">
        <f>IFERROR(__xludf.DUMMYFUNCTION("GOOGLETRANSLATE(A45802, ""de"", ""en"")"),"aches and pains")</f>
        <v>aches and pains</v>
      </c>
    </row>
    <row r="45803">
      <c r="A45803" s="1" t="s">
        <v>45802</v>
      </c>
      <c r="B45803" s="2" t="str">
        <f>IFERROR(__xludf.DUMMYFUNCTION("GOOGLETRANSLATE(A45803, ""de"", ""en"")"),"banal")</f>
        <v>banal</v>
      </c>
    </row>
    <row r="45804">
      <c r="A45804" s="1" t="s">
        <v>45803</v>
      </c>
      <c r="B45804" s="2" t="str">
        <f>IFERROR(__xludf.DUMMYFUNCTION("GOOGLETRANSLATE(A45804, ""de"", ""en"")"),"windows")</f>
        <v>windows</v>
      </c>
    </row>
    <row r="45805">
      <c r="A45805" s="1" t="s">
        <v>45804</v>
      </c>
      <c r="B45805" s="2" t="str">
        <f>IFERROR(__xludf.DUMMYFUNCTION("GOOGLETRANSLATE(A45805, ""de"", ""en"")"),"crump")</f>
        <v>crump</v>
      </c>
    </row>
    <row r="45806">
      <c r="A45806" s="1" t="s">
        <v>45805</v>
      </c>
      <c r="B45806" s="2" t="str">
        <f>IFERROR(__xludf.DUMMYFUNCTION("GOOGLETRANSLATE(A45806, ""de"", ""en"")"),"shara")</f>
        <v>shara</v>
      </c>
    </row>
    <row r="45807">
      <c r="A45807" s="1" t="s">
        <v>45806</v>
      </c>
      <c r="B45807" s="2" t="str">
        <f>IFERROR(__xludf.DUMMYFUNCTION("GOOGLETRANSLATE(A45807, ""de"", ""en"")"),"stuck")</f>
        <v>stuck</v>
      </c>
    </row>
    <row r="45808">
      <c r="A45808" s="1" t="s">
        <v>45807</v>
      </c>
      <c r="B45808" s="2" t="str">
        <f>IFERROR(__xludf.DUMMYFUNCTION("GOOGLETRANSLATE(A45808, ""de"", ""en"")"),"inhaled")</f>
        <v>inhaled</v>
      </c>
    </row>
    <row r="45809">
      <c r="A45809" s="1" t="s">
        <v>45808</v>
      </c>
      <c r="B45809" s="2" t="str">
        <f>IFERROR(__xludf.DUMMYFUNCTION("GOOGLETRANSLATE(A45809, ""de"", ""en"")"),"acting school")</f>
        <v>acting school</v>
      </c>
    </row>
    <row r="45810">
      <c r="A45810" s="1" t="s">
        <v>45809</v>
      </c>
      <c r="B45810" s="2" t="str">
        <f>IFERROR(__xludf.DUMMYFUNCTION("GOOGLETRANSLATE(A45810, ""de"", ""en"")"),"impenetrable")</f>
        <v>impenetrable</v>
      </c>
    </row>
    <row r="45811">
      <c r="A45811" s="1" t="s">
        <v>45810</v>
      </c>
      <c r="B45811" s="2" t="str">
        <f>IFERROR(__xludf.DUMMYFUNCTION("GOOGLETRANSLATE(A45811, ""de"", ""en"")"),"raheem")</f>
        <v>raheem</v>
      </c>
    </row>
    <row r="45812">
      <c r="A45812" s="1" t="s">
        <v>45811</v>
      </c>
      <c r="B45812" s="2" t="str">
        <f>IFERROR(__xludf.DUMMYFUNCTION("GOOGLETRANSLATE(A45812, ""de"", ""en"")"),"kiyomaru")</f>
        <v>kiyomaru</v>
      </c>
    </row>
    <row r="45813">
      <c r="A45813" s="1" t="s">
        <v>45812</v>
      </c>
      <c r="B45813" s="2" t="str">
        <f>IFERROR(__xludf.DUMMYFUNCTION("GOOGLETRANSLATE(A45813, ""de"", ""en"")"),"probation officer")</f>
        <v>probation officer</v>
      </c>
    </row>
    <row r="45814">
      <c r="A45814" s="1" t="s">
        <v>45813</v>
      </c>
      <c r="B45814" s="2" t="str">
        <f>IFERROR(__xludf.DUMMYFUNCTION("GOOGLETRANSLATE(A45814, ""de"", ""en"")"),"adult")</f>
        <v>adult</v>
      </c>
    </row>
    <row r="45815">
      <c r="A45815" s="1" t="s">
        <v>45814</v>
      </c>
      <c r="B45815" s="2" t="str">
        <f>IFERROR(__xludf.DUMMYFUNCTION("GOOGLETRANSLATE(A45815, ""de"", ""en"")"),"strip club")</f>
        <v>strip club</v>
      </c>
    </row>
    <row r="45816">
      <c r="A45816" s="1" t="s">
        <v>45815</v>
      </c>
      <c r="B45816" s="2" t="str">
        <f>IFERROR(__xludf.DUMMYFUNCTION("GOOGLETRANSLATE(A45816, ""de"", ""en"")"),"cheated")</f>
        <v>cheated</v>
      </c>
    </row>
    <row r="45817">
      <c r="A45817" s="1" t="s">
        <v>45816</v>
      </c>
      <c r="B45817" s="2" t="str">
        <f>IFERROR(__xludf.DUMMYFUNCTION("GOOGLETRANSLATE(A45817, ""de"", ""en"")"),"moped")</f>
        <v>moped</v>
      </c>
    </row>
    <row r="45818">
      <c r="A45818" s="1" t="s">
        <v>45817</v>
      </c>
      <c r="B45818" s="2" t="str">
        <f>IFERROR(__xludf.DUMMYFUNCTION("GOOGLETRANSLATE(A45818, ""de"", ""en"")"),"insulted")</f>
        <v>insulted</v>
      </c>
    </row>
    <row r="45819">
      <c r="A45819" s="1" t="s">
        <v>45818</v>
      </c>
      <c r="B45819" s="2" t="str">
        <f>IFERROR(__xludf.DUMMYFUNCTION("GOOGLETRANSLATE(A45819, ""de"", ""en"")"),"stallone")</f>
        <v>stallone</v>
      </c>
    </row>
    <row r="45820">
      <c r="A45820" s="1" t="s">
        <v>45819</v>
      </c>
      <c r="B45820" s="2" t="str">
        <f>IFERROR(__xludf.DUMMYFUNCTION("GOOGLETRANSLATE(A45820, ""de"", ""en"")"),"prescribed")</f>
        <v>prescribed</v>
      </c>
    </row>
    <row r="45821">
      <c r="A45821" s="1" t="s">
        <v>45820</v>
      </c>
      <c r="B45821" s="2" t="str">
        <f>IFERROR(__xludf.DUMMYFUNCTION("GOOGLETRANSLATE(A45821, ""de"", ""en"")"),"reservists")</f>
        <v>reservists</v>
      </c>
    </row>
    <row r="45822">
      <c r="A45822" s="1" t="s">
        <v>45821</v>
      </c>
      <c r="B45822" s="2" t="str">
        <f>IFERROR(__xludf.DUMMYFUNCTION("GOOGLETRANSLATE(A45822, ""de"", ""en"")"),"tob")</f>
        <v>tob</v>
      </c>
    </row>
    <row r="45823">
      <c r="A45823" s="1" t="s">
        <v>45822</v>
      </c>
      <c r="B45823" s="2" t="str">
        <f>IFERROR(__xludf.DUMMYFUNCTION("GOOGLETRANSLATE(A45823, ""de"", ""en"")"),"unfortunate")</f>
        <v>unfortunate</v>
      </c>
    </row>
    <row r="45824">
      <c r="A45824" s="1" t="s">
        <v>45823</v>
      </c>
      <c r="B45824" s="2" t="str">
        <f>IFERROR(__xludf.DUMMYFUNCTION("GOOGLETRANSLATE(A45824, ""de"", ""en"")"),"raped")</f>
        <v>raped</v>
      </c>
    </row>
    <row r="45825">
      <c r="A45825" s="1" t="s">
        <v>45824</v>
      </c>
      <c r="B45825" s="2" t="str">
        <f>IFERROR(__xludf.DUMMYFUNCTION("GOOGLETRANSLATE(A45825, ""de"", ""en"")"),"bower")</f>
        <v>bower</v>
      </c>
    </row>
    <row r="45826">
      <c r="A45826" s="1" t="s">
        <v>45825</v>
      </c>
      <c r="B45826" s="2" t="str">
        <f>IFERROR(__xludf.DUMMYFUNCTION("GOOGLETRANSLATE(A45826, ""de"", ""en"")"),"tug")</f>
        <v>tug</v>
      </c>
    </row>
    <row r="45827">
      <c r="A45827" s="1" t="s">
        <v>45826</v>
      </c>
      <c r="B45827" s="2" t="str">
        <f>IFERROR(__xludf.DUMMYFUNCTION("GOOGLETRANSLATE(A45827, ""de"", ""en"")"),"rustic")</f>
        <v>rustic</v>
      </c>
    </row>
    <row r="45828">
      <c r="A45828" s="1" t="s">
        <v>45827</v>
      </c>
      <c r="B45828" s="2" t="str">
        <f>IFERROR(__xludf.DUMMYFUNCTION("GOOGLETRANSLATE(A45828, ""de"", ""en"")"),"s02e02")</f>
        <v>s02e02</v>
      </c>
    </row>
    <row r="45829">
      <c r="A45829" s="1" t="s">
        <v>45828</v>
      </c>
      <c r="B45829" s="2" t="str">
        <f>IFERROR(__xludf.DUMMYFUNCTION("GOOGLETRANSLATE(A45829, ""de"", ""en"")"),"ferrante")</f>
        <v>ferrante</v>
      </c>
    </row>
    <row r="45830">
      <c r="A45830" s="1" t="s">
        <v>45829</v>
      </c>
      <c r="B45830" s="2" t="str">
        <f>IFERROR(__xludf.DUMMYFUNCTION("GOOGLETRANSLATE(A45830, ""de"", ""en"")"),"clergy")</f>
        <v>clergy</v>
      </c>
    </row>
    <row r="45831">
      <c r="A45831" s="1" t="s">
        <v>45830</v>
      </c>
      <c r="B45831" s="2" t="str">
        <f>IFERROR(__xludf.DUMMYFUNCTION("GOOGLETRANSLATE(A45831, ""de"", ""en"")"),"left alone")</f>
        <v>left alone</v>
      </c>
    </row>
    <row r="45832">
      <c r="A45832" s="1" t="s">
        <v>45831</v>
      </c>
      <c r="B45832" s="2" t="str">
        <f>IFERROR(__xludf.DUMMYFUNCTION("GOOGLETRANSLATE(A45832, ""de"", ""en"")"),"pero")</f>
        <v>pero</v>
      </c>
    </row>
    <row r="45833">
      <c r="A45833" s="1" t="s">
        <v>45832</v>
      </c>
      <c r="B45833" s="2" t="str">
        <f>IFERROR(__xludf.DUMMYFUNCTION("GOOGLETRANSLATE(A45833, ""de"", ""en"")"),"Cronus")</f>
        <v>Cronus</v>
      </c>
    </row>
    <row r="45834">
      <c r="A45834" s="1" t="s">
        <v>45833</v>
      </c>
      <c r="B45834" s="2" t="str">
        <f>IFERROR(__xludf.DUMMYFUNCTION("GOOGLETRANSLATE(A45834, ""de"", ""en"")"),"elfie")</f>
        <v>elfie</v>
      </c>
    </row>
    <row r="45835">
      <c r="A45835" s="1" t="s">
        <v>45834</v>
      </c>
      <c r="B45835" s="2" t="str">
        <f>IFERROR(__xludf.DUMMYFUNCTION("GOOGLETRANSLATE(A45835, ""de"", ""en"")"),"improved")</f>
        <v>improved</v>
      </c>
    </row>
    <row r="45836">
      <c r="A45836" s="1" t="s">
        <v>45835</v>
      </c>
      <c r="B45836" s="2" t="str">
        <f>IFERROR(__xludf.DUMMYFUNCTION("GOOGLETRANSLATE(A45836, ""de"", ""en"")"),"closed")</f>
        <v>closed</v>
      </c>
    </row>
    <row r="45837">
      <c r="A45837" s="1" t="s">
        <v>45836</v>
      </c>
      <c r="B45837" s="2" t="str">
        <f>IFERROR(__xludf.DUMMYFUNCTION("GOOGLETRANSLATE(A45837, ""de"", ""en"")"),"adventurous")</f>
        <v>adventurous</v>
      </c>
    </row>
    <row r="45838">
      <c r="A45838" s="1" t="s">
        <v>45837</v>
      </c>
      <c r="B45838" s="2" t="str">
        <f>IFERROR(__xludf.DUMMYFUNCTION("GOOGLETRANSLATE(A45838, ""de"", ""en"")"),"buckaroo")</f>
        <v>buckaroo</v>
      </c>
    </row>
    <row r="45839">
      <c r="A45839" s="1" t="s">
        <v>45838</v>
      </c>
      <c r="B45839" s="2" t="str">
        <f>IFERROR(__xludf.DUMMYFUNCTION("GOOGLETRANSLATE(A45839, ""de"", ""en"")"),"kuroda")</f>
        <v>kuroda</v>
      </c>
    </row>
    <row r="45840">
      <c r="A45840" s="1" t="s">
        <v>45839</v>
      </c>
      <c r="B45840" s="2" t="str">
        <f>IFERROR(__xludf.DUMMYFUNCTION("GOOGLETRANSLATE(A45840, ""de"", ""en"")"),"handguns")</f>
        <v>handguns</v>
      </c>
    </row>
    <row r="45841">
      <c r="A45841" s="1" t="s">
        <v>45840</v>
      </c>
      <c r="B45841" s="2" t="str">
        <f>IFERROR(__xludf.DUMMYFUNCTION("GOOGLETRANSLATE(A45841, ""de"", ""en"")"),"driving lesson")</f>
        <v>driving lesson</v>
      </c>
    </row>
    <row r="45842">
      <c r="A45842" s="1" t="s">
        <v>45841</v>
      </c>
      <c r="B45842" s="2" t="str">
        <f>IFERROR(__xludf.DUMMYFUNCTION("GOOGLETRANSLATE(A45842, ""de"", ""en"")"),"hongsawadi")</f>
        <v>hongsawadi</v>
      </c>
    </row>
    <row r="45843">
      <c r="A45843" s="1" t="s">
        <v>45842</v>
      </c>
      <c r="B45843" s="2" t="str">
        <f>IFERROR(__xludf.DUMMYFUNCTION("GOOGLETRANSLATE(A45843, ""de"", ""en"")"),"oncologists")</f>
        <v>oncologists</v>
      </c>
    </row>
    <row r="45844">
      <c r="A45844" s="1" t="s">
        <v>45843</v>
      </c>
      <c r="B45844" s="2" t="str">
        <f>IFERROR(__xludf.DUMMYFUNCTION("GOOGLETRANSLATE(A45844, ""de"", ""en"")"),"naresuan")</f>
        <v>naresuan</v>
      </c>
    </row>
    <row r="45845">
      <c r="A45845" s="1" t="s">
        <v>45844</v>
      </c>
      <c r="B45845" s="2" t="str">
        <f>IFERROR(__xludf.DUMMYFUNCTION("GOOGLETRANSLATE(A45845, ""de"", ""en"")"),"sharpened")</f>
        <v>sharpened</v>
      </c>
    </row>
    <row r="45846">
      <c r="A45846" s="1" t="s">
        <v>45845</v>
      </c>
      <c r="B45846" s="2" t="str">
        <f>IFERROR(__xludf.DUMMYFUNCTION("GOOGLETRANSLATE(A45846, ""de"", ""en"")"),"heated")</f>
        <v>heated</v>
      </c>
    </row>
    <row r="45847">
      <c r="A45847" s="1" t="s">
        <v>45846</v>
      </c>
      <c r="B45847" s="2" t="str">
        <f>IFERROR(__xludf.DUMMYFUNCTION("GOOGLETRANSLATE(A45847, ""de"", ""en"")"),"mizushima")</f>
        <v>mizushima</v>
      </c>
    </row>
    <row r="45848">
      <c r="A45848" s="1" t="s">
        <v>45847</v>
      </c>
      <c r="B45848" s="2" t="str">
        <f>IFERROR(__xludf.DUMMYFUNCTION("GOOGLETRANSLATE(A45848, ""de"", ""en"")"),"superimposed")</f>
        <v>superimposed</v>
      </c>
    </row>
    <row r="45849">
      <c r="A45849" s="1" t="s">
        <v>45848</v>
      </c>
      <c r="B45849" s="2" t="str">
        <f>IFERROR(__xludf.DUMMYFUNCTION("GOOGLETRANSLATE(A45849, ""de"", ""en"")"),"rhinoceros")</f>
        <v>rhinoceros</v>
      </c>
    </row>
    <row r="45850">
      <c r="A45850" s="1" t="s">
        <v>45849</v>
      </c>
      <c r="B45850" s="2" t="str">
        <f>IFERROR(__xludf.DUMMYFUNCTION("GOOGLETRANSLATE(A45850, ""de"", ""en"")"),"nuclear power plant")</f>
        <v>nuclear power plant</v>
      </c>
    </row>
    <row r="45851">
      <c r="A45851" s="1" t="s">
        <v>45850</v>
      </c>
      <c r="B45851" s="2" t="str">
        <f>IFERROR(__xludf.DUMMYFUNCTION("GOOGLETRANSLATE(A45851, ""de"", ""en"")"),"pass on")</f>
        <v>pass on</v>
      </c>
    </row>
    <row r="45852">
      <c r="A45852" s="1" t="s">
        <v>45851</v>
      </c>
      <c r="B45852" s="2" t="str">
        <f>IFERROR(__xludf.DUMMYFUNCTION("GOOGLETRANSLATE(A45852, ""de"", ""en"")"),"robbed")</f>
        <v>robbed</v>
      </c>
    </row>
    <row r="45853">
      <c r="A45853" s="1" t="s">
        <v>45852</v>
      </c>
      <c r="B45853" s="2" t="str">
        <f>IFERROR(__xludf.DUMMYFUNCTION("GOOGLETRANSLATE(A45853, ""de"", ""en"")"),"spared")</f>
        <v>spared</v>
      </c>
    </row>
    <row r="45854">
      <c r="A45854" s="1" t="s">
        <v>45853</v>
      </c>
      <c r="B45854" s="2" t="str">
        <f>IFERROR(__xludf.DUMMYFUNCTION("GOOGLETRANSLATE(A45854, ""de"", ""en"")"),"fish soup")</f>
        <v>fish soup</v>
      </c>
    </row>
    <row r="45855">
      <c r="A45855" s="1" t="s">
        <v>45854</v>
      </c>
      <c r="B45855" s="2" t="str">
        <f>IFERROR(__xludf.DUMMYFUNCTION("GOOGLETRANSLATE(A45855, ""de"", ""en"")"),"prepaid cell phone")</f>
        <v>prepaid cell phone</v>
      </c>
    </row>
    <row r="45856">
      <c r="A45856" s="1" t="s">
        <v>45855</v>
      </c>
      <c r="B45856" s="2" t="str">
        <f>IFERROR(__xludf.DUMMYFUNCTION("GOOGLETRANSLATE(A45856, ""de"", ""en"")"),"huntzberger")</f>
        <v>huntzberger</v>
      </c>
    </row>
    <row r="45857">
      <c r="A45857" s="1" t="s">
        <v>45856</v>
      </c>
      <c r="B45857" s="2" t="str">
        <f>IFERROR(__xludf.DUMMYFUNCTION("GOOGLETRANSLATE(A45857, ""de"", ""en"")"),"take up")</f>
        <v>take up</v>
      </c>
    </row>
    <row r="45858">
      <c r="A45858" s="1" t="s">
        <v>45857</v>
      </c>
      <c r="B45858" s="2" t="str">
        <f>IFERROR(__xludf.DUMMYFUNCTION("GOOGLETRANSLATE(A45858, ""de"", ""en"")"),"newsreel")</f>
        <v>newsreel</v>
      </c>
    </row>
    <row r="45859">
      <c r="A45859" s="1" t="s">
        <v>45858</v>
      </c>
      <c r="B45859" s="2" t="str">
        <f>IFERROR(__xludf.DUMMYFUNCTION("GOOGLETRANSLATE(A45859, ""de"", ""en"")"),"needed")</f>
        <v>needed</v>
      </c>
    </row>
    <row r="45860">
      <c r="A45860" s="1" t="s">
        <v>45859</v>
      </c>
      <c r="B45860" s="2" t="str">
        <f>IFERROR(__xludf.DUMMYFUNCTION("GOOGLETRANSLATE(A45860, ""de"", ""en"")"),"revival")</f>
        <v>revival</v>
      </c>
    </row>
    <row r="45861">
      <c r="A45861" s="1" t="s">
        <v>45860</v>
      </c>
      <c r="B45861" s="2" t="str">
        <f>IFERROR(__xludf.DUMMYFUNCTION("GOOGLETRANSLATE(A45861, ""de"", ""en"")"),"tarantula")</f>
        <v>tarantula</v>
      </c>
    </row>
    <row r="45862">
      <c r="A45862" s="1" t="s">
        <v>45861</v>
      </c>
      <c r="B45862" s="2" t="str">
        <f>IFERROR(__xludf.DUMMYFUNCTION("GOOGLETRANSLATE(A45862, ""de"", ""en"")"),"charismatic")</f>
        <v>charismatic</v>
      </c>
    </row>
    <row r="45863">
      <c r="A45863" s="1" t="s">
        <v>45862</v>
      </c>
      <c r="B45863" s="2" t="str">
        <f>IFERROR(__xludf.DUMMYFUNCTION("GOOGLETRANSLATE(A45863, ""de"", ""en"")"),"smoke signal")</f>
        <v>smoke signal</v>
      </c>
    </row>
    <row r="45864">
      <c r="A45864" s="1" t="s">
        <v>45863</v>
      </c>
      <c r="B45864" s="2" t="str">
        <f>IFERROR(__xludf.DUMMYFUNCTION("GOOGLETRANSLATE(A45864, ""de"", ""en"")"),"skyline")</f>
        <v>skyline</v>
      </c>
    </row>
    <row r="45865">
      <c r="A45865" s="1" t="s">
        <v>45864</v>
      </c>
      <c r="B45865" s="2" t="str">
        <f>IFERROR(__xludf.DUMMYFUNCTION("GOOGLETRANSLATE(A45865, ""de"", ""en"")"),"sandy")</f>
        <v>sandy</v>
      </c>
    </row>
    <row r="45866">
      <c r="A45866" s="1" t="s">
        <v>45865</v>
      </c>
      <c r="B45866" s="2" t="str">
        <f>IFERROR(__xludf.DUMMYFUNCTION("GOOGLETRANSLATE(A45866, ""de"", ""en"")"),"could")</f>
        <v>could</v>
      </c>
    </row>
    <row r="45867">
      <c r="A45867" s="1" t="s">
        <v>45866</v>
      </c>
      <c r="B45867" s="2" t="str">
        <f>IFERROR(__xludf.DUMMYFUNCTION("GOOGLETRANSLATE(A45867, ""de"", ""en"")"),"beocca")</f>
        <v>beocca</v>
      </c>
    </row>
    <row r="45868">
      <c r="A45868" s="1" t="s">
        <v>45867</v>
      </c>
      <c r="B45868" s="2" t="str">
        <f>IFERROR(__xludf.DUMMYFUNCTION("GOOGLETRANSLATE(A45868, ""de"", ""en"")"),"clamp")</f>
        <v>clamp</v>
      </c>
    </row>
    <row r="45869">
      <c r="A45869" s="1" t="s">
        <v>45868</v>
      </c>
      <c r="B45869" s="2" t="str">
        <f>IFERROR(__xludf.DUMMYFUNCTION("GOOGLETRANSLATE(A45869, ""de"", ""en"")"),"paths")</f>
        <v>paths</v>
      </c>
    </row>
    <row r="45870">
      <c r="A45870" s="1" t="s">
        <v>45869</v>
      </c>
      <c r="B45870" s="2" t="str">
        <f>IFERROR(__xludf.DUMMYFUNCTION("GOOGLETRANSLATE(A45870, ""de"", ""en"")"),"research")</f>
        <v>research</v>
      </c>
    </row>
    <row r="45871">
      <c r="A45871" s="1" t="s">
        <v>45870</v>
      </c>
      <c r="B45871" s="2" t="str">
        <f>IFERROR(__xludf.DUMMYFUNCTION("GOOGLETRANSLATE(A45871, ""de"", ""en"")"),"soir")</f>
        <v>soir</v>
      </c>
    </row>
    <row r="45872">
      <c r="A45872" s="1" t="s">
        <v>45871</v>
      </c>
      <c r="B45872" s="2" t="str">
        <f>IFERROR(__xludf.DUMMYFUNCTION("GOOGLETRANSLATE(A45872, ""de"", ""en"")"),"listen")</f>
        <v>listen</v>
      </c>
    </row>
    <row r="45873">
      <c r="A45873" s="1" t="s">
        <v>45872</v>
      </c>
      <c r="B45873" s="2" t="str">
        <f>IFERROR(__xludf.DUMMYFUNCTION("GOOGLETRANSLATE(A45873, ""de"", ""en"")"),"annual")</f>
        <v>annual</v>
      </c>
    </row>
    <row r="45874">
      <c r="A45874" s="1" t="s">
        <v>45873</v>
      </c>
      <c r="B45874" s="2" t="str">
        <f>IFERROR(__xludf.DUMMYFUNCTION("GOOGLETRANSLATE(A45874, ""de"", ""en"")"),"illiterate")</f>
        <v>illiterate</v>
      </c>
    </row>
    <row r="45875">
      <c r="A45875" s="1" t="s">
        <v>45874</v>
      </c>
      <c r="B45875" s="2" t="str">
        <f>IFERROR(__xludf.DUMMYFUNCTION("GOOGLETRANSLATE(A45875, ""de"", ""en"")"),"coarse")</f>
        <v>coarse</v>
      </c>
    </row>
    <row r="45876">
      <c r="A45876" s="1" t="s">
        <v>45875</v>
      </c>
      <c r="B45876" s="2" t="str">
        <f>IFERROR(__xludf.DUMMYFUNCTION("GOOGLETRANSLATE(A45876, ""de"", ""en"")"),"daily newspaper")</f>
        <v>daily newspaper</v>
      </c>
    </row>
    <row r="45877">
      <c r="A45877" s="1" t="s">
        <v>45876</v>
      </c>
      <c r="B45877" s="2" t="str">
        <f>IFERROR(__xludf.DUMMYFUNCTION("GOOGLETRANSLATE(A45877, ""de"", ""en"")"),"lehman")</f>
        <v>lehman</v>
      </c>
    </row>
    <row r="45878">
      <c r="A45878" s="1" t="s">
        <v>45877</v>
      </c>
      <c r="B45878" s="2" t="str">
        <f>IFERROR(__xludf.DUMMYFUNCTION("GOOGLETRANSLATE(A45878, ""de"", ""en"")"),"stingy")</f>
        <v>stingy</v>
      </c>
    </row>
    <row r="45879">
      <c r="A45879" s="1" t="s">
        <v>45878</v>
      </c>
      <c r="B45879" s="2" t="str">
        <f>IFERROR(__xludf.DUMMYFUNCTION("GOOGLETRANSLATE(A45879, ""de"", ""en"")"),"pignon")</f>
        <v>pignon</v>
      </c>
    </row>
    <row r="45880">
      <c r="A45880" s="1" t="s">
        <v>45879</v>
      </c>
      <c r="B45880" s="2" t="str">
        <f>IFERROR(__xludf.DUMMYFUNCTION("GOOGLETRANSLATE(A45880, ""de"", ""en"")"),"beetles")</f>
        <v>beetles</v>
      </c>
    </row>
    <row r="45881">
      <c r="A45881" s="1" t="s">
        <v>45880</v>
      </c>
      <c r="B45881" s="2" t="str">
        <f>IFERROR(__xludf.DUMMYFUNCTION("GOOGLETRANSLATE(A45881, ""de"", ""en"")"),"hemlock")</f>
        <v>hemlock</v>
      </c>
    </row>
    <row r="45882">
      <c r="A45882" s="1" t="s">
        <v>45881</v>
      </c>
      <c r="B45882" s="2" t="str">
        <f>IFERROR(__xludf.DUMMYFUNCTION("GOOGLETRANSLATE(A45882, ""de"", ""en"")"),"rud")</f>
        <v>rud</v>
      </c>
    </row>
    <row r="45883">
      <c r="A45883" s="1" t="s">
        <v>45882</v>
      </c>
      <c r="B45883" s="2" t="str">
        <f>IFERROR(__xludf.DUMMYFUNCTION("GOOGLETRANSLATE(A45883, ""de"", ""en"")"),"Netherlands")</f>
        <v>Netherlands</v>
      </c>
    </row>
    <row r="45884">
      <c r="A45884" s="1" t="s">
        <v>45883</v>
      </c>
      <c r="B45884" s="2" t="str">
        <f>IFERROR(__xludf.DUMMYFUNCTION("GOOGLETRANSLATE(A45884, ""de"", ""en"")"),"ideal")</f>
        <v>ideal</v>
      </c>
    </row>
    <row r="45885">
      <c r="A45885" s="1" t="s">
        <v>45884</v>
      </c>
      <c r="B45885" s="2" t="str">
        <f>IFERROR(__xludf.DUMMYFUNCTION("GOOGLETRANSLATE(A45885, ""de"", ""en"")"),"partridge")</f>
        <v>partridge</v>
      </c>
    </row>
    <row r="45886">
      <c r="A45886" s="1" t="s">
        <v>45885</v>
      </c>
      <c r="B45886" s="2" t="str">
        <f>IFERROR(__xludf.DUMMYFUNCTION("GOOGLETRANSLATE(A45886, ""de"", ""en"")"),"gratefully")</f>
        <v>gratefully</v>
      </c>
    </row>
    <row r="45887">
      <c r="A45887" s="1" t="s">
        <v>45886</v>
      </c>
      <c r="B45887" s="2" t="str">
        <f>IFERROR(__xludf.DUMMYFUNCTION("GOOGLETRANSLATE(A45887, ""de"", ""en"")"),"more regrettable")</f>
        <v>more regrettable</v>
      </c>
    </row>
    <row r="45888">
      <c r="A45888" s="1" t="s">
        <v>45887</v>
      </c>
      <c r="B45888" s="2" t="str">
        <f>IFERROR(__xludf.DUMMYFUNCTION("GOOGLETRANSLATE(A45888, ""de"", ""en"")"),"trends")</f>
        <v>trends</v>
      </c>
    </row>
    <row r="45889">
      <c r="A45889" s="1" t="s">
        <v>45888</v>
      </c>
      <c r="B45889" s="2" t="str">
        <f>IFERROR(__xludf.DUMMYFUNCTION("GOOGLETRANSLATE(A45889, ""de"", ""en"")"),"walk past")</f>
        <v>walk past</v>
      </c>
    </row>
    <row r="45890">
      <c r="A45890" s="1" t="s">
        <v>45889</v>
      </c>
      <c r="B45890" s="2" t="str">
        <f>IFERROR(__xludf.DUMMYFUNCTION("GOOGLETRANSLATE(A45890, ""de"", ""en"")"),"backward")</f>
        <v>backward</v>
      </c>
    </row>
    <row r="45891">
      <c r="A45891" s="1" t="s">
        <v>45890</v>
      </c>
      <c r="B45891" s="2" t="str">
        <f>IFERROR(__xludf.DUMMYFUNCTION("GOOGLETRANSLATE(A45891, ""de"", ""en"")"),"easton")</f>
        <v>easton</v>
      </c>
    </row>
    <row r="45892">
      <c r="A45892" s="1" t="s">
        <v>45891</v>
      </c>
      <c r="B45892" s="2" t="str">
        <f>IFERROR(__xludf.DUMMYFUNCTION("GOOGLETRANSLATE(A45892, ""de"", ""en"")"),"bowl")</f>
        <v>bowl</v>
      </c>
    </row>
    <row r="45893">
      <c r="A45893" s="1" t="s">
        <v>45892</v>
      </c>
      <c r="B45893" s="2" t="str">
        <f>IFERROR(__xludf.DUMMYFUNCTION("GOOGLETRANSLATE(A45893, ""de"", ""en"")"),"more annoying")</f>
        <v>more annoying</v>
      </c>
    </row>
    <row r="45894">
      <c r="A45894" s="1" t="s">
        <v>45893</v>
      </c>
      <c r="B45894" s="2" t="str">
        <f>IFERROR(__xludf.DUMMYFUNCTION("GOOGLETRANSLATE(A45894, ""de"", ""en"")"),"traffic jams")</f>
        <v>traffic jams</v>
      </c>
    </row>
    <row r="45895">
      <c r="A45895" s="1" t="s">
        <v>45894</v>
      </c>
      <c r="B45895" s="2" t="str">
        <f>IFERROR(__xludf.DUMMYFUNCTION("GOOGLETRANSLATE(A45895, ""de"", ""en"")"),"drift")</f>
        <v>drift</v>
      </c>
    </row>
    <row r="45896">
      <c r="A45896" s="1" t="s">
        <v>45895</v>
      </c>
      <c r="B45896" s="2" t="str">
        <f>IFERROR(__xludf.DUMMYFUNCTION("GOOGLETRANSLATE(A45896, ""de"", ""en"")"),"abysmal")</f>
        <v>abysmal</v>
      </c>
    </row>
    <row r="45897">
      <c r="A45897" s="1" t="s">
        <v>45896</v>
      </c>
      <c r="B45897" s="2" t="str">
        <f>IFERROR(__xludf.DUMMYFUNCTION("GOOGLETRANSLATE(A45897, ""de"", ""en"")"),"kevlar")</f>
        <v>kevlar</v>
      </c>
    </row>
    <row r="45898">
      <c r="A45898" s="1" t="s">
        <v>45897</v>
      </c>
      <c r="B45898" s="2" t="str">
        <f>IFERROR(__xludf.DUMMYFUNCTION("GOOGLETRANSLATE(A45898, ""de"", ""en"")"),"guarded")</f>
        <v>guarded</v>
      </c>
    </row>
    <row r="45899">
      <c r="A45899" s="1" t="s">
        <v>45898</v>
      </c>
      <c r="B45899" s="2" t="str">
        <f>IFERROR(__xludf.DUMMYFUNCTION("GOOGLETRANSLATE(A45899, ""de"", ""en"")"),"admitted")</f>
        <v>admitted</v>
      </c>
    </row>
    <row r="45900">
      <c r="A45900" s="1" t="s">
        <v>45899</v>
      </c>
      <c r="B45900" s="2" t="str">
        <f>IFERROR(__xludf.DUMMYFUNCTION("GOOGLETRANSLATE(A45900, ""de"", ""en"")"),"belonging")</f>
        <v>belonging</v>
      </c>
    </row>
    <row r="45901">
      <c r="A45901" s="1" t="s">
        <v>45900</v>
      </c>
      <c r="B45901" s="2" t="str">
        <f>IFERROR(__xludf.DUMMYFUNCTION("GOOGLETRANSLATE(A45901, ""de"", ""en"")"),"coffin")</f>
        <v>coffin</v>
      </c>
    </row>
    <row r="45902">
      <c r="A45902" s="1" t="s">
        <v>45901</v>
      </c>
      <c r="B45902" s="2" t="str">
        <f>IFERROR(__xludf.DUMMYFUNCTION("GOOGLETRANSLATE(A45902, ""de"", ""en"")"),"more temporary")</f>
        <v>more temporary</v>
      </c>
    </row>
    <row r="45903">
      <c r="A45903" s="1" t="s">
        <v>45902</v>
      </c>
      <c r="B45903" s="2" t="str">
        <f>IFERROR(__xludf.DUMMYFUNCTION("GOOGLETRANSLATE(A45903, ""de"", ""en"")"),"deja")</f>
        <v>deja</v>
      </c>
    </row>
    <row r="45904">
      <c r="A45904" s="1" t="s">
        <v>45903</v>
      </c>
      <c r="B45904" s="2" t="str">
        <f>IFERROR(__xludf.DUMMYFUNCTION("GOOGLETRANSLATE(A45904, ""de"", ""en"")"),"school books")</f>
        <v>school books</v>
      </c>
    </row>
    <row r="45905">
      <c r="A45905" s="1" t="s">
        <v>45904</v>
      </c>
      <c r="B45905" s="2" t="str">
        <f>IFERROR(__xludf.DUMMYFUNCTION("GOOGLETRANSLATE(A45905, ""de"", ""en"")"),"wink")</f>
        <v>wink</v>
      </c>
    </row>
    <row r="45906">
      <c r="A45906" s="1" t="s">
        <v>45905</v>
      </c>
      <c r="B45906" s="2" t="str">
        <f>IFERROR(__xludf.DUMMYFUNCTION("GOOGLETRANSLATE(A45906, ""de"", ""en"")"),"slaughter")</f>
        <v>slaughter</v>
      </c>
    </row>
    <row r="45907">
      <c r="A45907" s="1" t="s">
        <v>45906</v>
      </c>
      <c r="B45907" s="2" t="str">
        <f>IFERROR(__xludf.DUMMYFUNCTION("GOOGLETRANSLATE(A45907, ""de"", ""en"")"),"jett")</f>
        <v>jett</v>
      </c>
    </row>
    <row r="45908">
      <c r="A45908" s="1" t="s">
        <v>45907</v>
      </c>
      <c r="B45908" s="2" t="str">
        <f>IFERROR(__xludf.DUMMYFUNCTION("GOOGLETRANSLATE(A45908, ""de"", ""en"")"),"vacation")</f>
        <v>vacation</v>
      </c>
    </row>
    <row r="45909">
      <c r="A45909" s="1" t="s">
        <v>45908</v>
      </c>
      <c r="B45909" s="2" t="str">
        <f>IFERROR(__xludf.DUMMYFUNCTION("GOOGLETRANSLATE(A45909, ""de"", ""en"")"),"mcallister")</f>
        <v>mcallister</v>
      </c>
    </row>
    <row r="45910">
      <c r="A45910" s="1" t="s">
        <v>45909</v>
      </c>
      <c r="B45910" s="2" t="str">
        <f>IFERROR(__xludf.DUMMYFUNCTION("GOOGLETRANSLATE(A45910, ""de"", ""en"")"),"portraits")</f>
        <v>portraits</v>
      </c>
    </row>
    <row r="45911">
      <c r="A45911" s="1" t="s">
        <v>45910</v>
      </c>
      <c r="B45911" s="2" t="str">
        <f>IFERROR(__xludf.DUMMYFUNCTION("GOOGLETRANSLATE(A45911, ""de"", ""en"")"),"harolds")</f>
        <v>harolds</v>
      </c>
    </row>
    <row r="45912">
      <c r="A45912" s="1" t="s">
        <v>45911</v>
      </c>
      <c r="B45912" s="2" t="str">
        <f>IFERROR(__xludf.DUMMYFUNCTION("GOOGLETRANSLATE(A45912, ""de"", ""en"")"),"michse")</f>
        <v>michse</v>
      </c>
    </row>
    <row r="45913">
      <c r="A45913" s="1" t="s">
        <v>45912</v>
      </c>
      <c r="B45913" s="2" t="str">
        <f>IFERROR(__xludf.DUMMYFUNCTION("GOOGLETRANSLATE(A45913, ""de"", ""en"")"),"santi")</f>
        <v>santi</v>
      </c>
    </row>
    <row r="45914">
      <c r="A45914" s="1" t="s">
        <v>45913</v>
      </c>
      <c r="B45914" s="2" t="str">
        <f>IFERROR(__xludf.DUMMYFUNCTION("GOOGLETRANSLATE(A45914, ""de"", ""en"")"),"mojitos")</f>
        <v>mojitos</v>
      </c>
    </row>
    <row r="45915">
      <c r="A45915" s="1" t="s">
        <v>45914</v>
      </c>
      <c r="B45915" s="2" t="str">
        <f>IFERROR(__xludf.DUMMYFUNCTION("GOOGLETRANSLATE(A45915, ""de"", ""en"")"),"av")</f>
        <v>av</v>
      </c>
    </row>
    <row r="45916">
      <c r="A45916" s="1" t="s">
        <v>45915</v>
      </c>
      <c r="B45916" s="2" t="str">
        <f>IFERROR(__xludf.DUMMYFUNCTION("GOOGLETRANSLATE(A45916, ""de"", ""en"")"),"you H")</f>
        <v>you H</v>
      </c>
    </row>
    <row r="45917">
      <c r="A45917" s="1" t="s">
        <v>45916</v>
      </c>
      <c r="B45917" s="2" t="str">
        <f>IFERROR(__xludf.DUMMYFUNCTION("GOOGLETRANSLATE(A45917, ""de"", ""en"")"),"ece")</f>
        <v>ece</v>
      </c>
    </row>
    <row r="45918">
      <c r="A45918" s="1" t="s">
        <v>45917</v>
      </c>
      <c r="B45918" s="2" t="str">
        <f>IFERROR(__xludf.DUMMYFUNCTION("GOOGLETRANSLATE(A45918, ""de"", ""en"")"),"iger")</f>
        <v>iger</v>
      </c>
    </row>
    <row r="45919">
      <c r="A45919" s="1" t="s">
        <v>45918</v>
      </c>
      <c r="B45919" s="2" t="str">
        <f>IFERROR(__xludf.DUMMYFUNCTION("GOOGLETRANSLATE(A45919, ""de"", ""en"")"),"Lübeck")</f>
        <v>Lübeck</v>
      </c>
    </row>
    <row r="45920">
      <c r="A45920" s="1" t="s">
        <v>45919</v>
      </c>
      <c r="B45920" s="2" t="str">
        <f>IFERROR(__xludf.DUMMYFUNCTION("GOOGLETRANSLATE(A45920, ""de"", ""en"")"),"koichi")</f>
        <v>koichi</v>
      </c>
    </row>
    <row r="45921">
      <c r="A45921" s="1" t="s">
        <v>45920</v>
      </c>
      <c r="B45921" s="2" t="str">
        <f>IFERROR(__xludf.DUMMYFUNCTION("GOOGLETRANSLATE(A45921, ""de"", ""en"")"),"triumphs")</f>
        <v>triumphs</v>
      </c>
    </row>
    <row r="45922">
      <c r="A45922" s="1" t="s">
        <v>45921</v>
      </c>
      <c r="B45922" s="2" t="str">
        <f>IFERROR(__xludf.DUMMYFUNCTION("GOOGLETRANSLATE(A45922, ""de"", ""en"")"),"burial chamber")</f>
        <v>burial chamber</v>
      </c>
    </row>
    <row r="45923">
      <c r="A45923" s="1" t="s">
        <v>45922</v>
      </c>
      <c r="B45923" s="2" t="str">
        <f>IFERROR(__xludf.DUMMYFUNCTION("GOOGLETRANSLATE(A45923, ""de"", ""en"")"),"xian")</f>
        <v>xian</v>
      </c>
    </row>
    <row r="45924">
      <c r="A45924" s="1" t="s">
        <v>45923</v>
      </c>
      <c r="B45924" s="2" t="str">
        <f>IFERROR(__xludf.DUMMYFUNCTION("GOOGLETRANSLATE(A45924, ""de"", ""en"")"),"alvo")</f>
        <v>alvo</v>
      </c>
    </row>
    <row r="45925">
      <c r="A45925" s="1" t="s">
        <v>45924</v>
      </c>
      <c r="B45925" s="2" t="str">
        <f>IFERROR(__xludf.DUMMYFUNCTION("GOOGLETRANSLATE(A45925, ""de"", ""en"")"),"more heroic")</f>
        <v>more heroic</v>
      </c>
    </row>
    <row r="45926">
      <c r="A45926" s="1" t="s">
        <v>45925</v>
      </c>
      <c r="B45926" s="2" t="str">
        <f>IFERROR(__xludf.DUMMYFUNCTION("GOOGLETRANSLATE(A45926, ""de"", ""en"")"),"most attractive")</f>
        <v>most attractive</v>
      </c>
    </row>
    <row r="45927">
      <c r="A45927" s="1" t="s">
        <v>45926</v>
      </c>
      <c r="B45927" s="2" t="str">
        <f>IFERROR(__xludf.DUMMYFUNCTION("GOOGLETRANSLATE(A45927, ""de"", ""en"")"),"rip off")</f>
        <v>rip off</v>
      </c>
    </row>
    <row r="45928">
      <c r="A45928" s="1" t="s">
        <v>45927</v>
      </c>
      <c r="B45928" s="2" t="str">
        <f>IFERROR(__xludf.DUMMYFUNCTION("GOOGLETRANSLATE(A45928, ""de"", ""en"")"),"enemies")</f>
        <v>enemies</v>
      </c>
    </row>
    <row r="45929">
      <c r="A45929" s="1" t="s">
        <v>45928</v>
      </c>
      <c r="B45929" s="2" t="str">
        <f>IFERROR(__xludf.DUMMYFUNCTION("GOOGLETRANSLATE(A45929, ""de"", ""en"")"),"white hot")</f>
        <v>white hot</v>
      </c>
    </row>
    <row r="45930">
      <c r="A45930" s="1" t="s">
        <v>45929</v>
      </c>
      <c r="B45930" s="2" t="str">
        <f>IFERROR(__xludf.DUMMYFUNCTION("GOOGLETRANSLATE(A45930, ""de"", ""en"")"),"final result")</f>
        <v>final result</v>
      </c>
    </row>
    <row r="45931">
      <c r="A45931" s="1" t="s">
        <v>45930</v>
      </c>
      <c r="B45931" s="2" t="str">
        <f>IFERROR(__xludf.DUMMYFUNCTION("GOOGLETRANSLATE(A45931, ""de"", ""en"")"),"westham")</f>
        <v>westham</v>
      </c>
    </row>
    <row r="45932">
      <c r="A45932" s="1" t="s">
        <v>45931</v>
      </c>
      <c r="B45932" s="2" t="str">
        <f>IFERROR(__xludf.DUMMYFUNCTION("GOOGLETRANSLATE(A45932, ""de"", ""en"")"),"rottenmeier")</f>
        <v>rottenmeier</v>
      </c>
    </row>
    <row r="45933">
      <c r="A45933" s="1" t="s">
        <v>45932</v>
      </c>
      <c r="B45933" s="2" t="str">
        <f>IFERROR(__xludf.DUMMYFUNCTION("GOOGLETRANSLATE(A45933, ""de"", ""en"")"),"duroc")</f>
        <v>duroc</v>
      </c>
    </row>
    <row r="45934">
      <c r="A45934" s="1" t="s">
        <v>45933</v>
      </c>
      <c r="B45934" s="2" t="str">
        <f>IFERROR(__xludf.DUMMYFUNCTION("GOOGLETRANSLATE(A45934, ""de"", ""en"")"),"piggot")</f>
        <v>piggot</v>
      </c>
    </row>
    <row r="45935">
      <c r="A45935" s="1" t="s">
        <v>45934</v>
      </c>
      <c r="B45935" s="2" t="str">
        <f>IFERROR(__xludf.DUMMYFUNCTION("GOOGLETRANSLATE(A45935, ""de"", ""en"")"),"commercially")</f>
        <v>commercially</v>
      </c>
    </row>
    <row r="45936">
      <c r="A45936" s="1" t="s">
        <v>45935</v>
      </c>
      <c r="B45936" s="2" t="str">
        <f>IFERROR(__xludf.DUMMYFUNCTION("GOOGLETRANSLATE(A45936, ""de"", ""en"")"),"noble")</f>
        <v>noble</v>
      </c>
    </row>
    <row r="45937">
      <c r="A45937" s="1" t="s">
        <v>45936</v>
      </c>
      <c r="B45937" s="2" t="str">
        <f>IFERROR(__xludf.DUMMYFUNCTION("GOOGLETRANSLATE(A45937, ""de"", ""en"")"),"narrower")</f>
        <v>narrower</v>
      </c>
    </row>
    <row r="45938">
      <c r="A45938" s="1" t="s">
        <v>45937</v>
      </c>
      <c r="B45938" s="2" t="str">
        <f>IFERROR(__xludf.DUMMYFUNCTION("GOOGLETRANSLATE(A45938, ""de"", ""en"")"),"westwood")</f>
        <v>westwood</v>
      </c>
    </row>
    <row r="45939">
      <c r="A45939" s="1" t="s">
        <v>45938</v>
      </c>
      <c r="B45939" s="2" t="str">
        <f>IFERROR(__xludf.DUMMYFUNCTION("GOOGLETRANSLATE(A45939, ""de"", ""en"")"),"protected")</f>
        <v>protected</v>
      </c>
    </row>
    <row r="45940">
      <c r="A45940" s="1" t="s">
        <v>45939</v>
      </c>
      <c r="B45940" s="2" t="str">
        <f>IFERROR(__xludf.DUMMYFUNCTION("GOOGLETRANSLATE(A45940, ""de"", ""en"")"),"gerrard")</f>
        <v>gerrard</v>
      </c>
    </row>
    <row r="45941">
      <c r="A45941" s="1" t="s">
        <v>45940</v>
      </c>
      <c r="B45941" s="2" t="str">
        <f>IFERROR(__xludf.DUMMYFUNCTION("GOOGLETRANSLATE(A45941, ""de"", ""en"")"),"military prison")</f>
        <v>military prison</v>
      </c>
    </row>
    <row r="45942">
      <c r="A45942" s="1" t="s">
        <v>45941</v>
      </c>
      <c r="B45942" s="2" t="str">
        <f>IFERROR(__xludf.DUMMYFUNCTION("GOOGLETRANSLATE(A45942, ""de"", ""en"")"),"Fabienne")</f>
        <v>Fabienne</v>
      </c>
    </row>
    <row r="45943">
      <c r="A45943" s="1" t="s">
        <v>45942</v>
      </c>
      <c r="B45943" s="2" t="str">
        <f>IFERROR(__xludf.DUMMYFUNCTION("GOOGLETRANSLATE(A45943, ""de"", ""en"")"),"battle cries")</f>
        <v>battle cries</v>
      </c>
    </row>
    <row r="45944">
      <c r="A45944" s="1" t="s">
        <v>45943</v>
      </c>
      <c r="B45944" s="2" t="str">
        <f>IFERROR(__xludf.DUMMYFUNCTION("GOOGLETRANSLATE(A45944, ""de"", ""en"")"),"trembled")</f>
        <v>trembled</v>
      </c>
    </row>
    <row r="45945">
      <c r="A45945" s="1" t="s">
        <v>45944</v>
      </c>
      <c r="B45945" s="2" t="str">
        <f>IFERROR(__xludf.DUMMYFUNCTION("GOOGLETRANSLATE(A45945, ""de"", ""en"")"),"work permit")</f>
        <v>work permit</v>
      </c>
    </row>
    <row r="45946">
      <c r="A45946" s="1" t="s">
        <v>45945</v>
      </c>
      <c r="B45946" s="2" t="str">
        <f>IFERROR(__xludf.DUMMYFUNCTION("GOOGLETRANSLATE(A45946, ""de"", ""en"")"),"lunar surface")</f>
        <v>lunar surface</v>
      </c>
    </row>
    <row r="45947">
      <c r="A45947" s="1" t="s">
        <v>45946</v>
      </c>
      <c r="B45947" s="2" t="str">
        <f>IFERROR(__xludf.DUMMYFUNCTION("GOOGLETRANSLATE(A45947, ""de"", ""en"")"),"deceptive")</f>
        <v>deceptive</v>
      </c>
    </row>
    <row r="45948">
      <c r="A45948" s="1" t="s">
        <v>45947</v>
      </c>
      <c r="B45948" s="2" t="str">
        <f>IFERROR(__xludf.DUMMYFUNCTION("GOOGLETRANSLATE(A45948, ""de"", ""en"")"),"evaded")</f>
        <v>evaded</v>
      </c>
    </row>
    <row r="45949">
      <c r="A45949" s="1" t="s">
        <v>45948</v>
      </c>
      <c r="B45949" s="2" t="str">
        <f>IFERROR(__xludf.DUMMYFUNCTION("GOOGLETRANSLATE(A45949, ""de"", ""en"")"),"mix")</f>
        <v>mix</v>
      </c>
    </row>
    <row r="45950">
      <c r="A45950" s="1" t="s">
        <v>45949</v>
      </c>
      <c r="B45950" s="2" t="str">
        <f>IFERROR(__xludf.DUMMYFUNCTION("GOOGLETRANSLATE(A45950, ""de"", ""en"")"),"sogge377")</f>
        <v>sogge377</v>
      </c>
    </row>
    <row r="45951">
      <c r="A45951" s="1" t="s">
        <v>45950</v>
      </c>
      <c r="B45951" s="2" t="str">
        <f>IFERROR(__xludf.DUMMYFUNCTION("GOOGLETRANSLATE(A45951, ""de"", ""en"")"),"babel")</f>
        <v>babel</v>
      </c>
    </row>
    <row r="45952">
      <c r="A45952" s="1" t="s">
        <v>45951</v>
      </c>
      <c r="B45952" s="2" t="str">
        <f>IFERROR(__xludf.DUMMYFUNCTION("GOOGLETRANSLATE(A45952, ""de"", ""en"")"),"trade")</f>
        <v>trade</v>
      </c>
    </row>
    <row r="45953">
      <c r="A45953" s="1" t="s">
        <v>45952</v>
      </c>
      <c r="B45953" s="2" t="str">
        <f>IFERROR(__xludf.DUMMYFUNCTION("GOOGLETRANSLATE(A45953, ""de"", ""en"")"),"sharpens")</f>
        <v>sharpens</v>
      </c>
    </row>
    <row r="45954">
      <c r="A45954" s="1" t="s">
        <v>45953</v>
      </c>
      <c r="B45954" s="2" t="str">
        <f>IFERROR(__xludf.DUMMYFUNCTION("GOOGLETRANSLATE(A45954, ""de"", ""en"")"),"toy")</f>
        <v>toy</v>
      </c>
    </row>
    <row r="45955">
      <c r="A45955" s="1" t="s">
        <v>45954</v>
      </c>
      <c r="B45955" s="2" t="str">
        <f>IFERROR(__xludf.DUMMYFUNCTION("GOOGLETRANSLATE(A45955, ""de"", ""en"")"),"Rottmann")</f>
        <v>Rottmann</v>
      </c>
    </row>
    <row r="45956">
      <c r="A45956" s="1" t="s">
        <v>45955</v>
      </c>
      <c r="B45956" s="2" t="str">
        <f>IFERROR(__xludf.DUMMYFUNCTION("GOOGLETRANSLATE(A45956, ""de"", ""en"")"),"Tekin")</f>
        <v>Tekin</v>
      </c>
    </row>
    <row r="45957">
      <c r="A45957" s="1" t="s">
        <v>45956</v>
      </c>
      <c r="B45957" s="2" t="str">
        <f>IFERROR(__xludf.DUMMYFUNCTION("GOOGLETRANSLATE(A45957, ""de"", ""en"")"),"advocacy")</f>
        <v>advocacy</v>
      </c>
    </row>
    <row r="45958">
      <c r="A45958" s="1" t="s">
        <v>45957</v>
      </c>
      <c r="B45958" s="2" t="str">
        <f>IFERROR(__xludf.DUMMYFUNCTION("GOOGLETRANSLATE(A45958, ""de"", ""en"")"),"recite")</f>
        <v>recite</v>
      </c>
    </row>
    <row r="45959">
      <c r="A45959" s="1" t="s">
        <v>45958</v>
      </c>
      <c r="B45959" s="2" t="str">
        <f>IFERROR(__xludf.DUMMYFUNCTION("GOOGLETRANSLATE(A45959, ""de"", ""en"")"),"helpless")</f>
        <v>helpless</v>
      </c>
    </row>
    <row r="45960">
      <c r="A45960" s="1" t="s">
        <v>45959</v>
      </c>
      <c r="B45960" s="2" t="str">
        <f>IFERROR(__xludf.DUMMYFUNCTION("GOOGLETRANSLATE(A45960, ""de"", ""en"")"),"degrading")</f>
        <v>degrading</v>
      </c>
    </row>
    <row r="45961">
      <c r="A45961" s="1" t="s">
        <v>45960</v>
      </c>
      <c r="B45961" s="2" t="str">
        <f>IFERROR(__xludf.DUMMYFUNCTION("GOOGLETRANSLATE(A45961, ""de"", ""en"")"),"disco music")</f>
        <v>disco music</v>
      </c>
    </row>
    <row r="45962">
      <c r="A45962" s="1" t="s">
        <v>45961</v>
      </c>
      <c r="B45962" s="2" t="str">
        <f>IFERROR(__xludf.DUMMYFUNCTION("GOOGLETRANSLATE(A45962, ""de"", ""en"")"),"IMF")</f>
        <v>IMF</v>
      </c>
    </row>
    <row r="45963">
      <c r="A45963" s="1" t="s">
        <v>45962</v>
      </c>
      <c r="B45963" s="2" t="str">
        <f>IFERROR(__xludf.DUMMYFUNCTION("GOOGLETRANSLATE(A45963, ""de"", ""en"")"),"consciousness")</f>
        <v>consciousness</v>
      </c>
    </row>
    <row r="45964">
      <c r="A45964" s="1" t="s">
        <v>45963</v>
      </c>
      <c r="B45964" s="2" t="str">
        <f>IFERROR(__xludf.DUMMYFUNCTION("GOOGLETRANSLATE(A45964, ""de"", ""en"")"),"Kerrigan")</f>
        <v>Kerrigan</v>
      </c>
    </row>
    <row r="45965">
      <c r="A45965" s="1" t="s">
        <v>45964</v>
      </c>
      <c r="B45965" s="2" t="str">
        <f>IFERROR(__xludf.DUMMYFUNCTION("GOOGLETRANSLATE(A45965, ""de"", ""en"")"),"commander")</f>
        <v>commander</v>
      </c>
    </row>
    <row r="45966">
      <c r="A45966" s="1" t="s">
        <v>45965</v>
      </c>
      <c r="B45966" s="2" t="str">
        <f>IFERROR(__xludf.DUMMYFUNCTION("GOOGLETRANSLATE(A45966, ""de"", ""en"")"),"sign language")</f>
        <v>sign language</v>
      </c>
    </row>
    <row r="45967">
      <c r="A45967" s="1" t="s">
        <v>45966</v>
      </c>
      <c r="B45967" s="2" t="str">
        <f>IFERROR(__xludf.DUMMYFUNCTION("GOOGLETRANSLATE(A45967, ""de"", ""en"")"),"fishing")</f>
        <v>fishing</v>
      </c>
    </row>
    <row r="45968">
      <c r="A45968" s="1" t="s">
        <v>45967</v>
      </c>
      <c r="B45968" s="2" t="str">
        <f>IFERROR(__xludf.DUMMYFUNCTION("GOOGLETRANSLATE(A45968, ""de"", ""en"")"),"fruit juice")</f>
        <v>fruit juice</v>
      </c>
    </row>
    <row r="45969">
      <c r="A45969" s="1" t="s">
        <v>45968</v>
      </c>
      <c r="B45969" s="2" t="str">
        <f>IFERROR(__xludf.DUMMYFUNCTION("GOOGLETRANSLATE(A45969, ""de"", ""en"")"),"stuttering")</f>
        <v>stuttering</v>
      </c>
    </row>
    <row r="45970">
      <c r="A45970" s="1" t="s">
        <v>45969</v>
      </c>
      <c r="B45970" s="2" t="str">
        <f>IFERROR(__xludf.DUMMYFUNCTION("GOOGLETRANSLATE(A45970, ""de"", ""en"")"),"grape juice")</f>
        <v>grape juice</v>
      </c>
    </row>
    <row r="45971">
      <c r="A45971" s="1" t="s">
        <v>45970</v>
      </c>
      <c r="B45971" s="2" t="str">
        <f>IFERROR(__xludf.DUMMYFUNCTION("GOOGLETRANSLATE(A45971, ""de"", ""en"")"),"decompose")</f>
        <v>decompose</v>
      </c>
    </row>
    <row r="45972">
      <c r="A45972" s="1" t="s">
        <v>45971</v>
      </c>
      <c r="B45972" s="2" t="str">
        <f>IFERROR(__xludf.DUMMYFUNCTION("GOOGLETRANSLATE(A45972, ""de"", ""en"")"),"crawl")</f>
        <v>crawl</v>
      </c>
    </row>
    <row r="45973">
      <c r="A45973" s="1" t="s">
        <v>45972</v>
      </c>
      <c r="B45973" s="2" t="str">
        <f>IFERROR(__xludf.DUMMYFUNCTION("GOOGLETRANSLATE(A45973, ""de"", ""en"")"),"to spread out")</f>
        <v>to spread out</v>
      </c>
    </row>
    <row r="45974">
      <c r="A45974" s="1" t="s">
        <v>45973</v>
      </c>
      <c r="B45974" s="2" t="str">
        <f>IFERROR(__xludf.DUMMYFUNCTION("GOOGLETRANSLATE(A45974, ""de"", ""en"")"),"toots")</f>
        <v>toots</v>
      </c>
    </row>
    <row r="45975">
      <c r="A45975" s="1" t="s">
        <v>45974</v>
      </c>
      <c r="B45975" s="2" t="str">
        <f>IFERROR(__xludf.DUMMYFUNCTION("GOOGLETRANSLATE(A45975, ""de"", ""en"")"),"delancey")</f>
        <v>delancey</v>
      </c>
    </row>
    <row r="45976">
      <c r="A45976" s="1" t="s">
        <v>45975</v>
      </c>
      <c r="B45976" s="2" t="str">
        <f>IFERROR(__xludf.DUMMYFUNCTION("GOOGLETRANSLATE(A45976, ""de"", ""en"")"),"invisibility")</f>
        <v>invisibility</v>
      </c>
    </row>
    <row r="45977">
      <c r="A45977" s="1" t="s">
        <v>45976</v>
      </c>
      <c r="B45977" s="2" t="str">
        <f>IFERROR(__xludf.DUMMYFUNCTION("GOOGLETRANSLATE(A45977, ""de"", ""en"")"),"Gilson")</f>
        <v>Gilson</v>
      </c>
    </row>
    <row r="45978">
      <c r="A45978" s="1" t="s">
        <v>45977</v>
      </c>
      <c r="B45978" s="2" t="str">
        <f>IFERROR(__xludf.DUMMYFUNCTION("GOOGLETRANSLATE(A45978, ""de"", ""en"")"),"looping")</f>
        <v>looping</v>
      </c>
    </row>
    <row r="45979">
      <c r="A45979" s="1" t="s">
        <v>45978</v>
      </c>
      <c r="B45979" s="2" t="str">
        <f>IFERROR(__xludf.DUMMYFUNCTION("GOOGLETRANSLATE(A45979, ""de"", ""en"")"),"comments")</f>
        <v>comments</v>
      </c>
    </row>
    <row r="45980">
      <c r="A45980" s="1" t="s">
        <v>45979</v>
      </c>
      <c r="B45980" s="2" t="str">
        <f>IFERROR(__xludf.DUMMYFUNCTION("GOOGLETRANSLATE(A45980, ""de"", ""en"")"),"optical")</f>
        <v>optical</v>
      </c>
    </row>
    <row r="45981">
      <c r="A45981" s="1" t="s">
        <v>45980</v>
      </c>
      <c r="B45981" s="2" t="str">
        <f>IFERROR(__xludf.DUMMYFUNCTION("GOOGLETRANSLATE(A45981, ""de"", ""en"")"),"get it back")</f>
        <v>get it back</v>
      </c>
    </row>
    <row r="45982">
      <c r="A45982" s="1" t="s">
        <v>45981</v>
      </c>
      <c r="B45982" s="2" t="str">
        <f>IFERROR(__xludf.DUMMYFUNCTION("GOOGLETRANSLATE(A45982, ""de"", ""en"")"),"boiling")</f>
        <v>boiling</v>
      </c>
    </row>
    <row r="45983">
      <c r="A45983" s="1" t="s">
        <v>45982</v>
      </c>
      <c r="B45983" s="2" t="str">
        <f>IFERROR(__xludf.DUMMYFUNCTION("GOOGLETRANSLATE(A45983, ""de"", ""en"")"),"arrived")</f>
        <v>arrived</v>
      </c>
    </row>
    <row r="45984">
      <c r="A45984" s="1" t="s">
        <v>45983</v>
      </c>
      <c r="B45984" s="2" t="str">
        <f>IFERROR(__xludf.DUMMYFUNCTION("GOOGLETRANSLATE(A45984, ""de"", ""en"")"),"researcher")</f>
        <v>researcher</v>
      </c>
    </row>
    <row r="45985">
      <c r="A45985" s="1" t="s">
        <v>45984</v>
      </c>
      <c r="B45985" s="2" t="str">
        <f>IFERROR(__xludf.DUMMYFUNCTION("GOOGLETRANSLATE(A45985, ""de"", ""en"")"),"eggnog")</f>
        <v>eggnog</v>
      </c>
    </row>
    <row r="45986">
      <c r="A45986" s="1" t="s">
        <v>45985</v>
      </c>
      <c r="B45986" s="2" t="str">
        <f>IFERROR(__xludf.DUMMYFUNCTION("GOOGLETRANSLATE(A45986, ""de"", ""en"")"),"unforeseen")</f>
        <v>unforeseen</v>
      </c>
    </row>
    <row r="45987">
      <c r="A45987" s="1" t="s">
        <v>45986</v>
      </c>
      <c r="B45987" s="2" t="str">
        <f>IFERROR(__xludf.DUMMYFUNCTION("GOOGLETRANSLATE(A45987, ""de"", ""en"")"),"serial killer")</f>
        <v>serial killer</v>
      </c>
    </row>
    <row r="45988">
      <c r="A45988" s="1" t="s">
        <v>45987</v>
      </c>
      <c r="B45988" s="2" t="str">
        <f>IFERROR(__xludf.DUMMYFUNCTION("GOOGLETRANSLATE(A45988, ""de"", ""en"")"),"brains")</f>
        <v>brains</v>
      </c>
    </row>
    <row r="45989">
      <c r="A45989" s="1" t="s">
        <v>45988</v>
      </c>
      <c r="B45989" s="2" t="str">
        <f>IFERROR(__xludf.DUMMYFUNCTION("GOOGLETRANSLATE(A45989, ""de"", ""en"")"),"shockwave")</f>
        <v>shockwave</v>
      </c>
    </row>
    <row r="45990">
      <c r="A45990" s="1" t="s">
        <v>45989</v>
      </c>
      <c r="B45990" s="2" t="str">
        <f>IFERROR(__xludf.DUMMYFUNCTION("GOOGLETRANSLATE(A45990, ""de"", ""en"")"),"make out")</f>
        <v>make out</v>
      </c>
    </row>
    <row r="45991">
      <c r="A45991" s="1" t="s">
        <v>45990</v>
      </c>
      <c r="B45991" s="2" t="str">
        <f>IFERROR(__xludf.DUMMYFUNCTION("GOOGLETRANSLATE(A45991, ""de"", ""en"")"),"user")</f>
        <v>user</v>
      </c>
    </row>
    <row r="45992">
      <c r="A45992" s="1" t="s">
        <v>45991</v>
      </c>
      <c r="B45992" s="2" t="str">
        <f>IFERROR(__xludf.DUMMYFUNCTION("GOOGLETRANSLATE(A45992, ""de"", ""en"")"),"scolded")</f>
        <v>scolded</v>
      </c>
    </row>
    <row r="45993">
      <c r="A45993" s="1" t="s">
        <v>45992</v>
      </c>
      <c r="B45993" s="2" t="str">
        <f>IFERROR(__xludf.DUMMYFUNCTION("GOOGLETRANSLATE(A45993, ""de"", ""en"")"),"pets")</f>
        <v>pets</v>
      </c>
    </row>
    <row r="45994">
      <c r="A45994" s="1" t="s">
        <v>45993</v>
      </c>
      <c r="B45994" s="2" t="str">
        <f>IFERROR(__xludf.DUMMYFUNCTION("GOOGLETRANSLATE(A45994, ""de"", ""en"")"),"placed")</f>
        <v>placed</v>
      </c>
    </row>
    <row r="45995">
      <c r="A45995" s="1" t="s">
        <v>45994</v>
      </c>
      <c r="B45995" s="2" t="str">
        <f>IFERROR(__xludf.DUMMYFUNCTION("GOOGLETRANSLATE(A45995, ""de"", ""en"")"),"above")</f>
        <v>above</v>
      </c>
    </row>
    <row r="45996">
      <c r="A45996" s="1" t="s">
        <v>45995</v>
      </c>
      <c r="B45996" s="2" t="str">
        <f>IFERROR(__xludf.DUMMYFUNCTION("GOOGLETRANSLATE(A45996, ""de"", ""en"")"),"scratch")</f>
        <v>scratch</v>
      </c>
    </row>
    <row r="45997">
      <c r="A45997" s="1" t="s">
        <v>45996</v>
      </c>
      <c r="B45997" s="2" t="str">
        <f>IFERROR(__xludf.DUMMYFUNCTION("GOOGLETRANSLATE(A45997, ""de"", ""en"")"),"white lie")</f>
        <v>white lie</v>
      </c>
    </row>
    <row r="45998">
      <c r="A45998" s="1" t="s">
        <v>45997</v>
      </c>
      <c r="B45998" s="2" t="str">
        <f>IFERROR(__xludf.DUMMYFUNCTION("GOOGLETRANSLATE(A45998, ""de"", ""en"")"),"more physical")</f>
        <v>more physical</v>
      </c>
    </row>
    <row r="45999">
      <c r="A45999" s="1" t="s">
        <v>45998</v>
      </c>
      <c r="B45999" s="2" t="str">
        <f>IFERROR(__xludf.DUMMYFUNCTION("GOOGLETRANSLATE(A45999, ""de"", ""en"")"),"melted")</f>
        <v>melted</v>
      </c>
    </row>
    <row r="46000">
      <c r="A46000" s="1" t="s">
        <v>45999</v>
      </c>
      <c r="B46000" s="2" t="str">
        <f>IFERROR(__xludf.DUMMYFUNCTION("GOOGLETRANSLATE(A46000, ""de"", ""en"")"),"firewalls")</f>
        <v>firewalls</v>
      </c>
    </row>
    <row r="46001">
      <c r="A46001" s="1" t="s">
        <v>46000</v>
      </c>
      <c r="B46001" s="2" t="str">
        <f>IFERROR(__xludf.DUMMYFUNCTION("GOOGLETRANSLATE(A46001, ""de"", ""en"")"),"wax")</f>
        <v>wax</v>
      </c>
    </row>
    <row r="46002">
      <c r="A46002" s="1" t="s">
        <v>46001</v>
      </c>
      <c r="B46002" s="2" t="str">
        <f>IFERROR(__xludf.DUMMYFUNCTION("GOOGLETRANSLATE(A46002, ""de"", ""en"")"),"shocker")</f>
        <v>shocker</v>
      </c>
    </row>
    <row r="46003">
      <c r="A46003" s="1" t="s">
        <v>46002</v>
      </c>
      <c r="B46003" s="2" t="str">
        <f>IFERROR(__xludf.DUMMYFUNCTION("GOOGLETRANSLATE(A46003, ""de"", ""en"")"),"heilmann")</f>
        <v>heilmann</v>
      </c>
    </row>
    <row r="46004">
      <c r="A46004" s="1" t="s">
        <v>46003</v>
      </c>
      <c r="B46004" s="2" t="str">
        <f>IFERROR(__xludf.DUMMYFUNCTION("GOOGLETRANSLATE(A46004, ""de"", ""en"")"),"aldridge")</f>
        <v>aldridge</v>
      </c>
    </row>
    <row r="46005">
      <c r="A46005" s="1" t="s">
        <v>46004</v>
      </c>
      <c r="B46005" s="2" t="str">
        <f>IFERROR(__xludf.DUMMYFUNCTION("GOOGLETRANSLATE(A46005, ""de"", ""en"")"),"incidental")</f>
        <v>incidental</v>
      </c>
    </row>
    <row r="46006">
      <c r="A46006" s="1" t="s">
        <v>46005</v>
      </c>
      <c r="B46006" s="2" t="str">
        <f>IFERROR(__xludf.DUMMYFUNCTION("GOOGLETRANSLATE(A46006, ""de"", ""en"")"),"school system")</f>
        <v>school system</v>
      </c>
    </row>
    <row r="46007">
      <c r="A46007" s="1" t="s">
        <v>46006</v>
      </c>
      <c r="B46007" s="2" t="str">
        <f>IFERROR(__xludf.DUMMYFUNCTION("GOOGLETRANSLATE(A46007, ""de"", ""en"")"),"chaotic")</f>
        <v>chaotic</v>
      </c>
    </row>
    <row r="46008">
      <c r="A46008" s="1" t="s">
        <v>46007</v>
      </c>
      <c r="B46008" s="2" t="str">
        <f>IFERROR(__xludf.DUMMYFUNCTION("GOOGLETRANSLATE(A46008, ""de"", ""en"")"),"inquired")</f>
        <v>inquired</v>
      </c>
    </row>
    <row r="46009">
      <c r="A46009" s="1" t="s">
        <v>46008</v>
      </c>
      <c r="B46009" s="2" t="str">
        <f>IFERROR(__xludf.DUMMYFUNCTION("GOOGLETRANSLATE(A46009, ""de"", ""en"")"),"OK yeah")</f>
        <v>OK yeah</v>
      </c>
    </row>
    <row r="46010">
      <c r="A46010" s="1" t="s">
        <v>46009</v>
      </c>
      <c r="B46010" s="2" t="str">
        <f>IFERROR(__xludf.DUMMYFUNCTION("GOOGLETRANSLATE(A46010, ""de"", ""en"")"),"crank")</f>
        <v>crank</v>
      </c>
    </row>
    <row r="46011">
      <c r="A46011" s="1" t="s">
        <v>46010</v>
      </c>
      <c r="B46011" s="2" t="str">
        <f>IFERROR(__xludf.DUMMYFUNCTION("GOOGLETRANSLATE(A46011, ""de"", ""en"")"),"Lani")</f>
        <v>Lani</v>
      </c>
    </row>
    <row r="46012">
      <c r="A46012" s="1" t="s">
        <v>46011</v>
      </c>
      <c r="B46012" s="2" t="str">
        <f>IFERROR(__xludf.DUMMYFUNCTION("GOOGLETRANSLATE(A46012, ""de"", ""en"")"),"Frampton")</f>
        <v>Frampton</v>
      </c>
    </row>
    <row r="46013">
      <c r="A46013" s="1" t="s">
        <v>46012</v>
      </c>
      <c r="B46013" s="2" t="str">
        <f>IFERROR(__xludf.DUMMYFUNCTION("GOOGLETRANSLATE(A46013, ""de"", ""en"")"),"Northern Ireland")</f>
        <v>Northern Ireland</v>
      </c>
    </row>
    <row r="46014">
      <c r="A46014" s="1" t="s">
        <v>46013</v>
      </c>
      <c r="B46014" s="2" t="str">
        <f>IFERROR(__xludf.DUMMYFUNCTION("GOOGLETRANSLATE(A46014, ""de"", ""en"")"),"wolf pack")</f>
        <v>wolf pack</v>
      </c>
    </row>
    <row r="46015">
      <c r="A46015" s="1" t="s">
        <v>46014</v>
      </c>
      <c r="B46015" s="2" t="str">
        <f>IFERROR(__xludf.DUMMYFUNCTION("GOOGLETRANSLATE(A46015, ""de"", ""en"")"),"nooo")</f>
        <v>nooo</v>
      </c>
    </row>
    <row r="46016">
      <c r="A46016" s="1" t="s">
        <v>46015</v>
      </c>
      <c r="B46016" s="2" t="str">
        <f>IFERROR(__xludf.DUMMYFUNCTION("GOOGLETRANSLATE(A46016, ""de"", ""en"")"),"ghosts")</f>
        <v>ghosts</v>
      </c>
    </row>
    <row r="46017">
      <c r="A46017" s="1" t="s">
        <v>46016</v>
      </c>
      <c r="B46017" s="2" t="str">
        <f>IFERROR(__xludf.DUMMYFUNCTION("GOOGLETRANSLATE(A46017, ""de"", ""en"")"),"asserts")</f>
        <v>asserts</v>
      </c>
    </row>
    <row r="46018">
      <c r="A46018" s="1" t="s">
        <v>46017</v>
      </c>
      <c r="B46018" s="2" t="str">
        <f>IFERROR(__xludf.DUMMYFUNCTION("GOOGLETRANSLATE(A46018, ""de"", ""en"")"),"shy away")</f>
        <v>shy away</v>
      </c>
    </row>
    <row r="46019">
      <c r="A46019" s="1" t="s">
        <v>46018</v>
      </c>
      <c r="B46019" s="2" t="str">
        <f>IFERROR(__xludf.DUMMYFUNCTION("GOOGLETRANSLATE(A46019, ""de"", ""en"")"),"flannel")</f>
        <v>flannel</v>
      </c>
    </row>
    <row r="46020">
      <c r="A46020" s="1" t="s">
        <v>46019</v>
      </c>
      <c r="B46020" s="2" t="str">
        <f>IFERROR(__xludf.DUMMYFUNCTION("GOOGLETRANSLATE(A46020, ""de"", ""en"")"),"undignified")</f>
        <v>undignified</v>
      </c>
    </row>
    <row r="46021">
      <c r="A46021" s="1" t="s">
        <v>46020</v>
      </c>
      <c r="B46021" s="2" t="str">
        <f>IFERROR(__xludf.DUMMYFUNCTION("GOOGLETRANSLATE(A46021, ""de"", ""en"")"),"co-conspirators")</f>
        <v>co-conspirators</v>
      </c>
    </row>
    <row r="46022">
      <c r="A46022" s="1" t="s">
        <v>46021</v>
      </c>
      <c r="B46022" s="2" t="str">
        <f>IFERROR(__xludf.DUMMYFUNCTION("GOOGLETRANSLATE(A46022, ""de"", ""en"")"),"shafts")</f>
        <v>shafts</v>
      </c>
    </row>
    <row r="46023">
      <c r="A46023" s="1" t="s">
        <v>46022</v>
      </c>
      <c r="B46023" s="2" t="str">
        <f>IFERROR(__xludf.DUMMYFUNCTION("GOOGLETRANSLATE(A46023, ""de"", ""en"")"),"vibe")</f>
        <v>vibe</v>
      </c>
    </row>
    <row r="46024">
      <c r="A46024" s="1" t="s">
        <v>46023</v>
      </c>
      <c r="B46024" s="2" t="str">
        <f>IFERROR(__xludf.DUMMYFUNCTION("GOOGLETRANSLATE(A46024, ""de"", ""en"")"),"Mike")</f>
        <v>Mike</v>
      </c>
    </row>
    <row r="46025">
      <c r="A46025" s="1" t="s">
        <v>46024</v>
      </c>
      <c r="B46025" s="2" t="str">
        <f>IFERROR(__xludf.DUMMYFUNCTION("GOOGLETRANSLATE(A46025, ""de"", ""en"")"),"bloated")</f>
        <v>bloated</v>
      </c>
    </row>
    <row r="46026">
      <c r="A46026" s="1" t="s">
        <v>46025</v>
      </c>
      <c r="B46026" s="2" t="str">
        <f>IFERROR(__xludf.DUMMYFUNCTION("GOOGLETRANSLATE(A46026, ""de"", ""en"")"),"rike")</f>
        <v>rike</v>
      </c>
    </row>
    <row r="46027">
      <c r="A46027" s="1" t="s">
        <v>46026</v>
      </c>
      <c r="B46027" s="2" t="str">
        <f>IFERROR(__xludf.DUMMYFUNCTION("GOOGLETRANSLATE(A46027, ""de"", ""en"")"),"school year")</f>
        <v>school year</v>
      </c>
    </row>
    <row r="46028">
      <c r="A46028" s="1" t="s">
        <v>46027</v>
      </c>
      <c r="B46028" s="2" t="str">
        <f>IFERROR(__xludf.DUMMYFUNCTION("GOOGLETRANSLATE(A46028, ""de"", ""en"")"),"sota")</f>
        <v>sota</v>
      </c>
    </row>
    <row r="46029">
      <c r="A46029" s="1" t="s">
        <v>46028</v>
      </c>
      <c r="B46029" s="2" t="str">
        <f>IFERROR(__xludf.DUMMYFUNCTION("GOOGLETRANSLATE(A46029, ""de"", ""en"")"),"battles")</f>
        <v>battles</v>
      </c>
    </row>
    <row r="46030">
      <c r="A46030" s="1" t="s">
        <v>46029</v>
      </c>
      <c r="B46030" s="2" t="str">
        <f>IFERROR(__xludf.DUMMYFUNCTION("GOOGLETRANSLATE(A46030, ""de"", ""en"")"),"drunk as hell")</f>
        <v>drunk as hell</v>
      </c>
    </row>
    <row r="46031">
      <c r="A46031" s="1" t="s">
        <v>46030</v>
      </c>
      <c r="B46031" s="2" t="str">
        <f>IFERROR(__xludf.DUMMYFUNCTION("GOOGLETRANSLATE(A46031, ""de"", ""en"")"),"hallways")</f>
        <v>hallways</v>
      </c>
    </row>
    <row r="46032">
      <c r="A46032" s="1" t="s">
        <v>46031</v>
      </c>
      <c r="B46032" s="2" t="str">
        <f>IFERROR(__xludf.DUMMYFUNCTION("GOOGLETRANSLATE(A46032, ""de"", ""en"")"),"axes")</f>
        <v>axes</v>
      </c>
    </row>
    <row r="46033">
      <c r="A46033" s="1" t="s">
        <v>46032</v>
      </c>
      <c r="B46033" s="2" t="str">
        <f>IFERROR(__xludf.DUMMYFUNCTION("GOOGLETRANSLATE(A46033, ""de"", ""en"")"),"bestowed")</f>
        <v>bestowed</v>
      </c>
    </row>
    <row r="46034">
      <c r="A46034" s="1" t="s">
        <v>46033</v>
      </c>
      <c r="B46034" s="2" t="str">
        <f>IFERROR(__xludf.DUMMYFUNCTION("GOOGLETRANSLATE(A46034, ""de"", ""en"")"),"stage design")</f>
        <v>stage design</v>
      </c>
    </row>
    <row r="46035">
      <c r="A46035" s="1" t="s">
        <v>46034</v>
      </c>
      <c r="B46035" s="2" t="str">
        <f>IFERROR(__xludf.DUMMYFUNCTION("GOOGLETRANSLATE(A46035, ""de"", ""en"")"),"tenement house")</f>
        <v>tenement house</v>
      </c>
    </row>
    <row r="46036">
      <c r="A46036" s="1" t="s">
        <v>46035</v>
      </c>
      <c r="B46036" s="2" t="str">
        <f>IFERROR(__xludf.DUMMYFUNCTION("GOOGLETRANSLATE(A46036, ""de"", ""en"")"),"derail")</f>
        <v>derail</v>
      </c>
    </row>
    <row r="46037">
      <c r="A46037" s="1" t="s">
        <v>46036</v>
      </c>
      <c r="B46037" s="2" t="str">
        <f>IFERROR(__xludf.DUMMYFUNCTION("GOOGLETRANSLATE(A46037, ""de"", ""en"")"),"neutron")</f>
        <v>neutron</v>
      </c>
    </row>
    <row r="46038">
      <c r="A46038" s="1" t="s">
        <v>46037</v>
      </c>
      <c r="B46038" s="2" t="str">
        <f>IFERROR(__xludf.DUMMYFUNCTION("GOOGLETRANSLATE(A46038, ""de"", ""en"")"),"Deane")</f>
        <v>Deane</v>
      </c>
    </row>
    <row r="46039">
      <c r="A46039" s="1" t="s">
        <v>46038</v>
      </c>
      <c r="B46039" s="2" t="str">
        <f>IFERROR(__xludf.DUMMYFUNCTION("GOOGLETRANSLATE(A46039, ""de"", ""en"")"),"grab")</f>
        <v>grab</v>
      </c>
    </row>
    <row r="46040">
      <c r="A46040" s="1" t="s">
        <v>46039</v>
      </c>
      <c r="B46040" s="2" t="str">
        <f>IFERROR(__xludf.DUMMYFUNCTION("GOOGLETRANSLATE(A46040, ""de"", ""en"")"),"quotation marks")</f>
        <v>quotation marks</v>
      </c>
    </row>
    <row r="46041">
      <c r="A46041" s="1" t="s">
        <v>46040</v>
      </c>
      <c r="B46041" s="2" t="str">
        <f>IFERROR(__xludf.DUMMYFUNCTION("GOOGLETRANSLATE(A46041, ""de"", ""en"")"),"dwyer")</f>
        <v>dwyer</v>
      </c>
    </row>
    <row r="46042">
      <c r="A46042" s="1" t="s">
        <v>46041</v>
      </c>
      <c r="B46042" s="2" t="str">
        <f>IFERROR(__xludf.DUMMYFUNCTION("GOOGLETRANSLATE(A46042, ""de"", ""en"")"),"leicester")</f>
        <v>leicester</v>
      </c>
    </row>
    <row r="46043">
      <c r="A46043" s="1" t="s">
        <v>46042</v>
      </c>
      <c r="B46043" s="2" t="str">
        <f>IFERROR(__xludf.DUMMYFUNCTION("GOOGLETRANSLATE(A46043, ""de"", ""en"")"),"domestic")</f>
        <v>domestic</v>
      </c>
    </row>
    <row r="46044">
      <c r="A46044" s="1" t="s">
        <v>46043</v>
      </c>
      <c r="B46044" s="2" t="str">
        <f>IFERROR(__xludf.DUMMYFUNCTION("GOOGLETRANSLATE(A46044, ""de"", ""en"")"),"bug")</f>
        <v>bug</v>
      </c>
    </row>
    <row r="46045">
      <c r="A46045" s="1" t="s">
        <v>46044</v>
      </c>
      <c r="B46045" s="2" t="str">
        <f>IFERROR(__xludf.DUMMYFUNCTION("GOOGLETRANSLATE(A46045, ""de"", ""en"")"),"unrestricted")</f>
        <v>unrestricted</v>
      </c>
    </row>
    <row r="46046">
      <c r="A46046" s="1" t="s">
        <v>46045</v>
      </c>
      <c r="B46046" s="2" t="str">
        <f>IFERROR(__xludf.DUMMYFUNCTION("GOOGLETRANSLATE(A46046, ""de"", ""en"")"),"cave")</f>
        <v>cave</v>
      </c>
    </row>
    <row r="46047">
      <c r="A46047" s="1" t="s">
        <v>46046</v>
      </c>
      <c r="B46047" s="2" t="str">
        <f>IFERROR(__xludf.DUMMYFUNCTION("GOOGLETRANSLATE(A46047, ""de"", ""en"")"),"see")</f>
        <v>see</v>
      </c>
    </row>
    <row r="46048">
      <c r="A46048" s="1" t="s">
        <v>46047</v>
      </c>
      <c r="B46048" s="2" t="str">
        <f>IFERROR(__xludf.DUMMYFUNCTION("GOOGLETRANSLATE(A46048, ""de"", ""en"")"),"main energy")</f>
        <v>main energy</v>
      </c>
    </row>
    <row r="46049">
      <c r="A46049" s="1" t="s">
        <v>46048</v>
      </c>
      <c r="B46049" s="2" t="str">
        <f>IFERROR(__xludf.DUMMYFUNCTION("GOOGLETRANSLATE(A46049, ""de"", ""en"")"),"chalet")</f>
        <v>chalet</v>
      </c>
    </row>
    <row r="46050">
      <c r="A46050" s="1" t="s">
        <v>46049</v>
      </c>
      <c r="B46050" s="2" t="str">
        <f>IFERROR(__xludf.DUMMYFUNCTION("GOOGLETRANSLATE(A46050, ""de"", ""en"")"),"expansion")</f>
        <v>expansion</v>
      </c>
    </row>
    <row r="46051">
      <c r="A46051" s="1" t="s">
        <v>46050</v>
      </c>
      <c r="B46051" s="2" t="str">
        <f>IFERROR(__xludf.DUMMYFUNCTION("GOOGLETRANSLATE(A46051, ""de"", ""en"")"),"undesirable")</f>
        <v>undesirable</v>
      </c>
    </row>
    <row r="46052">
      <c r="A46052" s="1" t="s">
        <v>46051</v>
      </c>
      <c r="B46052" s="2" t="str">
        <f>IFERROR(__xludf.DUMMYFUNCTION("GOOGLETRANSLATE(A46052, ""de"", ""en"")"),"gets it")</f>
        <v>gets it</v>
      </c>
    </row>
    <row r="46053">
      <c r="A46053" s="1" t="s">
        <v>46052</v>
      </c>
      <c r="B46053" s="2" t="str">
        <f>IFERROR(__xludf.DUMMYFUNCTION("GOOGLETRANSLATE(A46053, ""de"", ""en"")"),"cuts")</f>
        <v>cuts</v>
      </c>
    </row>
    <row r="46054">
      <c r="A46054" s="1" t="s">
        <v>46053</v>
      </c>
      <c r="B46054" s="2" t="str">
        <f>IFERROR(__xludf.DUMMYFUNCTION("GOOGLETRANSLATE(A46054, ""de"", ""en"")"),"one-armed")</f>
        <v>one-armed</v>
      </c>
    </row>
    <row r="46055">
      <c r="A46055" s="1" t="s">
        <v>46054</v>
      </c>
      <c r="B46055" s="2" t="str">
        <f>IFERROR(__xludf.DUMMYFUNCTION("GOOGLETRANSLATE(A46055, ""de"", ""en"")"),"silla")</f>
        <v>silla</v>
      </c>
    </row>
    <row r="46056">
      <c r="A46056" s="1" t="s">
        <v>46055</v>
      </c>
      <c r="B46056" s="2" t="str">
        <f>IFERROR(__xludf.DUMMYFUNCTION("GOOGLETRANSLATE(A46056, ""de"", ""en"")"),"t.s.")</f>
        <v>t.s.</v>
      </c>
    </row>
    <row r="46057">
      <c r="A46057" s="1" t="s">
        <v>46056</v>
      </c>
      <c r="B46057" s="2" t="str">
        <f>IFERROR(__xludf.DUMMYFUNCTION("GOOGLETRANSLATE(A46057, ""de"", ""en"")"),"miscarriages")</f>
        <v>miscarriages</v>
      </c>
    </row>
    <row r="46058">
      <c r="A46058" s="1" t="s">
        <v>46057</v>
      </c>
      <c r="B46058" s="2" t="str">
        <f>IFERROR(__xludf.DUMMYFUNCTION("GOOGLETRANSLATE(A46058, ""de"", ""en"")"),"widow")</f>
        <v>widow</v>
      </c>
    </row>
    <row r="46059">
      <c r="A46059" s="1" t="s">
        <v>46058</v>
      </c>
      <c r="B46059" s="2" t="str">
        <f>IFERROR(__xludf.DUMMYFUNCTION("GOOGLETRANSLATE(A46059, ""de"", ""en"")"),"iota")</f>
        <v>iota</v>
      </c>
    </row>
    <row r="46060">
      <c r="A46060" s="1" t="s">
        <v>46059</v>
      </c>
      <c r="B46060" s="2" t="str">
        <f>IFERROR(__xludf.DUMMYFUNCTION("GOOGLETRANSLATE(A46060, ""de"", ""en"")"),"rascal")</f>
        <v>rascal</v>
      </c>
    </row>
    <row r="46061">
      <c r="A46061" s="1" t="s">
        <v>46060</v>
      </c>
      <c r="B46061" s="2" t="str">
        <f>IFERROR(__xludf.DUMMYFUNCTION("GOOGLETRANSLATE(A46061, ""de"", ""en"")"),"petrol canister")</f>
        <v>petrol canister</v>
      </c>
    </row>
    <row r="46062">
      <c r="A46062" s="1" t="s">
        <v>46061</v>
      </c>
      <c r="B46062" s="2" t="str">
        <f>IFERROR(__xludf.DUMMYFUNCTION("GOOGLETRANSLATE(A46062, ""de"", ""en"")"),"ignorant")</f>
        <v>ignorant</v>
      </c>
    </row>
    <row r="46063">
      <c r="A46063" s="1" t="s">
        <v>46062</v>
      </c>
      <c r="B46063" s="2" t="str">
        <f>IFERROR(__xludf.DUMMYFUNCTION("GOOGLETRANSLATE(A46063, ""de"", ""en"")"),"unclean")</f>
        <v>unclean</v>
      </c>
    </row>
    <row r="46064">
      <c r="A46064" s="1" t="s">
        <v>46063</v>
      </c>
      <c r="B46064" s="2" t="str">
        <f>IFERROR(__xludf.DUMMYFUNCTION("GOOGLETRANSLATE(A46064, ""de"", ""en"")"),"skeleton")</f>
        <v>skeleton</v>
      </c>
    </row>
    <row r="46065">
      <c r="A46065" s="1" t="s">
        <v>46064</v>
      </c>
      <c r="B46065" s="2" t="str">
        <f>IFERROR(__xludf.DUMMYFUNCTION("GOOGLETRANSLATE(A46065, ""de"", ""en"")"),"maternal")</f>
        <v>maternal</v>
      </c>
    </row>
    <row r="46066">
      <c r="A46066" s="1" t="s">
        <v>46065</v>
      </c>
      <c r="B46066" s="2" t="str">
        <f>IFERROR(__xludf.DUMMYFUNCTION("GOOGLETRANSLATE(A46066, ""de"", ""en"")"),"usable")</f>
        <v>usable</v>
      </c>
    </row>
    <row r="46067">
      <c r="A46067" s="1" t="s">
        <v>46066</v>
      </c>
      <c r="B46067" s="2" t="str">
        <f>IFERROR(__xludf.DUMMYFUNCTION("GOOGLETRANSLATE(A46067, ""de"", ""en"")"),"solarium")</f>
        <v>solarium</v>
      </c>
    </row>
    <row r="46068">
      <c r="A46068" s="1" t="s">
        <v>46067</v>
      </c>
      <c r="B46068" s="2" t="str">
        <f>IFERROR(__xludf.DUMMYFUNCTION("GOOGLETRANSLATE(A46068, ""de"", ""en"")"),"scholl")</f>
        <v>scholl</v>
      </c>
    </row>
    <row r="46069">
      <c r="A46069" s="1" t="s">
        <v>46068</v>
      </c>
      <c r="B46069" s="2" t="str">
        <f>IFERROR(__xludf.DUMMYFUNCTION("GOOGLETRANSLATE(A46069, ""de"", ""en"")"),"looked at")</f>
        <v>looked at</v>
      </c>
    </row>
    <row r="46070">
      <c r="A46070" s="1" t="s">
        <v>46069</v>
      </c>
      <c r="B46070" s="2" t="str">
        <f>IFERROR(__xludf.DUMMYFUNCTION("GOOGLETRANSLATE(A46070, ""de"", ""en"")"),"aymes")</f>
        <v>aymes</v>
      </c>
    </row>
    <row r="46071">
      <c r="A46071" s="1" t="s">
        <v>46070</v>
      </c>
      <c r="B46071" s="2" t="str">
        <f>IFERROR(__xludf.DUMMYFUNCTION("GOOGLETRANSLATE(A46071, ""de"", ""en"")"),"led")</f>
        <v>led</v>
      </c>
    </row>
    <row r="46072">
      <c r="A46072" s="1" t="s">
        <v>46071</v>
      </c>
      <c r="B46072" s="2" t="str">
        <f>IFERROR(__xludf.DUMMYFUNCTION("GOOGLETRANSLATE(A46072, ""de"", ""en"")"),"to open")</f>
        <v>to open</v>
      </c>
    </row>
    <row r="46073">
      <c r="A46073" s="1" t="s">
        <v>46072</v>
      </c>
      <c r="B46073" s="2" t="str">
        <f>IFERROR(__xludf.DUMMYFUNCTION("GOOGLETRANSLATE(A46073, ""de"", ""en"")"),"viewer")</f>
        <v>viewer</v>
      </c>
    </row>
    <row r="46074">
      <c r="A46074" s="1" t="s">
        <v>46073</v>
      </c>
      <c r="B46074" s="2" t="str">
        <f>IFERROR(__xludf.DUMMYFUNCTION("GOOGLETRANSLATE(A46074, ""de"", ""en"")"),"bullying")</f>
        <v>bullying</v>
      </c>
    </row>
    <row r="46075">
      <c r="A46075" s="1" t="s">
        <v>46074</v>
      </c>
      <c r="B46075" s="2" t="str">
        <f>IFERROR(__xludf.DUMMYFUNCTION("GOOGLETRANSLATE(A46075, ""de"", ""en"")"),"Vesuvius")</f>
        <v>Vesuvius</v>
      </c>
    </row>
    <row r="46076">
      <c r="A46076" s="1" t="s">
        <v>46075</v>
      </c>
      <c r="B46076" s="2" t="str">
        <f>IFERROR(__xludf.DUMMYFUNCTION("GOOGLETRANSLATE(A46076, ""de"", ""en"")"),"mayumi")</f>
        <v>mayumi</v>
      </c>
    </row>
    <row r="46077">
      <c r="A46077" s="1" t="s">
        <v>46076</v>
      </c>
      <c r="B46077" s="2" t="str">
        <f>IFERROR(__xludf.DUMMYFUNCTION("GOOGLETRANSLATE(A46077, ""de"", ""en"")"),"to hang up")</f>
        <v>to hang up</v>
      </c>
    </row>
    <row r="46078">
      <c r="A46078" s="1" t="s">
        <v>46077</v>
      </c>
      <c r="B46078" s="2" t="str">
        <f>IFERROR(__xludf.DUMMYFUNCTION("GOOGLETRANSLATE(A46078, ""de"", ""en"")"),"sammys")</f>
        <v>sammys</v>
      </c>
    </row>
    <row r="46079">
      <c r="A46079" s="1" t="s">
        <v>46078</v>
      </c>
      <c r="B46079" s="2" t="str">
        <f>IFERROR(__xludf.DUMMYFUNCTION("GOOGLETRANSLATE(A46079, ""de"", ""en"")"),"bet")</f>
        <v>bet</v>
      </c>
    </row>
    <row r="46080">
      <c r="A46080" s="1" t="s">
        <v>46079</v>
      </c>
      <c r="B46080" s="2" t="str">
        <f>IFERROR(__xludf.DUMMYFUNCTION("GOOGLETRANSLATE(A46080, ""de"", ""en"")"),"steeles")</f>
        <v>steeles</v>
      </c>
    </row>
    <row r="46081">
      <c r="A46081" s="1" t="s">
        <v>46080</v>
      </c>
      <c r="B46081" s="2" t="str">
        <f>IFERROR(__xludf.DUMMYFUNCTION("GOOGLETRANSLATE(A46081, ""de"", ""en"")"),"Katyusha")</f>
        <v>Katyusha</v>
      </c>
    </row>
    <row r="46082">
      <c r="A46082" s="1" t="s">
        <v>46081</v>
      </c>
      <c r="B46082" s="2" t="str">
        <f>IFERROR(__xludf.DUMMYFUNCTION("GOOGLETRANSLATE(A46082, ""de"", ""en"")"),"hamza")</f>
        <v>hamza</v>
      </c>
    </row>
    <row r="46083">
      <c r="A46083" s="1" t="s">
        <v>46082</v>
      </c>
      <c r="B46083" s="2" t="str">
        <f>IFERROR(__xludf.DUMMYFUNCTION("GOOGLETRANSLATE(A46083, ""de"", ""en"")"),"comforted")</f>
        <v>comforted</v>
      </c>
    </row>
    <row r="46084">
      <c r="A46084" s="1" t="s">
        <v>46083</v>
      </c>
      <c r="B46084" s="2" t="str">
        <f>IFERROR(__xludf.DUMMYFUNCTION("GOOGLETRANSLATE(A46084, ""de"", ""en"")"),"chaucer")</f>
        <v>chaucer</v>
      </c>
    </row>
    <row r="46085">
      <c r="A46085" s="1" t="s">
        <v>46084</v>
      </c>
      <c r="B46085" s="2" t="str">
        <f>IFERROR(__xludf.DUMMYFUNCTION("GOOGLETRANSLATE(A46085, ""de"", ""en"")"),"decade")</f>
        <v>decade</v>
      </c>
    </row>
    <row r="46086">
      <c r="A46086" s="1" t="s">
        <v>46085</v>
      </c>
      <c r="B46086" s="2" t="str">
        <f>IFERROR(__xludf.DUMMYFUNCTION("GOOGLETRANSLATE(A46086, ""de"", ""en"")"),"spinning")</f>
        <v>spinning</v>
      </c>
    </row>
    <row r="46087">
      <c r="A46087" s="1" t="s">
        <v>46086</v>
      </c>
      <c r="B46087" s="2" t="str">
        <f>IFERROR(__xludf.DUMMYFUNCTION("GOOGLETRANSLATE(A46087, ""de"", ""en"")"),"blacklist")</f>
        <v>blacklist</v>
      </c>
    </row>
    <row r="46088">
      <c r="A46088" s="1" t="s">
        <v>46087</v>
      </c>
      <c r="B46088" s="2" t="str">
        <f>IFERROR(__xludf.DUMMYFUNCTION("GOOGLETRANSLATE(A46088, ""de"", ""en"")"),"king")</f>
        <v>king</v>
      </c>
    </row>
    <row r="46089">
      <c r="A46089" s="1" t="s">
        <v>46088</v>
      </c>
      <c r="B46089" s="2" t="str">
        <f>IFERROR(__xludf.DUMMYFUNCTION("GOOGLETRANSLATE(A46089, ""de"", ""en"")"),"immeasurable")</f>
        <v>immeasurable</v>
      </c>
    </row>
    <row r="46090">
      <c r="A46090" s="1" t="s">
        <v>46089</v>
      </c>
      <c r="B46090" s="2" t="str">
        <f>IFERROR(__xludf.DUMMYFUNCTION("GOOGLETRANSLATE(A46090, ""de"", ""en"")"),"nanaka")</f>
        <v>nanaka</v>
      </c>
    </row>
    <row r="46091">
      <c r="A46091" s="1" t="s">
        <v>46090</v>
      </c>
      <c r="B46091" s="2" t="str">
        <f>IFERROR(__xludf.DUMMYFUNCTION("GOOGLETRANSLATE(A46091, ""de"", ""en"")"),"yalcin")</f>
        <v>yalcin</v>
      </c>
    </row>
    <row r="46092">
      <c r="A46092" s="1" t="s">
        <v>46091</v>
      </c>
      <c r="B46092" s="2" t="str">
        <f>IFERROR(__xludf.DUMMYFUNCTION("GOOGLETRANSLATE(A46092, ""de"", ""en"")"),"buren")</f>
        <v>buren</v>
      </c>
    </row>
    <row r="46093">
      <c r="A46093" s="1" t="s">
        <v>46092</v>
      </c>
      <c r="B46093" s="2" t="str">
        <f>IFERROR(__xludf.DUMMYFUNCTION("GOOGLETRANSLATE(A46093, ""de"", ""en"")"),"advertising industry")</f>
        <v>advertising industry</v>
      </c>
    </row>
    <row r="46094">
      <c r="A46094" s="1" t="s">
        <v>46093</v>
      </c>
      <c r="B46094" s="2" t="str">
        <f>IFERROR(__xludf.DUMMYFUNCTION("GOOGLETRANSLATE(A46094, ""de"", ""en"")"),"measurement")</f>
        <v>measurement</v>
      </c>
    </row>
    <row r="46095">
      <c r="A46095" s="1" t="s">
        <v>46094</v>
      </c>
      <c r="B46095" s="2" t="str">
        <f>IFERROR(__xludf.DUMMYFUNCTION("GOOGLETRANSLATE(A46095, ""de"", ""en"")"),"cirque")</f>
        <v>cirque</v>
      </c>
    </row>
    <row r="46096">
      <c r="A46096" s="1" t="s">
        <v>46095</v>
      </c>
      <c r="B46096" s="2" t="str">
        <f>IFERROR(__xludf.DUMMYFUNCTION("GOOGLETRANSLATE(A46096, ""de"", ""en"")"),"saad")</f>
        <v>saad</v>
      </c>
    </row>
    <row r="46097">
      <c r="A46097" s="1" t="s">
        <v>46096</v>
      </c>
      <c r="B46097" s="2" t="str">
        <f>IFERROR(__xludf.DUMMYFUNCTION("GOOGLETRANSLATE(A46097, ""de"", ""en"")"),"fog")</f>
        <v>fog</v>
      </c>
    </row>
    <row r="46098">
      <c r="A46098" s="1" t="s">
        <v>46097</v>
      </c>
      <c r="B46098" s="2" t="str">
        <f>IFERROR(__xludf.DUMMYFUNCTION("GOOGLETRANSLATE(A46098, ""de"", ""en"")"),"calculated")</f>
        <v>calculated</v>
      </c>
    </row>
    <row r="46099">
      <c r="A46099" s="1" t="s">
        <v>46098</v>
      </c>
      <c r="B46099" s="2" t="str">
        <f>IFERROR(__xludf.DUMMYFUNCTION("GOOGLETRANSLATE(A46099, ""de"", ""en"")"),"shower")</f>
        <v>shower</v>
      </c>
    </row>
    <row r="46100">
      <c r="A46100" s="1" t="s">
        <v>46099</v>
      </c>
      <c r="B46100" s="2" t="str">
        <f>IFERROR(__xludf.DUMMYFUNCTION("GOOGLETRANSLATE(A46100, ""de"", ""en"")"),"casaubon")</f>
        <v>casaubon</v>
      </c>
    </row>
    <row r="46101">
      <c r="A46101" s="1" t="s">
        <v>46100</v>
      </c>
      <c r="B46101" s="2" t="str">
        <f>IFERROR(__xludf.DUMMYFUNCTION("GOOGLETRANSLATE(A46101, ""de"", ""en"")"),"final victory")</f>
        <v>final victory</v>
      </c>
    </row>
    <row r="46102">
      <c r="A46102" s="1" t="s">
        <v>46101</v>
      </c>
      <c r="B46102" s="2" t="str">
        <f>IFERROR(__xludf.DUMMYFUNCTION("GOOGLETRANSLATE(A46102, ""de"", ""en"")"),"thrown out")</f>
        <v>thrown out</v>
      </c>
    </row>
    <row r="46103">
      <c r="A46103" s="1" t="s">
        <v>46102</v>
      </c>
      <c r="B46103" s="2" t="str">
        <f>IFERROR(__xludf.DUMMYFUNCTION("GOOGLETRANSLATE(A46103, ""de"", ""en"")"),"submitted")</f>
        <v>submitted</v>
      </c>
    </row>
    <row r="46104">
      <c r="A46104" s="1" t="s">
        <v>46103</v>
      </c>
      <c r="B46104" s="2" t="str">
        <f>IFERROR(__xludf.DUMMYFUNCTION("GOOGLETRANSLATE(A46104, ""de"", ""en"")"),"tournaments")</f>
        <v>tournaments</v>
      </c>
    </row>
    <row r="46105">
      <c r="A46105" s="1" t="s">
        <v>46104</v>
      </c>
      <c r="B46105" s="2" t="str">
        <f>IFERROR(__xludf.DUMMYFUNCTION("GOOGLETRANSLATE(A46105, ""de"", ""en"")"),"working")</f>
        <v>working</v>
      </c>
    </row>
    <row r="46106">
      <c r="A46106" s="1" t="s">
        <v>46105</v>
      </c>
      <c r="B46106" s="2" t="str">
        <f>IFERROR(__xludf.DUMMYFUNCTION("GOOGLETRANSLATE(A46106, ""de"", ""en"")"),"secret door")</f>
        <v>secret door</v>
      </c>
    </row>
    <row r="46107">
      <c r="A46107" s="1" t="s">
        <v>46106</v>
      </c>
      <c r="B46107" s="2" t="str">
        <f>IFERROR(__xludf.DUMMYFUNCTION("GOOGLETRANSLATE(A46107, ""de"", ""en"")"),"way to school")</f>
        <v>way to school</v>
      </c>
    </row>
    <row r="46108">
      <c r="A46108" s="1" t="s">
        <v>46107</v>
      </c>
      <c r="B46108" s="2" t="str">
        <f>IFERROR(__xludf.DUMMYFUNCTION("GOOGLETRANSLATE(A46108, ""de"", ""en"")"),"bar stool")</f>
        <v>bar stool</v>
      </c>
    </row>
    <row r="46109">
      <c r="A46109" s="1" t="s">
        <v>46108</v>
      </c>
      <c r="B46109" s="2" t="str">
        <f>IFERROR(__xludf.DUMMYFUNCTION("GOOGLETRANSLATE(A46109, ""de"", ""en"")"),"grinds")</f>
        <v>grinds</v>
      </c>
    </row>
    <row r="46110">
      <c r="A46110" s="1" t="s">
        <v>46109</v>
      </c>
      <c r="B46110" s="2" t="str">
        <f>IFERROR(__xludf.DUMMYFUNCTION("GOOGLETRANSLATE(A46110, ""de"", ""en"")"),"felton")</f>
        <v>felton</v>
      </c>
    </row>
    <row r="46111">
      <c r="A46111" s="1" t="s">
        <v>46110</v>
      </c>
      <c r="B46111" s="2" t="str">
        <f>IFERROR(__xludf.DUMMYFUNCTION("GOOGLETRANSLATE(A46111, ""de"", ""en"")"),"programmed in")</f>
        <v>programmed in</v>
      </c>
    </row>
    <row r="46112">
      <c r="A46112" s="1" t="s">
        <v>46111</v>
      </c>
      <c r="B46112" s="2" t="str">
        <f>IFERROR(__xludf.DUMMYFUNCTION("GOOGLETRANSLATE(A46112, ""de"", ""en"")"),"blackbird")</f>
        <v>blackbird</v>
      </c>
    </row>
    <row r="46113">
      <c r="A46113" s="1" t="s">
        <v>46112</v>
      </c>
      <c r="B46113" s="2" t="str">
        <f>IFERROR(__xludf.DUMMYFUNCTION("GOOGLETRANSLATE(A46113, ""de"", ""en"")"),"chosen")</f>
        <v>chosen</v>
      </c>
    </row>
    <row r="46114">
      <c r="A46114" s="1" t="s">
        <v>46113</v>
      </c>
      <c r="B46114" s="2" t="str">
        <f>IFERROR(__xludf.DUMMYFUNCTION("GOOGLETRANSLATE(A46114, ""de"", ""en"")"),"foreign body")</f>
        <v>foreign body</v>
      </c>
    </row>
    <row r="46115">
      <c r="A46115" s="1" t="s">
        <v>46114</v>
      </c>
      <c r="B46115" s="2" t="str">
        <f>IFERROR(__xludf.DUMMYFUNCTION("GOOGLETRANSLATE(A46115, ""de"", ""en"")"),"Orleans")</f>
        <v>Orleans</v>
      </c>
    </row>
    <row r="46116">
      <c r="A46116" s="1" t="s">
        <v>46115</v>
      </c>
      <c r="B46116" s="2" t="str">
        <f>IFERROR(__xludf.DUMMYFUNCTION("GOOGLETRANSLATE(A46116, ""de"", ""en"")"),"astronomer")</f>
        <v>astronomer</v>
      </c>
    </row>
    <row r="46117">
      <c r="A46117" s="1" t="s">
        <v>46116</v>
      </c>
      <c r="B46117" s="2" t="str">
        <f>IFERROR(__xludf.DUMMYFUNCTION("GOOGLETRANSLATE(A46117, ""de"", ""en"")"),"aksel")</f>
        <v>aksel</v>
      </c>
    </row>
    <row r="46118">
      <c r="A46118" s="1" t="s">
        <v>46117</v>
      </c>
      <c r="B46118" s="2" t="str">
        <f>IFERROR(__xludf.DUMMYFUNCTION("GOOGLETRANSLATE(A46118, ""de"", ""en"")"),"I believe")</f>
        <v>I believe</v>
      </c>
    </row>
    <row r="46119">
      <c r="A46119" s="1" t="s">
        <v>46118</v>
      </c>
      <c r="B46119" s="2" t="str">
        <f>IFERROR(__xludf.DUMMYFUNCTION("GOOGLETRANSLATE(A46119, ""de"", ""en"")"),"centers")</f>
        <v>centers</v>
      </c>
    </row>
    <row r="46120">
      <c r="A46120" s="1" t="s">
        <v>46119</v>
      </c>
      <c r="B46120" s="2" t="str">
        <f>IFERROR(__xludf.DUMMYFUNCTION("GOOGLETRANSLATE(A46120, ""de"", ""en"")"),"bills")</f>
        <v>bills</v>
      </c>
    </row>
    <row r="46121">
      <c r="A46121" s="1" t="s">
        <v>46120</v>
      </c>
      <c r="B46121" s="2" t="str">
        <f>IFERROR(__xludf.DUMMYFUNCTION("GOOGLETRANSLATE(A46121, ""de"", ""en"")"),"demi")</f>
        <v>demi</v>
      </c>
    </row>
    <row r="46122">
      <c r="A46122" s="1" t="s">
        <v>46121</v>
      </c>
      <c r="B46122" s="2" t="str">
        <f>IFERROR(__xludf.DUMMYFUNCTION("GOOGLETRANSLATE(A46122, ""de"", ""en"")"),"moves")</f>
        <v>moves</v>
      </c>
    </row>
    <row r="46123">
      <c r="A46123" s="1" t="s">
        <v>46122</v>
      </c>
      <c r="B46123" s="2" t="str">
        <f>IFERROR(__xludf.DUMMYFUNCTION("GOOGLETRANSLATE(A46123, ""de"", ""en"")"),"chaff")</f>
        <v>chaff</v>
      </c>
    </row>
    <row r="46124">
      <c r="A46124" s="1" t="s">
        <v>46123</v>
      </c>
      <c r="B46124" s="2" t="str">
        <f>IFERROR(__xludf.DUMMYFUNCTION("GOOGLETRANSLATE(A46124, ""de"", ""en"")"),"stace")</f>
        <v>stace</v>
      </c>
    </row>
    <row r="46125">
      <c r="A46125" s="1" t="s">
        <v>46124</v>
      </c>
      <c r="B46125" s="2" t="str">
        <f>IFERROR(__xludf.DUMMYFUNCTION("GOOGLETRANSLATE(A46125, ""de"", ""en"")"),"computer science")</f>
        <v>computer science</v>
      </c>
    </row>
    <row r="46126">
      <c r="A46126" s="1" t="s">
        <v>46125</v>
      </c>
      <c r="B46126" s="2" t="str">
        <f>IFERROR(__xludf.DUMMYFUNCTION("GOOGLETRANSLATE(A46126, ""de"", ""en"")"),"extra")</f>
        <v>extra</v>
      </c>
    </row>
    <row r="46127">
      <c r="A46127" s="1" t="s">
        <v>46126</v>
      </c>
      <c r="B46127" s="2" t="str">
        <f>IFERROR(__xludf.DUMMYFUNCTION("GOOGLETRANSLATE(A46127, ""de"", ""en"")"),"thrash")</f>
        <v>thrash</v>
      </c>
    </row>
    <row r="46128">
      <c r="A46128" s="1" t="s">
        <v>46127</v>
      </c>
      <c r="B46128" s="2" t="str">
        <f>IFERROR(__xludf.DUMMYFUNCTION("GOOGLETRANSLATE(A46128, ""de"", ""en"")"),"perrier")</f>
        <v>perrier</v>
      </c>
    </row>
    <row r="46129">
      <c r="A46129" s="1" t="s">
        <v>46128</v>
      </c>
      <c r="B46129" s="2" t="str">
        <f>IFERROR(__xludf.DUMMYFUNCTION("GOOGLETRANSLATE(A46129, ""de"", ""en"")"),"father")</f>
        <v>father</v>
      </c>
    </row>
    <row r="46130">
      <c r="A46130" s="1" t="s">
        <v>46129</v>
      </c>
      <c r="B46130" s="2" t="str">
        <f>IFERROR(__xludf.DUMMYFUNCTION("GOOGLETRANSLATE(A46130, ""de"", ""en"")"),"embarrassing")</f>
        <v>embarrassing</v>
      </c>
    </row>
    <row r="46131">
      <c r="A46131" s="1" t="s">
        <v>46130</v>
      </c>
      <c r="B46131" s="2" t="str">
        <f>IFERROR(__xludf.DUMMYFUNCTION("GOOGLETRANSLATE(A46131, ""de"", ""en"")"),"goth")</f>
        <v>goth</v>
      </c>
    </row>
    <row r="46132">
      <c r="A46132" s="1" t="s">
        <v>46131</v>
      </c>
      <c r="B46132" s="2" t="str">
        <f>IFERROR(__xludf.DUMMYFUNCTION("GOOGLETRANSLATE(A46132, ""de"", ""en"")"),"chimes")</f>
        <v>chimes</v>
      </c>
    </row>
    <row r="46133">
      <c r="A46133" s="1" t="s">
        <v>46132</v>
      </c>
      <c r="B46133" s="2" t="str">
        <f>IFERROR(__xludf.DUMMYFUNCTION("GOOGLETRANSLATE(A46133, ""de"", ""en"")"),"huntoon")</f>
        <v>huntoon</v>
      </c>
    </row>
    <row r="46134">
      <c r="A46134" s="1" t="s">
        <v>46133</v>
      </c>
      <c r="B46134" s="2" t="str">
        <f>IFERROR(__xludf.DUMMYFUNCTION("GOOGLETRANSLATE(A46134, ""de"", ""en"")"),"easter")</f>
        <v>easter</v>
      </c>
    </row>
    <row r="46135">
      <c r="A46135" s="1" t="s">
        <v>46134</v>
      </c>
      <c r="B46135" s="2" t="str">
        <f>IFERROR(__xludf.DUMMYFUNCTION("GOOGLETRANSLATE(A46135, ""de"", ""en"")"),"tremaine")</f>
        <v>tremaine</v>
      </c>
    </row>
    <row r="46136">
      <c r="A46136" s="1" t="s">
        <v>46135</v>
      </c>
      <c r="B46136" s="2" t="str">
        <f>IFERROR(__xludf.DUMMYFUNCTION("GOOGLETRANSLATE(A46136, ""de"", ""en"")"),"disgusting")</f>
        <v>disgusting</v>
      </c>
    </row>
    <row r="46137">
      <c r="A46137" s="1" t="s">
        <v>46136</v>
      </c>
      <c r="B46137" s="2" t="str">
        <f>IFERROR(__xludf.DUMMYFUNCTION("GOOGLETRANSLATE(A46137, ""de"", ""en"")"),"schabbach")</f>
        <v>schabbach</v>
      </c>
    </row>
    <row r="46138">
      <c r="A46138" s="1" t="s">
        <v>46137</v>
      </c>
      <c r="B46138" s="2" t="str">
        <f>IFERROR(__xludf.DUMMYFUNCTION("GOOGLETRANSLATE(A46138, ""de"", ""en"")"),"bare")</f>
        <v>bare</v>
      </c>
    </row>
    <row r="46139">
      <c r="A46139" s="1" t="s">
        <v>46138</v>
      </c>
      <c r="B46139" s="2" t="str">
        <f>IFERROR(__xludf.DUMMYFUNCTION("GOOGLETRANSLATE(A46139, ""de"", ""en"")"),"geiss")</f>
        <v>geiss</v>
      </c>
    </row>
    <row r="46140">
      <c r="A46140" s="1" t="s">
        <v>46139</v>
      </c>
      <c r="B46140" s="2" t="str">
        <f>IFERROR(__xludf.DUMMYFUNCTION("GOOGLETRANSLATE(A46140, ""de"", ""en"")"),"kumbaya")</f>
        <v>kumbaya</v>
      </c>
    </row>
    <row r="46141">
      <c r="A46141" s="1" t="s">
        <v>46140</v>
      </c>
      <c r="B46141" s="2" t="str">
        <f>IFERROR(__xludf.DUMMYFUNCTION("GOOGLETRANSLATE(A46141, ""de"", ""en"")"),"Americans")</f>
        <v>Americans</v>
      </c>
    </row>
    <row r="46142">
      <c r="A46142" s="1" t="s">
        <v>46141</v>
      </c>
      <c r="B46142" s="2" t="str">
        <f>IFERROR(__xludf.DUMMYFUNCTION("GOOGLETRANSLATE(A46142, ""de"", ""en"")"),"punisher")</f>
        <v>punisher</v>
      </c>
    </row>
    <row r="46143">
      <c r="A46143" s="1" t="s">
        <v>46142</v>
      </c>
      <c r="B46143" s="2" t="str">
        <f>IFERROR(__xludf.DUMMYFUNCTION("GOOGLETRANSLATE(A46143, ""de"", ""en"")"),"lesser")</f>
        <v>lesser</v>
      </c>
    </row>
    <row r="46144">
      <c r="A46144" s="1" t="s">
        <v>46143</v>
      </c>
      <c r="B46144" s="2" t="str">
        <f>IFERROR(__xludf.DUMMYFUNCTION("GOOGLETRANSLATE(A46144, ""de"", ""en"")"),"Wegener")</f>
        <v>Wegener</v>
      </c>
    </row>
    <row r="46145">
      <c r="A46145" s="1" t="s">
        <v>46144</v>
      </c>
      <c r="B46145" s="2" t="str">
        <f>IFERROR(__xludf.DUMMYFUNCTION("GOOGLETRANSLATE(A46145, ""de"", ""en"")"),"pen")</f>
        <v>pen</v>
      </c>
    </row>
    <row r="46146">
      <c r="A46146" s="1" t="s">
        <v>46145</v>
      </c>
      <c r="B46146" s="2" t="str">
        <f>IFERROR(__xludf.DUMMYFUNCTION("GOOGLETRANSLATE(A46146, ""de"", ""en"")"),"tortured")</f>
        <v>tortured</v>
      </c>
    </row>
    <row r="46147">
      <c r="A46147" s="1" t="s">
        <v>46146</v>
      </c>
      <c r="B46147" s="2" t="str">
        <f>IFERROR(__xludf.DUMMYFUNCTION("GOOGLETRANSLATE(A46147, ""de"", ""en"")"),"time calculation")</f>
        <v>time calculation</v>
      </c>
    </row>
    <row r="46148">
      <c r="A46148" s="1" t="s">
        <v>46147</v>
      </c>
      <c r="B46148" s="2" t="str">
        <f>IFERROR(__xludf.DUMMYFUNCTION("GOOGLETRANSLATE(A46148, ""de"", ""en"")"),"sperm bank")</f>
        <v>sperm bank</v>
      </c>
    </row>
    <row r="46149">
      <c r="A46149" s="1" t="s">
        <v>46148</v>
      </c>
      <c r="B46149" s="2" t="str">
        <f>IFERROR(__xludf.DUMMYFUNCTION("GOOGLETRANSLATE(A46149, ""de"", ""en"")"),"sleep")</f>
        <v>sleep</v>
      </c>
    </row>
    <row r="46150">
      <c r="A46150" s="1" t="s">
        <v>46149</v>
      </c>
      <c r="B46150" s="2" t="str">
        <f>IFERROR(__xludf.DUMMYFUNCTION("GOOGLETRANSLATE(A46150, ""de"", ""en"")"),"stupid")</f>
        <v>stupid</v>
      </c>
    </row>
    <row r="46151">
      <c r="A46151" s="1" t="s">
        <v>46150</v>
      </c>
      <c r="B46151" s="2" t="str">
        <f>IFERROR(__xludf.DUMMYFUNCTION("GOOGLETRANSLATE(A46151, ""de"", ""en"")"),"emaciated")</f>
        <v>emaciated</v>
      </c>
    </row>
    <row r="46152">
      <c r="A46152" s="1" t="s">
        <v>46151</v>
      </c>
      <c r="B46152" s="2" t="str">
        <f>IFERROR(__xludf.DUMMYFUNCTION("GOOGLETRANSLATE(A46152, ""de"", ""en"")"),"brentwood")</f>
        <v>brentwood</v>
      </c>
    </row>
    <row r="46153">
      <c r="A46153" s="1" t="s">
        <v>46152</v>
      </c>
      <c r="B46153" s="2" t="str">
        <f>IFERROR(__xludf.DUMMYFUNCTION("GOOGLETRANSLATE(A46153, ""de"", ""en"")"),"ruffles")</f>
        <v>ruffles</v>
      </c>
    </row>
    <row r="46154">
      <c r="A46154" s="1" t="s">
        <v>46153</v>
      </c>
      <c r="B46154" s="2" t="str">
        <f>IFERROR(__xludf.DUMMYFUNCTION("GOOGLETRANSLATE(A46154, ""de"", ""en"")"),"sympathizers")</f>
        <v>sympathizers</v>
      </c>
    </row>
    <row r="46155">
      <c r="A46155" s="1" t="s">
        <v>46154</v>
      </c>
      <c r="B46155" s="2" t="str">
        <f>IFERROR(__xludf.DUMMYFUNCTION("GOOGLETRANSLATE(A46155, ""de"", ""en"")"),"onion")</f>
        <v>onion</v>
      </c>
    </row>
    <row r="46156">
      <c r="A46156" s="1" t="s">
        <v>46155</v>
      </c>
      <c r="B46156" s="2" t="str">
        <f>IFERROR(__xludf.DUMMYFUNCTION("GOOGLETRANSLATE(A46156, ""de"", ""en"")"),"acrobat")</f>
        <v>acrobat</v>
      </c>
    </row>
    <row r="46157">
      <c r="A46157" s="1" t="s">
        <v>46156</v>
      </c>
      <c r="B46157" s="2" t="str">
        <f>IFERROR(__xludf.DUMMYFUNCTION("GOOGLETRANSLATE(A46157, ""de"", ""en"")"),"vaughan")</f>
        <v>vaughan</v>
      </c>
    </row>
    <row r="46158">
      <c r="A46158" s="1" t="s">
        <v>46157</v>
      </c>
      <c r="B46158" s="2" t="str">
        <f>IFERROR(__xludf.DUMMYFUNCTION("GOOGLETRANSLATE(A46158, ""de"", ""en"")"),"access card")</f>
        <v>access card</v>
      </c>
    </row>
    <row r="46159">
      <c r="A46159" s="1" t="s">
        <v>46158</v>
      </c>
      <c r="B46159" s="2" t="str">
        <f>IFERROR(__xludf.DUMMYFUNCTION("GOOGLETRANSLATE(A46159, ""de"", ""en"")"),"mmm-hmm")</f>
        <v>mmm-hmm</v>
      </c>
    </row>
    <row r="46160">
      <c r="A46160" s="1" t="s">
        <v>46159</v>
      </c>
      <c r="B46160" s="2" t="str">
        <f>IFERROR(__xludf.DUMMYFUNCTION("GOOGLETRANSLATE(A46160, ""de"", ""en"")"),"stab")</f>
        <v>stab</v>
      </c>
    </row>
    <row r="46161">
      <c r="A46161" s="1" t="s">
        <v>46160</v>
      </c>
      <c r="B46161" s="2" t="str">
        <f>IFERROR(__xludf.DUMMYFUNCTION("GOOGLETRANSLATE(A46161, ""de"", ""en"")"),"wr")</f>
        <v>wr</v>
      </c>
    </row>
    <row r="46162">
      <c r="A46162" s="1" t="s">
        <v>46161</v>
      </c>
      <c r="B46162" s="2" t="str">
        <f>IFERROR(__xludf.DUMMYFUNCTION("GOOGLETRANSLATE(A46162, ""de"", ""en"")"),"malnourished")</f>
        <v>malnourished</v>
      </c>
    </row>
    <row r="46163">
      <c r="A46163" s="1" t="s">
        <v>46162</v>
      </c>
      <c r="B46163" s="2" t="str">
        <f>IFERROR(__xludf.DUMMYFUNCTION("GOOGLETRANSLATE(A46163, ""de"", ""en"")"),"exploding")</f>
        <v>exploding</v>
      </c>
    </row>
    <row r="46164">
      <c r="A46164" s="1" t="s">
        <v>46163</v>
      </c>
      <c r="B46164" s="2" t="str">
        <f>IFERROR(__xludf.DUMMYFUNCTION("GOOGLETRANSLATE(A46164, ""de"", ""en"")"),"scrap box")</f>
        <v>scrap box</v>
      </c>
    </row>
    <row r="46165">
      <c r="A46165" s="1" t="s">
        <v>46164</v>
      </c>
      <c r="B46165" s="2" t="str">
        <f>IFERROR(__xludf.DUMMYFUNCTION("GOOGLETRANSLATE(A46165, ""de"", ""en"")"),"brilliant")</f>
        <v>brilliant</v>
      </c>
    </row>
    <row r="46166">
      <c r="A46166" s="1" t="s">
        <v>46165</v>
      </c>
      <c r="B46166" s="2" t="str">
        <f>IFERROR(__xludf.DUMMYFUNCTION("GOOGLETRANSLATE(A46166, ""de"", ""en"")"),"reinhard")</f>
        <v>reinhard</v>
      </c>
    </row>
    <row r="46167">
      <c r="A46167" s="1" t="s">
        <v>46166</v>
      </c>
      <c r="B46167" s="2" t="str">
        <f>IFERROR(__xludf.DUMMYFUNCTION("GOOGLETRANSLATE(A46167, ""de"", ""en"")"),"halifax")</f>
        <v>halifax</v>
      </c>
    </row>
    <row r="46168">
      <c r="A46168" s="1" t="s">
        <v>46167</v>
      </c>
      <c r="B46168" s="2" t="str">
        <f>IFERROR(__xludf.DUMMYFUNCTION("GOOGLETRANSLATE(A46168, ""de"", ""en"")"),"Kandinsky")</f>
        <v>Kandinsky</v>
      </c>
    </row>
    <row r="46169">
      <c r="A46169" s="1" t="s">
        <v>46168</v>
      </c>
      <c r="B46169" s="2" t="str">
        <f>IFERROR(__xludf.DUMMYFUNCTION("GOOGLETRANSLATE(A46169, ""de"", ""en"")"),"overexerted")</f>
        <v>overexerted</v>
      </c>
    </row>
    <row r="46170">
      <c r="A46170" s="1" t="s">
        <v>46169</v>
      </c>
      <c r="B46170" s="2" t="str">
        <f>IFERROR(__xludf.DUMMYFUNCTION("GOOGLETRANSLATE(A46170, ""de"", ""en"")"),"grrr")</f>
        <v>grrr</v>
      </c>
    </row>
    <row r="46171">
      <c r="A46171" s="1" t="s">
        <v>46170</v>
      </c>
      <c r="B46171" s="2" t="str">
        <f>IFERROR(__xludf.DUMMYFUNCTION("GOOGLETRANSLATE(A46171, ""de"", ""en"")"),"exploding")</f>
        <v>exploding</v>
      </c>
    </row>
    <row r="46172">
      <c r="A46172" s="1" t="s">
        <v>46171</v>
      </c>
      <c r="B46172" s="2" t="str">
        <f>IFERROR(__xludf.DUMMYFUNCTION("GOOGLETRANSLATE(A46172, ""de"", ""en"")"),"daya")</f>
        <v>daya</v>
      </c>
    </row>
    <row r="46173">
      <c r="A46173" s="1" t="s">
        <v>46172</v>
      </c>
      <c r="B46173" s="2" t="str">
        <f>IFERROR(__xludf.DUMMYFUNCTION("GOOGLETRANSLATE(A46173, ""de"", ""en"")"),"registration")</f>
        <v>registration</v>
      </c>
    </row>
    <row r="46174">
      <c r="A46174" s="1" t="s">
        <v>46173</v>
      </c>
      <c r="B46174" s="2" t="str">
        <f>IFERROR(__xludf.DUMMYFUNCTION("GOOGLETRANSLATE(A46174, ""de"", ""en"")"),"pause")</f>
        <v>pause</v>
      </c>
    </row>
    <row r="46175">
      <c r="A46175" s="1" t="s">
        <v>46174</v>
      </c>
      <c r="B46175" s="2" t="str">
        <f>IFERROR(__xludf.DUMMYFUNCTION("GOOGLETRANSLATE(A46175, ""de"", ""en"")"),"knock")</f>
        <v>knock</v>
      </c>
    </row>
    <row r="46176">
      <c r="A46176" s="1" t="s">
        <v>46175</v>
      </c>
      <c r="B46176" s="2" t="str">
        <f>IFERROR(__xludf.DUMMYFUNCTION("GOOGLETRANSLATE(A46176, ""de"", ""en"")"),"slate")</f>
        <v>slate</v>
      </c>
    </row>
    <row r="46177">
      <c r="A46177" s="1" t="s">
        <v>46176</v>
      </c>
      <c r="B46177" s="2" t="str">
        <f>IFERROR(__xludf.DUMMYFUNCTION("GOOGLETRANSLATE(A46177, ""de"", ""en"")"),"edible")</f>
        <v>edible</v>
      </c>
    </row>
    <row r="46178">
      <c r="A46178" s="1" t="s">
        <v>46177</v>
      </c>
      <c r="B46178" s="2" t="str">
        <f>IFERROR(__xludf.DUMMYFUNCTION("GOOGLETRANSLATE(A46178, ""de"", ""en"")"),"collective")</f>
        <v>collective</v>
      </c>
    </row>
    <row r="46179">
      <c r="A46179" s="1" t="s">
        <v>46178</v>
      </c>
      <c r="B46179" s="2" t="str">
        <f>IFERROR(__xludf.DUMMYFUNCTION("GOOGLETRANSLATE(A46179, ""de"", ""en"")"),"named")</f>
        <v>named</v>
      </c>
    </row>
    <row r="46180">
      <c r="A46180" s="1" t="s">
        <v>46179</v>
      </c>
      <c r="B46180" s="2" t="str">
        <f>IFERROR(__xludf.DUMMYFUNCTION("GOOGLETRANSLATE(A46180, ""de"", ""en"")"),"Hayworth")</f>
        <v>Hayworth</v>
      </c>
    </row>
    <row r="46181">
      <c r="A46181" s="1" t="s">
        <v>46180</v>
      </c>
      <c r="B46181" s="2" t="str">
        <f>IFERROR(__xludf.DUMMYFUNCTION("GOOGLETRANSLATE(A46181, ""de"", ""en"")"),"April")</f>
        <v>April</v>
      </c>
    </row>
    <row r="46182">
      <c r="A46182" s="1" t="s">
        <v>46181</v>
      </c>
      <c r="B46182" s="2" t="str">
        <f>IFERROR(__xludf.DUMMYFUNCTION("GOOGLETRANSLATE(A46182, ""de"", ""en"")"),"geraniums")</f>
        <v>geraniums</v>
      </c>
    </row>
    <row r="46183">
      <c r="A46183" s="1" t="s">
        <v>46182</v>
      </c>
      <c r="B46183" s="2" t="str">
        <f>IFERROR(__xludf.DUMMYFUNCTION("GOOGLETRANSLATE(A46183, ""de"", ""en"")"),"foon")</f>
        <v>foon</v>
      </c>
    </row>
    <row r="46184">
      <c r="A46184" s="1" t="s">
        <v>46183</v>
      </c>
      <c r="B46184" s="2" t="str">
        <f>IFERROR(__xludf.DUMMYFUNCTION("GOOGLETRANSLATE(A46184, ""de"", ""en"")"),"torben")</f>
        <v>torben</v>
      </c>
    </row>
    <row r="46185">
      <c r="A46185" s="1" t="s">
        <v>46184</v>
      </c>
      <c r="B46185" s="2" t="str">
        <f>IFERROR(__xludf.DUMMYFUNCTION("GOOGLETRANSLATE(A46185, ""de"", ""en"")"),"favorite game")</f>
        <v>favorite game</v>
      </c>
    </row>
    <row r="46186">
      <c r="A46186" s="1" t="s">
        <v>46185</v>
      </c>
      <c r="B46186" s="2" t="str">
        <f>IFERROR(__xludf.DUMMYFUNCTION("GOOGLETRANSLATE(A46186, ""de"", ""en"")"),"whaler")</f>
        <v>whaler</v>
      </c>
    </row>
    <row r="46187">
      <c r="A46187" s="1" t="s">
        <v>46186</v>
      </c>
      <c r="B46187" s="2" t="str">
        <f>IFERROR(__xludf.DUMMYFUNCTION("GOOGLETRANSLATE(A46187, ""de"", ""en"")"),"huge applause")</f>
        <v>huge applause</v>
      </c>
    </row>
    <row r="46188">
      <c r="A46188" s="1" t="s">
        <v>46187</v>
      </c>
      <c r="B46188" s="2" t="str">
        <f>IFERROR(__xludf.DUMMYFUNCTION("GOOGLETRANSLATE(A46188, ""de"", ""en"")"),"waterford")</f>
        <v>waterford</v>
      </c>
    </row>
    <row r="46189">
      <c r="A46189" s="1" t="s">
        <v>46188</v>
      </c>
      <c r="B46189" s="2" t="str">
        <f>IFERROR(__xludf.DUMMYFUNCTION("GOOGLETRANSLATE(A46189, ""de"", ""en"")"),"bridgeport")</f>
        <v>bridgeport</v>
      </c>
    </row>
    <row r="46190">
      <c r="A46190" s="1" t="s">
        <v>46189</v>
      </c>
      <c r="B46190" s="2" t="str">
        <f>IFERROR(__xludf.DUMMYFUNCTION("GOOGLETRANSLATE(A46190, ""de"", ""en"")"),"jasna")</f>
        <v>jasna</v>
      </c>
    </row>
    <row r="46191">
      <c r="A46191" s="1" t="s">
        <v>46190</v>
      </c>
      <c r="B46191" s="2" t="str">
        <f>IFERROR(__xludf.DUMMYFUNCTION("GOOGLETRANSLATE(A46191, ""de"", ""en"")"),"lyne")</f>
        <v>lyne</v>
      </c>
    </row>
    <row r="46192">
      <c r="A46192" s="1" t="s">
        <v>46191</v>
      </c>
      <c r="B46192" s="2" t="str">
        <f>IFERROR(__xludf.DUMMYFUNCTION("GOOGLETRANSLATE(A46192, ""de"", ""en"")"),"send up")</f>
        <v>send up</v>
      </c>
    </row>
    <row r="46193">
      <c r="A46193" s="1" t="s">
        <v>46192</v>
      </c>
      <c r="B46193" s="2" t="str">
        <f>IFERROR(__xludf.DUMMYFUNCTION("GOOGLETRANSLATE(A46193, ""de"", ""en"")"),"harder")</f>
        <v>harder</v>
      </c>
    </row>
    <row r="46194">
      <c r="A46194" s="1" t="s">
        <v>46193</v>
      </c>
      <c r="B46194" s="2" t="str">
        <f>IFERROR(__xludf.DUMMYFUNCTION("GOOGLETRANSLATE(A46194, ""de"", ""en"")"),"genius")</f>
        <v>genius</v>
      </c>
    </row>
    <row r="46195">
      <c r="A46195" s="1" t="s">
        <v>46194</v>
      </c>
      <c r="B46195" s="2" t="str">
        <f>IFERROR(__xludf.DUMMYFUNCTION("GOOGLETRANSLATE(A46195, ""de"", ""en"")"),"renato")</f>
        <v>renato</v>
      </c>
    </row>
    <row r="46196">
      <c r="A46196" s="1" t="s">
        <v>46195</v>
      </c>
      <c r="B46196" s="2" t="str">
        <f>IFERROR(__xludf.DUMMYFUNCTION("GOOGLETRANSLATE(A46196, ""de"", ""en"")"),"Herrmann")</f>
        <v>Herrmann</v>
      </c>
    </row>
    <row r="46197">
      <c r="A46197" s="1" t="s">
        <v>46196</v>
      </c>
      <c r="B46197" s="2" t="str">
        <f>IFERROR(__xludf.DUMMYFUNCTION("GOOGLETRANSLATE(A46197, ""de"", ""en"")"),"simple")</f>
        <v>simple</v>
      </c>
    </row>
    <row r="46198">
      <c r="A46198" s="1" t="s">
        <v>46197</v>
      </c>
      <c r="B46198" s="2" t="str">
        <f>IFERROR(__xludf.DUMMYFUNCTION("GOOGLETRANSLATE(A46198, ""de"", ""en"")"),"maintained")</f>
        <v>maintained</v>
      </c>
    </row>
    <row r="46199">
      <c r="A46199" s="1" t="s">
        <v>46198</v>
      </c>
      <c r="B46199" s="2" t="str">
        <f>IFERROR(__xludf.DUMMYFUNCTION("GOOGLETRANSLATE(A46199, ""de"", ""en"")"),"fallen down")</f>
        <v>fallen down</v>
      </c>
    </row>
    <row r="46200">
      <c r="A46200" s="1" t="s">
        <v>46199</v>
      </c>
      <c r="B46200" s="2" t="str">
        <f>IFERROR(__xludf.DUMMYFUNCTION("GOOGLETRANSLATE(A46200, ""de"", ""en"")"),"Gomorrah")</f>
        <v>Gomorrah</v>
      </c>
    </row>
    <row r="46201">
      <c r="A46201" s="1" t="s">
        <v>46200</v>
      </c>
      <c r="B46201" s="2" t="str">
        <f>IFERROR(__xludf.DUMMYFUNCTION("GOOGLETRANSLATE(A46201, ""de"", ""en"")"),"stabbed")</f>
        <v>stabbed</v>
      </c>
    </row>
    <row r="46202">
      <c r="A46202" s="1" t="s">
        <v>46201</v>
      </c>
      <c r="B46202" s="2" t="str">
        <f>IFERROR(__xludf.DUMMYFUNCTION("GOOGLETRANSLATE(A46202, ""de"", ""en"")"),"forn")</f>
        <v>forn</v>
      </c>
    </row>
    <row r="46203">
      <c r="A46203" s="1" t="s">
        <v>46202</v>
      </c>
      <c r="B46203" s="2" t="str">
        <f>IFERROR(__xludf.DUMMYFUNCTION("GOOGLETRANSLATE(A46203, ""de"", ""en"")"),"Asian")</f>
        <v>Asian</v>
      </c>
    </row>
    <row r="46204">
      <c r="A46204" s="1" t="s">
        <v>46203</v>
      </c>
      <c r="B46204" s="2" t="str">
        <f>IFERROR(__xludf.DUMMYFUNCTION("GOOGLETRANSLATE(A46204, ""de"", ""en"")"),"salerno")</f>
        <v>salerno</v>
      </c>
    </row>
    <row r="46205">
      <c r="A46205" s="1" t="s">
        <v>46204</v>
      </c>
      <c r="B46205" s="2" t="str">
        <f>IFERROR(__xludf.DUMMYFUNCTION("GOOGLETRANSLATE(A46205, ""de"", ""en"")"),"anselmo")</f>
        <v>anselmo</v>
      </c>
    </row>
    <row r="46206">
      <c r="A46206" s="1" t="s">
        <v>46205</v>
      </c>
      <c r="B46206" s="2" t="str">
        <f>IFERROR(__xludf.DUMMYFUNCTION("GOOGLETRANSLATE(A46206, ""de"", ""en"")"),"vague")</f>
        <v>vague</v>
      </c>
    </row>
    <row r="46207">
      <c r="A46207" s="1" t="s">
        <v>46206</v>
      </c>
      <c r="B46207" s="2" t="str">
        <f>IFERROR(__xludf.DUMMYFUNCTION("GOOGLETRANSLATE(A46207, ""de"", ""en"")"),"Wassya")</f>
        <v>Wassya</v>
      </c>
    </row>
    <row r="46208">
      <c r="A46208" s="1" t="s">
        <v>46207</v>
      </c>
      <c r="B46208" s="2" t="str">
        <f>IFERROR(__xludf.DUMMYFUNCTION("GOOGLETRANSLATE(A46208, ""de"", ""en"")"),"get it done")</f>
        <v>get it done</v>
      </c>
    </row>
    <row r="46209">
      <c r="A46209" s="1" t="s">
        <v>46208</v>
      </c>
      <c r="B46209" s="2" t="str">
        <f>IFERROR(__xludf.DUMMYFUNCTION("GOOGLETRANSLATE(A46209, ""de"", ""en"")"),"pet name")</f>
        <v>pet name</v>
      </c>
    </row>
    <row r="46210">
      <c r="A46210" s="1" t="s">
        <v>46209</v>
      </c>
      <c r="B46210" s="2" t="str">
        <f>IFERROR(__xludf.DUMMYFUNCTION("GOOGLETRANSLATE(A46210, ""de"", ""en"")"),"scrape together")</f>
        <v>scrape together</v>
      </c>
    </row>
    <row r="46211">
      <c r="A46211" s="1" t="s">
        <v>46210</v>
      </c>
      <c r="B46211" s="2" t="str">
        <f>IFERROR(__xludf.DUMMYFUNCTION("GOOGLETRANSLATE(A46211, ""de"", ""en"")"),"nina")</f>
        <v>nina</v>
      </c>
    </row>
    <row r="46212">
      <c r="A46212" s="1" t="s">
        <v>46211</v>
      </c>
      <c r="B46212" s="2" t="str">
        <f>IFERROR(__xludf.DUMMYFUNCTION("GOOGLETRANSLATE(A46212, ""de"", ""en"")"),"dates")</f>
        <v>dates</v>
      </c>
    </row>
    <row r="46213">
      <c r="A46213" s="1" t="s">
        <v>46212</v>
      </c>
      <c r="B46213" s="2" t="str">
        <f>IFERROR(__xludf.DUMMYFUNCTION("GOOGLETRANSLATE(A46213, ""de"", ""en"")"),"gathered")</f>
        <v>gathered</v>
      </c>
    </row>
    <row r="46214">
      <c r="A46214" s="1" t="s">
        <v>46213</v>
      </c>
      <c r="B46214" s="2" t="str">
        <f>IFERROR(__xludf.DUMMYFUNCTION("GOOGLETRANSLATE(A46214, ""de"", ""en"")"),"panco")</f>
        <v>panco</v>
      </c>
    </row>
    <row r="46215">
      <c r="A46215" s="1" t="s">
        <v>46214</v>
      </c>
      <c r="B46215" s="2" t="str">
        <f>IFERROR(__xludf.DUMMYFUNCTION("GOOGLETRANSLATE(A46215, ""de"", ""en"")"),"stand together")</f>
        <v>stand together</v>
      </c>
    </row>
    <row r="46216">
      <c r="A46216" s="1" t="s">
        <v>46215</v>
      </c>
      <c r="B46216" s="2" t="str">
        <f>IFERROR(__xludf.DUMMYFUNCTION("GOOGLETRANSLATE(A46216, ""de"", ""en"")"),"öre")</f>
        <v>öre</v>
      </c>
    </row>
    <row r="46217">
      <c r="A46217" s="1" t="s">
        <v>46216</v>
      </c>
      <c r="B46217" s="2" t="str">
        <f>IFERROR(__xludf.DUMMYFUNCTION("GOOGLETRANSLATE(A46217, ""de"", ""en"")"),"lifeline")</f>
        <v>lifeline</v>
      </c>
    </row>
    <row r="46218">
      <c r="A46218" s="1" t="s">
        <v>46217</v>
      </c>
      <c r="B46218" s="2" t="str">
        <f>IFERROR(__xludf.DUMMYFUNCTION("GOOGLETRANSLATE(A46218, ""de"", ""en"")"),"blackberry")</f>
        <v>blackberry</v>
      </c>
    </row>
    <row r="46219">
      <c r="A46219" s="1" t="s">
        <v>46218</v>
      </c>
      <c r="B46219" s="2" t="str">
        <f>IFERROR(__xludf.DUMMYFUNCTION("GOOGLETRANSLATE(A46219, ""de"", ""en"")"),"unprecedented")</f>
        <v>unprecedented</v>
      </c>
    </row>
    <row r="46220">
      <c r="A46220" s="1" t="s">
        <v>46219</v>
      </c>
      <c r="B46220" s="2" t="str">
        <f>IFERROR(__xludf.DUMMYFUNCTION("GOOGLETRANSLATE(A46220, ""de"", ""en"")"),"mmmm")</f>
        <v>mmmm</v>
      </c>
    </row>
    <row r="46221">
      <c r="A46221" s="1" t="s">
        <v>46220</v>
      </c>
      <c r="B46221" s="2" t="str">
        <f>IFERROR(__xludf.DUMMYFUNCTION("GOOGLETRANSLATE(A46221, ""de"", ""en"")"),"dangerous to the public")</f>
        <v>dangerous to the public</v>
      </c>
    </row>
    <row r="46222">
      <c r="A46222" s="1" t="s">
        <v>46221</v>
      </c>
      <c r="B46222" s="2" t="str">
        <f>IFERROR(__xludf.DUMMYFUNCTION("GOOGLETRANSLATE(A46222, ""de"", ""en"")"),"brings")</f>
        <v>brings</v>
      </c>
    </row>
    <row r="46223">
      <c r="A46223" s="1" t="s">
        <v>46222</v>
      </c>
      <c r="B46223" s="2" t="str">
        <f>IFERROR(__xludf.DUMMYFUNCTION("GOOGLETRANSLATE(A46223, ""de"", ""en"")"),"Finnish")</f>
        <v>Finnish</v>
      </c>
    </row>
    <row r="46224">
      <c r="A46224" s="1" t="s">
        <v>46223</v>
      </c>
      <c r="B46224" s="2" t="str">
        <f>IFERROR(__xludf.DUMMYFUNCTION("GOOGLETRANSLATE(A46224, ""de"", ""en"")"),"thumbprint")</f>
        <v>thumbprint</v>
      </c>
    </row>
    <row r="46225">
      <c r="A46225" s="1" t="s">
        <v>46224</v>
      </c>
      <c r="B46225" s="2" t="str">
        <f>IFERROR(__xludf.DUMMYFUNCTION("GOOGLETRANSLATE(A46225, ""de"", ""en"")"),"sou")</f>
        <v>sou</v>
      </c>
    </row>
    <row r="46226">
      <c r="A46226" s="1" t="s">
        <v>46225</v>
      </c>
      <c r="B46226" s="2" t="str">
        <f>IFERROR(__xludf.DUMMYFUNCTION("GOOGLETRANSLATE(A46226, ""de"", ""en"")"),"lahey")</f>
        <v>lahey</v>
      </c>
    </row>
    <row r="46227">
      <c r="A46227" s="1" t="s">
        <v>46226</v>
      </c>
      <c r="B46227" s="2" t="str">
        <f>IFERROR(__xludf.DUMMYFUNCTION("GOOGLETRANSLATE(A46227, ""de"", ""en"")"),"maze")</f>
        <v>maze</v>
      </c>
    </row>
    <row r="46228">
      <c r="A46228" s="1" t="s">
        <v>46227</v>
      </c>
      <c r="B46228" s="2" t="str">
        <f>IFERROR(__xludf.DUMMYFUNCTION("GOOGLETRANSLATE(A46228, ""de"", ""en"")"),"josephs")</f>
        <v>josephs</v>
      </c>
    </row>
    <row r="46229">
      <c r="A46229" s="1" t="s">
        <v>46228</v>
      </c>
      <c r="B46229" s="2" t="str">
        <f>IFERROR(__xludf.DUMMYFUNCTION("GOOGLETRANSLATE(A46229, ""de"", ""en"")"),"nonna")</f>
        <v>nonna</v>
      </c>
    </row>
    <row r="46230">
      <c r="A46230" s="1" t="s">
        <v>46229</v>
      </c>
      <c r="B46230" s="2" t="str">
        <f>IFERROR(__xludf.DUMMYFUNCTION("GOOGLETRANSLATE(A46230, ""de"", ""en"")"),"terrorist")</f>
        <v>terrorist</v>
      </c>
    </row>
    <row r="46231">
      <c r="A46231" s="1" t="s">
        <v>46230</v>
      </c>
      <c r="B46231" s="2" t="str">
        <f>IFERROR(__xludf.DUMMYFUNCTION("GOOGLETRANSLATE(A46231, ""de"", ""en"")"),"Brandenburg")</f>
        <v>Brandenburg</v>
      </c>
    </row>
    <row r="46232">
      <c r="A46232" s="1" t="s">
        <v>46231</v>
      </c>
      <c r="B46232" s="2" t="str">
        <f>IFERROR(__xludf.DUMMYFUNCTION("GOOGLETRANSLATE(A46232, ""de"", ""en"")"),"rub")</f>
        <v>rub</v>
      </c>
    </row>
    <row r="46233">
      <c r="A46233" s="1" t="s">
        <v>46232</v>
      </c>
      <c r="B46233" s="2" t="str">
        <f>IFERROR(__xludf.DUMMYFUNCTION("GOOGLETRANSLATE(A46233, ""de"", ""en"")"),"intergalactic")</f>
        <v>intergalactic</v>
      </c>
    </row>
    <row r="46234">
      <c r="A46234" s="1" t="s">
        <v>46233</v>
      </c>
      <c r="B46234" s="2" t="str">
        <f>IFERROR(__xludf.DUMMYFUNCTION("GOOGLETRANSLATE(A46234, ""de"", ""en"")"),"creak")</f>
        <v>creak</v>
      </c>
    </row>
    <row r="46235">
      <c r="A46235" s="1" t="s">
        <v>46234</v>
      </c>
      <c r="B46235" s="2" t="str">
        <f>IFERROR(__xludf.DUMMYFUNCTION("GOOGLETRANSLATE(A46235, ""de"", ""en"")"),"lonny")</f>
        <v>lonny</v>
      </c>
    </row>
    <row r="46236">
      <c r="A46236" s="1" t="s">
        <v>46235</v>
      </c>
      <c r="B46236" s="2" t="str">
        <f>IFERROR(__xludf.DUMMYFUNCTION("GOOGLETRANSLATE(A46236, ""de"", ""en"")"),"hellish")</f>
        <v>hellish</v>
      </c>
    </row>
    <row r="46237">
      <c r="A46237" s="1" t="s">
        <v>46236</v>
      </c>
      <c r="B46237" s="2" t="str">
        <f>IFERROR(__xludf.DUMMYFUNCTION("GOOGLETRANSLATE(A46237, ""de"", ""en"")"),"pistachio")</f>
        <v>pistachio</v>
      </c>
    </row>
    <row r="46238">
      <c r="A46238" s="1" t="s">
        <v>46237</v>
      </c>
      <c r="B46238" s="2" t="str">
        <f>IFERROR(__xludf.DUMMYFUNCTION("GOOGLETRANSLATE(A46238, ""de"", ""en"")"),"burnt offering")</f>
        <v>burnt offering</v>
      </c>
    </row>
    <row r="46239">
      <c r="A46239" s="1" t="s">
        <v>46238</v>
      </c>
      <c r="B46239" s="2" t="str">
        <f>IFERROR(__xludf.DUMMYFUNCTION("GOOGLETRANSLATE(A46239, ""de"", ""en"")"),"poisonous")</f>
        <v>poisonous</v>
      </c>
    </row>
    <row r="46240">
      <c r="A46240" s="1" t="s">
        <v>46239</v>
      </c>
      <c r="B46240" s="2" t="str">
        <f>IFERROR(__xludf.DUMMYFUNCTION("GOOGLETRANSLATE(A46240, ""de"", ""en"")"),"nasty")</f>
        <v>nasty</v>
      </c>
    </row>
    <row r="46241">
      <c r="A46241" s="1" t="s">
        <v>46240</v>
      </c>
      <c r="B46241" s="2" t="str">
        <f>IFERROR(__xludf.DUMMYFUNCTION("GOOGLETRANSLATE(A46241, ""de"", ""en"")"),"corcoran")</f>
        <v>corcoran</v>
      </c>
    </row>
    <row r="46242">
      <c r="A46242" s="1" t="s">
        <v>46241</v>
      </c>
      <c r="B46242" s="2" t="str">
        <f>IFERROR(__xludf.DUMMYFUNCTION("GOOGLETRANSLATE(A46242, ""de"", ""en"")"),"dented")</f>
        <v>dented</v>
      </c>
    </row>
    <row r="46243">
      <c r="A46243" s="1" t="s">
        <v>46242</v>
      </c>
      <c r="B46243" s="2" t="str">
        <f>IFERROR(__xludf.DUMMYFUNCTION("GOOGLETRANSLATE(A46243, ""de"", ""en"")"),"warmly")</f>
        <v>warmly</v>
      </c>
    </row>
    <row r="46244">
      <c r="A46244" s="1" t="s">
        <v>46243</v>
      </c>
      <c r="B46244" s="2" t="str">
        <f>IFERROR(__xludf.DUMMYFUNCTION("GOOGLETRANSLATE(A46244, ""de"", ""en"")"),"rarity")</f>
        <v>rarity</v>
      </c>
    </row>
    <row r="46245">
      <c r="A46245" s="1" t="s">
        <v>46244</v>
      </c>
      <c r="B46245" s="2" t="str">
        <f>IFERROR(__xludf.DUMMYFUNCTION("GOOGLETRANSLATE(A46245, ""de"", ""en"")"),"link")</f>
        <v>link</v>
      </c>
    </row>
    <row r="46246">
      <c r="A46246" s="1" t="s">
        <v>46245</v>
      </c>
      <c r="B46246" s="2" t="str">
        <f>IFERROR(__xludf.DUMMYFUNCTION("GOOGLETRANSLATE(A46246, ""de"", ""en"")"),"written to")</f>
        <v>written to</v>
      </c>
    </row>
    <row r="46247">
      <c r="A46247" s="1" t="s">
        <v>46246</v>
      </c>
      <c r="B46247" s="2" t="str">
        <f>IFERROR(__xludf.DUMMYFUNCTION("GOOGLETRANSLATE(A46247, ""de"", ""en"")"),"rannveig")</f>
        <v>rannveig</v>
      </c>
    </row>
    <row r="46248">
      <c r="A46248" s="1" t="s">
        <v>46247</v>
      </c>
      <c r="B46248" s="2" t="str">
        <f>IFERROR(__xludf.DUMMYFUNCTION("GOOGLETRANSLATE(A46248, ""de"", ""en"")"),"email")</f>
        <v>email</v>
      </c>
    </row>
    <row r="46249">
      <c r="A46249" s="1" t="s">
        <v>46248</v>
      </c>
      <c r="B46249" s="2" t="str">
        <f>IFERROR(__xludf.DUMMYFUNCTION("GOOGLETRANSLATE(A46249, ""de"", ""en"")"),"stonehaven")</f>
        <v>stonehaven</v>
      </c>
    </row>
    <row r="46250">
      <c r="A46250" s="1" t="s">
        <v>46249</v>
      </c>
      <c r="B46250" s="2" t="str">
        <f>IFERROR(__xludf.DUMMYFUNCTION("GOOGLETRANSLATE(A46250, ""de"", ""en"")"),"doucet")</f>
        <v>doucet</v>
      </c>
    </row>
    <row r="46251">
      <c r="A46251" s="1" t="s">
        <v>46250</v>
      </c>
      <c r="B46251" s="2" t="str">
        <f>IFERROR(__xludf.DUMMYFUNCTION("GOOGLETRANSLATE(A46251, ""de"", ""en"")"),"qualified")</f>
        <v>qualified</v>
      </c>
    </row>
    <row r="46252">
      <c r="A46252" s="1" t="s">
        <v>46251</v>
      </c>
      <c r="B46252" s="2" t="str">
        <f>IFERROR(__xludf.DUMMYFUNCTION("GOOGLETRANSLATE(A46252, ""de"", ""en"")"),"spaghetti eater")</f>
        <v>spaghetti eater</v>
      </c>
    </row>
    <row r="46253">
      <c r="A46253" s="1" t="s">
        <v>46252</v>
      </c>
      <c r="B46253" s="2" t="str">
        <f>IFERROR(__xludf.DUMMYFUNCTION("GOOGLETRANSLATE(A46253, ""de"", ""en"")"),"counties")</f>
        <v>counties</v>
      </c>
    </row>
    <row r="46254">
      <c r="A46254" s="1" t="s">
        <v>46253</v>
      </c>
      <c r="B46254" s="2" t="str">
        <f>IFERROR(__xludf.DUMMYFUNCTION("GOOGLETRANSLATE(A46254, ""de"", ""en"")"),"poured over")</f>
        <v>poured over</v>
      </c>
    </row>
    <row r="46255">
      <c r="A46255" s="1" t="s">
        <v>46254</v>
      </c>
      <c r="B46255" s="2" t="str">
        <f>IFERROR(__xludf.DUMMYFUNCTION("GOOGLETRANSLATE(A46255, ""de"", ""en"")"),"delegate")</f>
        <v>delegate</v>
      </c>
    </row>
    <row r="46256">
      <c r="A46256" s="1" t="s">
        <v>46255</v>
      </c>
      <c r="B46256" s="2" t="str">
        <f>IFERROR(__xludf.DUMMYFUNCTION("GOOGLETRANSLATE(A46256, ""de"", ""en"")"),"frightened")</f>
        <v>frightened</v>
      </c>
    </row>
    <row r="46257">
      <c r="A46257" s="1" t="s">
        <v>46256</v>
      </c>
      <c r="B46257" s="2" t="str">
        <f>IFERROR(__xludf.DUMMYFUNCTION("GOOGLETRANSLATE(A46257, ""de"", ""en"")"),"more entertaining")</f>
        <v>more entertaining</v>
      </c>
    </row>
    <row r="46258">
      <c r="A46258" s="1" t="s">
        <v>46257</v>
      </c>
      <c r="B46258" s="2" t="str">
        <f>IFERROR(__xludf.DUMMYFUNCTION("GOOGLETRANSLATE(A46258, ""de"", ""en"")"),"champs")</f>
        <v>champs</v>
      </c>
    </row>
    <row r="46259">
      <c r="A46259" s="1" t="s">
        <v>46258</v>
      </c>
      <c r="B46259" s="2" t="str">
        <f>IFERROR(__xludf.DUMMYFUNCTION("GOOGLETRANSLATE(A46259, ""de"", ""en"")"),"supposedly")</f>
        <v>supposedly</v>
      </c>
    </row>
    <row r="46260">
      <c r="A46260" s="1" t="s">
        <v>46259</v>
      </c>
      <c r="B46260" s="2" t="str">
        <f>IFERROR(__xludf.DUMMYFUNCTION("GOOGLETRANSLATE(A46260, ""de"", ""en"")"),"homers")</f>
        <v>homers</v>
      </c>
    </row>
    <row r="46261">
      <c r="A46261" s="1" t="s">
        <v>46260</v>
      </c>
      <c r="B46261" s="2" t="str">
        <f>IFERROR(__xludf.DUMMYFUNCTION("GOOGLETRANSLATE(A46261, ""de"", ""en"")"),"zeki")</f>
        <v>zeki</v>
      </c>
    </row>
    <row r="46262">
      <c r="A46262" s="1" t="s">
        <v>46261</v>
      </c>
      <c r="B46262" s="2" t="str">
        <f>IFERROR(__xludf.DUMMYFUNCTION("GOOGLETRANSLATE(A46262, ""de"", ""en"")"),"high flyer")</f>
        <v>high flyer</v>
      </c>
    </row>
    <row r="46263">
      <c r="A46263" s="1" t="s">
        <v>46262</v>
      </c>
      <c r="B46263" s="2" t="str">
        <f>IFERROR(__xludf.DUMMYFUNCTION("GOOGLETRANSLATE(A46263, ""de"", ""en"")"),"stir up")</f>
        <v>stir up</v>
      </c>
    </row>
    <row r="46264">
      <c r="A46264" s="1" t="s">
        <v>46263</v>
      </c>
      <c r="B46264" s="2" t="str">
        <f>IFERROR(__xludf.DUMMYFUNCTION("GOOGLETRANSLATE(A46264, ""de"", ""en"")"),"snowed")</f>
        <v>snowed</v>
      </c>
    </row>
    <row r="46265">
      <c r="A46265" s="1" t="s">
        <v>46264</v>
      </c>
      <c r="B46265" s="2" t="str">
        <f>IFERROR(__xludf.DUMMYFUNCTION("GOOGLETRANSLATE(A46265, ""de"", ""en"")"),"cheapest")</f>
        <v>cheapest</v>
      </c>
    </row>
    <row r="46266">
      <c r="A46266" s="1" t="s">
        <v>46265</v>
      </c>
      <c r="B46266" s="2" t="str">
        <f>IFERROR(__xludf.DUMMYFUNCTION("GOOGLETRANSLATE(A46266, ""de"", ""en"")"),"turn around")</f>
        <v>turn around</v>
      </c>
    </row>
    <row r="46267">
      <c r="A46267" s="1" t="s">
        <v>46266</v>
      </c>
      <c r="B46267" s="2" t="str">
        <f>IFERROR(__xludf.DUMMYFUNCTION("GOOGLETRANSLATE(A46267, ""de"", ""en"")"),"overstimulated")</f>
        <v>overstimulated</v>
      </c>
    </row>
    <row r="46268">
      <c r="A46268" s="1" t="s">
        <v>46267</v>
      </c>
      <c r="B46268" s="2" t="str">
        <f>IFERROR(__xludf.DUMMYFUNCTION("GOOGLETRANSLATE(A46268, ""de"", ""en"")"),"nostra")</f>
        <v>nostra</v>
      </c>
    </row>
    <row r="46269">
      <c r="A46269" s="1" t="s">
        <v>46268</v>
      </c>
      <c r="B46269" s="2" t="str">
        <f>IFERROR(__xludf.DUMMYFUNCTION("GOOGLETRANSLATE(A46269, ""de"", ""en"")"),"diced")</f>
        <v>diced</v>
      </c>
    </row>
    <row r="46270">
      <c r="A46270" s="1" t="s">
        <v>46269</v>
      </c>
      <c r="B46270" s="2" t="str">
        <f>IFERROR(__xludf.DUMMYFUNCTION("GOOGLETRANSLATE(A46270, ""de"", ""en"")"),"clever")</f>
        <v>clever</v>
      </c>
    </row>
    <row r="46271">
      <c r="A46271" s="1" t="s">
        <v>46270</v>
      </c>
      <c r="B46271" s="2" t="str">
        <f>IFERROR(__xludf.DUMMYFUNCTION("GOOGLETRANSLATE(A46271, ""de"", ""en"")"),"countrymen")</f>
        <v>countrymen</v>
      </c>
    </row>
    <row r="46272">
      <c r="A46272" s="1" t="s">
        <v>46271</v>
      </c>
      <c r="B46272" s="2" t="str">
        <f>IFERROR(__xludf.DUMMYFUNCTION("GOOGLETRANSLATE(A46272, ""de"", ""en"")"),"apartment")</f>
        <v>apartment</v>
      </c>
    </row>
    <row r="46273">
      <c r="A46273" s="1" t="s">
        <v>46272</v>
      </c>
      <c r="B46273" s="2" t="str">
        <f>IFERROR(__xludf.DUMMYFUNCTION("GOOGLETRANSLATE(A46273, ""de"", ""en"")"),"miracle")</f>
        <v>miracle</v>
      </c>
    </row>
    <row r="46274">
      <c r="A46274" s="1" t="s">
        <v>46273</v>
      </c>
      <c r="B46274" s="2" t="str">
        <f>IFERROR(__xludf.DUMMYFUNCTION("GOOGLETRANSLATE(A46274, ""de"", ""en"")"),"isla")</f>
        <v>isla</v>
      </c>
    </row>
    <row r="46275">
      <c r="A46275" s="1" t="s">
        <v>46274</v>
      </c>
      <c r="B46275" s="2" t="str">
        <f>IFERROR(__xludf.DUMMYFUNCTION("GOOGLETRANSLATE(A46275, ""de"", ""en"")"),"governors")</f>
        <v>governors</v>
      </c>
    </row>
    <row r="46276">
      <c r="A46276" s="1" t="s">
        <v>46275</v>
      </c>
      <c r="B46276" s="2" t="str">
        <f>IFERROR(__xludf.DUMMYFUNCTION("GOOGLETRANSLATE(A46276, ""de"", ""en"")"),"humorous")</f>
        <v>humorous</v>
      </c>
    </row>
    <row r="46277">
      <c r="A46277" s="1" t="s">
        <v>46276</v>
      </c>
      <c r="B46277" s="2" t="str">
        <f>IFERROR(__xludf.DUMMYFUNCTION("GOOGLETRANSLATE(A46277, ""de"", ""en"")"),"nymph")</f>
        <v>nymph</v>
      </c>
    </row>
    <row r="46278">
      <c r="A46278" s="1" t="s">
        <v>46277</v>
      </c>
      <c r="B46278" s="2" t="str">
        <f>IFERROR(__xludf.DUMMYFUNCTION("GOOGLETRANSLATE(A46278, ""de"", ""en"")"),"happiness")</f>
        <v>happiness</v>
      </c>
    </row>
    <row r="46279">
      <c r="A46279" s="1" t="s">
        <v>46278</v>
      </c>
      <c r="B46279" s="2" t="str">
        <f>IFERROR(__xludf.DUMMYFUNCTION("GOOGLETRANSLATE(A46279, ""de"", ""en"")"),"coran")</f>
        <v>coran</v>
      </c>
    </row>
    <row r="46280">
      <c r="A46280" s="1" t="s">
        <v>46279</v>
      </c>
      <c r="B46280" s="2" t="str">
        <f>IFERROR(__xludf.DUMMYFUNCTION("GOOGLETRANSLATE(A46280, ""de"", ""en"")"),"abydos")</f>
        <v>abydos</v>
      </c>
    </row>
    <row r="46281">
      <c r="A46281" s="1" t="s">
        <v>46280</v>
      </c>
      <c r="B46281" s="2" t="str">
        <f>IFERROR(__xludf.DUMMYFUNCTION("GOOGLETRANSLATE(A46281, ""de"", ""en"")"),"air rifle")</f>
        <v>air rifle</v>
      </c>
    </row>
    <row r="46282">
      <c r="A46282" s="1" t="s">
        <v>46281</v>
      </c>
      <c r="B46282" s="2" t="str">
        <f>IFERROR(__xludf.DUMMYFUNCTION("GOOGLETRANSLATE(A46282, ""de"", ""en"")"),"iron")</f>
        <v>iron</v>
      </c>
    </row>
    <row r="46283">
      <c r="A46283" s="1" t="s">
        <v>46282</v>
      </c>
      <c r="B46283" s="2" t="str">
        <f>IFERROR(__xludf.DUMMYFUNCTION("GOOGLETRANSLATE(A46283, ""de"", ""en"")"),"hypotheses")</f>
        <v>hypotheses</v>
      </c>
    </row>
    <row r="46284">
      <c r="A46284" s="1" t="s">
        <v>46283</v>
      </c>
      <c r="B46284" s="2" t="str">
        <f>IFERROR(__xludf.DUMMYFUNCTION("GOOGLETRANSLATE(A46284, ""de"", ""en"")"),"release")</f>
        <v>release</v>
      </c>
    </row>
    <row r="46285">
      <c r="A46285" s="1" t="s">
        <v>46284</v>
      </c>
      <c r="B46285" s="2" t="str">
        <f>IFERROR(__xludf.DUMMYFUNCTION("GOOGLETRANSLATE(A46285, ""de"", ""en"")"),"test tube")</f>
        <v>test tube</v>
      </c>
    </row>
    <row r="46286">
      <c r="A46286" s="1" t="s">
        <v>46285</v>
      </c>
      <c r="B46286" s="2" t="str">
        <f>IFERROR(__xludf.DUMMYFUNCTION("GOOGLETRANSLATE(A46286, ""de"", ""en"")"),"horrible")</f>
        <v>horrible</v>
      </c>
    </row>
    <row r="46287">
      <c r="A46287" s="1" t="s">
        <v>46286</v>
      </c>
      <c r="B46287" s="2" t="str">
        <f>IFERROR(__xludf.DUMMYFUNCTION("GOOGLETRANSLATE(A46287, ""de"", ""en"")"),"engine oil")</f>
        <v>engine oil</v>
      </c>
    </row>
    <row r="46288">
      <c r="A46288" s="1" t="s">
        <v>46287</v>
      </c>
      <c r="B46288" s="2" t="str">
        <f>IFERROR(__xludf.DUMMYFUNCTION("GOOGLETRANSLATE(A46288, ""de"", ""en"")"),"rosemary")</f>
        <v>rosemary</v>
      </c>
    </row>
    <row r="46289">
      <c r="A46289" s="1" t="s">
        <v>46288</v>
      </c>
      <c r="B46289" s="2" t="str">
        <f>IFERROR(__xludf.DUMMYFUNCTION("GOOGLETRANSLATE(A46289, ""de"", ""en"")"),"venna")</f>
        <v>venna</v>
      </c>
    </row>
    <row r="46290">
      <c r="A46290" s="1" t="s">
        <v>46289</v>
      </c>
      <c r="B46290" s="2" t="str">
        <f>IFERROR(__xludf.DUMMYFUNCTION("GOOGLETRANSLATE(A46290, ""de"", ""en"")"),"printing press")</f>
        <v>printing press</v>
      </c>
    </row>
    <row r="46291">
      <c r="A46291" s="1" t="s">
        <v>46290</v>
      </c>
      <c r="B46291" s="2" t="str">
        <f>IFERROR(__xludf.DUMMYFUNCTION("GOOGLETRANSLATE(A46291, ""de"", ""en"")"),"couple")</f>
        <v>couple</v>
      </c>
    </row>
    <row r="46292">
      <c r="A46292" s="1" t="s">
        <v>46291</v>
      </c>
      <c r="B46292" s="2" t="str">
        <f>IFERROR(__xludf.DUMMYFUNCTION("GOOGLETRANSLATE(A46292, ""de"", ""en"")"),"challenging")</f>
        <v>challenging</v>
      </c>
    </row>
    <row r="46293">
      <c r="A46293" s="1" t="s">
        <v>46292</v>
      </c>
      <c r="B46293" s="2" t="str">
        <f>IFERROR(__xludf.DUMMYFUNCTION("GOOGLETRANSLATE(A46293, ""de"", ""en"")"),"school project")</f>
        <v>school project</v>
      </c>
    </row>
    <row r="46294">
      <c r="A46294" s="1" t="s">
        <v>46293</v>
      </c>
      <c r="B46294" s="2" t="str">
        <f>IFERROR(__xludf.DUMMYFUNCTION("GOOGLETRANSLATE(A46294, ""de"", ""en"")"),"seven and a half")</f>
        <v>seven and a half</v>
      </c>
    </row>
    <row r="46295">
      <c r="A46295" s="1" t="s">
        <v>46294</v>
      </c>
      <c r="B46295" s="2" t="str">
        <f>IFERROR(__xludf.DUMMYFUNCTION("GOOGLETRANSLATE(A46295, ""de"", ""en"")"),"reduced")</f>
        <v>reduced</v>
      </c>
    </row>
    <row r="46296">
      <c r="A46296" s="1" t="s">
        <v>46295</v>
      </c>
      <c r="B46296" s="2" t="str">
        <f>IFERROR(__xludf.DUMMYFUNCTION("GOOGLETRANSLATE(A46296, ""de"", ""en"")"),"stuck")</f>
        <v>stuck</v>
      </c>
    </row>
    <row r="46297">
      <c r="A46297" s="1" t="s">
        <v>46296</v>
      </c>
      <c r="B46297" s="2" t="str">
        <f>IFERROR(__xludf.DUMMYFUNCTION("GOOGLETRANSLATE(A46297, ""de"", ""en"")"),"courier service")</f>
        <v>courier service</v>
      </c>
    </row>
    <row r="46298">
      <c r="A46298" s="1" t="s">
        <v>46297</v>
      </c>
      <c r="B46298" s="2" t="str">
        <f>IFERROR(__xludf.DUMMYFUNCTION("GOOGLETRANSLATE(A46298, ""de"", ""en"")"),"consecrated")</f>
        <v>consecrated</v>
      </c>
    </row>
    <row r="46299">
      <c r="A46299" s="1" t="s">
        <v>46298</v>
      </c>
      <c r="B46299" s="2" t="str">
        <f>IFERROR(__xludf.DUMMYFUNCTION("GOOGLETRANSLATE(A46299, ""de"", ""en"")"),"Rimini")</f>
        <v>Rimini</v>
      </c>
    </row>
    <row r="46300">
      <c r="A46300" s="1" t="s">
        <v>46299</v>
      </c>
      <c r="B46300" s="2" t="str">
        <f>IFERROR(__xludf.DUMMYFUNCTION("GOOGLETRANSLATE(A46300, ""de"", ""en"")"),"old people")</f>
        <v>old people</v>
      </c>
    </row>
    <row r="46301">
      <c r="A46301" s="1" t="s">
        <v>46300</v>
      </c>
      <c r="B46301" s="2" t="str">
        <f>IFERROR(__xludf.DUMMYFUNCTION("GOOGLETRANSLATE(A46301, ""de"", ""en"")"),"file")</f>
        <v>file</v>
      </c>
    </row>
    <row r="46302">
      <c r="A46302" s="1" t="s">
        <v>46301</v>
      </c>
      <c r="B46302" s="2" t="str">
        <f>IFERROR(__xludf.DUMMYFUNCTION("GOOGLETRANSLATE(A46302, ""de"", ""en"")"),"burst")</f>
        <v>burst</v>
      </c>
    </row>
    <row r="46303">
      <c r="A46303" s="1" t="s">
        <v>46302</v>
      </c>
      <c r="B46303" s="2" t="str">
        <f>IFERROR(__xludf.DUMMYFUNCTION("GOOGLETRANSLATE(A46303, ""de"", ""en"")"),"intubation")</f>
        <v>intubation</v>
      </c>
    </row>
    <row r="46304">
      <c r="A46304" s="1" t="s">
        <v>46303</v>
      </c>
      <c r="B46304" s="2" t="str">
        <f>IFERROR(__xludf.DUMMYFUNCTION("GOOGLETRANSLATE(A46304, ""de"", ""en"")"),"short-term memory")</f>
        <v>short-term memory</v>
      </c>
    </row>
    <row r="46305">
      <c r="A46305" s="1" t="s">
        <v>46304</v>
      </c>
      <c r="B46305" s="2" t="str">
        <f>IFERROR(__xludf.DUMMYFUNCTION("GOOGLETRANSLATE(A46305, ""de"", ""en"")"),"shipping")</f>
        <v>shipping</v>
      </c>
    </row>
    <row r="46306">
      <c r="A46306" s="1" t="s">
        <v>46305</v>
      </c>
      <c r="B46306" s="2" t="str">
        <f>IFERROR(__xludf.DUMMYFUNCTION("GOOGLETRANSLATE(A46306, ""de"", ""en"")"),"sleep problems")</f>
        <v>sleep problems</v>
      </c>
    </row>
    <row r="46307">
      <c r="A46307" s="1" t="s">
        <v>46306</v>
      </c>
      <c r="B46307" s="2" t="str">
        <f>IFERROR(__xludf.DUMMYFUNCTION("GOOGLETRANSLATE(A46307, ""de"", ""en"")"),"crewes")</f>
        <v>crewes</v>
      </c>
    </row>
    <row r="46308">
      <c r="A46308" s="1" t="s">
        <v>46307</v>
      </c>
      <c r="B46308" s="2" t="str">
        <f>IFERROR(__xludf.DUMMYFUNCTION("GOOGLETRANSLATE(A46308, ""de"", ""en"")"),"stealing")</f>
        <v>stealing</v>
      </c>
    </row>
    <row r="46309">
      <c r="A46309" s="1" t="s">
        <v>46308</v>
      </c>
      <c r="B46309" s="2" t="str">
        <f>IFERROR(__xludf.DUMMYFUNCTION("GOOGLETRANSLATE(A46309, ""de"", ""en"")"),"switched on")</f>
        <v>switched on</v>
      </c>
    </row>
    <row r="46310">
      <c r="A46310" s="1" t="s">
        <v>46309</v>
      </c>
      <c r="B46310" s="2" t="str">
        <f>IFERROR(__xludf.DUMMYFUNCTION("GOOGLETRANSLATE(A46310, ""de"", ""en"")"),"contacted")</f>
        <v>contacted</v>
      </c>
    </row>
    <row r="46311">
      <c r="A46311" s="1" t="s">
        <v>46310</v>
      </c>
      <c r="B46311" s="2" t="str">
        <f>IFERROR(__xludf.DUMMYFUNCTION("GOOGLETRANSLATE(A46311, ""de"", ""en"")"),"shotguns")</f>
        <v>shotguns</v>
      </c>
    </row>
    <row r="46312">
      <c r="A46312" s="1" t="s">
        <v>46311</v>
      </c>
      <c r="B46312" s="2" t="str">
        <f>IFERROR(__xludf.DUMMYFUNCTION("GOOGLETRANSLATE(A46312, ""de"", ""en"")"),"roffe")</f>
        <v>roffe</v>
      </c>
    </row>
    <row r="46313">
      <c r="A46313" s="1" t="s">
        <v>46312</v>
      </c>
      <c r="B46313" s="2" t="str">
        <f>IFERROR(__xludf.DUMMYFUNCTION("GOOGLETRANSLATE(A46313, ""de"", ""en"")"),"transferred")</f>
        <v>transferred</v>
      </c>
    </row>
    <row r="46314">
      <c r="A46314" s="1" t="s">
        <v>46313</v>
      </c>
      <c r="B46314" s="2" t="str">
        <f>IFERROR(__xludf.DUMMYFUNCTION("GOOGLETRANSLATE(A46314, ""de"", ""en"")"),"hella")</f>
        <v>hella</v>
      </c>
    </row>
    <row r="46315">
      <c r="A46315" s="1" t="s">
        <v>46314</v>
      </c>
      <c r="B46315" s="2" t="str">
        <f>IFERROR(__xludf.DUMMYFUNCTION("GOOGLETRANSLATE(A46315, ""de"", ""en"")"),"appreciate")</f>
        <v>appreciate</v>
      </c>
    </row>
    <row r="46316">
      <c r="A46316" s="1" t="s">
        <v>46315</v>
      </c>
      <c r="B46316" s="2" t="str">
        <f>IFERROR(__xludf.DUMMYFUNCTION("GOOGLETRANSLATE(A46316, ""de"", ""en"")"),"U.N.")</f>
        <v>U.N.</v>
      </c>
    </row>
    <row r="46317">
      <c r="A46317" s="1" t="s">
        <v>46316</v>
      </c>
      <c r="B46317" s="2" t="str">
        <f>IFERROR(__xludf.DUMMYFUNCTION("GOOGLETRANSLATE(A46317, ""de"", ""en"")"),"coke")</f>
        <v>coke</v>
      </c>
    </row>
    <row r="46318">
      <c r="A46318" s="1" t="s">
        <v>46317</v>
      </c>
      <c r="B46318" s="2" t="str">
        <f>IFERROR(__xludf.DUMMYFUNCTION("GOOGLETRANSLATE(A46318, ""de"", ""en"")"),"kid gloves")</f>
        <v>kid gloves</v>
      </c>
    </row>
    <row r="46319">
      <c r="A46319" s="1" t="s">
        <v>46318</v>
      </c>
      <c r="B46319" s="2" t="str">
        <f>IFERROR(__xludf.DUMMYFUNCTION("GOOGLETRANSLATE(A46319, ""de"", ""en"")"),"colony")</f>
        <v>colony</v>
      </c>
    </row>
    <row r="46320">
      <c r="A46320" s="1" t="s">
        <v>46319</v>
      </c>
      <c r="B46320" s="2" t="str">
        <f>IFERROR(__xludf.DUMMYFUNCTION("GOOGLETRANSLATE(A46320, ""de"", ""en"")"),"ambitious")</f>
        <v>ambitious</v>
      </c>
    </row>
    <row r="46321">
      <c r="A46321" s="1" t="s">
        <v>46320</v>
      </c>
      <c r="B46321" s="2" t="str">
        <f>IFERROR(__xludf.DUMMYFUNCTION("GOOGLETRANSLATE(A46321, ""de"", ""en"")"),"whispered")</f>
        <v>whispered</v>
      </c>
    </row>
    <row r="46322">
      <c r="A46322" s="1" t="s">
        <v>46321</v>
      </c>
      <c r="B46322" s="2" t="str">
        <f>IFERROR(__xludf.DUMMYFUNCTION("GOOGLETRANSLATE(A46322, ""de"", ""en"")"),"anas")</f>
        <v>anas</v>
      </c>
    </row>
    <row r="46323">
      <c r="A46323" s="1" t="s">
        <v>46322</v>
      </c>
      <c r="B46323" s="2" t="str">
        <f>IFERROR(__xludf.DUMMYFUNCTION("GOOGLETRANSLATE(A46323, ""de"", ""en"")"),"vine")</f>
        <v>vine</v>
      </c>
    </row>
    <row r="46324">
      <c r="A46324" s="1" t="s">
        <v>46323</v>
      </c>
      <c r="B46324" s="2" t="str">
        <f>IFERROR(__xludf.DUMMYFUNCTION("GOOGLETRANSLATE(A46324, ""de"", ""en"")"),"haji")</f>
        <v>haji</v>
      </c>
    </row>
    <row r="46325">
      <c r="A46325" s="1" t="s">
        <v>46324</v>
      </c>
      <c r="B46325" s="2" t="str">
        <f>IFERROR(__xludf.DUMMYFUNCTION("GOOGLETRANSLATE(A46325, ""de"", ""en"")"),"healthy")</f>
        <v>healthy</v>
      </c>
    </row>
    <row r="46326">
      <c r="A46326" s="1" t="s">
        <v>46325</v>
      </c>
      <c r="B46326" s="2" t="str">
        <f>IFERROR(__xludf.DUMMYFUNCTION("GOOGLETRANSLATE(A46326, ""de"", ""en"")"),"maggi")</f>
        <v>maggi</v>
      </c>
    </row>
    <row r="46327">
      <c r="A46327" s="1" t="s">
        <v>46326</v>
      </c>
      <c r="B46327" s="2" t="str">
        <f>IFERROR(__xludf.DUMMYFUNCTION("GOOGLETRANSLATE(A46327, ""de"", ""en"")"),"spoiled")</f>
        <v>spoiled</v>
      </c>
    </row>
    <row r="46328">
      <c r="A46328" s="1" t="s">
        <v>46327</v>
      </c>
      <c r="B46328" s="2" t="str">
        <f>IFERROR(__xludf.DUMMYFUNCTION("GOOGLETRANSLATE(A46328, ""de"", ""en"")"),"mistress")</f>
        <v>mistress</v>
      </c>
    </row>
    <row r="46329">
      <c r="A46329" s="1" t="s">
        <v>46328</v>
      </c>
      <c r="B46329" s="2" t="str">
        <f>IFERROR(__xludf.DUMMYFUNCTION("GOOGLETRANSLATE(A46329, ""de"", ""en"")"),"wiped away")</f>
        <v>wiped away</v>
      </c>
    </row>
    <row r="46330">
      <c r="A46330" s="1" t="s">
        <v>46329</v>
      </c>
      <c r="B46330" s="2" t="str">
        <f>IFERROR(__xludf.DUMMYFUNCTION("GOOGLETRANSLATE(A46330, ""de"", ""en"")"),"uncivilized")</f>
        <v>uncivilized</v>
      </c>
    </row>
    <row r="46331">
      <c r="A46331" s="1" t="s">
        <v>46330</v>
      </c>
      <c r="B46331" s="2" t="str">
        <f>IFERROR(__xludf.DUMMYFUNCTION("GOOGLETRANSLATE(A46331, ""de"", ""en"")"),"toxicological")</f>
        <v>toxicological</v>
      </c>
    </row>
    <row r="46332">
      <c r="A46332" s="1" t="s">
        <v>46331</v>
      </c>
      <c r="B46332" s="2" t="str">
        <f>IFERROR(__xludf.DUMMYFUNCTION("GOOGLETRANSLATE(A46332, ""de"", ""en"")"),"bodhi")</f>
        <v>bodhi</v>
      </c>
    </row>
    <row r="46333">
      <c r="A46333" s="1" t="s">
        <v>46332</v>
      </c>
      <c r="B46333" s="2" t="str">
        <f>IFERROR(__xludf.DUMMYFUNCTION("GOOGLETRANSLATE(A46333, ""de"", ""en"")"),"east")</f>
        <v>east</v>
      </c>
    </row>
    <row r="46334">
      <c r="A46334" s="1" t="s">
        <v>46333</v>
      </c>
      <c r="B46334" s="2" t="str">
        <f>IFERROR(__xludf.DUMMYFUNCTION("GOOGLETRANSLATE(A46334, ""de"", ""en"")"),"stagg")</f>
        <v>stagg</v>
      </c>
    </row>
    <row r="46335">
      <c r="A46335" s="1" t="s">
        <v>46334</v>
      </c>
      <c r="B46335" s="2" t="str">
        <f>IFERROR(__xludf.DUMMYFUNCTION("GOOGLETRANSLATE(A46335, ""de"", ""en"")"),"heywood")</f>
        <v>heywood</v>
      </c>
    </row>
    <row r="46336">
      <c r="A46336" s="1" t="s">
        <v>46335</v>
      </c>
      <c r="B46336" s="2" t="str">
        <f>IFERROR(__xludf.DUMMYFUNCTION("GOOGLETRANSLATE(A46336, ""de"", ""en"")"),"disgusting")</f>
        <v>disgusting</v>
      </c>
    </row>
    <row r="46337">
      <c r="A46337" s="1" t="s">
        <v>46336</v>
      </c>
      <c r="B46337" s="2" t="str">
        <f>IFERROR(__xludf.DUMMYFUNCTION("GOOGLETRANSLATE(A46337, ""de"", ""en"")"),"mally")</f>
        <v>mally</v>
      </c>
    </row>
    <row r="46338">
      <c r="A46338" s="1" t="s">
        <v>46337</v>
      </c>
      <c r="B46338" s="2" t="str">
        <f>IFERROR(__xludf.DUMMYFUNCTION("GOOGLETRANSLATE(A46338, ""de"", ""en"")"),"bluntly")</f>
        <v>bluntly</v>
      </c>
    </row>
    <row r="46339">
      <c r="A46339" s="1" t="s">
        <v>46338</v>
      </c>
      <c r="B46339" s="2" t="str">
        <f>IFERROR(__xludf.DUMMYFUNCTION("GOOGLETRANSLATE(A46339, ""de"", ""en"")"),"relief")</f>
        <v>relief</v>
      </c>
    </row>
    <row r="46340">
      <c r="A46340" s="1" t="s">
        <v>46339</v>
      </c>
      <c r="B46340" s="2" t="str">
        <f>IFERROR(__xludf.DUMMYFUNCTION("GOOGLETRANSLATE(A46340, ""de"", ""en"")"),"more masked")</f>
        <v>more masked</v>
      </c>
    </row>
    <row r="46341">
      <c r="A46341" s="1" t="s">
        <v>46340</v>
      </c>
      <c r="B46341" s="2" t="str">
        <f>IFERROR(__xludf.DUMMYFUNCTION("GOOGLETRANSLATE(A46341, ""de"", ""en"")"),"squint")</f>
        <v>squint</v>
      </c>
    </row>
    <row r="46342">
      <c r="A46342" s="1" t="s">
        <v>46341</v>
      </c>
      <c r="B46342" s="2" t="str">
        <f>IFERROR(__xludf.DUMMYFUNCTION("GOOGLETRANSLATE(A46342, ""de"", ""en"")"),"meck")</f>
        <v>meck</v>
      </c>
    </row>
    <row r="46343">
      <c r="A46343" s="1" t="s">
        <v>46342</v>
      </c>
      <c r="B46343" s="2" t="str">
        <f>IFERROR(__xludf.DUMMYFUNCTION("GOOGLETRANSLATE(A46343, ""de"", ""en"")"),"zander")</f>
        <v>zander</v>
      </c>
    </row>
    <row r="46344">
      <c r="A46344" s="1" t="s">
        <v>46343</v>
      </c>
      <c r="B46344" s="2" t="str">
        <f>IFERROR(__xludf.DUMMYFUNCTION("GOOGLETRANSLATE(A46344, ""de"", ""en"")"),"insert")</f>
        <v>insert</v>
      </c>
    </row>
    <row r="46345">
      <c r="A46345" s="1" t="s">
        <v>46344</v>
      </c>
      <c r="B46345" s="2" t="str">
        <f>IFERROR(__xludf.DUMMYFUNCTION("GOOGLETRANSLATE(A46345, ""de"", ""en"")"),"huge trouble")</f>
        <v>huge trouble</v>
      </c>
    </row>
    <row r="46346">
      <c r="A46346" s="1" t="s">
        <v>46345</v>
      </c>
      <c r="B46346" s="2" t="str">
        <f>IFERROR(__xludf.DUMMYFUNCTION("GOOGLETRANSLATE(A46346, ""de"", ""en"")"),"massacre")</f>
        <v>massacre</v>
      </c>
    </row>
    <row r="46347">
      <c r="A46347" s="1" t="s">
        <v>46346</v>
      </c>
      <c r="B46347" s="2" t="str">
        <f>IFERROR(__xludf.DUMMYFUNCTION("GOOGLETRANSLATE(A46347, ""de"", ""en"")"),"sinuses")</f>
        <v>sinuses</v>
      </c>
    </row>
    <row r="46348">
      <c r="A46348" s="1" t="s">
        <v>46347</v>
      </c>
      <c r="B46348" s="2" t="str">
        <f>IFERROR(__xludf.DUMMYFUNCTION("GOOGLETRANSLATE(A46348, ""de"", ""en"")"),"struck")</f>
        <v>struck</v>
      </c>
    </row>
    <row r="46349">
      <c r="A46349" s="1" t="s">
        <v>46348</v>
      </c>
      <c r="B46349" s="2" t="str">
        <f>IFERROR(__xludf.DUMMYFUNCTION("GOOGLETRANSLATE(A46349, ""de"", ""en"")"),"maudlin")</f>
        <v>maudlin</v>
      </c>
    </row>
    <row r="46350">
      <c r="A46350" s="1" t="s">
        <v>46349</v>
      </c>
      <c r="B46350" s="2" t="str">
        <f>IFERROR(__xludf.DUMMYFUNCTION("GOOGLETRANSLATE(A46350, ""de"", ""en"")"),"billionaires")</f>
        <v>billionaires</v>
      </c>
    </row>
    <row r="46351">
      <c r="A46351" s="1" t="s">
        <v>46350</v>
      </c>
      <c r="B46351" s="2" t="str">
        <f>IFERROR(__xludf.DUMMYFUNCTION("GOOGLETRANSLATE(A46351, ""de"", ""en"")"),"muto")</f>
        <v>muto</v>
      </c>
    </row>
    <row r="46352">
      <c r="A46352" s="1" t="s">
        <v>46351</v>
      </c>
      <c r="B46352" s="2" t="str">
        <f>IFERROR(__xludf.DUMMYFUNCTION("GOOGLETRANSLATE(A46352, ""de"", ""en"")"),"pk")</f>
        <v>pk</v>
      </c>
    </row>
    <row r="46353">
      <c r="A46353" s="1" t="s">
        <v>46352</v>
      </c>
      <c r="B46353" s="2" t="str">
        <f>IFERROR(__xludf.DUMMYFUNCTION("GOOGLETRANSLATE(A46353, ""de"", ""en"")"),"maigret")</f>
        <v>maigret</v>
      </c>
    </row>
    <row r="46354">
      <c r="A46354" s="1" t="s">
        <v>46353</v>
      </c>
      <c r="B46354" s="2" t="str">
        <f>IFERROR(__xludf.DUMMYFUNCTION("GOOGLETRANSLATE(A46354, ""de"", ""en"")"),"trotwood")</f>
        <v>trotwood</v>
      </c>
    </row>
    <row r="46355">
      <c r="A46355" s="1" t="s">
        <v>46354</v>
      </c>
      <c r="B46355" s="2" t="str">
        <f>IFERROR(__xludf.DUMMYFUNCTION("GOOGLETRANSLATE(A46355, ""de"", ""en"")"),"adjectives")</f>
        <v>adjectives</v>
      </c>
    </row>
    <row r="46356">
      <c r="A46356" s="1" t="s">
        <v>46355</v>
      </c>
      <c r="B46356" s="2" t="str">
        <f>IFERROR(__xludf.DUMMYFUNCTION("GOOGLETRANSLATE(A46356, ""de"", ""en"")"),"explosive power")</f>
        <v>explosive power</v>
      </c>
    </row>
    <row r="46357">
      <c r="A46357" s="1" t="s">
        <v>46356</v>
      </c>
      <c r="B46357" s="2" t="str">
        <f>IFERROR(__xludf.DUMMYFUNCTION("GOOGLETRANSLATE(A46357, ""de"", ""en"")"),"charge")</f>
        <v>charge</v>
      </c>
    </row>
    <row r="46358">
      <c r="A46358" s="1" t="s">
        <v>46357</v>
      </c>
      <c r="B46358" s="2" t="str">
        <f>IFERROR(__xludf.DUMMYFUNCTION("GOOGLETRANSLATE(A46358, ""de"", ""en"")"),"spooky")</f>
        <v>spooky</v>
      </c>
    </row>
    <row r="46359">
      <c r="A46359" s="1" t="s">
        <v>46358</v>
      </c>
      <c r="B46359" s="2" t="str">
        <f>IFERROR(__xludf.DUMMYFUNCTION("GOOGLETRANSLATE(A46359, ""de"", ""en"")"),"yangs")</f>
        <v>yangs</v>
      </c>
    </row>
    <row r="46360">
      <c r="A46360" s="1" t="s">
        <v>46359</v>
      </c>
      <c r="B46360" s="2" t="str">
        <f>IFERROR(__xludf.DUMMYFUNCTION("GOOGLETRANSLATE(A46360, ""de"", ""en"")"),"had an accident")</f>
        <v>had an accident</v>
      </c>
    </row>
    <row r="46361">
      <c r="A46361" s="1" t="s">
        <v>46360</v>
      </c>
      <c r="B46361" s="2" t="str">
        <f>IFERROR(__xludf.DUMMYFUNCTION("GOOGLETRANSLATE(A46361, ""de"", ""en"")"),"automatic")</f>
        <v>automatic</v>
      </c>
    </row>
    <row r="46362">
      <c r="A46362" s="1" t="s">
        <v>46361</v>
      </c>
      <c r="B46362" s="2" t="str">
        <f>IFERROR(__xludf.DUMMYFUNCTION("GOOGLETRANSLATE(A46362, ""de"", ""en"")"),"hunting grounds")</f>
        <v>hunting grounds</v>
      </c>
    </row>
    <row r="46363">
      <c r="A46363" s="1" t="s">
        <v>46362</v>
      </c>
      <c r="B46363" s="2" t="str">
        <f>IFERROR(__xludf.DUMMYFUNCTION("GOOGLETRANSLATE(A46363, ""de"", ""en"")"),"pop star")</f>
        <v>pop star</v>
      </c>
    </row>
    <row r="46364">
      <c r="A46364" s="1" t="s">
        <v>46363</v>
      </c>
      <c r="B46364" s="2" t="str">
        <f>IFERROR(__xludf.DUMMYFUNCTION("GOOGLETRANSLATE(A46364, ""de"", ""en"")"),"excrement")</f>
        <v>excrement</v>
      </c>
    </row>
    <row r="46365">
      <c r="A46365" s="1" t="s">
        <v>46364</v>
      </c>
      <c r="B46365" s="2" t="str">
        <f>IFERROR(__xludf.DUMMYFUNCTION("GOOGLETRANSLATE(A46365, ""de"", ""en"")"),"sombrero")</f>
        <v>sombrero</v>
      </c>
    </row>
    <row r="46366">
      <c r="A46366" s="1" t="s">
        <v>46365</v>
      </c>
      <c r="B46366" s="2" t="str">
        <f>IFERROR(__xludf.DUMMYFUNCTION("GOOGLETRANSLATE(A46366, ""de"", ""en"")"),"cognitive")</f>
        <v>cognitive</v>
      </c>
    </row>
    <row r="46367">
      <c r="A46367" s="1" t="s">
        <v>46366</v>
      </c>
      <c r="B46367" s="2" t="str">
        <f>IFERROR(__xludf.DUMMYFUNCTION("GOOGLETRANSLATE(A46367, ""de"", ""en"")"),"takata")</f>
        <v>takata</v>
      </c>
    </row>
    <row r="46368">
      <c r="A46368" s="1" t="s">
        <v>46367</v>
      </c>
      <c r="B46368" s="2" t="str">
        <f>IFERROR(__xludf.DUMMYFUNCTION("GOOGLETRANSLATE(A46368, ""de"", ""en"")"),"magnificent")</f>
        <v>magnificent</v>
      </c>
    </row>
    <row r="46369">
      <c r="A46369" s="1" t="s">
        <v>46368</v>
      </c>
      <c r="B46369" s="2" t="str">
        <f>IFERROR(__xludf.DUMMYFUNCTION("GOOGLETRANSLATE(A46369, ""de"", ""en"")"),"storks")</f>
        <v>storks</v>
      </c>
    </row>
    <row r="46370">
      <c r="A46370" s="1" t="s">
        <v>46369</v>
      </c>
      <c r="B46370" s="2" t="str">
        <f>IFERROR(__xludf.DUMMYFUNCTION("GOOGLETRANSLATE(A46370, ""de"", ""en"")"),"estate")</f>
        <v>estate</v>
      </c>
    </row>
    <row r="46371">
      <c r="A46371" s="1" t="s">
        <v>46370</v>
      </c>
      <c r="B46371" s="2" t="str">
        <f>IFERROR(__xludf.DUMMYFUNCTION("GOOGLETRANSLATE(A46371, ""de"", ""en"")"),"British")</f>
        <v>British</v>
      </c>
    </row>
    <row r="46372">
      <c r="A46372" s="1" t="s">
        <v>46371</v>
      </c>
      <c r="B46372" s="2" t="str">
        <f>IFERROR(__xludf.DUMMYFUNCTION("GOOGLETRANSLATE(A46372, ""de"", ""en"")"),"bowler")</f>
        <v>bowler</v>
      </c>
    </row>
    <row r="46373">
      <c r="A46373" s="1" t="s">
        <v>46372</v>
      </c>
      <c r="B46373" s="2" t="str">
        <f>IFERROR(__xludf.DUMMYFUNCTION("GOOGLETRANSLATE(A46373, ""de"", ""en"")"),"drink coffee")</f>
        <v>drink coffee</v>
      </c>
    </row>
    <row r="46374">
      <c r="A46374" s="1" t="s">
        <v>46373</v>
      </c>
      <c r="B46374" s="2" t="str">
        <f>IFERROR(__xludf.DUMMYFUNCTION("GOOGLETRANSLATE(A46374, ""de"", ""en"")"),"horsepower")</f>
        <v>horsepower</v>
      </c>
    </row>
    <row r="46375">
      <c r="A46375" s="1" t="s">
        <v>46374</v>
      </c>
      <c r="B46375" s="2" t="str">
        <f>IFERROR(__xludf.DUMMYFUNCTION("GOOGLETRANSLATE(A46375, ""de"", ""en"")"),"blunder")</f>
        <v>blunder</v>
      </c>
    </row>
    <row r="46376">
      <c r="A46376" s="1" t="s">
        <v>46375</v>
      </c>
      <c r="B46376" s="2" t="str">
        <f>IFERROR(__xludf.DUMMYFUNCTION("GOOGLETRANSLATE(A46376, ""de"", ""en"")"),"viggo")</f>
        <v>viggo</v>
      </c>
    </row>
    <row r="46377">
      <c r="A46377" s="1" t="s">
        <v>46376</v>
      </c>
      <c r="B46377" s="2" t="str">
        <f>IFERROR(__xludf.DUMMYFUNCTION("GOOGLETRANSLATE(A46377, ""de"", ""en"")"),"abbreviate")</f>
        <v>abbreviate</v>
      </c>
    </row>
    <row r="46378">
      <c r="A46378" s="1" t="s">
        <v>46377</v>
      </c>
      <c r="B46378" s="2" t="str">
        <f>IFERROR(__xludf.DUMMYFUNCTION("GOOGLETRANSLATE(A46378, ""de"", ""en"")"),"savior")</f>
        <v>savior</v>
      </c>
    </row>
    <row r="46379">
      <c r="A46379" s="1" t="s">
        <v>46378</v>
      </c>
      <c r="B46379" s="2" t="str">
        <f>IFERROR(__xludf.DUMMYFUNCTION("GOOGLETRANSLATE(A46379, ""de"", ""en"")"),"almond")</f>
        <v>almond</v>
      </c>
    </row>
    <row r="46380">
      <c r="A46380" s="1" t="s">
        <v>46379</v>
      </c>
      <c r="B46380" s="2" t="str">
        <f>IFERROR(__xludf.DUMMYFUNCTION("GOOGLETRANSLATE(A46380, ""de"", ""en"")"),"foreign")</f>
        <v>foreign</v>
      </c>
    </row>
    <row r="46381">
      <c r="A46381" s="1" t="s">
        <v>46380</v>
      </c>
      <c r="B46381" s="2" t="str">
        <f>IFERROR(__xludf.DUMMYFUNCTION("GOOGLETRANSLATE(A46381, ""de"", ""en"")"),"sand mountain")</f>
        <v>sand mountain</v>
      </c>
    </row>
    <row r="46382">
      <c r="A46382" s="1" t="s">
        <v>46381</v>
      </c>
      <c r="B46382" s="2" t="str">
        <f>IFERROR(__xludf.DUMMYFUNCTION("GOOGLETRANSLATE(A46382, ""de"", ""en"")"),"merzien")</f>
        <v>merzien</v>
      </c>
    </row>
    <row r="46383">
      <c r="A46383" s="1" t="s">
        <v>46382</v>
      </c>
      <c r="B46383" s="2" t="str">
        <f>IFERROR(__xludf.DUMMYFUNCTION("GOOGLETRANSLATE(A46383, ""de"", ""en"")"),"divide into quarters")</f>
        <v>divide into quarters</v>
      </c>
    </row>
    <row r="46384">
      <c r="A46384" s="1" t="s">
        <v>46383</v>
      </c>
      <c r="B46384" s="2" t="str">
        <f>IFERROR(__xludf.DUMMYFUNCTION("GOOGLETRANSLATE(A46384, ""de"", ""en"")"),"med lab")</f>
        <v>med lab</v>
      </c>
    </row>
    <row r="46385">
      <c r="A46385" s="1" t="s">
        <v>46384</v>
      </c>
      <c r="B46385" s="2" t="str">
        <f>IFERROR(__xludf.DUMMYFUNCTION("GOOGLETRANSLATE(A46385, ""de"", ""en"")"),"fangs")</f>
        <v>fangs</v>
      </c>
    </row>
    <row r="46386">
      <c r="A46386" s="1" t="s">
        <v>46385</v>
      </c>
      <c r="B46386" s="2" t="str">
        <f>IFERROR(__xludf.DUMMYFUNCTION("GOOGLETRANSLATE(A46386, ""de"", ""en"")"),"Marcelle")</f>
        <v>Marcelle</v>
      </c>
    </row>
    <row r="46387">
      <c r="A46387" s="1" t="s">
        <v>46386</v>
      </c>
      <c r="B46387" s="2" t="str">
        <f>IFERROR(__xludf.DUMMYFUNCTION("GOOGLETRANSLATE(A46387, ""de"", ""en"")"),"review")</f>
        <v>review</v>
      </c>
    </row>
    <row r="46388">
      <c r="A46388" s="1" t="s">
        <v>46387</v>
      </c>
      <c r="B46388" s="2" t="str">
        <f>IFERROR(__xludf.DUMMYFUNCTION("GOOGLETRANSLATE(A46388, ""de"", ""en"")"),"settle in")</f>
        <v>settle in</v>
      </c>
    </row>
    <row r="46389">
      <c r="A46389" s="1" t="s">
        <v>46388</v>
      </c>
      <c r="B46389" s="2" t="str">
        <f>IFERROR(__xludf.DUMMYFUNCTION("GOOGLETRANSLATE(A46389, ""de"", ""en"")"),"senoritas")</f>
        <v>senoritas</v>
      </c>
    </row>
    <row r="46390">
      <c r="A46390" s="1" t="s">
        <v>46389</v>
      </c>
      <c r="B46390" s="2" t="str">
        <f>IFERROR(__xludf.DUMMYFUNCTION("GOOGLETRANSLATE(A46390, ""de"", ""en"")"),"janssen")</f>
        <v>janssen</v>
      </c>
    </row>
    <row r="46391">
      <c r="A46391" s="1" t="s">
        <v>46390</v>
      </c>
      <c r="B46391" s="2" t="str">
        <f>IFERROR(__xludf.DUMMYFUNCTION("GOOGLETRANSLATE(A46391, ""de"", ""en"")"),"cesares")</f>
        <v>cesares</v>
      </c>
    </row>
    <row r="46392">
      <c r="A46392" s="1" t="s">
        <v>46391</v>
      </c>
      <c r="B46392" s="2" t="str">
        <f>IFERROR(__xludf.DUMMYFUNCTION("GOOGLETRANSLATE(A46392, ""de"", ""en"")"),"grasshopper")</f>
        <v>grasshopper</v>
      </c>
    </row>
    <row r="46393">
      <c r="A46393" s="1" t="s">
        <v>46392</v>
      </c>
      <c r="B46393" s="2" t="str">
        <f>IFERROR(__xludf.DUMMYFUNCTION("GOOGLETRANSLATE(A46393, ""de"", ""en"")"),"Becky's")</f>
        <v>Becky's</v>
      </c>
    </row>
    <row r="46394">
      <c r="A46394" s="1" t="s">
        <v>46393</v>
      </c>
      <c r="B46394" s="2" t="str">
        <f>IFERROR(__xludf.DUMMYFUNCTION("GOOGLETRANSLATE(A46394, ""de"", ""en"")"),"djinn-djinn")</f>
        <v>djinn-djinn</v>
      </c>
    </row>
    <row r="46395">
      <c r="A46395" s="1" t="s">
        <v>46394</v>
      </c>
      <c r="B46395" s="2" t="str">
        <f>IFERROR(__xludf.DUMMYFUNCTION("GOOGLETRANSLATE(A46395, ""de"", ""en"")"),"Friday morning")</f>
        <v>Friday morning</v>
      </c>
    </row>
    <row r="46396">
      <c r="A46396" s="1" t="s">
        <v>46395</v>
      </c>
      <c r="B46396" s="2" t="str">
        <f>IFERROR(__xludf.DUMMYFUNCTION("GOOGLETRANSLATE(A46396, ""de"", ""en"")"),"Dortmund")</f>
        <v>Dortmund</v>
      </c>
    </row>
    <row r="46397">
      <c r="A46397" s="1" t="s">
        <v>46396</v>
      </c>
      <c r="B46397" s="2" t="str">
        <f>IFERROR(__xludf.DUMMYFUNCTION("GOOGLETRANSLATE(A46397, ""de"", ""en"")"),"begged")</f>
        <v>begged</v>
      </c>
    </row>
    <row r="46398">
      <c r="A46398" s="1" t="s">
        <v>46397</v>
      </c>
      <c r="B46398" s="2" t="str">
        <f>IFERROR(__xludf.DUMMYFUNCTION("GOOGLETRANSLATE(A46398, ""de"", ""en"")"),"hanger")</f>
        <v>hanger</v>
      </c>
    </row>
    <row r="46399">
      <c r="A46399" s="1" t="s">
        <v>46398</v>
      </c>
      <c r="B46399" s="2" t="str">
        <f>IFERROR(__xludf.DUMMYFUNCTION("GOOGLETRANSLATE(A46399, ""de"", ""en"")"),"daffodils")</f>
        <v>daffodils</v>
      </c>
    </row>
    <row r="46400">
      <c r="A46400" s="1" t="s">
        <v>46399</v>
      </c>
      <c r="B46400" s="2" t="str">
        <f>IFERROR(__xludf.DUMMYFUNCTION("GOOGLETRANSLATE(A46400, ""de"", ""en"")"),"to-do list")</f>
        <v>to-do list</v>
      </c>
    </row>
    <row r="46401">
      <c r="A46401" s="1" t="s">
        <v>46400</v>
      </c>
      <c r="B46401" s="2" t="str">
        <f>IFERROR(__xludf.DUMMYFUNCTION("GOOGLETRANSLATE(A46401, ""de"", ""en"")"),"puny")</f>
        <v>puny</v>
      </c>
    </row>
    <row r="46402">
      <c r="A46402" s="1" t="s">
        <v>46401</v>
      </c>
      <c r="B46402" s="2" t="str">
        <f>IFERROR(__xludf.DUMMYFUNCTION("GOOGLETRANSLATE(A46402, ""de"", ""en"")"),"digital")</f>
        <v>digital</v>
      </c>
    </row>
    <row r="46403">
      <c r="A46403" s="1" t="s">
        <v>46402</v>
      </c>
      <c r="B46403" s="2" t="str">
        <f>IFERROR(__xludf.DUMMYFUNCTION("GOOGLETRANSLATE(A46403, ""de"", ""en"")"),"nearest")</f>
        <v>nearest</v>
      </c>
    </row>
    <row r="46404">
      <c r="A46404" s="1" t="s">
        <v>46403</v>
      </c>
      <c r="B46404" s="2" t="str">
        <f>IFERROR(__xludf.DUMMYFUNCTION("GOOGLETRANSLATE(A46404, ""de"", ""en"")"),"toffee")</f>
        <v>toffee</v>
      </c>
    </row>
    <row r="46405">
      <c r="A46405" s="1" t="s">
        <v>46404</v>
      </c>
      <c r="B46405" s="2" t="str">
        <f>IFERROR(__xludf.DUMMYFUNCTION("GOOGLETRANSLATE(A46405, ""de"", ""en"")"),"put down")</f>
        <v>put down</v>
      </c>
    </row>
    <row r="46406">
      <c r="A46406" s="1" t="s">
        <v>46405</v>
      </c>
      <c r="B46406" s="2" t="str">
        <f>IFERROR(__xludf.DUMMYFUNCTION("GOOGLETRANSLATE(A46406, ""de"", ""en"")"),"loneliest")</f>
        <v>loneliest</v>
      </c>
    </row>
    <row r="46407">
      <c r="A46407" s="1" t="s">
        <v>46406</v>
      </c>
      <c r="B46407" s="2" t="str">
        <f>IFERROR(__xludf.DUMMYFUNCTION("GOOGLETRANSLATE(A46407, ""de"", ""en"")"),"lyuda")</f>
        <v>lyuda</v>
      </c>
    </row>
    <row r="46408">
      <c r="A46408" s="1" t="s">
        <v>46407</v>
      </c>
      <c r="B46408" s="2" t="str">
        <f>IFERROR(__xludf.DUMMYFUNCTION("GOOGLETRANSLATE(A46408, ""de"", ""en"")"),"gawk")</f>
        <v>gawk</v>
      </c>
    </row>
    <row r="46409">
      <c r="A46409" s="1" t="s">
        <v>46408</v>
      </c>
      <c r="B46409" s="2" t="str">
        <f>IFERROR(__xludf.DUMMYFUNCTION("GOOGLETRANSLATE(A46409, ""de"", ""en"")"),"wipe")</f>
        <v>wipe</v>
      </c>
    </row>
    <row r="46410">
      <c r="A46410" s="1" t="s">
        <v>46409</v>
      </c>
      <c r="B46410" s="2" t="str">
        <f>IFERROR(__xludf.DUMMYFUNCTION("GOOGLETRANSLATE(A46410, ""de"", ""en"")"),"mortem")</f>
        <v>mortem</v>
      </c>
    </row>
    <row r="46411">
      <c r="A46411" s="1" t="s">
        <v>46410</v>
      </c>
      <c r="B46411" s="2" t="str">
        <f>IFERROR(__xludf.DUMMYFUNCTION("GOOGLETRANSLATE(A46411, ""de"", ""en"")"),"unimportant")</f>
        <v>unimportant</v>
      </c>
    </row>
    <row r="46412">
      <c r="A46412" s="1" t="s">
        <v>46411</v>
      </c>
      <c r="B46412" s="2" t="str">
        <f>IFERROR(__xludf.DUMMYFUNCTION("GOOGLETRANSLATE(A46412, ""de"", ""en"")"),"finder")</f>
        <v>finder</v>
      </c>
    </row>
    <row r="46413">
      <c r="A46413" s="1" t="s">
        <v>46412</v>
      </c>
      <c r="B46413" s="2" t="str">
        <f>IFERROR(__xludf.DUMMYFUNCTION("GOOGLETRANSLATE(A46413, ""de"", ""en"")"),"hoods")</f>
        <v>hoods</v>
      </c>
    </row>
    <row r="46414">
      <c r="A46414" s="1" t="s">
        <v>46413</v>
      </c>
      <c r="B46414" s="2" t="str">
        <f>IFERROR(__xludf.DUMMYFUNCTION("GOOGLETRANSLATE(A46414, ""de"", ""en"")"),"war paint")</f>
        <v>war paint</v>
      </c>
    </row>
    <row r="46415">
      <c r="A46415" s="1" t="s">
        <v>46414</v>
      </c>
      <c r="B46415" s="2" t="str">
        <f>IFERROR(__xludf.DUMMYFUNCTION("GOOGLETRANSLATE(A46415, ""de"", ""en"")"),"early shift")</f>
        <v>early shift</v>
      </c>
    </row>
    <row r="46416">
      <c r="A46416" s="1" t="s">
        <v>46415</v>
      </c>
      <c r="B46416" s="2" t="str">
        <f>IFERROR(__xludf.DUMMYFUNCTION("GOOGLETRANSLATE(A46416, ""de"", ""en"")"),"caddy")</f>
        <v>caddy</v>
      </c>
    </row>
    <row r="46417">
      <c r="A46417" s="1" t="s">
        <v>46416</v>
      </c>
      <c r="B46417" s="2" t="str">
        <f>IFERROR(__xludf.DUMMYFUNCTION("GOOGLETRANSLATE(A46417, ""de"", ""en"")"),"English Channel")</f>
        <v>English Channel</v>
      </c>
    </row>
    <row r="46418">
      <c r="A46418" s="1" t="s">
        <v>46417</v>
      </c>
      <c r="B46418" s="2" t="str">
        <f>IFERROR(__xludf.DUMMYFUNCTION("GOOGLETRANSLATE(A46418, ""de"", ""en"")"),"pasha")</f>
        <v>pasha</v>
      </c>
    </row>
    <row r="46419">
      <c r="A46419" s="1" t="s">
        <v>46418</v>
      </c>
      <c r="B46419" s="2" t="str">
        <f>IFERROR(__xludf.DUMMYFUNCTION("GOOGLETRANSLATE(A46419, ""de"", ""en"")"),"bozo")</f>
        <v>bozo</v>
      </c>
    </row>
    <row r="46420">
      <c r="A46420" s="1" t="s">
        <v>46419</v>
      </c>
      <c r="B46420" s="2" t="str">
        <f>IFERROR(__xludf.DUMMYFUNCTION("GOOGLETRANSLATE(A46420, ""de"", ""en"")"),"stupid")</f>
        <v>stupid</v>
      </c>
    </row>
    <row r="46421">
      <c r="A46421" s="1" t="s">
        <v>46420</v>
      </c>
      <c r="B46421" s="2" t="str">
        <f>IFERROR(__xludf.DUMMYFUNCTION("GOOGLETRANSLATE(A46421, ""de"", ""en"")"),"want to go")</f>
        <v>want to go</v>
      </c>
    </row>
    <row r="46422">
      <c r="A46422" s="1" t="s">
        <v>46421</v>
      </c>
      <c r="B46422" s="2" t="str">
        <f>IFERROR(__xludf.DUMMYFUNCTION("GOOGLETRANSLATE(A46422, ""de"", ""en"")"),"smile")</f>
        <v>smile</v>
      </c>
    </row>
    <row r="46423">
      <c r="A46423" s="1" t="s">
        <v>46422</v>
      </c>
      <c r="B46423" s="2" t="str">
        <f>IFERROR(__xludf.DUMMYFUNCTION("GOOGLETRANSLATE(A46423, ""de"", ""en"")"),"pina")</f>
        <v>pina</v>
      </c>
    </row>
    <row r="46424">
      <c r="A46424" s="1" t="s">
        <v>46423</v>
      </c>
      <c r="B46424" s="2" t="str">
        <f>IFERROR(__xludf.DUMMYFUNCTION("GOOGLETRANSLATE(A46424, ""de"", ""en"")"),"pips")</f>
        <v>pips</v>
      </c>
    </row>
    <row r="46425">
      <c r="A46425" s="1" t="s">
        <v>46424</v>
      </c>
      <c r="B46425" s="2" t="str">
        <f>IFERROR(__xludf.DUMMYFUNCTION("GOOGLETRANSLATE(A46425, ""de"", ""en"")"),"pyotr")</f>
        <v>pyotr</v>
      </c>
    </row>
    <row r="46426">
      <c r="A46426" s="1" t="s">
        <v>46425</v>
      </c>
      <c r="B46426" s="2" t="str">
        <f>IFERROR(__xludf.DUMMYFUNCTION("GOOGLETRANSLATE(A46426, ""de"", ""en"")"),"soleil")</f>
        <v>soleil</v>
      </c>
    </row>
    <row r="46427">
      <c r="A46427" s="1" t="s">
        <v>46426</v>
      </c>
      <c r="B46427" s="2" t="str">
        <f>IFERROR(__xludf.DUMMYFUNCTION("GOOGLETRANSLATE(A46427, ""de"", ""en"")"),"caymans")</f>
        <v>caymans</v>
      </c>
    </row>
    <row r="46428">
      <c r="A46428" s="1" t="s">
        <v>46427</v>
      </c>
      <c r="B46428" s="2" t="str">
        <f>IFERROR(__xludf.DUMMYFUNCTION("GOOGLETRANSLATE(A46428, ""de"", ""en"")"),"tiramisu")</f>
        <v>tiramisu</v>
      </c>
    </row>
    <row r="46429">
      <c r="A46429" s="1" t="s">
        <v>46428</v>
      </c>
      <c r="B46429" s="2" t="str">
        <f>IFERROR(__xludf.DUMMYFUNCTION("GOOGLETRANSLATE(A46429, ""de"", ""en"")"),"accuracy")</f>
        <v>accuracy</v>
      </c>
    </row>
    <row r="46430">
      <c r="A46430" s="1" t="s">
        <v>46429</v>
      </c>
      <c r="B46430" s="2" t="str">
        <f>IFERROR(__xludf.DUMMYFUNCTION("GOOGLETRANSLATE(A46430, ""de"", ""en"")"),"came out")</f>
        <v>came out</v>
      </c>
    </row>
    <row r="46431">
      <c r="A46431" s="1" t="s">
        <v>46430</v>
      </c>
      <c r="B46431" s="2" t="str">
        <f>IFERROR(__xludf.DUMMYFUNCTION("GOOGLETRANSLATE(A46431, ""de"", ""en"")"),"errands")</f>
        <v>errands</v>
      </c>
    </row>
    <row r="46432">
      <c r="A46432" s="1" t="s">
        <v>46431</v>
      </c>
      <c r="B46432" s="2" t="str">
        <f>IFERROR(__xludf.DUMMYFUNCTION("GOOGLETRANSLATE(A46432, ""de"", ""en"")"),"exceeds")</f>
        <v>exceeds</v>
      </c>
    </row>
    <row r="46433">
      <c r="A46433" s="1" t="s">
        <v>46432</v>
      </c>
      <c r="B46433" s="2" t="str">
        <f>IFERROR(__xludf.DUMMYFUNCTION("GOOGLETRANSLATE(A46433, ""de"", ""en"")"),"slip")</f>
        <v>slip</v>
      </c>
    </row>
    <row r="46434">
      <c r="A46434" s="1" t="s">
        <v>46433</v>
      </c>
      <c r="B46434" s="2" t="str">
        <f>IFERROR(__xludf.DUMMYFUNCTION("GOOGLETRANSLATE(A46434, ""de"", ""en"")"),"Boudreau")</f>
        <v>Boudreau</v>
      </c>
    </row>
    <row r="46435">
      <c r="A46435" s="1" t="s">
        <v>46434</v>
      </c>
      <c r="B46435" s="2" t="str">
        <f>IFERROR(__xludf.DUMMYFUNCTION("GOOGLETRANSLATE(A46435, ""de"", ""en"")"),"goddaughter")</f>
        <v>goddaughter</v>
      </c>
    </row>
    <row r="46436">
      <c r="A46436" s="1" t="s">
        <v>46435</v>
      </c>
      <c r="B46436" s="2" t="str">
        <f>IFERROR(__xludf.DUMMYFUNCTION("GOOGLETRANSLATE(A46436, ""de"", ""en"")"),"Auburn")</f>
        <v>Auburn</v>
      </c>
    </row>
    <row r="46437">
      <c r="A46437" s="1" t="s">
        <v>46436</v>
      </c>
      <c r="B46437" s="2" t="str">
        <f>IFERROR(__xludf.DUMMYFUNCTION("GOOGLETRANSLATE(A46437, ""de"", ""en"")"),"shake")</f>
        <v>shake</v>
      </c>
    </row>
    <row r="46438">
      <c r="A46438" s="1" t="s">
        <v>46437</v>
      </c>
      <c r="B46438" s="2" t="str">
        <f>IFERROR(__xludf.DUMMYFUNCTION("GOOGLETRANSLATE(A46438, ""de"", ""en"")"),"undershirt")</f>
        <v>undershirt</v>
      </c>
    </row>
    <row r="46439">
      <c r="A46439" s="1" t="s">
        <v>46438</v>
      </c>
      <c r="B46439" s="2" t="str">
        <f>IFERROR(__xludf.DUMMYFUNCTION("GOOGLETRANSLATE(A46439, ""de"", ""en"")"),"steal")</f>
        <v>steal</v>
      </c>
    </row>
    <row r="46440">
      <c r="A46440" s="1" t="s">
        <v>46439</v>
      </c>
      <c r="B46440" s="2" t="str">
        <f>IFERROR(__xludf.DUMMYFUNCTION("GOOGLETRANSLATE(A46440, ""de"", ""en"")"),"you run there")</f>
        <v>you run there</v>
      </c>
    </row>
    <row r="46441">
      <c r="A46441" s="1" t="s">
        <v>46440</v>
      </c>
      <c r="B46441" s="2" t="str">
        <f>IFERROR(__xludf.DUMMYFUNCTION("GOOGLETRANSLATE(A46441, ""de"", ""en"")"),"shran")</f>
        <v>shran</v>
      </c>
    </row>
    <row r="46442">
      <c r="A46442" s="1" t="s">
        <v>46441</v>
      </c>
      <c r="B46442" s="2" t="str">
        <f>IFERROR(__xludf.DUMMYFUNCTION("GOOGLETRANSLATE(A46442, ""de"", ""en"")"),"born into it")</f>
        <v>born into it</v>
      </c>
    </row>
    <row r="46443">
      <c r="A46443" s="1" t="s">
        <v>46442</v>
      </c>
      <c r="B46443" s="2" t="str">
        <f>IFERROR(__xludf.DUMMYFUNCTION("GOOGLETRANSLATE(A46443, ""de"", ""en"")"),"food stamps")</f>
        <v>food stamps</v>
      </c>
    </row>
    <row r="46444">
      <c r="A46444" s="1" t="s">
        <v>46443</v>
      </c>
      <c r="B46444" s="2" t="str">
        <f>IFERROR(__xludf.DUMMYFUNCTION("GOOGLETRANSLATE(A46444, ""de"", ""en"")"),"whispered")</f>
        <v>whispered</v>
      </c>
    </row>
    <row r="46445">
      <c r="A46445" s="1" t="s">
        <v>46444</v>
      </c>
      <c r="B46445" s="2" t="str">
        <f>IFERROR(__xludf.DUMMYFUNCTION("GOOGLETRANSLATE(A46445, ""de"", ""en"")"),"karakurt")</f>
        <v>karakurt</v>
      </c>
    </row>
    <row r="46446">
      <c r="A46446" s="1" t="s">
        <v>46445</v>
      </c>
      <c r="B46446" s="2" t="str">
        <f>IFERROR(__xludf.DUMMYFUNCTION("GOOGLETRANSLATE(A46446, ""de"", ""en"")"),"ha-young")</f>
        <v>ha-young</v>
      </c>
    </row>
    <row r="46447">
      <c r="A46447" s="1" t="s">
        <v>46446</v>
      </c>
      <c r="B46447" s="2" t="str">
        <f>IFERROR(__xludf.DUMMYFUNCTION("GOOGLETRANSLATE(A46447, ""de"", ""en"")"),"foreign languages")</f>
        <v>foreign languages</v>
      </c>
    </row>
    <row r="46448">
      <c r="A46448" s="1" t="s">
        <v>46447</v>
      </c>
      <c r="B46448" s="2" t="str">
        <f>IFERROR(__xludf.DUMMYFUNCTION("GOOGLETRANSLATE(A46448, ""de"", ""en"")"),"knowledge")</f>
        <v>knowledge</v>
      </c>
    </row>
    <row r="46449">
      <c r="A46449" s="1" t="s">
        <v>46448</v>
      </c>
      <c r="B46449" s="2" t="str">
        <f>IFERROR(__xludf.DUMMYFUNCTION("GOOGLETRANSLATE(A46449, ""de"", ""en"")"),"lider")</f>
        <v>lider</v>
      </c>
    </row>
    <row r="46450">
      <c r="A46450" s="1" t="s">
        <v>46449</v>
      </c>
      <c r="B46450" s="2" t="str">
        <f>IFERROR(__xludf.DUMMYFUNCTION("GOOGLETRANSLATE(A46450, ""de"", ""en"")"),"cheerleading")</f>
        <v>cheerleading</v>
      </c>
    </row>
    <row r="46451">
      <c r="A46451" s="1" t="s">
        <v>46450</v>
      </c>
      <c r="B46451" s="2" t="str">
        <f>IFERROR(__xludf.DUMMYFUNCTION("GOOGLETRANSLATE(A46451, ""de"", ""en"")"),"Administrator")</f>
        <v>Administrator</v>
      </c>
    </row>
    <row r="46452">
      <c r="A46452" s="1" t="s">
        <v>46451</v>
      </c>
      <c r="B46452" s="2" t="str">
        <f>IFERROR(__xludf.DUMMYFUNCTION("GOOGLETRANSLATE(A46452, ""de"", ""en"")"),"kotori")</f>
        <v>kotori</v>
      </c>
    </row>
    <row r="46453">
      <c r="A46453" s="1" t="s">
        <v>46452</v>
      </c>
      <c r="B46453" s="2" t="str">
        <f>IFERROR(__xludf.DUMMYFUNCTION("GOOGLETRANSLATE(A46453, ""de"", ""en"")"),"nightcap")</f>
        <v>nightcap</v>
      </c>
    </row>
    <row r="46454">
      <c r="A46454" s="1" t="s">
        <v>46453</v>
      </c>
      <c r="B46454" s="2" t="str">
        <f>IFERROR(__xludf.DUMMYFUNCTION("GOOGLETRANSLATE(A46454, ""de"", ""en"")"),"Ptolemy")</f>
        <v>Ptolemy</v>
      </c>
    </row>
    <row r="46455">
      <c r="A46455" s="1" t="s">
        <v>46454</v>
      </c>
      <c r="B46455" s="2" t="str">
        <f>IFERROR(__xludf.DUMMYFUNCTION("GOOGLETRANSLATE(A46455, ""de"", ""en"")"),"rushmore")</f>
        <v>rushmore</v>
      </c>
    </row>
    <row r="46456">
      <c r="A46456" s="1" t="s">
        <v>46455</v>
      </c>
      <c r="B46456" s="2" t="str">
        <f>IFERROR(__xludf.DUMMYFUNCTION("GOOGLETRANSLATE(A46456, ""de"", ""en"")"),"bounce off")</f>
        <v>bounce off</v>
      </c>
    </row>
    <row r="46457">
      <c r="A46457" s="1" t="s">
        <v>46456</v>
      </c>
      <c r="B46457" s="2" t="str">
        <f>IFERROR(__xludf.DUMMYFUNCTION("GOOGLETRANSLATE(A46457, ""de"", ""en"")"),"fossa")</f>
        <v>fossa</v>
      </c>
    </row>
    <row r="46458">
      <c r="A46458" s="1" t="s">
        <v>46457</v>
      </c>
      <c r="B46458" s="2" t="str">
        <f>IFERROR(__xludf.DUMMYFUNCTION("GOOGLETRANSLATE(A46458, ""de"", ""en"")"),"it went")</f>
        <v>it went</v>
      </c>
    </row>
    <row r="46459">
      <c r="A46459" s="1" t="s">
        <v>46458</v>
      </c>
      <c r="B46459" s="2" t="str">
        <f>IFERROR(__xludf.DUMMYFUNCTION("GOOGLETRANSLATE(A46459, ""de"", ""en"")"),"psychiatric")</f>
        <v>psychiatric</v>
      </c>
    </row>
    <row r="46460">
      <c r="A46460" s="1" t="s">
        <v>46459</v>
      </c>
      <c r="B46460" s="2" t="str">
        <f>IFERROR(__xludf.DUMMYFUNCTION("GOOGLETRANSLATE(A46460, ""de"", ""en"")"),"aspirations")</f>
        <v>aspirations</v>
      </c>
    </row>
    <row r="46461">
      <c r="A46461" s="1" t="s">
        <v>46460</v>
      </c>
      <c r="B46461" s="2" t="str">
        <f>IFERROR(__xludf.DUMMYFUNCTION("GOOGLETRANSLATE(A46461, ""de"", ""en"")"),"pet shop")</f>
        <v>pet shop</v>
      </c>
    </row>
    <row r="46462">
      <c r="A46462" s="1" t="s">
        <v>46461</v>
      </c>
      <c r="B46462" s="2" t="str">
        <f>IFERROR(__xludf.DUMMYFUNCTION("GOOGLETRANSLATE(A46462, ""de"", ""en"")"),"synthetic")</f>
        <v>synthetic</v>
      </c>
    </row>
    <row r="46463">
      <c r="A46463" s="1" t="s">
        <v>46462</v>
      </c>
      <c r="B46463" s="2" t="str">
        <f>IFERROR(__xludf.DUMMYFUNCTION("GOOGLETRANSLATE(A46463, ""de"", ""en"")"),"recruited")</f>
        <v>recruited</v>
      </c>
    </row>
    <row r="46464">
      <c r="A46464" s="1" t="s">
        <v>46463</v>
      </c>
      <c r="B46464" s="2" t="str">
        <f>IFERROR(__xludf.DUMMYFUNCTION("GOOGLETRANSLATE(A46464, ""de"", ""en"")"),"dance evening")</f>
        <v>dance evening</v>
      </c>
    </row>
    <row r="46465">
      <c r="A46465" s="1" t="s">
        <v>46464</v>
      </c>
      <c r="B46465" s="2" t="str">
        <f>IFERROR(__xludf.DUMMYFUNCTION("GOOGLETRANSLATE(A46465, ""de"", ""en"")"),"wiii")</f>
        <v>wiii</v>
      </c>
    </row>
    <row r="46466">
      <c r="A46466" s="1" t="s">
        <v>46465</v>
      </c>
      <c r="B46466" s="2" t="str">
        <f>IFERROR(__xludf.DUMMYFUNCTION("GOOGLETRANSLATE(A46466, ""de"", ""en"")"),"grimoire")</f>
        <v>grimoire</v>
      </c>
    </row>
    <row r="46467">
      <c r="A46467" s="1" t="s">
        <v>46466</v>
      </c>
      <c r="B46467" s="2" t="str">
        <f>IFERROR(__xludf.DUMMYFUNCTION("GOOGLETRANSLATE(A46467, ""de"", ""en"")"),"vinz")</f>
        <v>vinz</v>
      </c>
    </row>
    <row r="46468">
      <c r="A46468" s="1" t="s">
        <v>46467</v>
      </c>
      <c r="B46468" s="2" t="str">
        <f>IFERROR(__xludf.DUMMYFUNCTION("GOOGLETRANSLATE(A46468, ""de"", ""en"")"),"chupacabra")</f>
        <v>chupacabra</v>
      </c>
    </row>
    <row r="46469">
      <c r="A46469" s="1" t="s">
        <v>46468</v>
      </c>
      <c r="B46469" s="2" t="str">
        <f>IFERROR(__xludf.DUMMYFUNCTION("GOOGLETRANSLATE(A46469, ""de"", ""en"")"),"hpd")</f>
        <v>hpd</v>
      </c>
    </row>
    <row r="46470">
      <c r="A46470" s="1" t="s">
        <v>46469</v>
      </c>
      <c r="B46470" s="2" t="str">
        <f>IFERROR(__xludf.DUMMYFUNCTION("GOOGLETRANSLATE(A46470, ""de"", ""en"")"),"traffic")</f>
        <v>traffic</v>
      </c>
    </row>
    <row r="46471">
      <c r="A46471" s="1" t="s">
        <v>46470</v>
      </c>
      <c r="B46471" s="2" t="str">
        <f>IFERROR(__xludf.DUMMYFUNCTION("GOOGLETRANSLATE(A46471, ""de"", ""en"")"),"examination results")</f>
        <v>examination results</v>
      </c>
    </row>
    <row r="46472">
      <c r="A46472" s="1" t="s">
        <v>46471</v>
      </c>
      <c r="B46472" s="2" t="str">
        <f>IFERROR(__xludf.DUMMYFUNCTION("GOOGLETRANSLATE(A46472, ""de"", ""en"")"),"petulant")</f>
        <v>petulant</v>
      </c>
    </row>
    <row r="46473">
      <c r="A46473" s="1" t="s">
        <v>46472</v>
      </c>
      <c r="B46473" s="2" t="str">
        <f>IFERROR(__xludf.DUMMYFUNCTION("GOOGLETRANSLATE(A46473, ""de"", ""en"")"),"juice sack")</f>
        <v>juice sack</v>
      </c>
    </row>
    <row r="46474">
      <c r="A46474" s="1" t="s">
        <v>46473</v>
      </c>
      <c r="B46474" s="2" t="str">
        <f>IFERROR(__xludf.DUMMYFUNCTION("GOOGLETRANSLATE(A46474, ""de"", ""en"")"),"lied")</f>
        <v>lied</v>
      </c>
    </row>
    <row r="46475">
      <c r="A46475" s="1" t="s">
        <v>46474</v>
      </c>
      <c r="B46475" s="2" t="str">
        <f>IFERROR(__xludf.DUMMYFUNCTION("GOOGLETRANSLATE(A46475, ""de"", ""en"")"),"intendant")</f>
        <v>intendant</v>
      </c>
    </row>
    <row r="46476">
      <c r="A46476" s="1" t="s">
        <v>46475</v>
      </c>
      <c r="B46476" s="2" t="str">
        <f>IFERROR(__xludf.DUMMYFUNCTION("GOOGLETRANSLATE(A46476, ""de"", ""en"")"),"sharkey")</f>
        <v>sharkey</v>
      </c>
    </row>
    <row r="46477">
      <c r="A46477" s="1" t="s">
        <v>46476</v>
      </c>
      <c r="B46477" s="2" t="str">
        <f>IFERROR(__xludf.DUMMYFUNCTION("GOOGLETRANSLATE(A46477, ""de"", ""en"")"),"delight")</f>
        <v>delight</v>
      </c>
    </row>
    <row r="46478">
      <c r="A46478" s="1" t="s">
        <v>46477</v>
      </c>
      <c r="B46478" s="2" t="str">
        <f>IFERROR(__xludf.DUMMYFUNCTION("GOOGLETRANSLATE(A46478, ""de"", ""en"")"),"baked")</f>
        <v>baked</v>
      </c>
    </row>
    <row r="46479">
      <c r="A46479" s="1" t="s">
        <v>46478</v>
      </c>
      <c r="B46479" s="2" t="str">
        <f>IFERROR(__xludf.DUMMYFUNCTION("GOOGLETRANSLATE(A46479, ""de"", ""en"")"),"baklava")</f>
        <v>baklava</v>
      </c>
    </row>
    <row r="46480">
      <c r="A46480" s="1" t="s">
        <v>46479</v>
      </c>
      <c r="B46480" s="2" t="str">
        <f>IFERROR(__xludf.DUMMYFUNCTION("GOOGLETRANSLATE(A46480, ""de"", ""en"")"),"valid")</f>
        <v>valid</v>
      </c>
    </row>
    <row r="46481">
      <c r="A46481" s="1" t="s">
        <v>46480</v>
      </c>
      <c r="B46481" s="2" t="str">
        <f>IFERROR(__xludf.DUMMYFUNCTION("GOOGLETRANSLATE(A46481, ""de"", ""en"")"),"night camp")</f>
        <v>night camp</v>
      </c>
    </row>
    <row r="46482">
      <c r="A46482" s="1" t="s">
        <v>46481</v>
      </c>
      <c r="B46482" s="2" t="str">
        <f>IFERROR(__xludf.DUMMYFUNCTION("GOOGLETRANSLATE(A46482, ""de"", ""en"")"),"little tail")</f>
        <v>little tail</v>
      </c>
    </row>
    <row r="46483">
      <c r="A46483" s="1" t="s">
        <v>46482</v>
      </c>
      <c r="B46483" s="2" t="str">
        <f>IFERROR(__xludf.DUMMYFUNCTION("GOOGLETRANSLATE(A46483, ""de"", ""en"")"),"level of difficulty")</f>
        <v>level of difficulty</v>
      </c>
    </row>
    <row r="46484">
      <c r="A46484" s="1" t="s">
        <v>46483</v>
      </c>
      <c r="B46484" s="2" t="str">
        <f>IFERROR(__xludf.DUMMYFUNCTION("GOOGLETRANSLATE(A46484, ""de"", ""en"")"),"rink")</f>
        <v>rink</v>
      </c>
    </row>
    <row r="46485">
      <c r="A46485" s="1" t="s">
        <v>46484</v>
      </c>
      <c r="B46485" s="2" t="str">
        <f>IFERROR(__xludf.DUMMYFUNCTION("GOOGLETRANSLATE(A46485, ""de"", ""en"")"),"affirm")</f>
        <v>affirm</v>
      </c>
    </row>
    <row r="46486">
      <c r="A46486" s="1" t="s">
        <v>46485</v>
      </c>
      <c r="B46486" s="2" t="str">
        <f>IFERROR(__xludf.DUMMYFUNCTION("GOOGLETRANSLATE(A46486, ""de"", ""en"")"),"counteroffer")</f>
        <v>counteroffer</v>
      </c>
    </row>
    <row r="46487">
      <c r="A46487" s="1" t="s">
        <v>46486</v>
      </c>
      <c r="B46487" s="2" t="str">
        <f>IFERROR(__xludf.DUMMYFUNCTION("GOOGLETRANSLATE(A46487, ""de"", ""en"")"),"goober")</f>
        <v>goober</v>
      </c>
    </row>
    <row r="46488">
      <c r="A46488" s="1" t="s">
        <v>46487</v>
      </c>
      <c r="B46488" s="2" t="str">
        <f>IFERROR(__xludf.DUMMYFUNCTION("GOOGLETRANSLATE(A46488, ""de"", ""en"")"),"smuggle in")</f>
        <v>smuggle in</v>
      </c>
    </row>
    <row r="46489">
      <c r="A46489" s="1" t="s">
        <v>46488</v>
      </c>
      <c r="B46489" s="2" t="str">
        <f>IFERROR(__xludf.DUMMYFUNCTION("GOOGLETRANSLATE(A46489, ""de"", ""en"")"),"decree")</f>
        <v>decree</v>
      </c>
    </row>
    <row r="46490">
      <c r="A46490" s="1" t="s">
        <v>46489</v>
      </c>
      <c r="B46490" s="2" t="str">
        <f>IFERROR(__xludf.DUMMYFUNCTION("GOOGLETRANSLATE(A46490, ""de"", ""en"")"),"curfew")</f>
        <v>curfew</v>
      </c>
    </row>
    <row r="46491">
      <c r="A46491" s="1" t="s">
        <v>46490</v>
      </c>
      <c r="B46491" s="2" t="str">
        <f>IFERROR(__xludf.DUMMYFUNCTION("GOOGLETRANSLATE(A46491, ""de"", ""en"")"),"fp")</f>
        <v>fp</v>
      </c>
    </row>
    <row r="46492">
      <c r="A46492" s="1" t="s">
        <v>46491</v>
      </c>
      <c r="B46492" s="2" t="str">
        <f>IFERROR(__xludf.DUMMYFUNCTION("GOOGLETRANSLATE(A46492, ""de"", ""en"")"),"euthanasia")</f>
        <v>euthanasia</v>
      </c>
    </row>
    <row r="46493">
      <c r="A46493" s="1" t="s">
        <v>46492</v>
      </c>
      <c r="B46493" s="2" t="str">
        <f>IFERROR(__xludf.DUMMYFUNCTION("GOOGLETRANSLATE(A46493, ""de"", ""en"")"),"renounced")</f>
        <v>renounced</v>
      </c>
    </row>
    <row r="46494">
      <c r="A46494" s="1" t="s">
        <v>46493</v>
      </c>
      <c r="B46494" s="2" t="str">
        <f>IFERROR(__xludf.DUMMYFUNCTION("GOOGLETRANSLATE(A46494, ""de"", ""en"")"),"ensnare")</f>
        <v>ensnare</v>
      </c>
    </row>
    <row r="46495">
      <c r="A46495" s="1" t="s">
        <v>46494</v>
      </c>
      <c r="B46495" s="2" t="str">
        <f>IFERROR(__xludf.DUMMYFUNCTION("GOOGLETRANSLATE(A46495, ""de"", ""en"")"),"measuring")</f>
        <v>measuring</v>
      </c>
    </row>
    <row r="46496">
      <c r="A46496" s="1" t="s">
        <v>46495</v>
      </c>
      <c r="B46496" s="2" t="str">
        <f>IFERROR(__xludf.DUMMYFUNCTION("GOOGLETRANSLATE(A46496, ""de"", ""en"")"),"conspiracy theory")</f>
        <v>conspiracy theory</v>
      </c>
    </row>
    <row r="46497">
      <c r="A46497" s="1" t="s">
        <v>46496</v>
      </c>
      <c r="B46497" s="2" t="str">
        <f>IFERROR(__xludf.DUMMYFUNCTION("GOOGLETRANSLATE(A46497, ""de"", ""en"")"),"chunk")</f>
        <v>chunk</v>
      </c>
    </row>
    <row r="46498">
      <c r="A46498" s="1" t="s">
        <v>46497</v>
      </c>
      <c r="B46498" s="2" t="str">
        <f>IFERROR(__xludf.DUMMYFUNCTION("GOOGLETRANSLATE(A46498, ""de"", ""en"")"),"deviating")</f>
        <v>deviating</v>
      </c>
    </row>
    <row r="46499">
      <c r="A46499" s="1" t="s">
        <v>46498</v>
      </c>
      <c r="B46499" s="2" t="str">
        <f>IFERROR(__xludf.DUMMYFUNCTION("GOOGLETRANSLATE(A46499, ""de"", ""en"")"),"tales")</f>
        <v>tales</v>
      </c>
    </row>
    <row r="46500">
      <c r="A46500" s="1" t="s">
        <v>46499</v>
      </c>
      <c r="B46500" s="2" t="str">
        <f>IFERROR(__xludf.DUMMYFUNCTION("GOOGLETRANSLATE(A46500, ""de"", ""en"")"),"grimaldi")</f>
        <v>grimaldi</v>
      </c>
    </row>
    <row r="46501">
      <c r="A46501" s="1" t="s">
        <v>46500</v>
      </c>
      <c r="B46501" s="2" t="str">
        <f>IFERROR(__xludf.DUMMYFUNCTION("GOOGLETRANSLATE(A46501, ""de"", ""en"")"),"pelant")</f>
        <v>pelant</v>
      </c>
    </row>
    <row r="46502">
      <c r="A46502" s="1" t="s">
        <v>46501</v>
      </c>
      <c r="B46502" s="2" t="str">
        <f>IFERROR(__xludf.DUMMYFUNCTION("GOOGLETRANSLATE(A46502, ""de"", ""en"")"),"freedom of movement")</f>
        <v>freedom of movement</v>
      </c>
    </row>
    <row r="46503">
      <c r="A46503" s="1" t="s">
        <v>46502</v>
      </c>
      <c r="B46503" s="2" t="str">
        <f>IFERROR(__xludf.DUMMYFUNCTION("GOOGLETRANSLATE(A46503, ""de"", ""en"")"),"you go crazy")</f>
        <v>you go crazy</v>
      </c>
    </row>
    <row r="46504">
      <c r="A46504" s="1" t="s">
        <v>46503</v>
      </c>
      <c r="B46504" s="2" t="str">
        <f>IFERROR(__xludf.DUMMYFUNCTION("GOOGLETRANSLATE(A46504, ""de"", ""en"")"),"annette")</f>
        <v>annette</v>
      </c>
    </row>
    <row r="46505">
      <c r="A46505" s="1" t="s">
        <v>46504</v>
      </c>
      <c r="B46505" s="2" t="str">
        <f>IFERROR(__xludf.DUMMYFUNCTION("GOOGLETRANSLATE(A46505, ""de"", ""en"")"),"school friend")</f>
        <v>school friend</v>
      </c>
    </row>
    <row r="46506">
      <c r="A46506" s="1" t="s">
        <v>46505</v>
      </c>
      <c r="B46506" s="2" t="str">
        <f>IFERROR(__xludf.DUMMYFUNCTION("GOOGLETRANSLATE(A46506, ""de"", ""en"")"),"written back")</f>
        <v>written back</v>
      </c>
    </row>
    <row r="46507">
      <c r="A46507" s="1" t="s">
        <v>46506</v>
      </c>
      <c r="B46507" s="2" t="str">
        <f>IFERROR(__xludf.DUMMYFUNCTION("GOOGLETRANSLATE(A46507, ""de"", ""en"")"),"intended")</f>
        <v>intended</v>
      </c>
    </row>
    <row r="46508">
      <c r="A46508" s="1" t="s">
        <v>46507</v>
      </c>
      <c r="B46508" s="2" t="str">
        <f>IFERROR(__xludf.DUMMYFUNCTION("GOOGLETRANSLATE(A46508, ""de"", ""en"")"),"accidentally")</f>
        <v>accidentally</v>
      </c>
    </row>
    <row r="46509">
      <c r="A46509" s="1" t="s">
        <v>46508</v>
      </c>
      <c r="B46509" s="2" t="str">
        <f>IFERROR(__xludf.DUMMYFUNCTION("GOOGLETRANSLATE(A46509, ""de"", ""en"")"),"investigations")</f>
        <v>investigations</v>
      </c>
    </row>
    <row r="46510">
      <c r="A46510" s="1" t="s">
        <v>46509</v>
      </c>
      <c r="B46510" s="2" t="str">
        <f>IFERROR(__xludf.DUMMYFUNCTION("GOOGLETRANSLATE(A46510, ""de"", ""en"")"),"maricruz")</f>
        <v>maricruz</v>
      </c>
    </row>
    <row r="46511">
      <c r="A46511" s="1" t="s">
        <v>46510</v>
      </c>
      <c r="B46511" s="2" t="str">
        <f>IFERROR(__xludf.DUMMYFUNCTION("GOOGLETRANSLATE(A46511, ""de"", ""en"")"),"ancient")</f>
        <v>ancient</v>
      </c>
    </row>
    <row r="46512">
      <c r="A46512" s="1" t="s">
        <v>46511</v>
      </c>
      <c r="B46512" s="2" t="str">
        <f>IFERROR(__xludf.DUMMYFUNCTION("GOOGLETRANSLATE(A46512, ""de"", ""en"")"),"Anchorage")</f>
        <v>Anchorage</v>
      </c>
    </row>
    <row r="46513">
      <c r="A46513" s="1" t="s">
        <v>46512</v>
      </c>
      <c r="B46513" s="2" t="str">
        <f>IFERROR(__xludf.DUMMYFUNCTION("GOOGLETRANSLATE(A46513, ""de"", ""en"")"),"bricks")</f>
        <v>bricks</v>
      </c>
    </row>
    <row r="46514">
      <c r="A46514" s="1" t="s">
        <v>46513</v>
      </c>
      <c r="B46514" s="2" t="str">
        <f>IFERROR(__xludf.DUMMYFUNCTION("GOOGLETRANSLATE(A46514, ""de"", ""en"")"),"pubic hair")</f>
        <v>pubic hair</v>
      </c>
    </row>
    <row r="46515">
      <c r="A46515" s="1" t="s">
        <v>46514</v>
      </c>
      <c r="B46515" s="2" t="str">
        <f>IFERROR(__xludf.DUMMYFUNCTION("GOOGLETRANSLATE(A46515, ""de"", ""en"")"),"Katie")</f>
        <v>Katie</v>
      </c>
    </row>
    <row r="46516">
      <c r="A46516" s="1" t="s">
        <v>46515</v>
      </c>
      <c r="B46516" s="2" t="str">
        <f>IFERROR(__xludf.DUMMYFUNCTION("GOOGLETRANSLATE(A46516, ""de"", ""en"")"),"surprise effect")</f>
        <v>surprise effect</v>
      </c>
    </row>
    <row r="46517">
      <c r="A46517" s="1" t="s">
        <v>46516</v>
      </c>
      <c r="B46517" s="2" t="str">
        <f>IFERROR(__xludf.DUMMYFUNCTION("GOOGLETRANSLATE(A46517, ""de"", ""en"")"),"test result")</f>
        <v>test result</v>
      </c>
    </row>
    <row r="46518">
      <c r="A46518" s="1" t="s">
        <v>46517</v>
      </c>
      <c r="B46518" s="2" t="str">
        <f>IFERROR(__xludf.DUMMYFUNCTION("GOOGLETRANSLATE(A46518, ""de"", ""en"")"),"satisfied ones")</f>
        <v>satisfied ones</v>
      </c>
    </row>
    <row r="46519">
      <c r="A46519" s="1" t="s">
        <v>46518</v>
      </c>
      <c r="B46519" s="2" t="str">
        <f>IFERROR(__xludf.DUMMYFUNCTION("GOOGLETRANSLATE(A46519, ""de"", ""en"")"),"detached")</f>
        <v>detached</v>
      </c>
    </row>
    <row r="46520">
      <c r="A46520" s="1" t="s">
        <v>46519</v>
      </c>
      <c r="B46520" s="2" t="str">
        <f>IFERROR(__xludf.DUMMYFUNCTION("GOOGLETRANSLATE(A46520, ""de"", ""en"")"),"tonelessly")</f>
        <v>tonelessly</v>
      </c>
    </row>
    <row r="46521">
      <c r="A46521" s="1" t="s">
        <v>46520</v>
      </c>
      <c r="B46521" s="2" t="str">
        <f>IFERROR(__xludf.DUMMYFUNCTION("GOOGLETRANSLATE(A46521, ""de"", ""en"")"),"indefinite")</f>
        <v>indefinite</v>
      </c>
    </row>
    <row r="46522">
      <c r="A46522" s="1" t="s">
        <v>46521</v>
      </c>
      <c r="B46522" s="2" t="str">
        <f>IFERROR(__xludf.DUMMYFUNCTION("GOOGLETRANSLATE(A46522, ""de"", ""en"")"),"failures")</f>
        <v>failures</v>
      </c>
    </row>
    <row r="46523">
      <c r="A46523" s="1" t="s">
        <v>46522</v>
      </c>
      <c r="B46523" s="2" t="str">
        <f>IFERROR(__xludf.DUMMYFUNCTION("GOOGLETRANSLATE(A46523, ""de"", ""en"")"),"jindrich")</f>
        <v>jindrich</v>
      </c>
    </row>
    <row r="46524">
      <c r="A46524" s="1" t="s">
        <v>46523</v>
      </c>
      <c r="B46524" s="2" t="str">
        <f>IFERROR(__xludf.DUMMYFUNCTION("GOOGLETRANSLATE(A46524, ""de"", ""en"")"),"participants")</f>
        <v>participants</v>
      </c>
    </row>
    <row r="46525">
      <c r="A46525" s="1" t="s">
        <v>46524</v>
      </c>
      <c r="B46525" s="2" t="str">
        <f>IFERROR(__xludf.DUMMYFUNCTION("GOOGLETRANSLATE(A46525, ""de"", ""en"")"),"went off")</f>
        <v>went off</v>
      </c>
    </row>
    <row r="46526">
      <c r="A46526" s="1" t="s">
        <v>46525</v>
      </c>
      <c r="B46526" s="2" t="str">
        <f>IFERROR(__xludf.DUMMYFUNCTION("GOOGLETRANSLATE(A46526, ""de"", ""en"")"),"doubt")</f>
        <v>doubt</v>
      </c>
    </row>
    <row r="46527">
      <c r="A46527" s="1" t="s">
        <v>46526</v>
      </c>
      <c r="B46527" s="2" t="str">
        <f>IFERROR(__xludf.DUMMYFUNCTION("GOOGLETRANSLATE(A46527, ""de"", ""en"")"),"Baldwin sisters")</f>
        <v>Baldwin sisters</v>
      </c>
    </row>
    <row r="46528">
      <c r="A46528" s="1" t="s">
        <v>46527</v>
      </c>
      <c r="B46528" s="2" t="str">
        <f>IFERROR(__xludf.DUMMYFUNCTION("GOOGLETRANSLATE(A46528, ""de"", ""en"")"),"chiharu")</f>
        <v>chiharu</v>
      </c>
    </row>
    <row r="46529">
      <c r="A46529" s="1" t="s">
        <v>46528</v>
      </c>
      <c r="B46529" s="2" t="str">
        <f>IFERROR(__xludf.DUMMYFUNCTION("GOOGLETRANSLATE(A46529, ""de"", ""en"")"),"to sit down")</f>
        <v>to sit down</v>
      </c>
    </row>
    <row r="46530">
      <c r="A46530" s="1" t="s">
        <v>46529</v>
      </c>
      <c r="B46530" s="2" t="str">
        <f>IFERROR(__xludf.DUMMYFUNCTION("GOOGLETRANSLATE(A46530, ""de"", ""en"")"),"verdi")</f>
        <v>verdi</v>
      </c>
    </row>
    <row r="46531">
      <c r="A46531" s="1" t="s">
        <v>46530</v>
      </c>
      <c r="B46531" s="2" t="str">
        <f>IFERROR(__xludf.DUMMYFUNCTION("GOOGLETRANSLATE(A46531, ""de"", ""en"")"),"seal")</f>
        <v>seal</v>
      </c>
    </row>
    <row r="46532">
      <c r="A46532" s="1" t="s">
        <v>46531</v>
      </c>
      <c r="B46532" s="2" t="str">
        <f>IFERROR(__xludf.DUMMYFUNCTION("GOOGLETRANSLATE(A46532, ""de"", ""en"")"),"feeling dizzy")</f>
        <v>feeling dizzy</v>
      </c>
    </row>
    <row r="46533">
      <c r="A46533" s="1" t="s">
        <v>46532</v>
      </c>
      <c r="B46533" s="2" t="str">
        <f>IFERROR(__xludf.DUMMYFUNCTION("GOOGLETRANSLATE(A46533, ""de"", ""en"")"),"poker player")</f>
        <v>poker player</v>
      </c>
    </row>
    <row r="46534">
      <c r="A46534" s="1" t="s">
        <v>46533</v>
      </c>
      <c r="B46534" s="2" t="str">
        <f>IFERROR(__xludf.DUMMYFUNCTION("GOOGLETRANSLATE(A46534, ""de"", ""en"")"),"hit")</f>
        <v>hit</v>
      </c>
    </row>
    <row r="46535">
      <c r="A46535" s="1" t="s">
        <v>46534</v>
      </c>
      <c r="B46535" s="2" t="str">
        <f>IFERROR(__xludf.DUMMYFUNCTION("GOOGLETRANSLATE(A46535, ""de"", ""en"")"),"translations")</f>
        <v>translations</v>
      </c>
    </row>
    <row r="46536">
      <c r="A46536" s="1" t="s">
        <v>46535</v>
      </c>
      <c r="B46536" s="2" t="str">
        <f>IFERROR(__xludf.DUMMYFUNCTION("GOOGLETRANSLATE(A46536, ""de"", ""en"")"),"predator")</f>
        <v>predator</v>
      </c>
    </row>
    <row r="46537">
      <c r="A46537" s="1" t="s">
        <v>46536</v>
      </c>
      <c r="B46537" s="2" t="str">
        <f>IFERROR(__xludf.DUMMYFUNCTION("GOOGLETRANSLATE(A46537, ""de"", ""en"")"),"Olaf")</f>
        <v>Olaf</v>
      </c>
    </row>
    <row r="46538">
      <c r="A46538" s="1" t="s">
        <v>46537</v>
      </c>
      <c r="B46538" s="2" t="str">
        <f>IFERROR(__xludf.DUMMYFUNCTION("GOOGLETRANSLATE(A46538, ""de"", ""en"")"),"equal")</f>
        <v>equal</v>
      </c>
    </row>
    <row r="46539">
      <c r="A46539" s="1" t="s">
        <v>46538</v>
      </c>
      <c r="B46539" s="2" t="str">
        <f>IFERROR(__xludf.DUMMYFUNCTION("GOOGLETRANSLATE(A46539, ""de"", ""en"")"),"yeah")</f>
        <v>yeah</v>
      </c>
    </row>
    <row r="46540">
      <c r="A46540" s="1" t="s">
        <v>46539</v>
      </c>
      <c r="B46540" s="2" t="str">
        <f>IFERROR(__xludf.DUMMYFUNCTION("GOOGLETRANSLATE(A46540, ""de"", ""en"")"),"chc0c0c0")</f>
        <v>chc0c0c0</v>
      </c>
    </row>
    <row r="46541">
      <c r="A46541" s="1" t="s">
        <v>46540</v>
      </c>
      <c r="B46541" s="2" t="str">
        <f>IFERROR(__xludf.DUMMYFUNCTION("GOOGLETRANSLATE(A46541, ""de"", ""en"")"),"blew up")</f>
        <v>blew up</v>
      </c>
    </row>
    <row r="46542">
      <c r="A46542" s="1" t="s">
        <v>46541</v>
      </c>
      <c r="B46542" s="2" t="str">
        <f>IFERROR(__xludf.DUMMYFUNCTION("GOOGLETRANSLATE(A46542, ""de"", ""en"")"),"dusk")</f>
        <v>dusk</v>
      </c>
    </row>
    <row r="46543">
      <c r="A46543" s="1" t="s">
        <v>46542</v>
      </c>
      <c r="B46543" s="2" t="str">
        <f>IFERROR(__xludf.DUMMYFUNCTION("GOOGLETRANSLATE(A46543, ""de"", ""en"")"),"earwig")</f>
        <v>earwig</v>
      </c>
    </row>
    <row r="46544">
      <c r="A46544" s="1" t="s">
        <v>46543</v>
      </c>
      <c r="B46544" s="2" t="str">
        <f>IFERROR(__xludf.DUMMYFUNCTION("GOOGLETRANSLATE(A46544, ""de"", ""en"")"),"peacock")</f>
        <v>peacock</v>
      </c>
    </row>
    <row r="46545">
      <c r="A46545" s="1" t="s">
        <v>46544</v>
      </c>
      <c r="B46545" s="2" t="str">
        <f>IFERROR(__xludf.DUMMYFUNCTION("GOOGLETRANSLATE(A46545, ""de"", ""en"")"),"toilet flush")</f>
        <v>toilet flush</v>
      </c>
    </row>
    <row r="46546">
      <c r="A46546" s="1" t="s">
        <v>46545</v>
      </c>
      <c r="B46546" s="2" t="str">
        <f>IFERROR(__xludf.DUMMYFUNCTION("GOOGLETRANSLATE(A46546, ""de"", ""en"")"),"overcoming")</f>
        <v>overcoming</v>
      </c>
    </row>
    <row r="46547">
      <c r="A46547" s="1" t="s">
        <v>46546</v>
      </c>
      <c r="B46547" s="2" t="str">
        <f>IFERROR(__xludf.DUMMYFUNCTION("GOOGLETRANSLATE(A46547, ""de"", ""en"")"),"coughlin")</f>
        <v>coughlin</v>
      </c>
    </row>
    <row r="46548">
      <c r="A46548" s="1" t="s">
        <v>46547</v>
      </c>
      <c r="B46548" s="2" t="str">
        <f>IFERROR(__xludf.DUMMYFUNCTION("GOOGLETRANSLATE(A46548, ""de"", ""en"")"),"hot air balloon")</f>
        <v>hot air balloon</v>
      </c>
    </row>
    <row r="46549">
      <c r="A46549" s="1" t="s">
        <v>46548</v>
      </c>
      <c r="B46549" s="2" t="str">
        <f>IFERROR(__xludf.DUMMYFUNCTION("GOOGLETRANSLATE(A46549, ""de"", ""en"")"),"more persistent")</f>
        <v>more persistent</v>
      </c>
    </row>
    <row r="46550">
      <c r="A46550" s="1" t="s">
        <v>46549</v>
      </c>
      <c r="B46550" s="2" t="str">
        <f>IFERROR(__xludf.DUMMYFUNCTION("GOOGLETRANSLATE(A46550, ""de"", ""en"")"),"neighboring house")</f>
        <v>neighboring house</v>
      </c>
    </row>
    <row r="46551">
      <c r="A46551" s="1" t="s">
        <v>46550</v>
      </c>
      <c r="B46551" s="2" t="str">
        <f>IFERROR(__xludf.DUMMYFUNCTION("GOOGLETRANSLATE(A46551, ""de"", ""en"")"),"bar brawl")</f>
        <v>bar brawl</v>
      </c>
    </row>
    <row r="46552">
      <c r="A46552" s="1" t="s">
        <v>46551</v>
      </c>
      <c r="B46552" s="2" t="str">
        <f>IFERROR(__xludf.DUMMYFUNCTION("GOOGLETRANSLATE(A46552, ""de"", ""en"")"),"all alone")</f>
        <v>all alone</v>
      </c>
    </row>
    <row r="46553">
      <c r="A46553" s="1" t="s">
        <v>46552</v>
      </c>
      <c r="B46553" s="2" t="str">
        <f>IFERROR(__xludf.DUMMYFUNCTION("GOOGLETRANSLATE(A46553, ""de"", ""en"")"),"Hezbollah")</f>
        <v>Hezbollah</v>
      </c>
    </row>
    <row r="46554">
      <c r="A46554" s="1" t="s">
        <v>46553</v>
      </c>
      <c r="B46554" s="2" t="str">
        <f>IFERROR(__xludf.DUMMYFUNCTION("GOOGLETRANSLATE(A46554, ""de"", ""en"")"),"weather")</f>
        <v>weather</v>
      </c>
    </row>
    <row r="46555">
      <c r="A46555" s="1" t="s">
        <v>46554</v>
      </c>
      <c r="B46555" s="2" t="str">
        <f>IFERROR(__xludf.DUMMYFUNCTION("GOOGLETRANSLATE(A46555, ""de"", ""en"")"),"suss")</f>
        <v>suss</v>
      </c>
    </row>
    <row r="46556">
      <c r="A46556" s="1" t="s">
        <v>46555</v>
      </c>
      <c r="B46556" s="2" t="str">
        <f>IFERROR(__xludf.DUMMYFUNCTION("GOOGLETRANSLATE(A46556, ""de"", ""en"")"),"illegitimate")</f>
        <v>illegitimate</v>
      </c>
    </row>
    <row r="46557">
      <c r="A46557" s="1" t="s">
        <v>46556</v>
      </c>
      <c r="B46557" s="2" t="str">
        <f>IFERROR(__xludf.DUMMYFUNCTION("GOOGLETRANSLATE(A46557, ""de"", ""en"")"),"highest bidder")</f>
        <v>highest bidder</v>
      </c>
    </row>
    <row r="46558">
      <c r="A46558" s="1" t="s">
        <v>46557</v>
      </c>
      <c r="B46558" s="2" t="str">
        <f>IFERROR(__xludf.DUMMYFUNCTION("GOOGLETRANSLATE(A46558, ""de"", ""en"")"),"transcript")</f>
        <v>transcript</v>
      </c>
    </row>
    <row r="46559">
      <c r="A46559" s="1" t="s">
        <v>46558</v>
      </c>
      <c r="B46559" s="2" t="str">
        <f>IFERROR(__xludf.DUMMYFUNCTION("GOOGLETRANSLATE(A46559, ""de"", ""en"")"),"peder")</f>
        <v>peder</v>
      </c>
    </row>
    <row r="46560">
      <c r="A46560" s="1" t="s">
        <v>46559</v>
      </c>
      <c r="B46560" s="2" t="str">
        <f>IFERROR(__xludf.DUMMYFUNCTION("GOOGLETRANSLATE(A46560, ""de"", ""en"")"),"algernon")</f>
        <v>algernon</v>
      </c>
    </row>
    <row r="46561">
      <c r="A46561" s="1" t="s">
        <v>46560</v>
      </c>
      <c r="B46561" s="2" t="str">
        <f>IFERROR(__xludf.DUMMYFUNCTION("GOOGLETRANSLATE(A46561, ""de"", ""en"")"),"advised")</f>
        <v>advised</v>
      </c>
    </row>
    <row r="46562">
      <c r="A46562" s="1" t="s">
        <v>46561</v>
      </c>
      <c r="B46562" s="2" t="str">
        <f>IFERROR(__xludf.DUMMYFUNCTION("GOOGLETRANSLATE(A46562, ""de"", ""en"")"),"chat")</f>
        <v>chat</v>
      </c>
    </row>
    <row r="46563">
      <c r="A46563" s="1" t="s">
        <v>46562</v>
      </c>
      <c r="B46563" s="2" t="str">
        <f>IFERROR(__xludf.DUMMYFUNCTION("GOOGLETRANSLATE(A46563, ""de"", ""en"")"),"benign")</f>
        <v>benign</v>
      </c>
    </row>
    <row r="46564">
      <c r="A46564" s="1" t="s">
        <v>46563</v>
      </c>
      <c r="B46564" s="2" t="str">
        <f>IFERROR(__xludf.DUMMYFUNCTION("GOOGLETRANSLATE(A46564, ""de"", ""en"")"),"auxiliary energy")</f>
        <v>auxiliary energy</v>
      </c>
    </row>
    <row r="46565">
      <c r="A46565" s="1" t="s">
        <v>46564</v>
      </c>
      <c r="B46565" s="2" t="str">
        <f>IFERROR(__xludf.DUMMYFUNCTION("GOOGLETRANSLATE(A46565, ""de"", ""en"")"),"bed")</f>
        <v>bed</v>
      </c>
    </row>
    <row r="46566">
      <c r="A46566" s="1" t="s">
        <v>46565</v>
      </c>
      <c r="B46566" s="2" t="str">
        <f>IFERROR(__xludf.DUMMYFUNCTION("GOOGLETRANSLATE(A46566, ""de"", ""en"")"),"gambling addiction")</f>
        <v>gambling addiction</v>
      </c>
    </row>
    <row r="46567">
      <c r="A46567" s="1" t="s">
        <v>46566</v>
      </c>
      <c r="B46567" s="2" t="str">
        <f>IFERROR(__xludf.DUMMYFUNCTION("GOOGLETRANSLATE(A46567, ""de"", ""en"")"),"harmonize")</f>
        <v>harmonize</v>
      </c>
    </row>
    <row r="46568">
      <c r="A46568" s="1" t="s">
        <v>46567</v>
      </c>
      <c r="B46568" s="2" t="str">
        <f>IFERROR(__xludf.DUMMYFUNCTION("GOOGLETRANSLATE(A46568, ""de"", ""en"")"),"kens")</f>
        <v>kens</v>
      </c>
    </row>
    <row r="46569">
      <c r="A46569" s="1" t="s">
        <v>46568</v>
      </c>
      <c r="B46569" s="2" t="str">
        <f>IFERROR(__xludf.DUMMYFUNCTION("GOOGLETRANSLATE(A46569, ""de"", ""en"")"),"orchard")</f>
        <v>orchard</v>
      </c>
    </row>
    <row r="46570">
      <c r="A46570" s="1" t="s">
        <v>46569</v>
      </c>
      <c r="B46570" s="2" t="str">
        <f>IFERROR(__xludf.DUMMYFUNCTION("GOOGLETRANSLATE(A46570, ""de"", ""en"")"),"favorite piece")</f>
        <v>favorite piece</v>
      </c>
    </row>
    <row r="46571">
      <c r="A46571" s="1" t="s">
        <v>46570</v>
      </c>
      <c r="B46571" s="2" t="str">
        <f>IFERROR(__xludf.DUMMYFUNCTION("GOOGLETRANSLATE(A46571, ""de"", ""en"")"),"raid")</f>
        <v>raid</v>
      </c>
    </row>
    <row r="46572">
      <c r="A46572" s="1" t="s">
        <v>46571</v>
      </c>
      <c r="B46572" s="2" t="str">
        <f>IFERROR(__xludf.DUMMYFUNCTION("GOOGLETRANSLATE(A46572, ""de"", ""en"")"),"system error")</f>
        <v>system error</v>
      </c>
    </row>
    <row r="46573">
      <c r="A46573" s="1" t="s">
        <v>46572</v>
      </c>
      <c r="B46573" s="2" t="str">
        <f>IFERROR(__xludf.DUMMYFUNCTION("GOOGLETRANSLATE(A46573, ""de"", ""en"")"),"engineer")</f>
        <v>engineer</v>
      </c>
    </row>
    <row r="46574">
      <c r="A46574" s="1" t="s">
        <v>46573</v>
      </c>
      <c r="B46574" s="2" t="str">
        <f>IFERROR(__xludf.DUMMYFUNCTION("GOOGLETRANSLATE(A46574, ""de"", ""en"")"),"expelled")</f>
        <v>expelled</v>
      </c>
    </row>
    <row r="46575">
      <c r="A46575" s="1" t="s">
        <v>46574</v>
      </c>
      <c r="B46575" s="2" t="str">
        <f>IFERROR(__xludf.DUMMYFUNCTION("GOOGLETRANSLATE(A46575, ""de"", ""en"")"),"Buddhists")</f>
        <v>Buddhists</v>
      </c>
    </row>
    <row r="46576">
      <c r="A46576" s="1" t="s">
        <v>46575</v>
      </c>
      <c r="B46576" s="2" t="str">
        <f>IFERROR(__xludf.DUMMYFUNCTION("GOOGLETRANSLATE(A46576, ""de"", ""en"")"),"raph")</f>
        <v>raph</v>
      </c>
    </row>
    <row r="46577">
      <c r="A46577" s="1" t="s">
        <v>46576</v>
      </c>
      <c r="B46577" s="2" t="str">
        <f>IFERROR(__xludf.DUMMYFUNCTION("GOOGLETRANSLATE(A46577, ""de"", ""en"")"),"cable car")</f>
        <v>cable car</v>
      </c>
    </row>
    <row r="46578">
      <c r="A46578" s="1" t="s">
        <v>46577</v>
      </c>
      <c r="B46578" s="2" t="str">
        <f>IFERROR(__xludf.DUMMYFUNCTION("GOOGLETRANSLATE(A46578, ""de"", ""en"")"),"indestructible")</f>
        <v>indestructible</v>
      </c>
    </row>
    <row r="46579">
      <c r="A46579" s="1" t="s">
        <v>46578</v>
      </c>
      <c r="B46579" s="2" t="str">
        <f>IFERROR(__xludf.DUMMYFUNCTION("GOOGLETRANSLATE(A46579, ""de"", ""en"")"),"folk music")</f>
        <v>folk music</v>
      </c>
    </row>
    <row r="46580">
      <c r="A46580" s="1" t="s">
        <v>46579</v>
      </c>
      <c r="B46580" s="2" t="str">
        <f>IFERROR(__xludf.DUMMYFUNCTION("GOOGLETRANSLATE(A46580, ""de"", ""en"")"),"Seeger")</f>
        <v>Seeger</v>
      </c>
    </row>
    <row r="46581">
      <c r="A46581" s="1" t="s">
        <v>46580</v>
      </c>
      <c r="B46581" s="2" t="str">
        <f>IFERROR(__xludf.DUMMYFUNCTION("GOOGLETRANSLATE(A46581, ""de"", ""en"")"),"devilish stuff")</f>
        <v>devilish stuff</v>
      </c>
    </row>
    <row r="46582">
      <c r="A46582" s="1" t="s">
        <v>46581</v>
      </c>
      <c r="B46582" s="2" t="str">
        <f>IFERROR(__xludf.DUMMYFUNCTION("GOOGLETRANSLATE(A46582, ""de"", ""en"")"),"civil lawsuit")</f>
        <v>civil lawsuit</v>
      </c>
    </row>
    <row r="46583">
      <c r="A46583" s="1" t="s">
        <v>46582</v>
      </c>
      <c r="B46583" s="2" t="str">
        <f>IFERROR(__xludf.DUMMYFUNCTION("GOOGLETRANSLATE(A46583, ""de"", ""en"")"),"herta")</f>
        <v>herta</v>
      </c>
    </row>
    <row r="46584">
      <c r="A46584" s="1" t="s">
        <v>46583</v>
      </c>
      <c r="B46584" s="2" t="str">
        <f>IFERROR(__xludf.DUMMYFUNCTION("GOOGLETRANSLATE(A46584, ""de"", ""en"")"),"student")</f>
        <v>student</v>
      </c>
    </row>
    <row r="46585">
      <c r="A46585" s="1" t="s">
        <v>46584</v>
      </c>
      <c r="B46585" s="2" t="str">
        <f>IFERROR(__xludf.DUMMYFUNCTION("GOOGLETRANSLATE(A46585, ""de"", ""en"")"),"jiji")</f>
        <v>jiji</v>
      </c>
    </row>
    <row r="46586">
      <c r="A46586" s="1" t="s">
        <v>46585</v>
      </c>
      <c r="B46586" s="2" t="str">
        <f>IFERROR(__xludf.DUMMYFUNCTION("GOOGLETRANSLATE(A46586, ""de"", ""en"")"),"stowaway")</f>
        <v>stowaway</v>
      </c>
    </row>
    <row r="46587">
      <c r="A46587" s="1" t="s">
        <v>46586</v>
      </c>
      <c r="B46587" s="2" t="str">
        <f>IFERROR(__xludf.DUMMYFUNCTION("GOOGLETRANSLATE(A46587, ""de"", ""en"")"),"insidious")</f>
        <v>insidious</v>
      </c>
    </row>
    <row r="46588">
      <c r="A46588" s="1" t="s">
        <v>46587</v>
      </c>
      <c r="B46588" s="2" t="str">
        <f>IFERROR(__xludf.DUMMYFUNCTION("GOOGLETRANSLATE(A46588, ""de"", ""en"")"),"tribute")</f>
        <v>tribute</v>
      </c>
    </row>
    <row r="46589">
      <c r="A46589" s="1" t="s">
        <v>46588</v>
      </c>
      <c r="B46589" s="2" t="str">
        <f>IFERROR(__xludf.DUMMYFUNCTION("GOOGLETRANSLATE(A46589, ""de"", ""en"")"),"Basel")</f>
        <v>Basel</v>
      </c>
    </row>
    <row r="46590">
      <c r="A46590" s="1" t="s">
        <v>46589</v>
      </c>
      <c r="B46590" s="2" t="str">
        <f>IFERROR(__xludf.DUMMYFUNCTION("GOOGLETRANSLATE(A46590, ""de"", ""en"")"),"continued")</f>
        <v>continued</v>
      </c>
    </row>
    <row r="46591">
      <c r="A46591" s="1" t="s">
        <v>46590</v>
      </c>
      <c r="B46591" s="2" t="str">
        <f>IFERROR(__xludf.DUMMYFUNCTION("GOOGLETRANSLATE(A46591, ""de"", ""en"")"),"written down")</f>
        <v>written down</v>
      </c>
    </row>
    <row r="46592">
      <c r="A46592" s="1" t="s">
        <v>46591</v>
      </c>
      <c r="B46592" s="2" t="str">
        <f>IFERROR(__xludf.DUMMYFUNCTION("GOOGLETRANSLATE(A46592, ""de"", ""en"")"),"3-d")</f>
        <v>3-d</v>
      </c>
    </row>
    <row r="46593">
      <c r="A46593" s="1" t="s">
        <v>46592</v>
      </c>
      <c r="B46593" s="2" t="str">
        <f>IFERROR(__xludf.DUMMYFUNCTION("GOOGLETRANSLATE(A46593, ""de"", ""en"")"),"coloring")</f>
        <v>coloring</v>
      </c>
    </row>
    <row r="46594">
      <c r="A46594" s="1" t="s">
        <v>46593</v>
      </c>
      <c r="B46594" s="2" t="str">
        <f>IFERROR(__xludf.DUMMYFUNCTION("GOOGLETRANSLATE(A46594, ""de"", ""en"")"),"Tomie")</f>
        <v>Tomie</v>
      </c>
    </row>
    <row r="46595">
      <c r="A46595" s="1" t="s">
        <v>46594</v>
      </c>
      <c r="B46595" s="2" t="str">
        <f>IFERROR(__xludf.DUMMYFUNCTION("GOOGLETRANSLATE(A46595, ""de"", ""en"")"),"yamada")</f>
        <v>yamada</v>
      </c>
    </row>
    <row r="46596">
      <c r="A46596" s="1" t="s">
        <v>46595</v>
      </c>
      <c r="B46596" s="2" t="str">
        <f>IFERROR(__xludf.DUMMYFUNCTION("GOOGLETRANSLATE(A46596, ""de"", ""en"")"),"urca")</f>
        <v>urca</v>
      </c>
    </row>
    <row r="46597">
      <c r="A46597" s="1" t="s">
        <v>46596</v>
      </c>
      <c r="B46597" s="2" t="str">
        <f>IFERROR(__xludf.DUMMYFUNCTION("GOOGLETRANSLATE(A46597, ""de"", ""en"")"),"zeros")</f>
        <v>zeros</v>
      </c>
    </row>
    <row r="46598">
      <c r="A46598" s="1" t="s">
        <v>46597</v>
      </c>
      <c r="B46598" s="2" t="str">
        <f>IFERROR(__xludf.DUMMYFUNCTION("GOOGLETRANSLATE(A46598, ""de"", ""en"")"),"suck")</f>
        <v>suck</v>
      </c>
    </row>
    <row r="46599">
      <c r="A46599" s="1" t="s">
        <v>46598</v>
      </c>
      <c r="B46599" s="2" t="str">
        <f>IFERROR(__xludf.DUMMYFUNCTION("GOOGLETRANSLATE(A46599, ""de"", ""en"")"),"painless")</f>
        <v>painless</v>
      </c>
    </row>
    <row r="46600">
      <c r="A46600" s="1" t="s">
        <v>46599</v>
      </c>
      <c r="B46600" s="2" t="str">
        <f>IFERROR(__xludf.DUMMYFUNCTION("GOOGLETRANSLATE(A46600, ""de"", ""en"")"),"prep")</f>
        <v>prep</v>
      </c>
    </row>
    <row r="46601">
      <c r="A46601" s="1" t="s">
        <v>46600</v>
      </c>
      <c r="B46601" s="2" t="str">
        <f>IFERROR(__xludf.DUMMYFUNCTION("GOOGLETRANSLATE(A46601, ""de"", ""en"")"),"complacency")</f>
        <v>complacency</v>
      </c>
    </row>
    <row r="46602">
      <c r="A46602" s="1" t="s">
        <v>46601</v>
      </c>
      <c r="B46602" s="2" t="str">
        <f>IFERROR(__xludf.DUMMYFUNCTION("GOOGLETRANSLATE(A46602, ""de"", ""en"")"),"fly around")</f>
        <v>fly around</v>
      </c>
    </row>
    <row r="46603">
      <c r="A46603" s="1" t="s">
        <v>46602</v>
      </c>
      <c r="B46603" s="2" t="str">
        <f>IFERROR(__xludf.DUMMYFUNCTION("GOOGLETRANSLATE(A46603, ""de"", ""en"")"),"disturbing")</f>
        <v>disturbing</v>
      </c>
    </row>
    <row r="46604">
      <c r="A46604" s="1" t="s">
        <v>46603</v>
      </c>
      <c r="B46604" s="2" t="str">
        <f>IFERROR(__xludf.DUMMYFUNCTION("GOOGLETRANSLATE(A46604, ""de"", ""en"")"),"yoshie")</f>
        <v>yoshie</v>
      </c>
    </row>
    <row r="46605">
      <c r="A46605" s="1" t="s">
        <v>46604</v>
      </c>
      <c r="B46605" s="2" t="str">
        <f>IFERROR(__xludf.DUMMYFUNCTION("GOOGLETRANSLATE(A46605, ""de"", ""en"")"),"pickled")</f>
        <v>pickled</v>
      </c>
    </row>
    <row r="46606">
      <c r="A46606" s="1" t="s">
        <v>46605</v>
      </c>
      <c r="B46606" s="2" t="str">
        <f>IFERROR(__xludf.DUMMYFUNCTION("GOOGLETRANSLATE(A46606, ""de"", ""en"")"),"routine examination")</f>
        <v>routine examination</v>
      </c>
    </row>
    <row r="46607">
      <c r="A46607" s="1" t="s">
        <v>46606</v>
      </c>
      <c r="B46607" s="2" t="str">
        <f>IFERROR(__xludf.DUMMYFUNCTION("GOOGLETRANSLATE(A46607, ""de"", ""en"")"),"stab")</f>
        <v>stab</v>
      </c>
    </row>
    <row r="46608">
      <c r="A46608" s="1" t="s">
        <v>46607</v>
      </c>
      <c r="B46608" s="2" t="str">
        <f>IFERROR(__xludf.DUMMYFUNCTION("GOOGLETRANSLATE(A46608, ""de"", ""en"")"),"maybe")</f>
        <v>maybe</v>
      </c>
    </row>
    <row r="46609">
      <c r="A46609" s="1" t="s">
        <v>46608</v>
      </c>
      <c r="B46609" s="2" t="str">
        <f>IFERROR(__xludf.DUMMYFUNCTION("GOOGLETRANSLATE(A46609, ""de"", ""en"")"),"combat technique")</f>
        <v>combat technique</v>
      </c>
    </row>
    <row r="46610">
      <c r="A46610" s="1" t="s">
        <v>46609</v>
      </c>
      <c r="B46610" s="2" t="str">
        <f>IFERROR(__xludf.DUMMYFUNCTION("GOOGLETRANSLATE(A46610, ""de"", ""en"")"),"starter")</f>
        <v>starter</v>
      </c>
    </row>
    <row r="46611">
      <c r="A46611" s="1" t="s">
        <v>46610</v>
      </c>
      <c r="B46611" s="2" t="str">
        <f>IFERROR(__xludf.DUMMYFUNCTION("GOOGLETRANSLATE(A46611, ""de"", ""en"")"),"truthfully")</f>
        <v>truthfully</v>
      </c>
    </row>
    <row r="46612">
      <c r="A46612" s="1" t="s">
        <v>46611</v>
      </c>
      <c r="B46612" s="2" t="str">
        <f>IFERROR(__xludf.DUMMYFUNCTION("GOOGLETRANSLATE(A46612, ""de"", ""en"")"),"cab")</f>
        <v>cab</v>
      </c>
    </row>
    <row r="46613">
      <c r="A46613" s="1" t="s">
        <v>46612</v>
      </c>
      <c r="B46613" s="2" t="str">
        <f>IFERROR(__xludf.DUMMYFUNCTION("GOOGLETRANSLATE(A46613, ""de"", ""en"")"),"runs away")</f>
        <v>runs away</v>
      </c>
    </row>
    <row r="46614">
      <c r="A46614" s="1" t="s">
        <v>46613</v>
      </c>
      <c r="B46614" s="2" t="str">
        <f>IFERROR(__xludf.DUMMYFUNCTION("GOOGLETRANSLATE(A46614, ""de"", ""en"")"),"secret matter")</f>
        <v>secret matter</v>
      </c>
    </row>
    <row r="46615">
      <c r="A46615" s="1" t="s">
        <v>46614</v>
      </c>
      <c r="B46615" s="2" t="str">
        <f>IFERROR(__xludf.DUMMYFUNCTION("GOOGLETRANSLATE(A46615, ""de"", ""en"")"),"baelfire")</f>
        <v>baelfire</v>
      </c>
    </row>
    <row r="46616">
      <c r="A46616" s="1" t="s">
        <v>46615</v>
      </c>
      <c r="B46616" s="2" t="str">
        <f>IFERROR(__xludf.DUMMYFUNCTION("GOOGLETRANSLATE(A46616, ""de"", ""en"")"),"pico")</f>
        <v>pico</v>
      </c>
    </row>
    <row r="46617">
      <c r="A46617" s="1" t="s">
        <v>46616</v>
      </c>
      <c r="B46617" s="2" t="str">
        <f>IFERROR(__xludf.DUMMYFUNCTION("GOOGLETRANSLATE(A46617, ""de"", ""en"")"),"fatbrat")</f>
        <v>fatbrat</v>
      </c>
    </row>
    <row r="46618">
      <c r="A46618" s="1" t="s">
        <v>46617</v>
      </c>
      <c r="B46618" s="2" t="str">
        <f>IFERROR(__xludf.DUMMYFUNCTION("GOOGLETRANSLATE(A46618, ""de"", ""en"")"),"war veteran")</f>
        <v>war veteran</v>
      </c>
    </row>
    <row r="46619">
      <c r="A46619" s="1" t="s">
        <v>46618</v>
      </c>
      <c r="B46619" s="2" t="str">
        <f>IFERROR(__xludf.DUMMYFUNCTION("GOOGLETRANSLATE(A46619, ""de"", ""en"")"),"anika")</f>
        <v>anika</v>
      </c>
    </row>
    <row r="46620">
      <c r="A46620" s="1" t="s">
        <v>46619</v>
      </c>
      <c r="B46620" s="2" t="str">
        <f>IFERROR(__xludf.DUMMYFUNCTION("GOOGLETRANSLATE(A46620, ""de"", ""en"")"),"Muslims")</f>
        <v>Muslims</v>
      </c>
    </row>
    <row r="46621">
      <c r="A46621" s="1" t="s">
        <v>46620</v>
      </c>
      <c r="B46621" s="2" t="str">
        <f>IFERROR(__xludf.DUMMYFUNCTION("GOOGLETRANSLATE(A46621, ""de"", ""en"")"),"roquefort")</f>
        <v>roquefort</v>
      </c>
    </row>
    <row r="46622">
      <c r="A46622" s="1" t="s">
        <v>46621</v>
      </c>
      <c r="B46622" s="2" t="str">
        <f>IFERROR(__xludf.DUMMYFUNCTION("GOOGLETRANSLATE(A46622, ""de"", ""en"")"),"procedure")</f>
        <v>procedure</v>
      </c>
    </row>
    <row r="46623">
      <c r="A46623" s="1" t="s">
        <v>46622</v>
      </c>
      <c r="B46623" s="2" t="str">
        <f>IFERROR(__xludf.DUMMYFUNCTION("GOOGLETRANSLATE(A46623, ""de"", ""en"")"),"above")</f>
        <v>above</v>
      </c>
    </row>
    <row r="46624">
      <c r="A46624" s="1" t="s">
        <v>46623</v>
      </c>
      <c r="B46624" s="2" t="str">
        <f>IFERROR(__xludf.DUMMYFUNCTION("GOOGLETRANSLATE(A46624, ""de"", ""en"")"),"expense account")</f>
        <v>expense account</v>
      </c>
    </row>
    <row r="46625">
      <c r="A46625" s="1" t="s">
        <v>46624</v>
      </c>
      <c r="B46625" s="2" t="str">
        <f>IFERROR(__xludf.DUMMYFUNCTION("GOOGLETRANSLATE(A46625, ""de"", ""en"")"),"cubic meters")</f>
        <v>cubic meters</v>
      </c>
    </row>
    <row r="46626">
      <c r="A46626" s="1" t="s">
        <v>46625</v>
      </c>
      <c r="B46626" s="2" t="str">
        <f>IFERROR(__xludf.DUMMYFUNCTION("GOOGLETRANSLATE(A46626, ""de"", ""en"")"),"grown up")</f>
        <v>grown up</v>
      </c>
    </row>
    <row r="46627">
      <c r="A46627" s="1" t="s">
        <v>46626</v>
      </c>
      <c r="B46627" s="2" t="str">
        <f>IFERROR(__xludf.DUMMYFUNCTION("GOOGLETRANSLATE(A46627, ""de"", ""en"")"),"committee")</f>
        <v>committee</v>
      </c>
    </row>
    <row r="46628">
      <c r="A46628" s="1" t="s">
        <v>46627</v>
      </c>
      <c r="B46628" s="2" t="str">
        <f>IFERROR(__xludf.DUMMYFUNCTION("GOOGLETRANSLATE(A46628, ""de"", ""en"")"),"install")</f>
        <v>install</v>
      </c>
    </row>
    <row r="46629">
      <c r="A46629" s="1" t="s">
        <v>46628</v>
      </c>
      <c r="B46629" s="2" t="str">
        <f>IFERROR(__xludf.DUMMYFUNCTION("GOOGLETRANSLATE(A46629, ""de"", ""en"")"),"dreamland")</f>
        <v>dreamland</v>
      </c>
    </row>
    <row r="46630">
      <c r="A46630" s="1" t="s">
        <v>46629</v>
      </c>
      <c r="B46630" s="2" t="str">
        <f>IFERROR(__xludf.DUMMYFUNCTION("GOOGLETRANSLATE(A46630, ""de"", ""en"")"),"provide")</f>
        <v>provide</v>
      </c>
    </row>
    <row r="46631">
      <c r="A46631" s="1" t="s">
        <v>46630</v>
      </c>
      <c r="B46631" s="2" t="str">
        <f>IFERROR(__xludf.DUMMYFUNCTION("GOOGLETRANSLATE(A46631, ""de"", ""en"")"),"marriage counselor")</f>
        <v>marriage counselor</v>
      </c>
    </row>
    <row r="46632">
      <c r="A46632" s="1" t="s">
        <v>46631</v>
      </c>
      <c r="B46632" s="2" t="str">
        <f>IFERROR(__xludf.DUMMYFUNCTION("GOOGLETRANSLATE(A46632, ""de"", ""en"")"),"grins")</f>
        <v>grins</v>
      </c>
    </row>
    <row r="46633">
      <c r="A46633" s="1" t="s">
        <v>46632</v>
      </c>
      <c r="B46633" s="2" t="str">
        <f>IFERROR(__xludf.DUMMYFUNCTION("GOOGLETRANSLATE(A46633, ""de"", ""en"")"),"taken out")</f>
        <v>taken out</v>
      </c>
    </row>
    <row r="46634">
      <c r="A46634" s="1" t="s">
        <v>46633</v>
      </c>
      <c r="B46634" s="2" t="str">
        <f>IFERROR(__xludf.DUMMYFUNCTION("GOOGLETRANSLATE(A46634, ""de"", ""en"")"),"jammer")</f>
        <v>jammer</v>
      </c>
    </row>
    <row r="46635">
      <c r="A46635" s="1" t="s">
        <v>46634</v>
      </c>
      <c r="B46635" s="2" t="str">
        <f>IFERROR(__xludf.DUMMYFUNCTION("GOOGLETRANSLATE(A46635, ""de"", ""en"")"),"13 year old")</f>
        <v>13 year old</v>
      </c>
    </row>
    <row r="46636">
      <c r="A46636" s="1" t="s">
        <v>46635</v>
      </c>
      <c r="B46636" s="2" t="str">
        <f>IFERROR(__xludf.DUMMYFUNCTION("GOOGLETRANSLATE(A46636, ""de"", ""en"")"),"laude")</f>
        <v>laude</v>
      </c>
    </row>
    <row r="46637">
      <c r="A46637" s="1" t="s">
        <v>46636</v>
      </c>
      <c r="B46637" s="2" t="str">
        <f>IFERROR(__xludf.DUMMYFUNCTION("GOOGLETRANSLATE(A46637, ""de"", ""en"")"),"field work")</f>
        <v>field work</v>
      </c>
    </row>
    <row r="46638">
      <c r="A46638" s="1" t="s">
        <v>46637</v>
      </c>
      <c r="B46638" s="2" t="str">
        <f>IFERROR(__xludf.DUMMYFUNCTION("GOOGLETRANSLATE(A46638, ""de"", ""en"")"),"Saltzman")</f>
        <v>Saltzman</v>
      </c>
    </row>
    <row r="46639">
      <c r="A46639" s="1" t="s">
        <v>46638</v>
      </c>
      <c r="B46639" s="2" t="str">
        <f>IFERROR(__xludf.DUMMYFUNCTION("GOOGLETRANSLATE(A46639, ""de"", ""en"")"),"turbolift")</f>
        <v>turbolift</v>
      </c>
    </row>
    <row r="46640">
      <c r="A46640" s="1" t="s">
        <v>46639</v>
      </c>
      <c r="B46640" s="2" t="str">
        <f>IFERROR(__xludf.DUMMYFUNCTION("GOOGLETRANSLATE(A46640, ""de"", ""en"")"),"refrain")</f>
        <v>refrain</v>
      </c>
    </row>
    <row r="46641">
      <c r="A46641" s="1" t="s">
        <v>46640</v>
      </c>
      <c r="B46641" s="2" t="str">
        <f>IFERROR(__xludf.DUMMYFUNCTION("GOOGLETRANSLATE(A46641, ""de"", ""en"")"),"renowned")</f>
        <v>renowned</v>
      </c>
    </row>
    <row r="46642">
      <c r="A46642" s="1" t="s">
        <v>46641</v>
      </c>
      <c r="B46642" s="2" t="str">
        <f>IFERROR(__xludf.DUMMYFUNCTION("GOOGLETRANSLATE(A46642, ""de"", ""en"")"),"riton")</f>
        <v>riton</v>
      </c>
    </row>
    <row r="46643">
      <c r="A46643" s="1" t="s">
        <v>46642</v>
      </c>
      <c r="B46643" s="2" t="str">
        <f>IFERROR(__xludf.DUMMYFUNCTION("GOOGLETRANSLATE(A46643, ""de"", ""en"")"),"freddy's")</f>
        <v>freddy's</v>
      </c>
    </row>
    <row r="46644">
      <c r="A46644" s="1" t="s">
        <v>46643</v>
      </c>
      <c r="B46644" s="2" t="str">
        <f>IFERROR(__xludf.DUMMYFUNCTION("GOOGLETRANSLATE(A46644, ""de"", ""en"")"),"verdict")</f>
        <v>verdict</v>
      </c>
    </row>
    <row r="46645">
      <c r="A46645" s="1" t="s">
        <v>46644</v>
      </c>
      <c r="B46645" s="2" t="str">
        <f>IFERROR(__xludf.DUMMYFUNCTION("GOOGLETRANSLATE(A46645, ""de"", ""en"")"),"orange")</f>
        <v>orange</v>
      </c>
    </row>
    <row r="46646">
      <c r="A46646" s="1" t="s">
        <v>46645</v>
      </c>
      <c r="B46646" s="2" t="str">
        <f>IFERROR(__xludf.DUMMYFUNCTION("GOOGLETRANSLATE(A46646, ""de"", ""en"")"),"potato pancakes")</f>
        <v>potato pancakes</v>
      </c>
    </row>
    <row r="46647">
      <c r="A46647" s="1" t="s">
        <v>46646</v>
      </c>
      <c r="B46647" s="2" t="str">
        <f>IFERROR(__xludf.DUMMYFUNCTION("GOOGLETRANSLATE(A46647, ""de"", ""en"")"),"paroli")</f>
        <v>paroli</v>
      </c>
    </row>
    <row r="46648">
      <c r="A46648" s="1" t="s">
        <v>46647</v>
      </c>
      <c r="B46648" s="2" t="str">
        <f>IFERROR(__xludf.DUMMYFUNCTION("GOOGLETRANSLATE(A46648, ""de"", ""en"")"),"security officer")</f>
        <v>security officer</v>
      </c>
    </row>
    <row r="46649">
      <c r="A46649" s="1" t="s">
        <v>46648</v>
      </c>
      <c r="B46649" s="2" t="str">
        <f>IFERROR(__xludf.DUMMYFUNCTION("GOOGLETRANSLATE(A46649, ""de"", ""en"")"),"haffner")</f>
        <v>haffner</v>
      </c>
    </row>
    <row r="46650">
      <c r="A46650" s="1" t="s">
        <v>46649</v>
      </c>
      <c r="B46650" s="2" t="str">
        <f>IFERROR(__xludf.DUMMYFUNCTION("GOOGLETRANSLATE(A46650, ""de"", ""en"")"),"inauguration")</f>
        <v>inauguration</v>
      </c>
    </row>
    <row r="46651">
      <c r="A46651" s="1" t="s">
        <v>46650</v>
      </c>
      <c r="B46651" s="2" t="str">
        <f>IFERROR(__xludf.DUMMYFUNCTION("GOOGLETRANSLATE(A46651, ""de"", ""en"")"),"warrior")</f>
        <v>warrior</v>
      </c>
    </row>
    <row r="46652">
      <c r="A46652" s="1" t="s">
        <v>46651</v>
      </c>
      <c r="B46652" s="2" t="str">
        <f>IFERROR(__xludf.DUMMYFUNCTION("GOOGLETRANSLATE(A46652, ""de"", ""en"")"),"debauchery")</f>
        <v>debauchery</v>
      </c>
    </row>
    <row r="46653">
      <c r="A46653" s="1" t="s">
        <v>46652</v>
      </c>
      <c r="B46653" s="2" t="str">
        <f>IFERROR(__xludf.DUMMYFUNCTION("GOOGLETRANSLATE(A46653, ""de"", ""en"")"),"Serbian")</f>
        <v>Serbian</v>
      </c>
    </row>
    <row r="46654">
      <c r="A46654" s="1" t="s">
        <v>46653</v>
      </c>
      <c r="B46654" s="2" t="str">
        <f>IFERROR(__xludf.DUMMYFUNCTION("GOOGLETRANSLATE(A46654, ""de"", ""en"")"),"rock solid")</f>
        <v>rock solid</v>
      </c>
    </row>
    <row r="46655">
      <c r="A46655" s="1" t="s">
        <v>46654</v>
      </c>
      <c r="B46655" s="2" t="str">
        <f>IFERROR(__xludf.DUMMYFUNCTION("GOOGLETRANSLATE(A46655, ""de"", ""en"")"),"wedding rings")</f>
        <v>wedding rings</v>
      </c>
    </row>
    <row r="46656">
      <c r="A46656" s="1" t="s">
        <v>46655</v>
      </c>
      <c r="B46656" s="2" t="str">
        <f>IFERROR(__xludf.DUMMYFUNCTION("GOOGLETRANSLATE(A46656, ""de"", ""en"")"),"private schools")</f>
        <v>private schools</v>
      </c>
    </row>
    <row r="46657">
      <c r="A46657" s="1" t="s">
        <v>46656</v>
      </c>
      <c r="B46657" s="2" t="str">
        <f>IFERROR(__xludf.DUMMYFUNCTION("GOOGLETRANSLATE(A46657, ""de"", ""en"")"),"grain of sand")</f>
        <v>grain of sand</v>
      </c>
    </row>
    <row r="46658">
      <c r="A46658" s="1" t="s">
        <v>46657</v>
      </c>
      <c r="B46658" s="2" t="str">
        <f>IFERROR(__xludf.DUMMYFUNCTION("GOOGLETRANSLATE(A46658, ""de"", ""en"")"),"lev")</f>
        <v>lev</v>
      </c>
    </row>
    <row r="46659">
      <c r="A46659" s="1" t="s">
        <v>46658</v>
      </c>
      <c r="B46659" s="2" t="str">
        <f>IFERROR(__xludf.DUMMYFUNCTION("GOOGLETRANSLATE(A46659, ""de"", ""en"")"),"côte")</f>
        <v>côte</v>
      </c>
    </row>
    <row r="46660">
      <c r="A46660" s="1" t="s">
        <v>46659</v>
      </c>
      <c r="B46660" s="2" t="str">
        <f>IFERROR(__xludf.DUMMYFUNCTION("GOOGLETRANSLATE(A46660, ""de"", ""en"")"),"to go through")</f>
        <v>to go through</v>
      </c>
    </row>
    <row r="46661">
      <c r="A46661" s="1" t="s">
        <v>46660</v>
      </c>
      <c r="B46661" s="2" t="str">
        <f>IFERROR(__xludf.DUMMYFUNCTION("GOOGLETRANSLATE(A46661, ""de"", ""en"")"),"auerbach")</f>
        <v>auerbach</v>
      </c>
    </row>
    <row r="46662">
      <c r="A46662" s="1" t="s">
        <v>46661</v>
      </c>
      <c r="B46662" s="2" t="str">
        <f>IFERROR(__xludf.DUMMYFUNCTION("GOOGLETRANSLATE(A46662, ""de"", ""en"")"),"kisha")</f>
        <v>kisha</v>
      </c>
    </row>
    <row r="46663">
      <c r="A46663" s="1" t="s">
        <v>46662</v>
      </c>
      <c r="B46663" s="2" t="str">
        <f>IFERROR(__xludf.DUMMYFUNCTION("GOOGLETRANSLATE(A46663, ""de"", ""en"")"),"walking")</f>
        <v>walking</v>
      </c>
    </row>
    <row r="46664">
      <c r="A46664" s="1" t="s">
        <v>46663</v>
      </c>
      <c r="B46664" s="2" t="str">
        <f>IFERROR(__xludf.DUMMYFUNCTION("GOOGLETRANSLATE(A46664, ""de"", ""en"")"),"one-sided")</f>
        <v>one-sided</v>
      </c>
    </row>
    <row r="46665">
      <c r="A46665" s="1" t="s">
        <v>46664</v>
      </c>
      <c r="B46665" s="2" t="str">
        <f>IFERROR(__xludf.DUMMYFUNCTION("GOOGLETRANSLATE(A46665, ""de"", ""en"")"),"occur")</f>
        <v>occur</v>
      </c>
    </row>
    <row r="46666">
      <c r="A46666" s="1" t="s">
        <v>46665</v>
      </c>
      <c r="B46666" s="2" t="str">
        <f>IFERROR(__xludf.DUMMYFUNCTION("GOOGLETRANSLATE(A46666, ""de"", ""en"")"),"prop")</f>
        <v>prop</v>
      </c>
    </row>
    <row r="46667">
      <c r="A46667" s="1" t="s">
        <v>46666</v>
      </c>
      <c r="B46667" s="2" t="str">
        <f>IFERROR(__xludf.DUMMYFUNCTION("GOOGLETRANSLATE(A46667, ""de"", ""en"")"),"unfortunate")</f>
        <v>unfortunate</v>
      </c>
    </row>
    <row r="46668">
      <c r="A46668" s="1" t="s">
        <v>46667</v>
      </c>
      <c r="B46668" s="2" t="str">
        <f>IFERROR(__xludf.DUMMYFUNCTION("GOOGLETRANSLATE(A46668, ""de"", ""en"")"),"Radek")</f>
        <v>Radek</v>
      </c>
    </row>
    <row r="46669">
      <c r="A46669" s="1" t="s">
        <v>46668</v>
      </c>
      <c r="B46669" s="2" t="str">
        <f>IFERROR(__xludf.DUMMYFUNCTION("GOOGLETRANSLATE(A46669, ""de"", ""en"")"),"struts")</f>
        <v>struts</v>
      </c>
    </row>
    <row r="46670">
      <c r="A46670" s="1" t="s">
        <v>46669</v>
      </c>
      <c r="B46670" s="2" t="str">
        <f>IFERROR(__xludf.DUMMYFUNCTION("GOOGLETRANSLATE(A46670, ""de"", ""en"")"),"continuity")</f>
        <v>continuity</v>
      </c>
    </row>
    <row r="46671">
      <c r="A46671" s="1" t="s">
        <v>46670</v>
      </c>
      <c r="B46671" s="2" t="str">
        <f>IFERROR(__xludf.DUMMYFUNCTION("GOOGLETRANSLATE(A46671, ""de"", ""en"")"),"real estate business")</f>
        <v>real estate business</v>
      </c>
    </row>
    <row r="46672">
      <c r="A46672" s="1" t="s">
        <v>46671</v>
      </c>
      <c r="B46672" s="2" t="str">
        <f>IFERROR(__xludf.DUMMYFUNCTION("GOOGLETRANSLATE(A46672, ""de"", ""en"")"),"eri")</f>
        <v>eri</v>
      </c>
    </row>
    <row r="46673">
      <c r="A46673" s="1" t="s">
        <v>46672</v>
      </c>
      <c r="B46673" s="2" t="str">
        <f>IFERROR(__xludf.DUMMYFUNCTION("GOOGLETRANSLATE(A46673, ""de"", ""en"")"),"athletics")</f>
        <v>athletics</v>
      </c>
    </row>
    <row r="46674">
      <c r="A46674" s="1" t="s">
        <v>46673</v>
      </c>
      <c r="B46674" s="2" t="str">
        <f>IFERROR(__xludf.DUMMYFUNCTION("GOOGLETRANSLATE(A46674, ""de"", ""en"")"),"jennifers")</f>
        <v>jennifers</v>
      </c>
    </row>
    <row r="46675">
      <c r="A46675" s="1" t="s">
        <v>46674</v>
      </c>
      <c r="B46675" s="2" t="str">
        <f>IFERROR(__xludf.DUMMYFUNCTION("GOOGLETRANSLATE(A46675, ""de"", ""en"")"),"pedestal")</f>
        <v>pedestal</v>
      </c>
    </row>
    <row r="46676">
      <c r="A46676" s="1" t="s">
        <v>46675</v>
      </c>
      <c r="B46676" s="2" t="str">
        <f>IFERROR(__xludf.DUMMYFUNCTION("GOOGLETRANSLATE(A46676, ""de"", ""en"")"),"bursa")</f>
        <v>bursa</v>
      </c>
    </row>
    <row r="46677">
      <c r="A46677" s="1" t="s">
        <v>46676</v>
      </c>
      <c r="B46677" s="2" t="str">
        <f>IFERROR(__xludf.DUMMYFUNCTION("GOOGLETRANSLATE(A46677, ""de"", ""en"")"),"p3")</f>
        <v>p3</v>
      </c>
    </row>
    <row r="46678">
      <c r="A46678" s="1" t="s">
        <v>46677</v>
      </c>
      <c r="B46678" s="2" t="str">
        <f>IFERROR(__xludf.DUMMYFUNCTION("GOOGLETRANSLATE(A46678, ""de"", ""en"")"),"painfully loud")</f>
        <v>painfully loud</v>
      </c>
    </row>
    <row r="46679">
      <c r="A46679" s="1" t="s">
        <v>46678</v>
      </c>
      <c r="B46679" s="2" t="str">
        <f>IFERROR(__xludf.DUMMYFUNCTION("GOOGLETRANSLATE(A46679, ""de"", ""en"")"),"catches")</f>
        <v>catches</v>
      </c>
    </row>
    <row r="46680">
      <c r="A46680" s="1" t="s">
        <v>46679</v>
      </c>
      <c r="B46680" s="2" t="str">
        <f>IFERROR(__xludf.DUMMYFUNCTION("GOOGLETRANSLATE(A46680, ""de"", ""en"")"),"kayo")</f>
        <v>kayo</v>
      </c>
    </row>
    <row r="46681">
      <c r="A46681" s="1" t="s">
        <v>46680</v>
      </c>
      <c r="B46681" s="2" t="str">
        <f>IFERROR(__xludf.DUMMYFUNCTION("GOOGLETRANSLATE(A46681, ""de"", ""en"")"),"mhm")</f>
        <v>mhm</v>
      </c>
    </row>
    <row r="46682">
      <c r="A46682" s="1" t="s">
        <v>46681</v>
      </c>
      <c r="B46682" s="2" t="str">
        <f>IFERROR(__xludf.DUMMYFUNCTION("GOOGLETRANSLATE(A46682, ""de"", ""en"")"),"employment contract")</f>
        <v>employment contract</v>
      </c>
    </row>
    <row r="46683">
      <c r="A46683" s="1" t="s">
        <v>46682</v>
      </c>
      <c r="B46683" s="2" t="str">
        <f>IFERROR(__xludf.DUMMYFUNCTION("GOOGLETRANSLATE(A46683, ""de"", ""en"")"),"sao")</f>
        <v>sao</v>
      </c>
    </row>
    <row r="46684">
      <c r="A46684" s="1" t="s">
        <v>46683</v>
      </c>
      <c r="B46684" s="2" t="str">
        <f>IFERROR(__xludf.DUMMYFUNCTION("GOOGLETRANSLATE(A46684, ""de"", ""en"")"),"nines")</f>
        <v>nines</v>
      </c>
    </row>
    <row r="46685">
      <c r="A46685" s="1" t="s">
        <v>46684</v>
      </c>
      <c r="B46685" s="2" t="str">
        <f>IFERROR(__xludf.DUMMYFUNCTION("GOOGLETRANSLATE(A46685, ""de"", ""en"")"),"stumble")</f>
        <v>stumble</v>
      </c>
    </row>
    <row r="46686">
      <c r="A46686" s="1" t="s">
        <v>46685</v>
      </c>
      <c r="B46686" s="2" t="str">
        <f>IFERROR(__xludf.DUMMYFUNCTION("GOOGLETRANSLATE(A46686, ""de"", ""en"")"),"sasas")</f>
        <v>sasas</v>
      </c>
    </row>
    <row r="46687">
      <c r="A46687" s="1" t="s">
        <v>46686</v>
      </c>
      <c r="B46687" s="2" t="str">
        <f>IFERROR(__xludf.DUMMYFUNCTION("GOOGLETRANSLATE(A46687, ""de"", ""en"")"),"holdings")</f>
        <v>holdings</v>
      </c>
    </row>
    <row r="46688">
      <c r="A46688" s="1" t="s">
        <v>46687</v>
      </c>
      <c r="B46688" s="2" t="str">
        <f>IFERROR(__xludf.DUMMYFUNCTION("GOOGLETRANSLATE(A46688, ""de"", ""en"")"),"jae")</f>
        <v>jae</v>
      </c>
    </row>
    <row r="46689">
      <c r="A46689" s="1" t="s">
        <v>46688</v>
      </c>
      <c r="B46689" s="2" t="str">
        <f>IFERROR(__xludf.DUMMYFUNCTION("GOOGLETRANSLATE(A46689, ""de"", ""en"")"),"parkway")</f>
        <v>parkway</v>
      </c>
    </row>
    <row r="46690">
      <c r="A46690" s="1" t="s">
        <v>46689</v>
      </c>
      <c r="B46690" s="2" t="str">
        <f>IFERROR(__xludf.DUMMYFUNCTION("GOOGLETRANSLATE(A46690, ""de"", ""en"")"),"individual")</f>
        <v>individual</v>
      </c>
    </row>
    <row r="46691">
      <c r="A46691" s="1" t="s">
        <v>46690</v>
      </c>
      <c r="B46691" s="2" t="str">
        <f>IFERROR(__xludf.DUMMYFUNCTION("GOOGLETRANSLATE(A46691, ""de"", ""en"")"),"xan")</f>
        <v>xan</v>
      </c>
    </row>
    <row r="46692">
      <c r="A46692" s="1" t="s">
        <v>46691</v>
      </c>
      <c r="B46692" s="2" t="str">
        <f>IFERROR(__xludf.DUMMYFUNCTION("GOOGLETRANSLATE(A46692, ""de"", ""en"")"),"hennessy")</f>
        <v>hennessy</v>
      </c>
    </row>
    <row r="46693">
      <c r="A46693" s="1" t="s">
        <v>46692</v>
      </c>
      <c r="B46693" s="2" t="str">
        <f>IFERROR(__xludf.DUMMYFUNCTION("GOOGLETRANSLATE(A46693, ""de"", ""en"")"),"Jena")</f>
        <v>Jena</v>
      </c>
    </row>
    <row r="46694">
      <c r="A46694" s="1" t="s">
        <v>46693</v>
      </c>
      <c r="B46694" s="2" t="str">
        <f>IFERROR(__xludf.DUMMYFUNCTION("GOOGLETRANSLATE(A46694, ""de"", ""en"")"),"Versace")</f>
        <v>Versace</v>
      </c>
    </row>
    <row r="46695">
      <c r="A46695" s="1" t="s">
        <v>46694</v>
      </c>
      <c r="B46695" s="2" t="str">
        <f>IFERROR(__xludf.DUMMYFUNCTION("GOOGLETRANSLATE(A46695, ""de"", ""en"")"),"neglected")</f>
        <v>neglected</v>
      </c>
    </row>
    <row r="46696">
      <c r="A46696" s="1" t="s">
        <v>46695</v>
      </c>
      <c r="B46696" s="2" t="str">
        <f>IFERROR(__xludf.DUMMYFUNCTION("GOOGLETRANSLATE(A46696, ""de"", ""en"")"),"being")</f>
        <v>being</v>
      </c>
    </row>
    <row r="46697">
      <c r="A46697" s="1" t="s">
        <v>46696</v>
      </c>
      <c r="B46697" s="2" t="str">
        <f>IFERROR(__xludf.DUMMYFUNCTION("GOOGLETRANSLATE(A46697, ""de"", ""en"")"),"ngaio")</f>
        <v>ngaio</v>
      </c>
    </row>
    <row r="46698">
      <c r="A46698" s="1" t="s">
        <v>46697</v>
      </c>
      <c r="B46698" s="2" t="str">
        <f>IFERROR(__xludf.DUMMYFUNCTION("GOOGLETRANSLATE(A46698, ""de"", ""en"")"),"clung")</f>
        <v>clung</v>
      </c>
    </row>
    <row r="46699">
      <c r="A46699" s="1" t="s">
        <v>46698</v>
      </c>
      <c r="B46699" s="2" t="str">
        <f>IFERROR(__xludf.DUMMYFUNCTION("GOOGLETRANSLATE(A46699, ""de"", ""en"")"),"foyle")</f>
        <v>foyle</v>
      </c>
    </row>
    <row r="46700">
      <c r="A46700" s="1" t="s">
        <v>46699</v>
      </c>
      <c r="B46700" s="2" t="str">
        <f>IFERROR(__xludf.DUMMYFUNCTION("GOOGLETRANSLATE(A46700, ""de"", ""en"")"),"great")</f>
        <v>great</v>
      </c>
    </row>
    <row r="46701">
      <c r="A46701" s="1" t="s">
        <v>46700</v>
      </c>
      <c r="B46701" s="2" t="str">
        <f>IFERROR(__xludf.DUMMYFUNCTION("GOOGLETRANSLATE(A46701, ""de"", ""en"")"),"ethyl")</f>
        <v>ethyl</v>
      </c>
    </row>
    <row r="46702">
      <c r="A46702" s="1" t="s">
        <v>46701</v>
      </c>
      <c r="B46702" s="2" t="str">
        <f>IFERROR(__xludf.DUMMYFUNCTION("GOOGLETRANSLATE(A46702, ""de"", ""en"")"),"vs")</f>
        <v>vs</v>
      </c>
    </row>
    <row r="46703">
      <c r="A46703" s="1" t="s">
        <v>46702</v>
      </c>
      <c r="B46703" s="2" t="str">
        <f>IFERROR(__xludf.DUMMYFUNCTION("GOOGLETRANSLATE(A46703, ""de"", ""en"")"),"ticks")</f>
        <v>ticks</v>
      </c>
    </row>
    <row r="46704">
      <c r="A46704" s="1" t="s">
        <v>46703</v>
      </c>
      <c r="B46704" s="2" t="str">
        <f>IFERROR(__xludf.DUMMYFUNCTION("GOOGLETRANSLATE(A46704, ""de"", ""en"")"),"vegan")</f>
        <v>vegan</v>
      </c>
    </row>
    <row r="46705">
      <c r="A46705" s="1" t="s">
        <v>46704</v>
      </c>
      <c r="B46705" s="2" t="str">
        <f>IFERROR(__xludf.DUMMYFUNCTION("GOOGLETRANSLATE(A46705, ""de"", ""en"")"),"suit")</f>
        <v>suit</v>
      </c>
    </row>
    <row r="46706">
      <c r="A46706" s="1" t="s">
        <v>46705</v>
      </c>
      <c r="B46706" s="2" t="str">
        <f>IFERROR(__xludf.DUMMYFUNCTION("GOOGLETRANSLATE(A46706, ""de"", ""en"")"),"novick")</f>
        <v>novick</v>
      </c>
    </row>
    <row r="46707">
      <c r="A46707" s="1" t="s">
        <v>46706</v>
      </c>
      <c r="B46707" s="2" t="str">
        <f>IFERROR(__xludf.DUMMYFUNCTION("GOOGLETRANSLATE(A46707, ""de"", ""en"")"),"flicker")</f>
        <v>flicker</v>
      </c>
    </row>
    <row r="46708">
      <c r="A46708" s="1" t="s">
        <v>46707</v>
      </c>
      <c r="B46708" s="2" t="str">
        <f>IFERROR(__xludf.DUMMYFUNCTION("GOOGLETRANSLATE(A46708, ""de"", ""en"")"),"Betty's")</f>
        <v>Betty's</v>
      </c>
    </row>
    <row r="46709">
      <c r="A46709" s="1" t="s">
        <v>46708</v>
      </c>
      <c r="B46709" s="2" t="str">
        <f>IFERROR(__xludf.DUMMYFUNCTION("GOOGLETRANSLATE(A46709, ""de"", ""en"")"),"synthetic")</f>
        <v>synthetic</v>
      </c>
    </row>
    <row r="46710">
      <c r="A46710" s="1" t="s">
        <v>46709</v>
      </c>
      <c r="B46710" s="2" t="str">
        <f>IFERROR(__xludf.DUMMYFUNCTION("GOOGLETRANSLATE(A46710, ""de"", ""en"")"),"East Germany")</f>
        <v>East Germany</v>
      </c>
    </row>
    <row r="46711">
      <c r="A46711" s="1" t="s">
        <v>46710</v>
      </c>
      <c r="B46711" s="2" t="str">
        <f>IFERROR(__xludf.DUMMYFUNCTION("GOOGLETRANSLATE(A46711, ""de"", ""en"")"),"laugh")</f>
        <v>laugh</v>
      </c>
    </row>
    <row r="46712">
      <c r="A46712" s="1" t="s">
        <v>46711</v>
      </c>
      <c r="B46712" s="2" t="str">
        <f>IFERROR(__xludf.DUMMYFUNCTION("GOOGLETRANSLATE(A46712, ""de"", ""en"")"),"accents")</f>
        <v>accents</v>
      </c>
    </row>
    <row r="46713">
      <c r="A46713" s="1" t="s">
        <v>46712</v>
      </c>
      <c r="B46713" s="2" t="str">
        <f>IFERROR(__xludf.DUMMYFUNCTION("GOOGLETRANSLATE(A46713, ""de"", ""en"")"),"meaningless")</f>
        <v>meaningless</v>
      </c>
    </row>
    <row r="46714">
      <c r="A46714" s="1" t="s">
        <v>46713</v>
      </c>
      <c r="B46714" s="2" t="str">
        <f>IFERROR(__xludf.DUMMYFUNCTION("GOOGLETRANSLATE(A46714, ""de"", ""en"")"),"you sent")</f>
        <v>you sent</v>
      </c>
    </row>
    <row r="46715">
      <c r="A46715" s="1" t="s">
        <v>46714</v>
      </c>
      <c r="B46715" s="2" t="str">
        <f>IFERROR(__xludf.DUMMYFUNCTION("GOOGLETRANSLATE(A46715, ""de"", ""en"")"),"farewell party")</f>
        <v>farewell party</v>
      </c>
    </row>
    <row r="46716">
      <c r="A46716" s="1" t="s">
        <v>46715</v>
      </c>
      <c r="B46716" s="2" t="str">
        <f>IFERROR(__xludf.DUMMYFUNCTION("GOOGLETRANSLATE(A46716, ""de"", ""en"")"),"consolidated")</f>
        <v>consolidated</v>
      </c>
    </row>
    <row r="46717">
      <c r="A46717" s="1" t="s">
        <v>46716</v>
      </c>
      <c r="B46717" s="2" t="str">
        <f>IFERROR(__xludf.DUMMYFUNCTION("GOOGLETRANSLATE(A46717, ""de"", ""en"")"),"blacklock")</f>
        <v>blacklock</v>
      </c>
    </row>
    <row r="46718">
      <c r="A46718" s="1" t="s">
        <v>46717</v>
      </c>
      <c r="B46718" s="2" t="str">
        <f>IFERROR(__xludf.DUMMYFUNCTION("GOOGLETRANSLATE(A46718, ""de"", ""en"")"),"at all")</f>
        <v>at all</v>
      </c>
    </row>
    <row r="46719">
      <c r="A46719" s="1" t="s">
        <v>46718</v>
      </c>
      <c r="B46719" s="2" t="str">
        <f>IFERROR(__xludf.DUMMYFUNCTION("GOOGLETRANSLATE(A46719, ""de"", ""en"")"),"treasure of gold")</f>
        <v>treasure of gold</v>
      </c>
    </row>
    <row r="46720">
      <c r="A46720" s="1" t="s">
        <v>46719</v>
      </c>
      <c r="B46720" s="2" t="str">
        <f>IFERROR(__xludf.DUMMYFUNCTION("GOOGLETRANSLATE(A46720, ""de"", ""en"")"),"translations")</f>
        <v>translations</v>
      </c>
    </row>
    <row r="46721">
      <c r="A46721" s="1" t="s">
        <v>46720</v>
      </c>
      <c r="B46721" s="2" t="str">
        <f>IFERROR(__xludf.DUMMYFUNCTION("GOOGLETRANSLATE(A46721, ""de"", ""en"")"),"special commission")</f>
        <v>special commission</v>
      </c>
    </row>
    <row r="46722">
      <c r="A46722" s="1" t="s">
        <v>46721</v>
      </c>
      <c r="B46722" s="2" t="str">
        <f>IFERROR(__xludf.DUMMYFUNCTION("GOOGLETRANSLATE(A46722, ""de"", ""en"")"),"annoying")</f>
        <v>annoying</v>
      </c>
    </row>
    <row r="46723">
      <c r="A46723" s="1" t="s">
        <v>46722</v>
      </c>
      <c r="B46723" s="2" t="str">
        <f>IFERROR(__xludf.DUMMYFUNCTION("GOOGLETRANSLATE(A46723, ""de"", ""en"")"),"city ​​center")</f>
        <v>city ​​center</v>
      </c>
    </row>
    <row r="46724">
      <c r="A46724" s="1" t="s">
        <v>46723</v>
      </c>
      <c r="B46724" s="2" t="str">
        <f>IFERROR(__xludf.DUMMYFUNCTION("GOOGLETRANSLATE(A46724, ""de"", ""en"")"),"brought back")</f>
        <v>brought back</v>
      </c>
    </row>
    <row r="46725">
      <c r="A46725" s="1" t="s">
        <v>46724</v>
      </c>
      <c r="B46725" s="2" t="str">
        <f>IFERROR(__xludf.DUMMYFUNCTION("GOOGLETRANSLATE(A46725, ""de"", ""en"")"),"bedridden")</f>
        <v>bedridden</v>
      </c>
    </row>
    <row r="46726">
      <c r="A46726" s="1" t="s">
        <v>46725</v>
      </c>
      <c r="B46726" s="2" t="str">
        <f>IFERROR(__xludf.DUMMYFUNCTION("GOOGLETRANSLATE(A46726, ""de"", ""en"")"),"severus")</f>
        <v>severus</v>
      </c>
    </row>
    <row r="46727">
      <c r="A46727" s="1" t="s">
        <v>46726</v>
      </c>
      <c r="B46727" s="2" t="str">
        <f>IFERROR(__xludf.DUMMYFUNCTION("GOOGLETRANSLATE(A46727, ""de"", ""en"")"),"gallantry")</f>
        <v>gallantry</v>
      </c>
    </row>
    <row r="46728">
      <c r="A46728" s="1" t="s">
        <v>46727</v>
      </c>
      <c r="B46728" s="2" t="str">
        <f>IFERROR(__xludf.DUMMYFUNCTION("GOOGLETRANSLATE(A46728, ""de"", ""en"")"),"merete")</f>
        <v>merete</v>
      </c>
    </row>
    <row r="46729">
      <c r="A46729" s="1" t="s">
        <v>46728</v>
      </c>
      <c r="B46729" s="2" t="str">
        <f>IFERROR(__xludf.DUMMYFUNCTION("GOOGLETRANSLATE(A46729, ""de"", ""en"")"),"more hidden")</f>
        <v>more hidden</v>
      </c>
    </row>
    <row r="46730">
      <c r="A46730" s="1" t="s">
        <v>46729</v>
      </c>
      <c r="B46730" s="2" t="str">
        <f>IFERROR(__xludf.DUMMYFUNCTION("GOOGLETRANSLATE(A46730, ""de"", ""en"")"),"sip")</f>
        <v>sip</v>
      </c>
    </row>
    <row r="46731">
      <c r="A46731" s="1" t="s">
        <v>46730</v>
      </c>
      <c r="B46731" s="2" t="str">
        <f>IFERROR(__xludf.DUMMYFUNCTION("GOOGLETRANSLATE(A46731, ""de"", ""en"")"),"timon")</f>
        <v>timon</v>
      </c>
    </row>
    <row r="46732">
      <c r="A46732" s="1" t="s">
        <v>46731</v>
      </c>
      <c r="B46732" s="2" t="str">
        <f>IFERROR(__xludf.DUMMYFUNCTION("GOOGLETRANSLATE(A46732, ""de"", ""en"")"),"grenouille")</f>
        <v>grenouille</v>
      </c>
    </row>
    <row r="46733">
      <c r="A46733" s="1" t="s">
        <v>46732</v>
      </c>
      <c r="B46733" s="2" t="str">
        <f>IFERROR(__xludf.DUMMYFUNCTION("GOOGLETRANSLATE(A46733, ""de"", ""en"")"),"littleton")</f>
        <v>littleton</v>
      </c>
    </row>
    <row r="46734">
      <c r="A46734" s="1" t="s">
        <v>46733</v>
      </c>
      <c r="B46734" s="2" t="str">
        <f>IFERROR(__xludf.DUMMYFUNCTION("GOOGLETRANSLATE(A46734, ""de"", ""en"")"),"decomposition")</f>
        <v>decomposition</v>
      </c>
    </row>
    <row r="46735">
      <c r="A46735" s="1" t="s">
        <v>46734</v>
      </c>
      <c r="B46735" s="2" t="str">
        <f>IFERROR(__xludf.DUMMYFUNCTION("GOOGLETRANSLATE(A46735, ""de"", ""en"")"),"sugar")</f>
        <v>sugar</v>
      </c>
    </row>
    <row r="46736">
      <c r="A46736" s="1" t="s">
        <v>46735</v>
      </c>
      <c r="B46736" s="2" t="str">
        <f>IFERROR(__xludf.DUMMYFUNCTION("GOOGLETRANSLATE(A46736, ""de"", ""en"")"),"bridal suite")</f>
        <v>bridal suite</v>
      </c>
    </row>
    <row r="46737">
      <c r="A46737" s="1" t="s">
        <v>46736</v>
      </c>
      <c r="B46737" s="2" t="str">
        <f>IFERROR(__xludf.DUMMYFUNCTION("GOOGLETRANSLATE(A46737, ""de"", ""en"")"),"project")</f>
        <v>project</v>
      </c>
    </row>
    <row r="46738">
      <c r="A46738" s="1" t="s">
        <v>46737</v>
      </c>
      <c r="B46738" s="2" t="str">
        <f>IFERROR(__xludf.DUMMYFUNCTION("GOOGLETRANSLATE(A46738, ""de"", ""en"")"),"fouroux")</f>
        <v>fouroux</v>
      </c>
    </row>
    <row r="46739">
      <c r="A46739" s="1" t="s">
        <v>46738</v>
      </c>
      <c r="B46739" s="2" t="str">
        <f>IFERROR(__xludf.DUMMYFUNCTION("GOOGLETRANSLATE(A46739, ""de"", ""en"")"),"bookman")</f>
        <v>bookman</v>
      </c>
    </row>
    <row r="46740">
      <c r="A46740" s="1" t="s">
        <v>46739</v>
      </c>
      <c r="B46740" s="2" t="str">
        <f>IFERROR(__xludf.DUMMYFUNCTION("GOOGLETRANSLATE(A46740, ""de"", ""en"")"),"rock")</f>
        <v>rock</v>
      </c>
    </row>
    <row r="46741">
      <c r="A46741" s="1" t="s">
        <v>46740</v>
      </c>
      <c r="B46741" s="2" t="str">
        <f>IFERROR(__xludf.DUMMYFUNCTION("GOOGLETRANSLATE(A46741, ""de"", ""en"")"),"mirage")</f>
        <v>mirage</v>
      </c>
    </row>
    <row r="46742">
      <c r="A46742" s="1" t="s">
        <v>46741</v>
      </c>
      <c r="B46742" s="2" t="str">
        <f>IFERROR(__xludf.DUMMYFUNCTION("GOOGLETRANSLATE(A46742, ""de"", ""en"")"),"lights up")</f>
        <v>lights up</v>
      </c>
    </row>
    <row r="46743">
      <c r="A46743" s="1" t="s">
        <v>46742</v>
      </c>
      <c r="B46743" s="2" t="str">
        <f>IFERROR(__xludf.DUMMYFUNCTION("GOOGLETRANSLATE(A46743, ""de"", ""en"")"),"defaced")</f>
        <v>defaced</v>
      </c>
    </row>
    <row r="46744">
      <c r="A46744" s="1" t="s">
        <v>46743</v>
      </c>
      <c r="B46744" s="2" t="str">
        <f>IFERROR(__xludf.DUMMYFUNCTION("GOOGLETRANSLATE(A46744, ""de"", ""en"")"),"crowds")</f>
        <v>crowds</v>
      </c>
    </row>
    <row r="46745">
      <c r="A46745" s="1" t="s">
        <v>46744</v>
      </c>
      <c r="B46745" s="2" t="str">
        <f>IFERROR(__xludf.DUMMYFUNCTION("GOOGLETRANSLATE(A46745, ""de"", ""en"")"),"courted")</f>
        <v>courted</v>
      </c>
    </row>
    <row r="46746">
      <c r="A46746" s="1" t="s">
        <v>46745</v>
      </c>
      <c r="B46746" s="2" t="str">
        <f>IFERROR(__xludf.DUMMYFUNCTION("GOOGLETRANSLATE(A46746, ""de"", ""en"")"),"to belong")</f>
        <v>to belong</v>
      </c>
    </row>
    <row r="46747">
      <c r="A46747" s="1" t="s">
        <v>46746</v>
      </c>
      <c r="B46747" s="2" t="str">
        <f>IFERROR(__xludf.DUMMYFUNCTION("GOOGLETRANSLATE(A46747, ""de"", ""en"")"),"dakara")</f>
        <v>dakara</v>
      </c>
    </row>
    <row r="46748">
      <c r="A46748" s="1" t="s">
        <v>46747</v>
      </c>
      <c r="B46748" s="2" t="str">
        <f>IFERROR(__xludf.DUMMYFUNCTION("GOOGLETRANSLATE(A46748, ""de"", ""en"")"),"dragan")</f>
        <v>dragan</v>
      </c>
    </row>
    <row r="46749">
      <c r="A46749" s="1" t="s">
        <v>46748</v>
      </c>
      <c r="B46749" s="2" t="str">
        <f>IFERROR(__xludf.DUMMYFUNCTION("GOOGLETRANSLATE(A46749, ""de"", ""en"")"),"melba")</f>
        <v>melba</v>
      </c>
    </row>
    <row r="46750">
      <c r="A46750" s="1" t="s">
        <v>46749</v>
      </c>
      <c r="B46750" s="2" t="str">
        <f>IFERROR(__xludf.DUMMYFUNCTION("GOOGLETRANSLATE(A46750, ""de"", ""en"")"),"to question")</f>
        <v>to question</v>
      </c>
    </row>
    <row r="46751">
      <c r="A46751" s="1" t="s">
        <v>46750</v>
      </c>
      <c r="B46751" s="2" t="str">
        <f>IFERROR(__xludf.DUMMYFUNCTION("GOOGLETRANSLATE(A46751, ""de"", ""en"")"),"malaise")</f>
        <v>malaise</v>
      </c>
    </row>
    <row r="46752">
      <c r="A46752" s="1" t="s">
        <v>46751</v>
      </c>
      <c r="B46752" s="2" t="str">
        <f>IFERROR(__xludf.DUMMYFUNCTION("GOOGLETRANSLATE(A46752, ""de"", ""en"")"),"tab")</f>
        <v>tab</v>
      </c>
    </row>
    <row r="46753">
      <c r="A46753" s="1" t="s">
        <v>46752</v>
      </c>
      <c r="B46753" s="2" t="str">
        <f>IFERROR(__xludf.DUMMYFUNCTION("GOOGLETRANSLATE(A46753, ""de"", ""en"")"),"patriotic")</f>
        <v>patriotic</v>
      </c>
    </row>
    <row r="46754">
      <c r="A46754" s="1" t="s">
        <v>46753</v>
      </c>
      <c r="B46754" s="2" t="str">
        <f>IFERROR(__xludf.DUMMYFUNCTION("GOOGLETRANSLATE(A46754, ""de"", ""en"")"),"defi")</f>
        <v>defi</v>
      </c>
    </row>
    <row r="46755">
      <c r="A46755" s="1" t="s">
        <v>46754</v>
      </c>
      <c r="B46755" s="2" t="str">
        <f>IFERROR(__xludf.DUMMYFUNCTION("GOOGLETRANSLATE(A46755, ""de"", ""en"")"),"refined")</f>
        <v>refined</v>
      </c>
    </row>
    <row r="46756">
      <c r="A46756" s="1" t="s">
        <v>46755</v>
      </c>
      <c r="B46756" s="2" t="str">
        <f>IFERROR(__xludf.DUMMYFUNCTION("GOOGLETRANSLATE(A46756, ""de"", ""en"")"),"change")</f>
        <v>change</v>
      </c>
    </row>
    <row r="46757">
      <c r="A46757" s="1" t="s">
        <v>46756</v>
      </c>
      <c r="B46757" s="2" t="str">
        <f>IFERROR(__xludf.DUMMYFUNCTION("GOOGLETRANSLATE(A46757, ""de"", ""en"")"),"lime")</f>
        <v>lime</v>
      </c>
    </row>
    <row r="46758">
      <c r="A46758" s="1" t="s">
        <v>46757</v>
      </c>
      <c r="B46758" s="2" t="str">
        <f>IFERROR(__xludf.DUMMYFUNCTION("GOOGLETRANSLATE(A46758, ""de"", ""en"")"),"sightseeing")</f>
        <v>sightseeing</v>
      </c>
    </row>
    <row r="46759">
      <c r="A46759" s="1" t="s">
        <v>46758</v>
      </c>
      <c r="B46759" s="2" t="str">
        <f>IFERROR(__xludf.DUMMYFUNCTION("GOOGLETRANSLATE(A46759, ""de"", ""en"")"),"Thracian")</f>
        <v>Thracian</v>
      </c>
    </row>
    <row r="46760">
      <c r="A46760" s="1" t="s">
        <v>46759</v>
      </c>
      <c r="B46760" s="2" t="str">
        <f>IFERROR(__xludf.DUMMYFUNCTION("GOOGLETRANSLATE(A46760, ""de"", ""en"")"),"natural science")</f>
        <v>natural science</v>
      </c>
    </row>
    <row r="46761">
      <c r="A46761" s="1" t="s">
        <v>46760</v>
      </c>
      <c r="B46761" s="2" t="str">
        <f>IFERROR(__xludf.DUMMYFUNCTION("GOOGLETRANSLATE(A46761, ""de"", ""en"")"),"spontaneity")</f>
        <v>spontaneity</v>
      </c>
    </row>
    <row r="46762">
      <c r="A46762" s="1" t="s">
        <v>46761</v>
      </c>
      <c r="B46762" s="2" t="str">
        <f>IFERROR(__xludf.DUMMYFUNCTION("GOOGLETRANSLATE(A46762, ""de"", ""en"")"),"culper")</f>
        <v>culper</v>
      </c>
    </row>
    <row r="46763">
      <c r="A46763" s="1" t="s">
        <v>46762</v>
      </c>
      <c r="B46763" s="2" t="str">
        <f>IFERROR(__xludf.DUMMYFUNCTION("GOOGLETRANSLATE(A46763, ""de"", ""en"")"),"rosette")</f>
        <v>rosette</v>
      </c>
    </row>
    <row r="46764">
      <c r="A46764" s="1" t="s">
        <v>46763</v>
      </c>
      <c r="B46764" s="2" t="str">
        <f>IFERROR(__xludf.DUMMYFUNCTION("GOOGLETRANSLATE(A46764, ""de"", ""en"")"),"velasco")</f>
        <v>velasco</v>
      </c>
    </row>
    <row r="46765">
      <c r="A46765" s="1" t="s">
        <v>46764</v>
      </c>
      <c r="B46765" s="2" t="str">
        <f>IFERROR(__xludf.DUMMYFUNCTION("GOOGLETRANSLATE(A46765, ""de"", ""en"")"),"blackwater")</f>
        <v>blackwater</v>
      </c>
    </row>
    <row r="46766">
      <c r="A46766" s="1" t="s">
        <v>46765</v>
      </c>
      <c r="B46766" s="2" t="str">
        <f>IFERROR(__xludf.DUMMYFUNCTION("GOOGLETRANSLATE(A46766, ""de"", ""en"")"),"missing")</f>
        <v>missing</v>
      </c>
    </row>
    <row r="46767">
      <c r="A46767" s="1" t="s">
        <v>46766</v>
      </c>
      <c r="B46767" s="2" t="str">
        <f>IFERROR(__xludf.DUMMYFUNCTION("GOOGLETRANSLATE(A46767, ""de"", ""en"")"),"16 year old")</f>
        <v>16 year old</v>
      </c>
    </row>
    <row r="46768">
      <c r="A46768" s="1" t="s">
        <v>46767</v>
      </c>
      <c r="B46768" s="2" t="str">
        <f>IFERROR(__xludf.DUMMYFUNCTION("GOOGLETRANSLATE(A46768, ""de"", ""en"")"),"sink")</f>
        <v>sink</v>
      </c>
    </row>
    <row r="46769">
      <c r="A46769" s="1" t="s">
        <v>46768</v>
      </c>
      <c r="B46769" s="2" t="str">
        <f>IFERROR(__xludf.DUMMYFUNCTION("GOOGLETRANSLATE(A46769, ""de"", ""en"")"),"mediated")</f>
        <v>mediated</v>
      </c>
    </row>
    <row r="46770">
      <c r="A46770" s="1" t="s">
        <v>46769</v>
      </c>
      <c r="B46770" s="2" t="str">
        <f>IFERROR(__xludf.DUMMYFUNCTION("GOOGLETRANSLATE(A46770, ""de"", ""en"")"),"put out")</f>
        <v>put out</v>
      </c>
    </row>
    <row r="46771">
      <c r="A46771" s="1" t="s">
        <v>46770</v>
      </c>
      <c r="B46771" s="2" t="str">
        <f>IFERROR(__xludf.DUMMYFUNCTION("GOOGLETRANSLATE(A46771, ""de"", ""en"")"),"naa")</f>
        <v>naa</v>
      </c>
    </row>
    <row r="46772">
      <c r="A46772" s="1" t="s">
        <v>46771</v>
      </c>
      <c r="B46772" s="2" t="str">
        <f>IFERROR(__xludf.DUMMYFUNCTION("GOOGLETRANSLATE(A46772, ""de"", ""en"")"),"drug use")</f>
        <v>drug use</v>
      </c>
    </row>
    <row r="46773">
      <c r="A46773" s="1" t="s">
        <v>46772</v>
      </c>
      <c r="B46773" s="2" t="str">
        <f>IFERROR(__xludf.DUMMYFUNCTION("GOOGLETRANSLATE(A46773, ""de"", ""en"")"),"more eastern")</f>
        <v>more eastern</v>
      </c>
    </row>
    <row r="46774">
      <c r="A46774" s="1" t="s">
        <v>46773</v>
      </c>
      <c r="B46774" s="2" t="str">
        <f>IFERROR(__xludf.DUMMYFUNCTION("GOOGLETRANSLATE(A46774, ""de"", ""en"")"),"jurassic")</f>
        <v>jurassic</v>
      </c>
    </row>
    <row r="46775">
      <c r="A46775" s="1" t="s">
        <v>46774</v>
      </c>
      <c r="B46775" s="2" t="str">
        <f>IFERROR(__xludf.DUMMYFUNCTION("GOOGLETRANSLATE(A46775, ""de"", ""en"")"),"flip flops")</f>
        <v>flip flops</v>
      </c>
    </row>
    <row r="46776">
      <c r="A46776" s="1" t="s">
        <v>46775</v>
      </c>
      <c r="B46776" s="2" t="str">
        <f>IFERROR(__xludf.DUMMYFUNCTION("GOOGLETRANSLATE(A46776, ""de"", ""en"")"),"central command")</f>
        <v>central command</v>
      </c>
    </row>
    <row r="46777">
      <c r="A46777" s="1" t="s">
        <v>46776</v>
      </c>
      <c r="B46777" s="2" t="str">
        <f>IFERROR(__xludf.DUMMYFUNCTION("GOOGLETRANSLATE(A46777, ""de"", ""en"")"),"enter")</f>
        <v>enter</v>
      </c>
    </row>
    <row r="46778">
      <c r="A46778" s="1" t="s">
        <v>46777</v>
      </c>
      <c r="B46778" s="2" t="str">
        <f>IFERROR(__xludf.DUMMYFUNCTION("GOOGLETRANSLATE(A46778, ""de"", ""en"")"),"Ernestine")</f>
        <v>Ernestine</v>
      </c>
    </row>
    <row r="46779">
      <c r="A46779" s="1" t="s">
        <v>46778</v>
      </c>
      <c r="B46779" s="2" t="str">
        <f>IFERROR(__xludf.DUMMYFUNCTION("GOOGLETRANSLATE(A46779, ""de"", ""en"")"),"clegg")</f>
        <v>clegg</v>
      </c>
    </row>
    <row r="46780">
      <c r="A46780" s="1" t="s">
        <v>46779</v>
      </c>
      <c r="B46780" s="2" t="str">
        <f>IFERROR(__xludf.DUMMYFUNCTION("GOOGLETRANSLATE(A46780, ""de"", ""en"")"),"panicked")</f>
        <v>panicked</v>
      </c>
    </row>
    <row r="46781">
      <c r="A46781" s="1" t="s">
        <v>46780</v>
      </c>
      <c r="B46781" s="2" t="str">
        <f>IFERROR(__xludf.DUMMYFUNCTION("GOOGLETRANSLATE(A46781, ""de"", ""en"")"),"conversation piece")</f>
        <v>conversation piece</v>
      </c>
    </row>
    <row r="46782">
      <c r="A46782" s="1" t="s">
        <v>46781</v>
      </c>
      <c r="B46782" s="2" t="str">
        <f>IFERROR(__xludf.DUMMYFUNCTION("GOOGLETRANSLATE(A46782, ""de"", ""en"")"),"silverware")</f>
        <v>silverware</v>
      </c>
    </row>
    <row r="46783">
      <c r="A46783" s="1" t="s">
        <v>46782</v>
      </c>
      <c r="B46783" s="2" t="str">
        <f>IFERROR(__xludf.DUMMYFUNCTION("GOOGLETRANSLATE(A46783, ""de"", ""en"")"),"beekman")</f>
        <v>beekman</v>
      </c>
    </row>
    <row r="46784">
      <c r="A46784" s="1" t="s">
        <v>46783</v>
      </c>
      <c r="B46784" s="2" t="str">
        <f>IFERROR(__xludf.DUMMYFUNCTION("GOOGLETRANSLATE(A46784, ""de"", ""en"")"),"like-minded people")</f>
        <v>like-minded people</v>
      </c>
    </row>
    <row r="46785">
      <c r="A46785" s="1" t="s">
        <v>46784</v>
      </c>
      <c r="B46785" s="2" t="str">
        <f>IFERROR(__xludf.DUMMYFUNCTION("GOOGLETRANSLATE(A46785, ""de"", ""en"")"),"fictitious")</f>
        <v>fictitious</v>
      </c>
    </row>
    <row r="46786">
      <c r="A46786" s="1" t="s">
        <v>46785</v>
      </c>
      <c r="B46786" s="2" t="str">
        <f>IFERROR(__xludf.DUMMYFUNCTION("GOOGLETRANSLATE(A46786, ""de"", ""en"")"),"coolidge")</f>
        <v>coolidge</v>
      </c>
    </row>
    <row r="46787">
      <c r="A46787" s="1" t="s">
        <v>46786</v>
      </c>
      <c r="B46787" s="2" t="str">
        <f>IFERROR(__xludf.DUMMYFUNCTION("GOOGLETRANSLATE(A46787, ""de"", ""en"")"),"Tunis")</f>
        <v>Tunis</v>
      </c>
    </row>
    <row r="46788">
      <c r="A46788" s="1" t="s">
        <v>46787</v>
      </c>
      <c r="B46788" s="2" t="str">
        <f>IFERROR(__xludf.DUMMYFUNCTION("GOOGLETRANSLATE(A46788, ""de"", ""en"")"),"money tap")</f>
        <v>money tap</v>
      </c>
    </row>
    <row r="46789">
      <c r="A46789" s="1" t="s">
        <v>46788</v>
      </c>
      <c r="B46789" s="2" t="str">
        <f>IFERROR(__xludf.DUMMYFUNCTION("GOOGLETRANSLATE(A46789, ""de"", ""en"")"),"imperialism")</f>
        <v>imperialism</v>
      </c>
    </row>
    <row r="46790">
      <c r="A46790" s="1" t="s">
        <v>46789</v>
      </c>
      <c r="B46790" s="2" t="str">
        <f>IFERROR(__xludf.DUMMYFUNCTION("GOOGLETRANSLATE(A46790, ""de"", ""en"")"),"flik")</f>
        <v>flik</v>
      </c>
    </row>
    <row r="46791">
      <c r="A46791" s="1" t="s">
        <v>46790</v>
      </c>
      <c r="B46791" s="2" t="str">
        <f>IFERROR(__xludf.DUMMYFUNCTION("GOOGLETRANSLATE(A46791, ""de"", ""en"")"),"shut down")</f>
        <v>shut down</v>
      </c>
    </row>
    <row r="46792">
      <c r="A46792" s="1" t="s">
        <v>46791</v>
      </c>
      <c r="B46792" s="2" t="str">
        <f>IFERROR(__xludf.DUMMYFUNCTION("GOOGLETRANSLATE(A46792, ""de"", ""en"")"),"a.d.")</f>
        <v>a.d.</v>
      </c>
    </row>
    <row r="46793">
      <c r="A46793" s="1" t="s">
        <v>46792</v>
      </c>
      <c r="B46793" s="2" t="str">
        <f>IFERROR(__xludf.DUMMYFUNCTION("GOOGLETRANSLATE(A46793, ""de"", ""en"")"),"maggio")</f>
        <v>maggio</v>
      </c>
    </row>
    <row r="46794">
      <c r="A46794" s="1" t="s">
        <v>46793</v>
      </c>
      <c r="B46794" s="2" t="str">
        <f>IFERROR(__xludf.DUMMYFUNCTION("GOOGLETRANSLATE(A46794, ""de"", ""en"")"),"hickory")</f>
        <v>hickory</v>
      </c>
    </row>
    <row r="46795">
      <c r="A46795" s="1" t="s">
        <v>46794</v>
      </c>
      <c r="B46795" s="2" t="str">
        <f>IFERROR(__xludf.DUMMYFUNCTION("GOOGLETRANSLATE(A46795, ""de"", ""en"")"),"total")</f>
        <v>total</v>
      </c>
    </row>
    <row r="46796">
      <c r="A46796" s="1" t="s">
        <v>46795</v>
      </c>
      <c r="B46796" s="2" t="str">
        <f>IFERROR(__xludf.DUMMYFUNCTION("GOOGLETRANSLATE(A46796, ""de"", ""en"")"),"drug dealers")</f>
        <v>drug dealers</v>
      </c>
    </row>
    <row r="46797">
      <c r="A46797" s="1" t="s">
        <v>46796</v>
      </c>
      <c r="B46797" s="2" t="str">
        <f>IFERROR(__xludf.DUMMYFUNCTION("GOOGLETRANSLATE(A46797, ""de"", ""en"")"),"rodent")</f>
        <v>rodent</v>
      </c>
    </row>
    <row r="46798">
      <c r="A46798" s="1" t="s">
        <v>46797</v>
      </c>
      <c r="B46798" s="2" t="str">
        <f>IFERROR(__xludf.DUMMYFUNCTION("GOOGLETRANSLATE(A46798, ""de"", ""en"")"),"drifts around")</f>
        <v>drifts around</v>
      </c>
    </row>
    <row r="46799">
      <c r="A46799" s="1" t="s">
        <v>46798</v>
      </c>
      <c r="B46799" s="2" t="str">
        <f>IFERROR(__xludf.DUMMYFUNCTION("GOOGLETRANSLATE(A46799, ""de"", ""en"")"),"smile at")</f>
        <v>smile at</v>
      </c>
    </row>
    <row r="46800">
      <c r="A46800" s="1" t="s">
        <v>46799</v>
      </c>
      <c r="B46800" s="2" t="str">
        <f>IFERROR(__xludf.DUMMYFUNCTION("GOOGLETRANSLATE(A46800, ""de"", ""en"")"),"burst")</f>
        <v>burst</v>
      </c>
    </row>
    <row r="46801">
      <c r="A46801" s="1" t="s">
        <v>46800</v>
      </c>
      <c r="B46801" s="2" t="str">
        <f>IFERROR(__xludf.DUMMYFUNCTION("GOOGLETRANSLATE(A46801, ""de"", ""en"")"),"bars")</f>
        <v>bars</v>
      </c>
    </row>
    <row r="46802">
      <c r="A46802" s="1" t="s">
        <v>46801</v>
      </c>
      <c r="B46802" s="2" t="str">
        <f>IFERROR(__xludf.DUMMYFUNCTION("GOOGLETRANSLATE(A46802, ""de"", ""en"")"),"police")</f>
        <v>police</v>
      </c>
    </row>
    <row r="46803">
      <c r="A46803" s="1" t="s">
        <v>46802</v>
      </c>
      <c r="B46803" s="2" t="str">
        <f>IFERROR(__xludf.DUMMYFUNCTION("GOOGLETRANSLATE(A46803, ""de"", ""en"")"),"westley")</f>
        <v>westley</v>
      </c>
    </row>
    <row r="46804">
      <c r="A46804" s="1" t="s">
        <v>46803</v>
      </c>
      <c r="B46804" s="2" t="str">
        <f>IFERROR(__xludf.DUMMYFUNCTION("GOOGLETRANSLATE(A46804, ""de"", ""en"")"),"hound")</f>
        <v>hound</v>
      </c>
    </row>
    <row r="46805">
      <c r="A46805" s="1" t="s">
        <v>46804</v>
      </c>
      <c r="B46805" s="2" t="str">
        <f>IFERROR(__xludf.DUMMYFUNCTION("GOOGLETRANSLATE(A46805, ""de"", ""en"")"),"headless")</f>
        <v>headless</v>
      </c>
    </row>
    <row r="46806">
      <c r="A46806" s="1" t="s">
        <v>46805</v>
      </c>
      <c r="B46806" s="2" t="str">
        <f>IFERROR(__xludf.DUMMYFUNCTION("GOOGLETRANSLATE(A46806, ""de"", ""en"")"),"cissie")</f>
        <v>cissie</v>
      </c>
    </row>
    <row r="46807">
      <c r="A46807" s="1" t="s">
        <v>46806</v>
      </c>
      <c r="B46807" s="2" t="str">
        <f>IFERROR(__xludf.DUMMYFUNCTION("GOOGLETRANSLATE(A46807, ""de"", ""en"")"),"harriman")</f>
        <v>harriman</v>
      </c>
    </row>
    <row r="46808">
      <c r="A46808" s="1" t="s">
        <v>46807</v>
      </c>
      <c r="B46808" s="2" t="str">
        <f>IFERROR(__xludf.DUMMYFUNCTION("GOOGLETRANSLATE(A46808, ""de"", ""en"")"),"hentai")</f>
        <v>hentai</v>
      </c>
    </row>
    <row r="46809">
      <c r="A46809" s="1" t="s">
        <v>46808</v>
      </c>
      <c r="B46809" s="2" t="str">
        <f>IFERROR(__xludf.DUMMYFUNCTION("GOOGLETRANSLATE(A46809, ""de"", ""en"")"),"breaks up")</f>
        <v>breaks up</v>
      </c>
    </row>
    <row r="46810">
      <c r="A46810" s="1" t="s">
        <v>46809</v>
      </c>
      <c r="B46810" s="2" t="str">
        <f>IFERROR(__xludf.DUMMYFUNCTION("GOOGLETRANSLATE(A46810, ""de"", ""en"")"),"mastiff")</f>
        <v>mastiff</v>
      </c>
    </row>
    <row r="46811">
      <c r="A46811" s="1" t="s">
        <v>46810</v>
      </c>
      <c r="B46811" s="2" t="str">
        <f>IFERROR(__xludf.DUMMYFUNCTION("GOOGLETRANSLATE(A46811, ""de"", ""en"")"),"talkative")</f>
        <v>talkative</v>
      </c>
    </row>
    <row r="46812">
      <c r="A46812" s="1" t="s">
        <v>46811</v>
      </c>
      <c r="B46812" s="2" t="str">
        <f>IFERROR(__xludf.DUMMYFUNCTION("GOOGLETRANSLATE(A46812, ""de"", ""en"")"),"stranger")</f>
        <v>stranger</v>
      </c>
    </row>
    <row r="46813">
      <c r="A46813" s="1" t="s">
        <v>46812</v>
      </c>
      <c r="B46813" s="2" t="str">
        <f>IFERROR(__xludf.DUMMYFUNCTION("GOOGLETRANSLATE(A46813, ""de"", ""en"")"),"tear apart")</f>
        <v>tear apart</v>
      </c>
    </row>
    <row r="46814">
      <c r="A46814" s="1" t="s">
        <v>46813</v>
      </c>
      <c r="B46814" s="2" t="str">
        <f>IFERROR(__xludf.DUMMYFUNCTION("GOOGLETRANSLATE(A46814, ""de"", ""en"")"),"football team")</f>
        <v>football team</v>
      </c>
    </row>
    <row r="46815">
      <c r="A46815" s="1" t="s">
        <v>46814</v>
      </c>
      <c r="B46815" s="2" t="str">
        <f>IFERROR(__xludf.DUMMYFUNCTION("GOOGLETRANSLATE(A46815, ""de"", ""en"")"),"afraid")</f>
        <v>afraid</v>
      </c>
    </row>
    <row r="46816">
      <c r="A46816" s="1" t="s">
        <v>46815</v>
      </c>
      <c r="B46816" s="2" t="str">
        <f>IFERROR(__xludf.DUMMYFUNCTION("GOOGLETRANSLATE(A46816, ""de"", ""en"")"),"luau")</f>
        <v>luau</v>
      </c>
    </row>
    <row r="46817">
      <c r="A46817" s="1" t="s">
        <v>46816</v>
      </c>
      <c r="B46817" s="2" t="str">
        <f>IFERROR(__xludf.DUMMYFUNCTION("GOOGLETRANSLATE(A46817, ""de"", ""en"")"),"aquarius")</f>
        <v>aquarius</v>
      </c>
    </row>
    <row r="46818">
      <c r="A46818" s="1" t="s">
        <v>46817</v>
      </c>
      <c r="B46818" s="2" t="str">
        <f>IFERROR(__xludf.DUMMYFUNCTION("GOOGLETRANSLATE(A46818, ""de"", ""en"")"),"rested")</f>
        <v>rested</v>
      </c>
    </row>
    <row r="46819">
      <c r="A46819" s="1" t="s">
        <v>46818</v>
      </c>
      <c r="B46819" s="2" t="str">
        <f>IFERROR(__xludf.DUMMYFUNCTION("GOOGLETRANSLATE(A46819, ""de"", ""en"")"),"s01e07")</f>
        <v>s01e07</v>
      </c>
    </row>
    <row r="46820">
      <c r="A46820" s="1" t="s">
        <v>46819</v>
      </c>
      <c r="B46820" s="2" t="str">
        <f>IFERROR(__xludf.DUMMYFUNCTION("GOOGLETRANSLATE(A46820, ""de"", ""en"")"),"shinwell")</f>
        <v>shinwell</v>
      </c>
    </row>
    <row r="46821">
      <c r="A46821" s="1" t="s">
        <v>46820</v>
      </c>
      <c r="B46821" s="2" t="str">
        <f>IFERROR(__xludf.DUMMYFUNCTION("GOOGLETRANSLATE(A46821, ""de"", ""en"")"),"names")</f>
        <v>names</v>
      </c>
    </row>
    <row r="46822">
      <c r="A46822" s="1" t="s">
        <v>46821</v>
      </c>
      <c r="B46822" s="2" t="str">
        <f>IFERROR(__xludf.DUMMYFUNCTION("GOOGLETRANSLATE(A46822, ""de"", ""en"")"),"official")</f>
        <v>official</v>
      </c>
    </row>
    <row r="46823">
      <c r="A46823" s="1" t="s">
        <v>46822</v>
      </c>
      <c r="B46823" s="2" t="str">
        <f>IFERROR(__xludf.DUMMYFUNCTION("GOOGLETRANSLATE(A46823, ""de"", ""en"")"),"symbol")</f>
        <v>symbol</v>
      </c>
    </row>
    <row r="46824">
      <c r="A46824" s="1" t="s">
        <v>46823</v>
      </c>
      <c r="B46824" s="2" t="str">
        <f>IFERROR(__xludf.DUMMYFUNCTION("GOOGLETRANSLATE(A46824, ""de"", ""en"")"),"bodyguard")</f>
        <v>bodyguard</v>
      </c>
    </row>
    <row r="46825">
      <c r="A46825" s="1" t="s">
        <v>46824</v>
      </c>
      <c r="B46825" s="2" t="str">
        <f>IFERROR(__xludf.DUMMYFUNCTION("GOOGLETRANSLATE(A46825, ""de"", ""en"")"),"malicious")</f>
        <v>malicious</v>
      </c>
    </row>
    <row r="46826">
      <c r="A46826" s="1" t="s">
        <v>46825</v>
      </c>
      <c r="B46826" s="2" t="str">
        <f>IFERROR(__xludf.DUMMYFUNCTION("GOOGLETRANSLATE(A46826, ""de"", ""en"")"),"cash")</f>
        <v>cash</v>
      </c>
    </row>
    <row r="46827">
      <c r="A46827" s="1" t="s">
        <v>46826</v>
      </c>
      <c r="B46827" s="2" t="str">
        <f>IFERROR(__xludf.DUMMYFUNCTION("GOOGLETRANSLATE(A46827, ""de"", ""en"")"),"invincible")</f>
        <v>invincible</v>
      </c>
    </row>
    <row r="46828">
      <c r="A46828" s="1" t="s">
        <v>46827</v>
      </c>
      <c r="B46828" s="2" t="str">
        <f>IFERROR(__xludf.DUMMYFUNCTION("GOOGLETRANSLATE(A46828, ""de"", ""en"")"),"laceration")</f>
        <v>laceration</v>
      </c>
    </row>
    <row r="46829">
      <c r="A46829" s="1" t="s">
        <v>46828</v>
      </c>
      <c r="B46829" s="2" t="str">
        <f>IFERROR(__xludf.DUMMYFUNCTION("GOOGLETRANSLATE(A46829, ""de"", ""en"")"),"insights")</f>
        <v>insights</v>
      </c>
    </row>
    <row r="46830">
      <c r="A46830" s="1" t="s">
        <v>46829</v>
      </c>
      <c r="B46830" s="2" t="str">
        <f>IFERROR(__xludf.DUMMYFUNCTION("GOOGLETRANSLATE(A46830, ""de"", ""en"")"),"andersons")</f>
        <v>andersons</v>
      </c>
    </row>
    <row r="46831">
      <c r="A46831" s="1" t="s">
        <v>46830</v>
      </c>
      <c r="B46831" s="2" t="str">
        <f>IFERROR(__xludf.DUMMYFUNCTION("GOOGLETRANSLATE(A46831, ""de"", ""en"")"),"riders")</f>
        <v>riders</v>
      </c>
    </row>
    <row r="46832">
      <c r="A46832" s="1" t="s">
        <v>46831</v>
      </c>
      <c r="B46832" s="2" t="str">
        <f>IFERROR(__xludf.DUMMYFUNCTION("GOOGLETRANSLATE(A46832, ""de"", ""en"")"),"more stubborn")</f>
        <v>more stubborn</v>
      </c>
    </row>
    <row r="46833">
      <c r="A46833" s="1" t="s">
        <v>46832</v>
      </c>
      <c r="B46833" s="2" t="str">
        <f>IFERROR(__xludf.DUMMYFUNCTION("GOOGLETRANSLATE(A46833, ""de"", ""en"")"),"felt")</f>
        <v>felt</v>
      </c>
    </row>
    <row r="46834">
      <c r="A46834" s="1" t="s">
        <v>46833</v>
      </c>
      <c r="B46834" s="2" t="str">
        <f>IFERROR(__xludf.DUMMYFUNCTION("GOOGLETRANSLATE(A46834, ""de"", ""en"")"),"destabilized")</f>
        <v>destabilized</v>
      </c>
    </row>
    <row r="46835">
      <c r="A46835" s="1" t="s">
        <v>46834</v>
      </c>
      <c r="B46835" s="2" t="str">
        <f>IFERROR(__xludf.DUMMYFUNCTION("GOOGLETRANSLATE(A46835, ""de"", ""en"")"),"gaunt")</f>
        <v>gaunt</v>
      </c>
    </row>
    <row r="46836">
      <c r="A46836" s="1" t="s">
        <v>46835</v>
      </c>
      <c r="B46836" s="2" t="str">
        <f>IFERROR(__xludf.DUMMYFUNCTION("GOOGLETRANSLATE(A46836, ""de"", ""en"")"),"sex offender")</f>
        <v>sex offender</v>
      </c>
    </row>
    <row r="46837">
      <c r="A46837" s="1" t="s">
        <v>46836</v>
      </c>
      <c r="B46837" s="2" t="str">
        <f>IFERROR(__xludf.DUMMYFUNCTION("GOOGLETRANSLATE(A46837, ""de"", ""en"")"),"specified")</f>
        <v>specified</v>
      </c>
    </row>
    <row r="46838">
      <c r="A46838" s="1" t="s">
        <v>46837</v>
      </c>
      <c r="B46838" s="2" t="str">
        <f>IFERROR(__xludf.DUMMYFUNCTION("GOOGLETRANSLATE(A46838, ""de"", ""en"")"),"encourage")</f>
        <v>encourage</v>
      </c>
    </row>
    <row r="46839">
      <c r="A46839" s="1" t="s">
        <v>46838</v>
      </c>
      <c r="B46839" s="2" t="str">
        <f>IFERROR(__xludf.DUMMYFUNCTION("GOOGLETRANSLATE(A46839, ""de"", ""en"")"),"finlay")</f>
        <v>finlay</v>
      </c>
    </row>
    <row r="46840">
      <c r="A46840" s="1" t="s">
        <v>46839</v>
      </c>
      <c r="B46840" s="2" t="str">
        <f>IFERROR(__xludf.DUMMYFUNCTION("GOOGLETRANSLATE(A46840, ""de"", ""en"")"),"deli")</f>
        <v>deli</v>
      </c>
    </row>
    <row r="46841">
      <c r="A46841" s="1" t="s">
        <v>46840</v>
      </c>
      <c r="B46841" s="2" t="str">
        <f>IFERROR(__xludf.DUMMYFUNCTION("GOOGLETRANSLATE(A46841, ""de"", ""en"")"),"walking around")</f>
        <v>walking around</v>
      </c>
    </row>
    <row r="46842">
      <c r="A46842" s="1" t="s">
        <v>46841</v>
      </c>
      <c r="B46842" s="2" t="str">
        <f>IFERROR(__xludf.DUMMYFUNCTION("GOOGLETRANSLATE(A46842, ""de"", ""en"")"),"snake bite")</f>
        <v>snake bite</v>
      </c>
    </row>
    <row r="46843">
      <c r="A46843" s="1" t="s">
        <v>46842</v>
      </c>
      <c r="B46843" s="2" t="str">
        <f>IFERROR(__xludf.DUMMYFUNCTION("GOOGLETRANSLATE(A46843, ""de"", ""en"")"),"Estonia")</f>
        <v>Estonia</v>
      </c>
    </row>
    <row r="46844">
      <c r="A46844" s="1" t="s">
        <v>46843</v>
      </c>
      <c r="B46844" s="2" t="str">
        <f>IFERROR(__xludf.DUMMYFUNCTION("GOOGLETRANSLATE(A46844, ""de"", ""en"")"),"unnecessary")</f>
        <v>unnecessary</v>
      </c>
    </row>
    <row r="46845">
      <c r="A46845" s="1" t="s">
        <v>46844</v>
      </c>
      <c r="B46845" s="2" t="str">
        <f>IFERROR(__xludf.DUMMYFUNCTION("GOOGLETRANSLATE(A46845, ""de"", ""en"")"),"guess")</f>
        <v>guess</v>
      </c>
    </row>
    <row r="46846">
      <c r="A46846" s="1" t="s">
        <v>46845</v>
      </c>
      <c r="B46846" s="2" t="str">
        <f>IFERROR(__xludf.DUMMYFUNCTION("GOOGLETRANSLATE(A46846, ""de"", ""en"")"),"molecular structure")</f>
        <v>molecular structure</v>
      </c>
    </row>
    <row r="46847">
      <c r="A46847" s="1" t="s">
        <v>46846</v>
      </c>
      <c r="B46847" s="2" t="str">
        <f>IFERROR(__xludf.DUMMYFUNCTION("GOOGLETRANSLATE(A46847, ""de"", ""en"")"),"dark")</f>
        <v>dark</v>
      </c>
    </row>
    <row r="46848">
      <c r="A46848" s="1" t="s">
        <v>46847</v>
      </c>
      <c r="B46848" s="2" t="str">
        <f>IFERROR(__xludf.DUMMYFUNCTION("GOOGLETRANSLATE(A46848, ""de"", ""en"")"),"Krabs")</f>
        <v>Krabs</v>
      </c>
    </row>
    <row r="46849">
      <c r="A46849" s="1" t="s">
        <v>46848</v>
      </c>
      <c r="B46849" s="2" t="str">
        <f>IFERROR(__xludf.DUMMYFUNCTION("GOOGLETRANSLATE(A46849, ""de"", ""en"")"),"yep")</f>
        <v>yep</v>
      </c>
    </row>
    <row r="46850">
      <c r="A46850" s="1" t="s">
        <v>46849</v>
      </c>
      <c r="B46850" s="2" t="str">
        <f>IFERROR(__xludf.DUMMYFUNCTION("GOOGLETRANSLATE(A46850, ""de"", ""en"")"),"negotiate")</f>
        <v>negotiate</v>
      </c>
    </row>
    <row r="46851">
      <c r="A46851" s="1" t="s">
        <v>46850</v>
      </c>
      <c r="B46851" s="2" t="str">
        <f>IFERROR(__xludf.DUMMYFUNCTION("GOOGLETRANSLATE(A46851, ""de"", ""en"")"),"bacterial")</f>
        <v>bacterial</v>
      </c>
    </row>
    <row r="46852">
      <c r="A46852" s="1" t="s">
        <v>46851</v>
      </c>
      <c r="B46852" s="2" t="str">
        <f>IFERROR(__xludf.DUMMYFUNCTION("GOOGLETRANSLATE(A46852, ""de"", ""en"")"),"vixen")</f>
        <v>vixen</v>
      </c>
    </row>
    <row r="46853">
      <c r="A46853" s="1" t="s">
        <v>46852</v>
      </c>
      <c r="B46853" s="2" t="str">
        <f>IFERROR(__xludf.DUMMYFUNCTION("GOOGLETRANSLATE(A46853, ""de"", ""en"")"),"air mattress")</f>
        <v>air mattress</v>
      </c>
    </row>
    <row r="46854">
      <c r="A46854" s="1" t="s">
        <v>46853</v>
      </c>
      <c r="B46854" s="2" t="str">
        <f>IFERROR(__xludf.DUMMYFUNCTION("GOOGLETRANSLATE(A46854, ""de"", ""en"")"),"jumped up")</f>
        <v>jumped up</v>
      </c>
    </row>
    <row r="46855">
      <c r="A46855" s="1" t="s">
        <v>46854</v>
      </c>
      <c r="B46855" s="2" t="str">
        <f>IFERROR(__xludf.DUMMYFUNCTION("GOOGLETRANSLATE(A46855, ""de"", ""en"")"),"debacle")</f>
        <v>debacle</v>
      </c>
    </row>
    <row r="46856">
      <c r="A46856" s="1" t="s">
        <v>46855</v>
      </c>
      <c r="B46856" s="2" t="str">
        <f>IFERROR(__xludf.DUMMYFUNCTION("GOOGLETRANSLATE(A46856, ""de"", ""en"")"),"Mitterrand")</f>
        <v>Mitterrand</v>
      </c>
    </row>
    <row r="46857">
      <c r="A46857" s="1" t="s">
        <v>46856</v>
      </c>
      <c r="B46857" s="2" t="str">
        <f>IFERROR(__xludf.DUMMYFUNCTION("GOOGLETRANSLATE(A46857, ""de"", ""en"")"),"cheaper")</f>
        <v>cheaper</v>
      </c>
    </row>
    <row r="46858">
      <c r="A46858" s="1" t="s">
        <v>46857</v>
      </c>
      <c r="B46858" s="2" t="str">
        <f>IFERROR(__xludf.DUMMYFUNCTION("GOOGLETRANSLATE(A46858, ""de"", ""en"")"),"souvenir")</f>
        <v>souvenir</v>
      </c>
    </row>
    <row r="46859">
      <c r="A46859" s="1" t="s">
        <v>46858</v>
      </c>
      <c r="B46859" s="2" t="str">
        <f>IFERROR(__xludf.DUMMYFUNCTION("GOOGLETRANSLATE(A46859, ""de"", ""en"")"),"elementary")</f>
        <v>elementary</v>
      </c>
    </row>
    <row r="46860">
      <c r="A46860" s="1" t="s">
        <v>46859</v>
      </c>
      <c r="B46860" s="2" t="str">
        <f>IFERROR(__xludf.DUMMYFUNCTION("GOOGLETRANSLATE(A46860, ""de"", ""en"")"),"buried")</f>
        <v>buried</v>
      </c>
    </row>
    <row r="46861">
      <c r="A46861" s="1" t="s">
        <v>46860</v>
      </c>
      <c r="B46861" s="2" t="str">
        <f>IFERROR(__xludf.DUMMYFUNCTION("GOOGLETRANSLATE(A46861, ""de"", ""en"")"),"solonius")</f>
        <v>solonius</v>
      </c>
    </row>
    <row r="46862">
      <c r="A46862" s="1" t="s">
        <v>46861</v>
      </c>
      <c r="B46862" s="2" t="str">
        <f>IFERROR(__xludf.DUMMYFUNCTION("GOOGLETRANSLATE(A46862, ""de"", ""en"")"),"divide")</f>
        <v>divide</v>
      </c>
    </row>
    <row r="46863">
      <c r="A46863" s="1" t="s">
        <v>46862</v>
      </c>
      <c r="B46863" s="2" t="str">
        <f>IFERROR(__xludf.DUMMYFUNCTION("GOOGLETRANSLATE(A46863, ""de"", ""en"")"),"next")</f>
        <v>next</v>
      </c>
    </row>
    <row r="46864">
      <c r="A46864" s="1" t="s">
        <v>46863</v>
      </c>
      <c r="B46864" s="2" t="str">
        <f>IFERROR(__xludf.DUMMYFUNCTION("GOOGLETRANSLATE(A46864, ""de"", ""en"")"),"chirped")</f>
        <v>chirped</v>
      </c>
    </row>
    <row r="46865">
      <c r="A46865" s="1" t="s">
        <v>46864</v>
      </c>
      <c r="B46865" s="2" t="str">
        <f>IFERROR(__xludf.DUMMYFUNCTION("GOOGLETRANSLATE(A46865, ""de"", ""en"")"),"lurked")</f>
        <v>lurked</v>
      </c>
    </row>
    <row r="46866">
      <c r="A46866" s="1" t="s">
        <v>46865</v>
      </c>
      <c r="B46866" s="2" t="str">
        <f>IFERROR(__xludf.DUMMYFUNCTION("GOOGLETRANSLATE(A46866, ""de"", ""en"")"),"wicket")</f>
        <v>wicket</v>
      </c>
    </row>
    <row r="46867">
      <c r="A46867" s="1" t="s">
        <v>46866</v>
      </c>
      <c r="B46867" s="2" t="str">
        <f>IFERROR(__xludf.DUMMYFUNCTION("GOOGLETRANSLATE(A46867, ""de"", ""en"")"),"condemned")</f>
        <v>condemned</v>
      </c>
    </row>
    <row r="46868">
      <c r="A46868" s="1" t="s">
        <v>46867</v>
      </c>
      <c r="B46868" s="2" t="str">
        <f>IFERROR(__xludf.DUMMYFUNCTION("GOOGLETRANSLATE(A46868, ""de"", ""en"")"),"fucked")</f>
        <v>fucked</v>
      </c>
    </row>
    <row r="46869">
      <c r="A46869" s="1" t="s">
        <v>46868</v>
      </c>
      <c r="B46869" s="2" t="str">
        <f>IFERROR(__xludf.DUMMYFUNCTION("GOOGLETRANSLATE(A46869, ""de"", ""en"")"),"complied")</f>
        <v>complied</v>
      </c>
    </row>
    <row r="46870">
      <c r="A46870" s="1" t="s">
        <v>46869</v>
      </c>
      <c r="B46870" s="2" t="str">
        <f>IFERROR(__xludf.DUMMYFUNCTION("GOOGLETRANSLATE(A46870, ""de"", ""en"")"),"left behind")</f>
        <v>left behind</v>
      </c>
    </row>
    <row r="46871">
      <c r="A46871" s="1" t="s">
        <v>46870</v>
      </c>
      <c r="B46871" s="2" t="str">
        <f>IFERROR(__xludf.DUMMYFUNCTION("GOOGLETRANSLATE(A46871, ""de"", ""en"")"),"iverson")</f>
        <v>iverson</v>
      </c>
    </row>
    <row r="46872">
      <c r="A46872" s="1" t="s">
        <v>46871</v>
      </c>
      <c r="B46872" s="2" t="str">
        <f>IFERROR(__xludf.DUMMYFUNCTION("GOOGLETRANSLATE(A46872, ""de"", ""en"")"),"mini skirt")</f>
        <v>mini skirt</v>
      </c>
    </row>
    <row r="46873">
      <c r="A46873" s="1" t="s">
        <v>46872</v>
      </c>
      <c r="B46873" s="2" t="str">
        <f>IFERROR(__xludf.DUMMYFUNCTION("GOOGLETRANSLATE(A46873, ""de"", ""en"")"),"mixture")</f>
        <v>mixture</v>
      </c>
    </row>
    <row r="46874">
      <c r="A46874" s="1" t="s">
        <v>46873</v>
      </c>
      <c r="B46874" s="2" t="str">
        <f>IFERROR(__xludf.DUMMYFUNCTION("GOOGLETRANSLATE(A46874, ""de"", ""en"")"),"lygia")</f>
        <v>lygia</v>
      </c>
    </row>
    <row r="46875">
      <c r="A46875" s="1" t="s">
        <v>46874</v>
      </c>
      <c r="B46875" s="2" t="str">
        <f>IFERROR(__xludf.DUMMYFUNCTION("GOOGLETRANSLATE(A46875, ""de"", ""en"")"),"upload")</f>
        <v>upload</v>
      </c>
    </row>
    <row r="46876">
      <c r="A46876" s="1" t="s">
        <v>46875</v>
      </c>
      <c r="B46876" s="2" t="str">
        <f>IFERROR(__xludf.DUMMYFUNCTION("GOOGLETRANSLATE(A46876, ""de"", ""en"")"),"Asuna")</f>
        <v>Asuna</v>
      </c>
    </row>
    <row r="46877">
      <c r="A46877" s="1" t="s">
        <v>46876</v>
      </c>
      <c r="B46877" s="2" t="str">
        <f>IFERROR(__xludf.DUMMYFUNCTION("GOOGLETRANSLATE(A46877, ""de"", ""en"")"),"lighter")</f>
        <v>lighter</v>
      </c>
    </row>
    <row r="46878">
      <c r="A46878" s="1" t="s">
        <v>46877</v>
      </c>
      <c r="B46878" s="2" t="str">
        <f>IFERROR(__xludf.DUMMYFUNCTION("GOOGLETRANSLATE(A46878, ""de"", ""en"")"),"kaneda")</f>
        <v>kaneda</v>
      </c>
    </row>
    <row r="46879">
      <c r="A46879" s="1" t="s">
        <v>46878</v>
      </c>
      <c r="B46879" s="2" t="str">
        <f>IFERROR(__xludf.DUMMYFUNCTION("GOOGLETRANSLATE(A46879, ""de"", ""en"")"),"broadside")</f>
        <v>broadside</v>
      </c>
    </row>
    <row r="46880">
      <c r="A46880" s="1" t="s">
        <v>46879</v>
      </c>
      <c r="B46880" s="2" t="str">
        <f>IFERROR(__xludf.DUMMYFUNCTION("GOOGLETRANSLATE(A46880, ""de"", ""en"")"),"clu")</f>
        <v>clu</v>
      </c>
    </row>
    <row r="46881">
      <c r="A46881" s="1" t="s">
        <v>46880</v>
      </c>
      <c r="B46881" s="2" t="str">
        <f>IFERROR(__xludf.DUMMYFUNCTION("GOOGLETRANSLATE(A46881, ""de"", ""en"")"),"loggins")</f>
        <v>loggins</v>
      </c>
    </row>
    <row r="46882">
      <c r="A46882" s="1" t="s">
        <v>46881</v>
      </c>
      <c r="B46882" s="2" t="str">
        <f>IFERROR(__xludf.DUMMYFUNCTION("GOOGLETRANSLATE(A46882, ""de"", ""en"")"),"more erotic")</f>
        <v>more erotic</v>
      </c>
    </row>
    <row r="46883">
      <c r="A46883" s="1" t="s">
        <v>46882</v>
      </c>
      <c r="B46883" s="2" t="str">
        <f>IFERROR(__xludf.DUMMYFUNCTION("GOOGLETRANSLATE(A46883, ""de"", ""en"")"),"visitation rights")</f>
        <v>visitation rights</v>
      </c>
    </row>
    <row r="46884">
      <c r="A46884" s="1" t="s">
        <v>46883</v>
      </c>
      <c r="B46884" s="2" t="str">
        <f>IFERROR(__xludf.DUMMYFUNCTION("GOOGLETRANSLATE(A46884, ""de"", ""en"")"),"travel plan")</f>
        <v>travel plan</v>
      </c>
    </row>
    <row r="46885">
      <c r="A46885" s="1" t="s">
        <v>46884</v>
      </c>
      <c r="B46885" s="2" t="str">
        <f>IFERROR(__xludf.DUMMYFUNCTION("GOOGLETRANSLATE(A46885, ""de"", ""en"")"),"tomboy")</f>
        <v>tomboy</v>
      </c>
    </row>
    <row r="46886">
      <c r="A46886" s="1" t="s">
        <v>46885</v>
      </c>
      <c r="B46886" s="2" t="str">
        <f>IFERROR(__xludf.DUMMYFUNCTION("GOOGLETRANSLATE(A46886, ""de"", ""en"")"),"entanglements")</f>
        <v>entanglements</v>
      </c>
    </row>
    <row r="46887">
      <c r="A46887" s="1" t="s">
        <v>46886</v>
      </c>
      <c r="B46887" s="2" t="str">
        <f>IFERROR(__xludf.DUMMYFUNCTION("GOOGLETRANSLATE(A46887, ""de"", ""en"")"),"shooter")</f>
        <v>shooter</v>
      </c>
    </row>
    <row r="46888">
      <c r="A46888" s="1" t="s">
        <v>46887</v>
      </c>
      <c r="B46888" s="2" t="str">
        <f>IFERROR(__xludf.DUMMYFUNCTION("GOOGLETRANSLATE(A46888, ""de"", ""en"")"),"drinker")</f>
        <v>drinker</v>
      </c>
    </row>
    <row r="46889">
      <c r="A46889" s="1" t="s">
        <v>46888</v>
      </c>
      <c r="B46889" s="2" t="str">
        <f>IFERROR(__xludf.DUMMYFUNCTION("GOOGLETRANSLATE(A46889, ""de"", ""en"")"),"ugly as hell")</f>
        <v>ugly as hell</v>
      </c>
    </row>
    <row r="46890">
      <c r="A46890" s="1" t="s">
        <v>46889</v>
      </c>
      <c r="B46890" s="2" t="str">
        <f>IFERROR(__xludf.DUMMYFUNCTION("GOOGLETRANSLATE(A46890, ""de"", ""en"")"),"pisses off")</f>
        <v>pisses off</v>
      </c>
    </row>
    <row r="46891">
      <c r="A46891" s="1" t="s">
        <v>46890</v>
      </c>
      <c r="B46891" s="2" t="str">
        <f>IFERROR(__xludf.DUMMYFUNCTION("GOOGLETRANSLATE(A46891, ""de"", ""en"")"),"Daryl")</f>
        <v>Daryl</v>
      </c>
    </row>
    <row r="46892">
      <c r="A46892" s="1" t="s">
        <v>46891</v>
      </c>
      <c r="B46892" s="2" t="str">
        <f>IFERROR(__xludf.DUMMYFUNCTION("GOOGLETRANSLATE(A46892, ""de"", ""en"")"),"deus")</f>
        <v>deus</v>
      </c>
    </row>
    <row r="46893">
      <c r="A46893" s="1" t="s">
        <v>46892</v>
      </c>
      <c r="B46893" s="2" t="str">
        <f>IFERROR(__xludf.DUMMYFUNCTION("GOOGLETRANSLATE(A46893, ""de"", ""en"")"),"stead")</f>
        <v>stead</v>
      </c>
    </row>
    <row r="46894">
      <c r="A46894" s="1" t="s">
        <v>46893</v>
      </c>
      <c r="B46894" s="2" t="str">
        <f>IFERROR(__xludf.DUMMYFUNCTION("GOOGLETRANSLATE(A46894, ""de"", ""en"")"),"statistical")</f>
        <v>statistical</v>
      </c>
    </row>
    <row r="46895">
      <c r="A46895" s="1" t="s">
        <v>46894</v>
      </c>
      <c r="B46895" s="2" t="str">
        <f>IFERROR(__xludf.DUMMYFUNCTION("GOOGLETRANSLATE(A46895, ""de"", ""en"")"),"Seton")</f>
        <v>Seton</v>
      </c>
    </row>
    <row r="46896">
      <c r="A46896" s="1" t="s">
        <v>46895</v>
      </c>
      <c r="B46896" s="2" t="str">
        <f>IFERROR(__xludf.DUMMYFUNCTION("GOOGLETRANSLATE(A46896, ""de"", ""en"")"),"exclusive interview")</f>
        <v>exclusive interview</v>
      </c>
    </row>
    <row r="46897">
      <c r="A46897" s="1" t="s">
        <v>46896</v>
      </c>
      <c r="B46897" s="2" t="str">
        <f>IFERROR(__xludf.DUMMYFUNCTION("GOOGLETRANSLATE(A46897, ""de"", ""en"")"),"fireplaces")</f>
        <v>fireplaces</v>
      </c>
    </row>
    <row r="46898">
      <c r="A46898" s="1" t="s">
        <v>46897</v>
      </c>
      <c r="B46898" s="2" t="str">
        <f>IFERROR(__xludf.DUMMYFUNCTION("GOOGLETRANSLATE(A46898, ""de"", ""en"")"),"have here")</f>
        <v>have here</v>
      </c>
    </row>
    <row r="46899">
      <c r="A46899" s="1" t="s">
        <v>46898</v>
      </c>
      <c r="B46899" s="2" t="str">
        <f>IFERROR(__xludf.DUMMYFUNCTION("GOOGLETRANSLATE(A46899, ""de"", ""en"")"),"push")</f>
        <v>push</v>
      </c>
    </row>
    <row r="46900">
      <c r="A46900" s="1" t="s">
        <v>46899</v>
      </c>
      <c r="B46900" s="2" t="str">
        <f>IFERROR(__xludf.DUMMYFUNCTION("GOOGLETRANSLATE(A46900, ""de"", ""en"")"),"ventricle")</f>
        <v>ventricle</v>
      </c>
    </row>
    <row r="46901">
      <c r="A46901" s="1" t="s">
        <v>46900</v>
      </c>
      <c r="B46901" s="2" t="str">
        <f>IFERROR(__xludf.DUMMYFUNCTION("GOOGLETRANSLATE(A46901, ""de"", ""en"")"),"easier")</f>
        <v>easier</v>
      </c>
    </row>
    <row r="46902">
      <c r="A46902" s="1" t="s">
        <v>46901</v>
      </c>
      <c r="B46902" s="2" t="str">
        <f>IFERROR(__xludf.DUMMYFUNCTION("GOOGLETRANSLATE(A46902, ""de"", ""en"")"),"huge")</f>
        <v>huge</v>
      </c>
    </row>
    <row r="46903">
      <c r="A46903" s="1" t="s">
        <v>46902</v>
      </c>
      <c r="B46903" s="2" t="str">
        <f>IFERROR(__xludf.DUMMYFUNCTION("GOOGLETRANSLATE(A46903, ""de"", ""en"")"),"get away")</f>
        <v>get away</v>
      </c>
    </row>
    <row r="46904">
      <c r="A46904" s="1" t="s">
        <v>46903</v>
      </c>
      <c r="B46904" s="2" t="str">
        <f>IFERROR(__xludf.DUMMYFUNCTION("GOOGLETRANSLATE(A46904, ""de"", ""en"")"),"superbowl")</f>
        <v>superbowl</v>
      </c>
    </row>
    <row r="46905">
      <c r="A46905" s="1" t="s">
        <v>46904</v>
      </c>
      <c r="B46905" s="2" t="str">
        <f>IFERROR(__xludf.DUMMYFUNCTION("GOOGLETRANSLATE(A46905, ""de"", ""en"")"),"fitter")</f>
        <v>fitter</v>
      </c>
    </row>
    <row r="46906">
      <c r="A46906" s="1" t="s">
        <v>46905</v>
      </c>
      <c r="B46906" s="2" t="str">
        <f>IFERROR(__xludf.DUMMYFUNCTION("GOOGLETRANSLATE(A46906, ""de"", ""en"")"),"metin")</f>
        <v>metin</v>
      </c>
    </row>
    <row r="46907">
      <c r="A46907" s="1" t="s">
        <v>46906</v>
      </c>
      <c r="B46907" s="2" t="str">
        <f>IFERROR(__xludf.DUMMYFUNCTION("GOOGLETRANSLATE(A46907, ""de"", ""en"")"),"ambition")</f>
        <v>ambition</v>
      </c>
    </row>
    <row r="46908">
      <c r="A46908" s="1" t="s">
        <v>46907</v>
      </c>
      <c r="B46908" s="2" t="str">
        <f>IFERROR(__xludf.DUMMYFUNCTION("GOOGLETRANSLATE(A46908, ""de"", ""en"")"),"Lausanne")</f>
        <v>Lausanne</v>
      </c>
    </row>
    <row r="46909">
      <c r="A46909" s="1" t="s">
        <v>46908</v>
      </c>
      <c r="B46909" s="2" t="str">
        <f>IFERROR(__xludf.DUMMYFUNCTION("GOOGLETRANSLATE(A46909, ""de"", ""en"")"),"power outages")</f>
        <v>power outages</v>
      </c>
    </row>
    <row r="46910">
      <c r="A46910" s="1" t="s">
        <v>46909</v>
      </c>
      <c r="B46910" s="2" t="str">
        <f>IFERROR(__xludf.DUMMYFUNCTION("GOOGLETRANSLATE(A46910, ""de"", ""en"")"),"leighton")</f>
        <v>leighton</v>
      </c>
    </row>
    <row r="46911">
      <c r="A46911" s="1" t="s">
        <v>46910</v>
      </c>
      <c r="B46911" s="2" t="str">
        <f>IFERROR(__xludf.DUMMYFUNCTION("GOOGLETRANSLATE(A46911, ""de"", ""en"")"),"organizer")</f>
        <v>organizer</v>
      </c>
    </row>
    <row r="46912">
      <c r="A46912" s="1" t="s">
        <v>46911</v>
      </c>
      <c r="B46912" s="2" t="str">
        <f>IFERROR(__xludf.DUMMYFUNCTION("GOOGLETRANSLATE(A46912, ""de"", ""en"")"),"revenant")</f>
        <v>revenant</v>
      </c>
    </row>
    <row r="46913">
      <c r="A46913" s="1" t="s">
        <v>46912</v>
      </c>
      <c r="B46913" s="2" t="str">
        <f>IFERROR(__xludf.DUMMYFUNCTION("GOOGLETRANSLATE(A46913, ""de"", ""en"")"),"cartoon")</f>
        <v>cartoon</v>
      </c>
    </row>
    <row r="46914">
      <c r="A46914" s="1" t="s">
        <v>46913</v>
      </c>
      <c r="B46914" s="2" t="str">
        <f>IFERROR(__xludf.DUMMYFUNCTION("GOOGLETRANSLATE(A46914, ""de"", ""en"")"),"appropriate")</f>
        <v>appropriate</v>
      </c>
    </row>
    <row r="46915">
      <c r="A46915" s="1" t="s">
        <v>46914</v>
      </c>
      <c r="B46915" s="2" t="str">
        <f>IFERROR(__xludf.DUMMYFUNCTION("GOOGLETRANSLATE(A46915, ""de"", ""en"")"),"gadreel")</f>
        <v>gadreel</v>
      </c>
    </row>
    <row r="46916">
      <c r="A46916" s="1" t="s">
        <v>46915</v>
      </c>
      <c r="B46916" s="2" t="str">
        <f>IFERROR(__xludf.DUMMYFUNCTION("GOOGLETRANSLATE(A46916, ""de"", ""en"")"),"bodice")</f>
        <v>bodice</v>
      </c>
    </row>
    <row r="46917">
      <c r="A46917" s="1" t="s">
        <v>46916</v>
      </c>
      <c r="B46917" s="2" t="str">
        <f>IFERROR(__xludf.DUMMYFUNCTION("GOOGLETRANSLATE(A46917, ""de"", ""en"")"),"yoshimura")</f>
        <v>yoshimura</v>
      </c>
    </row>
    <row r="46918">
      <c r="A46918" s="1" t="s">
        <v>46917</v>
      </c>
      <c r="B46918" s="2" t="str">
        <f>IFERROR(__xludf.DUMMYFUNCTION("GOOGLETRANSLATE(A46918, ""de"", ""en"")"),"astro")</f>
        <v>astro</v>
      </c>
    </row>
    <row r="46919">
      <c r="A46919" s="1" t="s">
        <v>46918</v>
      </c>
      <c r="B46919" s="2" t="str">
        <f>IFERROR(__xludf.DUMMYFUNCTION("GOOGLETRANSLATE(A46919, ""de"", ""en"")"),"strict")</f>
        <v>strict</v>
      </c>
    </row>
    <row r="46920">
      <c r="A46920" s="1" t="s">
        <v>46919</v>
      </c>
      <c r="B46920" s="2" t="str">
        <f>IFERROR(__xludf.DUMMYFUNCTION("GOOGLETRANSLATE(A46920, ""de"", ""en"")"),"shaken up")</f>
        <v>shaken up</v>
      </c>
    </row>
    <row r="46921">
      <c r="A46921" s="1" t="s">
        <v>46920</v>
      </c>
      <c r="B46921" s="2" t="str">
        <f>IFERROR(__xludf.DUMMYFUNCTION("GOOGLETRANSLATE(A46921, ""de"", ""en"")"),"stilinski")</f>
        <v>stilinski</v>
      </c>
    </row>
    <row r="46922">
      <c r="A46922" s="1" t="s">
        <v>46921</v>
      </c>
      <c r="B46922" s="2" t="str">
        <f>IFERROR(__xludf.DUMMYFUNCTION("GOOGLETRANSLATE(A46922, ""de"", ""en"")"),"deadliest")</f>
        <v>deadliest</v>
      </c>
    </row>
    <row r="46923">
      <c r="A46923" s="1" t="s">
        <v>46922</v>
      </c>
      <c r="B46923" s="2" t="str">
        <f>IFERROR(__xludf.DUMMYFUNCTION("GOOGLETRANSLATE(A46923, ""de"", ""en"")"),"roll over")</f>
        <v>roll over</v>
      </c>
    </row>
    <row r="46924">
      <c r="A46924" s="1" t="s">
        <v>46923</v>
      </c>
      <c r="B46924" s="2" t="str">
        <f>IFERROR(__xludf.DUMMYFUNCTION("GOOGLETRANSLATE(A46924, ""de"", ""en"")"),"fig")</f>
        <v>fig</v>
      </c>
    </row>
    <row r="46925">
      <c r="A46925" s="1" t="s">
        <v>46924</v>
      </c>
      <c r="B46925" s="2" t="str">
        <f>IFERROR(__xludf.DUMMYFUNCTION("GOOGLETRANSLATE(A46925, ""de"", ""en"")"),"toru")</f>
        <v>toru</v>
      </c>
    </row>
    <row r="46926">
      <c r="A46926" s="1" t="s">
        <v>46925</v>
      </c>
      <c r="B46926" s="2" t="str">
        <f>IFERROR(__xludf.DUMMYFUNCTION("GOOGLETRANSLATE(A46926, ""de"", ""en"")"),"police reports")</f>
        <v>police reports</v>
      </c>
    </row>
    <row r="46927">
      <c r="A46927" s="1" t="s">
        <v>46926</v>
      </c>
      <c r="B46927" s="2" t="str">
        <f>IFERROR(__xludf.DUMMYFUNCTION("GOOGLETRANSLATE(A46927, ""de"", ""en"")"),"doberman")</f>
        <v>doberman</v>
      </c>
    </row>
    <row r="46928">
      <c r="A46928" s="1" t="s">
        <v>46927</v>
      </c>
      <c r="B46928" s="2" t="str">
        <f>IFERROR(__xludf.DUMMYFUNCTION("GOOGLETRANSLATE(A46928, ""de"", ""en"")"),"flush")</f>
        <v>flush</v>
      </c>
    </row>
    <row r="46929">
      <c r="A46929" s="1" t="s">
        <v>46928</v>
      </c>
      <c r="B46929" s="2" t="str">
        <f>IFERROR(__xludf.DUMMYFUNCTION("GOOGLETRANSLATE(A46929, ""de"", ""en"")"),"back of hand")</f>
        <v>back of hand</v>
      </c>
    </row>
    <row r="46930">
      <c r="A46930" s="1" t="s">
        <v>46929</v>
      </c>
      <c r="B46930" s="2" t="str">
        <f>IFERROR(__xludf.DUMMYFUNCTION("GOOGLETRANSLATE(A46930, ""de"", ""en"")"),"economic")</f>
        <v>economic</v>
      </c>
    </row>
    <row r="46931">
      <c r="A46931" s="1" t="s">
        <v>46930</v>
      </c>
      <c r="B46931" s="2" t="str">
        <f>IFERROR(__xludf.DUMMYFUNCTION("GOOGLETRANSLATE(A46931, ""de"", ""en"")"),"cafeteria")</f>
        <v>cafeteria</v>
      </c>
    </row>
    <row r="46932">
      <c r="A46932" s="1" t="s">
        <v>46931</v>
      </c>
      <c r="B46932" s="2" t="str">
        <f>IFERROR(__xludf.DUMMYFUNCTION("GOOGLETRANSLATE(A46932, ""de"", ""en"")"),"freshwater")</f>
        <v>freshwater</v>
      </c>
    </row>
    <row r="46933">
      <c r="A46933" s="1" t="s">
        <v>46932</v>
      </c>
      <c r="B46933" s="2" t="str">
        <f>IFERROR(__xludf.DUMMYFUNCTION("GOOGLETRANSLATE(A46933, ""de"", ""en"")"),"tears off")</f>
        <v>tears off</v>
      </c>
    </row>
    <row r="46934">
      <c r="A46934" s="1" t="s">
        <v>46933</v>
      </c>
      <c r="B46934" s="2" t="str">
        <f>IFERROR(__xludf.DUMMYFUNCTION("GOOGLETRANSLATE(A46934, ""de"", ""en"")"),"amaya")</f>
        <v>amaya</v>
      </c>
    </row>
    <row r="46935">
      <c r="A46935" s="1" t="s">
        <v>46934</v>
      </c>
      <c r="B46935" s="2" t="str">
        <f>IFERROR(__xludf.DUMMYFUNCTION("GOOGLETRANSLATE(A46935, ""de"", ""en"")"),"double date")</f>
        <v>double date</v>
      </c>
    </row>
    <row r="46936">
      <c r="A46936" s="1" t="s">
        <v>46935</v>
      </c>
      <c r="B46936" s="2" t="str">
        <f>IFERROR(__xludf.DUMMYFUNCTION("GOOGLETRANSLATE(A46936, ""de"", ""en"")"),"abysses")</f>
        <v>abysses</v>
      </c>
    </row>
    <row r="46937">
      <c r="A46937" s="1" t="s">
        <v>46936</v>
      </c>
      <c r="B46937" s="2" t="str">
        <f>IFERROR(__xludf.DUMMYFUNCTION("GOOGLETRANSLATE(A46937, ""de"", ""en"")"),"walkie talkies")</f>
        <v>walkie talkies</v>
      </c>
    </row>
    <row r="46938">
      <c r="A46938" s="1" t="s">
        <v>46937</v>
      </c>
      <c r="B46938" s="2" t="str">
        <f>IFERROR(__xludf.DUMMYFUNCTION("GOOGLETRANSLATE(A46938, ""de"", ""en"")"),"blood stain")</f>
        <v>blood stain</v>
      </c>
    </row>
    <row r="46939">
      <c r="A46939" s="1" t="s">
        <v>46938</v>
      </c>
      <c r="B46939" s="2" t="str">
        <f>IFERROR(__xludf.DUMMYFUNCTION("GOOGLETRANSLATE(A46939, ""de"", ""en"")"),"glorious")</f>
        <v>glorious</v>
      </c>
    </row>
    <row r="46940">
      <c r="A46940" s="1" t="s">
        <v>46939</v>
      </c>
      <c r="B46940" s="2" t="str">
        <f>IFERROR(__xludf.DUMMYFUNCTION("GOOGLETRANSLATE(A46940, ""de"", ""en"")"),"margarethe")</f>
        <v>margarethe</v>
      </c>
    </row>
    <row r="46941">
      <c r="A46941" s="1" t="s">
        <v>46940</v>
      </c>
      <c r="B46941" s="2" t="str">
        <f>IFERROR(__xludf.DUMMYFUNCTION("GOOGLETRANSLATE(A46941, ""de"", ""en"")"),"leg of lamb")</f>
        <v>leg of lamb</v>
      </c>
    </row>
    <row r="46942">
      <c r="A46942" s="1" t="s">
        <v>46941</v>
      </c>
      <c r="B46942" s="2" t="str">
        <f>IFERROR(__xludf.DUMMYFUNCTION("GOOGLETRANSLATE(A46942, ""de"", ""en"")"),"extras")</f>
        <v>extras</v>
      </c>
    </row>
    <row r="46943">
      <c r="A46943" s="1" t="s">
        <v>46942</v>
      </c>
      <c r="B46943" s="2" t="str">
        <f>IFERROR(__xludf.DUMMYFUNCTION("GOOGLETRANSLATE(A46943, ""de"", ""en"")"),"time limit")</f>
        <v>time limit</v>
      </c>
    </row>
    <row r="46944">
      <c r="A46944" s="1" t="s">
        <v>46943</v>
      </c>
      <c r="B46944" s="2" t="str">
        <f>IFERROR(__xludf.DUMMYFUNCTION("GOOGLETRANSLATE(A46944, ""de"", ""en"")"),"snowy")</f>
        <v>snowy</v>
      </c>
    </row>
    <row r="46945">
      <c r="A46945" s="1" t="s">
        <v>46944</v>
      </c>
      <c r="B46945" s="2" t="str">
        <f>IFERROR(__xludf.DUMMYFUNCTION("GOOGLETRANSLATE(A46945, ""de"", ""en"")"),"brummer")</f>
        <v>brummer</v>
      </c>
    </row>
    <row r="46946">
      <c r="A46946" s="1" t="s">
        <v>46945</v>
      </c>
      <c r="B46946" s="2" t="str">
        <f>IFERROR(__xludf.DUMMYFUNCTION("GOOGLETRANSLATE(A46946, ""de"", ""en"")"),"grope")</f>
        <v>grope</v>
      </c>
    </row>
    <row r="46947">
      <c r="A46947" s="1" t="s">
        <v>46946</v>
      </c>
      <c r="B46947" s="2" t="str">
        <f>IFERROR(__xludf.DUMMYFUNCTION("GOOGLETRANSLATE(A46947, ""de"", ""en"")"),"come together")</f>
        <v>come together</v>
      </c>
    </row>
    <row r="46948">
      <c r="A46948" s="1" t="s">
        <v>46947</v>
      </c>
      <c r="B46948" s="2" t="str">
        <f>IFERROR(__xludf.DUMMYFUNCTION("GOOGLETRANSLATE(A46948, ""de"", ""en"")"),"hey.")</f>
        <v>hey.</v>
      </c>
    </row>
    <row r="46949">
      <c r="A46949" s="1" t="s">
        <v>46948</v>
      </c>
      <c r="B46949" s="2" t="str">
        <f>IFERROR(__xludf.DUMMYFUNCTION("GOOGLETRANSLATE(A46949, ""de"", ""en"")"),"promotions")</f>
        <v>promotions</v>
      </c>
    </row>
    <row r="46950">
      <c r="A46950" s="1" t="s">
        <v>46949</v>
      </c>
      <c r="B46950" s="2" t="str">
        <f>IFERROR(__xludf.DUMMYFUNCTION("GOOGLETRANSLATE(A46950, ""de"", ""en"")"),"maternal")</f>
        <v>maternal</v>
      </c>
    </row>
    <row r="46951">
      <c r="A46951" s="1" t="s">
        <v>46950</v>
      </c>
      <c r="B46951" s="2" t="str">
        <f>IFERROR(__xludf.DUMMYFUNCTION("GOOGLETRANSLATE(A46951, ""de"", ""en"")"),"annals")</f>
        <v>annals</v>
      </c>
    </row>
    <row r="46952">
      <c r="A46952" s="1" t="s">
        <v>46951</v>
      </c>
      <c r="B46952" s="2" t="str">
        <f>IFERROR(__xludf.DUMMYFUNCTION("GOOGLETRANSLATE(A46952, ""de"", ""en"")"),"sell off")</f>
        <v>sell off</v>
      </c>
    </row>
    <row r="46953">
      <c r="A46953" s="1" t="s">
        <v>46952</v>
      </c>
      <c r="B46953" s="2" t="str">
        <f>IFERROR(__xludf.DUMMYFUNCTION("GOOGLETRANSLATE(A46953, ""de"", ""en"")"),"banking")</f>
        <v>banking</v>
      </c>
    </row>
    <row r="46954">
      <c r="A46954" s="1" t="s">
        <v>46953</v>
      </c>
      <c r="B46954" s="2" t="str">
        <f>IFERROR(__xludf.DUMMYFUNCTION("GOOGLETRANSLATE(A46954, ""de"", ""en"")"),"crazy")</f>
        <v>crazy</v>
      </c>
    </row>
    <row r="46955">
      <c r="A46955" s="1" t="s">
        <v>46954</v>
      </c>
      <c r="B46955" s="2" t="str">
        <f>IFERROR(__xludf.DUMMYFUNCTION("GOOGLETRANSLATE(A46955, ""de"", ""en"")"),"hookstraten")</f>
        <v>hookstraten</v>
      </c>
    </row>
    <row r="46956">
      <c r="A46956" s="1" t="s">
        <v>46955</v>
      </c>
      <c r="B46956" s="2" t="str">
        <f>IFERROR(__xludf.DUMMYFUNCTION("GOOGLETRANSLATE(A46956, ""de"", ""en"")"),"headless")</f>
        <v>headless</v>
      </c>
    </row>
    <row r="46957">
      <c r="A46957" s="1" t="s">
        <v>46956</v>
      </c>
      <c r="B46957" s="2" t="str">
        <f>IFERROR(__xludf.DUMMYFUNCTION("GOOGLETRANSLATE(A46957, ""de"", ""en"")"),"throws out")</f>
        <v>throws out</v>
      </c>
    </row>
    <row r="46958">
      <c r="A46958" s="1" t="s">
        <v>46957</v>
      </c>
      <c r="B46958" s="2" t="str">
        <f>IFERROR(__xludf.DUMMYFUNCTION("GOOGLETRANSLATE(A46958, ""de"", ""en"")"),"puzzle pieces")</f>
        <v>puzzle pieces</v>
      </c>
    </row>
    <row r="46959">
      <c r="A46959" s="1" t="s">
        <v>46958</v>
      </c>
      <c r="B46959" s="2" t="str">
        <f>IFERROR(__xludf.DUMMYFUNCTION("GOOGLETRANSLATE(A46959, ""de"", ""en"")"),"secret")</f>
        <v>secret</v>
      </c>
    </row>
    <row r="46960">
      <c r="A46960" s="1" t="s">
        <v>46959</v>
      </c>
      <c r="B46960" s="2" t="str">
        <f>IFERROR(__xludf.DUMMYFUNCTION("GOOGLETRANSLATE(A46960, ""de"", ""en"")"),"approaches")</f>
        <v>approaches</v>
      </c>
    </row>
    <row r="46961">
      <c r="A46961" s="1" t="s">
        <v>46960</v>
      </c>
      <c r="B46961" s="2" t="str">
        <f>IFERROR(__xludf.DUMMYFUNCTION("GOOGLETRANSLATE(A46961, ""de"", ""en"")"),"doesn")</f>
        <v>doesn</v>
      </c>
    </row>
    <row r="46962">
      <c r="A46962" s="1" t="s">
        <v>46961</v>
      </c>
      <c r="B46962" s="2" t="str">
        <f>IFERROR(__xludf.DUMMYFUNCTION("GOOGLETRANSLATE(A46962, ""de"", ""en"")"),"coffee party")</f>
        <v>coffee party</v>
      </c>
    </row>
    <row r="46963">
      <c r="A46963" s="1" t="s">
        <v>46962</v>
      </c>
      <c r="B46963" s="2" t="str">
        <f>IFERROR(__xludf.DUMMYFUNCTION("GOOGLETRANSLATE(A46963, ""de"", ""en"")"),"hop")</f>
        <v>hop</v>
      </c>
    </row>
    <row r="46964">
      <c r="A46964" s="1" t="s">
        <v>46963</v>
      </c>
      <c r="B46964" s="2" t="str">
        <f>IFERROR(__xludf.DUMMYFUNCTION("GOOGLETRANSLATE(A46964, ""de"", ""en"")"),"neiman")</f>
        <v>neiman</v>
      </c>
    </row>
    <row r="46965">
      <c r="A46965" s="1" t="s">
        <v>46964</v>
      </c>
      <c r="B46965" s="2" t="str">
        <f>IFERROR(__xludf.DUMMYFUNCTION("GOOGLETRANSLATE(A46965, ""de"", ""en"")"),"infected")</f>
        <v>infected</v>
      </c>
    </row>
    <row r="46966">
      <c r="A46966" s="1" t="s">
        <v>46965</v>
      </c>
      <c r="B46966" s="2" t="str">
        <f>IFERROR(__xludf.DUMMYFUNCTION("GOOGLETRANSLATE(A46966, ""de"", ""en"")"),"pamper")</f>
        <v>pamper</v>
      </c>
    </row>
    <row r="46967">
      <c r="A46967" s="1" t="s">
        <v>46966</v>
      </c>
      <c r="B46967" s="2" t="str">
        <f>IFERROR(__xludf.DUMMYFUNCTION("GOOGLETRANSLATE(A46967, ""de"", ""en"")"),"boardroom")</f>
        <v>boardroom</v>
      </c>
    </row>
    <row r="46968">
      <c r="A46968" s="1" t="s">
        <v>46967</v>
      </c>
      <c r="B46968" s="2" t="str">
        <f>IFERROR(__xludf.DUMMYFUNCTION("GOOGLETRANSLATE(A46968, ""de"", ""en"")"),"certainty")</f>
        <v>certainty</v>
      </c>
    </row>
    <row r="46969">
      <c r="A46969" s="1" t="s">
        <v>46968</v>
      </c>
      <c r="B46969" s="2" t="str">
        <f>IFERROR(__xludf.DUMMYFUNCTION("GOOGLETRANSLATE(A46969, ""de"", ""en"")"),"bombings")</f>
        <v>bombings</v>
      </c>
    </row>
    <row r="46970">
      <c r="A46970" s="1" t="s">
        <v>46969</v>
      </c>
      <c r="B46970" s="2" t="str">
        <f>IFERROR(__xludf.DUMMYFUNCTION("GOOGLETRANSLATE(A46970, ""de"", ""en"")"),"rajiv")</f>
        <v>rajiv</v>
      </c>
    </row>
    <row r="46971">
      <c r="A46971" s="1" t="s">
        <v>46970</v>
      </c>
      <c r="B46971" s="2" t="str">
        <f>IFERROR(__xludf.DUMMYFUNCTION("GOOGLETRANSLATE(A46971, ""de"", ""en"")"),"floors")</f>
        <v>floors</v>
      </c>
    </row>
    <row r="46972">
      <c r="A46972" s="1" t="s">
        <v>46971</v>
      </c>
      <c r="B46972" s="2" t="str">
        <f>IFERROR(__xludf.DUMMYFUNCTION("GOOGLETRANSLATE(A46972, ""de"", ""en"")"),"arbor")</f>
        <v>arbor</v>
      </c>
    </row>
    <row r="46973">
      <c r="A46973" s="1" t="s">
        <v>46972</v>
      </c>
      <c r="B46973" s="2" t="str">
        <f>IFERROR(__xludf.DUMMYFUNCTION("GOOGLETRANSLATE(A46973, ""de"", ""en"")"),"hoodie")</f>
        <v>hoodie</v>
      </c>
    </row>
    <row r="46974">
      <c r="A46974" s="1" t="s">
        <v>46973</v>
      </c>
      <c r="B46974" s="2" t="str">
        <f>IFERROR(__xludf.DUMMYFUNCTION("GOOGLETRANSLATE(A46974, ""de"", ""en"")"),"prompts")</f>
        <v>prompts</v>
      </c>
    </row>
    <row r="46975">
      <c r="A46975" s="1" t="s">
        <v>46974</v>
      </c>
      <c r="B46975" s="2" t="str">
        <f>IFERROR(__xludf.DUMMYFUNCTION("GOOGLETRANSLATE(A46975, ""de"", ""en"")"),"agree")</f>
        <v>agree</v>
      </c>
    </row>
    <row r="46976">
      <c r="A46976" s="1" t="s">
        <v>46975</v>
      </c>
      <c r="B46976" s="2" t="str">
        <f>IFERROR(__xludf.DUMMYFUNCTION("GOOGLETRANSLATE(A46976, ""de"", ""en"")"),"contained")</f>
        <v>contained</v>
      </c>
    </row>
    <row r="46977">
      <c r="A46977" s="1" t="s">
        <v>46976</v>
      </c>
      <c r="B46977" s="2" t="str">
        <f>IFERROR(__xludf.DUMMYFUNCTION("GOOGLETRANSLATE(A46977, ""de"", ""en"")"),"bagpipes")</f>
        <v>bagpipes</v>
      </c>
    </row>
    <row r="46978">
      <c r="A46978" s="1" t="s">
        <v>46977</v>
      </c>
      <c r="B46978" s="2" t="str">
        <f>IFERROR(__xludf.DUMMYFUNCTION("GOOGLETRANSLATE(A46978, ""de"", ""en"")"),"sardine")</f>
        <v>sardine</v>
      </c>
    </row>
    <row r="46979">
      <c r="A46979" s="1" t="s">
        <v>46978</v>
      </c>
      <c r="B46979" s="2" t="str">
        <f>IFERROR(__xludf.DUMMYFUNCTION("GOOGLETRANSLATE(A46979, ""de"", ""en"")"),"rising")</f>
        <v>rising</v>
      </c>
    </row>
    <row r="46980">
      <c r="A46980" s="1" t="s">
        <v>46979</v>
      </c>
      <c r="B46980" s="2" t="str">
        <f>IFERROR(__xludf.DUMMYFUNCTION("GOOGLETRANSLATE(A46980, ""de"", ""en"")"),"animal welfare")</f>
        <v>animal welfare</v>
      </c>
    </row>
    <row r="46981">
      <c r="A46981" s="1" t="s">
        <v>46980</v>
      </c>
      <c r="B46981" s="2" t="str">
        <f>IFERROR(__xludf.DUMMYFUNCTION("GOOGLETRANSLATE(A46981, ""de"", ""en"")"),"foreign word")</f>
        <v>foreign word</v>
      </c>
    </row>
    <row r="46982">
      <c r="A46982" s="1" t="s">
        <v>46981</v>
      </c>
      <c r="B46982" s="2" t="str">
        <f>IFERROR(__xludf.DUMMYFUNCTION("GOOGLETRANSLATE(A46982, ""de"", ""en"")"),"bainbridge")</f>
        <v>bainbridge</v>
      </c>
    </row>
    <row r="46983">
      <c r="A46983" s="1" t="s">
        <v>46982</v>
      </c>
      <c r="B46983" s="2" t="str">
        <f>IFERROR(__xludf.DUMMYFUNCTION("GOOGLETRANSLATE(A46983, ""de"", ""en"")"),"turmoil")</f>
        <v>turmoil</v>
      </c>
    </row>
    <row r="46984">
      <c r="A46984" s="1" t="s">
        <v>46983</v>
      </c>
      <c r="B46984" s="2" t="str">
        <f>IFERROR(__xludf.DUMMYFUNCTION("GOOGLETRANSLATE(A46984, ""de"", ""en"")"),"more joyful")</f>
        <v>more joyful</v>
      </c>
    </row>
    <row r="46985">
      <c r="A46985" s="1" t="s">
        <v>46984</v>
      </c>
      <c r="B46985" s="2" t="str">
        <f>IFERROR(__xludf.DUMMYFUNCTION("GOOGLETRANSLATE(A46985, ""de"", ""en"")"),"trying")</f>
        <v>trying</v>
      </c>
    </row>
    <row r="46986">
      <c r="A46986" s="1" t="s">
        <v>46985</v>
      </c>
      <c r="B46986" s="2" t="str">
        <f>IFERROR(__xludf.DUMMYFUNCTION("GOOGLETRANSLATE(A46986, ""de"", ""en"")"),"moisturizer")</f>
        <v>moisturizer</v>
      </c>
    </row>
    <row r="46987">
      <c r="A46987" s="1" t="s">
        <v>46986</v>
      </c>
      <c r="B46987" s="2" t="str">
        <f>IFERROR(__xludf.DUMMYFUNCTION("GOOGLETRANSLATE(A46987, ""de"", ""en"")"),"sonora")</f>
        <v>sonora</v>
      </c>
    </row>
    <row r="46988">
      <c r="A46988" s="1" t="s">
        <v>46987</v>
      </c>
      <c r="B46988" s="2" t="str">
        <f>IFERROR(__xludf.DUMMYFUNCTION("GOOGLETRANSLATE(A46988, ""de"", ""en"")"),"colombo")</f>
        <v>colombo</v>
      </c>
    </row>
    <row r="46989">
      <c r="A46989" s="1" t="s">
        <v>46988</v>
      </c>
      <c r="B46989" s="2" t="str">
        <f>IFERROR(__xludf.DUMMYFUNCTION("GOOGLETRANSLATE(A46989, ""de"", ""en"")"),"mobile")</f>
        <v>mobile</v>
      </c>
    </row>
    <row r="46990">
      <c r="A46990" s="1" t="s">
        <v>46989</v>
      </c>
      <c r="B46990" s="2" t="str">
        <f>IFERROR(__xludf.DUMMYFUNCTION("GOOGLETRANSLATE(A46990, ""de"", ""en"")"),"Garrick")</f>
        <v>Garrick</v>
      </c>
    </row>
    <row r="46991">
      <c r="A46991" s="1" t="s">
        <v>46990</v>
      </c>
      <c r="B46991" s="2" t="str">
        <f>IFERROR(__xludf.DUMMYFUNCTION("GOOGLETRANSLATE(A46991, ""de"", ""en"")"),"milk powder")</f>
        <v>milk powder</v>
      </c>
    </row>
    <row r="46992">
      <c r="A46992" s="1" t="s">
        <v>46991</v>
      </c>
      <c r="B46992" s="2" t="str">
        <f>IFERROR(__xludf.DUMMYFUNCTION("GOOGLETRANSLATE(A46992, ""de"", ""en"")"),"tickets")</f>
        <v>tickets</v>
      </c>
    </row>
    <row r="46993">
      <c r="A46993" s="1" t="s">
        <v>46992</v>
      </c>
      <c r="B46993" s="2" t="str">
        <f>IFERROR(__xludf.DUMMYFUNCTION("GOOGLETRANSLATE(A46993, ""de"", ""en"")"),"hip")</f>
        <v>hip</v>
      </c>
    </row>
    <row r="46994">
      <c r="A46994" s="1" t="s">
        <v>46993</v>
      </c>
      <c r="B46994" s="2" t="str">
        <f>IFERROR(__xludf.DUMMYFUNCTION("GOOGLETRANSLATE(A46994, ""de"", ""en"")"),"hygienic")</f>
        <v>hygienic</v>
      </c>
    </row>
    <row r="46995">
      <c r="A46995" s="1" t="s">
        <v>46994</v>
      </c>
      <c r="B46995" s="2" t="str">
        <f>IFERROR(__xludf.DUMMYFUNCTION("GOOGLETRANSLATE(A46995, ""de"", ""en"")"),"koo")</f>
        <v>koo</v>
      </c>
    </row>
    <row r="46996">
      <c r="A46996" s="1" t="s">
        <v>46995</v>
      </c>
      <c r="B46996" s="2" t="str">
        <f>IFERROR(__xludf.DUMMYFUNCTION("GOOGLETRANSLATE(A46996, ""de"", ""en"")"),"suppressed")</f>
        <v>suppressed</v>
      </c>
    </row>
    <row r="46997">
      <c r="A46997" s="1" t="s">
        <v>46996</v>
      </c>
      <c r="B46997" s="2" t="str">
        <f>IFERROR(__xludf.DUMMYFUNCTION("GOOGLETRANSLATE(A46997, ""de"", ""en"")"),"vice")</f>
        <v>vice</v>
      </c>
    </row>
    <row r="46998">
      <c r="A46998" s="1" t="s">
        <v>46997</v>
      </c>
      <c r="B46998" s="2" t="str">
        <f>IFERROR(__xludf.DUMMYFUNCTION("GOOGLETRANSLATE(A46998, ""de"", ""en"")"),"g-forces")</f>
        <v>g-forces</v>
      </c>
    </row>
    <row r="46999">
      <c r="A46999" s="1" t="s">
        <v>46998</v>
      </c>
      <c r="B46999" s="2" t="str">
        <f>IFERROR(__xludf.DUMMYFUNCTION("GOOGLETRANSLATE(A46999, ""de"", ""en"")"),"fascist")</f>
        <v>fascist</v>
      </c>
    </row>
    <row r="47000">
      <c r="A47000" s="1" t="s">
        <v>46999</v>
      </c>
      <c r="B47000" s="2" t="str">
        <f>IFERROR(__xludf.DUMMYFUNCTION("GOOGLETRANSLATE(A47000, ""de"", ""en"")"),"disagreement")</f>
        <v>disagreement</v>
      </c>
    </row>
    <row r="47001">
      <c r="A47001" s="1" t="s">
        <v>47000</v>
      </c>
      <c r="B47001" s="2" t="str">
        <f>IFERROR(__xludf.DUMMYFUNCTION("GOOGLETRANSLATE(A47001, ""de"", ""en"")"),"gainey")</f>
        <v>gainey</v>
      </c>
    </row>
    <row r="47002">
      <c r="A47002" s="1" t="s">
        <v>47001</v>
      </c>
      <c r="B47002" s="2" t="str">
        <f>IFERROR(__xludf.DUMMYFUNCTION("GOOGLETRANSLATE(A47002, ""de"", ""en"")"),"representations")</f>
        <v>representations</v>
      </c>
    </row>
    <row r="47003">
      <c r="A47003" s="1" t="s">
        <v>47002</v>
      </c>
      <c r="B47003" s="2" t="str">
        <f>IFERROR(__xludf.DUMMYFUNCTION("GOOGLETRANSLATE(A47003, ""de"", ""en"")"),"schop")</f>
        <v>schop</v>
      </c>
    </row>
    <row r="47004">
      <c r="A47004" s="1" t="s">
        <v>47003</v>
      </c>
      <c r="B47004" s="2" t="str">
        <f>IFERROR(__xludf.DUMMYFUNCTION("GOOGLETRANSLATE(A47004, ""de"", ""en"")"),"outside")</f>
        <v>outside</v>
      </c>
    </row>
    <row r="47005">
      <c r="A47005" s="1" t="s">
        <v>47004</v>
      </c>
      <c r="B47005" s="2" t="str">
        <f>IFERROR(__xludf.DUMMYFUNCTION("GOOGLETRANSLATE(A47005, ""de"", ""en"")"),"control center")</f>
        <v>control center</v>
      </c>
    </row>
    <row r="47006">
      <c r="A47006" s="1" t="s">
        <v>47005</v>
      </c>
      <c r="B47006" s="2" t="str">
        <f>IFERROR(__xludf.DUMMYFUNCTION("GOOGLETRANSLATE(A47006, ""de"", ""en"")"),"alliances")</f>
        <v>alliances</v>
      </c>
    </row>
    <row r="47007">
      <c r="A47007" s="1" t="s">
        <v>47006</v>
      </c>
      <c r="B47007" s="2" t="str">
        <f>IFERROR(__xludf.DUMMYFUNCTION("GOOGLETRANSLATE(A47007, ""de"", ""en"")"),"tighten")</f>
        <v>tighten</v>
      </c>
    </row>
    <row r="47008">
      <c r="A47008" s="1" t="s">
        <v>47007</v>
      </c>
      <c r="B47008" s="2" t="str">
        <f>IFERROR(__xludf.DUMMYFUNCTION("GOOGLETRANSLATE(A47008, ""de"", ""en"")"),"exchange rate")</f>
        <v>exchange rate</v>
      </c>
    </row>
    <row r="47009">
      <c r="A47009" s="1" t="s">
        <v>47008</v>
      </c>
      <c r="B47009" s="2" t="str">
        <f>IFERROR(__xludf.DUMMYFUNCTION("GOOGLETRANSLATE(A47009, ""de"", ""en"")"),"legionnaire")</f>
        <v>legionnaire</v>
      </c>
    </row>
    <row r="47010">
      <c r="A47010" s="1" t="s">
        <v>47009</v>
      </c>
      <c r="B47010" s="2" t="str">
        <f>IFERROR(__xludf.DUMMYFUNCTION("GOOGLETRANSLATE(A47010, ""de"", ""en"")"),"everyday")</f>
        <v>everyday</v>
      </c>
    </row>
    <row r="47011">
      <c r="A47011" s="1" t="s">
        <v>47010</v>
      </c>
      <c r="B47011" s="2" t="str">
        <f>IFERROR(__xludf.DUMMYFUNCTION("GOOGLETRANSLATE(A47011, ""de"", ""en"")"),"scatters")</f>
        <v>scatters</v>
      </c>
    </row>
    <row r="47012">
      <c r="A47012" s="1" t="s">
        <v>47011</v>
      </c>
      <c r="B47012" s="2" t="str">
        <f>IFERROR(__xludf.DUMMYFUNCTION("GOOGLETRANSLATE(A47012, ""de"", ""en"")"),"part time job")</f>
        <v>part time job</v>
      </c>
    </row>
    <row r="47013">
      <c r="A47013" s="1" t="s">
        <v>47012</v>
      </c>
      <c r="B47013" s="2" t="str">
        <f>IFERROR(__xludf.DUMMYFUNCTION("GOOGLETRANSLATE(A47013, ""de"", ""en"")"),"escort")</f>
        <v>escort</v>
      </c>
    </row>
    <row r="47014">
      <c r="A47014" s="1" t="s">
        <v>47013</v>
      </c>
      <c r="B47014" s="2" t="str">
        <f>IFERROR(__xludf.DUMMYFUNCTION("GOOGLETRANSLATE(A47014, ""de"", ""en"")"),"textiles")</f>
        <v>textiles</v>
      </c>
    </row>
    <row r="47015">
      <c r="A47015" s="1" t="s">
        <v>47014</v>
      </c>
      <c r="B47015" s="2" t="str">
        <f>IFERROR(__xludf.DUMMYFUNCTION("GOOGLETRANSLATE(A47015, ""de"", ""en"")"),"Lilliputian")</f>
        <v>Lilliputian</v>
      </c>
    </row>
    <row r="47016">
      <c r="A47016" s="1" t="s">
        <v>47015</v>
      </c>
      <c r="B47016" s="2" t="str">
        <f>IFERROR(__xludf.DUMMYFUNCTION("GOOGLETRANSLATE(A47016, ""de"", ""en"")"),"ogata")</f>
        <v>ogata</v>
      </c>
    </row>
    <row r="47017">
      <c r="A47017" s="1" t="s">
        <v>47016</v>
      </c>
      <c r="B47017" s="2" t="str">
        <f>IFERROR(__xludf.DUMMYFUNCTION("GOOGLETRANSLATE(A47017, ""de"", ""en"")"),"quietest")</f>
        <v>quietest</v>
      </c>
    </row>
    <row r="47018">
      <c r="A47018" s="1" t="s">
        <v>47017</v>
      </c>
      <c r="B47018" s="2" t="str">
        <f>IFERROR(__xludf.DUMMYFUNCTION("GOOGLETRANSLATE(A47018, ""de"", ""en"")"),"find your way around")</f>
        <v>find your way around</v>
      </c>
    </row>
    <row r="47019">
      <c r="A47019" s="1" t="s">
        <v>47018</v>
      </c>
      <c r="B47019" s="2" t="str">
        <f>IFERROR(__xludf.DUMMYFUNCTION("GOOGLETRANSLATE(A47019, ""de"", ""en"")"),"fiber")</f>
        <v>fiber</v>
      </c>
    </row>
    <row r="47020">
      <c r="A47020" s="1" t="s">
        <v>47019</v>
      </c>
      <c r="B47020" s="2" t="str">
        <f>IFERROR(__xludf.DUMMYFUNCTION("GOOGLETRANSLATE(A47020, ""de"", ""en"")"),"hwang")</f>
        <v>hwang</v>
      </c>
    </row>
    <row r="47021">
      <c r="A47021" s="1" t="s">
        <v>47020</v>
      </c>
      <c r="B47021" s="2" t="str">
        <f>IFERROR(__xludf.DUMMYFUNCTION("GOOGLETRANSLATE(A47021, ""de"", ""en"")"),"get stuck in")</f>
        <v>get stuck in</v>
      </c>
    </row>
    <row r="47022">
      <c r="A47022" s="1" t="s">
        <v>47021</v>
      </c>
      <c r="B47022" s="2" t="str">
        <f>IFERROR(__xludf.DUMMYFUNCTION("GOOGLETRANSLATE(A47022, ""de"", ""en"")"),"risk")</f>
        <v>risk</v>
      </c>
    </row>
    <row r="47023">
      <c r="A47023" s="1" t="s">
        <v>47022</v>
      </c>
      <c r="B47023" s="2" t="str">
        <f>IFERROR(__xludf.DUMMYFUNCTION("GOOGLETRANSLATE(A47023, ""de"", ""en"")"),"coupon")</f>
        <v>coupon</v>
      </c>
    </row>
    <row r="47024">
      <c r="A47024" s="1" t="s">
        <v>47023</v>
      </c>
      <c r="B47024" s="2" t="str">
        <f>IFERROR(__xludf.DUMMYFUNCTION("GOOGLETRANSLATE(A47024, ""de"", ""en"")"),"masculine")</f>
        <v>masculine</v>
      </c>
    </row>
    <row r="47025">
      <c r="A47025" s="1" t="s">
        <v>47024</v>
      </c>
      <c r="B47025" s="2" t="str">
        <f>IFERROR(__xludf.DUMMYFUNCTION("GOOGLETRANSLATE(A47025, ""de"", ""en"")"),"scold")</f>
        <v>scold</v>
      </c>
    </row>
    <row r="47026">
      <c r="A47026" s="1" t="s">
        <v>47025</v>
      </c>
      <c r="B47026" s="2" t="str">
        <f>IFERROR(__xludf.DUMMYFUNCTION("GOOGLETRANSLATE(A47026, ""de"", ""en"")"),"Scorsese")</f>
        <v>Scorsese</v>
      </c>
    </row>
    <row r="47027">
      <c r="A47027" s="1" t="s">
        <v>47026</v>
      </c>
      <c r="B47027" s="2" t="str">
        <f>IFERROR(__xludf.DUMMYFUNCTION("GOOGLETRANSLATE(A47027, ""de"", ""en"")"),"sakamoto")</f>
        <v>sakamoto</v>
      </c>
    </row>
    <row r="47028">
      <c r="A47028" s="1" t="s">
        <v>47027</v>
      </c>
      <c r="B47028" s="2" t="str">
        <f>IFERROR(__xludf.DUMMYFUNCTION("GOOGLETRANSLATE(A47028, ""de"", ""en"")"),"debt free")</f>
        <v>debt free</v>
      </c>
    </row>
    <row r="47029">
      <c r="A47029" s="1" t="s">
        <v>47028</v>
      </c>
      <c r="B47029" s="2" t="str">
        <f>IFERROR(__xludf.DUMMYFUNCTION("GOOGLETRANSLATE(A47029, ""de"", ""en"")"),"cooking pot")</f>
        <v>cooking pot</v>
      </c>
    </row>
    <row r="47030">
      <c r="A47030" s="1" t="s">
        <v>47029</v>
      </c>
      <c r="B47030" s="2" t="str">
        <f>IFERROR(__xludf.DUMMYFUNCTION("GOOGLETRANSLATE(A47030, ""de"", ""en"")"),"annoyed")</f>
        <v>annoyed</v>
      </c>
    </row>
    <row r="47031">
      <c r="A47031" s="1" t="s">
        <v>47030</v>
      </c>
      <c r="B47031" s="2" t="str">
        <f>IFERROR(__xludf.DUMMYFUNCTION("GOOGLETRANSLATE(A47031, ""de"", ""en"")"),"crossed out")</f>
        <v>crossed out</v>
      </c>
    </row>
    <row r="47032">
      <c r="A47032" s="1" t="s">
        <v>47031</v>
      </c>
      <c r="B47032" s="2" t="str">
        <f>IFERROR(__xludf.DUMMYFUNCTION("GOOGLETRANSLATE(A47032, ""de"", ""en"")"),"hurry")</f>
        <v>hurry</v>
      </c>
    </row>
    <row r="47033">
      <c r="A47033" s="1" t="s">
        <v>47032</v>
      </c>
      <c r="B47033" s="2" t="str">
        <f>IFERROR(__xludf.DUMMYFUNCTION("GOOGLETRANSLATE(A47033, ""de"", ""en"")"),"pcs")</f>
        <v>pcs</v>
      </c>
    </row>
    <row r="47034">
      <c r="A47034" s="1" t="s">
        <v>47033</v>
      </c>
      <c r="B47034" s="2" t="str">
        <f>IFERROR(__xludf.DUMMYFUNCTION("GOOGLETRANSLATE(A47034, ""de"", ""en"")"),"tin")</f>
        <v>tin</v>
      </c>
    </row>
    <row r="47035">
      <c r="A47035" s="1" t="s">
        <v>47034</v>
      </c>
      <c r="B47035" s="2" t="str">
        <f>IFERROR(__xludf.DUMMYFUNCTION("GOOGLETRANSLATE(A47035, ""de"", ""en"")"),"pour")</f>
        <v>pour</v>
      </c>
    </row>
    <row r="47036">
      <c r="A47036" s="1" t="s">
        <v>47035</v>
      </c>
      <c r="B47036" s="2" t="str">
        <f>IFERROR(__xludf.DUMMYFUNCTION("GOOGLETRANSLATE(A47036, ""de"", ""en"")"),"rent free")</f>
        <v>rent free</v>
      </c>
    </row>
    <row r="47037">
      <c r="A47037" s="1" t="s">
        <v>47036</v>
      </c>
      <c r="B47037" s="2" t="str">
        <f>IFERROR(__xludf.DUMMYFUNCTION("GOOGLETRANSLATE(A47037, ""de"", ""en"")"),"taijun")</f>
        <v>taijun</v>
      </c>
    </row>
    <row r="47038">
      <c r="A47038" s="1" t="s">
        <v>47037</v>
      </c>
      <c r="B47038" s="2" t="str">
        <f>IFERROR(__xludf.DUMMYFUNCTION("GOOGLETRANSLATE(A47038, ""de"", ""en"")"),"business trip")</f>
        <v>business trip</v>
      </c>
    </row>
    <row r="47039">
      <c r="A47039" s="1" t="s">
        <v>47038</v>
      </c>
      <c r="B47039" s="2" t="str">
        <f>IFERROR(__xludf.DUMMYFUNCTION("GOOGLETRANSLATE(A47039, ""de"", ""en"")"),"eskild")</f>
        <v>eskild</v>
      </c>
    </row>
    <row r="47040">
      <c r="A47040" s="1" t="s">
        <v>47039</v>
      </c>
      <c r="B47040" s="2" t="str">
        <f>IFERROR(__xludf.DUMMYFUNCTION("GOOGLETRANSLATE(A47040, ""de"", ""en"")"),"married")</f>
        <v>married</v>
      </c>
    </row>
    <row r="47041">
      <c r="A47041" s="1" t="s">
        <v>47040</v>
      </c>
      <c r="B47041" s="2" t="str">
        <f>IFERROR(__xludf.DUMMYFUNCTION("GOOGLETRANSLATE(A47041, ""de"", ""en"")"),"ex-partner")</f>
        <v>ex-partner</v>
      </c>
    </row>
    <row r="47042">
      <c r="A47042" s="1" t="s">
        <v>47041</v>
      </c>
      <c r="B47042" s="2" t="str">
        <f>IFERROR(__xludf.DUMMYFUNCTION("GOOGLETRANSLATE(A47042, ""de"", ""en"")"),"shaving foam")</f>
        <v>shaving foam</v>
      </c>
    </row>
    <row r="47043">
      <c r="A47043" s="1" t="s">
        <v>47042</v>
      </c>
      <c r="B47043" s="2" t="str">
        <f>IFERROR(__xludf.DUMMYFUNCTION("GOOGLETRANSLATE(A47043, ""de"", ""en"")"),"lab coat")</f>
        <v>lab coat</v>
      </c>
    </row>
    <row r="47044">
      <c r="A47044" s="1" t="s">
        <v>47043</v>
      </c>
      <c r="B47044" s="2" t="str">
        <f>IFERROR(__xludf.DUMMYFUNCTION("GOOGLETRANSLATE(A47044, ""de"", ""en"")"),"energy")</f>
        <v>energy</v>
      </c>
    </row>
    <row r="47045">
      <c r="A47045" s="1" t="s">
        <v>47044</v>
      </c>
      <c r="B47045" s="2" t="str">
        <f>IFERROR(__xludf.DUMMYFUNCTION("GOOGLETRANSLATE(A47045, ""de"", ""en"")"),"koller")</f>
        <v>koller</v>
      </c>
    </row>
    <row r="47046">
      <c r="A47046" s="1" t="s">
        <v>47045</v>
      </c>
      <c r="B47046" s="2" t="str">
        <f>IFERROR(__xludf.DUMMYFUNCTION("GOOGLETRANSLATE(A47046, ""de"", ""en"")"),"mh-hm")</f>
        <v>mh-hm</v>
      </c>
    </row>
    <row r="47047">
      <c r="A47047" s="1" t="s">
        <v>47046</v>
      </c>
      <c r="B47047" s="2" t="str">
        <f>IFERROR(__xludf.DUMMYFUNCTION("GOOGLETRANSLATE(A47047, ""de"", ""en"")"),"cihan")</f>
        <v>cihan</v>
      </c>
    </row>
    <row r="47048">
      <c r="A47048" s="1" t="s">
        <v>47047</v>
      </c>
      <c r="B47048" s="2" t="str">
        <f>IFERROR(__xludf.DUMMYFUNCTION("GOOGLETRANSLATE(A47048, ""de"", ""en"")"),"affirmed")</f>
        <v>affirmed</v>
      </c>
    </row>
    <row r="47049">
      <c r="A47049" s="1" t="s">
        <v>47048</v>
      </c>
      <c r="B47049" s="2" t="str">
        <f>IFERROR(__xludf.DUMMYFUNCTION("GOOGLETRANSLATE(A47049, ""de"", ""en"")"),"to initiate")</f>
        <v>to initiate</v>
      </c>
    </row>
    <row r="47050">
      <c r="A47050" s="1" t="s">
        <v>47049</v>
      </c>
      <c r="B47050" s="2" t="str">
        <f>IFERROR(__xludf.DUMMYFUNCTION("GOOGLETRANSLATE(A47050, ""de"", ""en"")"),"cosmopolitan")</f>
        <v>cosmopolitan</v>
      </c>
    </row>
    <row r="47051">
      <c r="A47051" s="1" t="s">
        <v>47050</v>
      </c>
      <c r="B47051" s="2" t="str">
        <f>IFERROR(__xludf.DUMMYFUNCTION("GOOGLETRANSLATE(A47051, ""de"", ""en"")"),"agrees")</f>
        <v>agrees</v>
      </c>
    </row>
    <row r="47052">
      <c r="A47052" s="1" t="s">
        <v>47051</v>
      </c>
      <c r="B47052" s="2" t="str">
        <f>IFERROR(__xludf.DUMMYFUNCTION("GOOGLETRANSLATE(A47052, ""de"", ""en"")"),"shower curtain")</f>
        <v>shower curtain</v>
      </c>
    </row>
    <row r="47053">
      <c r="A47053" s="1" t="s">
        <v>47052</v>
      </c>
      <c r="B47053" s="2" t="str">
        <f>IFERROR(__xludf.DUMMYFUNCTION("GOOGLETRANSLATE(A47053, ""de"", ""en"")"),"sauces")</f>
        <v>sauces</v>
      </c>
    </row>
    <row r="47054">
      <c r="A47054" s="1" t="s">
        <v>47053</v>
      </c>
      <c r="B47054" s="2" t="str">
        <f>IFERROR(__xludf.DUMMYFUNCTION("GOOGLETRANSLATE(A47054, ""de"", ""en"")"),"Copernicus")</f>
        <v>Copernicus</v>
      </c>
    </row>
    <row r="47055">
      <c r="A47055" s="1" t="s">
        <v>47054</v>
      </c>
      <c r="B47055" s="2" t="str">
        <f>IFERROR(__xludf.DUMMYFUNCTION("GOOGLETRANSLATE(A47055, ""de"", ""en"")"),"knocker")</f>
        <v>knocker</v>
      </c>
    </row>
    <row r="47056">
      <c r="A47056" s="1" t="s">
        <v>47055</v>
      </c>
      <c r="B47056" s="2" t="str">
        <f>IFERROR(__xludf.DUMMYFUNCTION("GOOGLETRANSLATE(A47056, ""de"", ""en"")"),"downshift")</f>
        <v>downshift</v>
      </c>
    </row>
    <row r="47057">
      <c r="A47057" s="1" t="s">
        <v>47056</v>
      </c>
      <c r="B47057" s="2" t="str">
        <f>IFERROR(__xludf.DUMMYFUNCTION("GOOGLETRANSLATE(A47057, ""de"", ""en"")"),"kicks")</f>
        <v>kicks</v>
      </c>
    </row>
    <row r="47058">
      <c r="A47058" s="1" t="s">
        <v>47057</v>
      </c>
      <c r="B47058" s="2" t="str">
        <f>IFERROR(__xludf.DUMMYFUNCTION("GOOGLETRANSLATE(A47058, ""de"", ""en"")"),"ghettos")</f>
        <v>ghettos</v>
      </c>
    </row>
    <row r="47059">
      <c r="A47059" s="1" t="s">
        <v>47058</v>
      </c>
      <c r="B47059" s="2" t="str">
        <f>IFERROR(__xludf.DUMMYFUNCTION("GOOGLETRANSLATE(A47059, ""de"", ""en"")"),"babel fish")</f>
        <v>babel fish</v>
      </c>
    </row>
    <row r="47060">
      <c r="A47060" s="1" t="s">
        <v>47059</v>
      </c>
      <c r="B47060" s="2" t="str">
        <f>IFERROR(__xludf.DUMMYFUNCTION("GOOGLETRANSLATE(A47060, ""de"", ""en"")"),"howl")</f>
        <v>howl</v>
      </c>
    </row>
    <row r="47061">
      <c r="A47061" s="1" t="s">
        <v>47060</v>
      </c>
      <c r="B47061" s="2" t="str">
        <f>IFERROR(__xludf.DUMMYFUNCTION("GOOGLETRANSLATE(A47061, ""de"", ""en"")"),"thread")</f>
        <v>thread</v>
      </c>
    </row>
    <row r="47062">
      <c r="A47062" s="1" t="s">
        <v>47061</v>
      </c>
      <c r="B47062" s="2" t="str">
        <f>IFERROR(__xludf.DUMMYFUNCTION("GOOGLETRANSLATE(A47062, ""de"", ""en"")"),"quahog")</f>
        <v>quahog</v>
      </c>
    </row>
    <row r="47063">
      <c r="A47063" s="1" t="s">
        <v>47062</v>
      </c>
      <c r="B47063" s="2" t="str">
        <f>IFERROR(__xludf.DUMMYFUNCTION("GOOGLETRANSLATE(A47063, ""de"", ""en"")"),"serenade")</f>
        <v>serenade</v>
      </c>
    </row>
    <row r="47064">
      <c r="A47064" s="1" t="s">
        <v>47063</v>
      </c>
      <c r="B47064" s="2" t="str">
        <f>IFERROR(__xludf.DUMMYFUNCTION("GOOGLETRANSLATE(A47064, ""de"", ""en"")"),"ativan")</f>
        <v>ativan</v>
      </c>
    </row>
    <row r="47065">
      <c r="A47065" s="1" t="s">
        <v>47064</v>
      </c>
      <c r="B47065" s="2" t="str">
        <f>IFERROR(__xludf.DUMMYFUNCTION("GOOGLETRANSLATE(A47065, ""de"", ""en"")"),"graydal")</f>
        <v>graydal</v>
      </c>
    </row>
    <row r="47066">
      <c r="A47066" s="1" t="s">
        <v>47065</v>
      </c>
      <c r="B47066" s="2" t="str">
        <f>IFERROR(__xludf.DUMMYFUNCTION("GOOGLETRANSLATE(A47066, ""de"", ""en"")"),"window paste")</f>
        <v>window paste</v>
      </c>
    </row>
    <row r="47067">
      <c r="A47067" s="1" t="s">
        <v>47066</v>
      </c>
      <c r="B47067" s="2" t="str">
        <f>IFERROR(__xludf.DUMMYFUNCTION("GOOGLETRANSLATE(A47067, ""de"", ""en"")"),"guarantee")</f>
        <v>guarantee</v>
      </c>
    </row>
    <row r="47068">
      <c r="A47068" s="1" t="s">
        <v>47067</v>
      </c>
      <c r="B47068" s="2" t="str">
        <f>IFERROR(__xludf.DUMMYFUNCTION("GOOGLETRANSLATE(A47068, ""de"", ""en"")"),"more local")</f>
        <v>more local</v>
      </c>
    </row>
    <row r="47069">
      <c r="A47069" s="1" t="s">
        <v>47068</v>
      </c>
      <c r="B47069" s="2" t="str">
        <f>IFERROR(__xludf.DUMMYFUNCTION("GOOGLETRANSLATE(A47069, ""de"", ""en"")"),"reset")</f>
        <v>reset</v>
      </c>
    </row>
    <row r="47070">
      <c r="A47070" s="1" t="s">
        <v>47069</v>
      </c>
      <c r="B47070" s="2" t="str">
        <f>IFERROR(__xludf.DUMMYFUNCTION("GOOGLETRANSLATE(A47070, ""de"", ""en"")"),"smoke")</f>
        <v>smoke</v>
      </c>
    </row>
    <row r="47071">
      <c r="A47071" s="1" t="s">
        <v>47070</v>
      </c>
      <c r="B47071" s="2" t="str">
        <f>IFERROR(__xludf.DUMMYFUNCTION("GOOGLETRANSLATE(A47071, ""de"", ""en"")"),"horrible")</f>
        <v>horrible</v>
      </c>
    </row>
    <row r="47072">
      <c r="A47072" s="1" t="s">
        <v>47071</v>
      </c>
      <c r="B47072" s="2" t="str">
        <f>IFERROR(__xludf.DUMMYFUNCTION("GOOGLETRANSLATE(A47072, ""de"", ""en"")"),"shiner")</f>
        <v>shiner</v>
      </c>
    </row>
    <row r="47073">
      <c r="A47073" s="1" t="s">
        <v>47072</v>
      </c>
      <c r="B47073" s="2" t="str">
        <f>IFERROR(__xludf.DUMMYFUNCTION("GOOGLETRANSLATE(A47073, ""de"", ""en"")"),"eat")</f>
        <v>eat</v>
      </c>
    </row>
    <row r="47074">
      <c r="A47074" s="1" t="s">
        <v>47073</v>
      </c>
      <c r="B47074" s="2" t="str">
        <f>IFERROR(__xludf.DUMMYFUNCTION("GOOGLETRANSLATE(A47074, ""de"", ""en"")"),"discontinues")</f>
        <v>discontinues</v>
      </c>
    </row>
    <row r="47075">
      <c r="A47075" s="1" t="s">
        <v>47074</v>
      </c>
      <c r="B47075" s="2" t="str">
        <f>IFERROR(__xludf.DUMMYFUNCTION("GOOGLETRANSLATE(A47075, ""de"", ""en"")"),"push in")</f>
        <v>push in</v>
      </c>
    </row>
    <row r="47076">
      <c r="A47076" s="1" t="s">
        <v>47075</v>
      </c>
      <c r="B47076" s="2" t="str">
        <f>IFERROR(__xludf.DUMMYFUNCTION("GOOGLETRANSLATE(A47076, ""de"", ""en"")"),"Spokane")</f>
        <v>Spokane</v>
      </c>
    </row>
    <row r="47077">
      <c r="A47077" s="1" t="s">
        <v>47076</v>
      </c>
      <c r="B47077" s="2" t="str">
        <f>IFERROR(__xludf.DUMMYFUNCTION("GOOGLETRANSLATE(A47077, ""de"", ""en"")"),"rotating body")</f>
        <v>rotating body</v>
      </c>
    </row>
    <row r="47078">
      <c r="A47078" s="1" t="s">
        <v>47077</v>
      </c>
      <c r="B47078" s="2" t="str">
        <f>IFERROR(__xludf.DUMMYFUNCTION("GOOGLETRANSLATE(A47078, ""de"", ""en"")"),"convey")</f>
        <v>convey</v>
      </c>
    </row>
    <row r="47079">
      <c r="A47079" s="1" t="s">
        <v>47078</v>
      </c>
      <c r="B47079" s="2" t="str">
        <f>IFERROR(__xludf.DUMMYFUNCTION("GOOGLETRANSLATE(A47079, ""de"", ""en"")"),"chamomile")</f>
        <v>chamomile</v>
      </c>
    </row>
    <row r="47080">
      <c r="A47080" s="1" t="s">
        <v>47079</v>
      </c>
      <c r="B47080" s="2" t="str">
        <f>IFERROR(__xludf.DUMMYFUNCTION("GOOGLETRANSLATE(A47080, ""de"", ""en"")"),"selfishness")</f>
        <v>selfishness</v>
      </c>
    </row>
    <row r="47081">
      <c r="A47081" s="1" t="s">
        <v>47080</v>
      </c>
      <c r="B47081" s="2" t="str">
        <f>IFERROR(__xludf.DUMMYFUNCTION("GOOGLETRANSLATE(A47081, ""de"", ""en"")"),"Raffaele")</f>
        <v>Raffaele</v>
      </c>
    </row>
    <row r="47082">
      <c r="A47082" s="1" t="s">
        <v>47081</v>
      </c>
      <c r="B47082" s="2" t="str">
        <f>IFERROR(__xludf.DUMMYFUNCTION("GOOGLETRANSLATE(A47082, ""de"", ""en"")"),"chairman of the board")</f>
        <v>chairman of the board</v>
      </c>
    </row>
    <row r="47083">
      <c r="A47083" s="1" t="s">
        <v>47082</v>
      </c>
      <c r="B47083" s="2" t="str">
        <f>IFERROR(__xludf.DUMMYFUNCTION("GOOGLETRANSLATE(A47083, ""de"", ""en"")"),"delight")</f>
        <v>delight</v>
      </c>
    </row>
    <row r="47084">
      <c r="A47084" s="1" t="s">
        <v>47083</v>
      </c>
      <c r="B47084" s="2" t="str">
        <f>IFERROR(__xludf.DUMMYFUNCTION("GOOGLETRANSLATE(A47084, ""de"", ""en"")"),"Tracy's")</f>
        <v>Tracy's</v>
      </c>
    </row>
    <row r="47085">
      <c r="A47085" s="1" t="s">
        <v>47084</v>
      </c>
      <c r="B47085" s="2" t="str">
        <f>IFERROR(__xludf.DUMMYFUNCTION("GOOGLETRANSLATE(A47085, ""de"", ""en"")"),"lark")</f>
        <v>lark</v>
      </c>
    </row>
    <row r="47086">
      <c r="A47086" s="1" t="s">
        <v>47085</v>
      </c>
      <c r="B47086" s="2" t="str">
        <f>IFERROR(__xludf.DUMMYFUNCTION("GOOGLETRANSLATE(A47086, ""de"", ""en"")"),"t rex")</f>
        <v>t rex</v>
      </c>
    </row>
    <row r="47087">
      <c r="A47087" s="1" t="s">
        <v>47086</v>
      </c>
      <c r="B47087" s="2" t="str">
        <f>IFERROR(__xludf.DUMMYFUNCTION("GOOGLETRANSLATE(A47087, ""de"", ""en"")"),"Uppsala")</f>
        <v>Uppsala</v>
      </c>
    </row>
    <row r="47088">
      <c r="A47088" s="1" t="s">
        <v>47087</v>
      </c>
      <c r="B47088" s="2" t="str">
        <f>IFERROR(__xludf.DUMMYFUNCTION("GOOGLETRANSLATE(A47088, ""de"", ""en"")"),"special order")</f>
        <v>special order</v>
      </c>
    </row>
    <row r="47089">
      <c r="A47089" s="1" t="s">
        <v>47088</v>
      </c>
      <c r="B47089" s="2" t="str">
        <f>IFERROR(__xludf.DUMMYFUNCTION("GOOGLETRANSLATE(A47089, ""de"", ""en"")"),"greenwood")</f>
        <v>greenwood</v>
      </c>
    </row>
    <row r="47090">
      <c r="A47090" s="1" t="s">
        <v>47089</v>
      </c>
      <c r="B47090" s="2" t="str">
        <f>IFERROR(__xludf.DUMMYFUNCTION("GOOGLETRANSLATE(A47090, ""de"", ""en"")"),"encouraged")</f>
        <v>encouraged</v>
      </c>
    </row>
    <row r="47091">
      <c r="A47091" s="1" t="s">
        <v>47090</v>
      </c>
      <c r="B47091" s="2" t="str">
        <f>IFERROR(__xludf.DUMMYFUNCTION("GOOGLETRANSLATE(A47091, ""de"", ""en"")"),"carley")</f>
        <v>carley</v>
      </c>
    </row>
    <row r="47092">
      <c r="A47092" s="1" t="s">
        <v>47091</v>
      </c>
      <c r="B47092" s="2" t="str">
        <f>IFERROR(__xludf.DUMMYFUNCTION("GOOGLETRANSLATE(A47092, ""de"", ""en"")"),"noa")</f>
        <v>noa</v>
      </c>
    </row>
    <row r="47093">
      <c r="A47093" s="1" t="s">
        <v>47092</v>
      </c>
      <c r="B47093" s="2" t="str">
        <f>IFERROR(__xludf.DUMMYFUNCTION("GOOGLETRANSLATE(A47093, ""de"", ""en"")"),"lashes")</f>
        <v>lashes</v>
      </c>
    </row>
    <row r="47094">
      <c r="A47094" s="1" t="s">
        <v>47093</v>
      </c>
      <c r="B47094" s="2" t="str">
        <f>IFERROR(__xludf.DUMMYFUNCTION("GOOGLETRANSLATE(A47094, ""de"", ""en"")"),"bloodstream")</f>
        <v>bloodstream</v>
      </c>
    </row>
    <row r="47095">
      <c r="A47095" s="1" t="s">
        <v>47094</v>
      </c>
      <c r="B47095" s="2" t="str">
        <f>IFERROR(__xludf.DUMMYFUNCTION("GOOGLETRANSLATE(A47095, ""de"", ""en"")"),"brought in")</f>
        <v>brought in</v>
      </c>
    </row>
    <row r="47096">
      <c r="A47096" s="1" t="s">
        <v>47095</v>
      </c>
      <c r="B47096" s="2" t="str">
        <f>IFERROR(__xludf.DUMMYFUNCTION("GOOGLETRANSLATE(A47096, ""de"", ""en"")"),"perfect")</f>
        <v>perfect</v>
      </c>
    </row>
    <row r="47097">
      <c r="A47097" s="1" t="s">
        <v>47096</v>
      </c>
      <c r="B47097" s="2" t="str">
        <f>IFERROR(__xludf.DUMMYFUNCTION("GOOGLETRANSLATE(A47097, ""de"", ""en"")"),"frostbite")</f>
        <v>frostbite</v>
      </c>
    </row>
    <row r="47098">
      <c r="A47098" s="1" t="s">
        <v>47097</v>
      </c>
      <c r="B47098" s="2" t="str">
        <f>IFERROR(__xludf.DUMMYFUNCTION("GOOGLETRANSLATE(A47098, ""de"", ""en"")"),"operator")</f>
        <v>operator</v>
      </c>
    </row>
    <row r="47099">
      <c r="A47099" s="1" t="s">
        <v>47098</v>
      </c>
      <c r="B47099" s="2" t="str">
        <f>IFERROR(__xludf.DUMMYFUNCTION("GOOGLETRANSLATE(A47099, ""de"", ""en"")"),"Georgiana")</f>
        <v>Georgiana</v>
      </c>
    </row>
    <row r="47100">
      <c r="A47100" s="1" t="s">
        <v>47099</v>
      </c>
      <c r="B47100" s="2" t="str">
        <f>IFERROR(__xludf.DUMMYFUNCTION("GOOGLETRANSLATE(A47100, ""de"", ""en"")"),"nurses station")</f>
        <v>nurses station</v>
      </c>
    </row>
    <row r="47101">
      <c r="A47101" s="1" t="s">
        <v>47100</v>
      </c>
      <c r="B47101" s="2" t="str">
        <f>IFERROR(__xludf.DUMMYFUNCTION("GOOGLETRANSLATE(A47101, ""de"", ""en"")"),"named")</f>
        <v>named</v>
      </c>
    </row>
    <row r="47102">
      <c r="A47102" s="1" t="s">
        <v>47101</v>
      </c>
      <c r="B47102" s="2" t="str">
        <f>IFERROR(__xludf.DUMMYFUNCTION("GOOGLETRANSLATE(A47102, ""de"", ""en"")"),"strangled")</f>
        <v>strangled</v>
      </c>
    </row>
    <row r="47103">
      <c r="A47103" s="1" t="s">
        <v>47102</v>
      </c>
      <c r="B47103" s="2" t="str">
        <f>IFERROR(__xludf.DUMMYFUNCTION("GOOGLETRANSLATE(A47103, ""de"", ""en"")"),"quaid")</f>
        <v>quaid</v>
      </c>
    </row>
    <row r="47104">
      <c r="A47104" s="1" t="s">
        <v>47103</v>
      </c>
      <c r="B47104" s="2" t="str">
        <f>IFERROR(__xludf.DUMMYFUNCTION("GOOGLETRANSLATE(A47104, ""de"", ""en"")"),"azumi")</f>
        <v>azumi</v>
      </c>
    </row>
    <row r="47105">
      <c r="A47105" s="1" t="s">
        <v>47104</v>
      </c>
      <c r="B47105" s="2" t="str">
        <f>IFERROR(__xludf.DUMMYFUNCTION("GOOGLETRANSLATE(A47105, ""de"", ""en"")"),"poison")</f>
        <v>poison</v>
      </c>
    </row>
    <row r="47106">
      <c r="A47106" s="1" t="s">
        <v>47105</v>
      </c>
      <c r="B47106" s="2" t="str">
        <f>IFERROR(__xludf.DUMMYFUNCTION("GOOGLETRANSLATE(A47106, ""de"", ""en"")"),"exploiter")</f>
        <v>exploiter</v>
      </c>
    </row>
    <row r="47107">
      <c r="A47107" s="1" t="s">
        <v>47106</v>
      </c>
      <c r="B47107" s="2" t="str">
        <f>IFERROR(__xludf.DUMMYFUNCTION("GOOGLETRANSLATE(A47107, ""de"", ""en"")"),"girls night")</f>
        <v>girls night</v>
      </c>
    </row>
    <row r="47108">
      <c r="A47108" s="1" t="s">
        <v>47107</v>
      </c>
      <c r="B47108" s="2" t="str">
        <f>IFERROR(__xludf.DUMMYFUNCTION("GOOGLETRANSLATE(A47108, ""de"", ""en"")"),"polish up")</f>
        <v>polish up</v>
      </c>
    </row>
    <row r="47109">
      <c r="A47109" s="1" t="s">
        <v>47108</v>
      </c>
      <c r="B47109" s="2" t="str">
        <f>IFERROR(__xludf.DUMMYFUNCTION("GOOGLETRANSLATE(A47109, ""de"", ""en"")"),"magenta")</f>
        <v>magenta</v>
      </c>
    </row>
    <row r="47110">
      <c r="A47110" s="1" t="s">
        <v>47109</v>
      </c>
      <c r="B47110" s="2" t="str">
        <f>IFERROR(__xludf.DUMMYFUNCTION("GOOGLETRANSLATE(A47110, ""de"", ""en"")"),"chandlers")</f>
        <v>chandlers</v>
      </c>
    </row>
    <row r="47111">
      <c r="A47111" s="1" t="s">
        <v>47110</v>
      </c>
      <c r="B47111" s="2" t="str">
        <f>IFERROR(__xludf.DUMMYFUNCTION("GOOGLETRANSLATE(A47111, ""de"", ""en"")"),"to exclude")</f>
        <v>to exclude</v>
      </c>
    </row>
    <row r="47112">
      <c r="A47112" s="1" t="s">
        <v>47111</v>
      </c>
      <c r="B47112" s="2" t="str">
        <f>IFERROR(__xludf.DUMMYFUNCTION("GOOGLETRANSLATE(A47112, ""de"", ""en"")"),"izumi")</f>
        <v>izumi</v>
      </c>
    </row>
    <row r="47113">
      <c r="A47113" s="1" t="s">
        <v>47112</v>
      </c>
      <c r="B47113" s="2" t="str">
        <f>IFERROR(__xludf.DUMMYFUNCTION("GOOGLETRANSLATE(A47113, ""de"", ""en"")"),"hel")</f>
        <v>hel</v>
      </c>
    </row>
    <row r="47114">
      <c r="A47114" s="1" t="s">
        <v>47113</v>
      </c>
      <c r="B47114" s="2" t="str">
        <f>IFERROR(__xludf.DUMMYFUNCTION("GOOGLETRANSLATE(A47114, ""de"", ""en"")"),"gotta")</f>
        <v>gotta</v>
      </c>
    </row>
    <row r="47115">
      <c r="A47115" s="1" t="s">
        <v>47114</v>
      </c>
      <c r="B47115" s="2" t="str">
        <f>IFERROR(__xludf.DUMMYFUNCTION("GOOGLETRANSLATE(A47115, ""de"", ""en"")"),"surrounded")</f>
        <v>surrounded</v>
      </c>
    </row>
    <row r="47116">
      <c r="A47116" s="1" t="s">
        <v>47115</v>
      </c>
      <c r="B47116" s="2" t="str">
        <f>IFERROR(__xludf.DUMMYFUNCTION("GOOGLETRANSLATE(A47116, ""de"", ""en"")"),"preface")</f>
        <v>preface</v>
      </c>
    </row>
    <row r="47117">
      <c r="A47117" s="1" t="s">
        <v>47116</v>
      </c>
      <c r="B47117" s="2" t="str">
        <f>IFERROR(__xludf.DUMMYFUNCTION("GOOGLETRANSLATE(A47117, ""de"", ""en"")"),"microchips")</f>
        <v>microchips</v>
      </c>
    </row>
    <row r="47118">
      <c r="A47118" s="1" t="s">
        <v>47117</v>
      </c>
      <c r="B47118" s="2" t="str">
        <f>IFERROR(__xludf.DUMMYFUNCTION("GOOGLETRANSLATE(A47118, ""de"", ""en"")"),"ijon")</f>
        <v>ijon</v>
      </c>
    </row>
    <row r="47119">
      <c r="A47119" s="1" t="s">
        <v>47118</v>
      </c>
      <c r="B47119" s="2" t="str">
        <f>IFERROR(__xludf.DUMMYFUNCTION("GOOGLETRANSLATE(A47119, ""de"", ""en"")"),"garden hose")</f>
        <v>garden hose</v>
      </c>
    </row>
    <row r="47120">
      <c r="A47120" s="1" t="s">
        <v>47119</v>
      </c>
      <c r="B47120" s="2" t="str">
        <f>IFERROR(__xludf.DUMMYFUNCTION("GOOGLETRANSLATE(A47120, ""de"", ""en"")"),"togetherness")</f>
        <v>togetherness</v>
      </c>
    </row>
    <row r="47121">
      <c r="A47121" s="1" t="s">
        <v>47120</v>
      </c>
      <c r="B47121" s="2" t="str">
        <f>IFERROR(__xludf.DUMMYFUNCTION("GOOGLETRANSLATE(A47121, ""de"", ""en"")"),"clubhouse")</f>
        <v>clubhouse</v>
      </c>
    </row>
    <row r="47122">
      <c r="A47122" s="1" t="s">
        <v>47121</v>
      </c>
      <c r="B47122" s="2" t="str">
        <f>IFERROR(__xludf.DUMMYFUNCTION("GOOGLETRANSLATE(A47122, ""de"", ""en"")"),"scarlet")</f>
        <v>scarlet</v>
      </c>
    </row>
    <row r="47123">
      <c r="A47123" s="1" t="s">
        <v>47122</v>
      </c>
      <c r="B47123" s="2" t="str">
        <f>IFERROR(__xludf.DUMMYFUNCTION("GOOGLETRANSLATE(A47123, ""de"", ""en"")"),"vibration")</f>
        <v>vibration</v>
      </c>
    </row>
    <row r="47124">
      <c r="A47124" s="1" t="s">
        <v>47123</v>
      </c>
      <c r="B47124" s="2" t="str">
        <f>IFERROR(__xludf.DUMMYFUNCTION("GOOGLETRANSLATE(A47124, ""de"", ""en"")"),"panem")</f>
        <v>panem</v>
      </c>
    </row>
    <row r="47125">
      <c r="A47125" s="1" t="s">
        <v>47124</v>
      </c>
      <c r="B47125" s="2" t="str">
        <f>IFERROR(__xludf.DUMMYFUNCTION("GOOGLETRANSLATE(A47125, ""de"", ""en"")"),"boo-boo")</f>
        <v>boo-boo</v>
      </c>
    </row>
    <row r="47126">
      <c r="A47126" s="1" t="s">
        <v>47125</v>
      </c>
      <c r="B47126" s="2" t="str">
        <f>IFERROR(__xludf.DUMMYFUNCTION("GOOGLETRANSLATE(A47126, ""de"", ""en"")"),"posture")</f>
        <v>posture</v>
      </c>
    </row>
    <row r="47127">
      <c r="A47127" s="1" t="s">
        <v>47126</v>
      </c>
      <c r="B47127" s="2" t="str">
        <f>IFERROR(__xludf.DUMMYFUNCTION("GOOGLETRANSLATE(A47127, ""de"", ""en"")"),"to infect")</f>
        <v>to infect</v>
      </c>
    </row>
    <row r="47128">
      <c r="A47128" s="1" t="s">
        <v>47127</v>
      </c>
      <c r="B47128" s="2" t="str">
        <f>IFERROR(__xludf.DUMMYFUNCTION("GOOGLETRANSLATE(A47128, ""de"", ""en"")"),"badass")</f>
        <v>badass</v>
      </c>
    </row>
    <row r="47129">
      <c r="A47129" s="1" t="s">
        <v>47128</v>
      </c>
      <c r="B47129" s="2" t="str">
        <f>IFERROR(__xludf.DUMMYFUNCTION("GOOGLETRANSLATE(A47129, ""de"", ""en"")"),"sg-3")</f>
        <v>sg-3</v>
      </c>
    </row>
    <row r="47130">
      <c r="A47130" s="1" t="s">
        <v>47129</v>
      </c>
      <c r="B47130" s="2" t="str">
        <f>IFERROR(__xludf.DUMMYFUNCTION("GOOGLETRANSLATE(A47130, ""de"", ""en"")"),"stingy")</f>
        <v>stingy</v>
      </c>
    </row>
    <row r="47131">
      <c r="A47131" s="1" t="s">
        <v>47130</v>
      </c>
      <c r="B47131" s="2" t="str">
        <f>IFERROR(__xludf.DUMMYFUNCTION("GOOGLETRANSLATE(A47131, ""de"", ""en"")"),"derive")</f>
        <v>derive</v>
      </c>
    </row>
    <row r="47132">
      <c r="A47132" s="1" t="s">
        <v>47131</v>
      </c>
      <c r="B47132" s="2" t="str">
        <f>IFERROR(__xludf.DUMMYFUNCTION("GOOGLETRANSLATE(A47132, ""de"", ""en"")"),"to get through")</f>
        <v>to get through</v>
      </c>
    </row>
    <row r="47133">
      <c r="A47133" s="1" t="s">
        <v>47132</v>
      </c>
      <c r="B47133" s="2" t="str">
        <f>IFERROR(__xludf.DUMMYFUNCTION("GOOGLETRANSLATE(A47133, ""de"", ""en"")"),"steering")</f>
        <v>steering</v>
      </c>
    </row>
    <row r="47134">
      <c r="A47134" s="1" t="s">
        <v>47133</v>
      </c>
      <c r="B47134" s="2" t="str">
        <f>IFERROR(__xludf.DUMMYFUNCTION("GOOGLETRANSLATE(A47134, ""de"", ""en"")"),"hubcaps")</f>
        <v>hubcaps</v>
      </c>
    </row>
    <row r="47135">
      <c r="A47135" s="1" t="s">
        <v>47134</v>
      </c>
      <c r="B47135" s="2" t="str">
        <f>IFERROR(__xludf.DUMMYFUNCTION("GOOGLETRANSLATE(A47135, ""de"", ""en"")"),"sweatpants")</f>
        <v>sweatpants</v>
      </c>
    </row>
    <row r="47136">
      <c r="A47136" s="1" t="s">
        <v>47135</v>
      </c>
      <c r="B47136" s="2" t="str">
        <f>IFERROR(__xludf.DUMMYFUNCTION("GOOGLETRANSLATE(A47136, ""de"", ""en"")"),"esthers")</f>
        <v>esthers</v>
      </c>
    </row>
    <row r="47137">
      <c r="A47137" s="1" t="s">
        <v>47136</v>
      </c>
      <c r="B47137" s="2" t="str">
        <f>IFERROR(__xludf.DUMMYFUNCTION("GOOGLETRANSLATE(A47137, ""de"", ""en"")"),"suggest")</f>
        <v>suggest</v>
      </c>
    </row>
    <row r="47138">
      <c r="A47138" s="1" t="s">
        <v>47137</v>
      </c>
      <c r="B47138" s="2" t="str">
        <f>IFERROR(__xludf.DUMMYFUNCTION("GOOGLETRANSLATE(A47138, ""de"", ""en"")"),"phuong")</f>
        <v>phuong</v>
      </c>
    </row>
    <row r="47139">
      <c r="A47139" s="1" t="s">
        <v>47138</v>
      </c>
      <c r="B47139" s="2" t="str">
        <f>IFERROR(__xludf.DUMMYFUNCTION("GOOGLETRANSLATE(A47139, ""de"", ""en"")"),"descended")</f>
        <v>descended</v>
      </c>
    </row>
    <row r="47140">
      <c r="A47140" s="1" t="s">
        <v>47139</v>
      </c>
      <c r="B47140" s="2" t="str">
        <f>IFERROR(__xludf.DUMMYFUNCTION("GOOGLETRANSLATE(A47140, ""de"", ""en"")"),"salutation")</f>
        <v>salutation</v>
      </c>
    </row>
    <row r="47141">
      <c r="A47141" s="1" t="s">
        <v>47140</v>
      </c>
      <c r="B47141" s="2" t="str">
        <f>IFERROR(__xludf.DUMMYFUNCTION("GOOGLETRANSLATE(A47141, ""de"", ""en"")"),"ratatouille")</f>
        <v>ratatouille</v>
      </c>
    </row>
    <row r="47142">
      <c r="A47142" s="1" t="s">
        <v>47141</v>
      </c>
      <c r="B47142" s="2" t="str">
        <f>IFERROR(__xludf.DUMMYFUNCTION("GOOGLETRANSLATE(A47142, ""de"", ""en"")"),"march")</f>
        <v>march</v>
      </c>
    </row>
    <row r="47143">
      <c r="A47143" s="1" t="s">
        <v>47142</v>
      </c>
      <c r="B47143" s="2" t="str">
        <f>IFERROR(__xludf.DUMMYFUNCTION("GOOGLETRANSLATE(A47143, ""de"", ""en"")"),"to go off")</f>
        <v>to go off</v>
      </c>
    </row>
    <row r="47144">
      <c r="A47144" s="1" t="s">
        <v>47143</v>
      </c>
      <c r="B47144" s="2" t="str">
        <f>IFERROR(__xludf.DUMMYFUNCTION("GOOGLETRANSLATE(A47144, ""de"", ""en"")"),"rider")</f>
        <v>rider</v>
      </c>
    </row>
    <row r="47145">
      <c r="A47145" s="1" t="s">
        <v>47144</v>
      </c>
      <c r="B47145" s="2" t="str">
        <f>IFERROR(__xludf.DUMMYFUNCTION("GOOGLETRANSLATE(A47145, ""de"", ""en"")"),"blessed")</f>
        <v>blessed</v>
      </c>
    </row>
    <row r="47146">
      <c r="A47146" s="1" t="s">
        <v>47145</v>
      </c>
      <c r="B47146" s="2" t="str">
        <f>IFERROR(__xludf.DUMMYFUNCTION("GOOGLETRANSLATE(A47146, ""de"", ""en"")"),"costume party")</f>
        <v>costume party</v>
      </c>
    </row>
    <row r="47147">
      <c r="A47147" s="1" t="s">
        <v>47146</v>
      </c>
      <c r="B47147" s="2" t="str">
        <f>IFERROR(__xludf.DUMMYFUNCTION("GOOGLETRANSLATE(A47147, ""de"", ""en"")"),"parents")</f>
        <v>parents</v>
      </c>
    </row>
    <row r="47148">
      <c r="A47148" s="1" t="s">
        <v>47147</v>
      </c>
      <c r="B47148" s="2" t="str">
        <f>IFERROR(__xludf.DUMMYFUNCTION("GOOGLETRANSLATE(A47148, ""de"", ""en"")"),"grand duchess")</f>
        <v>grand duchess</v>
      </c>
    </row>
    <row r="47149">
      <c r="A47149" s="1" t="s">
        <v>47148</v>
      </c>
      <c r="B47149" s="2" t="str">
        <f>IFERROR(__xludf.DUMMYFUNCTION("GOOGLETRANSLATE(A47149, ""de"", ""en"")"),"zacharias")</f>
        <v>zacharias</v>
      </c>
    </row>
    <row r="47150">
      <c r="A47150" s="1" t="s">
        <v>47149</v>
      </c>
      <c r="B47150" s="2" t="str">
        <f>IFERROR(__xludf.DUMMYFUNCTION("GOOGLETRANSLATE(A47150, ""de"", ""en"")"),"rituals")</f>
        <v>rituals</v>
      </c>
    </row>
    <row r="47151">
      <c r="A47151" s="1" t="s">
        <v>47150</v>
      </c>
      <c r="B47151" s="2" t="str">
        <f>IFERROR(__xludf.DUMMYFUNCTION("GOOGLETRANSLATE(A47151, ""de"", ""en"")"),"resource")</f>
        <v>resource</v>
      </c>
    </row>
    <row r="47152">
      <c r="A47152" s="1" t="s">
        <v>47151</v>
      </c>
      <c r="B47152" s="2" t="str">
        <f>IFERROR(__xludf.DUMMYFUNCTION("GOOGLETRANSLATE(A47152, ""de"", ""en"")"),"kalinka")</f>
        <v>kalinka</v>
      </c>
    </row>
    <row r="47153">
      <c r="A47153" s="1" t="s">
        <v>47152</v>
      </c>
      <c r="B47153" s="2" t="str">
        <f>IFERROR(__xludf.DUMMYFUNCTION("GOOGLETRANSLATE(A47153, ""de"", ""en"")"),"to pay")</f>
        <v>to pay</v>
      </c>
    </row>
    <row r="47154">
      <c r="A47154" s="1" t="s">
        <v>47153</v>
      </c>
      <c r="B47154" s="2" t="str">
        <f>IFERROR(__xludf.DUMMYFUNCTION("GOOGLETRANSLATE(A47154, ""de"", ""en"")"),"command ship")</f>
        <v>command ship</v>
      </c>
    </row>
    <row r="47155">
      <c r="A47155" s="1" t="s">
        <v>47154</v>
      </c>
      <c r="B47155" s="2" t="str">
        <f>IFERROR(__xludf.DUMMYFUNCTION("GOOGLETRANSLATE(A47155, ""de"", ""en"")"),"alright")</f>
        <v>alright</v>
      </c>
    </row>
    <row r="47156">
      <c r="A47156" s="1" t="s">
        <v>47155</v>
      </c>
      <c r="B47156" s="2" t="str">
        <f>IFERROR(__xludf.DUMMYFUNCTION("GOOGLETRANSLATE(A47156, ""de"", ""en"")"),"Gorski")</f>
        <v>Gorski</v>
      </c>
    </row>
    <row r="47157">
      <c r="A47157" s="1" t="s">
        <v>47156</v>
      </c>
      <c r="B47157" s="2" t="str">
        <f>IFERROR(__xludf.DUMMYFUNCTION("GOOGLETRANSLATE(A47157, ""de"", ""en"")"),"to be billed")</f>
        <v>to be billed</v>
      </c>
    </row>
    <row r="47158">
      <c r="A47158" s="1" t="s">
        <v>47157</v>
      </c>
      <c r="B47158" s="2" t="str">
        <f>IFERROR(__xludf.DUMMYFUNCTION("GOOGLETRANSLATE(A47158, ""de"", ""en"")"),"glorious")</f>
        <v>glorious</v>
      </c>
    </row>
    <row r="47159">
      <c r="A47159" s="1" t="s">
        <v>47158</v>
      </c>
      <c r="B47159" s="2" t="str">
        <f>IFERROR(__xludf.DUMMYFUNCTION("GOOGLETRANSLATE(A47159, ""de"", ""en"")"),"get up")</f>
        <v>get up</v>
      </c>
    </row>
    <row r="47160">
      <c r="A47160" s="1" t="s">
        <v>47159</v>
      </c>
      <c r="B47160" s="2" t="str">
        <f>IFERROR(__xludf.DUMMYFUNCTION("GOOGLETRANSLATE(A47160, ""de"", ""en"")"),"miyamoto")</f>
        <v>miyamoto</v>
      </c>
    </row>
    <row r="47161">
      <c r="A47161" s="1" t="s">
        <v>47160</v>
      </c>
      <c r="B47161" s="2" t="str">
        <f>IFERROR(__xludf.DUMMYFUNCTION("GOOGLETRANSLATE(A47161, ""de"", ""en"")"),"knits")</f>
        <v>knits</v>
      </c>
    </row>
    <row r="47162">
      <c r="A47162" s="1" t="s">
        <v>47161</v>
      </c>
      <c r="B47162" s="2" t="str">
        <f>IFERROR(__xludf.DUMMYFUNCTION("GOOGLETRANSLATE(A47162, ""de"", ""en"")"),"swarmed")</f>
        <v>swarmed</v>
      </c>
    </row>
    <row r="47163">
      <c r="A47163" s="1" t="s">
        <v>47162</v>
      </c>
      <c r="B47163" s="2" t="str">
        <f>IFERROR(__xludf.DUMMYFUNCTION("GOOGLETRANSLATE(A47163, ""de"", ""en"")"),"crowds")</f>
        <v>crowds</v>
      </c>
    </row>
    <row r="47164">
      <c r="A47164" s="1" t="s">
        <v>47163</v>
      </c>
      <c r="B47164" s="2" t="str">
        <f>IFERROR(__xludf.DUMMYFUNCTION("GOOGLETRANSLATE(A47164, ""de"", ""en"")"),"heterosexuals")</f>
        <v>heterosexuals</v>
      </c>
    </row>
    <row r="47165">
      <c r="A47165" s="1" t="s">
        <v>47164</v>
      </c>
      <c r="B47165" s="2" t="str">
        <f>IFERROR(__xludf.DUMMYFUNCTION("GOOGLETRANSLATE(A47165, ""de"", ""en"")"),"loading inhibition")</f>
        <v>loading inhibition</v>
      </c>
    </row>
    <row r="47166">
      <c r="A47166" s="1" t="s">
        <v>47165</v>
      </c>
      <c r="B47166" s="2" t="str">
        <f>IFERROR(__xludf.DUMMYFUNCTION("GOOGLETRANSLATE(A47166, ""de"", ""en"")"),"watty")</f>
        <v>watty</v>
      </c>
    </row>
    <row r="47167">
      <c r="A47167" s="1" t="s">
        <v>47166</v>
      </c>
      <c r="B47167" s="2" t="str">
        <f>IFERROR(__xludf.DUMMYFUNCTION("GOOGLETRANSLATE(A47167, ""de"", ""en"")"),"to bring")</f>
        <v>to bring</v>
      </c>
    </row>
    <row r="47168">
      <c r="A47168" s="1" t="s">
        <v>47167</v>
      </c>
      <c r="B47168" s="2" t="str">
        <f>IFERROR(__xludf.DUMMYFUNCTION("GOOGLETRANSLATE(A47168, ""de"", ""en"")"),"Ruskin")</f>
        <v>Ruskin</v>
      </c>
    </row>
    <row r="47169">
      <c r="A47169" s="1" t="s">
        <v>47168</v>
      </c>
      <c r="B47169" s="2" t="str">
        <f>IFERROR(__xludf.DUMMYFUNCTION("GOOGLETRANSLATE(A47169, ""de"", ""en"")"),"ico")</f>
        <v>ico</v>
      </c>
    </row>
    <row r="47170">
      <c r="A47170" s="1" t="s">
        <v>47169</v>
      </c>
      <c r="B47170" s="2" t="str">
        <f>IFERROR(__xludf.DUMMYFUNCTION("GOOGLETRANSLATE(A47170, ""de"", ""en"")"),"tap")</f>
        <v>tap</v>
      </c>
    </row>
    <row r="47171">
      <c r="A47171" s="1" t="s">
        <v>47170</v>
      </c>
      <c r="B47171" s="2" t="str">
        <f>IFERROR(__xludf.DUMMYFUNCTION("GOOGLETRANSLATE(A47171, ""de"", ""en"")"),"laser")</f>
        <v>laser</v>
      </c>
    </row>
    <row r="47172">
      <c r="A47172" s="1" t="s">
        <v>47171</v>
      </c>
      <c r="B47172" s="2" t="str">
        <f>IFERROR(__xludf.DUMMYFUNCTION("GOOGLETRANSLATE(A47172, ""de"", ""en"")"),"equipment")</f>
        <v>equipment</v>
      </c>
    </row>
    <row r="47173">
      <c r="A47173" s="1" t="s">
        <v>47172</v>
      </c>
      <c r="B47173" s="2" t="str">
        <f>IFERROR(__xludf.DUMMYFUNCTION("GOOGLETRANSLATE(A47173, ""de"", ""en"")"),"moto")</f>
        <v>moto</v>
      </c>
    </row>
    <row r="47174">
      <c r="A47174" s="1" t="s">
        <v>47173</v>
      </c>
      <c r="B47174" s="2" t="str">
        <f>IFERROR(__xludf.DUMMYFUNCTION("GOOGLETRANSLATE(A47174, ""de"", ""en"")"),"miscarriages")</f>
        <v>miscarriages</v>
      </c>
    </row>
    <row r="47175">
      <c r="A47175" s="1" t="s">
        <v>47174</v>
      </c>
      <c r="B47175" s="2" t="str">
        <f>IFERROR(__xludf.DUMMYFUNCTION("GOOGLETRANSLATE(A47175, ""de"", ""en"")"),"aux")</f>
        <v>aux</v>
      </c>
    </row>
    <row r="47176">
      <c r="A47176" s="1" t="s">
        <v>47175</v>
      </c>
      <c r="B47176" s="2" t="str">
        <f>IFERROR(__xludf.DUMMYFUNCTION("GOOGLETRANSLATE(A47176, ""de"", ""en"")"),"government officials")</f>
        <v>government officials</v>
      </c>
    </row>
    <row r="47177">
      <c r="A47177" s="1" t="s">
        <v>47176</v>
      </c>
      <c r="B47177" s="2" t="str">
        <f>IFERROR(__xludf.DUMMYFUNCTION("GOOGLETRANSLATE(A47177, ""de"", ""en"")"),"redeemer")</f>
        <v>redeemer</v>
      </c>
    </row>
    <row r="47178">
      <c r="A47178" s="1" t="s">
        <v>47177</v>
      </c>
      <c r="B47178" s="2" t="str">
        <f>IFERROR(__xludf.DUMMYFUNCTION("GOOGLETRANSLATE(A47178, ""de"", ""en"")"),"college graduation")</f>
        <v>college graduation</v>
      </c>
    </row>
    <row r="47179">
      <c r="A47179" s="1" t="s">
        <v>47178</v>
      </c>
      <c r="B47179" s="2" t="str">
        <f>IFERROR(__xludf.DUMMYFUNCTION("GOOGLETRANSLATE(A47179, ""de"", ""en"")"),"korty")</f>
        <v>korty</v>
      </c>
    </row>
    <row r="47180">
      <c r="A47180" s="1" t="s">
        <v>47179</v>
      </c>
      <c r="B47180" s="2" t="str">
        <f>IFERROR(__xludf.DUMMYFUNCTION("GOOGLETRANSLATE(A47180, ""de"", ""en"")"),"capo")</f>
        <v>capo</v>
      </c>
    </row>
    <row r="47181">
      <c r="A47181" s="1" t="s">
        <v>47180</v>
      </c>
      <c r="B47181" s="2" t="str">
        <f>IFERROR(__xludf.DUMMYFUNCTION("GOOGLETRANSLATE(A47181, ""de"", ""en"")"),"log out")</f>
        <v>log out</v>
      </c>
    </row>
    <row r="47182">
      <c r="A47182" s="1" t="s">
        <v>47181</v>
      </c>
      <c r="B47182" s="2" t="str">
        <f>IFERROR(__xludf.DUMMYFUNCTION("GOOGLETRANSLATE(A47182, ""de"", ""en"")"),"piglet")</f>
        <v>piglet</v>
      </c>
    </row>
    <row r="47183">
      <c r="A47183" s="1" t="s">
        <v>47182</v>
      </c>
      <c r="B47183" s="2" t="str">
        <f>IFERROR(__xludf.DUMMYFUNCTION("GOOGLETRANSLATE(A47183, ""de"", ""en"")"),"hunting knife")</f>
        <v>hunting knife</v>
      </c>
    </row>
    <row r="47184">
      <c r="A47184" s="1" t="s">
        <v>47183</v>
      </c>
      <c r="B47184" s="2" t="str">
        <f>IFERROR(__xludf.DUMMYFUNCTION("GOOGLETRANSLATE(A47184, ""de"", ""en"")"),"jesper")</f>
        <v>jesper</v>
      </c>
    </row>
    <row r="47185">
      <c r="A47185" s="1" t="s">
        <v>47184</v>
      </c>
      <c r="B47185" s="2" t="str">
        <f>IFERROR(__xludf.DUMMYFUNCTION("GOOGLETRANSLATE(A47185, ""de"", ""en"")"),"less")</f>
        <v>less</v>
      </c>
    </row>
    <row r="47186">
      <c r="A47186" s="1" t="s">
        <v>47185</v>
      </c>
      <c r="B47186" s="2" t="str">
        <f>IFERROR(__xludf.DUMMYFUNCTION("GOOGLETRANSLATE(A47186, ""de"", ""en"")"),"calico")</f>
        <v>calico</v>
      </c>
    </row>
    <row r="47187">
      <c r="A47187" s="1" t="s">
        <v>47186</v>
      </c>
      <c r="B47187" s="2" t="str">
        <f>IFERROR(__xludf.DUMMYFUNCTION("GOOGLETRANSLATE(A47187, ""de"", ""en"")"),"resident")</f>
        <v>resident</v>
      </c>
    </row>
    <row r="47188">
      <c r="A47188" s="1" t="s">
        <v>47187</v>
      </c>
      <c r="B47188" s="2" t="str">
        <f>IFERROR(__xludf.DUMMYFUNCTION("GOOGLETRANSLATE(A47188, ""de"", ""en"")"),"Helenas")</f>
        <v>Helenas</v>
      </c>
    </row>
    <row r="47189">
      <c r="A47189" s="1" t="s">
        <v>47188</v>
      </c>
      <c r="B47189" s="2" t="str">
        <f>IFERROR(__xludf.DUMMYFUNCTION("GOOGLETRANSLATE(A47189, ""de"", ""en"")"),"drovers")</f>
        <v>drovers</v>
      </c>
    </row>
    <row r="47190">
      <c r="A47190" s="1" t="s">
        <v>47189</v>
      </c>
      <c r="B47190" s="2" t="str">
        <f>IFERROR(__xludf.DUMMYFUNCTION("GOOGLETRANSLATE(A47190, ""de"", ""en"")"),"haggis")</f>
        <v>haggis</v>
      </c>
    </row>
    <row r="47191">
      <c r="A47191" s="1" t="s">
        <v>47190</v>
      </c>
      <c r="B47191" s="2" t="str">
        <f>IFERROR(__xludf.DUMMYFUNCTION("GOOGLETRANSLATE(A47191, ""de"", ""en"")"),"shittier")</f>
        <v>shittier</v>
      </c>
    </row>
    <row r="47192">
      <c r="A47192" s="1" t="s">
        <v>47191</v>
      </c>
      <c r="B47192" s="2" t="str">
        <f>IFERROR(__xludf.DUMMYFUNCTION("GOOGLETRANSLATE(A47192, ""de"", ""en"")"),"incompetent")</f>
        <v>incompetent</v>
      </c>
    </row>
    <row r="47193">
      <c r="A47193" s="1" t="s">
        <v>47192</v>
      </c>
      <c r="B47193" s="2" t="str">
        <f>IFERROR(__xludf.DUMMYFUNCTION("GOOGLETRANSLATE(A47193, ""de"", ""en"")"),"technicians")</f>
        <v>technicians</v>
      </c>
    </row>
    <row r="47194">
      <c r="A47194" s="1" t="s">
        <v>47193</v>
      </c>
      <c r="B47194" s="2" t="str">
        <f>IFERROR(__xludf.DUMMYFUNCTION("GOOGLETRANSLATE(A47194, ""de"", ""en"")"),"play along")</f>
        <v>play along</v>
      </c>
    </row>
    <row r="47195">
      <c r="A47195" s="1" t="s">
        <v>47194</v>
      </c>
      <c r="B47195" s="2" t="str">
        <f>IFERROR(__xludf.DUMMYFUNCTION("GOOGLETRANSLATE(A47195, ""de"", ""en"")"),"expel")</f>
        <v>expel</v>
      </c>
    </row>
    <row r="47196">
      <c r="A47196" s="1" t="s">
        <v>47195</v>
      </c>
      <c r="B47196" s="2" t="str">
        <f>IFERROR(__xludf.DUMMYFUNCTION("GOOGLETRANSLATE(A47196, ""de"", ""en"")"),"hungry")</f>
        <v>hungry</v>
      </c>
    </row>
    <row r="47197">
      <c r="A47197" s="1" t="s">
        <v>47196</v>
      </c>
      <c r="B47197" s="2" t="str">
        <f>IFERROR(__xludf.DUMMYFUNCTION("GOOGLETRANSLATE(A47197, ""de"", ""en"")"),"disagree")</f>
        <v>disagree</v>
      </c>
    </row>
    <row r="47198">
      <c r="A47198" s="1" t="s">
        <v>47197</v>
      </c>
      <c r="B47198" s="2" t="str">
        <f>IFERROR(__xludf.DUMMYFUNCTION("GOOGLETRANSLATE(A47198, ""de"", ""en"")"),"pierce")</f>
        <v>pierce</v>
      </c>
    </row>
    <row r="47199">
      <c r="A47199" s="1" t="s">
        <v>47198</v>
      </c>
      <c r="B47199" s="2" t="str">
        <f>IFERROR(__xludf.DUMMYFUNCTION("GOOGLETRANSLATE(A47199, ""de"", ""en"")"),"Knoxville")</f>
        <v>Knoxville</v>
      </c>
    </row>
    <row r="47200">
      <c r="A47200" s="1" t="s">
        <v>47199</v>
      </c>
      <c r="B47200" s="2" t="str">
        <f>IFERROR(__xludf.DUMMYFUNCTION("GOOGLETRANSLATE(A47200, ""de"", ""en"")"),"Giulietta")</f>
        <v>Giulietta</v>
      </c>
    </row>
    <row r="47201">
      <c r="A47201" s="1" t="s">
        <v>47200</v>
      </c>
      <c r="B47201" s="2" t="str">
        <f>IFERROR(__xludf.DUMMYFUNCTION("GOOGLETRANSLATE(A47201, ""de"", ""en"")"),"ikes")</f>
        <v>ikes</v>
      </c>
    </row>
    <row r="47202">
      <c r="A47202" s="1" t="s">
        <v>47201</v>
      </c>
      <c r="B47202" s="2" t="str">
        <f>IFERROR(__xludf.DUMMYFUNCTION("GOOGLETRANSLATE(A47202, ""de"", ""en"")"),"engineers")</f>
        <v>engineers</v>
      </c>
    </row>
    <row r="47203">
      <c r="A47203" s="1" t="s">
        <v>47202</v>
      </c>
      <c r="B47203" s="2" t="str">
        <f>IFERROR(__xludf.DUMMYFUNCTION("GOOGLETRANSLATE(A47203, ""de"", ""en"")"),"private secretary")</f>
        <v>private secretary</v>
      </c>
    </row>
    <row r="47204">
      <c r="A47204" s="1" t="s">
        <v>47203</v>
      </c>
      <c r="B47204" s="2" t="str">
        <f>IFERROR(__xludf.DUMMYFUNCTION("GOOGLETRANSLATE(A47204, ""de"", ""en"")"),"zuleika")</f>
        <v>zuleika</v>
      </c>
    </row>
    <row r="47205">
      <c r="A47205" s="1" t="s">
        <v>47204</v>
      </c>
      <c r="B47205" s="2" t="str">
        <f>IFERROR(__xludf.DUMMYFUNCTION("GOOGLETRANSLATE(A47205, ""de"", ""en"")"),"croix")</f>
        <v>croix</v>
      </c>
    </row>
    <row r="47206">
      <c r="A47206" s="1" t="s">
        <v>47205</v>
      </c>
      <c r="B47206" s="2" t="str">
        <f>IFERROR(__xludf.DUMMYFUNCTION("GOOGLETRANSLATE(A47206, ""de"", ""en"")"),"Pakistani")</f>
        <v>Pakistani</v>
      </c>
    </row>
    <row r="47207">
      <c r="A47207" s="1" t="s">
        <v>47206</v>
      </c>
      <c r="B47207" s="2" t="str">
        <f>IFERROR(__xludf.DUMMYFUNCTION("GOOGLETRANSLATE(A47207, ""de"", ""en"")"),"hare's foot")</f>
        <v>hare's foot</v>
      </c>
    </row>
    <row r="47208">
      <c r="A47208" s="1" t="s">
        <v>47207</v>
      </c>
      <c r="B47208" s="2" t="str">
        <f>IFERROR(__xludf.DUMMYFUNCTION("GOOGLETRANSLATE(A47208, ""de"", ""en"")"),"Baroness")</f>
        <v>Baroness</v>
      </c>
    </row>
    <row r="47209">
      <c r="A47209" s="1" t="s">
        <v>47208</v>
      </c>
      <c r="B47209" s="2" t="str">
        <f>IFERROR(__xludf.DUMMYFUNCTION("GOOGLETRANSLATE(A47209, ""de"", ""en"")"),"Hansel")</f>
        <v>Hansel</v>
      </c>
    </row>
    <row r="47210">
      <c r="A47210" s="1" t="s">
        <v>47209</v>
      </c>
      <c r="B47210" s="2" t="str">
        <f>IFERROR(__xludf.DUMMYFUNCTION("GOOGLETRANSLATE(A47210, ""de"", ""en"")"),"sanae")</f>
        <v>sanae</v>
      </c>
    </row>
    <row r="47211">
      <c r="A47211" s="1" t="s">
        <v>47210</v>
      </c>
      <c r="B47211" s="2" t="str">
        <f>IFERROR(__xludf.DUMMYFUNCTION("GOOGLETRANSLATE(A47211, ""de"", ""en"")"),"instill")</f>
        <v>instill</v>
      </c>
    </row>
    <row r="47212">
      <c r="A47212" s="1" t="s">
        <v>47211</v>
      </c>
      <c r="B47212" s="2" t="str">
        <f>IFERROR(__xludf.DUMMYFUNCTION("GOOGLETRANSLATE(A47212, ""de"", ""en"")"),"slimier")</f>
        <v>slimier</v>
      </c>
    </row>
    <row r="47213">
      <c r="A47213" s="1" t="s">
        <v>47212</v>
      </c>
      <c r="B47213" s="2" t="str">
        <f>IFERROR(__xludf.DUMMYFUNCTION("GOOGLETRANSLATE(A47213, ""de"", ""en"")"),"case")</f>
        <v>case</v>
      </c>
    </row>
    <row r="47214">
      <c r="A47214" s="1" t="s">
        <v>47213</v>
      </c>
      <c r="B47214" s="2" t="str">
        <f>IFERROR(__xludf.DUMMYFUNCTION("GOOGLETRANSLATE(A47214, ""de"", ""en"")"),"super idea")</f>
        <v>super idea</v>
      </c>
    </row>
    <row r="47215">
      <c r="A47215" s="1" t="s">
        <v>47214</v>
      </c>
      <c r="B47215" s="2" t="str">
        <f>IFERROR(__xludf.DUMMYFUNCTION("GOOGLETRANSLATE(A47215, ""de"", ""en"")"),"drilled")</f>
        <v>drilled</v>
      </c>
    </row>
    <row r="47216">
      <c r="A47216" s="1" t="s">
        <v>47215</v>
      </c>
      <c r="B47216" s="2" t="str">
        <f>IFERROR(__xludf.DUMMYFUNCTION("GOOGLETRANSLATE(A47216, ""de"", ""en"")"),"sounds of pain")</f>
        <v>sounds of pain</v>
      </c>
    </row>
    <row r="47217">
      <c r="A47217" s="1" t="s">
        <v>47216</v>
      </c>
      <c r="B47217" s="2" t="str">
        <f>IFERROR(__xludf.DUMMYFUNCTION("GOOGLETRANSLATE(A47217, ""de"", ""en"")"),"suck")</f>
        <v>suck</v>
      </c>
    </row>
    <row r="47218">
      <c r="A47218" s="1" t="s">
        <v>47217</v>
      </c>
      <c r="B47218" s="2" t="str">
        <f>IFERROR(__xludf.DUMMYFUNCTION("GOOGLETRANSLATE(A47218, ""de"", ""en"")"),"willies")</f>
        <v>willies</v>
      </c>
    </row>
    <row r="47219">
      <c r="A47219" s="1" t="s">
        <v>47218</v>
      </c>
      <c r="B47219" s="2" t="str">
        <f>IFERROR(__xludf.DUMMYFUNCTION("GOOGLETRANSLATE(A47219, ""de"", ""en"")"),"luxury hotel")</f>
        <v>luxury hotel</v>
      </c>
    </row>
    <row r="47220">
      <c r="A47220" s="1" t="s">
        <v>47219</v>
      </c>
      <c r="B47220" s="2" t="str">
        <f>IFERROR(__xludf.DUMMYFUNCTION("GOOGLETRANSLATE(A47220, ""de"", ""en"")"),"designed")</f>
        <v>designed</v>
      </c>
    </row>
    <row r="47221">
      <c r="A47221" s="1" t="s">
        <v>47220</v>
      </c>
      <c r="B47221" s="2" t="str">
        <f>IFERROR(__xludf.DUMMYFUNCTION("GOOGLETRANSLATE(A47221, ""de"", ""en"")"),"synergy")</f>
        <v>synergy</v>
      </c>
    </row>
    <row r="47222">
      <c r="A47222" s="1" t="s">
        <v>47221</v>
      </c>
      <c r="B47222" s="2" t="str">
        <f>IFERROR(__xludf.DUMMYFUNCTION("GOOGLETRANSLATE(A47222, ""de"", ""en"")"),"black forest")</f>
        <v>black forest</v>
      </c>
    </row>
    <row r="47223">
      <c r="A47223" s="1" t="s">
        <v>47222</v>
      </c>
      <c r="B47223" s="2" t="str">
        <f>IFERROR(__xludf.DUMMYFUNCTION("GOOGLETRANSLATE(A47223, ""de"", ""en"")"),"energy loss")</f>
        <v>energy loss</v>
      </c>
    </row>
    <row r="47224">
      <c r="A47224" s="1" t="s">
        <v>47223</v>
      </c>
      <c r="B47224" s="2" t="str">
        <f>IFERROR(__xludf.DUMMYFUNCTION("GOOGLETRANSLATE(A47224, ""de"", ""en"")"),"competitors")</f>
        <v>competitors</v>
      </c>
    </row>
    <row r="47225">
      <c r="A47225" s="1" t="s">
        <v>47224</v>
      </c>
      <c r="B47225" s="2" t="str">
        <f>IFERROR(__xludf.DUMMYFUNCTION("GOOGLETRANSLATE(A47225, ""de"", ""en"")"),"relentlessly")</f>
        <v>relentlessly</v>
      </c>
    </row>
    <row r="47226">
      <c r="A47226" s="1" t="s">
        <v>47225</v>
      </c>
      <c r="B47226" s="2" t="str">
        <f>IFERROR(__xludf.DUMMYFUNCTION("GOOGLETRANSLATE(A47226, ""de"", ""en"")"),"spaceman")</f>
        <v>spaceman</v>
      </c>
    </row>
    <row r="47227">
      <c r="A47227" s="1" t="s">
        <v>47226</v>
      </c>
      <c r="B47227" s="2" t="str">
        <f>IFERROR(__xludf.DUMMYFUNCTION("GOOGLETRANSLATE(A47227, ""de"", ""en"")"),"eight and a half")</f>
        <v>eight and a half</v>
      </c>
    </row>
    <row r="47228">
      <c r="A47228" s="1" t="s">
        <v>47227</v>
      </c>
      <c r="B47228" s="2" t="str">
        <f>IFERROR(__xludf.DUMMYFUNCTION("GOOGLETRANSLATE(A47228, ""de"", ""en"")"),"seizures")</f>
        <v>seizures</v>
      </c>
    </row>
    <row r="47229">
      <c r="A47229" s="1" t="s">
        <v>47228</v>
      </c>
      <c r="B47229" s="2" t="str">
        <f>IFERROR(__xludf.DUMMYFUNCTION("GOOGLETRANSLATE(A47229, ""de"", ""en"")"),"hernia")</f>
        <v>hernia</v>
      </c>
    </row>
    <row r="47230">
      <c r="A47230" s="1" t="s">
        <v>47229</v>
      </c>
      <c r="B47230" s="2" t="str">
        <f>IFERROR(__xludf.DUMMYFUNCTION("GOOGLETRANSLATE(A47230, ""de"", ""en"")"),"he-man")</f>
        <v>he-man</v>
      </c>
    </row>
    <row r="47231">
      <c r="A47231" s="1" t="s">
        <v>47230</v>
      </c>
      <c r="B47231" s="2" t="str">
        <f>IFERROR(__xludf.DUMMYFUNCTION("GOOGLETRANSLATE(A47231, ""de"", ""en"")"),"control tower")</f>
        <v>control tower</v>
      </c>
    </row>
    <row r="47232">
      <c r="A47232" s="1" t="s">
        <v>47231</v>
      </c>
      <c r="B47232" s="2" t="str">
        <f>IFERROR(__xludf.DUMMYFUNCTION("GOOGLETRANSLATE(A47232, ""de"", ""en"")"),"dance competition")</f>
        <v>dance competition</v>
      </c>
    </row>
    <row r="47233">
      <c r="A47233" s="1" t="s">
        <v>47232</v>
      </c>
      <c r="B47233" s="2" t="str">
        <f>IFERROR(__xludf.DUMMYFUNCTION("GOOGLETRANSLATE(A47233, ""de"", ""en"")"),"vine")</f>
        <v>vine</v>
      </c>
    </row>
    <row r="47234">
      <c r="A47234" s="1" t="s">
        <v>47233</v>
      </c>
      <c r="B47234" s="2" t="str">
        <f>IFERROR(__xludf.DUMMYFUNCTION("GOOGLETRANSLATE(A47234, ""de"", ""en"")"),"skinnier")</f>
        <v>skinnier</v>
      </c>
    </row>
    <row r="47235">
      <c r="A47235" s="1" t="s">
        <v>47234</v>
      </c>
      <c r="B47235" s="2" t="str">
        <f>IFERROR(__xludf.DUMMYFUNCTION("GOOGLETRANSLATE(A47235, ""de"", ""en"")"),"Fatzke")</f>
        <v>Fatzke</v>
      </c>
    </row>
    <row r="47236">
      <c r="A47236" s="1" t="s">
        <v>47235</v>
      </c>
      <c r="B47236" s="2" t="str">
        <f>IFERROR(__xludf.DUMMYFUNCTION("GOOGLETRANSLATE(A47236, ""de"", ""en"")"),"threatening")</f>
        <v>threatening</v>
      </c>
    </row>
    <row r="47237">
      <c r="A47237" s="1" t="s">
        <v>47236</v>
      </c>
      <c r="B47237" s="2" t="str">
        <f>IFERROR(__xludf.DUMMYFUNCTION("GOOGLETRANSLATE(A47237, ""de"", ""en"")"),"fucked up")</f>
        <v>fucked up</v>
      </c>
    </row>
    <row r="47238">
      <c r="A47238" s="1" t="s">
        <v>47237</v>
      </c>
      <c r="B47238" s="2" t="str">
        <f>IFERROR(__xludf.DUMMYFUNCTION("GOOGLETRANSLATE(A47238, ""de"", ""en"")"),"parole board")</f>
        <v>parole board</v>
      </c>
    </row>
    <row r="47239">
      <c r="A47239" s="1" t="s">
        <v>47238</v>
      </c>
      <c r="B47239" s="2" t="str">
        <f>IFERROR(__xludf.DUMMYFUNCTION("GOOGLETRANSLATE(A47239, ""de"", ""en"")"),"djaq")</f>
        <v>djaq</v>
      </c>
    </row>
    <row r="47240">
      <c r="A47240" s="1" t="s">
        <v>47239</v>
      </c>
      <c r="B47240" s="2" t="str">
        <f>IFERROR(__xludf.DUMMYFUNCTION("GOOGLETRANSLATE(A47240, ""de"", ""en"")"),"current")</f>
        <v>current</v>
      </c>
    </row>
    <row r="47241">
      <c r="A47241" s="1" t="s">
        <v>47240</v>
      </c>
      <c r="B47241" s="2" t="str">
        <f>IFERROR(__xludf.DUMMYFUNCTION("GOOGLETRANSLATE(A47241, ""de"", ""en"")"),"violent")</f>
        <v>violent</v>
      </c>
    </row>
    <row r="47242">
      <c r="A47242" s="1" t="s">
        <v>47241</v>
      </c>
      <c r="B47242" s="2" t="str">
        <f>IFERROR(__xludf.DUMMYFUNCTION("GOOGLETRANSLATE(A47242, ""de"", ""en"")"),"reinforced")</f>
        <v>reinforced</v>
      </c>
    </row>
    <row r="47243">
      <c r="A47243" s="1" t="s">
        <v>47242</v>
      </c>
      <c r="B47243" s="2" t="str">
        <f>IFERROR(__xludf.DUMMYFUNCTION("GOOGLETRANSLATE(A47243, ""de"", ""en"")"),"tournament")</f>
        <v>tournament</v>
      </c>
    </row>
    <row r="47244">
      <c r="A47244" s="1" t="s">
        <v>47243</v>
      </c>
      <c r="B47244" s="2" t="str">
        <f>IFERROR(__xludf.DUMMYFUNCTION("GOOGLETRANSLATE(A47244, ""de"", ""en"")"),"magnusson")</f>
        <v>magnusson</v>
      </c>
    </row>
    <row r="47245">
      <c r="A47245" s="1" t="s">
        <v>47244</v>
      </c>
      <c r="B47245" s="2" t="str">
        <f>IFERROR(__xludf.DUMMYFUNCTION("GOOGLETRANSLATE(A47245, ""de"", ""en"")"),"scoffs")</f>
        <v>scoffs</v>
      </c>
    </row>
    <row r="47246">
      <c r="A47246" s="1" t="s">
        <v>47245</v>
      </c>
      <c r="B47246" s="2" t="str">
        <f>IFERROR(__xludf.DUMMYFUNCTION("GOOGLETRANSLATE(A47246, ""de"", ""en"")"),"alliances")</f>
        <v>alliances</v>
      </c>
    </row>
    <row r="47247">
      <c r="A47247" s="1" t="s">
        <v>47246</v>
      </c>
      <c r="B47247" s="2" t="str">
        <f>IFERROR(__xludf.DUMMYFUNCTION("GOOGLETRANSLATE(A47247, ""de"", ""en"")"),"marga")</f>
        <v>marga</v>
      </c>
    </row>
    <row r="47248">
      <c r="A47248" s="1" t="s">
        <v>47247</v>
      </c>
      <c r="B47248" s="2" t="str">
        <f>IFERROR(__xludf.DUMMYFUNCTION("GOOGLETRANSLATE(A47248, ""de"", ""en"")"),"seen")</f>
        <v>seen</v>
      </c>
    </row>
    <row r="47249">
      <c r="A47249" s="1" t="s">
        <v>47248</v>
      </c>
      <c r="B47249" s="2" t="str">
        <f>IFERROR(__xludf.DUMMYFUNCTION("GOOGLETRANSLATE(A47249, ""de"", ""en"")"),"community members")</f>
        <v>community members</v>
      </c>
    </row>
    <row r="47250">
      <c r="A47250" s="1" t="s">
        <v>47249</v>
      </c>
      <c r="B47250" s="2" t="str">
        <f>IFERROR(__xludf.DUMMYFUNCTION("GOOGLETRANSLATE(A47250, ""de"", ""en"")"),"tucci")</f>
        <v>tucci</v>
      </c>
    </row>
    <row r="47251">
      <c r="A47251" s="1" t="s">
        <v>47250</v>
      </c>
      <c r="B47251" s="2" t="str">
        <f>IFERROR(__xludf.DUMMYFUNCTION("GOOGLETRANSLATE(A47251, ""de"", ""en"")"),"shut down")</f>
        <v>shut down</v>
      </c>
    </row>
    <row r="47252">
      <c r="A47252" s="1" t="s">
        <v>47251</v>
      </c>
      <c r="B47252" s="2" t="str">
        <f>IFERROR(__xludf.DUMMYFUNCTION("GOOGLETRANSLATE(A47252, ""de"", ""en"")"),"bax")</f>
        <v>bax</v>
      </c>
    </row>
    <row r="47253">
      <c r="A47253" s="1" t="s">
        <v>47252</v>
      </c>
      <c r="B47253" s="2" t="str">
        <f>IFERROR(__xludf.DUMMYFUNCTION("GOOGLETRANSLATE(A47253, ""de"", ""en"")"),"to eradicate")</f>
        <v>to eradicate</v>
      </c>
    </row>
    <row r="47254">
      <c r="A47254" s="1" t="s">
        <v>47253</v>
      </c>
      <c r="B47254" s="2" t="str">
        <f>IFERROR(__xludf.DUMMYFUNCTION("GOOGLETRANSLATE(A47254, ""de"", ""en"")"),"wiped")</f>
        <v>wiped</v>
      </c>
    </row>
    <row r="47255">
      <c r="A47255" s="1" t="s">
        <v>47254</v>
      </c>
      <c r="B47255" s="2" t="str">
        <f>IFERROR(__xludf.DUMMYFUNCTION("GOOGLETRANSLATE(A47255, ""de"", ""en"")"),"screw")</f>
        <v>screw</v>
      </c>
    </row>
    <row r="47256">
      <c r="A47256" s="1" t="s">
        <v>47255</v>
      </c>
      <c r="B47256" s="2" t="str">
        <f>IFERROR(__xludf.DUMMYFUNCTION("GOOGLETRANSLATE(A47256, ""de"", ""en"")"),"cliche")</f>
        <v>cliche</v>
      </c>
    </row>
    <row r="47257">
      <c r="A47257" s="1" t="s">
        <v>47256</v>
      </c>
      <c r="B47257" s="2" t="str">
        <f>IFERROR(__xludf.DUMMYFUNCTION("GOOGLETRANSLATE(A47257, ""de"", ""en"")"),"drug cartel")</f>
        <v>drug cartel</v>
      </c>
    </row>
    <row r="47258">
      <c r="A47258" s="1" t="s">
        <v>47257</v>
      </c>
      <c r="B47258" s="2" t="str">
        <f>IFERROR(__xludf.DUMMYFUNCTION("GOOGLETRANSLATE(A47258, ""de"", ""en"")"),"stop")</f>
        <v>stop</v>
      </c>
    </row>
    <row r="47259">
      <c r="A47259" s="1" t="s">
        <v>47258</v>
      </c>
      <c r="B47259" s="2" t="str">
        <f>IFERROR(__xludf.DUMMYFUNCTION("GOOGLETRANSLATE(A47259, ""de"", ""en"")"),"kfc")</f>
        <v>kfc</v>
      </c>
    </row>
    <row r="47260">
      <c r="A47260" s="1" t="s">
        <v>47259</v>
      </c>
      <c r="B47260" s="2" t="str">
        <f>IFERROR(__xludf.DUMMYFUNCTION("GOOGLETRANSLATE(A47260, ""de"", ""en"")"),"operator")</f>
        <v>operator</v>
      </c>
    </row>
    <row r="47261">
      <c r="A47261" s="1" t="s">
        <v>47260</v>
      </c>
      <c r="B47261" s="2" t="str">
        <f>IFERROR(__xludf.DUMMYFUNCTION("GOOGLETRANSLATE(A47261, ""de"", ""en"")"),"pon")</f>
        <v>pon</v>
      </c>
    </row>
    <row r="47262">
      <c r="A47262" s="1" t="s">
        <v>47261</v>
      </c>
      <c r="B47262" s="2" t="str">
        <f>IFERROR(__xludf.DUMMYFUNCTION("GOOGLETRANSLATE(A47262, ""de"", ""en"")"),"book club")</f>
        <v>book club</v>
      </c>
    </row>
    <row r="47263">
      <c r="A47263" s="1" t="s">
        <v>47262</v>
      </c>
      <c r="B47263" s="2" t="str">
        <f>IFERROR(__xludf.DUMMYFUNCTION("GOOGLETRANSLATE(A47263, ""de"", ""en"")"),"lay")</f>
        <v>lay</v>
      </c>
    </row>
    <row r="47264">
      <c r="A47264" s="1" t="s">
        <v>47263</v>
      </c>
      <c r="B47264" s="2" t="str">
        <f>IFERROR(__xludf.DUMMYFUNCTION("GOOGLETRANSLATE(A47264, ""de"", ""en"")"),"polonius")</f>
        <v>polonius</v>
      </c>
    </row>
    <row r="47265">
      <c r="A47265" s="1" t="s">
        <v>47264</v>
      </c>
      <c r="B47265" s="2" t="str">
        <f>IFERROR(__xludf.DUMMYFUNCTION("GOOGLETRANSLATE(A47265, ""de"", ""en"")"),"eldorado")</f>
        <v>eldorado</v>
      </c>
    </row>
    <row r="47266">
      <c r="A47266" s="1" t="s">
        <v>47265</v>
      </c>
      <c r="B47266" s="2" t="str">
        <f>IFERROR(__xludf.DUMMYFUNCTION("GOOGLETRANSLATE(A47266, ""de"", ""en"")"),"bit")</f>
        <v>bit</v>
      </c>
    </row>
    <row r="47267">
      <c r="A47267" s="1" t="s">
        <v>47266</v>
      </c>
      <c r="B47267" s="2" t="str">
        <f>IFERROR(__xludf.DUMMYFUNCTION("GOOGLETRANSLATE(A47267, ""de"", ""en"")"),"wipes")</f>
        <v>wipes</v>
      </c>
    </row>
    <row r="47268">
      <c r="A47268" s="1" t="s">
        <v>47267</v>
      </c>
      <c r="B47268" s="2" t="str">
        <f>IFERROR(__xludf.DUMMYFUNCTION("GOOGLETRANSLATE(A47268, ""de"", ""en"")"),"sedgwick")</f>
        <v>sedgwick</v>
      </c>
    </row>
    <row r="47269">
      <c r="A47269" s="1" t="s">
        <v>47268</v>
      </c>
      <c r="B47269" s="2" t="str">
        <f>IFERROR(__xludf.DUMMYFUNCTION("GOOGLETRANSLATE(A47269, ""de"", ""en"")"),"grandiose")</f>
        <v>grandiose</v>
      </c>
    </row>
    <row r="47270">
      <c r="A47270" s="1" t="s">
        <v>47269</v>
      </c>
      <c r="B47270" s="2" t="str">
        <f>IFERROR(__xludf.DUMMYFUNCTION("GOOGLETRANSLATE(A47270, ""de"", ""en"")"),"security guards")</f>
        <v>security guards</v>
      </c>
    </row>
    <row r="47271">
      <c r="A47271" s="1" t="s">
        <v>47270</v>
      </c>
      <c r="B47271" s="2" t="str">
        <f>IFERROR(__xludf.DUMMYFUNCTION("GOOGLETRANSLATE(A47271, ""de"", ""en"")"),"fearful")</f>
        <v>fearful</v>
      </c>
    </row>
    <row r="47272">
      <c r="A47272" s="1" t="s">
        <v>47271</v>
      </c>
      <c r="B47272" s="2" t="str">
        <f>IFERROR(__xludf.DUMMYFUNCTION("GOOGLETRANSLATE(A47272, ""de"", ""en"")"),"smartest")</f>
        <v>smartest</v>
      </c>
    </row>
    <row r="47273">
      <c r="A47273" s="1" t="s">
        <v>47272</v>
      </c>
      <c r="B47273" s="2" t="str">
        <f>IFERROR(__xludf.DUMMYFUNCTION("GOOGLETRANSLATE(A47273, ""de"", ""en"")"),"blank")</f>
        <v>blank</v>
      </c>
    </row>
    <row r="47274">
      <c r="A47274" s="1" t="s">
        <v>47273</v>
      </c>
      <c r="B47274" s="2" t="str">
        <f>IFERROR(__xludf.DUMMYFUNCTION("GOOGLETRANSLATE(A47274, ""de"", ""en"")"),"ignored")</f>
        <v>ignored</v>
      </c>
    </row>
    <row r="47275">
      <c r="A47275" s="1" t="s">
        <v>47274</v>
      </c>
      <c r="B47275" s="2" t="str">
        <f>IFERROR(__xludf.DUMMYFUNCTION("GOOGLETRANSLATE(A47275, ""de"", ""en"")"),"great khan")</f>
        <v>great khan</v>
      </c>
    </row>
    <row r="47276">
      <c r="A47276" s="1" t="s">
        <v>47275</v>
      </c>
      <c r="B47276" s="2" t="str">
        <f>IFERROR(__xludf.DUMMYFUNCTION("GOOGLETRANSLATE(A47276, ""de"", ""en"")"),"treasury")</f>
        <v>treasury</v>
      </c>
    </row>
    <row r="47277">
      <c r="A47277" s="1" t="s">
        <v>47276</v>
      </c>
      <c r="B47277" s="2" t="str">
        <f>IFERROR(__xludf.DUMMYFUNCTION("GOOGLETRANSLATE(A47277, ""de"", ""en"")"),"savastano")</f>
        <v>savastano</v>
      </c>
    </row>
    <row r="47278">
      <c r="A47278" s="1" t="s">
        <v>47277</v>
      </c>
      <c r="B47278" s="2" t="str">
        <f>IFERROR(__xludf.DUMMYFUNCTION("GOOGLETRANSLATE(A47278, ""de"", ""en"")"),"secured")</f>
        <v>secured</v>
      </c>
    </row>
    <row r="47279">
      <c r="A47279" s="1" t="s">
        <v>47278</v>
      </c>
      <c r="B47279" s="2" t="str">
        <f>IFERROR(__xludf.DUMMYFUNCTION("GOOGLETRANSLATE(A47279, ""de"", ""en"")"),"huge pile")</f>
        <v>huge pile</v>
      </c>
    </row>
    <row r="47280">
      <c r="A47280" s="1" t="s">
        <v>47279</v>
      </c>
      <c r="B47280" s="2" t="str">
        <f>IFERROR(__xludf.DUMMYFUNCTION("GOOGLETRANSLATE(A47280, ""de"", ""en"")"),"tin can")</f>
        <v>tin can</v>
      </c>
    </row>
    <row r="47281">
      <c r="A47281" s="1" t="s">
        <v>47280</v>
      </c>
      <c r="B47281" s="2" t="str">
        <f>IFERROR(__xludf.DUMMYFUNCTION("GOOGLETRANSLATE(A47281, ""de"", ""en"")"),"lying")</f>
        <v>lying</v>
      </c>
    </row>
    <row r="47282">
      <c r="A47282" s="1" t="s">
        <v>47281</v>
      </c>
      <c r="B47282" s="2" t="str">
        <f>IFERROR(__xludf.DUMMYFUNCTION("GOOGLETRANSLATE(A47282, ""de"", ""en"")"),"antelope")</f>
        <v>antelope</v>
      </c>
    </row>
    <row r="47283">
      <c r="A47283" s="1" t="s">
        <v>47282</v>
      </c>
      <c r="B47283" s="2" t="str">
        <f>IFERROR(__xludf.DUMMYFUNCTION("GOOGLETRANSLATE(A47283, ""de"", ""en"")"),"whir")</f>
        <v>whir</v>
      </c>
    </row>
    <row r="47284">
      <c r="A47284" s="1" t="s">
        <v>47283</v>
      </c>
      <c r="B47284" s="2" t="str">
        <f>IFERROR(__xludf.DUMMYFUNCTION("GOOGLETRANSLATE(A47284, ""de"", ""en"")"),"chat")</f>
        <v>chat</v>
      </c>
    </row>
    <row r="47285">
      <c r="A47285" s="1" t="s">
        <v>47284</v>
      </c>
      <c r="B47285" s="2" t="str">
        <f>IFERROR(__xludf.DUMMYFUNCTION("GOOGLETRANSLATE(A47285, ""de"", ""en"")"),"pullman")</f>
        <v>pullman</v>
      </c>
    </row>
    <row r="47286">
      <c r="A47286" s="1" t="s">
        <v>47285</v>
      </c>
      <c r="B47286" s="2" t="str">
        <f>IFERROR(__xludf.DUMMYFUNCTION("GOOGLETRANSLATE(A47286, ""de"", ""en"")"),"gold colored")</f>
        <v>gold colored</v>
      </c>
    </row>
    <row r="47287">
      <c r="A47287" s="1" t="s">
        <v>47286</v>
      </c>
      <c r="B47287" s="2" t="str">
        <f>IFERROR(__xludf.DUMMYFUNCTION("GOOGLETRANSLATE(A47287, ""de"", ""en"")"),"pah-ghosts")</f>
        <v>pah-ghosts</v>
      </c>
    </row>
    <row r="47288">
      <c r="A47288" s="1" t="s">
        <v>47287</v>
      </c>
      <c r="B47288" s="2" t="str">
        <f>IFERROR(__xludf.DUMMYFUNCTION("GOOGLETRANSLATE(A47288, ""de"", ""en"")"),"got hold of")</f>
        <v>got hold of</v>
      </c>
    </row>
    <row r="47289">
      <c r="A47289" s="1" t="s">
        <v>47288</v>
      </c>
      <c r="B47289" s="2" t="str">
        <f>IFERROR(__xludf.DUMMYFUNCTION("GOOGLETRANSLATE(A47289, ""de"", ""en"")"),"obstetrics")</f>
        <v>obstetrics</v>
      </c>
    </row>
    <row r="47290">
      <c r="A47290" s="1" t="s">
        <v>47289</v>
      </c>
      <c r="B47290" s="2" t="str">
        <f>IFERROR(__xludf.DUMMYFUNCTION("GOOGLETRANSLATE(A47290, ""de"", ""en"")"),"more horrible")</f>
        <v>more horrible</v>
      </c>
    </row>
    <row r="47291">
      <c r="A47291" s="1" t="s">
        <v>47290</v>
      </c>
      <c r="B47291" s="2" t="str">
        <f>IFERROR(__xludf.DUMMYFUNCTION("GOOGLETRANSLATE(A47291, ""de"", ""en"")"),"mentioned")</f>
        <v>mentioned</v>
      </c>
    </row>
    <row r="47292">
      <c r="A47292" s="1" t="s">
        <v>47291</v>
      </c>
      <c r="B47292" s="2" t="str">
        <f>IFERROR(__xludf.DUMMYFUNCTION("GOOGLETRANSLATE(A47292, ""de"", ""en"")"),"meinhard")</f>
        <v>meinhard</v>
      </c>
    </row>
    <row r="47293">
      <c r="A47293" s="1" t="s">
        <v>47292</v>
      </c>
      <c r="B47293" s="2" t="str">
        <f>IFERROR(__xludf.DUMMYFUNCTION("GOOGLETRANSLATE(A47293, ""de"", ""en"")"),"shitwurst")</f>
        <v>shitwurst</v>
      </c>
    </row>
    <row r="47294">
      <c r="A47294" s="1" t="s">
        <v>47293</v>
      </c>
      <c r="B47294" s="2" t="str">
        <f>IFERROR(__xludf.DUMMYFUNCTION("GOOGLETRANSLATE(A47294, ""de"", ""en"")"),"unconscious")</f>
        <v>unconscious</v>
      </c>
    </row>
    <row r="47295">
      <c r="A47295" s="1" t="s">
        <v>47294</v>
      </c>
      <c r="B47295" s="2" t="str">
        <f>IFERROR(__xludf.DUMMYFUNCTION("GOOGLETRANSLATE(A47295, ""de"", ""en"")"),"obscene")</f>
        <v>obscene</v>
      </c>
    </row>
    <row r="47296">
      <c r="A47296" s="1" t="s">
        <v>47295</v>
      </c>
      <c r="B47296" s="2" t="str">
        <f>IFERROR(__xludf.DUMMYFUNCTION("GOOGLETRANSLATE(A47296, ""de"", ""en"")"),"optimize")</f>
        <v>optimize</v>
      </c>
    </row>
    <row r="47297">
      <c r="A47297" s="1" t="s">
        <v>47296</v>
      </c>
      <c r="B47297" s="2" t="str">
        <f>IFERROR(__xludf.DUMMYFUNCTION("GOOGLETRANSLATE(A47297, ""de"", ""en"")"),"saba")</f>
        <v>saba</v>
      </c>
    </row>
    <row r="47298">
      <c r="A47298" s="1" t="s">
        <v>47297</v>
      </c>
      <c r="B47298" s="2" t="str">
        <f>IFERROR(__xludf.DUMMYFUNCTION("GOOGLETRANSLATE(A47298, ""de"", ""en"")"),"atherton")</f>
        <v>atherton</v>
      </c>
    </row>
    <row r="47299">
      <c r="A47299" s="1" t="s">
        <v>47298</v>
      </c>
      <c r="B47299" s="2" t="str">
        <f>IFERROR(__xludf.DUMMYFUNCTION("GOOGLETRANSLATE(A47299, ""de"", ""en"")"),"stockings")</f>
        <v>stockings</v>
      </c>
    </row>
    <row r="47300">
      <c r="A47300" s="1" t="s">
        <v>47299</v>
      </c>
      <c r="B47300" s="2" t="str">
        <f>IFERROR(__xludf.DUMMYFUNCTION("GOOGLETRANSLATE(A47300, ""de"", ""en"")"),"specialist")</f>
        <v>specialist</v>
      </c>
    </row>
    <row r="47301">
      <c r="A47301" s="1" t="s">
        <v>47300</v>
      </c>
      <c r="B47301" s="2" t="str">
        <f>IFERROR(__xludf.DUMMYFUNCTION("GOOGLETRANSLATE(A47301, ""de"", ""en"")"),"insinuations")</f>
        <v>insinuations</v>
      </c>
    </row>
    <row r="47302">
      <c r="A47302" s="1" t="s">
        <v>47301</v>
      </c>
      <c r="B47302" s="2" t="str">
        <f>IFERROR(__xludf.DUMMYFUNCTION("GOOGLETRANSLATE(A47302, ""de"", ""en"")"),"cheater")</f>
        <v>cheater</v>
      </c>
    </row>
    <row r="47303">
      <c r="A47303" s="1" t="s">
        <v>47302</v>
      </c>
      <c r="B47303" s="2" t="str">
        <f>IFERROR(__xludf.DUMMYFUNCTION("GOOGLETRANSLATE(A47303, ""de"", ""en"")"),"loris")</f>
        <v>loris</v>
      </c>
    </row>
    <row r="47304">
      <c r="A47304" s="1" t="s">
        <v>47303</v>
      </c>
      <c r="B47304" s="2" t="str">
        <f>IFERROR(__xludf.DUMMYFUNCTION("GOOGLETRANSLATE(A47304, ""de"", ""en"")"),"peers")</f>
        <v>peers</v>
      </c>
    </row>
    <row r="47305">
      <c r="A47305" s="1" t="s">
        <v>47304</v>
      </c>
      <c r="B47305" s="2" t="str">
        <f>IFERROR(__xludf.DUMMYFUNCTION("GOOGLETRANSLATE(A47305, ""de"", ""en"")"),"farmer's tramp")</f>
        <v>farmer's tramp</v>
      </c>
    </row>
    <row r="47306">
      <c r="A47306" s="1" t="s">
        <v>47305</v>
      </c>
      <c r="B47306" s="2" t="str">
        <f>IFERROR(__xludf.DUMMYFUNCTION("GOOGLETRANSLATE(A47306, ""de"", ""en"")"),"networking")</f>
        <v>networking</v>
      </c>
    </row>
    <row r="47307">
      <c r="A47307" s="1" t="s">
        <v>47306</v>
      </c>
      <c r="B47307" s="2" t="str">
        <f>IFERROR(__xludf.DUMMYFUNCTION("GOOGLETRANSLATE(A47307, ""de"", ""en"")"),"belt buckle")</f>
        <v>belt buckle</v>
      </c>
    </row>
    <row r="47308">
      <c r="A47308" s="1" t="s">
        <v>47307</v>
      </c>
      <c r="B47308" s="2" t="str">
        <f>IFERROR(__xludf.DUMMYFUNCTION("GOOGLETRANSLATE(A47308, ""de"", ""en"")"),"decided")</f>
        <v>decided</v>
      </c>
    </row>
    <row r="47309">
      <c r="A47309" s="1" t="s">
        <v>47308</v>
      </c>
      <c r="B47309" s="2" t="str">
        <f>IFERROR(__xludf.DUMMYFUNCTION("GOOGLETRANSLATE(A47309, ""de"", ""en"")"),"Bravo shouts")</f>
        <v>Bravo shouts</v>
      </c>
    </row>
    <row r="47310">
      <c r="A47310" s="1" t="s">
        <v>47309</v>
      </c>
      <c r="B47310" s="2" t="str">
        <f>IFERROR(__xludf.DUMMYFUNCTION("GOOGLETRANSLATE(A47310, ""de"", ""en"")"),"zetrov")</f>
        <v>zetrov</v>
      </c>
    </row>
    <row r="47311">
      <c r="A47311" s="1" t="s">
        <v>47310</v>
      </c>
      <c r="B47311" s="2" t="str">
        <f>IFERROR(__xludf.DUMMYFUNCTION("GOOGLETRANSLATE(A47311, ""de"", ""en"")"),"Waldi")</f>
        <v>Waldi</v>
      </c>
    </row>
    <row r="47312">
      <c r="A47312" s="1" t="s">
        <v>47311</v>
      </c>
      <c r="B47312" s="2" t="str">
        <f>IFERROR(__xludf.DUMMYFUNCTION("GOOGLETRANSLATE(A47312, ""de"", ""en"")"),"night nurse")</f>
        <v>night nurse</v>
      </c>
    </row>
    <row r="47313">
      <c r="A47313" s="1" t="s">
        <v>47312</v>
      </c>
      <c r="B47313" s="2" t="str">
        <f>IFERROR(__xludf.DUMMYFUNCTION("GOOGLETRANSLATE(A47313, ""de"", ""en"")"),"Simona")</f>
        <v>Simona</v>
      </c>
    </row>
    <row r="47314">
      <c r="A47314" s="1" t="s">
        <v>47313</v>
      </c>
      <c r="B47314" s="2" t="str">
        <f>IFERROR(__xludf.DUMMYFUNCTION("GOOGLETRANSLATE(A47314, ""de"", ""en"")"),"arrange")</f>
        <v>arrange</v>
      </c>
    </row>
    <row r="47315">
      <c r="A47315" s="1" t="s">
        <v>47314</v>
      </c>
      <c r="B47315" s="2" t="str">
        <f>IFERROR(__xludf.DUMMYFUNCTION("GOOGLETRANSLATE(A47315, ""de"", ""en"")"),"therapeutic")</f>
        <v>therapeutic</v>
      </c>
    </row>
    <row r="47316">
      <c r="A47316" s="1" t="s">
        <v>47315</v>
      </c>
      <c r="B47316" s="2" t="str">
        <f>IFERROR(__xludf.DUMMYFUNCTION("GOOGLETRANSLATE(A47316, ""de"", ""en"")"),"atreyu")</f>
        <v>atreyu</v>
      </c>
    </row>
    <row r="47317">
      <c r="A47317" s="1" t="s">
        <v>47316</v>
      </c>
      <c r="B47317" s="2" t="str">
        <f>IFERROR(__xludf.DUMMYFUNCTION("GOOGLETRANSLATE(A47317, ""de"", ""en"")"),"become")</f>
        <v>become</v>
      </c>
    </row>
    <row r="47318">
      <c r="A47318" s="1" t="s">
        <v>47317</v>
      </c>
      <c r="B47318" s="2" t="str">
        <f>IFERROR(__xludf.DUMMYFUNCTION("GOOGLETRANSLATE(A47318, ""de"", ""en"")"),"four-legged friends")</f>
        <v>four-legged friends</v>
      </c>
    </row>
    <row r="47319">
      <c r="A47319" s="1" t="s">
        <v>47318</v>
      </c>
      <c r="B47319" s="2" t="str">
        <f>IFERROR(__xludf.DUMMYFUNCTION("GOOGLETRANSLATE(A47319, ""de"", ""en"")"),"inhumans")</f>
        <v>inhumans</v>
      </c>
    </row>
    <row r="47320">
      <c r="A47320" s="1" t="s">
        <v>47319</v>
      </c>
      <c r="B47320" s="2" t="str">
        <f>IFERROR(__xludf.DUMMYFUNCTION("GOOGLETRANSLATE(A47320, ""de"", ""en"")"),"mastani")</f>
        <v>mastani</v>
      </c>
    </row>
    <row r="47321">
      <c r="A47321" s="1" t="s">
        <v>47320</v>
      </c>
      <c r="B47321" s="2" t="str">
        <f>IFERROR(__xludf.DUMMYFUNCTION("GOOGLETRANSLATE(A47321, ""de"", ""en"")"),"vow of silence")</f>
        <v>vow of silence</v>
      </c>
    </row>
    <row r="47322">
      <c r="A47322" s="1" t="s">
        <v>47321</v>
      </c>
      <c r="B47322" s="2" t="str">
        <f>IFERROR(__xludf.DUMMYFUNCTION("GOOGLETRANSLATE(A47322, ""de"", ""en"")"),"Raiko")</f>
        <v>Raiko</v>
      </c>
    </row>
    <row r="47323">
      <c r="A47323" s="1" t="s">
        <v>47322</v>
      </c>
      <c r="B47323" s="2" t="str">
        <f>IFERROR(__xludf.DUMMYFUNCTION("GOOGLETRANSLATE(A47323, ""de"", ""en"")"),"socialist")</f>
        <v>socialist</v>
      </c>
    </row>
    <row r="47324">
      <c r="A47324" s="1" t="s">
        <v>47323</v>
      </c>
      <c r="B47324" s="2" t="str">
        <f>IFERROR(__xludf.DUMMYFUNCTION("GOOGLETRANSLATE(A47324, ""de"", ""en"")"),"welcome party")</f>
        <v>welcome party</v>
      </c>
    </row>
    <row r="47325">
      <c r="A47325" s="1" t="s">
        <v>47324</v>
      </c>
      <c r="B47325" s="2" t="str">
        <f>IFERROR(__xludf.DUMMYFUNCTION("GOOGLETRANSLATE(A47325, ""de"", ""en"")"),"play along")</f>
        <v>play along</v>
      </c>
    </row>
    <row r="47326">
      <c r="A47326" s="1" t="s">
        <v>47325</v>
      </c>
      <c r="B47326" s="2" t="str">
        <f>IFERROR(__xludf.DUMMYFUNCTION("GOOGLETRANSLATE(A47326, ""de"", ""en"")"),"hoofbeat")</f>
        <v>hoofbeat</v>
      </c>
    </row>
    <row r="47327">
      <c r="A47327" s="1" t="s">
        <v>47326</v>
      </c>
      <c r="B47327" s="2" t="str">
        <f>IFERROR(__xludf.DUMMYFUNCTION("GOOGLETRANSLATE(A47327, ""de"", ""en"")"),"bullies")</f>
        <v>bullies</v>
      </c>
    </row>
    <row r="47328">
      <c r="A47328" s="1" t="s">
        <v>47327</v>
      </c>
      <c r="B47328" s="2" t="str">
        <f>IFERROR(__xludf.DUMMYFUNCTION("GOOGLETRANSLATE(A47328, ""de"", ""en"")"),"coogan")</f>
        <v>coogan</v>
      </c>
    </row>
    <row r="47329">
      <c r="A47329" s="1" t="s">
        <v>47328</v>
      </c>
      <c r="B47329" s="2" t="str">
        <f>IFERROR(__xludf.DUMMYFUNCTION("GOOGLETRANSLATE(A47329, ""de"", ""en"")"),"stuff up")</f>
        <v>stuff up</v>
      </c>
    </row>
    <row r="47330">
      <c r="A47330" s="1" t="s">
        <v>47329</v>
      </c>
      <c r="B47330" s="2" t="str">
        <f>IFERROR(__xludf.DUMMYFUNCTION("GOOGLETRANSLATE(A47330, ""de"", ""en"")"),"chianti")</f>
        <v>chianti</v>
      </c>
    </row>
    <row r="47331">
      <c r="A47331" s="1" t="s">
        <v>47330</v>
      </c>
      <c r="B47331" s="2" t="str">
        <f>IFERROR(__xludf.DUMMYFUNCTION("GOOGLETRANSLATE(A47331, ""de"", ""en"")"),"rescue attempt")</f>
        <v>rescue attempt</v>
      </c>
    </row>
    <row r="47332">
      <c r="A47332" s="1" t="s">
        <v>47331</v>
      </c>
      <c r="B47332" s="2" t="str">
        <f>IFERROR(__xludf.DUMMYFUNCTION("GOOGLETRANSLATE(A47332, ""de"", ""en"")"),"consuelo")</f>
        <v>consuelo</v>
      </c>
    </row>
    <row r="47333">
      <c r="A47333" s="1" t="s">
        <v>47332</v>
      </c>
      <c r="B47333" s="2" t="str">
        <f>IFERROR(__xludf.DUMMYFUNCTION("GOOGLETRANSLATE(A47333, ""de"", ""en"")"),"favorite song")</f>
        <v>favorite song</v>
      </c>
    </row>
    <row r="47334">
      <c r="A47334" s="1" t="s">
        <v>47333</v>
      </c>
      <c r="B47334" s="2" t="str">
        <f>IFERROR(__xludf.DUMMYFUNCTION("GOOGLETRANSLATE(A47334, ""de"", ""en"")"),"exceeded")</f>
        <v>exceeded</v>
      </c>
    </row>
    <row r="47335">
      <c r="A47335" s="1" t="s">
        <v>47334</v>
      </c>
      <c r="B47335" s="2" t="str">
        <f>IFERROR(__xludf.DUMMYFUNCTION("GOOGLETRANSLATE(A47335, ""de"", ""en"")"),"crossed")</f>
        <v>crossed</v>
      </c>
    </row>
    <row r="47336">
      <c r="A47336" s="1" t="s">
        <v>47335</v>
      </c>
      <c r="B47336" s="2" t="str">
        <f>IFERROR(__xludf.DUMMYFUNCTION("GOOGLETRANSLATE(A47336, ""de"", ""en"")"),"bow")</f>
        <v>bow</v>
      </c>
    </row>
    <row r="47337">
      <c r="A47337" s="1" t="s">
        <v>47336</v>
      </c>
      <c r="B47337" s="2" t="str">
        <f>IFERROR(__xludf.DUMMYFUNCTION("GOOGLETRANSLATE(A47337, ""de"", ""en"")"),"tobbi")</f>
        <v>tobbi</v>
      </c>
    </row>
    <row r="47338">
      <c r="A47338" s="1" t="s">
        <v>47337</v>
      </c>
      <c r="B47338" s="2" t="str">
        <f>IFERROR(__xludf.DUMMYFUNCTION("GOOGLETRANSLATE(A47338, ""de"", ""en"")"),"to fool around")</f>
        <v>to fool around</v>
      </c>
    </row>
    <row r="47339">
      <c r="A47339" s="1" t="s">
        <v>47338</v>
      </c>
      <c r="B47339" s="2" t="str">
        <f>IFERROR(__xludf.DUMMYFUNCTION("GOOGLETRANSLATE(A47339, ""de"", ""en"")"),"children's ward")</f>
        <v>children's ward</v>
      </c>
    </row>
    <row r="47340">
      <c r="A47340" s="1" t="s">
        <v>47339</v>
      </c>
      <c r="B47340" s="2" t="str">
        <f>IFERROR(__xludf.DUMMYFUNCTION("GOOGLETRANSLATE(A47340, ""de"", ""en"")"),"guarantee")</f>
        <v>guarantee</v>
      </c>
    </row>
    <row r="47341">
      <c r="A47341" s="1" t="s">
        <v>47340</v>
      </c>
      <c r="B47341" s="2" t="str">
        <f>IFERROR(__xludf.DUMMYFUNCTION("GOOGLETRANSLATE(A47341, ""de"", ""en"")"),"latter")</f>
        <v>latter</v>
      </c>
    </row>
    <row r="47342">
      <c r="A47342" s="1" t="s">
        <v>47341</v>
      </c>
      <c r="B47342" s="2" t="str">
        <f>IFERROR(__xludf.DUMMYFUNCTION("GOOGLETRANSLATE(A47342, ""de"", ""en"")"),"shabby")</f>
        <v>shabby</v>
      </c>
    </row>
    <row r="47343">
      <c r="A47343" s="1" t="s">
        <v>47342</v>
      </c>
      <c r="B47343" s="2" t="str">
        <f>IFERROR(__xludf.DUMMYFUNCTION("GOOGLETRANSLATE(A47343, ""de"", ""en"")"),"warn")</f>
        <v>warn</v>
      </c>
    </row>
    <row r="47344">
      <c r="A47344" s="1" t="s">
        <v>47343</v>
      </c>
      <c r="B47344" s="2" t="str">
        <f>IFERROR(__xludf.DUMMYFUNCTION("GOOGLETRANSLATE(A47344, ""de"", ""en"")"),"found")</f>
        <v>found</v>
      </c>
    </row>
    <row r="47345">
      <c r="A47345" s="1" t="s">
        <v>47344</v>
      </c>
      <c r="B47345" s="2" t="str">
        <f>IFERROR(__xludf.DUMMYFUNCTION("GOOGLETRANSLATE(A47345, ""de"", ""en"")"),"keep open")</f>
        <v>keep open</v>
      </c>
    </row>
    <row r="47346">
      <c r="A47346" s="1" t="s">
        <v>47345</v>
      </c>
      <c r="B47346" s="2" t="str">
        <f>IFERROR(__xludf.DUMMYFUNCTION("GOOGLETRANSLATE(A47346, ""de"", ""en"")"),"jump in")</f>
        <v>jump in</v>
      </c>
    </row>
    <row r="47347">
      <c r="A47347" s="1" t="s">
        <v>47346</v>
      </c>
      <c r="B47347" s="2" t="str">
        <f>IFERROR(__xludf.DUMMYFUNCTION("GOOGLETRANSLATE(A47347, ""de"", ""en"")"),"lechero")</f>
        <v>lechero</v>
      </c>
    </row>
    <row r="47348">
      <c r="A47348" s="1" t="s">
        <v>47347</v>
      </c>
      <c r="B47348" s="2" t="str">
        <f>IFERROR(__xludf.DUMMYFUNCTION("GOOGLETRANSLATE(A47348, ""de"", ""en"")"),"meeker")</f>
        <v>meeker</v>
      </c>
    </row>
    <row r="47349">
      <c r="A47349" s="1" t="s">
        <v>47348</v>
      </c>
      <c r="B47349" s="2" t="str">
        <f>IFERROR(__xludf.DUMMYFUNCTION("GOOGLETRANSLATE(A47349, ""de"", ""en"")"),"sanborn")</f>
        <v>sanborn</v>
      </c>
    </row>
    <row r="47350">
      <c r="A47350" s="1" t="s">
        <v>47349</v>
      </c>
      <c r="B47350" s="2" t="str">
        <f>IFERROR(__xludf.DUMMYFUNCTION("GOOGLETRANSLATE(A47350, ""de"", ""en"")"),"gardening")</f>
        <v>gardening</v>
      </c>
    </row>
    <row r="47351">
      <c r="A47351" s="1" t="s">
        <v>47350</v>
      </c>
      <c r="B47351" s="2" t="str">
        <f>IFERROR(__xludf.DUMMYFUNCTION("GOOGLETRANSLATE(A47351, ""de"", ""en"")"),"sufficient")</f>
        <v>sufficient</v>
      </c>
    </row>
    <row r="47352">
      <c r="A47352" s="1" t="s">
        <v>47351</v>
      </c>
      <c r="B47352" s="2" t="str">
        <f>IFERROR(__xludf.DUMMYFUNCTION("GOOGLETRANSLATE(A47352, ""de"", ""en"")"),"returns")</f>
        <v>returns</v>
      </c>
    </row>
    <row r="47353">
      <c r="A47353" s="1" t="s">
        <v>47352</v>
      </c>
      <c r="B47353" s="2" t="str">
        <f>IFERROR(__xludf.DUMMYFUNCTION("GOOGLETRANSLATE(A47353, ""de"", ""en"")"),"sheepskin")</f>
        <v>sheepskin</v>
      </c>
    </row>
    <row r="47354">
      <c r="A47354" s="1" t="s">
        <v>47353</v>
      </c>
      <c r="B47354" s="2" t="str">
        <f>IFERROR(__xludf.DUMMYFUNCTION("GOOGLETRANSLATE(A47354, ""de"", ""en"")"),"vice director")</f>
        <v>vice director</v>
      </c>
    </row>
    <row r="47355">
      <c r="A47355" s="1" t="s">
        <v>47354</v>
      </c>
      <c r="B47355" s="2" t="str">
        <f>IFERROR(__xludf.DUMMYFUNCTION("GOOGLETRANSLATE(A47355, ""de"", ""en"")"),"circle")</f>
        <v>circle</v>
      </c>
    </row>
    <row r="47356">
      <c r="A47356" s="1" t="s">
        <v>47355</v>
      </c>
      <c r="B47356" s="2" t="str">
        <f>IFERROR(__xludf.DUMMYFUNCTION("GOOGLETRANSLATE(A47356, ""de"", ""en"")"),"tested")</f>
        <v>tested</v>
      </c>
    </row>
    <row r="47357">
      <c r="A47357" s="1" t="s">
        <v>47356</v>
      </c>
      <c r="B47357" s="2" t="str">
        <f>IFERROR(__xludf.DUMMYFUNCTION("GOOGLETRANSLATE(A47357, ""de"", ""en"")"),"Gottfried")</f>
        <v>Gottfried</v>
      </c>
    </row>
    <row r="47358">
      <c r="A47358" s="1" t="s">
        <v>47357</v>
      </c>
      <c r="B47358" s="2" t="str">
        <f>IFERROR(__xludf.DUMMYFUNCTION("GOOGLETRANSLATE(A47358, ""de"", ""en"")"),"textbooks")</f>
        <v>textbooks</v>
      </c>
    </row>
    <row r="47359">
      <c r="A47359" s="1" t="s">
        <v>47358</v>
      </c>
      <c r="B47359" s="2" t="str">
        <f>IFERROR(__xludf.DUMMYFUNCTION("GOOGLETRANSLATE(A47359, ""de"", ""en"")"),"Mahmoud")</f>
        <v>Mahmoud</v>
      </c>
    </row>
    <row r="47360">
      <c r="A47360" s="1" t="s">
        <v>47359</v>
      </c>
      <c r="B47360" s="2" t="str">
        <f>IFERROR(__xludf.DUMMYFUNCTION("GOOGLETRANSLATE(A47360, ""de"", ""en"")"),"mauritz")</f>
        <v>mauritz</v>
      </c>
    </row>
    <row r="47361">
      <c r="A47361" s="1" t="s">
        <v>47360</v>
      </c>
      <c r="B47361" s="2" t="str">
        <f>IFERROR(__xludf.DUMMYFUNCTION("GOOGLETRANSLATE(A47361, ""de"", ""en"")"),"kennys")</f>
        <v>kennys</v>
      </c>
    </row>
    <row r="47362">
      <c r="A47362" s="1" t="s">
        <v>47361</v>
      </c>
      <c r="B47362" s="2" t="str">
        <f>IFERROR(__xludf.DUMMYFUNCTION("GOOGLETRANSLATE(A47362, ""de"", ""en"")"),"pour in")</f>
        <v>pour in</v>
      </c>
    </row>
    <row r="47363">
      <c r="A47363" s="1" t="s">
        <v>47362</v>
      </c>
      <c r="B47363" s="2" t="str">
        <f>IFERROR(__xludf.DUMMYFUNCTION("GOOGLETRANSLATE(A47363, ""de"", ""en"")"),"revised")</f>
        <v>revised</v>
      </c>
    </row>
    <row r="47364">
      <c r="A47364" s="1" t="s">
        <v>47363</v>
      </c>
      <c r="B47364" s="2" t="str">
        <f>IFERROR(__xludf.DUMMYFUNCTION("GOOGLETRANSLATE(A47364, ""de"", ""en"")"),"works council")</f>
        <v>works council</v>
      </c>
    </row>
    <row r="47365">
      <c r="A47365" s="1" t="s">
        <v>47364</v>
      </c>
      <c r="B47365" s="2" t="str">
        <f>IFERROR(__xludf.DUMMYFUNCTION("GOOGLETRANSLATE(A47365, ""de"", ""en"")"),"mercado")</f>
        <v>mercado</v>
      </c>
    </row>
    <row r="47366">
      <c r="A47366" s="1" t="s">
        <v>47365</v>
      </c>
      <c r="B47366" s="2" t="str">
        <f>IFERROR(__xludf.DUMMYFUNCTION("GOOGLETRANSLATE(A47366, ""de"", ""en"")"),"final round")</f>
        <v>final round</v>
      </c>
    </row>
    <row r="47367">
      <c r="A47367" s="1" t="s">
        <v>47366</v>
      </c>
      <c r="B47367" s="2" t="str">
        <f>IFERROR(__xludf.DUMMYFUNCTION("GOOGLETRANSLATE(A47367, ""de"", ""en"")"),"fimp")</f>
        <v>fimp</v>
      </c>
    </row>
    <row r="47368">
      <c r="A47368" s="1" t="s">
        <v>47367</v>
      </c>
      <c r="B47368" s="2" t="str">
        <f>IFERROR(__xludf.DUMMYFUNCTION("GOOGLETRANSLATE(A47368, ""de"", ""en"")"),"foams")</f>
        <v>foams</v>
      </c>
    </row>
    <row r="47369">
      <c r="A47369" s="1" t="s">
        <v>47368</v>
      </c>
      <c r="B47369" s="2" t="str">
        <f>IFERROR(__xludf.DUMMYFUNCTION("GOOGLETRANSLATE(A47369, ""de"", ""en"")"),"squats")</f>
        <v>squats</v>
      </c>
    </row>
    <row r="47370">
      <c r="A47370" s="1" t="s">
        <v>47369</v>
      </c>
      <c r="B47370" s="2" t="str">
        <f>IFERROR(__xludf.DUMMYFUNCTION("GOOGLETRANSLATE(A47370, ""de"", ""en"")"),"work colleague")</f>
        <v>work colleague</v>
      </c>
    </row>
    <row r="47371">
      <c r="A47371" s="1" t="s">
        <v>47370</v>
      </c>
      <c r="B47371" s="2" t="str">
        <f>IFERROR(__xludf.DUMMYFUNCTION("GOOGLETRANSLATE(A47371, ""de"", ""en"")"),"to raise")</f>
        <v>to raise</v>
      </c>
    </row>
    <row r="47372">
      <c r="A47372" s="1" t="s">
        <v>47371</v>
      </c>
      <c r="B47372" s="2" t="str">
        <f>IFERROR(__xludf.DUMMYFUNCTION("GOOGLETRANSLATE(A47372, ""de"", ""en"")"),"dacier")</f>
        <v>dacier</v>
      </c>
    </row>
    <row r="47373">
      <c r="A47373" s="1" t="s">
        <v>47372</v>
      </c>
      <c r="B47373" s="2" t="str">
        <f>IFERROR(__xludf.DUMMYFUNCTION("GOOGLETRANSLATE(A47373, ""de"", ""en"")"),"british")</f>
        <v>british</v>
      </c>
    </row>
    <row r="47374">
      <c r="A47374" s="1" t="s">
        <v>47373</v>
      </c>
      <c r="B47374" s="2" t="str">
        <f>IFERROR(__xludf.DUMMYFUNCTION("GOOGLETRANSLATE(A47374, ""de"", ""en"")"),"parry")</f>
        <v>parry</v>
      </c>
    </row>
    <row r="47375">
      <c r="A47375" s="1" t="s">
        <v>47374</v>
      </c>
      <c r="B47375" s="2" t="str">
        <f>IFERROR(__xludf.DUMMYFUNCTION("GOOGLETRANSLATE(A47375, ""de"", ""en"")"),"eggsy")</f>
        <v>eggsy</v>
      </c>
    </row>
    <row r="47376">
      <c r="A47376" s="1" t="s">
        <v>47375</v>
      </c>
      <c r="B47376" s="2" t="str">
        <f>IFERROR(__xludf.DUMMYFUNCTION("GOOGLETRANSLATE(A47376, ""de"", ""en"")"),"friendly")</f>
        <v>friendly</v>
      </c>
    </row>
    <row r="47377">
      <c r="A47377" s="1" t="s">
        <v>47376</v>
      </c>
      <c r="B47377" s="2" t="str">
        <f>IFERROR(__xludf.DUMMYFUNCTION("GOOGLETRANSLATE(A47377, ""de"", ""en"")"),"sea ​​monster")</f>
        <v>sea ​​monster</v>
      </c>
    </row>
    <row r="47378">
      <c r="A47378" s="1" t="s">
        <v>47377</v>
      </c>
      <c r="B47378" s="2" t="str">
        <f>IFERROR(__xludf.DUMMYFUNCTION("GOOGLETRANSLATE(A47378, ""de"", ""en"")"),"costanza")</f>
        <v>costanza</v>
      </c>
    </row>
    <row r="47379">
      <c r="A47379" s="1" t="s">
        <v>47378</v>
      </c>
      <c r="B47379" s="2" t="str">
        <f>IFERROR(__xludf.DUMMYFUNCTION("GOOGLETRANSLATE(A47379, ""de"", ""en"")"),"lilian")</f>
        <v>lilian</v>
      </c>
    </row>
    <row r="47380">
      <c r="A47380" s="1" t="s">
        <v>47379</v>
      </c>
      <c r="B47380" s="2" t="str">
        <f>IFERROR(__xludf.DUMMYFUNCTION("GOOGLETRANSLATE(A47380, ""de"", ""en"")"),"constructive")</f>
        <v>constructive</v>
      </c>
    </row>
    <row r="47381">
      <c r="A47381" s="1" t="s">
        <v>47380</v>
      </c>
      <c r="B47381" s="2" t="str">
        <f>IFERROR(__xludf.DUMMYFUNCTION("GOOGLETRANSLATE(A47381, ""de"", ""en"")"),"training program")</f>
        <v>training program</v>
      </c>
    </row>
    <row r="47382">
      <c r="A47382" s="1" t="s">
        <v>47381</v>
      </c>
      <c r="B47382" s="2" t="str">
        <f>IFERROR(__xludf.DUMMYFUNCTION("GOOGLETRANSLATE(A47382, ""de"", ""en"")"),"making out")</f>
        <v>making out</v>
      </c>
    </row>
    <row r="47383">
      <c r="A47383" s="1" t="s">
        <v>47382</v>
      </c>
      <c r="B47383" s="2" t="str">
        <f>IFERROR(__xludf.DUMMYFUNCTION("GOOGLETRANSLATE(A47383, ""de"", ""en"")"),"woke up")</f>
        <v>woke up</v>
      </c>
    </row>
    <row r="47384">
      <c r="A47384" s="1" t="s">
        <v>47383</v>
      </c>
      <c r="B47384" s="2" t="str">
        <f>IFERROR(__xludf.DUMMYFUNCTION("GOOGLETRANSLATE(A47384, ""de"", ""en"")"),"clothesline")</f>
        <v>clothesline</v>
      </c>
    </row>
    <row r="47385">
      <c r="A47385" s="1" t="s">
        <v>47384</v>
      </c>
      <c r="B47385" s="2" t="str">
        <f>IFERROR(__xludf.DUMMYFUNCTION("GOOGLETRANSLATE(A47385, ""de"", ""en"")"),"quack")</f>
        <v>quack</v>
      </c>
    </row>
    <row r="47386">
      <c r="A47386" s="1" t="s">
        <v>47385</v>
      </c>
      <c r="B47386" s="2" t="str">
        <f>IFERROR(__xludf.DUMMYFUNCTION("GOOGLETRANSLATE(A47386, ""de"", ""en"")"),"lohan")</f>
        <v>lohan</v>
      </c>
    </row>
    <row r="47387">
      <c r="A47387" s="1" t="s">
        <v>47386</v>
      </c>
      <c r="B47387" s="2" t="str">
        <f>IFERROR(__xludf.DUMMYFUNCTION("GOOGLETRANSLATE(A47387, ""de"", ""en"")"),"purple")</f>
        <v>purple</v>
      </c>
    </row>
    <row r="47388">
      <c r="A47388" s="1" t="s">
        <v>47387</v>
      </c>
      <c r="B47388" s="2" t="str">
        <f>IFERROR(__xludf.DUMMYFUNCTION("GOOGLETRANSLATE(A47388, ""de"", ""en"")"),"Joelle")</f>
        <v>Joelle</v>
      </c>
    </row>
    <row r="47389">
      <c r="A47389" s="1" t="s">
        <v>47388</v>
      </c>
      <c r="B47389" s="2" t="str">
        <f>IFERROR(__xludf.DUMMYFUNCTION("GOOGLETRANSLATE(A47389, ""de"", ""en"")"),"emerenc")</f>
        <v>emerenc</v>
      </c>
    </row>
    <row r="47390">
      <c r="A47390" s="1" t="s">
        <v>47389</v>
      </c>
      <c r="B47390" s="2" t="str">
        <f>IFERROR(__xludf.DUMMYFUNCTION("GOOGLETRANSLATE(A47390, ""de"", ""en"")"),"rye bread")</f>
        <v>rye bread</v>
      </c>
    </row>
    <row r="47391">
      <c r="A47391" s="1" t="s">
        <v>47390</v>
      </c>
      <c r="B47391" s="2" t="str">
        <f>IFERROR(__xludf.DUMMYFUNCTION("GOOGLETRANSLATE(A47391, ""de"", ""en"")"),"iguana")</f>
        <v>iguana</v>
      </c>
    </row>
    <row r="47392">
      <c r="A47392" s="1" t="s">
        <v>47391</v>
      </c>
      <c r="B47392" s="2" t="str">
        <f>IFERROR(__xludf.DUMMYFUNCTION("GOOGLETRANSLATE(A47392, ""de"", ""en"")"),"managers")</f>
        <v>managers</v>
      </c>
    </row>
    <row r="47393">
      <c r="A47393" s="1" t="s">
        <v>47392</v>
      </c>
      <c r="B47393" s="2" t="str">
        <f>IFERROR(__xludf.DUMMYFUNCTION("GOOGLETRANSLATE(A47393, ""de"", ""en"")"),"fifty")</f>
        <v>fifty</v>
      </c>
    </row>
    <row r="47394">
      <c r="A47394" s="1" t="s">
        <v>47393</v>
      </c>
      <c r="B47394" s="2" t="str">
        <f>IFERROR(__xludf.DUMMYFUNCTION("GOOGLETRANSLATE(A47394, ""de"", ""en"")"),"europol")</f>
        <v>europol</v>
      </c>
    </row>
    <row r="47395">
      <c r="A47395" s="1" t="s">
        <v>47394</v>
      </c>
      <c r="B47395" s="2" t="str">
        <f>IFERROR(__xludf.DUMMYFUNCTION("GOOGLETRANSLATE(A47395, ""de"", ""en"")"),"fountain of youth")</f>
        <v>fountain of youth</v>
      </c>
    </row>
    <row r="47396">
      <c r="A47396" s="1" t="s">
        <v>47395</v>
      </c>
      <c r="B47396" s="2" t="str">
        <f>IFERROR(__xludf.DUMMYFUNCTION("GOOGLETRANSLATE(A47396, ""de"", ""en"")"),"locking")</f>
        <v>locking</v>
      </c>
    </row>
    <row r="47397">
      <c r="A47397" s="1" t="s">
        <v>47396</v>
      </c>
      <c r="B47397" s="2" t="str">
        <f>IFERROR(__xludf.DUMMYFUNCTION("GOOGLETRANSLATE(A47397, ""de"", ""en"")"),"quintessence")</f>
        <v>quintessence</v>
      </c>
    </row>
    <row r="47398">
      <c r="A47398" s="1" t="s">
        <v>47397</v>
      </c>
      <c r="B47398" s="2" t="str">
        <f>IFERROR(__xludf.DUMMYFUNCTION("GOOGLETRANSLATE(A47398, ""de"", ""en"")"),"messed up")</f>
        <v>messed up</v>
      </c>
    </row>
    <row r="47399">
      <c r="A47399" s="1" t="s">
        <v>47398</v>
      </c>
      <c r="B47399" s="2" t="str">
        <f>IFERROR(__xludf.DUMMYFUNCTION("GOOGLETRANSLATE(A47399, ""de"", ""en"")"),"sequins")</f>
        <v>sequins</v>
      </c>
    </row>
    <row r="47400">
      <c r="A47400" s="1" t="s">
        <v>47399</v>
      </c>
      <c r="B47400" s="2" t="str">
        <f>IFERROR(__xludf.DUMMYFUNCTION("GOOGLETRANSLATE(A47400, ""de"", ""en"")"),"scrape out")</f>
        <v>scrape out</v>
      </c>
    </row>
    <row r="47401">
      <c r="A47401" s="1" t="s">
        <v>47400</v>
      </c>
      <c r="B47401" s="2" t="str">
        <f>IFERROR(__xludf.DUMMYFUNCTION("GOOGLETRANSLATE(A47401, ""de"", ""en"")"),"barter trade")</f>
        <v>barter trade</v>
      </c>
    </row>
    <row r="47402">
      <c r="A47402" s="1" t="s">
        <v>47401</v>
      </c>
      <c r="B47402" s="2" t="str">
        <f>IFERROR(__xludf.DUMMYFUNCTION("GOOGLETRANSLATE(A47402, ""de"", ""en"")"),"collie")</f>
        <v>collie</v>
      </c>
    </row>
    <row r="47403">
      <c r="A47403" s="1" t="s">
        <v>47402</v>
      </c>
      <c r="B47403" s="2" t="str">
        <f>IFERROR(__xludf.DUMMYFUNCTION("GOOGLETRANSLATE(A47403, ""de"", ""en"")"),"sitka")</f>
        <v>sitka</v>
      </c>
    </row>
    <row r="47404">
      <c r="A47404" s="1" t="s">
        <v>47403</v>
      </c>
      <c r="B47404" s="2" t="str">
        <f>IFERROR(__xludf.DUMMYFUNCTION("GOOGLETRANSLATE(A47404, ""de"", ""en"")"),"expropriated")</f>
        <v>expropriated</v>
      </c>
    </row>
    <row r="47405">
      <c r="A47405" s="1" t="s">
        <v>47404</v>
      </c>
      <c r="B47405" s="2" t="str">
        <f>IFERROR(__xludf.DUMMYFUNCTION("GOOGLETRANSLATE(A47405, ""de"", ""en"")"),"Stephanie")</f>
        <v>Stephanie</v>
      </c>
    </row>
    <row r="47406">
      <c r="A47406" s="1" t="s">
        <v>47405</v>
      </c>
      <c r="B47406" s="2" t="str">
        <f>IFERROR(__xludf.DUMMYFUNCTION("GOOGLETRANSLATE(A47406, ""de"", ""en"")"),"listener")</f>
        <v>listener</v>
      </c>
    </row>
    <row r="47407">
      <c r="A47407" s="1" t="s">
        <v>47406</v>
      </c>
      <c r="B47407" s="2" t="str">
        <f>IFERROR(__xludf.DUMMYFUNCTION("GOOGLETRANSLATE(A47407, ""de"", ""en"")"),"pasa")</f>
        <v>pasa</v>
      </c>
    </row>
    <row r="47408">
      <c r="A47408" s="1" t="s">
        <v>47407</v>
      </c>
      <c r="B47408" s="2" t="str">
        <f>IFERROR(__xludf.DUMMYFUNCTION("GOOGLETRANSLATE(A47408, ""de"", ""en"")"),"cabaret")</f>
        <v>cabaret</v>
      </c>
    </row>
    <row r="47409">
      <c r="A47409" s="1" t="s">
        <v>47408</v>
      </c>
      <c r="B47409" s="2" t="str">
        <f>IFERROR(__xludf.DUMMYFUNCTION("GOOGLETRANSLATE(A47409, ""de"", ""en"")"),"milkshakes")</f>
        <v>milkshakes</v>
      </c>
    </row>
    <row r="47410">
      <c r="A47410" s="1" t="s">
        <v>47409</v>
      </c>
      <c r="B47410" s="2" t="str">
        <f>IFERROR(__xludf.DUMMYFUNCTION("GOOGLETRANSLATE(A47410, ""de"", ""en"")"),"sodium")</f>
        <v>sodium</v>
      </c>
    </row>
    <row r="47411">
      <c r="A47411" s="1" t="s">
        <v>47410</v>
      </c>
      <c r="B47411" s="2" t="str">
        <f>IFERROR(__xludf.DUMMYFUNCTION("GOOGLETRANSLATE(A47411, ""de"", ""en"")"),"intervene")</f>
        <v>intervene</v>
      </c>
    </row>
    <row r="47412">
      <c r="A47412" s="1" t="s">
        <v>47411</v>
      </c>
      <c r="B47412" s="2" t="str">
        <f>IFERROR(__xludf.DUMMYFUNCTION("GOOGLETRANSLATE(A47412, ""de"", ""en"")"),"Putin")</f>
        <v>Putin</v>
      </c>
    </row>
    <row r="47413">
      <c r="A47413" s="1" t="s">
        <v>47412</v>
      </c>
      <c r="B47413" s="2" t="str">
        <f>IFERROR(__xludf.DUMMYFUNCTION("GOOGLETRANSLATE(A47413, ""de"", ""en"")"),"100 percent")</f>
        <v>100 percent</v>
      </c>
    </row>
    <row r="47414">
      <c r="A47414" s="1" t="s">
        <v>47413</v>
      </c>
      <c r="B47414" s="2" t="str">
        <f>IFERROR(__xludf.DUMMYFUNCTION("GOOGLETRANSLATE(A47414, ""de"", ""en"")"),"womanizer")</f>
        <v>womanizer</v>
      </c>
    </row>
    <row r="47415">
      <c r="A47415" s="1" t="s">
        <v>47414</v>
      </c>
      <c r="B47415" s="2" t="str">
        <f>IFERROR(__xludf.DUMMYFUNCTION("GOOGLETRANSLATE(A47415, ""de"", ""en"")"),"happened")</f>
        <v>happened</v>
      </c>
    </row>
    <row r="47416">
      <c r="A47416" s="1" t="s">
        <v>47415</v>
      </c>
      <c r="B47416" s="2" t="str">
        <f>IFERROR(__xludf.DUMMYFUNCTION("GOOGLETRANSLATE(A47416, ""de"", ""en"")"),"recognized")</f>
        <v>recognized</v>
      </c>
    </row>
    <row r="47417">
      <c r="A47417" s="1" t="s">
        <v>47416</v>
      </c>
      <c r="B47417" s="2" t="str">
        <f>IFERROR(__xludf.DUMMYFUNCTION("GOOGLETRANSLATE(A47417, ""de"", ""en"")"),"becoming")</f>
        <v>becoming</v>
      </c>
    </row>
    <row r="47418">
      <c r="A47418" s="1" t="s">
        <v>47417</v>
      </c>
      <c r="B47418" s="2" t="str">
        <f>IFERROR(__xludf.DUMMYFUNCTION("GOOGLETRANSLATE(A47418, ""de"", ""en"")"),"move")</f>
        <v>move</v>
      </c>
    </row>
    <row r="47419">
      <c r="A47419" s="1" t="s">
        <v>47418</v>
      </c>
      <c r="B47419" s="2" t="str">
        <f>IFERROR(__xludf.DUMMYFUNCTION("GOOGLETRANSLATE(A47419, ""de"", ""en"")"),"life-threatening")</f>
        <v>life-threatening</v>
      </c>
    </row>
    <row r="47420">
      <c r="A47420" s="1" t="s">
        <v>47419</v>
      </c>
      <c r="B47420" s="2" t="str">
        <f>IFERROR(__xludf.DUMMYFUNCTION("GOOGLETRANSLATE(A47420, ""de"", ""en"")"),"wallflower")</f>
        <v>wallflower</v>
      </c>
    </row>
    <row r="47421">
      <c r="A47421" s="1" t="s">
        <v>47420</v>
      </c>
      <c r="B47421" s="2" t="str">
        <f>IFERROR(__xludf.DUMMYFUNCTION("GOOGLETRANSLATE(A47421, ""de"", ""en"")"),"Electricity plant")</f>
        <v>Electricity plant</v>
      </c>
    </row>
    <row r="47422">
      <c r="A47422" s="1" t="s">
        <v>47421</v>
      </c>
      <c r="B47422" s="2" t="str">
        <f>IFERROR(__xludf.DUMMYFUNCTION("GOOGLETRANSLATE(A47422, ""de"", ""en"")"),"doctorate")</f>
        <v>doctorate</v>
      </c>
    </row>
    <row r="47423">
      <c r="A47423" s="1" t="s">
        <v>47422</v>
      </c>
      <c r="B47423" s="2" t="str">
        <f>IFERROR(__xludf.DUMMYFUNCTION("GOOGLETRANSLATE(A47423, ""de"", ""en"")"),"Horik")</f>
        <v>Horik</v>
      </c>
    </row>
    <row r="47424">
      <c r="A47424" s="1" t="s">
        <v>47423</v>
      </c>
      <c r="B47424" s="2" t="str">
        <f>IFERROR(__xludf.DUMMYFUNCTION("GOOGLETRANSLATE(A47424, ""de"", ""en"")"),"reduce")</f>
        <v>reduce</v>
      </c>
    </row>
    <row r="47425">
      <c r="A47425" s="1" t="s">
        <v>47424</v>
      </c>
      <c r="B47425" s="2" t="str">
        <f>IFERROR(__xludf.DUMMYFUNCTION("GOOGLETRANSLATE(A47425, ""de"", ""en"")"),"internal")</f>
        <v>internal</v>
      </c>
    </row>
    <row r="47426">
      <c r="A47426" s="1" t="s">
        <v>47425</v>
      </c>
      <c r="B47426" s="2" t="str">
        <f>IFERROR(__xludf.DUMMYFUNCTION("GOOGLETRANSLATE(A47426, ""de"", ""en"")"),"sober")</f>
        <v>sober</v>
      </c>
    </row>
    <row r="47427">
      <c r="A47427" s="1" t="s">
        <v>47426</v>
      </c>
      <c r="B47427" s="2" t="str">
        <f>IFERROR(__xludf.DUMMYFUNCTION("GOOGLETRANSLATE(A47427, ""de"", ""en"")"),"saved up")</f>
        <v>saved up</v>
      </c>
    </row>
    <row r="47428">
      <c r="A47428" s="1" t="s">
        <v>47427</v>
      </c>
      <c r="B47428" s="2" t="str">
        <f>IFERROR(__xludf.DUMMYFUNCTION("GOOGLETRANSLATE(A47428, ""de"", ""en"")"),"missed")</f>
        <v>missed</v>
      </c>
    </row>
    <row r="47429">
      <c r="A47429" s="1" t="s">
        <v>47428</v>
      </c>
      <c r="B47429" s="2" t="str">
        <f>IFERROR(__xludf.DUMMYFUNCTION("GOOGLETRANSLATE(A47429, ""de"", ""en"")"),"luli")</f>
        <v>luli</v>
      </c>
    </row>
    <row r="47430">
      <c r="A47430" s="1" t="s">
        <v>47429</v>
      </c>
      <c r="B47430" s="2" t="str">
        <f>IFERROR(__xludf.DUMMYFUNCTION("GOOGLETRANSLATE(A47430, ""de"", ""en"")"),"hyun seo")</f>
        <v>hyun seo</v>
      </c>
    </row>
    <row r="47431">
      <c r="A47431" s="1" t="s">
        <v>47430</v>
      </c>
      <c r="B47431" s="2" t="str">
        <f>IFERROR(__xludf.DUMMYFUNCTION("GOOGLETRANSLATE(A47431, ""de"", ""en"")"),"diplomas")</f>
        <v>diplomas</v>
      </c>
    </row>
    <row r="47432">
      <c r="A47432" s="1" t="s">
        <v>47431</v>
      </c>
      <c r="B47432" s="2" t="str">
        <f>IFERROR(__xludf.DUMMYFUNCTION("GOOGLETRANSLATE(A47432, ""de"", ""en"")"),"sports section")</f>
        <v>sports section</v>
      </c>
    </row>
    <row r="47433">
      <c r="A47433" s="1" t="s">
        <v>47432</v>
      </c>
      <c r="B47433" s="2" t="str">
        <f>IFERROR(__xludf.DUMMYFUNCTION("GOOGLETRANSLATE(A47433, ""de"", ""en"")"),"amidala")</f>
        <v>amidala</v>
      </c>
    </row>
    <row r="47434">
      <c r="A47434" s="1" t="s">
        <v>47433</v>
      </c>
      <c r="B47434" s="2" t="str">
        <f>IFERROR(__xludf.DUMMYFUNCTION("GOOGLETRANSLATE(A47434, ""de"", ""en"")"),"toshi")</f>
        <v>toshi</v>
      </c>
    </row>
    <row r="47435">
      <c r="A47435" s="1" t="s">
        <v>47434</v>
      </c>
      <c r="B47435" s="2" t="str">
        <f>IFERROR(__xludf.DUMMYFUNCTION("GOOGLETRANSLATE(A47435, ""de"", ""en"")"),"regression")</f>
        <v>regression</v>
      </c>
    </row>
    <row r="47436">
      <c r="A47436" s="1" t="s">
        <v>47435</v>
      </c>
      <c r="B47436" s="2" t="str">
        <f>IFERROR(__xludf.DUMMYFUNCTION("GOOGLETRANSLATE(A47436, ""de"", ""en"")"),"striped")</f>
        <v>striped</v>
      </c>
    </row>
    <row r="47437">
      <c r="A47437" s="1" t="s">
        <v>47436</v>
      </c>
      <c r="B47437" s="2" t="str">
        <f>IFERROR(__xludf.DUMMYFUNCTION("GOOGLETRANSLATE(A47437, ""de"", ""en"")"),"chiara")</f>
        <v>chiara</v>
      </c>
    </row>
    <row r="47438">
      <c r="A47438" s="1" t="s">
        <v>47437</v>
      </c>
      <c r="B47438" s="2" t="str">
        <f>IFERROR(__xludf.DUMMYFUNCTION("GOOGLETRANSLATE(A47438, ""de"", ""en"")"),"raging")</f>
        <v>raging</v>
      </c>
    </row>
    <row r="47439">
      <c r="A47439" s="1" t="s">
        <v>47438</v>
      </c>
      <c r="B47439" s="2" t="str">
        <f>IFERROR(__xludf.DUMMYFUNCTION("GOOGLETRANSLATE(A47439, ""de"", ""en"")"),"maeve")</f>
        <v>maeve</v>
      </c>
    </row>
    <row r="47440">
      <c r="A47440" s="1" t="s">
        <v>47439</v>
      </c>
      <c r="B47440" s="2" t="str">
        <f>IFERROR(__xludf.DUMMYFUNCTION("GOOGLETRANSLATE(A47440, ""de"", ""en"")"),"sleepless")</f>
        <v>sleepless</v>
      </c>
    </row>
    <row r="47441">
      <c r="A47441" s="1" t="s">
        <v>47440</v>
      </c>
      <c r="B47441" s="2" t="str">
        <f>IFERROR(__xludf.DUMMYFUNCTION("GOOGLETRANSLATE(A47441, ""de"", ""en"")"),"mountain lions")</f>
        <v>mountain lions</v>
      </c>
    </row>
    <row r="47442">
      <c r="A47442" s="1" t="s">
        <v>47441</v>
      </c>
      <c r="B47442" s="2" t="str">
        <f>IFERROR(__xludf.DUMMYFUNCTION("GOOGLETRANSLATE(A47442, ""de"", ""en"")"),"at most")</f>
        <v>at most</v>
      </c>
    </row>
    <row r="47443">
      <c r="A47443" s="1" t="s">
        <v>47442</v>
      </c>
      <c r="B47443" s="2" t="str">
        <f>IFERROR(__xludf.DUMMYFUNCTION("GOOGLETRANSLATE(A47443, ""de"", ""en"")"),"cleaning products")</f>
        <v>cleaning products</v>
      </c>
    </row>
    <row r="47444">
      <c r="A47444" s="1" t="s">
        <v>47443</v>
      </c>
      <c r="B47444" s="2" t="str">
        <f>IFERROR(__xludf.DUMMYFUNCTION("GOOGLETRANSLATE(A47444, ""de"", ""en"")"),"neff")</f>
        <v>neff</v>
      </c>
    </row>
    <row r="47445">
      <c r="A47445" s="1" t="s">
        <v>47444</v>
      </c>
      <c r="B47445" s="2" t="str">
        <f>IFERROR(__xludf.DUMMYFUNCTION("GOOGLETRANSLATE(A47445, ""de"", ""en"")"),"stilt")</f>
        <v>stilt</v>
      </c>
    </row>
    <row r="47446">
      <c r="A47446" s="1" t="s">
        <v>47445</v>
      </c>
      <c r="B47446" s="2" t="str">
        <f>IFERROR(__xludf.DUMMYFUNCTION("GOOGLETRANSLATE(A47446, ""de"", ""en"")"),"capsize")</f>
        <v>capsize</v>
      </c>
    </row>
    <row r="47447">
      <c r="A47447" s="1" t="s">
        <v>47446</v>
      </c>
      <c r="B47447" s="2" t="str">
        <f>IFERROR(__xludf.DUMMYFUNCTION("GOOGLETRANSLATE(A47447, ""de"", ""en"")"),"damaged")</f>
        <v>damaged</v>
      </c>
    </row>
    <row r="47448">
      <c r="A47448" s="1" t="s">
        <v>47447</v>
      </c>
      <c r="B47448" s="2" t="str">
        <f>IFERROR(__xludf.DUMMYFUNCTION("GOOGLETRANSLATE(A47448, ""de"", ""en"")"),"reign of terror")</f>
        <v>reign of terror</v>
      </c>
    </row>
    <row r="47449">
      <c r="A47449" s="1" t="s">
        <v>47448</v>
      </c>
      <c r="B47449" s="2" t="str">
        <f>IFERROR(__xludf.DUMMYFUNCTION("GOOGLETRANSLATE(A47449, ""de"", ""en"")"),"daring")</f>
        <v>daring</v>
      </c>
    </row>
    <row r="47450">
      <c r="A47450" s="1" t="s">
        <v>47449</v>
      </c>
      <c r="B47450" s="2" t="str">
        <f>IFERROR(__xludf.DUMMYFUNCTION("GOOGLETRANSLATE(A47450, ""de"", ""en"")"),"frail")</f>
        <v>frail</v>
      </c>
    </row>
    <row r="47451">
      <c r="A47451" s="1" t="s">
        <v>47450</v>
      </c>
      <c r="B47451" s="2" t="str">
        <f>IFERROR(__xludf.DUMMYFUNCTION("GOOGLETRANSLATE(A47451, ""de"", ""en"")"),"lays down")</f>
        <v>lays down</v>
      </c>
    </row>
    <row r="47452">
      <c r="A47452" s="1" t="s">
        <v>47451</v>
      </c>
      <c r="B47452" s="2" t="str">
        <f>IFERROR(__xludf.DUMMYFUNCTION("GOOGLETRANSLATE(A47452, ""de"", ""en"")"),"unprotected")</f>
        <v>unprotected</v>
      </c>
    </row>
    <row r="47453">
      <c r="A47453" s="1" t="s">
        <v>47452</v>
      </c>
      <c r="B47453" s="2" t="str">
        <f>IFERROR(__xludf.DUMMYFUNCTION("GOOGLETRANSLATE(A47453, ""de"", ""en"")"),"initial")</f>
        <v>initial</v>
      </c>
    </row>
    <row r="47454">
      <c r="A47454" s="1" t="s">
        <v>47453</v>
      </c>
      <c r="B47454" s="2" t="str">
        <f>IFERROR(__xludf.DUMMYFUNCTION("GOOGLETRANSLATE(A47454, ""de"", ""en"")"),"amarillo")</f>
        <v>amarillo</v>
      </c>
    </row>
    <row r="47455">
      <c r="A47455" s="1" t="s">
        <v>47454</v>
      </c>
      <c r="B47455" s="2" t="str">
        <f>IFERROR(__xludf.DUMMYFUNCTION("GOOGLETRANSLATE(A47455, ""de"", ""en"")"),"gay bar")</f>
        <v>gay bar</v>
      </c>
    </row>
    <row r="47456">
      <c r="A47456" s="1" t="s">
        <v>47455</v>
      </c>
      <c r="B47456" s="2" t="str">
        <f>IFERROR(__xludf.DUMMYFUNCTION("GOOGLETRANSLATE(A47456, ""de"", ""en"")"),"uliamos")</f>
        <v>uliamos</v>
      </c>
    </row>
    <row r="47457">
      <c r="A47457" s="1" t="s">
        <v>47456</v>
      </c>
      <c r="B47457" s="2" t="str">
        <f>IFERROR(__xludf.DUMMYFUNCTION("GOOGLETRANSLATE(A47457, ""de"", ""en"")"),"18 year old")</f>
        <v>18 year old</v>
      </c>
    </row>
    <row r="47458">
      <c r="A47458" s="1" t="s">
        <v>47457</v>
      </c>
      <c r="B47458" s="2" t="str">
        <f>IFERROR(__xludf.DUMMYFUNCTION("GOOGLETRANSLATE(A47458, ""de"", ""en"")"),"birth certificates")</f>
        <v>birth certificates</v>
      </c>
    </row>
    <row r="47459">
      <c r="A47459" s="1" t="s">
        <v>47458</v>
      </c>
      <c r="B47459" s="2" t="str">
        <f>IFERROR(__xludf.DUMMYFUNCTION("GOOGLETRANSLATE(A47459, ""de"", ""en"")"),"sex addict")</f>
        <v>sex addict</v>
      </c>
    </row>
    <row r="47460">
      <c r="A47460" s="1" t="s">
        <v>47459</v>
      </c>
      <c r="B47460" s="2" t="str">
        <f>IFERROR(__xludf.DUMMYFUNCTION("GOOGLETRANSLATE(A47460, ""de"", ""en"")"),"high five")</f>
        <v>high five</v>
      </c>
    </row>
    <row r="47461">
      <c r="A47461" s="1" t="s">
        <v>47460</v>
      </c>
      <c r="B47461" s="2" t="str">
        <f>IFERROR(__xludf.DUMMYFUNCTION("GOOGLETRANSLATE(A47461, ""de"", ""en"")"),"life support systems")</f>
        <v>life support systems</v>
      </c>
    </row>
    <row r="47462">
      <c r="A47462" s="1" t="s">
        <v>47461</v>
      </c>
      <c r="B47462" s="2" t="str">
        <f>IFERROR(__xludf.DUMMYFUNCTION("GOOGLETRANSLATE(A47462, ""de"", ""en"")"),"speaker")</f>
        <v>speaker</v>
      </c>
    </row>
    <row r="47463">
      <c r="A47463" s="1" t="s">
        <v>47462</v>
      </c>
      <c r="B47463" s="2" t="str">
        <f>IFERROR(__xludf.DUMMYFUNCTION("GOOGLETRANSLATE(A47463, ""de"", ""en"")"),"granola bars")</f>
        <v>granola bars</v>
      </c>
    </row>
    <row r="47464">
      <c r="A47464" s="1" t="s">
        <v>47463</v>
      </c>
      <c r="B47464" s="2" t="str">
        <f>IFERROR(__xludf.DUMMYFUNCTION("GOOGLETRANSLATE(A47464, ""de"", ""en"")"),"air shafts")</f>
        <v>air shafts</v>
      </c>
    </row>
    <row r="47465">
      <c r="A47465" s="1" t="s">
        <v>47464</v>
      </c>
      <c r="B47465" s="2" t="str">
        <f>IFERROR(__xludf.DUMMYFUNCTION("GOOGLETRANSLATE(A47465, ""de"", ""en"")"),"camping")</f>
        <v>camping</v>
      </c>
    </row>
    <row r="47466">
      <c r="A47466" s="1" t="s">
        <v>47465</v>
      </c>
      <c r="B47466" s="2" t="str">
        <f>IFERROR(__xludf.DUMMYFUNCTION("GOOGLETRANSLATE(A47466, ""de"", ""en"")"),"embellished")</f>
        <v>embellished</v>
      </c>
    </row>
    <row r="47467">
      <c r="A47467" s="1" t="s">
        <v>47466</v>
      </c>
      <c r="B47467" s="2" t="str">
        <f>IFERROR(__xludf.DUMMYFUNCTION("GOOGLETRANSLATE(A47467, ""de"", ""en"")"),"interest")</f>
        <v>interest</v>
      </c>
    </row>
    <row r="47468">
      <c r="A47468" s="1" t="s">
        <v>47467</v>
      </c>
      <c r="B47468" s="2" t="str">
        <f>IFERROR(__xludf.DUMMYFUNCTION("GOOGLETRANSLATE(A47468, ""de"", ""en"")"),"sail")</f>
        <v>sail</v>
      </c>
    </row>
    <row r="47469">
      <c r="A47469" s="1" t="s">
        <v>47468</v>
      </c>
      <c r="B47469" s="2" t="str">
        <f>IFERROR(__xludf.DUMMYFUNCTION("GOOGLETRANSLATE(A47469, ""de"", ""en"")"),"delayed")</f>
        <v>delayed</v>
      </c>
    </row>
    <row r="47470">
      <c r="A47470" s="1" t="s">
        <v>47469</v>
      </c>
      <c r="B47470" s="2" t="str">
        <f>IFERROR(__xludf.DUMMYFUNCTION("GOOGLETRANSLATE(A47470, ""de"", ""en"")"),"altar")</f>
        <v>altar</v>
      </c>
    </row>
    <row r="47471">
      <c r="A47471" s="1" t="s">
        <v>47470</v>
      </c>
      <c r="B47471" s="2" t="str">
        <f>IFERROR(__xludf.DUMMYFUNCTION("GOOGLETRANSLATE(A47471, ""de"", ""en"")"),"slave driver")</f>
        <v>slave driver</v>
      </c>
    </row>
    <row r="47472">
      <c r="A47472" s="1" t="s">
        <v>47471</v>
      </c>
      <c r="B47472" s="2" t="str">
        <f>IFERROR(__xludf.DUMMYFUNCTION("GOOGLETRANSLATE(A47472, ""de"", ""en"")"),"approved")</f>
        <v>approved</v>
      </c>
    </row>
    <row r="47473">
      <c r="A47473" s="1" t="s">
        <v>47472</v>
      </c>
      <c r="B47473" s="2" t="str">
        <f>IFERROR(__xludf.DUMMYFUNCTION("GOOGLETRANSLATE(A47473, ""de"", ""en"")"),"orients")</f>
        <v>orients</v>
      </c>
    </row>
    <row r="47474">
      <c r="A47474" s="1" t="s">
        <v>47473</v>
      </c>
      <c r="B47474" s="2" t="str">
        <f>IFERROR(__xludf.DUMMYFUNCTION("GOOGLETRANSLATE(A47474, ""de"", ""en"")"),"rosenthal")</f>
        <v>rosenthal</v>
      </c>
    </row>
    <row r="47475">
      <c r="A47475" s="1" t="s">
        <v>47474</v>
      </c>
      <c r="B47475" s="2" t="str">
        <f>IFERROR(__xludf.DUMMYFUNCTION("GOOGLETRANSLATE(A47475, ""de"", ""en"")"),"hus")</f>
        <v>hus</v>
      </c>
    </row>
    <row r="47476">
      <c r="A47476" s="1" t="s">
        <v>47475</v>
      </c>
      <c r="B47476" s="2" t="str">
        <f>IFERROR(__xludf.DUMMYFUNCTION("GOOGLETRANSLATE(A47476, ""de"", ""en"")"),"plays")</f>
        <v>plays</v>
      </c>
    </row>
    <row r="47477">
      <c r="A47477" s="1" t="s">
        <v>47476</v>
      </c>
      <c r="B47477" s="2" t="str">
        <f>IFERROR(__xludf.DUMMYFUNCTION("GOOGLETRANSLATE(A47477, ""de"", ""en"")"),"lobby")</f>
        <v>lobby</v>
      </c>
    </row>
    <row r="47478">
      <c r="A47478" s="1" t="s">
        <v>47477</v>
      </c>
      <c r="B47478" s="2" t="str">
        <f>IFERROR(__xludf.DUMMYFUNCTION("GOOGLETRANSLATE(A47478, ""de"", ""en"")"),"take place")</f>
        <v>take place</v>
      </c>
    </row>
    <row r="47479">
      <c r="A47479" s="1" t="s">
        <v>47478</v>
      </c>
      <c r="B47479" s="2" t="str">
        <f>IFERROR(__xludf.DUMMYFUNCTION("GOOGLETRANSLATE(A47479, ""de"", ""en"")"),"quack")</f>
        <v>quack</v>
      </c>
    </row>
    <row r="47480">
      <c r="A47480" s="1" t="s">
        <v>47479</v>
      </c>
      <c r="B47480" s="2" t="str">
        <f>IFERROR(__xludf.DUMMYFUNCTION("GOOGLETRANSLATE(A47480, ""de"", ""en"")"),"taki")</f>
        <v>taki</v>
      </c>
    </row>
    <row r="47481">
      <c r="A47481" s="1" t="s">
        <v>47480</v>
      </c>
      <c r="B47481" s="2" t="str">
        <f>IFERROR(__xludf.DUMMYFUNCTION("GOOGLETRANSLATE(A47481, ""de"", ""en"")"),"empower")</f>
        <v>empower</v>
      </c>
    </row>
    <row r="47482">
      <c r="A47482" s="1" t="s">
        <v>47481</v>
      </c>
      <c r="B47482" s="2" t="str">
        <f>IFERROR(__xludf.DUMMYFUNCTION("GOOGLETRANSLATE(A47482, ""de"", ""en"")"),"unrecognizability")</f>
        <v>unrecognizability</v>
      </c>
    </row>
    <row r="47483">
      <c r="A47483" s="1" t="s">
        <v>47482</v>
      </c>
      <c r="B47483" s="2" t="str">
        <f>IFERROR(__xludf.DUMMYFUNCTION("GOOGLETRANSLATE(A47483, ""de"", ""en"")"),"drown")</f>
        <v>drown</v>
      </c>
    </row>
    <row r="47484">
      <c r="A47484" s="1" t="s">
        <v>47483</v>
      </c>
      <c r="B47484" s="2" t="str">
        <f>IFERROR(__xludf.DUMMYFUNCTION("GOOGLETRANSLATE(A47484, ""de"", ""en"")"),"zeng")</f>
        <v>zeng</v>
      </c>
    </row>
    <row r="47485">
      <c r="A47485" s="1" t="s">
        <v>47484</v>
      </c>
      <c r="B47485" s="2" t="str">
        <f>IFERROR(__xludf.DUMMYFUNCTION("GOOGLETRANSLATE(A47485, ""de"", ""en"")"),"profusely")</f>
        <v>profusely</v>
      </c>
    </row>
    <row r="47486">
      <c r="A47486" s="1" t="s">
        <v>47485</v>
      </c>
      <c r="B47486" s="2" t="str">
        <f>IFERROR(__xludf.DUMMYFUNCTION("GOOGLETRANSLATE(A47486, ""de"", ""en"")"),"jills")</f>
        <v>jills</v>
      </c>
    </row>
    <row r="47487">
      <c r="A47487" s="1" t="s">
        <v>47486</v>
      </c>
      <c r="B47487" s="2" t="str">
        <f>IFERROR(__xludf.DUMMYFUNCTION("GOOGLETRANSLATE(A47487, ""de"", ""en"")"),"mikado")</f>
        <v>mikado</v>
      </c>
    </row>
    <row r="47488">
      <c r="A47488" s="1" t="s">
        <v>47487</v>
      </c>
      <c r="B47488" s="2" t="str">
        <f>IFERROR(__xludf.DUMMYFUNCTION("GOOGLETRANSLATE(A47488, ""de"", ""en"")"),"Vanessa")</f>
        <v>Vanessa</v>
      </c>
    </row>
    <row r="47489">
      <c r="A47489" s="1" t="s">
        <v>47488</v>
      </c>
      <c r="B47489" s="2" t="str">
        <f>IFERROR(__xludf.DUMMYFUNCTION("GOOGLETRANSLATE(A47489, ""de"", ""en"")"),"imitations")</f>
        <v>imitations</v>
      </c>
    </row>
    <row r="47490">
      <c r="A47490" s="1" t="s">
        <v>47489</v>
      </c>
      <c r="B47490" s="2" t="str">
        <f>IFERROR(__xludf.DUMMYFUNCTION("GOOGLETRANSLATE(A47490, ""de"", ""en"")"),"malory")</f>
        <v>malory</v>
      </c>
    </row>
    <row r="47491">
      <c r="A47491" s="1" t="s">
        <v>47490</v>
      </c>
      <c r="B47491" s="2" t="str">
        <f>IFERROR(__xludf.DUMMYFUNCTION("GOOGLETRANSLATE(A47491, ""de"", ""en"")"),"sore muscles")</f>
        <v>sore muscles</v>
      </c>
    </row>
    <row r="47492">
      <c r="A47492" s="1" t="s">
        <v>47491</v>
      </c>
      <c r="B47492" s="2" t="str">
        <f>IFERROR(__xludf.DUMMYFUNCTION("GOOGLETRANSLATE(A47492, ""de"", ""en"")"),"boost")</f>
        <v>boost</v>
      </c>
    </row>
    <row r="47493">
      <c r="A47493" s="1" t="s">
        <v>47492</v>
      </c>
      <c r="B47493" s="2" t="str">
        <f>IFERROR(__xludf.DUMMYFUNCTION("GOOGLETRANSLATE(A47493, ""de"", ""en"")"),"Irish")</f>
        <v>Irish</v>
      </c>
    </row>
    <row r="47494">
      <c r="A47494" s="1" t="s">
        <v>47493</v>
      </c>
      <c r="B47494" s="2" t="str">
        <f>IFERROR(__xludf.DUMMYFUNCTION("GOOGLETRANSLATE(A47494, ""de"", ""en"")"),"completed")</f>
        <v>completed</v>
      </c>
    </row>
    <row r="47495">
      <c r="A47495" s="1" t="s">
        <v>47494</v>
      </c>
      <c r="B47495" s="2" t="str">
        <f>IFERROR(__xludf.DUMMYFUNCTION("GOOGLETRANSLATE(A47495, ""de"", ""en"")"),"more oiled")</f>
        <v>more oiled</v>
      </c>
    </row>
    <row r="47496">
      <c r="A47496" s="1" t="s">
        <v>47495</v>
      </c>
      <c r="B47496" s="2" t="str">
        <f>IFERROR(__xludf.DUMMYFUNCTION("GOOGLETRANSLATE(A47496, ""de"", ""en"")"),"autopilots")</f>
        <v>autopilots</v>
      </c>
    </row>
    <row r="47497">
      <c r="A47497" s="1" t="s">
        <v>47496</v>
      </c>
      <c r="B47497" s="2" t="str">
        <f>IFERROR(__xludf.DUMMYFUNCTION("GOOGLETRANSLATE(A47497, ""de"", ""en"")"),"gouda")</f>
        <v>gouda</v>
      </c>
    </row>
    <row r="47498">
      <c r="A47498" s="1" t="s">
        <v>47497</v>
      </c>
      <c r="B47498" s="2" t="str">
        <f>IFERROR(__xludf.DUMMYFUNCTION("GOOGLETRANSLATE(A47498, ""de"", ""en"")"),"push under")</f>
        <v>push under</v>
      </c>
    </row>
    <row r="47499">
      <c r="A47499" s="1" t="s">
        <v>47498</v>
      </c>
      <c r="B47499" s="2" t="str">
        <f>IFERROR(__xludf.DUMMYFUNCTION("GOOGLETRANSLATE(A47499, ""de"", ""en"")"),"crazy")</f>
        <v>crazy</v>
      </c>
    </row>
    <row r="47500">
      <c r="A47500" s="1" t="s">
        <v>47499</v>
      </c>
      <c r="B47500" s="2" t="str">
        <f>IFERROR(__xludf.DUMMYFUNCTION("GOOGLETRANSLATE(A47500, ""de"", ""en"")"),"rental car")</f>
        <v>rental car</v>
      </c>
    </row>
    <row r="47501">
      <c r="A47501" s="1" t="s">
        <v>47500</v>
      </c>
      <c r="B47501" s="2" t="str">
        <f>IFERROR(__xludf.DUMMYFUNCTION("GOOGLETRANSLATE(A47501, ""de"", ""en"")"),"punished")</f>
        <v>punished</v>
      </c>
    </row>
    <row r="47502">
      <c r="A47502" s="1" t="s">
        <v>47501</v>
      </c>
      <c r="B47502" s="2" t="str">
        <f>IFERROR(__xludf.DUMMYFUNCTION("GOOGLETRANSLATE(A47502, ""de"", ""en"")"),"alarm siren")</f>
        <v>alarm siren</v>
      </c>
    </row>
    <row r="47503">
      <c r="A47503" s="1" t="s">
        <v>47502</v>
      </c>
      <c r="B47503" s="2" t="str">
        <f>IFERROR(__xludf.DUMMYFUNCTION("GOOGLETRANSLATE(A47503, ""de"", ""en"")"),"diminish")</f>
        <v>diminish</v>
      </c>
    </row>
    <row r="47504">
      <c r="A47504" s="1" t="s">
        <v>47503</v>
      </c>
      <c r="B47504" s="2" t="str">
        <f>IFERROR(__xludf.DUMMYFUNCTION("GOOGLETRANSLATE(A47504, ""de"", ""en"")"),"Rafeld")</f>
        <v>Rafeld</v>
      </c>
    </row>
    <row r="47505">
      <c r="A47505" s="1" t="s">
        <v>47504</v>
      </c>
      <c r="B47505" s="2" t="str">
        <f>IFERROR(__xludf.DUMMYFUNCTION("GOOGLETRANSLATE(A47505, ""de"", ""en"")"),"remote controlled")</f>
        <v>remote controlled</v>
      </c>
    </row>
    <row r="47506">
      <c r="A47506" s="1" t="s">
        <v>47505</v>
      </c>
      <c r="B47506" s="2" t="str">
        <f>IFERROR(__xludf.DUMMYFUNCTION("GOOGLETRANSLATE(A47506, ""de"", ""en"")"),"brand new")</f>
        <v>brand new</v>
      </c>
    </row>
    <row r="47507">
      <c r="A47507" s="1" t="s">
        <v>47506</v>
      </c>
      <c r="B47507" s="2" t="str">
        <f>IFERROR(__xludf.DUMMYFUNCTION("GOOGLETRANSLATE(A47507, ""de"", ""en"")"),"chancellor")</f>
        <v>chancellor</v>
      </c>
    </row>
    <row r="47508">
      <c r="A47508" s="1" t="s">
        <v>47507</v>
      </c>
      <c r="B47508" s="2" t="str">
        <f>IFERROR(__xludf.DUMMYFUNCTION("GOOGLETRANSLATE(A47508, ""de"", ""en"")"),"to show")</f>
        <v>to show</v>
      </c>
    </row>
    <row r="47509">
      <c r="A47509" s="1" t="s">
        <v>47508</v>
      </c>
      <c r="B47509" s="2" t="str">
        <f>IFERROR(__xludf.DUMMYFUNCTION("GOOGLETRANSLATE(A47509, ""de"", ""en"")"),"spikes")</f>
        <v>spikes</v>
      </c>
    </row>
    <row r="47510">
      <c r="A47510" s="1" t="s">
        <v>47509</v>
      </c>
      <c r="B47510" s="2" t="str">
        <f>IFERROR(__xludf.DUMMYFUNCTION("GOOGLETRANSLATE(A47510, ""de"", ""en"")"),"sms tone")</f>
        <v>sms tone</v>
      </c>
    </row>
    <row r="47511">
      <c r="A47511" s="1" t="s">
        <v>47510</v>
      </c>
      <c r="B47511" s="2" t="str">
        <f>IFERROR(__xludf.DUMMYFUNCTION("GOOGLETRANSLATE(A47511, ""de"", ""en"")"),"crabtree")</f>
        <v>crabtree</v>
      </c>
    </row>
    <row r="47512">
      <c r="A47512" s="1" t="s">
        <v>47511</v>
      </c>
      <c r="B47512" s="2" t="str">
        <f>IFERROR(__xludf.DUMMYFUNCTION("GOOGLETRANSLATE(A47512, ""de"", ""en"")"),"checked")</f>
        <v>checked</v>
      </c>
    </row>
    <row r="47513">
      <c r="A47513" s="1" t="s">
        <v>47512</v>
      </c>
      <c r="B47513" s="2" t="str">
        <f>IFERROR(__xludf.DUMMYFUNCTION("GOOGLETRANSLATE(A47513, ""de"", ""en"")"),"toxic")</f>
        <v>toxic</v>
      </c>
    </row>
    <row r="47514">
      <c r="A47514" s="1" t="s">
        <v>47513</v>
      </c>
      <c r="B47514" s="2" t="str">
        <f>IFERROR(__xludf.DUMMYFUNCTION("GOOGLETRANSLATE(A47514, ""de"", ""en"")"),"kitchen floor")</f>
        <v>kitchen floor</v>
      </c>
    </row>
    <row r="47515">
      <c r="A47515" s="1" t="s">
        <v>47514</v>
      </c>
      <c r="B47515" s="2" t="str">
        <f>IFERROR(__xludf.DUMMYFUNCTION("GOOGLETRANSLATE(A47515, ""de"", ""en"")"),"rivet around")</f>
        <v>rivet around</v>
      </c>
    </row>
    <row r="47516">
      <c r="A47516" s="1" t="s">
        <v>47515</v>
      </c>
      <c r="B47516" s="2" t="str">
        <f>IFERROR(__xludf.DUMMYFUNCTION("GOOGLETRANSLATE(A47516, ""de"", ""en"")"),"traci")</f>
        <v>traci</v>
      </c>
    </row>
    <row r="47517">
      <c r="A47517" s="1" t="s">
        <v>47516</v>
      </c>
      <c r="B47517" s="2" t="str">
        <f>IFERROR(__xludf.DUMMYFUNCTION("GOOGLETRANSLATE(A47517, ""de"", ""en"")"),"slogans")</f>
        <v>slogans</v>
      </c>
    </row>
    <row r="47518">
      <c r="A47518" s="1" t="s">
        <v>47517</v>
      </c>
      <c r="B47518" s="2" t="str">
        <f>IFERROR(__xludf.DUMMYFUNCTION("GOOGLETRANSLATE(A47518, ""de"", ""en"")"),"spreads")</f>
        <v>spreads</v>
      </c>
    </row>
    <row r="47519">
      <c r="A47519" s="1" t="s">
        <v>47518</v>
      </c>
      <c r="B47519" s="2" t="str">
        <f>IFERROR(__xludf.DUMMYFUNCTION("GOOGLETRANSLATE(A47519, ""de"", ""en"")"),"browses")</f>
        <v>browses</v>
      </c>
    </row>
    <row r="47520">
      <c r="A47520" s="1" t="s">
        <v>47519</v>
      </c>
      <c r="B47520" s="2" t="str">
        <f>IFERROR(__xludf.DUMMYFUNCTION("GOOGLETRANSLATE(A47520, ""de"", ""en"")"),"miserable")</f>
        <v>miserable</v>
      </c>
    </row>
    <row r="47521">
      <c r="A47521" s="1" t="s">
        <v>47520</v>
      </c>
      <c r="B47521" s="2" t="str">
        <f>IFERROR(__xludf.DUMMYFUNCTION("GOOGLETRANSLATE(A47521, ""de"", ""en"")"),"remission")</f>
        <v>remission</v>
      </c>
    </row>
    <row r="47522">
      <c r="A47522" s="1" t="s">
        <v>47521</v>
      </c>
      <c r="B47522" s="2" t="str">
        <f>IFERROR(__xludf.DUMMYFUNCTION("GOOGLETRANSLATE(A47522, ""de"", ""en"")"),"subordinate")</f>
        <v>subordinate</v>
      </c>
    </row>
    <row r="47523">
      <c r="A47523" s="1" t="s">
        <v>47522</v>
      </c>
      <c r="B47523" s="2" t="str">
        <f>IFERROR(__xludf.DUMMYFUNCTION("GOOGLETRANSLATE(A47523, ""de"", ""en"")"),"shores")</f>
        <v>shores</v>
      </c>
    </row>
    <row r="47524">
      <c r="A47524" s="1" t="s">
        <v>47523</v>
      </c>
      <c r="B47524" s="2" t="str">
        <f>IFERROR(__xludf.DUMMYFUNCTION("GOOGLETRANSLATE(A47524, ""de"", ""en"")"),"category")</f>
        <v>category</v>
      </c>
    </row>
    <row r="47525">
      <c r="A47525" s="1" t="s">
        <v>47524</v>
      </c>
      <c r="B47525" s="2" t="str">
        <f>IFERROR(__xludf.DUMMYFUNCTION("GOOGLETRANSLATE(A47525, ""de"", ""en"")"),"sloanes")</f>
        <v>sloanes</v>
      </c>
    </row>
    <row r="47526">
      <c r="A47526" s="1" t="s">
        <v>47525</v>
      </c>
      <c r="B47526" s="2" t="str">
        <f>IFERROR(__xludf.DUMMYFUNCTION("GOOGLETRANSLATE(A47526, ""de"", ""en"")"),"ebenezer")</f>
        <v>ebenezer</v>
      </c>
    </row>
    <row r="47527">
      <c r="A47527" s="1" t="s">
        <v>47526</v>
      </c>
      <c r="B47527" s="2" t="str">
        <f>IFERROR(__xludf.DUMMYFUNCTION("GOOGLETRANSLATE(A47527, ""de"", ""en"")"),"maiwald")</f>
        <v>maiwald</v>
      </c>
    </row>
    <row r="47528">
      <c r="A47528" s="1" t="s">
        <v>47527</v>
      </c>
      <c r="B47528" s="2" t="str">
        <f>IFERROR(__xludf.DUMMYFUNCTION("GOOGLETRANSLATE(A47528, ""de"", ""en"")"),"slats")</f>
        <v>slats</v>
      </c>
    </row>
    <row r="47529">
      <c r="A47529" s="1" t="s">
        <v>47528</v>
      </c>
      <c r="B47529" s="2" t="str">
        <f>IFERROR(__xludf.DUMMYFUNCTION("GOOGLETRANSLATE(A47529, ""de"", ""en"")"),"pastureland")</f>
        <v>pastureland</v>
      </c>
    </row>
    <row r="47530">
      <c r="A47530" s="1" t="s">
        <v>47529</v>
      </c>
      <c r="B47530" s="2" t="str">
        <f>IFERROR(__xludf.DUMMYFUNCTION("GOOGLETRANSLATE(A47530, ""de"", ""en"")"),"cultivate")</f>
        <v>cultivate</v>
      </c>
    </row>
    <row r="47531">
      <c r="A47531" s="1" t="s">
        <v>47530</v>
      </c>
      <c r="B47531" s="2" t="str">
        <f>IFERROR(__xludf.DUMMYFUNCTION("GOOGLETRANSLATE(A47531, ""de"", ""en"")"),"cunning")</f>
        <v>cunning</v>
      </c>
    </row>
    <row r="47532">
      <c r="A47532" s="1" t="s">
        <v>47531</v>
      </c>
      <c r="B47532" s="2" t="str">
        <f>IFERROR(__xludf.DUMMYFUNCTION("GOOGLETRANSLATE(A47532, ""de"", ""en"")"),"wet")</f>
        <v>wet</v>
      </c>
    </row>
    <row r="47533">
      <c r="A47533" s="1" t="s">
        <v>47532</v>
      </c>
      <c r="B47533" s="2" t="str">
        <f>IFERROR(__xludf.DUMMYFUNCTION("GOOGLETRANSLATE(A47533, ""de"", ""en"")"),"bribed")</f>
        <v>bribed</v>
      </c>
    </row>
    <row r="47534">
      <c r="A47534" s="1" t="s">
        <v>47533</v>
      </c>
      <c r="B47534" s="2" t="str">
        <f>IFERROR(__xludf.DUMMYFUNCTION("GOOGLETRANSLATE(A47534, ""de"", ""en"")"),"shoot away")</f>
        <v>shoot away</v>
      </c>
    </row>
    <row r="47535">
      <c r="A47535" s="1" t="s">
        <v>47534</v>
      </c>
      <c r="B47535" s="2" t="str">
        <f>IFERROR(__xludf.DUMMYFUNCTION("GOOGLETRANSLATE(A47535, ""de"", ""en"")"),"hauie")</f>
        <v>hauie</v>
      </c>
    </row>
    <row r="47536">
      <c r="A47536" s="1" t="s">
        <v>47535</v>
      </c>
      <c r="B47536" s="2" t="str">
        <f>IFERROR(__xludf.DUMMYFUNCTION("GOOGLETRANSLATE(A47536, ""de"", ""en"")"),"switches off")</f>
        <v>switches off</v>
      </c>
    </row>
    <row r="47537">
      <c r="A47537" s="1" t="s">
        <v>47536</v>
      </c>
      <c r="B47537" s="2" t="str">
        <f>IFERROR(__xludf.DUMMYFUNCTION("GOOGLETRANSLATE(A47537, ""de"", ""en"")"),"Celine")</f>
        <v>Celine</v>
      </c>
    </row>
    <row r="47538">
      <c r="A47538" s="1" t="s">
        <v>47537</v>
      </c>
      <c r="B47538" s="2" t="str">
        <f>IFERROR(__xludf.DUMMYFUNCTION("GOOGLETRANSLATE(A47538, ""de"", ""en"")"),"denni331")</f>
        <v>denni331</v>
      </c>
    </row>
    <row r="47539">
      <c r="A47539" s="1" t="s">
        <v>47538</v>
      </c>
      <c r="B47539" s="2" t="str">
        <f>IFERROR(__xludf.DUMMYFUNCTION("GOOGLETRANSLATE(A47539, ""de"", ""en"")"),"repudiate")</f>
        <v>repudiate</v>
      </c>
    </row>
    <row r="47540">
      <c r="A47540" s="1" t="s">
        <v>47539</v>
      </c>
      <c r="B47540" s="2" t="str">
        <f>IFERROR(__xludf.DUMMYFUNCTION("GOOGLETRANSLATE(A47540, ""de"", ""en"")"),"mainframe")</f>
        <v>mainframe</v>
      </c>
    </row>
    <row r="47541">
      <c r="A47541" s="1" t="s">
        <v>47540</v>
      </c>
      <c r="B47541" s="2" t="str">
        <f>IFERROR(__xludf.DUMMYFUNCTION("GOOGLETRANSLATE(A47541, ""de"", ""en"")"),"Seidel")</f>
        <v>Seidel</v>
      </c>
    </row>
    <row r="47542">
      <c r="A47542" s="1" t="s">
        <v>47541</v>
      </c>
      <c r="B47542" s="2" t="str">
        <f>IFERROR(__xludf.DUMMYFUNCTION("GOOGLETRANSLATE(A47542, ""de"", ""en"")"),"piece")</f>
        <v>piece</v>
      </c>
    </row>
    <row r="47543">
      <c r="A47543" s="1" t="s">
        <v>47542</v>
      </c>
      <c r="B47543" s="2" t="str">
        <f>IFERROR(__xludf.DUMMYFUNCTION("GOOGLETRANSLATE(A47543, ""de"", ""en"")"),"machado")</f>
        <v>machado</v>
      </c>
    </row>
    <row r="47544">
      <c r="A47544" s="1" t="s">
        <v>47543</v>
      </c>
      <c r="B47544" s="2" t="str">
        <f>IFERROR(__xludf.DUMMYFUNCTION("GOOGLETRANSLATE(A47544, ""de"", ""en"")"),"to run after")</f>
        <v>to run after</v>
      </c>
    </row>
    <row r="47545">
      <c r="A47545" s="1" t="s">
        <v>47544</v>
      </c>
      <c r="B47545" s="2" t="str">
        <f>IFERROR(__xludf.DUMMYFUNCTION("GOOGLETRANSLATE(A47545, ""de"", ""en"")"),"dark-haired")</f>
        <v>dark-haired</v>
      </c>
    </row>
    <row r="47546">
      <c r="A47546" s="1" t="s">
        <v>47545</v>
      </c>
      <c r="B47546" s="2" t="str">
        <f>IFERROR(__xludf.DUMMYFUNCTION("GOOGLETRANSLATE(A47546, ""de"", ""en"")"),"cocoons")</f>
        <v>cocoons</v>
      </c>
    </row>
    <row r="47547">
      <c r="A47547" s="1" t="s">
        <v>47546</v>
      </c>
      <c r="B47547" s="2" t="str">
        <f>IFERROR(__xludf.DUMMYFUNCTION("GOOGLETRANSLATE(A47547, ""de"", ""en"")"),"election campaign")</f>
        <v>election campaign</v>
      </c>
    </row>
    <row r="47548">
      <c r="A47548" s="1" t="s">
        <v>47547</v>
      </c>
      <c r="B47548" s="2" t="str">
        <f>IFERROR(__xludf.DUMMYFUNCTION("GOOGLETRANSLATE(A47548, ""de"", ""en"")"),"warehouses")</f>
        <v>warehouses</v>
      </c>
    </row>
    <row r="47549">
      <c r="A47549" s="1" t="s">
        <v>47548</v>
      </c>
      <c r="B47549" s="2" t="str">
        <f>IFERROR(__xludf.DUMMYFUNCTION("GOOGLETRANSLATE(A47549, ""de"", ""en"")"),"uninhabitable")</f>
        <v>uninhabitable</v>
      </c>
    </row>
    <row r="47550">
      <c r="A47550" s="1" t="s">
        <v>47549</v>
      </c>
      <c r="B47550" s="2" t="str">
        <f>IFERROR(__xludf.DUMMYFUNCTION("GOOGLETRANSLATE(A47550, ""de"", ""en"")"),"puree")</f>
        <v>puree</v>
      </c>
    </row>
    <row r="47551">
      <c r="A47551" s="1" t="s">
        <v>47550</v>
      </c>
      <c r="B47551" s="2" t="str">
        <f>IFERROR(__xludf.DUMMYFUNCTION("GOOGLETRANSLATE(A47551, ""de"", ""en"")"),"sacristy")</f>
        <v>sacristy</v>
      </c>
    </row>
    <row r="47552">
      <c r="A47552" s="1" t="s">
        <v>47551</v>
      </c>
      <c r="B47552" s="2" t="str">
        <f>IFERROR(__xludf.DUMMYFUNCTION("GOOGLETRANSLATE(A47552, ""de"", ""en"")"),"clock")</f>
        <v>clock</v>
      </c>
    </row>
    <row r="47553">
      <c r="A47553" s="1" t="s">
        <v>47552</v>
      </c>
      <c r="B47553" s="2" t="str">
        <f>IFERROR(__xludf.DUMMYFUNCTION("GOOGLETRANSLATE(A47553, ""de"", ""en"")"),"sales")</f>
        <v>sales</v>
      </c>
    </row>
    <row r="47554">
      <c r="A47554" s="1" t="s">
        <v>47553</v>
      </c>
      <c r="B47554" s="2" t="str">
        <f>IFERROR(__xludf.DUMMYFUNCTION("GOOGLETRANSLATE(A47554, ""de"", ""en"")"),"atoms")</f>
        <v>atoms</v>
      </c>
    </row>
    <row r="47555">
      <c r="A47555" s="1" t="s">
        <v>47554</v>
      </c>
      <c r="B47555" s="2" t="str">
        <f>IFERROR(__xludf.DUMMYFUNCTION("GOOGLETRANSLATE(A47555, ""de"", ""en"")"),"grappa")</f>
        <v>grappa</v>
      </c>
    </row>
    <row r="47556">
      <c r="A47556" s="1" t="s">
        <v>47555</v>
      </c>
      <c r="B47556" s="2" t="str">
        <f>IFERROR(__xludf.DUMMYFUNCTION("GOOGLETRANSLATE(A47556, ""de"", ""en"")"),"peculiarities")</f>
        <v>peculiarities</v>
      </c>
    </row>
    <row r="47557">
      <c r="A47557" s="1" t="s">
        <v>47556</v>
      </c>
      <c r="B47557" s="2" t="str">
        <f>IFERROR(__xludf.DUMMYFUNCTION("GOOGLETRANSLATE(A47557, ""de"", ""en"")"),"overlooked")</f>
        <v>overlooked</v>
      </c>
    </row>
    <row r="47558">
      <c r="A47558" s="1" t="s">
        <v>47557</v>
      </c>
      <c r="B47558" s="2" t="str">
        <f>IFERROR(__xludf.DUMMYFUNCTION("GOOGLETRANSLATE(A47558, ""de"", ""en"")"),"butterflies")</f>
        <v>butterflies</v>
      </c>
    </row>
    <row r="47559">
      <c r="A47559" s="1" t="s">
        <v>47558</v>
      </c>
      <c r="B47559" s="2" t="str">
        <f>IFERROR(__xludf.DUMMYFUNCTION("GOOGLETRANSLATE(A47559, ""de"", ""en"")"),"firing squad")</f>
        <v>firing squad</v>
      </c>
    </row>
    <row r="47560">
      <c r="A47560" s="1" t="s">
        <v>47559</v>
      </c>
      <c r="B47560" s="2" t="str">
        <f>IFERROR(__xludf.DUMMYFUNCTION("GOOGLETRANSLATE(A47560, ""de"", ""en"")"),"holsters")</f>
        <v>holsters</v>
      </c>
    </row>
    <row r="47561">
      <c r="A47561" s="1" t="s">
        <v>47560</v>
      </c>
      <c r="B47561" s="2" t="str">
        <f>IFERROR(__xludf.DUMMYFUNCTION("GOOGLETRANSLATE(A47561, ""de"", ""en"")"),"grim")</f>
        <v>grim</v>
      </c>
    </row>
    <row r="47562">
      <c r="A47562" s="1" t="s">
        <v>47561</v>
      </c>
      <c r="B47562" s="2" t="str">
        <f>IFERROR(__xludf.DUMMYFUNCTION("GOOGLETRANSLATE(A47562, ""de"", ""en"")"),"amado")</f>
        <v>amado</v>
      </c>
    </row>
    <row r="47563">
      <c r="A47563" s="1" t="s">
        <v>47562</v>
      </c>
      <c r="B47563" s="2" t="str">
        <f>IFERROR(__xludf.DUMMYFUNCTION("GOOGLETRANSLATE(A47563, ""de"", ""en"")"),"languish")</f>
        <v>languish</v>
      </c>
    </row>
    <row r="47564">
      <c r="A47564" s="1" t="s">
        <v>47563</v>
      </c>
      <c r="B47564" s="2" t="str">
        <f>IFERROR(__xludf.DUMMYFUNCTION("GOOGLETRANSLATE(A47564, ""de"", ""en"")"),"nicklas")</f>
        <v>nicklas</v>
      </c>
    </row>
    <row r="47565">
      <c r="A47565" s="1" t="s">
        <v>47564</v>
      </c>
      <c r="B47565" s="2" t="str">
        <f>IFERROR(__xludf.DUMMYFUNCTION("GOOGLETRANSLATE(A47565, ""de"", ""en"")"),"laurens")</f>
        <v>laurens</v>
      </c>
    </row>
    <row r="47566">
      <c r="A47566" s="1" t="s">
        <v>47565</v>
      </c>
      <c r="B47566" s="2" t="str">
        <f>IFERROR(__xludf.DUMMYFUNCTION("GOOGLETRANSLATE(A47566, ""de"", ""en"")"),"worldwide")</f>
        <v>worldwide</v>
      </c>
    </row>
    <row r="47567">
      <c r="A47567" s="1" t="s">
        <v>47566</v>
      </c>
      <c r="B47567" s="2" t="str">
        <f>IFERROR(__xludf.DUMMYFUNCTION("GOOGLETRANSLATE(A47567, ""de"", ""en"")"),"sprout")</f>
        <v>sprout</v>
      </c>
    </row>
    <row r="47568">
      <c r="A47568" s="1" t="s">
        <v>47567</v>
      </c>
      <c r="B47568" s="2" t="str">
        <f>IFERROR(__xludf.DUMMYFUNCTION("GOOGLETRANSLATE(A47568, ""de"", ""en"")"),"weirder")</f>
        <v>weirder</v>
      </c>
    </row>
    <row r="47569">
      <c r="A47569" s="1" t="s">
        <v>47568</v>
      </c>
      <c r="B47569" s="2" t="str">
        <f>IFERROR(__xludf.DUMMYFUNCTION("GOOGLETRANSLATE(A47569, ""de"", ""en"")"),"hamm")</f>
        <v>hamm</v>
      </c>
    </row>
    <row r="47570">
      <c r="A47570" s="1" t="s">
        <v>47569</v>
      </c>
      <c r="B47570" s="2" t="str">
        <f>IFERROR(__xludf.DUMMYFUNCTION("GOOGLETRANSLATE(A47570, ""de"", ""en"")"),"eragon")</f>
        <v>eragon</v>
      </c>
    </row>
    <row r="47571">
      <c r="A47571" s="1" t="s">
        <v>47570</v>
      </c>
      <c r="B47571" s="2" t="str">
        <f>IFERROR(__xludf.DUMMYFUNCTION("GOOGLETRANSLATE(A47571, ""de"", ""en"")"),"tailored")</f>
        <v>tailored</v>
      </c>
    </row>
    <row r="47572">
      <c r="A47572" s="1" t="s">
        <v>47571</v>
      </c>
      <c r="B47572" s="2" t="str">
        <f>IFERROR(__xludf.DUMMYFUNCTION("GOOGLETRANSLATE(A47572, ""de"", ""en"")"),"friendly visit")</f>
        <v>friendly visit</v>
      </c>
    </row>
    <row r="47573">
      <c r="A47573" s="1" t="s">
        <v>47572</v>
      </c>
      <c r="B47573" s="2" t="str">
        <f>IFERROR(__xludf.DUMMYFUNCTION("GOOGLETRANSLATE(A47573, ""de"", ""en"")"),"to deny")</f>
        <v>to deny</v>
      </c>
    </row>
    <row r="47574">
      <c r="A47574" s="1" t="s">
        <v>47573</v>
      </c>
      <c r="B47574" s="2" t="str">
        <f>IFERROR(__xludf.DUMMYFUNCTION("GOOGLETRANSLATE(A47574, ""de"", ""en"")"),"stuck")</f>
        <v>stuck</v>
      </c>
    </row>
    <row r="47575">
      <c r="A47575" s="1" t="s">
        <v>47574</v>
      </c>
      <c r="B47575" s="2" t="str">
        <f>IFERROR(__xludf.DUMMYFUNCTION("GOOGLETRANSLATE(A47575, ""de"", ""en"")"),"arianna")</f>
        <v>arianna</v>
      </c>
    </row>
    <row r="47576">
      <c r="A47576" s="1" t="s">
        <v>47575</v>
      </c>
      <c r="B47576" s="2" t="str">
        <f>IFERROR(__xludf.DUMMYFUNCTION("GOOGLETRANSLATE(A47576, ""de"", ""en"")"),"dean")</f>
        <v>dean</v>
      </c>
    </row>
    <row r="47577">
      <c r="A47577" s="1" t="s">
        <v>47576</v>
      </c>
      <c r="B47577" s="2" t="str">
        <f>IFERROR(__xludf.DUMMYFUNCTION("GOOGLETRANSLATE(A47577, ""de"", ""en"")"),"active item")</f>
        <v>active item</v>
      </c>
    </row>
    <row r="47578">
      <c r="A47578" s="1" t="s">
        <v>47577</v>
      </c>
      <c r="B47578" s="2" t="str">
        <f>IFERROR(__xludf.DUMMYFUNCTION("GOOGLETRANSLATE(A47578, ""de"", ""en"")"),"soil samples")</f>
        <v>soil samples</v>
      </c>
    </row>
    <row r="47579">
      <c r="A47579" s="1" t="s">
        <v>47578</v>
      </c>
      <c r="B47579" s="2" t="str">
        <f>IFERROR(__xludf.DUMMYFUNCTION("GOOGLETRANSLATE(A47579, ""de"", ""en"")"),"embankment")</f>
        <v>embankment</v>
      </c>
    </row>
    <row r="47580">
      <c r="A47580" s="1" t="s">
        <v>47579</v>
      </c>
      <c r="B47580" s="2" t="str">
        <f>IFERROR(__xludf.DUMMYFUNCTION("GOOGLETRANSLATE(A47580, ""de"", ""en"")"),"supplier")</f>
        <v>supplier</v>
      </c>
    </row>
    <row r="47581">
      <c r="A47581" s="1" t="s">
        <v>47580</v>
      </c>
      <c r="B47581" s="2" t="str">
        <f>IFERROR(__xludf.DUMMYFUNCTION("GOOGLETRANSLATE(A47581, ""de"", ""en"")"),"ruling")</f>
        <v>ruling</v>
      </c>
    </row>
    <row r="47582">
      <c r="A47582" s="1" t="s">
        <v>47581</v>
      </c>
      <c r="B47582" s="2" t="str">
        <f>IFERROR(__xludf.DUMMYFUNCTION("GOOGLETRANSLATE(A47582, ""de"", ""en"")"),"coped")</f>
        <v>coped</v>
      </c>
    </row>
    <row r="47583">
      <c r="A47583" s="1" t="s">
        <v>47582</v>
      </c>
      <c r="B47583" s="2" t="str">
        <f>IFERROR(__xludf.DUMMYFUNCTION("GOOGLETRANSLATE(A47583, ""de"", ""en"")"),"to watch TV")</f>
        <v>to watch TV</v>
      </c>
    </row>
    <row r="47584">
      <c r="A47584" s="1" t="s">
        <v>47583</v>
      </c>
      <c r="B47584" s="2" t="str">
        <f>IFERROR(__xludf.DUMMYFUNCTION("GOOGLETRANSLATE(A47584, ""de"", ""en"")"),"wabash")</f>
        <v>wabash</v>
      </c>
    </row>
    <row r="47585">
      <c r="A47585" s="1" t="s">
        <v>47584</v>
      </c>
      <c r="B47585" s="2" t="str">
        <f>IFERROR(__xludf.DUMMYFUNCTION("GOOGLETRANSLATE(A47585, ""de"", ""en"")"),"overview")</f>
        <v>overview</v>
      </c>
    </row>
    <row r="47586">
      <c r="A47586" s="1" t="s">
        <v>47585</v>
      </c>
      <c r="B47586" s="2" t="str">
        <f>IFERROR(__xludf.DUMMYFUNCTION("GOOGLETRANSLATE(A47586, ""de"", ""en"")"),"darkhold")</f>
        <v>darkhold</v>
      </c>
    </row>
    <row r="47587">
      <c r="A47587" s="1" t="s">
        <v>47586</v>
      </c>
      <c r="B47587" s="2" t="str">
        <f>IFERROR(__xludf.DUMMYFUNCTION("GOOGLETRANSLATE(A47587, ""de"", ""en"")"),"bed bugs")</f>
        <v>bed bugs</v>
      </c>
    </row>
    <row r="47588">
      <c r="A47588" s="1" t="s">
        <v>47587</v>
      </c>
      <c r="B47588" s="2" t="str">
        <f>IFERROR(__xludf.DUMMYFUNCTION("GOOGLETRANSLATE(A47588, ""de"", ""en"")"),"source of income")</f>
        <v>source of income</v>
      </c>
    </row>
    <row r="47589">
      <c r="A47589" s="1" t="s">
        <v>47588</v>
      </c>
      <c r="B47589" s="2" t="str">
        <f>IFERROR(__xludf.DUMMYFUNCTION("GOOGLETRANSLATE(A47589, ""de"", ""en"")"),"toes")</f>
        <v>toes</v>
      </c>
    </row>
    <row r="47590">
      <c r="A47590" s="1" t="s">
        <v>47589</v>
      </c>
      <c r="B47590" s="2" t="str">
        <f>IFERROR(__xludf.DUMMYFUNCTION("GOOGLETRANSLATE(A47590, ""de"", ""en"")"),"righteous")</f>
        <v>righteous</v>
      </c>
    </row>
    <row r="47591">
      <c r="A47591" s="1" t="s">
        <v>47590</v>
      </c>
      <c r="B47591" s="2" t="str">
        <f>IFERROR(__xludf.DUMMYFUNCTION("GOOGLETRANSLATE(A47591, ""de"", ""en"")"),"smokes weed")</f>
        <v>smokes weed</v>
      </c>
    </row>
    <row r="47592">
      <c r="A47592" s="1" t="s">
        <v>47591</v>
      </c>
      <c r="B47592" s="2" t="str">
        <f>IFERROR(__xludf.DUMMYFUNCTION("GOOGLETRANSLATE(A47592, ""de"", ""en"")"),"meechum")</f>
        <v>meechum</v>
      </c>
    </row>
    <row r="47593">
      <c r="A47593" s="1" t="s">
        <v>47592</v>
      </c>
      <c r="B47593" s="2" t="str">
        <f>IFERROR(__xludf.DUMMYFUNCTION("GOOGLETRANSLATE(A47593, ""de"", ""en"")"),"more influential")</f>
        <v>more influential</v>
      </c>
    </row>
    <row r="47594">
      <c r="A47594" s="1" t="s">
        <v>47593</v>
      </c>
      <c r="B47594" s="2" t="str">
        <f>IFERROR(__xludf.DUMMYFUNCTION("GOOGLETRANSLATE(A47594, ""de"", ""en"")"),"Archimedes")</f>
        <v>Archimedes</v>
      </c>
    </row>
    <row r="47595">
      <c r="A47595" s="1" t="s">
        <v>47594</v>
      </c>
      <c r="B47595" s="2" t="str">
        <f>IFERROR(__xludf.DUMMYFUNCTION("GOOGLETRANSLATE(A47595, ""de"", ""en"")"),"brainless")</f>
        <v>brainless</v>
      </c>
    </row>
    <row r="47596">
      <c r="A47596" s="1" t="s">
        <v>47595</v>
      </c>
      <c r="B47596" s="2" t="str">
        <f>IFERROR(__xludf.DUMMYFUNCTION("GOOGLETRANSLATE(A47596, ""de"", ""en"")"),"gnu")</f>
        <v>gnu</v>
      </c>
    </row>
    <row r="47597">
      <c r="A47597" s="1" t="s">
        <v>47596</v>
      </c>
      <c r="B47597" s="2" t="str">
        <f>IFERROR(__xludf.DUMMYFUNCTION("GOOGLETRANSLATE(A47597, ""de"", ""en"")"),"cerebral hemorrhage")</f>
        <v>cerebral hemorrhage</v>
      </c>
    </row>
    <row r="47598">
      <c r="A47598" s="1" t="s">
        <v>47597</v>
      </c>
      <c r="B47598" s="2" t="str">
        <f>IFERROR(__xludf.DUMMYFUNCTION("GOOGLETRANSLATE(A47598, ""de"", ""en"")"),"share price")</f>
        <v>share price</v>
      </c>
    </row>
    <row r="47599">
      <c r="A47599" s="1" t="s">
        <v>47598</v>
      </c>
      <c r="B47599" s="2" t="str">
        <f>IFERROR(__xludf.DUMMYFUNCTION("GOOGLETRANSLATE(A47599, ""de"", ""en"")"),"dubious")</f>
        <v>dubious</v>
      </c>
    </row>
    <row r="47600">
      <c r="A47600" s="1" t="s">
        <v>47599</v>
      </c>
      <c r="B47600" s="2" t="str">
        <f>IFERROR(__xludf.DUMMYFUNCTION("GOOGLETRANSLATE(A47600, ""de"", ""en"")"),"slattery")</f>
        <v>slattery</v>
      </c>
    </row>
    <row r="47601">
      <c r="A47601" s="1" t="s">
        <v>47600</v>
      </c>
      <c r="B47601" s="2" t="str">
        <f>IFERROR(__xludf.DUMMYFUNCTION("GOOGLETRANSLATE(A47601, ""de"", ""en"")"),"karpov")</f>
        <v>karpov</v>
      </c>
    </row>
    <row r="47602">
      <c r="A47602" s="1" t="s">
        <v>47601</v>
      </c>
      <c r="B47602" s="2" t="str">
        <f>IFERROR(__xludf.DUMMYFUNCTION("GOOGLETRANSLATE(A47602, ""de"", ""en"")"),"dance leg")</f>
        <v>dance leg</v>
      </c>
    </row>
    <row r="47603">
      <c r="A47603" s="1" t="s">
        <v>47602</v>
      </c>
      <c r="B47603" s="2" t="str">
        <f>IFERROR(__xludf.DUMMYFUNCTION("GOOGLETRANSLATE(A47603, ""de"", ""en"")"),"correct")</f>
        <v>correct</v>
      </c>
    </row>
    <row r="47604">
      <c r="A47604" s="1" t="s">
        <v>47603</v>
      </c>
      <c r="B47604" s="2" t="str">
        <f>IFERROR(__xludf.DUMMYFUNCTION("GOOGLETRANSLATE(A47604, ""de"", ""en"")"),"s11")</f>
        <v>s11</v>
      </c>
    </row>
    <row r="47605">
      <c r="A47605" s="1" t="s">
        <v>47604</v>
      </c>
      <c r="B47605" s="2" t="str">
        <f>IFERROR(__xludf.DUMMYFUNCTION("GOOGLETRANSLATE(A47605, ""de"", ""en"")"),"amp")</f>
        <v>amp</v>
      </c>
    </row>
    <row r="47606">
      <c r="A47606" s="1" t="s">
        <v>47605</v>
      </c>
      <c r="B47606" s="2" t="str">
        <f>IFERROR(__xludf.DUMMYFUNCTION("GOOGLETRANSLATE(A47606, ""de"", ""en"")"),"mortadella")</f>
        <v>mortadella</v>
      </c>
    </row>
    <row r="47607">
      <c r="A47607" s="1" t="s">
        <v>47606</v>
      </c>
      <c r="B47607" s="2" t="str">
        <f>IFERROR(__xludf.DUMMYFUNCTION("GOOGLETRANSLATE(A47607, ""de"", ""en"")"),"pawnshop")</f>
        <v>pawnshop</v>
      </c>
    </row>
    <row r="47608">
      <c r="A47608" s="1" t="s">
        <v>47607</v>
      </c>
      <c r="B47608" s="2" t="str">
        <f>IFERROR(__xludf.DUMMYFUNCTION("GOOGLETRANSLATE(A47608, ""de"", ""en"")"),"win-win")</f>
        <v>win-win</v>
      </c>
    </row>
    <row r="47609">
      <c r="A47609" s="1" t="s">
        <v>47608</v>
      </c>
      <c r="B47609" s="2" t="str">
        <f>IFERROR(__xludf.DUMMYFUNCTION("GOOGLETRANSLATE(A47609, ""de"", ""en"")"),"would come back")</f>
        <v>would come back</v>
      </c>
    </row>
    <row r="47610">
      <c r="A47610" s="1" t="s">
        <v>47609</v>
      </c>
      <c r="B47610" s="2" t="str">
        <f>IFERROR(__xludf.DUMMYFUNCTION("GOOGLETRANSLATE(A47610, ""de"", ""en"")"),"battle cry")</f>
        <v>battle cry</v>
      </c>
    </row>
    <row r="47611">
      <c r="A47611" s="1" t="s">
        <v>47610</v>
      </c>
      <c r="B47611" s="2" t="str">
        <f>IFERROR(__xludf.DUMMYFUNCTION("GOOGLETRANSLATE(A47611, ""de"", ""en"")"),"joined")</f>
        <v>joined</v>
      </c>
    </row>
    <row r="47612">
      <c r="A47612" s="1" t="s">
        <v>47611</v>
      </c>
      <c r="B47612" s="2" t="str">
        <f>IFERROR(__xludf.DUMMYFUNCTION("GOOGLETRANSLATE(A47612, ""de"", ""en"")"),"relevant")</f>
        <v>relevant</v>
      </c>
    </row>
    <row r="47613">
      <c r="A47613" s="1" t="s">
        <v>47612</v>
      </c>
      <c r="B47613" s="2" t="str">
        <f>IFERROR(__xludf.DUMMYFUNCTION("GOOGLETRANSLATE(A47613, ""de"", ""en"")"),"seethe")</f>
        <v>seethe</v>
      </c>
    </row>
    <row r="47614">
      <c r="A47614" s="1" t="s">
        <v>47613</v>
      </c>
      <c r="B47614" s="2" t="str">
        <f>IFERROR(__xludf.DUMMYFUNCTION("GOOGLETRANSLATE(A47614, ""de"", ""en"")"),"Gibson's")</f>
        <v>Gibson's</v>
      </c>
    </row>
    <row r="47615">
      <c r="A47615" s="1" t="s">
        <v>47614</v>
      </c>
      <c r="B47615" s="2" t="str">
        <f>IFERROR(__xludf.DUMMYFUNCTION("GOOGLETRANSLATE(A47615, ""de"", ""en"")"),"gutter")</f>
        <v>gutter</v>
      </c>
    </row>
    <row r="47616">
      <c r="A47616" s="1" t="s">
        <v>47615</v>
      </c>
      <c r="B47616" s="2" t="str">
        <f>IFERROR(__xludf.DUMMYFUNCTION("GOOGLETRANSLATE(A47616, ""de"", ""en"")"),"centrifuge")</f>
        <v>centrifuge</v>
      </c>
    </row>
    <row r="47617">
      <c r="A47617" s="1" t="s">
        <v>47616</v>
      </c>
      <c r="B47617" s="2" t="str">
        <f>IFERROR(__xludf.DUMMYFUNCTION("GOOGLETRANSLATE(A47617, ""de"", ""en"")"),"to insert")</f>
        <v>to insert</v>
      </c>
    </row>
    <row r="47618">
      <c r="A47618" s="1" t="s">
        <v>47617</v>
      </c>
      <c r="B47618" s="2" t="str">
        <f>IFERROR(__xludf.DUMMYFUNCTION("GOOGLETRANSLATE(A47618, ""de"", ""en"")"),"inhabited")</f>
        <v>inhabited</v>
      </c>
    </row>
    <row r="47619">
      <c r="A47619" s="1" t="s">
        <v>47618</v>
      </c>
      <c r="B47619" s="2" t="str">
        <f>IFERROR(__xludf.DUMMYFUNCTION("GOOGLETRANSLATE(A47619, ""de"", ""en"")"),"serpico")</f>
        <v>serpico</v>
      </c>
    </row>
    <row r="47620">
      <c r="A47620" s="1" t="s">
        <v>47619</v>
      </c>
      <c r="B47620" s="2" t="str">
        <f>IFERROR(__xludf.DUMMYFUNCTION("GOOGLETRANSLATE(A47620, ""de"", ""en"")"),"without asking")</f>
        <v>without asking</v>
      </c>
    </row>
    <row r="47621">
      <c r="A47621" s="1" t="s">
        <v>47620</v>
      </c>
      <c r="B47621" s="2" t="str">
        <f>IFERROR(__xludf.DUMMYFUNCTION("GOOGLETRANSLATE(A47621, ""de"", ""en"")"),"sneakers")</f>
        <v>sneakers</v>
      </c>
    </row>
    <row r="47622">
      <c r="A47622" s="1" t="s">
        <v>47621</v>
      </c>
      <c r="B47622" s="2" t="str">
        <f>IFERROR(__xludf.DUMMYFUNCTION("GOOGLETRANSLATE(A47622, ""de"", ""en"")"),"karlsson")</f>
        <v>karlsson</v>
      </c>
    </row>
    <row r="47623">
      <c r="A47623" s="1" t="s">
        <v>47622</v>
      </c>
      <c r="B47623" s="2" t="str">
        <f>IFERROR(__xludf.DUMMYFUNCTION("GOOGLETRANSLATE(A47623, ""de"", ""en"")"),"New Guinea")</f>
        <v>New Guinea</v>
      </c>
    </row>
    <row r="47624">
      <c r="A47624" s="1" t="s">
        <v>47623</v>
      </c>
      <c r="B47624" s="2" t="str">
        <f>IFERROR(__xludf.DUMMYFUNCTION("GOOGLETRANSLATE(A47624, ""de"", ""en"")"),"blood")</f>
        <v>blood</v>
      </c>
    </row>
    <row r="47625">
      <c r="A47625" s="1" t="s">
        <v>47624</v>
      </c>
      <c r="B47625" s="2" t="str">
        <f>IFERROR(__xludf.DUMMYFUNCTION("GOOGLETRANSLATE(A47625, ""de"", ""en"")"),"countryman")</f>
        <v>countryman</v>
      </c>
    </row>
    <row r="47626">
      <c r="A47626" s="1" t="s">
        <v>47625</v>
      </c>
      <c r="B47626" s="2" t="str">
        <f>IFERROR(__xludf.DUMMYFUNCTION("GOOGLETRANSLATE(A47626, ""de"", ""en"")"),"lipton")</f>
        <v>lipton</v>
      </c>
    </row>
    <row r="47627">
      <c r="A47627" s="1" t="s">
        <v>47626</v>
      </c>
      <c r="B47627" s="2" t="str">
        <f>IFERROR(__xludf.DUMMYFUNCTION("GOOGLETRANSLATE(A47627, ""de"", ""en"")"),"naked")</f>
        <v>naked</v>
      </c>
    </row>
    <row r="47628">
      <c r="A47628" s="1" t="s">
        <v>47627</v>
      </c>
      <c r="B47628" s="2" t="str">
        <f>IFERROR(__xludf.DUMMYFUNCTION("GOOGLETRANSLATE(A47628, ""de"", ""en"")"),"run back")</f>
        <v>run back</v>
      </c>
    </row>
    <row r="47629">
      <c r="A47629" s="1" t="s">
        <v>47628</v>
      </c>
      <c r="B47629" s="2" t="str">
        <f>IFERROR(__xludf.DUMMYFUNCTION("GOOGLETRANSLATE(A47629, ""de"", ""en"")"),"insufficient")</f>
        <v>insufficient</v>
      </c>
    </row>
    <row r="47630">
      <c r="A47630" s="1" t="s">
        <v>47629</v>
      </c>
      <c r="B47630" s="2" t="str">
        <f>IFERROR(__xludf.DUMMYFUNCTION("GOOGLETRANSLATE(A47630, ""de"", ""en"")"),"lepers")</f>
        <v>lepers</v>
      </c>
    </row>
    <row r="47631">
      <c r="A47631" s="1" t="s">
        <v>47630</v>
      </c>
      <c r="B47631" s="2" t="str">
        <f>IFERROR(__xludf.DUMMYFUNCTION("GOOGLETRANSLATE(A47631, ""de"", ""en"")"),"clientele")</f>
        <v>clientele</v>
      </c>
    </row>
    <row r="47632">
      <c r="A47632" s="1" t="s">
        <v>47631</v>
      </c>
      <c r="B47632" s="2" t="str">
        <f>IFERROR(__xludf.DUMMYFUNCTION("GOOGLETRANSLATE(A47632, ""de"", ""en"")"),"tie off")</f>
        <v>tie off</v>
      </c>
    </row>
    <row r="47633">
      <c r="A47633" s="1" t="s">
        <v>47632</v>
      </c>
      <c r="B47633" s="2" t="str">
        <f>IFERROR(__xludf.DUMMYFUNCTION("GOOGLETRANSLATE(A47633, ""de"", ""en"")"),"grayza")</f>
        <v>grayza</v>
      </c>
    </row>
    <row r="47634">
      <c r="A47634" s="1" t="s">
        <v>47633</v>
      </c>
      <c r="B47634" s="2" t="str">
        <f>IFERROR(__xludf.DUMMYFUNCTION("GOOGLETRANSLATE(A47634, ""de"", ""en"")"),"coincides")</f>
        <v>coincides</v>
      </c>
    </row>
    <row r="47635">
      <c r="A47635" s="1" t="s">
        <v>47634</v>
      </c>
      <c r="B47635" s="2" t="str">
        <f>IFERROR(__xludf.DUMMYFUNCTION("GOOGLETRANSLATE(A47635, ""de"", ""en"")"),"more unauthorized")</f>
        <v>more unauthorized</v>
      </c>
    </row>
    <row r="47636">
      <c r="A47636" s="1" t="s">
        <v>47635</v>
      </c>
      <c r="B47636" s="2" t="str">
        <f>IFERROR(__xludf.DUMMYFUNCTION("GOOGLETRANSLATE(A47636, ""de"", ""en"")"),"scope")</f>
        <v>scope</v>
      </c>
    </row>
    <row r="47637">
      <c r="A47637" s="1" t="s">
        <v>47636</v>
      </c>
      <c r="B47637" s="2" t="str">
        <f>IFERROR(__xludf.DUMMYFUNCTION("GOOGLETRANSLATE(A47637, ""de"", ""en"")"),"confiscation")</f>
        <v>confiscation</v>
      </c>
    </row>
    <row r="47638">
      <c r="A47638" s="1" t="s">
        <v>47637</v>
      </c>
      <c r="B47638" s="2" t="str">
        <f>IFERROR(__xludf.DUMMYFUNCTION("GOOGLETRANSLATE(A47638, ""de"", ""en"")"),"more productive")</f>
        <v>more productive</v>
      </c>
    </row>
    <row r="47639">
      <c r="A47639" s="1" t="s">
        <v>47638</v>
      </c>
      <c r="B47639" s="2" t="str">
        <f>IFERROR(__xludf.DUMMYFUNCTION("GOOGLETRANSLATE(A47639, ""de"", ""en"")"),"collaborator")</f>
        <v>collaborator</v>
      </c>
    </row>
    <row r="47640">
      <c r="A47640" s="1" t="s">
        <v>47639</v>
      </c>
      <c r="B47640" s="2" t="str">
        <f>IFERROR(__xludf.DUMMYFUNCTION("GOOGLETRANSLATE(A47640, ""de"", ""en"")"),"drug smuggling")</f>
        <v>drug smuggling</v>
      </c>
    </row>
    <row r="47641">
      <c r="A47641" s="1" t="s">
        <v>47640</v>
      </c>
      <c r="B47641" s="2" t="str">
        <f>IFERROR(__xludf.DUMMYFUNCTION("GOOGLETRANSLATE(A47641, ""de"", ""en"")"),"carbonic acid")</f>
        <v>carbonic acid</v>
      </c>
    </row>
    <row r="47642">
      <c r="A47642" s="1" t="s">
        <v>47641</v>
      </c>
      <c r="B47642" s="2" t="str">
        <f>IFERROR(__xludf.DUMMYFUNCTION("GOOGLETRANSLATE(A47642, ""de"", ""en"")"),"annual salary")</f>
        <v>annual salary</v>
      </c>
    </row>
    <row r="47643">
      <c r="A47643" s="1" t="s">
        <v>47642</v>
      </c>
      <c r="B47643" s="2" t="str">
        <f>IFERROR(__xludf.DUMMYFUNCTION("GOOGLETRANSLATE(A47643, ""de"", ""en"")"),"US military")</f>
        <v>US military</v>
      </c>
    </row>
    <row r="47644">
      <c r="A47644" s="1" t="s">
        <v>47643</v>
      </c>
      <c r="B47644" s="2" t="str">
        <f>IFERROR(__xludf.DUMMYFUNCTION("GOOGLETRANSLATE(A47644, ""de"", ""en"")"),"susy")</f>
        <v>susy</v>
      </c>
    </row>
    <row r="47645">
      <c r="A47645" s="1" t="s">
        <v>47644</v>
      </c>
      <c r="B47645" s="2" t="str">
        <f>IFERROR(__xludf.DUMMYFUNCTION("GOOGLETRANSLATE(A47645, ""de"", ""en"")"),"brophy")</f>
        <v>brophy</v>
      </c>
    </row>
    <row r="47646">
      <c r="A47646" s="1" t="s">
        <v>47645</v>
      </c>
      <c r="B47646" s="2" t="str">
        <f>IFERROR(__xludf.DUMMYFUNCTION("GOOGLETRANSLATE(A47646, ""de"", ""en"")"),"peace corps")</f>
        <v>peace corps</v>
      </c>
    </row>
    <row r="47647">
      <c r="A47647" s="1" t="s">
        <v>47646</v>
      </c>
      <c r="B47647" s="2" t="str">
        <f>IFERROR(__xludf.DUMMYFUNCTION("GOOGLETRANSLATE(A47647, ""de"", ""en"")"),"Bam")</f>
        <v>Bam</v>
      </c>
    </row>
    <row r="47648">
      <c r="A47648" s="1" t="s">
        <v>47647</v>
      </c>
      <c r="B47648" s="2" t="str">
        <f>IFERROR(__xludf.DUMMYFUNCTION("GOOGLETRANSLATE(A47648, ""de"", ""en"")"),"more diplomatic")</f>
        <v>more diplomatic</v>
      </c>
    </row>
    <row r="47649">
      <c r="A47649" s="1" t="s">
        <v>47648</v>
      </c>
      <c r="B47649" s="2" t="str">
        <f>IFERROR(__xludf.DUMMYFUNCTION("GOOGLETRANSLATE(A47649, ""de"", ""en"")"),"fie")</f>
        <v>fie</v>
      </c>
    </row>
    <row r="47650">
      <c r="A47650" s="1" t="s">
        <v>47649</v>
      </c>
      <c r="B47650" s="2" t="str">
        <f>IFERROR(__xludf.DUMMYFUNCTION("GOOGLETRANSLATE(A47650, ""de"", ""en"")"),"melly")</f>
        <v>melly</v>
      </c>
    </row>
    <row r="47651">
      <c r="A47651" s="1" t="s">
        <v>47650</v>
      </c>
      <c r="B47651" s="2" t="str">
        <f>IFERROR(__xludf.DUMMYFUNCTION("GOOGLETRANSLATE(A47651, ""de"", ""en"")"),"rebirth")</f>
        <v>rebirth</v>
      </c>
    </row>
    <row r="47652">
      <c r="A47652" s="1" t="s">
        <v>47651</v>
      </c>
      <c r="B47652" s="2" t="str">
        <f>IFERROR(__xludf.DUMMYFUNCTION("GOOGLETRANSLATE(A47652, ""de"", ""en"")"),"flatter")</f>
        <v>flatter</v>
      </c>
    </row>
    <row r="47653">
      <c r="A47653" s="1" t="s">
        <v>47652</v>
      </c>
      <c r="B47653" s="2" t="str">
        <f>IFERROR(__xludf.DUMMYFUNCTION("GOOGLETRANSLATE(A47653, ""de"", ""en"")"),"nebulize")</f>
        <v>nebulize</v>
      </c>
    </row>
    <row r="47654">
      <c r="A47654" s="1" t="s">
        <v>47653</v>
      </c>
      <c r="B47654" s="2" t="str">
        <f>IFERROR(__xludf.DUMMYFUNCTION("GOOGLETRANSLATE(A47654, ""de"", ""en"")"),"pops out")</f>
        <v>pops out</v>
      </c>
    </row>
    <row r="47655">
      <c r="A47655" s="1" t="s">
        <v>47654</v>
      </c>
      <c r="B47655" s="2" t="str">
        <f>IFERROR(__xludf.DUMMYFUNCTION("GOOGLETRANSLATE(A47655, ""de"", ""en"")"),"near")</f>
        <v>near</v>
      </c>
    </row>
    <row r="47656">
      <c r="A47656" s="1" t="s">
        <v>47655</v>
      </c>
      <c r="B47656" s="2" t="str">
        <f>IFERROR(__xludf.DUMMYFUNCTION("GOOGLETRANSLATE(A47656, ""de"", ""en"")"),"to bring here")</f>
        <v>to bring here</v>
      </c>
    </row>
    <row r="47657">
      <c r="A47657" s="1" t="s">
        <v>47656</v>
      </c>
      <c r="B47657" s="2" t="str">
        <f>IFERROR(__xludf.DUMMYFUNCTION("GOOGLETRANSLATE(A47657, ""de"", ""en"")"),"hatched")</f>
        <v>hatched</v>
      </c>
    </row>
    <row r="47658">
      <c r="A47658" s="1" t="s">
        <v>47657</v>
      </c>
      <c r="B47658" s="2" t="str">
        <f>IFERROR(__xludf.DUMMYFUNCTION("GOOGLETRANSLATE(A47658, ""de"", ""en"")"),"arcchancellor")</f>
        <v>arcchancellor</v>
      </c>
    </row>
    <row r="47659">
      <c r="A47659" s="1" t="s">
        <v>47658</v>
      </c>
      <c r="B47659" s="2" t="str">
        <f>IFERROR(__xludf.DUMMYFUNCTION("GOOGLETRANSLATE(A47659, ""de"", ""en"")"),"mannix")</f>
        <v>mannix</v>
      </c>
    </row>
    <row r="47660">
      <c r="A47660" s="1" t="s">
        <v>47659</v>
      </c>
      <c r="B47660" s="2" t="str">
        <f>IFERROR(__xludf.DUMMYFUNCTION("GOOGLETRANSLATE(A47660, ""de"", ""en"")"),"memory card")</f>
        <v>memory card</v>
      </c>
    </row>
    <row r="47661">
      <c r="A47661" s="1" t="s">
        <v>47660</v>
      </c>
      <c r="B47661" s="2" t="str">
        <f>IFERROR(__xludf.DUMMYFUNCTION("GOOGLETRANSLATE(A47661, ""de"", ""en"")"),"siezen")</f>
        <v>siezen</v>
      </c>
    </row>
    <row r="47662">
      <c r="A47662" s="1" t="s">
        <v>47661</v>
      </c>
      <c r="B47662" s="2" t="str">
        <f>IFERROR(__xludf.DUMMYFUNCTION("GOOGLETRANSLATE(A47662, ""de"", ""en"")"),"cheerio")</f>
        <v>cheerio</v>
      </c>
    </row>
    <row r="47663">
      <c r="A47663" s="1" t="s">
        <v>47662</v>
      </c>
      <c r="B47663" s="2" t="str">
        <f>IFERROR(__xludf.DUMMYFUNCTION("GOOGLETRANSLATE(A47663, ""de"", ""en"")"),"hmm")</f>
        <v>hmm</v>
      </c>
    </row>
    <row r="47664">
      <c r="A47664" s="1" t="s">
        <v>47663</v>
      </c>
      <c r="B47664" s="2" t="str">
        <f>IFERROR(__xludf.DUMMYFUNCTION("GOOGLETRANSLATE(A47664, ""de"", ""en"")"),"principles")</f>
        <v>principles</v>
      </c>
    </row>
    <row r="47665">
      <c r="A47665" s="1" t="s">
        <v>47664</v>
      </c>
      <c r="B47665" s="2" t="str">
        <f>IFERROR(__xludf.DUMMYFUNCTION("GOOGLETRANSLATE(A47665, ""de"", ""en"")"),"turing")</f>
        <v>turing</v>
      </c>
    </row>
    <row r="47666">
      <c r="A47666" s="1" t="s">
        <v>47665</v>
      </c>
      <c r="B47666" s="2" t="str">
        <f>IFERROR(__xludf.DUMMYFUNCTION("GOOGLETRANSLATE(A47666, ""de"", ""en"")"),"idyllic")</f>
        <v>idyllic</v>
      </c>
    </row>
    <row r="47667">
      <c r="A47667" s="1" t="s">
        <v>47666</v>
      </c>
      <c r="B47667" s="2" t="str">
        <f>IFERROR(__xludf.DUMMYFUNCTION("GOOGLETRANSLATE(A47667, ""de"", ""en"")"),"suliban")</f>
        <v>suliban</v>
      </c>
    </row>
    <row r="47668">
      <c r="A47668" s="1" t="s">
        <v>47667</v>
      </c>
      <c r="B47668" s="2" t="str">
        <f>IFERROR(__xludf.DUMMYFUNCTION("GOOGLETRANSLATE(A47668, ""de"", ""en"")"),"Burma")</f>
        <v>Burma</v>
      </c>
    </row>
    <row r="47669">
      <c r="A47669" s="1" t="s">
        <v>47668</v>
      </c>
      <c r="B47669" s="2" t="str">
        <f>IFERROR(__xludf.DUMMYFUNCTION("GOOGLETRANSLATE(A47669, ""de"", ""en"")"),"shrill")</f>
        <v>shrill</v>
      </c>
    </row>
    <row r="47670">
      <c r="A47670" s="1" t="s">
        <v>47669</v>
      </c>
      <c r="B47670" s="2" t="str">
        <f>IFERROR(__xludf.DUMMYFUNCTION("GOOGLETRANSLATE(A47670, ""de"", ""en"")"),"suddenly")</f>
        <v>suddenly</v>
      </c>
    </row>
    <row r="47671">
      <c r="A47671" s="1" t="s">
        <v>47670</v>
      </c>
      <c r="B47671" s="2" t="str">
        <f>IFERROR(__xludf.DUMMYFUNCTION("GOOGLETRANSLATE(A47671, ""de"", ""en"")"),"petals")</f>
        <v>petals</v>
      </c>
    </row>
    <row r="47672">
      <c r="A47672" s="1" t="s">
        <v>47671</v>
      </c>
      <c r="B47672" s="2" t="str">
        <f>IFERROR(__xludf.DUMMYFUNCTION("GOOGLETRANSLATE(A47672, ""de"", ""en"")"),"bucks")</f>
        <v>bucks</v>
      </c>
    </row>
    <row r="47673">
      <c r="A47673" s="1" t="s">
        <v>47672</v>
      </c>
      <c r="B47673" s="2" t="str">
        <f>IFERROR(__xludf.DUMMYFUNCTION("GOOGLETRANSLATE(A47673, ""de"", ""en"")"),"reclaim")</f>
        <v>reclaim</v>
      </c>
    </row>
    <row r="47674">
      <c r="A47674" s="1" t="s">
        <v>47673</v>
      </c>
      <c r="B47674" s="2" t="str">
        <f>IFERROR(__xludf.DUMMYFUNCTION("GOOGLETRANSLATE(A47674, ""de"", ""en"")"),"distribute")</f>
        <v>distribute</v>
      </c>
    </row>
    <row r="47675">
      <c r="A47675" s="1" t="s">
        <v>47674</v>
      </c>
      <c r="B47675" s="2" t="str">
        <f>IFERROR(__xludf.DUMMYFUNCTION("GOOGLETRANSLATE(A47675, ""de"", ""en"")"),"indignant")</f>
        <v>indignant</v>
      </c>
    </row>
    <row r="47676">
      <c r="A47676" s="1" t="s">
        <v>47675</v>
      </c>
      <c r="B47676" s="2" t="str">
        <f>IFERROR(__xludf.DUMMYFUNCTION("GOOGLETRANSLATE(A47676, ""de"", ""en"")"),"noblest")</f>
        <v>noblest</v>
      </c>
    </row>
    <row r="47677">
      <c r="A47677" s="1" t="s">
        <v>47676</v>
      </c>
      <c r="B47677" s="2" t="str">
        <f>IFERROR(__xludf.DUMMYFUNCTION("GOOGLETRANSLATE(A47677, ""de"", ""en"")"),"unconventional")</f>
        <v>unconventional</v>
      </c>
    </row>
    <row r="47678">
      <c r="A47678" s="1" t="s">
        <v>47677</v>
      </c>
      <c r="B47678" s="2" t="str">
        <f>IFERROR(__xludf.DUMMYFUNCTION("GOOGLETRANSLATE(A47678, ""de"", ""en"")"),"amandine")</f>
        <v>amandine</v>
      </c>
    </row>
    <row r="47679">
      <c r="A47679" s="1" t="s">
        <v>47678</v>
      </c>
      <c r="B47679" s="2" t="str">
        <f>IFERROR(__xludf.DUMMYFUNCTION("GOOGLETRANSLATE(A47679, ""de"", ""en"")"),"that one")</f>
        <v>that one</v>
      </c>
    </row>
    <row r="47680">
      <c r="A47680" s="1" t="s">
        <v>47679</v>
      </c>
      <c r="B47680" s="2" t="str">
        <f>IFERROR(__xludf.DUMMYFUNCTION("GOOGLETRANSLATE(A47680, ""de"", ""en"")"),"vertical")</f>
        <v>vertical</v>
      </c>
    </row>
    <row r="47681">
      <c r="A47681" s="1" t="s">
        <v>47680</v>
      </c>
      <c r="B47681" s="2" t="str">
        <f>IFERROR(__xludf.DUMMYFUNCTION("GOOGLETRANSLATE(A47681, ""de"", ""en"")"),"harassed")</f>
        <v>harassed</v>
      </c>
    </row>
    <row r="47682">
      <c r="A47682" s="1" t="s">
        <v>47681</v>
      </c>
      <c r="B47682" s="2" t="str">
        <f>IFERROR(__xludf.DUMMYFUNCTION("GOOGLETRANSLATE(A47682, ""de"", ""en"")"),"hyperion")</f>
        <v>hyperion</v>
      </c>
    </row>
    <row r="47683">
      <c r="A47683" s="1" t="s">
        <v>47682</v>
      </c>
      <c r="B47683" s="2" t="str">
        <f>IFERROR(__xludf.DUMMYFUNCTION("GOOGLETRANSLATE(A47683, ""de"", ""en"")"),"stayed there")</f>
        <v>stayed there</v>
      </c>
    </row>
    <row r="47684">
      <c r="A47684" s="1" t="s">
        <v>47683</v>
      </c>
      <c r="B47684" s="2" t="str">
        <f>IFERROR(__xludf.DUMMYFUNCTION("GOOGLETRANSLATE(A47684, ""de"", ""en"")"),"praised")</f>
        <v>praised</v>
      </c>
    </row>
    <row r="47685">
      <c r="A47685" s="1" t="s">
        <v>47684</v>
      </c>
      <c r="B47685" s="2" t="str">
        <f>IFERROR(__xludf.DUMMYFUNCTION("GOOGLETRANSLATE(A47685, ""de"", ""en"")"),"parole hearing")</f>
        <v>parole hearing</v>
      </c>
    </row>
    <row r="47686">
      <c r="A47686" s="1" t="s">
        <v>47685</v>
      </c>
      <c r="B47686" s="2" t="str">
        <f>IFERROR(__xludf.DUMMYFUNCTION("GOOGLETRANSLATE(A47686, ""de"", ""en"")"),"intervention force")</f>
        <v>intervention force</v>
      </c>
    </row>
    <row r="47687">
      <c r="A47687" s="1" t="s">
        <v>47686</v>
      </c>
      <c r="B47687" s="2" t="str">
        <f>IFERROR(__xludf.DUMMYFUNCTION("GOOGLETRANSLATE(A47687, ""de"", ""en"")"),"pickpockets")</f>
        <v>pickpockets</v>
      </c>
    </row>
    <row r="47688">
      <c r="A47688" s="1" t="s">
        <v>47687</v>
      </c>
      <c r="B47688" s="2" t="str">
        <f>IFERROR(__xludf.DUMMYFUNCTION("GOOGLETRANSLATE(A47688, ""de"", ""en"")"),"district")</f>
        <v>district</v>
      </c>
    </row>
    <row r="47689">
      <c r="A47689" s="1" t="s">
        <v>47688</v>
      </c>
      <c r="B47689" s="2" t="str">
        <f>IFERROR(__xludf.DUMMYFUNCTION("GOOGLETRANSLATE(A47689, ""de"", ""en"")"),"grateful")</f>
        <v>grateful</v>
      </c>
    </row>
    <row r="47690">
      <c r="A47690" s="1" t="s">
        <v>47689</v>
      </c>
      <c r="B47690" s="2" t="str">
        <f>IFERROR(__xludf.DUMMYFUNCTION("GOOGLETRANSLATE(A47690, ""de"", ""en"")"),"plantations")</f>
        <v>plantations</v>
      </c>
    </row>
    <row r="47691">
      <c r="A47691" s="1" t="s">
        <v>47690</v>
      </c>
      <c r="B47691" s="2" t="str">
        <f>IFERROR(__xludf.DUMMYFUNCTION("GOOGLETRANSLATE(A47691, ""de"", ""en"")"),"yyyy")</f>
        <v>yyyy</v>
      </c>
    </row>
    <row r="47692">
      <c r="A47692" s="1" t="s">
        <v>47691</v>
      </c>
      <c r="B47692" s="2" t="str">
        <f>IFERROR(__xludf.DUMMYFUNCTION("GOOGLETRANSLATE(A47692, ""de"", ""en"")"),"cia agent")</f>
        <v>cia agent</v>
      </c>
    </row>
    <row r="47693">
      <c r="A47693" s="1" t="s">
        <v>47692</v>
      </c>
      <c r="B47693" s="2" t="str">
        <f>IFERROR(__xludf.DUMMYFUNCTION("GOOGLETRANSLATE(A47693, ""de"", ""en"")"),"smuggled")</f>
        <v>smuggled</v>
      </c>
    </row>
    <row r="47694">
      <c r="A47694" s="1" t="s">
        <v>47693</v>
      </c>
      <c r="B47694" s="2" t="str">
        <f>IFERROR(__xludf.DUMMYFUNCTION("GOOGLETRANSLATE(A47694, ""de"", ""en"")"),"livelihood")</f>
        <v>livelihood</v>
      </c>
    </row>
    <row r="47695">
      <c r="A47695" s="1" t="s">
        <v>47694</v>
      </c>
      <c r="B47695" s="2" t="str">
        <f>IFERROR(__xludf.DUMMYFUNCTION("GOOGLETRANSLATE(A47695, ""de"", ""en"")"),"brunettes")</f>
        <v>brunettes</v>
      </c>
    </row>
    <row r="47696">
      <c r="A47696" s="1" t="s">
        <v>47695</v>
      </c>
      <c r="B47696" s="2" t="str">
        <f>IFERROR(__xludf.DUMMYFUNCTION("GOOGLETRANSLATE(A47696, ""de"", ""en"")"),"handcrafted")</f>
        <v>handcrafted</v>
      </c>
    </row>
    <row r="47697">
      <c r="A47697" s="1" t="s">
        <v>47696</v>
      </c>
      <c r="B47697" s="2" t="str">
        <f>IFERROR(__xludf.DUMMYFUNCTION("GOOGLETRANSLATE(A47697, ""de"", ""en"")"),"reveal")</f>
        <v>reveal</v>
      </c>
    </row>
    <row r="47698">
      <c r="A47698" s="1" t="s">
        <v>47697</v>
      </c>
      <c r="B47698" s="2" t="str">
        <f>IFERROR(__xludf.DUMMYFUNCTION("GOOGLETRANSLATE(A47698, ""de"", ""en"")"),"dolittle")</f>
        <v>dolittle</v>
      </c>
    </row>
    <row r="47699">
      <c r="A47699" s="1" t="s">
        <v>47698</v>
      </c>
      <c r="B47699" s="2" t="str">
        <f>IFERROR(__xludf.DUMMYFUNCTION("GOOGLETRANSLATE(A47699, ""de"", ""en"")"),"piranha")</f>
        <v>piranha</v>
      </c>
    </row>
    <row r="47700">
      <c r="A47700" s="1" t="s">
        <v>47699</v>
      </c>
      <c r="B47700" s="2" t="str">
        <f>IFERROR(__xludf.DUMMYFUNCTION("GOOGLETRANSLATE(A47700, ""de"", ""en"")"),"told around")</f>
        <v>told around</v>
      </c>
    </row>
    <row r="47701">
      <c r="A47701" s="1" t="s">
        <v>47700</v>
      </c>
      <c r="B47701" s="2" t="str">
        <f>IFERROR(__xludf.DUMMYFUNCTION("GOOGLETRANSLATE(A47701, ""de"", ""en"")"),"home")</f>
        <v>home</v>
      </c>
    </row>
    <row r="47702">
      <c r="A47702" s="1" t="s">
        <v>47701</v>
      </c>
      <c r="B47702" s="2" t="str">
        <f>IFERROR(__xludf.DUMMYFUNCTION("GOOGLETRANSLATE(A47702, ""de"", ""en"")"),"kick")</f>
        <v>kick</v>
      </c>
    </row>
    <row r="47703">
      <c r="A47703" s="1" t="s">
        <v>47702</v>
      </c>
      <c r="B47703" s="2" t="str">
        <f>IFERROR(__xludf.DUMMYFUNCTION("GOOGLETRANSLATE(A47703, ""de"", ""en"")"),"lily of the valley")</f>
        <v>lily of the valley</v>
      </c>
    </row>
    <row r="47704">
      <c r="A47704" s="1" t="s">
        <v>47703</v>
      </c>
      <c r="B47704" s="2" t="str">
        <f>IFERROR(__xludf.DUMMYFUNCTION("GOOGLETRANSLATE(A47704, ""de"", ""en"")"),"robinsons")</f>
        <v>robinsons</v>
      </c>
    </row>
    <row r="47705">
      <c r="A47705" s="1" t="s">
        <v>47704</v>
      </c>
      <c r="B47705" s="2" t="str">
        <f>IFERROR(__xludf.DUMMYFUNCTION("GOOGLETRANSLATE(A47705, ""de"", ""en"")"),"calabria")</f>
        <v>calabria</v>
      </c>
    </row>
    <row r="47706">
      <c r="A47706" s="1" t="s">
        <v>47705</v>
      </c>
      <c r="B47706" s="2" t="str">
        <f>IFERROR(__xludf.DUMMYFUNCTION("GOOGLETRANSLATE(A47706, ""de"", ""en"")"),"skyes")</f>
        <v>skyes</v>
      </c>
    </row>
    <row r="47707">
      <c r="A47707" s="1" t="s">
        <v>47706</v>
      </c>
      <c r="B47707" s="2" t="str">
        <f>IFERROR(__xludf.DUMMYFUNCTION("GOOGLETRANSLATE(A47707, ""de"", ""en"")"),"you kill")</f>
        <v>you kill</v>
      </c>
    </row>
    <row r="47708">
      <c r="A47708" s="1" t="s">
        <v>47707</v>
      </c>
      <c r="B47708" s="2" t="str">
        <f>IFERROR(__xludf.DUMMYFUNCTION("GOOGLETRANSLATE(A47708, ""de"", ""en"")"),"Aladdin")</f>
        <v>Aladdin</v>
      </c>
    </row>
    <row r="47709">
      <c r="A47709" s="1" t="s">
        <v>47708</v>
      </c>
      <c r="B47709" s="2" t="str">
        <f>IFERROR(__xludf.DUMMYFUNCTION("GOOGLETRANSLATE(A47709, ""de"", ""en"")"),"cracked")</f>
        <v>cracked</v>
      </c>
    </row>
    <row r="47710">
      <c r="A47710" s="1" t="s">
        <v>47709</v>
      </c>
      <c r="B47710" s="2" t="str">
        <f>IFERROR(__xludf.DUMMYFUNCTION("GOOGLETRANSLATE(A47710, ""de"", ""en"")"),"pick")</f>
        <v>pick</v>
      </c>
    </row>
    <row r="47711">
      <c r="A47711" s="1" t="s">
        <v>47710</v>
      </c>
      <c r="B47711" s="2" t="str">
        <f>IFERROR(__xludf.DUMMYFUNCTION("GOOGLETRANSLATE(A47711, ""de"", ""en"")"),"deportation")</f>
        <v>deportation</v>
      </c>
    </row>
    <row r="47712">
      <c r="A47712" s="1" t="s">
        <v>47711</v>
      </c>
      <c r="B47712" s="2" t="str">
        <f>IFERROR(__xludf.DUMMYFUNCTION("GOOGLETRANSLATE(A47712, ""de"", ""en"")"),"identifier")</f>
        <v>identifier</v>
      </c>
    </row>
    <row r="47713">
      <c r="A47713" s="1" t="s">
        <v>47712</v>
      </c>
      <c r="B47713" s="2" t="str">
        <f>IFERROR(__xludf.DUMMYFUNCTION("GOOGLETRANSLATE(A47713, ""de"", ""en"")"),"Iago")</f>
        <v>Iago</v>
      </c>
    </row>
    <row r="47714">
      <c r="A47714" s="1" t="s">
        <v>47713</v>
      </c>
      <c r="B47714" s="2" t="str">
        <f>IFERROR(__xludf.DUMMYFUNCTION("GOOGLETRANSLATE(A47714, ""de"", ""en"")"),"Montenegro")</f>
        <v>Montenegro</v>
      </c>
    </row>
    <row r="47715">
      <c r="A47715" s="1" t="s">
        <v>47714</v>
      </c>
      <c r="B47715" s="2" t="str">
        <f>IFERROR(__xludf.DUMMYFUNCTION("GOOGLETRANSLATE(A47715, ""de"", ""en"")"),"steals")</f>
        <v>steals</v>
      </c>
    </row>
    <row r="47716">
      <c r="A47716" s="1" t="s">
        <v>47715</v>
      </c>
      <c r="B47716" s="2" t="str">
        <f>IFERROR(__xludf.DUMMYFUNCTION("GOOGLETRANSLATE(A47716, ""de"", ""en"")"),"pantry")</f>
        <v>pantry</v>
      </c>
    </row>
    <row r="47717">
      <c r="A47717" s="1" t="s">
        <v>47716</v>
      </c>
      <c r="B47717" s="2" t="str">
        <f>IFERROR(__xludf.DUMMYFUNCTION("GOOGLETRANSLATE(A47717, ""de"", ""en"")"),"shift")</f>
        <v>shift</v>
      </c>
    </row>
    <row r="47718">
      <c r="A47718" s="1" t="s">
        <v>47717</v>
      </c>
      <c r="B47718" s="2" t="str">
        <f>IFERROR(__xludf.DUMMYFUNCTION("GOOGLETRANSLATE(A47718, ""de"", ""en"")"),"ruler")</f>
        <v>ruler</v>
      </c>
    </row>
    <row r="47719">
      <c r="A47719" s="1" t="s">
        <v>47718</v>
      </c>
      <c r="B47719" s="2" t="str">
        <f>IFERROR(__xludf.DUMMYFUNCTION("GOOGLETRANSLATE(A47719, ""de"", ""en"")"),"niceties")</f>
        <v>niceties</v>
      </c>
    </row>
    <row r="47720">
      <c r="A47720" s="1" t="s">
        <v>47719</v>
      </c>
      <c r="B47720" s="2" t="str">
        <f>IFERROR(__xludf.DUMMYFUNCTION("GOOGLETRANSLATE(A47720, ""de"", ""en"")"),"thief")</f>
        <v>thief</v>
      </c>
    </row>
    <row r="47721">
      <c r="A47721" s="1" t="s">
        <v>47720</v>
      </c>
      <c r="B47721" s="2" t="str">
        <f>IFERROR(__xludf.DUMMYFUNCTION("GOOGLETRANSLATE(A47721, ""de"", ""en"")"),"vice")</f>
        <v>vice</v>
      </c>
    </row>
    <row r="47722">
      <c r="A47722" s="1" t="s">
        <v>47721</v>
      </c>
      <c r="B47722" s="2" t="str">
        <f>IFERROR(__xludf.DUMMYFUNCTION("GOOGLETRANSLATE(A47722, ""de"", ""en"")"),"bypass road")</f>
        <v>bypass road</v>
      </c>
    </row>
    <row r="47723">
      <c r="A47723" s="1" t="s">
        <v>47722</v>
      </c>
      <c r="B47723" s="2" t="str">
        <f>IFERROR(__xludf.DUMMYFUNCTION("GOOGLETRANSLATE(A47723, ""de"", ""en"")"),"angry")</f>
        <v>angry</v>
      </c>
    </row>
    <row r="47724">
      <c r="A47724" s="1" t="s">
        <v>47723</v>
      </c>
      <c r="B47724" s="2" t="str">
        <f>IFERROR(__xludf.DUMMYFUNCTION("GOOGLETRANSLATE(A47724, ""de"", ""en"")"),"brainstorming")</f>
        <v>brainstorming</v>
      </c>
    </row>
    <row r="47725">
      <c r="A47725" s="1" t="s">
        <v>47724</v>
      </c>
      <c r="B47725" s="2" t="str">
        <f>IFERROR(__xludf.DUMMYFUNCTION("GOOGLETRANSLATE(A47725, ""de"", ""en"")"),"amamiya")</f>
        <v>amamiya</v>
      </c>
    </row>
    <row r="47726">
      <c r="A47726" s="1" t="s">
        <v>47725</v>
      </c>
      <c r="B47726" s="2" t="str">
        <f>IFERROR(__xludf.DUMMYFUNCTION("GOOGLETRANSLATE(A47726, ""de"", ""en"")"),"budgie")</f>
        <v>budgie</v>
      </c>
    </row>
    <row r="47727">
      <c r="A47727" s="1" t="s">
        <v>47726</v>
      </c>
      <c r="B47727" s="2" t="str">
        <f>IFERROR(__xludf.DUMMYFUNCTION("GOOGLETRANSLATE(A47727, ""de"", ""en"")"),"moose")</f>
        <v>moose</v>
      </c>
    </row>
    <row r="47728">
      <c r="A47728" s="1" t="s">
        <v>47727</v>
      </c>
      <c r="B47728" s="2" t="str">
        <f>IFERROR(__xludf.DUMMYFUNCTION("GOOGLETRANSLATE(A47728, ""de"", ""en"")"),"tael")</f>
        <v>tael</v>
      </c>
    </row>
    <row r="47729">
      <c r="A47729" s="1" t="s">
        <v>47728</v>
      </c>
      <c r="B47729" s="2" t="str">
        <f>IFERROR(__xludf.DUMMYFUNCTION("GOOGLETRANSLATE(A47729, ""de"", ""en"")"),"youssef")</f>
        <v>youssef</v>
      </c>
    </row>
    <row r="47730">
      <c r="A47730" s="1" t="s">
        <v>47729</v>
      </c>
      <c r="B47730" s="2" t="str">
        <f>IFERROR(__xludf.DUMMYFUNCTION("GOOGLETRANSLATE(A47730, ""de"", ""en"")"),"torn")</f>
        <v>torn</v>
      </c>
    </row>
    <row r="47731">
      <c r="A47731" s="1" t="s">
        <v>47730</v>
      </c>
      <c r="B47731" s="2" t="str">
        <f>IFERROR(__xludf.DUMMYFUNCTION("GOOGLETRANSLATE(A47731, ""de"", ""en"")"),"suck")</f>
        <v>suck</v>
      </c>
    </row>
    <row r="47732">
      <c r="A47732" s="1" t="s">
        <v>47731</v>
      </c>
      <c r="B47732" s="2" t="str">
        <f>IFERROR(__xludf.DUMMYFUNCTION("GOOGLETRANSLATE(A47732, ""de"", ""en"")"),"geo")</f>
        <v>geo</v>
      </c>
    </row>
    <row r="47733">
      <c r="A47733" s="1" t="s">
        <v>47732</v>
      </c>
      <c r="B47733" s="2" t="str">
        <f>IFERROR(__xludf.DUMMYFUNCTION("GOOGLETRANSLATE(A47733, ""de"", ""en"")"),"love songs")</f>
        <v>love songs</v>
      </c>
    </row>
    <row r="47734">
      <c r="A47734" s="1" t="s">
        <v>47733</v>
      </c>
      <c r="B47734" s="2" t="str">
        <f>IFERROR(__xludf.DUMMYFUNCTION("GOOGLETRANSLATE(A47734, ""de"", ""en"")"),"to lay down")</f>
        <v>to lay down</v>
      </c>
    </row>
    <row r="47735">
      <c r="A47735" s="1" t="s">
        <v>47734</v>
      </c>
      <c r="B47735" s="2" t="str">
        <f>IFERROR(__xludf.DUMMYFUNCTION("GOOGLETRANSLATE(A47735, ""de"", ""en"")"),"resilient")</f>
        <v>resilient</v>
      </c>
    </row>
    <row r="47736">
      <c r="A47736" s="1" t="s">
        <v>47735</v>
      </c>
      <c r="B47736" s="2" t="str">
        <f>IFERROR(__xludf.DUMMYFUNCTION("GOOGLETRANSLATE(A47736, ""de"", ""en"")"),"Absolutely")</f>
        <v>Absolutely</v>
      </c>
    </row>
    <row r="47737">
      <c r="A47737" s="1" t="s">
        <v>47736</v>
      </c>
      <c r="B47737" s="2" t="str">
        <f>IFERROR(__xludf.DUMMYFUNCTION("GOOGLETRANSLATE(A47737, ""de"", ""en"")"),"uncooperative")</f>
        <v>uncooperative</v>
      </c>
    </row>
    <row r="47738">
      <c r="A47738" s="1" t="s">
        <v>47737</v>
      </c>
      <c r="B47738" s="2" t="str">
        <f>IFERROR(__xludf.DUMMYFUNCTION("GOOGLETRANSLATE(A47738, ""de"", ""en"")"),"knocked over")</f>
        <v>knocked over</v>
      </c>
    </row>
    <row r="47739">
      <c r="A47739" s="1" t="s">
        <v>47738</v>
      </c>
      <c r="B47739" s="2" t="str">
        <f>IFERROR(__xludf.DUMMYFUNCTION("GOOGLETRANSLATE(A47739, ""de"", ""en"")"),"duels")</f>
        <v>duels</v>
      </c>
    </row>
    <row r="47740">
      <c r="A47740" s="1" t="s">
        <v>47739</v>
      </c>
      <c r="B47740" s="2" t="str">
        <f>IFERROR(__xludf.DUMMYFUNCTION("GOOGLETRANSLATE(A47740, ""de"", ""en"")"),"diddy")</f>
        <v>diddy</v>
      </c>
    </row>
    <row r="47741">
      <c r="A47741" s="1" t="s">
        <v>47740</v>
      </c>
      <c r="B47741" s="2" t="str">
        <f>IFERROR(__xludf.DUMMYFUNCTION("GOOGLETRANSLATE(A47741, ""de"", ""en"")"),"pass")</f>
        <v>pass</v>
      </c>
    </row>
    <row r="47742">
      <c r="A47742" s="1" t="s">
        <v>47741</v>
      </c>
      <c r="B47742" s="2" t="str">
        <f>IFERROR(__xludf.DUMMYFUNCTION("GOOGLETRANSLATE(A47742, ""de"", ""en"")"),"course")</f>
        <v>course</v>
      </c>
    </row>
    <row r="47743">
      <c r="A47743" s="1" t="s">
        <v>47742</v>
      </c>
      <c r="B47743" s="2" t="str">
        <f>IFERROR(__xludf.DUMMYFUNCTION("GOOGLETRANSLATE(A47743, ""de"", ""en"")"),"emerged")</f>
        <v>emerged</v>
      </c>
    </row>
    <row r="47744">
      <c r="A47744" s="1" t="s">
        <v>47743</v>
      </c>
      <c r="B47744" s="2" t="str">
        <f>IFERROR(__xludf.DUMMYFUNCTION("GOOGLETRANSLATE(A47744, ""de"", ""en"")"),"head of state")</f>
        <v>head of state</v>
      </c>
    </row>
    <row r="47745">
      <c r="A47745" s="1" t="s">
        <v>47744</v>
      </c>
      <c r="B47745" s="2" t="str">
        <f>IFERROR(__xludf.DUMMYFUNCTION("GOOGLETRANSLATE(A47745, ""de"", ""en"")"),"real estate agent")</f>
        <v>real estate agent</v>
      </c>
    </row>
    <row r="47746">
      <c r="A47746" s="1" t="s">
        <v>47745</v>
      </c>
      <c r="B47746" s="2" t="str">
        <f>IFERROR(__xludf.DUMMYFUNCTION("GOOGLETRANSLATE(A47746, ""de"", ""en"")"),"fringe")</f>
        <v>fringe</v>
      </c>
    </row>
    <row r="47747">
      <c r="A47747" s="1" t="s">
        <v>47746</v>
      </c>
      <c r="B47747" s="2" t="str">
        <f>IFERROR(__xludf.DUMMYFUNCTION("GOOGLETRANSLATE(A47747, ""de"", ""en"")"),"segment")</f>
        <v>segment</v>
      </c>
    </row>
    <row r="47748">
      <c r="A47748" s="1" t="s">
        <v>47747</v>
      </c>
      <c r="B47748" s="2" t="str">
        <f>IFERROR(__xludf.DUMMYFUNCTION("GOOGLETRANSLATE(A47748, ""de"", ""en"")"),"takayama")</f>
        <v>takayama</v>
      </c>
    </row>
    <row r="47749">
      <c r="A47749" s="1" t="s">
        <v>47748</v>
      </c>
      <c r="B47749" s="2" t="str">
        <f>IFERROR(__xludf.DUMMYFUNCTION("GOOGLETRANSLATE(A47749, ""de"", ""en"")"),"whiplash")</f>
        <v>whiplash</v>
      </c>
    </row>
    <row r="47750">
      <c r="A47750" s="1" t="s">
        <v>47749</v>
      </c>
      <c r="B47750" s="2" t="str">
        <f>IFERROR(__xludf.DUMMYFUNCTION("GOOGLETRANSLATE(A47750, ""de"", ""en"")"),"j.c.")</f>
        <v>j.c.</v>
      </c>
    </row>
    <row r="47751">
      <c r="A47751" s="1" t="s">
        <v>47750</v>
      </c>
      <c r="B47751" s="2" t="str">
        <f>IFERROR(__xludf.DUMMYFUNCTION("GOOGLETRANSLATE(A47751, ""de"", ""en"")"),"social work")</f>
        <v>social work</v>
      </c>
    </row>
    <row r="47752">
      <c r="A47752" s="1" t="s">
        <v>47751</v>
      </c>
      <c r="B47752" s="2" t="str">
        <f>IFERROR(__xludf.DUMMYFUNCTION("GOOGLETRANSLATE(A47752, ""de"", ""en"")"),"applications")</f>
        <v>applications</v>
      </c>
    </row>
    <row r="47753">
      <c r="A47753" s="1" t="s">
        <v>47752</v>
      </c>
      <c r="B47753" s="2" t="str">
        <f>IFERROR(__xludf.DUMMYFUNCTION("GOOGLETRANSLATE(A47753, ""de"", ""en"")"),"soda water")</f>
        <v>soda water</v>
      </c>
    </row>
    <row r="47754">
      <c r="A47754" s="1" t="s">
        <v>47753</v>
      </c>
      <c r="B47754" s="2" t="str">
        <f>IFERROR(__xludf.DUMMYFUNCTION("GOOGLETRANSLATE(A47754, ""de"", ""en"")"),"grow back")</f>
        <v>grow back</v>
      </c>
    </row>
    <row r="47755">
      <c r="A47755" s="1" t="s">
        <v>47754</v>
      </c>
      <c r="B47755" s="2" t="str">
        <f>IFERROR(__xludf.DUMMYFUNCTION("GOOGLETRANSLATE(A47755, ""de"", ""en"")"),"held off")</f>
        <v>held off</v>
      </c>
    </row>
    <row r="47756">
      <c r="A47756" s="1" t="s">
        <v>47755</v>
      </c>
      <c r="B47756" s="2" t="str">
        <f>IFERROR(__xludf.DUMMYFUNCTION("GOOGLETRANSLATE(A47756, ""de"", ""en"")"),"française")</f>
        <v>française</v>
      </c>
    </row>
    <row r="47757">
      <c r="A47757" s="1" t="s">
        <v>47756</v>
      </c>
      <c r="B47757" s="2" t="str">
        <f>IFERROR(__xludf.DUMMYFUNCTION("GOOGLETRANSLATE(A47757, ""de"", ""en"")"),"grumpy")</f>
        <v>grumpy</v>
      </c>
    </row>
    <row r="47758">
      <c r="A47758" s="1" t="s">
        <v>47757</v>
      </c>
      <c r="B47758" s="2" t="str">
        <f>IFERROR(__xludf.DUMMYFUNCTION("GOOGLETRANSLATE(A47758, ""de"", ""en"")"),"dirty laundry")</f>
        <v>dirty laundry</v>
      </c>
    </row>
    <row r="47759">
      <c r="A47759" s="1" t="s">
        <v>47758</v>
      </c>
      <c r="B47759" s="2" t="str">
        <f>IFERROR(__xludf.DUMMYFUNCTION("GOOGLETRANSLATE(A47759, ""de"", ""en"")"),"survey")</f>
        <v>survey</v>
      </c>
    </row>
    <row r="47760">
      <c r="A47760" s="1" t="s">
        <v>47759</v>
      </c>
      <c r="B47760" s="2" t="str">
        <f>IFERROR(__xludf.DUMMYFUNCTION("GOOGLETRANSLATE(A47760, ""de"", ""en"")"),"lost ones")</f>
        <v>lost ones</v>
      </c>
    </row>
    <row r="47761">
      <c r="A47761" s="1" t="s">
        <v>47760</v>
      </c>
      <c r="B47761" s="2" t="str">
        <f>IFERROR(__xludf.DUMMYFUNCTION("GOOGLETRANSLATE(A47761, ""de"", ""en"")"),"peddler")</f>
        <v>peddler</v>
      </c>
    </row>
    <row r="47762">
      <c r="A47762" s="1" t="s">
        <v>47761</v>
      </c>
      <c r="B47762" s="2" t="str">
        <f>IFERROR(__xludf.DUMMYFUNCTION("GOOGLETRANSLATE(A47762, ""de"", ""en"")"),"Sherri")</f>
        <v>Sherri</v>
      </c>
    </row>
    <row r="47763">
      <c r="A47763" s="1" t="s">
        <v>47762</v>
      </c>
      <c r="B47763" s="2" t="str">
        <f>IFERROR(__xludf.DUMMYFUNCTION("GOOGLETRANSLATE(A47763, ""de"", ""en"")"),"offer")</f>
        <v>offer</v>
      </c>
    </row>
    <row r="47764">
      <c r="A47764" s="1" t="s">
        <v>47763</v>
      </c>
      <c r="B47764" s="2" t="str">
        <f>IFERROR(__xludf.DUMMYFUNCTION("GOOGLETRANSLATE(A47764, ""de"", ""en"")"),"omnis")</f>
        <v>omnis</v>
      </c>
    </row>
    <row r="47765">
      <c r="A47765" s="1" t="s">
        <v>47764</v>
      </c>
      <c r="B47765" s="2" t="str">
        <f>IFERROR(__xludf.DUMMYFUNCTION("GOOGLETRANSLATE(A47765, ""de"", ""en"")"),"reagan")</f>
        <v>reagan</v>
      </c>
    </row>
    <row r="47766">
      <c r="A47766" s="1" t="s">
        <v>47765</v>
      </c>
      <c r="B47766" s="2" t="str">
        <f>IFERROR(__xludf.DUMMYFUNCTION("GOOGLETRANSLATE(A47766, ""de"", ""en"")"),"sentence")</f>
        <v>sentence</v>
      </c>
    </row>
    <row r="47767">
      <c r="A47767" s="1" t="s">
        <v>47766</v>
      </c>
      <c r="B47767" s="2" t="str">
        <f>IFERROR(__xludf.DUMMYFUNCTION("GOOGLETRANSLATE(A47767, ""de"", ""en"")"),"thaw")</f>
        <v>thaw</v>
      </c>
    </row>
    <row r="47768">
      <c r="A47768" s="1" t="s">
        <v>47767</v>
      </c>
      <c r="B47768" s="2" t="str">
        <f>IFERROR(__xludf.DUMMYFUNCTION("GOOGLETRANSLATE(A47768, ""de"", ""en"")"),"well done")</f>
        <v>well done</v>
      </c>
    </row>
    <row r="47769">
      <c r="A47769" s="1" t="s">
        <v>47768</v>
      </c>
      <c r="B47769" s="2" t="str">
        <f>IFERROR(__xludf.DUMMYFUNCTION("GOOGLETRANSLATE(A47769, ""de"", ""en"")"),"social life")</f>
        <v>social life</v>
      </c>
    </row>
    <row r="47770">
      <c r="A47770" s="1" t="s">
        <v>47769</v>
      </c>
      <c r="B47770" s="2" t="str">
        <f>IFERROR(__xludf.DUMMYFUNCTION("GOOGLETRANSLATE(A47770, ""de"", ""en"")"),"business plan")</f>
        <v>business plan</v>
      </c>
    </row>
    <row r="47771">
      <c r="A47771" s="1" t="s">
        <v>47770</v>
      </c>
      <c r="B47771" s="2" t="str">
        <f>IFERROR(__xludf.DUMMYFUNCTION("GOOGLETRANSLATE(A47771, ""de"", ""en"")"),"space station")</f>
        <v>space station</v>
      </c>
    </row>
    <row r="47772">
      <c r="A47772" s="1" t="s">
        <v>47771</v>
      </c>
      <c r="B47772" s="2" t="str">
        <f>IFERROR(__xludf.DUMMYFUNCTION("GOOGLETRANSLATE(A47772, ""de"", ""en"")"),"x men")</f>
        <v>x men</v>
      </c>
    </row>
    <row r="47773">
      <c r="A47773" s="1" t="s">
        <v>47772</v>
      </c>
      <c r="B47773" s="2" t="str">
        <f>IFERROR(__xludf.DUMMYFUNCTION("GOOGLETRANSLATE(A47773, ""de"", ""en"")"),"huge")</f>
        <v>huge</v>
      </c>
    </row>
    <row r="47774">
      <c r="A47774" s="1" t="s">
        <v>47773</v>
      </c>
      <c r="B47774" s="2" t="str">
        <f>IFERROR(__xludf.DUMMYFUNCTION("GOOGLETRANSLATE(A47774, ""de"", ""en"")"),"ascanio")</f>
        <v>ascanio</v>
      </c>
    </row>
    <row r="47775">
      <c r="A47775" s="1" t="s">
        <v>47774</v>
      </c>
      <c r="B47775" s="2" t="str">
        <f>IFERROR(__xludf.DUMMYFUNCTION("GOOGLETRANSLATE(A47775, ""de"", ""en"")"),"robi")</f>
        <v>robi</v>
      </c>
    </row>
    <row r="47776">
      <c r="A47776" s="1" t="s">
        <v>47775</v>
      </c>
      <c r="B47776" s="2" t="str">
        <f>IFERROR(__xludf.DUMMYFUNCTION("GOOGLETRANSLATE(A47776, ""de"", ""en"")"),"attacked")</f>
        <v>attacked</v>
      </c>
    </row>
    <row r="47777">
      <c r="A47777" s="1" t="s">
        <v>47776</v>
      </c>
      <c r="B47777" s="2" t="str">
        <f>IFERROR(__xludf.DUMMYFUNCTION("GOOGLETRANSLATE(A47777, ""de"", ""en"")"),"pig")</f>
        <v>pig</v>
      </c>
    </row>
    <row r="47778">
      <c r="A47778" s="1" t="s">
        <v>47777</v>
      </c>
      <c r="B47778" s="2" t="str">
        <f>IFERROR(__xludf.DUMMYFUNCTION("GOOGLETRANSLATE(A47778, ""de"", ""en"")"),"crispin")</f>
        <v>crispin</v>
      </c>
    </row>
    <row r="47779">
      <c r="A47779" s="1" t="s">
        <v>47778</v>
      </c>
      <c r="B47779" s="2" t="str">
        <f>IFERROR(__xludf.DUMMYFUNCTION("GOOGLETRANSLATE(A47779, ""de"", ""en"")"),"long range sensors")</f>
        <v>long range sensors</v>
      </c>
    </row>
    <row r="47780">
      <c r="A47780" s="1" t="s">
        <v>47779</v>
      </c>
      <c r="B47780" s="2" t="str">
        <f>IFERROR(__xludf.DUMMYFUNCTION("GOOGLETRANSLATE(A47780, ""de"", ""en"")"),"worried")</f>
        <v>worried</v>
      </c>
    </row>
    <row r="47781">
      <c r="A47781" s="1" t="s">
        <v>47780</v>
      </c>
      <c r="B47781" s="2" t="str">
        <f>IFERROR(__xludf.DUMMYFUNCTION("GOOGLETRANSLATE(A47781, ""de"", ""en"")"),"lustful")</f>
        <v>lustful</v>
      </c>
    </row>
    <row r="47782">
      <c r="A47782" s="1" t="s">
        <v>47781</v>
      </c>
      <c r="B47782" s="2" t="str">
        <f>IFERROR(__xludf.DUMMYFUNCTION("GOOGLETRANSLATE(A47782, ""de"", ""en"")"),"typewriters")</f>
        <v>typewriters</v>
      </c>
    </row>
    <row r="47783">
      <c r="A47783" s="1" t="s">
        <v>47782</v>
      </c>
      <c r="B47783" s="2" t="str">
        <f>IFERROR(__xludf.DUMMYFUNCTION("GOOGLETRANSLATE(A47783, ""de"", ""en"")"),"debtor")</f>
        <v>debtor</v>
      </c>
    </row>
    <row r="47784">
      <c r="A47784" s="1" t="s">
        <v>47783</v>
      </c>
      <c r="B47784" s="2" t="str">
        <f>IFERROR(__xludf.DUMMYFUNCTION("GOOGLETRANSLATE(A47784, ""de"", ""en"")"),"lyra")</f>
        <v>lyra</v>
      </c>
    </row>
    <row r="47785">
      <c r="A47785" s="1" t="s">
        <v>47784</v>
      </c>
      <c r="B47785" s="2" t="str">
        <f>IFERROR(__xludf.DUMMYFUNCTION("GOOGLETRANSLATE(A47785, ""de"", ""en"")"),"Bachman")</f>
        <v>Bachman</v>
      </c>
    </row>
    <row r="47786">
      <c r="A47786" s="1" t="s">
        <v>47785</v>
      </c>
      <c r="B47786" s="2" t="str">
        <f>IFERROR(__xludf.DUMMYFUNCTION("GOOGLETRANSLATE(A47786, ""de"", ""en"")"),"sole")</f>
        <v>sole</v>
      </c>
    </row>
    <row r="47787">
      <c r="A47787" s="1" t="s">
        <v>47786</v>
      </c>
      <c r="B47787" s="2" t="str">
        <f>IFERROR(__xludf.DUMMYFUNCTION("GOOGLETRANSLATE(A47787, ""de"", ""en"")"),"complicity")</f>
        <v>complicity</v>
      </c>
    </row>
    <row r="47788">
      <c r="A47788" s="1" t="s">
        <v>47787</v>
      </c>
      <c r="B47788" s="2" t="str">
        <f>IFERROR(__xludf.DUMMYFUNCTION("GOOGLETRANSLATE(A47788, ""de"", ""en"")"),"dijon")</f>
        <v>dijon</v>
      </c>
    </row>
    <row r="47789">
      <c r="A47789" s="1" t="s">
        <v>47788</v>
      </c>
      <c r="B47789" s="2" t="str">
        <f>IFERROR(__xludf.DUMMYFUNCTION("GOOGLETRANSLATE(A47789, ""de"", ""en"")"),"pipe dream")</f>
        <v>pipe dream</v>
      </c>
    </row>
    <row r="47790">
      <c r="A47790" s="1" t="s">
        <v>47789</v>
      </c>
      <c r="B47790" s="2" t="str">
        <f>IFERROR(__xludf.DUMMYFUNCTION("GOOGLETRANSLATE(A47790, ""de"", ""en"")"),"carried away")</f>
        <v>carried away</v>
      </c>
    </row>
    <row r="47791">
      <c r="A47791" s="1" t="s">
        <v>47790</v>
      </c>
      <c r="B47791" s="2" t="str">
        <f>IFERROR(__xludf.DUMMYFUNCTION("GOOGLETRANSLATE(A47791, ""de"", ""en"")"),"nuri")</f>
        <v>nuri</v>
      </c>
    </row>
    <row r="47792">
      <c r="A47792" s="1" t="s">
        <v>47791</v>
      </c>
      <c r="B47792" s="2" t="str">
        <f>IFERROR(__xludf.DUMMYFUNCTION("GOOGLETRANSLATE(A47792, ""de"", ""en"")"),"flashed")</f>
        <v>flashed</v>
      </c>
    </row>
    <row r="47793">
      <c r="A47793" s="1" t="s">
        <v>47792</v>
      </c>
      <c r="B47793" s="2" t="str">
        <f>IFERROR(__xludf.DUMMYFUNCTION("GOOGLETRANSLATE(A47793, ""de"", ""en"")"),"insignificant")</f>
        <v>insignificant</v>
      </c>
    </row>
    <row r="47794">
      <c r="A47794" s="1" t="s">
        <v>47793</v>
      </c>
      <c r="B47794" s="2" t="str">
        <f>IFERROR(__xludf.DUMMYFUNCTION("GOOGLETRANSLATE(A47794, ""de"", ""en"")"),"alvy")</f>
        <v>alvy</v>
      </c>
    </row>
    <row r="47795">
      <c r="A47795" s="1" t="s">
        <v>47794</v>
      </c>
      <c r="B47795" s="2" t="str">
        <f>IFERROR(__xludf.DUMMYFUNCTION("GOOGLETRANSLATE(A47795, ""de"", ""en"")"),"njet")</f>
        <v>njet</v>
      </c>
    </row>
    <row r="47796">
      <c r="A47796" s="1" t="s">
        <v>47795</v>
      </c>
      <c r="B47796" s="2" t="str">
        <f>IFERROR(__xludf.DUMMYFUNCTION("GOOGLETRANSLATE(A47796, ""de"", ""en"")"),"ambiguities")</f>
        <v>ambiguities</v>
      </c>
    </row>
    <row r="47797">
      <c r="A47797" s="1" t="s">
        <v>47796</v>
      </c>
      <c r="B47797" s="2" t="str">
        <f>IFERROR(__xludf.DUMMYFUNCTION("GOOGLETRANSLATE(A47797, ""de"", ""en"")"),"creations")</f>
        <v>creations</v>
      </c>
    </row>
    <row r="47798">
      <c r="A47798" s="1" t="s">
        <v>47797</v>
      </c>
      <c r="B47798" s="2" t="str">
        <f>IFERROR(__xludf.DUMMYFUNCTION("GOOGLETRANSLATE(A47798, ""de"", ""en"")"),"British")</f>
        <v>British</v>
      </c>
    </row>
    <row r="47799">
      <c r="A47799" s="1" t="s">
        <v>47798</v>
      </c>
      <c r="B47799" s="2" t="str">
        <f>IFERROR(__xludf.DUMMYFUNCTION("GOOGLETRANSLATE(A47799, ""de"", ""en"")"),"to close")</f>
        <v>to close</v>
      </c>
    </row>
    <row r="47800">
      <c r="A47800" s="1" t="s">
        <v>47799</v>
      </c>
      <c r="B47800" s="2" t="str">
        <f>IFERROR(__xludf.DUMMYFUNCTION("GOOGLETRANSLATE(A47800, ""de"", ""en"")"),"anoint")</f>
        <v>anoint</v>
      </c>
    </row>
    <row r="47801">
      <c r="A47801" s="1" t="s">
        <v>47800</v>
      </c>
      <c r="B47801" s="2" t="str">
        <f>IFERROR(__xludf.DUMMYFUNCTION("GOOGLETRANSLATE(A47801, ""de"", ""en"")"),"fire accelerator")</f>
        <v>fire accelerator</v>
      </c>
    </row>
    <row r="47802">
      <c r="A47802" s="1" t="s">
        <v>47801</v>
      </c>
      <c r="B47802" s="2" t="str">
        <f>IFERROR(__xludf.DUMMYFUNCTION("GOOGLETRANSLATE(A47802, ""de"", ""en"")"),"to get rid of")</f>
        <v>to get rid of</v>
      </c>
    </row>
    <row r="47803">
      <c r="A47803" s="1" t="s">
        <v>47802</v>
      </c>
      <c r="B47803" s="2" t="str">
        <f>IFERROR(__xludf.DUMMYFUNCTION("GOOGLETRANSLATE(A47803, ""de"", ""en"")"),"rush")</f>
        <v>rush</v>
      </c>
    </row>
    <row r="47804">
      <c r="A47804" s="1" t="s">
        <v>47803</v>
      </c>
      <c r="B47804" s="2" t="str">
        <f>IFERROR(__xludf.DUMMYFUNCTION("GOOGLETRANSLATE(A47804, ""de"", ""en"")"),"unbalanced")</f>
        <v>unbalanced</v>
      </c>
    </row>
    <row r="47805">
      <c r="A47805" s="1" t="s">
        <v>47804</v>
      </c>
      <c r="B47805" s="2" t="str">
        <f>IFERROR(__xludf.DUMMYFUNCTION("GOOGLETRANSLATE(A47805, ""de"", ""en"")"),"shakes")</f>
        <v>shakes</v>
      </c>
    </row>
    <row r="47806">
      <c r="A47806" s="1" t="s">
        <v>47805</v>
      </c>
      <c r="B47806" s="2" t="str">
        <f>IFERROR(__xludf.DUMMYFUNCTION("GOOGLETRANSLATE(A47806, ""de"", ""en"")"),"ahead")</f>
        <v>ahead</v>
      </c>
    </row>
    <row r="47807">
      <c r="A47807" s="1" t="s">
        <v>47806</v>
      </c>
      <c r="B47807" s="2" t="str">
        <f>IFERROR(__xludf.DUMMYFUNCTION("GOOGLETRANSLATE(A47807, ""de"", ""en"")"),"pedagogy")</f>
        <v>pedagogy</v>
      </c>
    </row>
    <row r="47808">
      <c r="A47808" s="1" t="s">
        <v>47807</v>
      </c>
      <c r="B47808" s="2" t="str">
        <f>IFERROR(__xludf.DUMMYFUNCTION("GOOGLETRANSLATE(A47808, ""de"", ""en"")"),"pop music")</f>
        <v>pop music</v>
      </c>
    </row>
    <row r="47809">
      <c r="A47809" s="1" t="s">
        <v>47808</v>
      </c>
      <c r="B47809" s="2" t="str">
        <f>IFERROR(__xludf.DUMMYFUNCTION("GOOGLETRANSLATE(A47809, ""de"", ""en"")"),"pink ones")</f>
        <v>pink ones</v>
      </c>
    </row>
    <row r="47810">
      <c r="A47810" s="1" t="s">
        <v>47809</v>
      </c>
      <c r="B47810" s="2" t="str">
        <f>IFERROR(__xludf.DUMMYFUNCTION("GOOGLETRANSLATE(A47810, ""de"", ""en"")"),"school friends")</f>
        <v>school friends</v>
      </c>
    </row>
    <row r="47811">
      <c r="A47811" s="1" t="s">
        <v>47810</v>
      </c>
      <c r="B47811" s="2" t="str">
        <f>IFERROR(__xludf.DUMMYFUNCTION("GOOGLETRANSLATE(A47811, ""de"", ""en"")"),"blushes")</f>
        <v>blushes</v>
      </c>
    </row>
    <row r="47812">
      <c r="A47812" s="1" t="s">
        <v>47811</v>
      </c>
      <c r="B47812" s="2" t="str">
        <f>IFERROR(__xludf.DUMMYFUNCTION("GOOGLETRANSLATE(A47812, ""de"", ""en"")"),"obscure")</f>
        <v>obscure</v>
      </c>
    </row>
    <row r="47813">
      <c r="A47813" s="1" t="s">
        <v>47812</v>
      </c>
      <c r="B47813" s="2" t="str">
        <f>IFERROR(__xludf.DUMMYFUNCTION("GOOGLETRANSLATE(A47813, ""de"", ""en"")"),"pimping")</f>
        <v>pimping</v>
      </c>
    </row>
    <row r="47814">
      <c r="A47814" s="1" t="s">
        <v>47813</v>
      </c>
      <c r="B47814" s="2" t="str">
        <f>IFERROR(__xludf.DUMMYFUNCTION("GOOGLETRANSLATE(A47814, ""de"", ""en"")"),"Serbian")</f>
        <v>Serbian</v>
      </c>
    </row>
    <row r="47815">
      <c r="A47815" s="1" t="s">
        <v>47814</v>
      </c>
      <c r="B47815" s="2" t="str">
        <f>IFERROR(__xludf.DUMMYFUNCTION("GOOGLETRANSLATE(A47815, ""de"", ""en"")"),"raisin")</f>
        <v>raisin</v>
      </c>
    </row>
    <row r="47816">
      <c r="A47816" s="1" t="s">
        <v>47815</v>
      </c>
      <c r="B47816" s="2" t="str">
        <f>IFERROR(__xludf.DUMMYFUNCTION("GOOGLETRANSLATE(A47816, ""de"", ""en"")"),"suat")</f>
        <v>suat</v>
      </c>
    </row>
    <row r="47817">
      <c r="A47817" s="1" t="s">
        <v>47816</v>
      </c>
      <c r="B47817" s="2" t="str">
        <f>IFERROR(__xludf.DUMMYFUNCTION("GOOGLETRANSLATE(A47817, ""de"", ""en"")"),"surgical")</f>
        <v>surgical</v>
      </c>
    </row>
    <row r="47818">
      <c r="A47818" s="1" t="s">
        <v>47817</v>
      </c>
      <c r="B47818" s="2" t="str">
        <f>IFERROR(__xludf.DUMMYFUNCTION("GOOGLETRANSLATE(A47818, ""de"", ""en"")"),"yielding")</f>
        <v>yielding</v>
      </c>
    </row>
    <row r="47819">
      <c r="A47819" s="1" t="s">
        <v>47818</v>
      </c>
      <c r="B47819" s="2" t="str">
        <f>IFERROR(__xludf.DUMMYFUNCTION("GOOGLETRANSLATE(A47819, ""de"", ""en"")"),"angrier")</f>
        <v>angrier</v>
      </c>
    </row>
    <row r="47820">
      <c r="A47820" s="1" t="s">
        <v>47819</v>
      </c>
      <c r="B47820" s="2" t="str">
        <f>IFERROR(__xludf.DUMMYFUNCTION("GOOGLETRANSLATE(A47820, ""de"", ""en"")"),"doubts")</f>
        <v>doubts</v>
      </c>
    </row>
    <row r="47821">
      <c r="A47821" s="1" t="s">
        <v>47820</v>
      </c>
      <c r="B47821" s="2" t="str">
        <f>IFERROR(__xludf.DUMMYFUNCTION("GOOGLETRANSLATE(A47821, ""de"", ""en"")"),"whistle back")</f>
        <v>whistle back</v>
      </c>
    </row>
    <row r="47822">
      <c r="A47822" s="1" t="s">
        <v>47821</v>
      </c>
      <c r="B47822" s="2" t="str">
        <f>IFERROR(__xludf.DUMMYFUNCTION("GOOGLETRANSLATE(A47822, ""de"", ""en"")"),"wade")</f>
        <v>wade</v>
      </c>
    </row>
    <row r="47823">
      <c r="A47823" s="1" t="s">
        <v>47822</v>
      </c>
      <c r="B47823" s="2" t="str">
        <f>IFERROR(__xludf.DUMMYFUNCTION("GOOGLETRANSLATE(A47823, ""de"", ""en"")"),"gorgo")</f>
        <v>gorgo</v>
      </c>
    </row>
    <row r="47824">
      <c r="A47824" s="1" t="s">
        <v>47823</v>
      </c>
      <c r="B47824" s="2" t="str">
        <f>IFERROR(__xludf.DUMMYFUNCTION("GOOGLETRANSLATE(A47824, ""de"", ""en"")"),"took")</f>
        <v>took</v>
      </c>
    </row>
    <row r="47825">
      <c r="A47825" s="1" t="s">
        <v>47824</v>
      </c>
      <c r="B47825" s="2" t="str">
        <f>IFERROR(__xludf.DUMMYFUNCTION("GOOGLETRANSLATE(A47825, ""de"", ""en"")"),"luck of the draw")</f>
        <v>luck of the draw</v>
      </c>
    </row>
    <row r="47826">
      <c r="A47826" s="1" t="s">
        <v>47825</v>
      </c>
      <c r="B47826" s="2" t="str">
        <f>IFERROR(__xludf.DUMMYFUNCTION("GOOGLETRANSLATE(A47826, ""de"", ""en"")"),"Adam's apple")</f>
        <v>Adam's apple</v>
      </c>
    </row>
    <row r="47827">
      <c r="A47827" s="1" t="s">
        <v>47826</v>
      </c>
      <c r="B47827" s="2" t="str">
        <f>IFERROR(__xludf.DUMMYFUNCTION("GOOGLETRANSLATE(A47827, ""de"", ""en"")"),"alchemy")</f>
        <v>alchemy</v>
      </c>
    </row>
    <row r="47828">
      <c r="A47828" s="1" t="s">
        <v>47827</v>
      </c>
      <c r="B47828" s="2" t="str">
        <f>IFERROR(__xludf.DUMMYFUNCTION("GOOGLETRANSLATE(A47828, ""de"", ""en"")"),"south")</f>
        <v>south</v>
      </c>
    </row>
    <row r="47829">
      <c r="A47829" s="1" t="s">
        <v>47828</v>
      </c>
      <c r="B47829" s="2" t="str">
        <f>IFERROR(__xludf.DUMMYFUNCTION("GOOGLETRANSLATE(A47829, ""de"", ""en"")"),"state secret")</f>
        <v>state secret</v>
      </c>
    </row>
    <row r="47830">
      <c r="A47830" s="1" t="s">
        <v>47829</v>
      </c>
      <c r="B47830" s="2" t="str">
        <f>IFERROR(__xludf.DUMMYFUNCTION("GOOGLETRANSLATE(A47830, ""de"", ""en"")"),"undermine")</f>
        <v>undermine</v>
      </c>
    </row>
    <row r="47831">
      <c r="A47831" s="1" t="s">
        <v>47830</v>
      </c>
      <c r="B47831" s="2" t="str">
        <f>IFERROR(__xludf.DUMMYFUNCTION("GOOGLETRANSLATE(A47831, ""de"", ""en"")"),"get free")</f>
        <v>get free</v>
      </c>
    </row>
    <row r="47832">
      <c r="A47832" s="1" t="s">
        <v>47831</v>
      </c>
      <c r="B47832" s="2" t="str">
        <f>IFERROR(__xludf.DUMMYFUNCTION("GOOGLETRANSLATE(A47832, ""de"", ""en"")"),"farmers market")</f>
        <v>farmers market</v>
      </c>
    </row>
    <row r="47833">
      <c r="A47833" s="1" t="s">
        <v>47832</v>
      </c>
      <c r="B47833" s="2" t="str">
        <f>IFERROR(__xludf.DUMMYFUNCTION("GOOGLETRANSLATE(A47833, ""de"", ""en"")"),"rural")</f>
        <v>rural</v>
      </c>
    </row>
    <row r="47834">
      <c r="A47834" s="1" t="s">
        <v>47833</v>
      </c>
      <c r="B47834" s="2" t="str">
        <f>IFERROR(__xludf.DUMMYFUNCTION("GOOGLETRANSLATE(A47834, ""de"", ""en"")"),"significant")</f>
        <v>significant</v>
      </c>
    </row>
    <row r="47835">
      <c r="A47835" s="1" t="s">
        <v>47834</v>
      </c>
      <c r="B47835" s="2" t="str">
        <f>IFERROR(__xludf.DUMMYFUNCTION("GOOGLETRANSLATE(A47835, ""de"", ""en"")"),"significant")</f>
        <v>significant</v>
      </c>
    </row>
    <row r="47836">
      <c r="A47836" s="1" t="s">
        <v>47835</v>
      </c>
      <c r="B47836" s="2" t="str">
        <f>IFERROR(__xludf.DUMMYFUNCTION("GOOGLETRANSLATE(A47836, ""de"", ""en"")"),"obstetrician")</f>
        <v>obstetrician</v>
      </c>
    </row>
    <row r="47837">
      <c r="A47837" s="1" t="s">
        <v>47836</v>
      </c>
      <c r="B47837" s="2" t="str">
        <f>IFERROR(__xludf.DUMMYFUNCTION("GOOGLETRANSLATE(A47837, ""de"", ""en"")"),"playing")</f>
        <v>playing</v>
      </c>
    </row>
    <row r="47838">
      <c r="A47838" s="1" t="s">
        <v>47837</v>
      </c>
      <c r="B47838" s="2" t="str">
        <f>IFERROR(__xludf.DUMMYFUNCTION("GOOGLETRANSLATE(A47838, ""de"", ""en"")"),"kind-hearted")</f>
        <v>kind-hearted</v>
      </c>
    </row>
    <row r="47839">
      <c r="A47839" s="1" t="s">
        <v>47838</v>
      </c>
      <c r="B47839" s="2" t="str">
        <f>IFERROR(__xludf.DUMMYFUNCTION("GOOGLETRANSLATE(A47839, ""de"", ""en"")"),"depth")</f>
        <v>depth</v>
      </c>
    </row>
    <row r="47840">
      <c r="A47840" s="1" t="s">
        <v>47839</v>
      </c>
      <c r="B47840" s="2" t="str">
        <f>IFERROR(__xludf.DUMMYFUNCTION("GOOGLETRANSLATE(A47840, ""de"", ""en"")"),"pavement")</f>
        <v>pavement</v>
      </c>
    </row>
    <row r="47841">
      <c r="A47841" s="1" t="s">
        <v>47840</v>
      </c>
      <c r="B47841" s="2" t="str">
        <f>IFERROR(__xludf.DUMMYFUNCTION("GOOGLETRANSLATE(A47841, ""de"", ""en"")"),"drove home")</f>
        <v>drove home</v>
      </c>
    </row>
    <row r="47842">
      <c r="A47842" s="1" t="s">
        <v>47841</v>
      </c>
      <c r="B47842" s="2" t="str">
        <f>IFERROR(__xludf.DUMMYFUNCTION("GOOGLETRANSLATE(A47842, ""de"", ""en"")"),"serious")</f>
        <v>serious</v>
      </c>
    </row>
    <row r="47843">
      <c r="A47843" s="1" t="s">
        <v>47842</v>
      </c>
      <c r="B47843" s="2" t="str">
        <f>IFERROR(__xludf.DUMMYFUNCTION("GOOGLETRANSLATE(A47843, ""de"", ""en"")"),"mub")</f>
        <v>mub</v>
      </c>
    </row>
    <row r="47844">
      <c r="A47844" s="1" t="s">
        <v>47843</v>
      </c>
      <c r="B47844" s="2" t="str">
        <f>IFERROR(__xludf.DUMMYFUNCTION("GOOGLETRANSLATE(A47844, ""de"", ""en"")"),"buffy's")</f>
        <v>buffy's</v>
      </c>
    </row>
    <row r="47845">
      <c r="A47845" s="1" t="s">
        <v>47844</v>
      </c>
      <c r="B47845" s="2" t="str">
        <f>IFERROR(__xludf.DUMMYFUNCTION("GOOGLETRANSLATE(A47845, ""de"", ""en"")"),"world view")</f>
        <v>world view</v>
      </c>
    </row>
    <row r="47846">
      <c r="A47846" s="1" t="s">
        <v>47845</v>
      </c>
      <c r="B47846" s="2" t="str">
        <f>IFERROR(__xludf.DUMMYFUNCTION("GOOGLETRANSLATE(A47846, ""de"", ""en"")"),"colorless")</f>
        <v>colorless</v>
      </c>
    </row>
    <row r="47847">
      <c r="A47847" s="1" t="s">
        <v>47846</v>
      </c>
      <c r="B47847" s="2" t="str">
        <f>IFERROR(__xludf.DUMMYFUNCTION("GOOGLETRANSLATE(A47847, ""de"", ""en"")"),"gwynne")</f>
        <v>gwynne</v>
      </c>
    </row>
    <row r="47848">
      <c r="A47848" s="1" t="s">
        <v>47847</v>
      </c>
      <c r="B47848" s="2" t="str">
        <f>IFERROR(__xludf.DUMMYFUNCTION("GOOGLETRANSLATE(A47848, ""de"", ""en"")"),"rapid")</f>
        <v>rapid</v>
      </c>
    </row>
    <row r="47849">
      <c r="A47849" s="1" t="s">
        <v>47848</v>
      </c>
      <c r="B47849" s="2" t="str">
        <f>IFERROR(__xludf.DUMMYFUNCTION("GOOGLETRANSLATE(A47849, ""de"", ""en"")"),"striped")</f>
        <v>striped</v>
      </c>
    </row>
    <row r="47850">
      <c r="A47850" s="1" t="s">
        <v>47849</v>
      </c>
      <c r="B47850" s="2" t="str">
        <f>IFERROR(__xludf.DUMMYFUNCTION("GOOGLETRANSLATE(A47850, ""de"", ""en"")"),"to lure away")</f>
        <v>to lure away</v>
      </c>
    </row>
    <row r="47851">
      <c r="A47851" s="1" t="s">
        <v>47850</v>
      </c>
      <c r="B47851" s="2" t="str">
        <f>IFERROR(__xludf.DUMMYFUNCTION("GOOGLETRANSLATE(A47851, ""de"", ""en"")"),"tormentor")</f>
        <v>tormentor</v>
      </c>
    </row>
    <row r="47852">
      <c r="A47852" s="1" t="s">
        <v>47851</v>
      </c>
      <c r="B47852" s="2" t="str">
        <f>IFERROR(__xludf.DUMMYFUNCTION("GOOGLETRANSLATE(A47852, ""de"", ""en"")"),"exhumation")</f>
        <v>exhumation</v>
      </c>
    </row>
    <row r="47853">
      <c r="A47853" s="1" t="s">
        <v>47852</v>
      </c>
      <c r="B47853" s="2" t="str">
        <f>IFERROR(__xludf.DUMMYFUNCTION("GOOGLETRANSLATE(A47853, ""de"", ""en"")"),"proof")</f>
        <v>proof</v>
      </c>
    </row>
    <row r="47854">
      <c r="A47854" s="1" t="s">
        <v>47853</v>
      </c>
      <c r="B47854" s="2" t="str">
        <f>IFERROR(__xludf.DUMMYFUNCTION("GOOGLETRANSLATE(A47854, ""de"", ""en"")"),"redhead")</f>
        <v>redhead</v>
      </c>
    </row>
    <row r="47855">
      <c r="A47855" s="1" t="s">
        <v>47854</v>
      </c>
      <c r="B47855" s="2" t="str">
        <f>IFERROR(__xludf.DUMMYFUNCTION("GOOGLETRANSLATE(A47855, ""de"", ""en"")"),"slimy")</f>
        <v>slimy</v>
      </c>
    </row>
    <row r="47856">
      <c r="A47856" s="1" t="s">
        <v>47855</v>
      </c>
      <c r="B47856" s="2" t="str">
        <f>IFERROR(__xludf.DUMMYFUNCTION("GOOGLETRANSLATE(A47856, ""de"", ""en"")"),"most amazing")</f>
        <v>most amazing</v>
      </c>
    </row>
    <row r="47857">
      <c r="A47857" s="1" t="s">
        <v>47856</v>
      </c>
      <c r="B47857" s="2" t="str">
        <f>IFERROR(__xludf.DUMMYFUNCTION("GOOGLETRANSLATE(A47857, ""de"", ""en"")"),"know")</f>
        <v>know</v>
      </c>
    </row>
    <row r="47858">
      <c r="A47858" s="1" t="s">
        <v>47857</v>
      </c>
      <c r="B47858" s="2" t="str">
        <f>IFERROR(__xludf.DUMMYFUNCTION("GOOGLETRANSLATE(A47858, ""de"", ""en"")"),"main character")</f>
        <v>main character</v>
      </c>
    </row>
    <row r="47859">
      <c r="A47859" s="1" t="s">
        <v>47858</v>
      </c>
      <c r="B47859" s="2" t="str">
        <f>IFERROR(__xludf.DUMMYFUNCTION("GOOGLETRANSLATE(A47859, ""de"", ""en"")"),"traveled back")</f>
        <v>traveled back</v>
      </c>
    </row>
    <row r="47860">
      <c r="A47860" s="1" t="s">
        <v>47859</v>
      </c>
      <c r="B47860" s="2" t="str">
        <f>IFERROR(__xludf.DUMMYFUNCTION("GOOGLETRANSLATE(A47860, ""de"", ""en"")"),"rushed")</f>
        <v>rushed</v>
      </c>
    </row>
    <row r="47861">
      <c r="A47861" s="1" t="s">
        <v>47860</v>
      </c>
      <c r="B47861" s="2" t="str">
        <f>IFERROR(__xludf.DUMMYFUNCTION("GOOGLETRANSLATE(A47861, ""de"", ""en"")"),"sprain")</f>
        <v>sprain</v>
      </c>
    </row>
    <row r="47862">
      <c r="A47862" s="1" t="s">
        <v>47861</v>
      </c>
      <c r="B47862" s="2" t="str">
        <f>IFERROR(__xludf.DUMMYFUNCTION("GOOGLETRANSLATE(A47862, ""de"", ""en"")"),"more eager")</f>
        <v>more eager</v>
      </c>
    </row>
    <row r="47863">
      <c r="A47863" s="1" t="s">
        <v>47862</v>
      </c>
      <c r="B47863" s="2" t="str">
        <f>IFERROR(__xludf.DUMMYFUNCTION("GOOGLETRANSLATE(A47863, ""de"", ""en"")"),"take together")</f>
        <v>take together</v>
      </c>
    </row>
    <row r="47864">
      <c r="A47864" s="1" t="s">
        <v>47863</v>
      </c>
      <c r="B47864" s="2" t="str">
        <f>IFERROR(__xludf.DUMMYFUNCTION("GOOGLETRANSLATE(A47864, ""de"", ""en"")"),"neuville")</f>
        <v>neuville</v>
      </c>
    </row>
    <row r="47865">
      <c r="A47865" s="1" t="s">
        <v>47864</v>
      </c>
      <c r="B47865" s="2" t="str">
        <f>IFERROR(__xludf.DUMMYFUNCTION("GOOGLETRANSLATE(A47865, ""de"", ""en"")"),"probably")</f>
        <v>probably</v>
      </c>
    </row>
    <row r="47866">
      <c r="A47866" s="1" t="s">
        <v>47865</v>
      </c>
      <c r="B47866" s="2" t="str">
        <f>IFERROR(__xludf.DUMMYFUNCTION("GOOGLETRANSLATE(A47866, ""de"", ""en"")"),"starlight")</f>
        <v>starlight</v>
      </c>
    </row>
    <row r="47867">
      <c r="A47867" s="1" t="s">
        <v>47866</v>
      </c>
      <c r="B47867" s="2" t="str">
        <f>IFERROR(__xludf.DUMMYFUNCTION("GOOGLETRANSLATE(A47867, ""de"", ""en"")"),"bend")</f>
        <v>bend</v>
      </c>
    </row>
    <row r="47868">
      <c r="A47868" s="1" t="s">
        <v>47867</v>
      </c>
      <c r="B47868" s="2" t="str">
        <f>IFERROR(__xludf.DUMMYFUNCTION("GOOGLETRANSLATE(A47868, ""de"", ""en"")"),"sadik")</f>
        <v>sadik</v>
      </c>
    </row>
    <row r="47869">
      <c r="A47869" s="1" t="s">
        <v>47868</v>
      </c>
      <c r="B47869" s="2" t="str">
        <f>IFERROR(__xludf.DUMMYFUNCTION("GOOGLETRANSLATE(A47869, ""de"", ""en"")"),"exit wound")</f>
        <v>exit wound</v>
      </c>
    </row>
    <row r="47870">
      <c r="A47870" s="1" t="s">
        <v>47869</v>
      </c>
      <c r="B47870" s="2" t="str">
        <f>IFERROR(__xludf.DUMMYFUNCTION("GOOGLETRANSLATE(A47870, ""de"", ""en"")"),"dwarves")</f>
        <v>dwarves</v>
      </c>
    </row>
    <row r="47871">
      <c r="A47871" s="1" t="s">
        <v>47870</v>
      </c>
      <c r="B47871" s="2" t="str">
        <f>IFERROR(__xludf.DUMMYFUNCTION("GOOGLETRANSLATE(A47871, ""de"", ""en"")"),"selfish")</f>
        <v>selfish</v>
      </c>
    </row>
    <row r="47872">
      <c r="A47872" s="1" t="s">
        <v>47871</v>
      </c>
      <c r="B47872" s="2" t="str">
        <f>IFERROR(__xludf.DUMMYFUNCTION("GOOGLETRANSLATE(A47872, ""de"", ""en"")"),"deliver")</f>
        <v>deliver</v>
      </c>
    </row>
    <row r="47873">
      <c r="A47873" s="1" t="s">
        <v>47872</v>
      </c>
      <c r="B47873" s="2" t="str">
        <f>IFERROR(__xludf.DUMMYFUNCTION("GOOGLETRANSLATE(A47873, ""de"", ""en"")"),"nonnatus house")</f>
        <v>nonnatus house</v>
      </c>
    </row>
    <row r="47874">
      <c r="A47874" s="1" t="s">
        <v>47873</v>
      </c>
      <c r="B47874" s="2" t="str">
        <f>IFERROR(__xludf.DUMMYFUNCTION("GOOGLETRANSLATE(A47874, ""de"", ""en"")"),"appropriate")</f>
        <v>appropriate</v>
      </c>
    </row>
    <row r="47875">
      <c r="A47875" s="1" t="s">
        <v>47874</v>
      </c>
      <c r="B47875" s="2" t="str">
        <f>IFERROR(__xludf.DUMMYFUNCTION("GOOGLETRANSLATE(A47875, ""de"", ""en"")"),"to add")</f>
        <v>to add</v>
      </c>
    </row>
    <row r="47876">
      <c r="A47876" s="1" t="s">
        <v>47875</v>
      </c>
      <c r="B47876" s="2" t="str">
        <f>IFERROR(__xludf.DUMMYFUNCTION("GOOGLETRANSLATE(A47876, ""de"", ""en"")"),"cas")</f>
        <v>cas</v>
      </c>
    </row>
    <row r="47877">
      <c r="A47877" s="1" t="s">
        <v>47876</v>
      </c>
      <c r="B47877" s="2" t="str">
        <f>IFERROR(__xludf.DUMMYFUNCTION("GOOGLETRANSLATE(A47877, ""de"", ""en"")"),"pushed forward")</f>
        <v>pushed forward</v>
      </c>
    </row>
    <row r="47878">
      <c r="A47878" s="1" t="s">
        <v>47877</v>
      </c>
      <c r="B47878" s="2" t="str">
        <f>IFERROR(__xludf.DUMMYFUNCTION("GOOGLETRANSLATE(A47878, ""de"", ""en"")"),"kept there")</f>
        <v>kept there</v>
      </c>
    </row>
    <row r="47879">
      <c r="A47879" s="1" t="s">
        <v>47878</v>
      </c>
      <c r="B47879" s="2" t="str">
        <f>IFERROR(__xludf.DUMMYFUNCTION("GOOGLETRANSLATE(A47879, ""de"", ""en"")"),"wildest")</f>
        <v>wildest</v>
      </c>
    </row>
    <row r="47880">
      <c r="A47880" s="1" t="s">
        <v>47879</v>
      </c>
      <c r="B47880" s="2" t="str">
        <f>IFERROR(__xludf.DUMMYFUNCTION("GOOGLETRANSLATE(A47880, ""de"", ""en"")"),"compensated")</f>
        <v>compensated</v>
      </c>
    </row>
    <row r="47881">
      <c r="A47881" s="1" t="s">
        <v>47880</v>
      </c>
      <c r="B47881" s="2" t="str">
        <f>IFERROR(__xludf.DUMMYFUNCTION("GOOGLETRANSLATE(A47881, ""de"", ""en"")"),"schoolboys")</f>
        <v>schoolboys</v>
      </c>
    </row>
    <row r="47882">
      <c r="A47882" s="1" t="s">
        <v>47881</v>
      </c>
      <c r="B47882" s="2" t="str">
        <f>IFERROR(__xludf.DUMMYFUNCTION("GOOGLETRANSLATE(A47882, ""de"", ""en"")"),"catrina")</f>
        <v>catrina</v>
      </c>
    </row>
    <row r="47883">
      <c r="A47883" s="1" t="s">
        <v>47882</v>
      </c>
      <c r="B47883" s="2" t="str">
        <f>IFERROR(__xludf.DUMMYFUNCTION("GOOGLETRANSLATE(A47883, ""de"", ""en"")"),"risky")</f>
        <v>risky</v>
      </c>
    </row>
    <row r="47884">
      <c r="A47884" s="1" t="s">
        <v>47883</v>
      </c>
      <c r="B47884" s="2" t="str">
        <f>IFERROR(__xludf.DUMMYFUNCTION("GOOGLETRANSLATE(A47884, ""de"", ""en"")"),"supposed")</f>
        <v>supposed</v>
      </c>
    </row>
    <row r="47885">
      <c r="A47885" s="1" t="s">
        <v>47884</v>
      </c>
      <c r="B47885" s="2" t="str">
        <f>IFERROR(__xludf.DUMMYFUNCTION("GOOGLETRANSLATE(A47885, ""de"", ""en"")"),"most of all")</f>
        <v>most of all</v>
      </c>
    </row>
    <row r="47886">
      <c r="A47886" s="1" t="s">
        <v>47885</v>
      </c>
      <c r="B47886" s="2" t="str">
        <f>IFERROR(__xludf.DUMMYFUNCTION("GOOGLETRANSLATE(A47886, ""de"", ""en"")"),"shrieked")</f>
        <v>shrieked</v>
      </c>
    </row>
    <row r="47887">
      <c r="A47887" s="1" t="s">
        <v>47886</v>
      </c>
      <c r="B47887" s="2" t="str">
        <f>IFERROR(__xludf.DUMMYFUNCTION("GOOGLETRANSLATE(A47887, ""de"", ""en"")"),"cut off")</f>
        <v>cut off</v>
      </c>
    </row>
    <row r="47888">
      <c r="A47888" s="1" t="s">
        <v>47887</v>
      </c>
      <c r="B47888" s="2" t="str">
        <f>IFERROR(__xludf.DUMMYFUNCTION("GOOGLETRANSLATE(A47888, ""de"", ""en"")"),"greenville")</f>
        <v>greenville</v>
      </c>
    </row>
    <row r="47889">
      <c r="A47889" s="1" t="s">
        <v>47888</v>
      </c>
      <c r="B47889" s="2" t="str">
        <f>IFERROR(__xludf.DUMMYFUNCTION("GOOGLETRANSLATE(A47889, ""de"", ""en"")"),"bride")</f>
        <v>bride</v>
      </c>
    </row>
    <row r="47890">
      <c r="A47890" s="1" t="s">
        <v>47889</v>
      </c>
      <c r="B47890" s="2" t="str">
        <f>IFERROR(__xludf.DUMMYFUNCTION("GOOGLETRANSLATE(A47890, ""de"", ""en"")"),"buttermilk")</f>
        <v>buttermilk</v>
      </c>
    </row>
    <row r="47891">
      <c r="A47891" s="1" t="s">
        <v>47890</v>
      </c>
      <c r="B47891" s="2" t="str">
        <f>IFERROR(__xludf.DUMMYFUNCTION("GOOGLETRANSLATE(A47891, ""de"", ""en"")"),"shatter")</f>
        <v>shatter</v>
      </c>
    </row>
    <row r="47892">
      <c r="A47892" s="1" t="s">
        <v>47891</v>
      </c>
      <c r="B47892" s="2" t="str">
        <f>IFERROR(__xludf.DUMMYFUNCTION("GOOGLETRANSLATE(A47892, ""de"", ""en"")"),"African")</f>
        <v>African</v>
      </c>
    </row>
    <row r="47893">
      <c r="A47893" s="1" t="s">
        <v>47892</v>
      </c>
      <c r="B47893" s="2" t="str">
        <f>IFERROR(__xludf.DUMMYFUNCTION("GOOGLETRANSLATE(A47893, ""de"", ""en"")"),"passengers")</f>
        <v>passengers</v>
      </c>
    </row>
    <row r="47894">
      <c r="A47894" s="1" t="s">
        <v>47893</v>
      </c>
      <c r="B47894" s="2" t="str">
        <f>IFERROR(__xludf.DUMMYFUNCTION("GOOGLETRANSLATE(A47894, ""de"", ""en"")"),"scurvy")</f>
        <v>scurvy</v>
      </c>
    </row>
    <row r="47895">
      <c r="A47895" s="1" t="s">
        <v>47894</v>
      </c>
      <c r="B47895" s="2" t="str">
        <f>IFERROR(__xludf.DUMMYFUNCTION("GOOGLETRANSLATE(A47895, ""de"", ""en"")"),"security consultant")</f>
        <v>security consultant</v>
      </c>
    </row>
    <row r="47896">
      <c r="A47896" s="1" t="s">
        <v>47895</v>
      </c>
      <c r="B47896" s="2" t="str">
        <f>IFERROR(__xludf.DUMMYFUNCTION("GOOGLETRANSLATE(A47896, ""de"", ""en"")"),"recycled")</f>
        <v>recycled</v>
      </c>
    </row>
    <row r="47897">
      <c r="A47897" s="1" t="s">
        <v>47896</v>
      </c>
      <c r="B47897" s="2" t="str">
        <f>IFERROR(__xludf.DUMMYFUNCTION("GOOGLETRANSLATE(A47897, ""de"", ""en"")"),"dried up")</f>
        <v>dried up</v>
      </c>
    </row>
    <row r="47898">
      <c r="A47898" s="1" t="s">
        <v>47897</v>
      </c>
      <c r="B47898" s="2" t="str">
        <f>IFERROR(__xludf.DUMMYFUNCTION("GOOGLETRANSLATE(A47898, ""de"", ""en"")"),"panic room")</f>
        <v>panic room</v>
      </c>
    </row>
    <row r="47899">
      <c r="A47899" s="1" t="s">
        <v>47898</v>
      </c>
      <c r="B47899" s="2" t="str">
        <f>IFERROR(__xludf.DUMMYFUNCTION("GOOGLETRANSLATE(A47899, ""de"", ""en"")"),"stoned")</f>
        <v>stoned</v>
      </c>
    </row>
    <row r="47900">
      <c r="A47900" s="1" t="s">
        <v>47899</v>
      </c>
      <c r="B47900" s="2" t="str">
        <f>IFERROR(__xludf.DUMMYFUNCTION("GOOGLETRANSLATE(A47900, ""de"", ""en"")"),"damons")</f>
        <v>damons</v>
      </c>
    </row>
    <row r="47901">
      <c r="A47901" s="1" t="s">
        <v>47900</v>
      </c>
      <c r="B47901" s="2" t="str">
        <f>IFERROR(__xludf.DUMMYFUNCTION("GOOGLETRANSLATE(A47901, ""de"", ""en"")"),"inscriptions")</f>
        <v>inscriptions</v>
      </c>
    </row>
    <row r="47902">
      <c r="A47902" s="1" t="s">
        <v>47901</v>
      </c>
      <c r="B47902" s="2" t="str">
        <f>IFERROR(__xludf.DUMMYFUNCTION("GOOGLETRANSLATE(A47902, ""de"", ""en"")"),"jingles")</f>
        <v>jingles</v>
      </c>
    </row>
    <row r="47903">
      <c r="A47903" s="1" t="s">
        <v>47902</v>
      </c>
      <c r="B47903" s="2" t="str">
        <f>IFERROR(__xludf.DUMMYFUNCTION("GOOGLETRANSLATE(A47903, ""de"", ""en"")"),"rumbles")</f>
        <v>rumbles</v>
      </c>
    </row>
    <row r="47904">
      <c r="A47904" s="1" t="s">
        <v>47903</v>
      </c>
      <c r="B47904" s="2" t="str">
        <f>IFERROR(__xludf.DUMMYFUNCTION("GOOGLETRANSLATE(A47904, ""de"", ""en"")"),"twenty-three")</f>
        <v>twenty-three</v>
      </c>
    </row>
    <row r="47905">
      <c r="A47905" s="1" t="s">
        <v>47904</v>
      </c>
      <c r="B47905" s="2" t="str">
        <f>IFERROR(__xludf.DUMMYFUNCTION("GOOGLETRANSLATE(A47905, ""de"", ""en"")"),"highlands")</f>
        <v>highlands</v>
      </c>
    </row>
    <row r="47906">
      <c r="A47906" s="1" t="s">
        <v>47905</v>
      </c>
      <c r="B47906" s="2" t="str">
        <f>IFERROR(__xludf.DUMMYFUNCTION("GOOGLETRANSLATE(A47906, ""de"", ""en"")"),"mookie")</f>
        <v>mookie</v>
      </c>
    </row>
    <row r="47907">
      <c r="A47907" s="1" t="s">
        <v>47906</v>
      </c>
      <c r="B47907" s="2" t="str">
        <f>IFERROR(__xludf.DUMMYFUNCTION("GOOGLETRANSLATE(A47907, ""de"", ""en"")"),"withheld")</f>
        <v>withheld</v>
      </c>
    </row>
    <row r="47908">
      <c r="A47908" s="1" t="s">
        <v>47907</v>
      </c>
      <c r="B47908" s="2" t="str">
        <f>IFERROR(__xludf.DUMMYFUNCTION("GOOGLETRANSLATE(A47908, ""de"", ""en"")"),"to tap into")</f>
        <v>to tap into</v>
      </c>
    </row>
    <row r="47909">
      <c r="A47909" s="1" t="s">
        <v>47908</v>
      </c>
      <c r="B47909" s="2" t="str">
        <f>IFERROR(__xludf.DUMMYFUNCTION("GOOGLETRANSLATE(A47909, ""de"", ""en"")"),"tabor")</f>
        <v>tabor</v>
      </c>
    </row>
    <row r="47910">
      <c r="A47910" s="1" t="s">
        <v>47909</v>
      </c>
      <c r="B47910" s="2" t="str">
        <f>IFERROR(__xludf.DUMMYFUNCTION("GOOGLETRANSLATE(A47910, ""de"", ""en"")"),"swimming team")</f>
        <v>swimming team</v>
      </c>
    </row>
    <row r="47911">
      <c r="A47911" s="1" t="s">
        <v>47910</v>
      </c>
      <c r="B47911" s="2" t="str">
        <f>IFERROR(__xludf.DUMMYFUNCTION("GOOGLETRANSLATE(A47911, ""de"", ""en"")"),"pxxx")</f>
        <v>pxxx</v>
      </c>
    </row>
    <row r="47912">
      <c r="A47912" s="1" t="s">
        <v>47911</v>
      </c>
      <c r="B47912" s="2" t="str">
        <f>IFERROR(__xludf.DUMMYFUNCTION("GOOGLETRANSLATE(A47912, ""de"", ""en"")"),"serious crimes")</f>
        <v>serious crimes</v>
      </c>
    </row>
    <row r="47913">
      <c r="A47913" s="1" t="s">
        <v>47912</v>
      </c>
      <c r="B47913" s="2" t="str">
        <f>IFERROR(__xludf.DUMMYFUNCTION("GOOGLETRANSLATE(A47913, ""de"", ""en"")"),"salina")</f>
        <v>salina</v>
      </c>
    </row>
    <row r="47914">
      <c r="A47914" s="1" t="s">
        <v>47913</v>
      </c>
      <c r="B47914" s="2" t="str">
        <f>IFERROR(__xludf.DUMMYFUNCTION("GOOGLETRANSLATE(A47914, ""de"", ""en"")"),"stitch")</f>
        <v>stitch</v>
      </c>
    </row>
    <row r="47915">
      <c r="A47915" s="1" t="s">
        <v>47914</v>
      </c>
      <c r="B47915" s="2" t="str">
        <f>IFERROR(__xludf.DUMMYFUNCTION("GOOGLETRANSLATE(A47915, ""de"", ""en"")"),"hexenbiest")</f>
        <v>hexenbiest</v>
      </c>
    </row>
    <row r="47916">
      <c r="A47916" s="1" t="s">
        <v>47915</v>
      </c>
      <c r="B47916" s="2" t="str">
        <f>IFERROR(__xludf.DUMMYFUNCTION("GOOGLETRANSLATE(A47916, ""de"", ""en"")"),"main witness")</f>
        <v>main witness</v>
      </c>
    </row>
    <row r="47917">
      <c r="A47917" s="1" t="s">
        <v>47916</v>
      </c>
      <c r="B47917" s="2" t="str">
        <f>IFERROR(__xludf.DUMMYFUNCTION("GOOGLETRANSLATE(A47917, ""de"", ""en"")"),"Prissy")</f>
        <v>Prissy</v>
      </c>
    </row>
    <row r="47918">
      <c r="A47918" s="1" t="s">
        <v>47917</v>
      </c>
      <c r="B47918" s="2" t="str">
        <f>IFERROR(__xludf.DUMMYFUNCTION("GOOGLETRANSLATE(A47918, ""de"", ""en"")"),"mckinney")</f>
        <v>mckinney</v>
      </c>
    </row>
    <row r="47919">
      <c r="A47919" s="1" t="s">
        <v>47918</v>
      </c>
      <c r="B47919" s="2" t="str">
        <f>IFERROR(__xludf.DUMMYFUNCTION("GOOGLETRANSLATE(A47919, ""de"", ""en"")"),"medical association")</f>
        <v>medical association</v>
      </c>
    </row>
    <row r="47920">
      <c r="A47920" s="1" t="s">
        <v>47919</v>
      </c>
      <c r="B47920" s="2" t="str">
        <f>IFERROR(__xludf.DUMMYFUNCTION("GOOGLETRANSLATE(A47920, ""de"", ""en"")"),"bedwetter")</f>
        <v>bedwetter</v>
      </c>
    </row>
    <row r="47921">
      <c r="A47921" s="1" t="s">
        <v>47920</v>
      </c>
      <c r="B47921" s="2" t="str">
        <f>IFERROR(__xludf.DUMMYFUNCTION("GOOGLETRANSLATE(A47921, ""de"", ""en"")"),"tax audit")</f>
        <v>tax audit</v>
      </c>
    </row>
    <row r="47922">
      <c r="A47922" s="1" t="s">
        <v>47921</v>
      </c>
      <c r="B47922" s="2" t="str">
        <f>IFERROR(__xludf.DUMMYFUNCTION("GOOGLETRANSLATE(A47922, ""de"", ""en"")"),"cretin")</f>
        <v>cretin</v>
      </c>
    </row>
    <row r="47923">
      <c r="A47923" s="1" t="s">
        <v>47922</v>
      </c>
      <c r="B47923" s="2" t="str">
        <f>IFERROR(__xludf.DUMMYFUNCTION("GOOGLETRANSLATE(A47923, ""de"", ""en"")"),"cougars")</f>
        <v>cougars</v>
      </c>
    </row>
    <row r="47924">
      <c r="A47924" s="1" t="s">
        <v>47923</v>
      </c>
      <c r="B47924" s="2" t="str">
        <f>IFERROR(__xludf.DUMMYFUNCTION("GOOGLETRANSLATE(A47924, ""de"", ""en"")"),"caused")</f>
        <v>caused</v>
      </c>
    </row>
    <row r="47925">
      <c r="A47925" s="1" t="s">
        <v>47924</v>
      </c>
      <c r="B47925" s="2" t="str">
        <f>IFERROR(__xludf.DUMMYFUNCTION("GOOGLETRANSLATE(A47925, ""de"", ""en"")"),"think back")</f>
        <v>think back</v>
      </c>
    </row>
    <row r="47926">
      <c r="A47926" s="1" t="s">
        <v>47925</v>
      </c>
      <c r="B47926" s="2" t="str">
        <f>IFERROR(__xludf.DUMMYFUNCTION("GOOGLETRANSLATE(A47926, ""de"", ""en"")"),"sikozu")</f>
        <v>sikozu</v>
      </c>
    </row>
    <row r="47927">
      <c r="A47927" s="1" t="s">
        <v>47926</v>
      </c>
      <c r="B47927" s="2" t="str">
        <f>IFERROR(__xludf.DUMMYFUNCTION("GOOGLETRANSLATE(A47927, ""de"", ""en"")"),"dembe")</f>
        <v>dembe</v>
      </c>
    </row>
    <row r="47928">
      <c r="A47928" s="1" t="s">
        <v>47927</v>
      </c>
      <c r="B47928" s="2" t="str">
        <f>IFERROR(__xludf.DUMMYFUNCTION("GOOGLETRANSLATE(A47928, ""de"", ""en"")"),"superglue")</f>
        <v>superglue</v>
      </c>
    </row>
    <row r="47929">
      <c r="A47929" s="1" t="s">
        <v>47928</v>
      </c>
      <c r="B47929" s="2" t="str">
        <f>IFERROR(__xludf.DUMMYFUNCTION("GOOGLETRANSLATE(A47929, ""de"", ""en"")"),"closes")</f>
        <v>closes</v>
      </c>
    </row>
    <row r="47930">
      <c r="A47930" s="1" t="s">
        <v>47929</v>
      </c>
      <c r="B47930" s="2" t="str">
        <f>IFERROR(__xludf.DUMMYFUNCTION("GOOGLETRANSLATE(A47930, ""de"", ""en"")"),"brittle")</f>
        <v>brittle</v>
      </c>
    </row>
    <row r="47931">
      <c r="A47931" s="1" t="s">
        <v>47930</v>
      </c>
      <c r="B47931" s="2" t="str">
        <f>IFERROR(__xludf.DUMMYFUNCTION("GOOGLETRANSLATE(A47931, ""de"", ""en"")"),"sobering cell")</f>
        <v>sobering cell</v>
      </c>
    </row>
    <row r="47932">
      <c r="A47932" s="1" t="s">
        <v>47931</v>
      </c>
      <c r="B47932" s="2" t="str">
        <f>IFERROR(__xludf.DUMMYFUNCTION("GOOGLETRANSLATE(A47932, ""de"", ""en"")"),"knock out")</f>
        <v>knock out</v>
      </c>
    </row>
    <row r="47933">
      <c r="A47933" s="1" t="s">
        <v>47932</v>
      </c>
      <c r="B47933" s="2" t="str">
        <f>IFERROR(__xludf.DUMMYFUNCTION("GOOGLETRANSLATE(A47933, ""de"", ""en"")"),"record time")</f>
        <v>record time</v>
      </c>
    </row>
    <row r="47934">
      <c r="A47934" s="1" t="s">
        <v>47933</v>
      </c>
      <c r="B47934" s="2" t="str">
        <f>IFERROR(__xludf.DUMMYFUNCTION("GOOGLETRANSLATE(A47934, ""de"", ""en"")"),"group")</f>
        <v>group</v>
      </c>
    </row>
    <row r="47935">
      <c r="A47935" s="1" t="s">
        <v>47934</v>
      </c>
      <c r="B47935" s="2" t="str">
        <f>IFERROR(__xludf.DUMMYFUNCTION("GOOGLETRANSLATE(A47935, ""de"", ""en"")"),"search engine")</f>
        <v>search engine</v>
      </c>
    </row>
    <row r="47936">
      <c r="A47936" s="1" t="s">
        <v>47935</v>
      </c>
      <c r="B47936" s="2" t="str">
        <f>IFERROR(__xludf.DUMMYFUNCTION("GOOGLETRANSLATE(A47936, ""de"", ""en"")"),"politician")</f>
        <v>politician</v>
      </c>
    </row>
    <row r="47937">
      <c r="A47937" s="1" t="s">
        <v>47936</v>
      </c>
      <c r="B47937" s="2" t="str">
        <f>IFERROR(__xludf.DUMMYFUNCTION("GOOGLETRANSLATE(A47937, ""de"", ""en"")"),"hostile")</f>
        <v>hostile</v>
      </c>
    </row>
    <row r="47938">
      <c r="A47938" s="1" t="s">
        <v>47937</v>
      </c>
      <c r="B47938" s="2" t="str">
        <f>IFERROR(__xludf.DUMMYFUNCTION("GOOGLETRANSLATE(A47938, ""de"", ""en"")"),"whales")</f>
        <v>whales</v>
      </c>
    </row>
    <row r="47939">
      <c r="A47939" s="1" t="s">
        <v>47938</v>
      </c>
      <c r="B47939" s="2" t="str">
        <f>IFERROR(__xludf.DUMMYFUNCTION("GOOGLETRANSLATE(A47939, ""de"", ""en"")"),"effectiveness")</f>
        <v>effectiveness</v>
      </c>
    </row>
    <row r="47940">
      <c r="A47940" s="1" t="s">
        <v>47939</v>
      </c>
      <c r="B47940" s="2" t="str">
        <f>IFERROR(__xludf.DUMMYFUNCTION("GOOGLETRANSLATE(A47940, ""de"", ""en"")"),"colorful")</f>
        <v>colorful</v>
      </c>
    </row>
    <row r="47941">
      <c r="A47941" s="1" t="s">
        <v>47940</v>
      </c>
      <c r="B47941" s="2" t="str">
        <f>IFERROR(__xludf.DUMMYFUNCTION("GOOGLETRANSLATE(A47941, ""de"", ""en"")"),"camilo")</f>
        <v>camilo</v>
      </c>
    </row>
    <row r="47942">
      <c r="A47942" s="1" t="s">
        <v>47941</v>
      </c>
      <c r="B47942" s="2" t="str">
        <f>IFERROR(__xludf.DUMMYFUNCTION("GOOGLETRANSLATE(A47942, ""de"", ""en"")"),"mhh")</f>
        <v>mhh</v>
      </c>
    </row>
    <row r="47943">
      <c r="A47943" s="1" t="s">
        <v>47942</v>
      </c>
      <c r="B47943" s="2" t="str">
        <f>IFERROR(__xludf.DUMMYFUNCTION("GOOGLETRANSLATE(A47943, ""de"", ""en"")"),"sneaker")</f>
        <v>sneaker</v>
      </c>
    </row>
    <row r="47944">
      <c r="A47944" s="1" t="s">
        <v>47943</v>
      </c>
      <c r="B47944" s="2" t="str">
        <f>IFERROR(__xludf.DUMMYFUNCTION("GOOGLETRANSLATE(A47944, ""de"", ""en"")"),"monitored")</f>
        <v>monitored</v>
      </c>
    </row>
    <row r="47945">
      <c r="A47945" s="1" t="s">
        <v>47944</v>
      </c>
      <c r="B47945" s="2" t="str">
        <f>IFERROR(__xludf.DUMMYFUNCTION("GOOGLETRANSLATE(A47945, ""de"", ""en"")"),"rizvan")</f>
        <v>rizvan</v>
      </c>
    </row>
    <row r="47946">
      <c r="A47946" s="1" t="s">
        <v>47945</v>
      </c>
      <c r="B47946" s="2" t="str">
        <f>IFERROR(__xludf.DUMMYFUNCTION("GOOGLETRANSLATE(A47946, ""de"", ""en"")"),"bite")</f>
        <v>bite</v>
      </c>
    </row>
    <row r="47947">
      <c r="A47947" s="1" t="s">
        <v>47946</v>
      </c>
      <c r="B47947" s="2" t="str">
        <f>IFERROR(__xludf.DUMMYFUNCTION("GOOGLETRANSLATE(A47947, ""de"", ""en"")"),"rainey")</f>
        <v>rainey</v>
      </c>
    </row>
    <row r="47948">
      <c r="A47948" s="1" t="s">
        <v>47947</v>
      </c>
      <c r="B47948" s="2" t="str">
        <f>IFERROR(__xludf.DUMMYFUNCTION("GOOGLETRANSLATE(A47948, ""de"", ""en"")"),"yodels")</f>
        <v>yodels</v>
      </c>
    </row>
    <row r="47949">
      <c r="A47949" s="1" t="s">
        <v>47948</v>
      </c>
      <c r="B47949" s="2" t="str">
        <f>IFERROR(__xludf.DUMMYFUNCTION("GOOGLETRANSLATE(A47949, ""de"", ""en"")"),"more chronic")</f>
        <v>more chronic</v>
      </c>
    </row>
    <row r="47950">
      <c r="A47950" s="1" t="s">
        <v>47949</v>
      </c>
      <c r="B47950" s="2" t="str">
        <f>IFERROR(__xludf.DUMMYFUNCTION("GOOGLETRANSLATE(A47950, ""de"", ""en"")"),"megs")</f>
        <v>megs</v>
      </c>
    </row>
    <row r="47951">
      <c r="A47951" s="1" t="s">
        <v>47950</v>
      </c>
      <c r="B47951" s="2" t="str">
        <f>IFERROR(__xludf.DUMMYFUNCTION("GOOGLETRANSLATE(A47951, ""de"", ""en"")"),"rented")</f>
        <v>rented</v>
      </c>
    </row>
    <row r="47952">
      <c r="A47952" s="1" t="s">
        <v>47951</v>
      </c>
      <c r="B47952" s="2" t="str">
        <f>IFERROR(__xludf.DUMMYFUNCTION("GOOGLETRANSLATE(A47952, ""de"", ""en"")"),"ethnic")</f>
        <v>ethnic</v>
      </c>
    </row>
    <row r="47953">
      <c r="A47953" s="1" t="s">
        <v>47952</v>
      </c>
      <c r="B47953" s="2" t="str">
        <f>IFERROR(__xludf.DUMMYFUNCTION("GOOGLETRANSLATE(A47953, ""de"", ""en"")"),"natural law")</f>
        <v>natural law</v>
      </c>
    </row>
    <row r="47954">
      <c r="A47954" s="1" t="s">
        <v>47953</v>
      </c>
      <c r="B47954" s="2" t="str">
        <f>IFERROR(__xludf.DUMMYFUNCTION("GOOGLETRANSLATE(A47954, ""de"", ""en"")"),"insurance agent")</f>
        <v>insurance agent</v>
      </c>
    </row>
    <row r="47955">
      <c r="A47955" s="1" t="s">
        <v>47954</v>
      </c>
      <c r="B47955" s="2" t="str">
        <f>IFERROR(__xludf.DUMMYFUNCTION("GOOGLETRANSLATE(A47955, ""de"", ""en"")"),"lakes")</f>
        <v>lakes</v>
      </c>
    </row>
    <row r="47956">
      <c r="A47956" s="1" t="s">
        <v>47955</v>
      </c>
      <c r="B47956" s="2" t="str">
        <f>IFERROR(__xludf.DUMMYFUNCTION("GOOGLETRANSLATE(A47956, ""de"", ""en"")"),"clothes")</f>
        <v>clothes</v>
      </c>
    </row>
    <row r="47957">
      <c r="A47957" s="1" t="s">
        <v>47956</v>
      </c>
      <c r="B47957" s="2" t="str">
        <f>IFERROR(__xludf.DUMMYFUNCTION("GOOGLETRANSLATE(A47957, ""de"", ""en"")"),"Sumatra")</f>
        <v>Sumatra</v>
      </c>
    </row>
    <row r="47958">
      <c r="A47958" s="1" t="s">
        <v>47957</v>
      </c>
      <c r="B47958" s="2" t="str">
        <f>IFERROR(__xludf.DUMMYFUNCTION("GOOGLETRANSLATE(A47958, ""de"", ""en"")"),"otilia")</f>
        <v>otilia</v>
      </c>
    </row>
    <row r="47959">
      <c r="A47959" s="1" t="s">
        <v>47958</v>
      </c>
      <c r="B47959" s="2" t="str">
        <f>IFERROR(__xludf.DUMMYFUNCTION("GOOGLETRANSLATE(A47959, ""de"", ""en"")"),"attend")</f>
        <v>attend</v>
      </c>
    </row>
    <row r="47960">
      <c r="A47960" s="1" t="s">
        <v>47959</v>
      </c>
      <c r="B47960" s="2" t="str">
        <f>IFERROR(__xludf.DUMMYFUNCTION("GOOGLETRANSLATE(A47960, ""de"", ""en"")"),"put in")</f>
        <v>put in</v>
      </c>
    </row>
    <row r="47961">
      <c r="A47961" s="1" t="s">
        <v>47960</v>
      </c>
      <c r="B47961" s="2" t="str">
        <f>IFERROR(__xludf.DUMMYFUNCTION("GOOGLETRANSLATE(A47961, ""de"", ""en"")"),"Finnish")</f>
        <v>Finnish</v>
      </c>
    </row>
    <row r="47962">
      <c r="A47962" s="1" t="s">
        <v>47961</v>
      </c>
      <c r="B47962" s="2" t="str">
        <f>IFERROR(__xludf.DUMMYFUNCTION("GOOGLETRANSLATE(A47962, ""de"", ""en"")"),"paisley")</f>
        <v>paisley</v>
      </c>
    </row>
    <row r="47963">
      <c r="A47963" s="1" t="s">
        <v>47962</v>
      </c>
      <c r="B47963" s="2" t="str">
        <f>IFERROR(__xludf.DUMMYFUNCTION("GOOGLETRANSLATE(A47963, ""de"", ""en"")"),"persevere")</f>
        <v>persevere</v>
      </c>
    </row>
    <row r="47964">
      <c r="A47964" s="1" t="s">
        <v>47963</v>
      </c>
      <c r="B47964" s="2" t="str">
        <f>IFERROR(__xludf.DUMMYFUNCTION("GOOGLETRANSLATE(A47964, ""de"", ""en"")"),"New England")</f>
        <v>New England</v>
      </c>
    </row>
    <row r="47965">
      <c r="A47965" s="1" t="s">
        <v>47964</v>
      </c>
      <c r="B47965" s="2" t="str">
        <f>IFERROR(__xludf.DUMMYFUNCTION("GOOGLETRANSLATE(A47965, ""de"", ""en"")"),"2nd")</f>
        <v>2nd</v>
      </c>
    </row>
    <row r="47966">
      <c r="A47966" s="1" t="s">
        <v>47965</v>
      </c>
      <c r="B47966" s="2" t="str">
        <f>IFERROR(__xludf.DUMMYFUNCTION("GOOGLETRANSLATE(A47966, ""de"", ""en"")"),"gondolas")</f>
        <v>gondolas</v>
      </c>
    </row>
    <row r="47967">
      <c r="A47967" s="1" t="s">
        <v>47966</v>
      </c>
      <c r="B47967" s="2" t="str">
        <f>IFERROR(__xludf.DUMMYFUNCTION("GOOGLETRANSLATE(A47967, ""de"", ""en"")"),"training wheels")</f>
        <v>training wheels</v>
      </c>
    </row>
    <row r="47968">
      <c r="A47968" s="1" t="s">
        <v>47967</v>
      </c>
      <c r="B47968" s="2" t="str">
        <f>IFERROR(__xludf.DUMMYFUNCTION("GOOGLETRANSLATE(A47968, ""de"", ""en"")"),"porn films")</f>
        <v>porn films</v>
      </c>
    </row>
    <row r="47969">
      <c r="A47969" s="1" t="s">
        <v>47968</v>
      </c>
      <c r="B47969" s="2" t="str">
        <f>IFERROR(__xludf.DUMMYFUNCTION("GOOGLETRANSLATE(A47969, ""de"", ""en"")"),"lifeless")</f>
        <v>lifeless</v>
      </c>
    </row>
    <row r="47970">
      <c r="A47970" s="1" t="s">
        <v>47969</v>
      </c>
      <c r="B47970" s="2" t="str">
        <f>IFERROR(__xludf.DUMMYFUNCTION("GOOGLETRANSLATE(A47970, ""de"", ""en"")"),"warlike")</f>
        <v>warlike</v>
      </c>
    </row>
    <row r="47971">
      <c r="A47971" s="1" t="s">
        <v>47970</v>
      </c>
      <c r="B47971" s="2" t="str">
        <f>IFERROR(__xludf.DUMMYFUNCTION("GOOGLETRANSLATE(A47971, ""de"", ""en"")"),"lagertha")</f>
        <v>lagertha</v>
      </c>
    </row>
    <row r="47972">
      <c r="A47972" s="1" t="s">
        <v>47971</v>
      </c>
      <c r="B47972" s="2" t="str">
        <f>IFERROR(__xludf.DUMMYFUNCTION("GOOGLETRANSLATE(A47972, ""de"", ""en"")"),"rash")</f>
        <v>rash</v>
      </c>
    </row>
    <row r="47973">
      <c r="A47973" s="1" t="s">
        <v>47972</v>
      </c>
      <c r="B47973" s="2" t="str">
        <f>IFERROR(__xludf.DUMMYFUNCTION("GOOGLETRANSLATE(A47973, ""de"", ""en"")"),"flan")</f>
        <v>flan</v>
      </c>
    </row>
    <row r="47974">
      <c r="A47974" s="1" t="s">
        <v>47973</v>
      </c>
      <c r="B47974" s="2" t="str">
        <f>IFERROR(__xludf.DUMMYFUNCTION("GOOGLETRANSLATE(A47974, ""de"", ""en"")"),"to slaughter")</f>
        <v>to slaughter</v>
      </c>
    </row>
    <row r="47975">
      <c r="A47975" s="1" t="s">
        <v>47974</v>
      </c>
      <c r="B47975" s="2" t="str">
        <f>IFERROR(__xludf.DUMMYFUNCTION("GOOGLETRANSLATE(A47975, ""de"", ""en"")"),"rival")</f>
        <v>rival</v>
      </c>
    </row>
    <row r="47976">
      <c r="A47976" s="1" t="s">
        <v>47975</v>
      </c>
      <c r="B47976" s="2" t="str">
        <f>IFERROR(__xludf.DUMMYFUNCTION("GOOGLETRANSLATE(A47976, ""de"", ""en"")"),"condoms")</f>
        <v>condoms</v>
      </c>
    </row>
    <row r="47977">
      <c r="A47977" s="1" t="s">
        <v>47976</v>
      </c>
      <c r="B47977" s="2" t="str">
        <f>IFERROR(__xludf.DUMMYFUNCTION("GOOGLETRANSLATE(A47977, ""de"", ""en"")"),"entirety")</f>
        <v>entirety</v>
      </c>
    </row>
    <row r="47978">
      <c r="A47978" s="1" t="s">
        <v>47977</v>
      </c>
      <c r="B47978" s="2" t="str">
        <f>IFERROR(__xludf.DUMMYFUNCTION("GOOGLETRANSLATE(A47978, ""de"", ""en"")"),"gambini")</f>
        <v>gambini</v>
      </c>
    </row>
    <row r="47979">
      <c r="A47979" s="1" t="s">
        <v>47978</v>
      </c>
      <c r="B47979" s="2" t="str">
        <f>IFERROR(__xludf.DUMMYFUNCTION("GOOGLETRANSLATE(A47979, ""de"", ""en"")"),"mature")</f>
        <v>mature</v>
      </c>
    </row>
    <row r="47980">
      <c r="A47980" s="1" t="s">
        <v>47979</v>
      </c>
      <c r="B47980" s="2" t="str">
        <f>IFERROR(__xludf.DUMMYFUNCTION("GOOGLETRANSLATE(A47980, ""de"", ""en"")"),"mya")</f>
        <v>mya</v>
      </c>
    </row>
    <row r="47981">
      <c r="A47981" s="1" t="s">
        <v>47980</v>
      </c>
      <c r="B47981" s="2" t="str">
        <f>IFERROR(__xludf.DUMMYFUNCTION("GOOGLETRANSLATE(A47981, ""de"", ""en"")"),"created")</f>
        <v>created</v>
      </c>
    </row>
    <row r="47982">
      <c r="A47982" s="1" t="s">
        <v>47981</v>
      </c>
      <c r="B47982" s="2" t="str">
        <f>IFERROR(__xludf.DUMMYFUNCTION("GOOGLETRANSLATE(A47982, ""de"", ""en"")"),"reston")</f>
        <v>reston</v>
      </c>
    </row>
    <row r="47983">
      <c r="A47983" s="1" t="s">
        <v>47982</v>
      </c>
      <c r="B47983" s="2" t="str">
        <f>IFERROR(__xludf.DUMMYFUNCTION("GOOGLETRANSLATE(A47983, ""de"", ""en"")"),"wither")</f>
        <v>wither</v>
      </c>
    </row>
    <row r="47984">
      <c r="A47984" s="1" t="s">
        <v>47983</v>
      </c>
      <c r="B47984" s="2" t="str">
        <f>IFERROR(__xludf.DUMMYFUNCTION("GOOGLETRANSLATE(A47984, ""de"", ""en"")"),"blacken")</f>
        <v>blacken</v>
      </c>
    </row>
    <row r="47985">
      <c r="A47985" s="1" t="s">
        <v>47984</v>
      </c>
      <c r="B47985" s="2" t="str">
        <f>IFERROR(__xludf.DUMMYFUNCTION("GOOGLETRANSLATE(A47985, ""de"", ""en"")"),"dye")</f>
        <v>dye</v>
      </c>
    </row>
    <row r="47986">
      <c r="A47986" s="1" t="s">
        <v>47985</v>
      </c>
      <c r="B47986" s="2" t="str">
        <f>IFERROR(__xludf.DUMMYFUNCTION("GOOGLETRANSLATE(A47986, ""de"", ""en"")"),"chemical factory")</f>
        <v>chemical factory</v>
      </c>
    </row>
    <row r="47987">
      <c r="A47987" s="1" t="s">
        <v>47986</v>
      </c>
      <c r="B47987" s="2" t="str">
        <f>IFERROR(__xludf.DUMMYFUNCTION("GOOGLETRANSLATE(A47987, ""de"", ""en"")"),"separation")</f>
        <v>separation</v>
      </c>
    </row>
    <row r="47988">
      <c r="A47988" s="1" t="s">
        <v>47987</v>
      </c>
      <c r="B47988" s="2" t="str">
        <f>IFERROR(__xludf.DUMMYFUNCTION("GOOGLETRANSLATE(A47988, ""de"", ""en"")"),"freaks out")</f>
        <v>freaks out</v>
      </c>
    </row>
    <row r="47989">
      <c r="A47989" s="1" t="s">
        <v>47988</v>
      </c>
      <c r="B47989" s="2" t="str">
        <f>IFERROR(__xludf.DUMMYFUNCTION("GOOGLETRANSLATE(A47989, ""de"", ""en"")"),"sprinkles")</f>
        <v>sprinkles</v>
      </c>
    </row>
    <row r="47990">
      <c r="A47990" s="1" t="s">
        <v>47989</v>
      </c>
      <c r="B47990" s="2" t="str">
        <f>IFERROR(__xludf.DUMMYFUNCTION("GOOGLETRANSLATE(A47990, ""de"", ""en"")"),"command post")</f>
        <v>command post</v>
      </c>
    </row>
    <row r="47991">
      <c r="A47991" s="1" t="s">
        <v>47990</v>
      </c>
      <c r="B47991" s="2" t="str">
        <f>IFERROR(__xludf.DUMMYFUNCTION("GOOGLETRANSLATE(A47991, ""de"", ""en"")"),"special")</f>
        <v>special</v>
      </c>
    </row>
    <row r="47992">
      <c r="A47992" s="1" t="s">
        <v>47991</v>
      </c>
      <c r="B47992" s="2" t="str">
        <f>IFERROR(__xludf.DUMMYFUNCTION("GOOGLETRANSLATE(A47992, ""de"", ""en"")"),"rancher")</f>
        <v>rancher</v>
      </c>
    </row>
    <row r="47993">
      <c r="A47993" s="1" t="s">
        <v>47992</v>
      </c>
      <c r="B47993" s="2" t="str">
        <f>IFERROR(__xludf.DUMMYFUNCTION("GOOGLETRANSLATE(A47993, ""de"", ""en"")"),"storage room")</f>
        <v>storage room</v>
      </c>
    </row>
    <row r="47994">
      <c r="A47994" s="1" t="s">
        <v>47993</v>
      </c>
      <c r="B47994" s="2" t="str">
        <f>IFERROR(__xludf.DUMMYFUNCTION("GOOGLETRANSLATE(A47994, ""de"", ""en"")"),"gimme")</f>
        <v>gimme</v>
      </c>
    </row>
    <row r="47995">
      <c r="A47995" s="1" t="s">
        <v>47994</v>
      </c>
      <c r="B47995" s="2" t="str">
        <f>IFERROR(__xludf.DUMMYFUNCTION("GOOGLETRANSLATE(A47995, ""de"", ""en"")"),"m-16")</f>
        <v>m-16</v>
      </c>
    </row>
    <row r="47996">
      <c r="A47996" s="1" t="s">
        <v>47995</v>
      </c>
      <c r="B47996" s="2" t="str">
        <f>IFERROR(__xludf.DUMMYFUNCTION("GOOGLETRANSLATE(A47996, ""de"", ""en"")"),"infiltrated")</f>
        <v>infiltrated</v>
      </c>
    </row>
    <row r="47997">
      <c r="A47997" s="1" t="s">
        <v>47996</v>
      </c>
      <c r="B47997" s="2" t="str">
        <f>IFERROR(__xludf.DUMMYFUNCTION("GOOGLETRANSLATE(A47997, ""de"", ""en"")"),"thousands and thousands")</f>
        <v>thousands and thousands</v>
      </c>
    </row>
    <row r="47998">
      <c r="A47998" s="1" t="s">
        <v>47997</v>
      </c>
      <c r="B47998" s="2" t="str">
        <f>IFERROR(__xludf.DUMMYFUNCTION("GOOGLETRANSLATE(A47998, ""de"", ""en"")"),"rapid")</f>
        <v>rapid</v>
      </c>
    </row>
    <row r="47999">
      <c r="A47999" s="1" t="s">
        <v>47998</v>
      </c>
      <c r="B47999" s="2" t="str">
        <f>IFERROR(__xludf.DUMMYFUNCTION("GOOGLETRANSLATE(A47999, ""de"", ""en"")"),"mackerel")</f>
        <v>mackerel</v>
      </c>
    </row>
    <row r="48000">
      <c r="A48000" s="1" t="s">
        <v>47999</v>
      </c>
      <c r="B48000" s="2" t="str">
        <f>IFERROR(__xludf.DUMMYFUNCTION("GOOGLETRANSLATE(A48000, ""de"", ""en"")"),"broad")</f>
        <v>broad</v>
      </c>
    </row>
    <row r="48001">
      <c r="A48001" s="1" t="s">
        <v>48000</v>
      </c>
      <c r="B48001" s="2" t="str">
        <f>IFERROR(__xludf.DUMMYFUNCTION("GOOGLETRANSLATE(A48001, ""de"", ""en"")"),"renamed")</f>
        <v>renamed</v>
      </c>
    </row>
    <row r="48002">
      <c r="A48002" s="1" t="s">
        <v>48001</v>
      </c>
      <c r="B48002" s="2" t="str">
        <f>IFERROR(__xludf.DUMMYFUNCTION("GOOGLETRANSLATE(A48002, ""de"", ""en"")"),"tomahawk")</f>
        <v>tomahawk</v>
      </c>
    </row>
    <row r="48003">
      <c r="A48003" s="1" t="s">
        <v>48002</v>
      </c>
      <c r="B48003" s="2" t="str">
        <f>IFERROR(__xludf.DUMMYFUNCTION("GOOGLETRANSLATE(A48003, ""de"", ""en"")"),"dun")</f>
        <v>dun</v>
      </c>
    </row>
    <row r="48004">
      <c r="A48004" s="1" t="s">
        <v>48003</v>
      </c>
      <c r="B48004" s="2" t="str">
        <f>IFERROR(__xludf.DUMMYFUNCTION("GOOGLETRANSLATE(A48004, ""de"", ""en"")"),"vaughns")</f>
        <v>vaughns</v>
      </c>
    </row>
    <row r="48005">
      <c r="A48005" s="1" t="s">
        <v>48004</v>
      </c>
      <c r="B48005" s="2" t="str">
        <f>IFERROR(__xludf.DUMMYFUNCTION("GOOGLETRANSLATE(A48005, ""de"", ""en"")"),"disconnect")</f>
        <v>disconnect</v>
      </c>
    </row>
    <row r="48006">
      <c r="A48006" s="1" t="s">
        <v>48005</v>
      </c>
      <c r="B48006" s="2" t="str">
        <f>IFERROR(__xludf.DUMMYFUNCTION("GOOGLETRANSLATE(A48006, ""de"", ""en"")"),"escort")</f>
        <v>escort</v>
      </c>
    </row>
    <row r="48007">
      <c r="A48007" s="1" t="s">
        <v>48006</v>
      </c>
      <c r="B48007" s="2" t="str">
        <f>IFERROR(__xludf.DUMMYFUNCTION("GOOGLETRANSLATE(A48007, ""de"", ""en"")"),"nanna")</f>
        <v>nanna</v>
      </c>
    </row>
    <row r="48008">
      <c r="A48008" s="1" t="s">
        <v>48007</v>
      </c>
      <c r="B48008" s="2" t="str">
        <f>IFERROR(__xludf.DUMMYFUNCTION("GOOGLETRANSLATE(A48008, ""de"", ""en"")"),"krumitz")</f>
        <v>krumitz</v>
      </c>
    </row>
    <row r="48009">
      <c r="A48009" s="1" t="s">
        <v>48008</v>
      </c>
      <c r="B48009" s="2" t="str">
        <f>IFERROR(__xludf.DUMMYFUNCTION("GOOGLETRANSLATE(A48009, ""de"", ""en"")"),"Swedish")</f>
        <v>Swedish</v>
      </c>
    </row>
    <row r="48010">
      <c r="A48010" s="1" t="s">
        <v>48009</v>
      </c>
      <c r="B48010" s="2" t="str">
        <f>IFERROR(__xludf.DUMMYFUNCTION("GOOGLETRANSLATE(A48010, ""de"", ""en"")"),"clogged")</f>
        <v>clogged</v>
      </c>
    </row>
    <row r="48011">
      <c r="A48011" s="1" t="s">
        <v>48010</v>
      </c>
      <c r="B48011" s="2" t="str">
        <f>IFERROR(__xludf.DUMMYFUNCTION("GOOGLETRANSLATE(A48011, ""de"", ""en"")"),"puritan")</f>
        <v>puritan</v>
      </c>
    </row>
    <row r="48012">
      <c r="A48012" s="1" t="s">
        <v>48011</v>
      </c>
      <c r="B48012" s="2" t="str">
        <f>IFERROR(__xludf.DUMMYFUNCTION("GOOGLETRANSLATE(A48012, ""de"", ""en"")"),"strange")</f>
        <v>strange</v>
      </c>
    </row>
    <row r="48013">
      <c r="A48013" s="1" t="s">
        <v>48012</v>
      </c>
      <c r="B48013" s="2" t="str">
        <f>IFERROR(__xludf.DUMMYFUNCTION("GOOGLETRANSLATE(A48013, ""de"", ""en"")"),"vibes")</f>
        <v>vibes</v>
      </c>
    </row>
    <row r="48014">
      <c r="A48014" s="1" t="s">
        <v>48013</v>
      </c>
      <c r="B48014" s="2" t="str">
        <f>IFERROR(__xludf.DUMMYFUNCTION("GOOGLETRANSLATE(A48014, ""de"", ""en"")"),"performances")</f>
        <v>performances</v>
      </c>
    </row>
    <row r="48015">
      <c r="A48015" s="1" t="s">
        <v>48014</v>
      </c>
      <c r="B48015" s="2" t="str">
        <f>IFERROR(__xludf.DUMMYFUNCTION("GOOGLETRANSLATE(A48015, ""de"", ""en"")"),"norén")</f>
        <v>norén</v>
      </c>
    </row>
    <row r="48016">
      <c r="A48016" s="1" t="s">
        <v>48015</v>
      </c>
      <c r="B48016" s="2" t="str">
        <f>IFERROR(__xludf.DUMMYFUNCTION("GOOGLETRANSLATE(A48016, ""de"", ""en"")"),"parrot")</f>
        <v>parrot</v>
      </c>
    </row>
    <row r="48017">
      <c r="A48017" s="1" t="s">
        <v>48016</v>
      </c>
      <c r="B48017" s="2" t="str">
        <f>IFERROR(__xludf.DUMMYFUNCTION("GOOGLETRANSLATE(A48017, ""de"", ""en"")"),"poetic")</f>
        <v>poetic</v>
      </c>
    </row>
    <row r="48018">
      <c r="A48018" s="1" t="s">
        <v>48017</v>
      </c>
      <c r="B48018" s="2" t="str">
        <f>IFERROR(__xludf.DUMMYFUNCTION("GOOGLETRANSLATE(A48018, ""de"", ""en"")"),"sullivans")</f>
        <v>sullivans</v>
      </c>
    </row>
    <row r="48019">
      <c r="A48019" s="1" t="s">
        <v>48018</v>
      </c>
      <c r="B48019" s="2" t="str">
        <f>IFERROR(__xludf.DUMMYFUNCTION("GOOGLETRANSLATE(A48019, ""de"", ""en"")"),"Brandon's")</f>
        <v>Brandon's</v>
      </c>
    </row>
    <row r="48020">
      <c r="A48020" s="1" t="s">
        <v>48019</v>
      </c>
      <c r="B48020" s="2" t="str">
        <f>IFERROR(__xludf.DUMMYFUNCTION("GOOGLETRANSLATE(A48020, ""de"", ""en"")"),"yoichi")</f>
        <v>yoichi</v>
      </c>
    </row>
    <row r="48021">
      <c r="A48021" s="1" t="s">
        <v>48020</v>
      </c>
      <c r="B48021" s="2" t="str">
        <f>IFERROR(__xludf.DUMMYFUNCTION("GOOGLETRANSLATE(A48021, ""de"", ""en"")"),"reduction")</f>
        <v>reduction</v>
      </c>
    </row>
    <row r="48022">
      <c r="A48022" s="1" t="s">
        <v>48021</v>
      </c>
      <c r="B48022" s="2" t="str">
        <f>IFERROR(__xludf.DUMMYFUNCTION("GOOGLETRANSLATE(A48022, ""de"", ""en"")"),"manilow")</f>
        <v>manilow</v>
      </c>
    </row>
    <row r="48023">
      <c r="A48023" s="1" t="s">
        <v>48022</v>
      </c>
      <c r="B48023" s="2" t="str">
        <f>IFERROR(__xludf.DUMMYFUNCTION("GOOGLETRANSLATE(A48023, ""de"", ""en"")"),"memory gaps")</f>
        <v>memory gaps</v>
      </c>
    </row>
    <row r="48024">
      <c r="A48024" s="1" t="s">
        <v>48023</v>
      </c>
      <c r="B48024" s="2" t="str">
        <f>IFERROR(__xludf.DUMMYFUNCTION("GOOGLETRANSLATE(A48024, ""de"", ""en"")"),"cujo")</f>
        <v>cujo</v>
      </c>
    </row>
    <row r="48025">
      <c r="A48025" s="1" t="s">
        <v>48024</v>
      </c>
      <c r="B48025" s="2" t="str">
        <f>IFERROR(__xludf.DUMMYFUNCTION("GOOGLETRANSLATE(A48025, ""de"", ""en"")"),"accessory")</f>
        <v>accessory</v>
      </c>
    </row>
    <row r="48026">
      <c r="A48026" s="1" t="s">
        <v>48025</v>
      </c>
      <c r="B48026" s="2" t="str">
        <f>IFERROR(__xludf.DUMMYFUNCTION("GOOGLETRANSLATE(A48026, ""de"", ""en"")"),"tufts")</f>
        <v>tufts</v>
      </c>
    </row>
    <row r="48027">
      <c r="A48027" s="1" t="s">
        <v>48026</v>
      </c>
      <c r="B48027" s="2" t="str">
        <f>IFERROR(__xludf.DUMMYFUNCTION("GOOGLETRANSLATE(A48027, ""de"", ""en"")"),"tact")</f>
        <v>tact</v>
      </c>
    </row>
    <row r="48028">
      <c r="A48028" s="1" t="s">
        <v>48027</v>
      </c>
      <c r="B48028" s="2" t="str">
        <f>IFERROR(__xludf.DUMMYFUNCTION("GOOGLETRANSLATE(A48028, ""de"", ""en"")"),"beaujolais")</f>
        <v>beaujolais</v>
      </c>
    </row>
    <row r="48029">
      <c r="A48029" s="1" t="s">
        <v>48028</v>
      </c>
      <c r="B48029" s="2" t="str">
        <f>IFERROR(__xludf.DUMMYFUNCTION("GOOGLETRANSLATE(A48029, ""de"", ""en"")"),"announce")</f>
        <v>announce</v>
      </c>
    </row>
    <row r="48030">
      <c r="A48030" s="1" t="s">
        <v>48029</v>
      </c>
      <c r="B48030" s="2" t="str">
        <f>IFERROR(__xludf.DUMMYFUNCTION("GOOGLETRANSLATE(A48030, ""de"", ""en"")"),"cockiness")</f>
        <v>cockiness</v>
      </c>
    </row>
    <row r="48031">
      <c r="A48031" s="1" t="s">
        <v>48030</v>
      </c>
      <c r="B48031" s="2" t="str">
        <f>IFERROR(__xludf.DUMMYFUNCTION("GOOGLETRANSLATE(A48031, ""de"", ""en"")"),"more shy")</f>
        <v>more shy</v>
      </c>
    </row>
    <row r="48032">
      <c r="A48032" s="1" t="s">
        <v>48031</v>
      </c>
      <c r="B48032" s="2" t="str">
        <f>IFERROR(__xludf.DUMMYFUNCTION("GOOGLETRANSLATE(A48032, ""de"", ""en"")"),"aristocrat")</f>
        <v>aristocrat</v>
      </c>
    </row>
    <row r="48033">
      <c r="A48033" s="1" t="s">
        <v>48032</v>
      </c>
      <c r="B48033" s="2" t="str">
        <f>IFERROR(__xludf.DUMMYFUNCTION("GOOGLETRANSLATE(A48033, ""de"", ""en"")"),"polina")</f>
        <v>polina</v>
      </c>
    </row>
    <row r="48034">
      <c r="A48034" s="1" t="s">
        <v>48033</v>
      </c>
      <c r="B48034" s="2" t="str">
        <f>IFERROR(__xludf.DUMMYFUNCTION("GOOGLETRANSLATE(A48034, ""de"", ""en"")"),"mobley")</f>
        <v>mobley</v>
      </c>
    </row>
    <row r="48035">
      <c r="A48035" s="1" t="s">
        <v>48034</v>
      </c>
      <c r="B48035" s="2" t="str">
        <f>IFERROR(__xludf.DUMMYFUNCTION("GOOGLETRANSLATE(A48035, ""de"", ""en"")"),"already")</f>
        <v>already</v>
      </c>
    </row>
    <row r="48036">
      <c r="A48036" s="1" t="s">
        <v>48035</v>
      </c>
      <c r="B48036" s="2" t="str">
        <f>IFERROR(__xludf.DUMMYFUNCTION("GOOGLETRANSLATE(A48036, ""de"", ""en"")"),"glory")</f>
        <v>glory</v>
      </c>
    </row>
    <row r="48037">
      <c r="A48037" s="1" t="s">
        <v>48036</v>
      </c>
      <c r="B48037" s="2" t="str">
        <f>IFERROR(__xludf.DUMMYFUNCTION("GOOGLETRANSLATE(A48037, ""de"", ""en"")"),"44s")</f>
        <v>44s</v>
      </c>
    </row>
    <row r="48038">
      <c r="A48038" s="1" t="s">
        <v>48037</v>
      </c>
      <c r="B48038" s="2" t="str">
        <f>IFERROR(__xludf.DUMMYFUNCTION("GOOGLETRANSLATE(A48038, ""de"", ""en"")"),"outburst of anger")</f>
        <v>outburst of anger</v>
      </c>
    </row>
    <row r="48039">
      <c r="A48039" s="1" t="s">
        <v>48038</v>
      </c>
      <c r="B48039" s="2" t="str">
        <f>IFERROR(__xludf.DUMMYFUNCTION("GOOGLETRANSLATE(A48039, ""de"", ""en"")"),"liaison")</f>
        <v>liaison</v>
      </c>
    </row>
    <row r="48040">
      <c r="A48040" s="1" t="s">
        <v>48039</v>
      </c>
      <c r="B48040" s="2" t="str">
        <f>IFERROR(__xludf.DUMMYFUNCTION("GOOGLETRANSLATE(A48040, ""de"", ""en"")"),"libre")</f>
        <v>libre</v>
      </c>
    </row>
    <row r="48041">
      <c r="A48041" s="1" t="s">
        <v>48040</v>
      </c>
      <c r="B48041" s="2" t="str">
        <f>IFERROR(__xludf.DUMMYFUNCTION("GOOGLETRANSLATE(A48041, ""de"", ""en"")"),"caresses")</f>
        <v>caresses</v>
      </c>
    </row>
    <row r="48042">
      <c r="A48042" s="1" t="s">
        <v>48041</v>
      </c>
      <c r="B48042" s="2" t="str">
        <f>IFERROR(__xludf.DUMMYFUNCTION("GOOGLETRANSLATE(A48042, ""de"", ""en"")"),"most likely")</f>
        <v>most likely</v>
      </c>
    </row>
    <row r="48043">
      <c r="A48043" s="1" t="s">
        <v>48042</v>
      </c>
      <c r="B48043" s="2" t="str">
        <f>IFERROR(__xludf.DUMMYFUNCTION("GOOGLETRANSLATE(A48043, ""de"", ""en"")"),"roadie")</f>
        <v>roadie</v>
      </c>
    </row>
    <row r="48044">
      <c r="A48044" s="1" t="s">
        <v>48043</v>
      </c>
      <c r="B48044" s="2" t="str">
        <f>IFERROR(__xludf.DUMMYFUNCTION("GOOGLETRANSLATE(A48044, ""de"", ""en"")"),"greenberg")</f>
        <v>greenberg</v>
      </c>
    </row>
    <row r="48045">
      <c r="A48045" s="1" t="s">
        <v>48044</v>
      </c>
      <c r="B48045" s="2" t="str">
        <f>IFERROR(__xludf.DUMMYFUNCTION("GOOGLETRANSLATE(A48045, ""de"", ""en"")"),"legislator")</f>
        <v>legislator</v>
      </c>
    </row>
    <row r="48046">
      <c r="A48046" s="1" t="s">
        <v>48045</v>
      </c>
      <c r="B48046" s="2" t="str">
        <f>IFERROR(__xludf.DUMMYFUNCTION("GOOGLETRANSLATE(A48046, ""de"", ""en"")"),"ties")</f>
        <v>ties</v>
      </c>
    </row>
    <row r="48047">
      <c r="A48047" s="1" t="s">
        <v>48046</v>
      </c>
      <c r="B48047" s="2" t="str">
        <f>IFERROR(__xludf.DUMMYFUNCTION("GOOGLETRANSLATE(A48047, ""de"", ""en"")"),"in good time")</f>
        <v>in good time</v>
      </c>
    </row>
    <row r="48048">
      <c r="A48048" s="1" t="s">
        <v>48047</v>
      </c>
      <c r="B48048" s="2" t="str">
        <f>IFERROR(__xludf.DUMMYFUNCTION("GOOGLETRANSLATE(A48048, ""de"", ""en"")"),"security council")</f>
        <v>security council</v>
      </c>
    </row>
    <row r="48049">
      <c r="A48049" s="1" t="s">
        <v>48048</v>
      </c>
      <c r="B48049" s="2" t="str">
        <f>IFERROR(__xludf.DUMMYFUNCTION("GOOGLETRANSLATE(A48049, ""de"", ""en"")"),"excellent")</f>
        <v>excellent</v>
      </c>
    </row>
    <row r="48050">
      <c r="A48050" s="1" t="s">
        <v>48049</v>
      </c>
      <c r="B48050" s="2" t="str">
        <f>IFERROR(__xludf.DUMMYFUNCTION("GOOGLETRANSLATE(A48050, ""de"", ""en"")"),"demanding")</f>
        <v>demanding</v>
      </c>
    </row>
    <row r="48051">
      <c r="A48051" s="1" t="s">
        <v>48050</v>
      </c>
      <c r="B48051" s="2" t="str">
        <f>IFERROR(__xludf.DUMMYFUNCTION("GOOGLETRANSLATE(A48051, ""de"", ""en"")"),"reap")</f>
        <v>reap</v>
      </c>
    </row>
    <row r="48052">
      <c r="A48052" s="1" t="s">
        <v>48051</v>
      </c>
      <c r="B48052" s="2" t="str">
        <f>IFERROR(__xludf.DUMMYFUNCTION("GOOGLETRANSLATE(A48052, ""de"", ""en"")"),"tui")</f>
        <v>tui</v>
      </c>
    </row>
    <row r="48053">
      <c r="A48053" s="1" t="s">
        <v>48052</v>
      </c>
      <c r="B48053" s="2" t="str">
        <f>IFERROR(__xludf.DUMMYFUNCTION("GOOGLETRANSLATE(A48053, ""de"", ""en"")"),"troll")</f>
        <v>troll</v>
      </c>
    </row>
    <row r="48054">
      <c r="A48054" s="1" t="s">
        <v>48053</v>
      </c>
      <c r="B48054" s="2" t="str">
        <f>IFERROR(__xludf.DUMMYFUNCTION("GOOGLETRANSLATE(A48054, ""de"", ""en"")"),"opened")</f>
        <v>opened</v>
      </c>
    </row>
    <row r="48055">
      <c r="A48055" s="1" t="s">
        <v>48054</v>
      </c>
      <c r="B48055" s="2" t="str">
        <f>IFERROR(__xludf.DUMMYFUNCTION("GOOGLETRANSLATE(A48055, ""de"", ""en"")"),"Stirling")</f>
        <v>Stirling</v>
      </c>
    </row>
    <row r="48056">
      <c r="A48056" s="1" t="s">
        <v>48055</v>
      </c>
      <c r="B48056" s="2" t="str">
        <f>IFERROR(__xludf.DUMMYFUNCTION("GOOGLETRANSLATE(A48056, ""de"", ""en"")"),"carrot")</f>
        <v>carrot</v>
      </c>
    </row>
    <row r="48057">
      <c r="A48057" s="1" t="s">
        <v>48056</v>
      </c>
      <c r="B48057" s="2" t="str">
        <f>IFERROR(__xludf.DUMMYFUNCTION("GOOGLETRANSLATE(A48057, ""de"", ""en"")"),"Akiko")</f>
        <v>Akiko</v>
      </c>
    </row>
    <row r="48058">
      <c r="A48058" s="1" t="s">
        <v>48057</v>
      </c>
      <c r="B48058" s="2" t="str">
        <f>IFERROR(__xludf.DUMMYFUNCTION("GOOGLETRANSLATE(A48058, ""de"", ""en"")"),"came together")</f>
        <v>came together</v>
      </c>
    </row>
    <row r="48059">
      <c r="A48059" s="1" t="s">
        <v>48058</v>
      </c>
      <c r="B48059" s="2" t="str">
        <f>IFERROR(__xludf.DUMMYFUNCTION("GOOGLETRANSLATE(A48059, ""de"", ""en"")"),"sinking")</f>
        <v>sinking</v>
      </c>
    </row>
    <row r="48060">
      <c r="A48060" s="1" t="s">
        <v>48059</v>
      </c>
      <c r="B48060" s="2" t="str">
        <f>IFERROR(__xludf.DUMMYFUNCTION("GOOGLETRANSLATE(A48060, ""de"", ""en"")"),"rifle scope")</f>
        <v>rifle scope</v>
      </c>
    </row>
    <row r="48061">
      <c r="A48061" s="1" t="s">
        <v>48060</v>
      </c>
      <c r="B48061" s="2" t="str">
        <f>IFERROR(__xludf.DUMMYFUNCTION("GOOGLETRANSLATE(A48061, ""de"", ""en"")"),"sussman")</f>
        <v>sussman</v>
      </c>
    </row>
    <row r="48062">
      <c r="A48062" s="1" t="s">
        <v>48061</v>
      </c>
      <c r="B48062" s="2" t="str">
        <f>IFERROR(__xludf.DUMMYFUNCTION("GOOGLETRANSLATE(A48062, ""de"", ""en"")"),"recruitment")</f>
        <v>recruitment</v>
      </c>
    </row>
    <row r="48063">
      <c r="A48063" s="1" t="s">
        <v>48062</v>
      </c>
      <c r="B48063" s="2" t="str">
        <f>IFERROR(__xludf.DUMMYFUNCTION("GOOGLETRANSLATE(A48063, ""de"", ""en"")"),"staged")</f>
        <v>staged</v>
      </c>
    </row>
    <row r="48064">
      <c r="A48064" s="1" t="s">
        <v>48063</v>
      </c>
      <c r="B48064" s="2" t="str">
        <f>IFERROR(__xludf.DUMMYFUNCTION("GOOGLETRANSLATE(A48064, ""de"", ""en"")"),"durango")</f>
        <v>durango</v>
      </c>
    </row>
    <row r="48065">
      <c r="A48065" s="1" t="s">
        <v>48064</v>
      </c>
      <c r="B48065" s="2" t="str">
        <f>IFERROR(__xludf.DUMMYFUNCTION("GOOGLETRANSLATE(A48065, ""de"", ""en"")"),"pfizer")</f>
        <v>pfizer</v>
      </c>
    </row>
    <row r="48066">
      <c r="A48066" s="1" t="s">
        <v>48065</v>
      </c>
      <c r="B48066" s="2" t="str">
        <f>IFERROR(__xludf.DUMMYFUNCTION("GOOGLETRANSLATE(A48066, ""de"", ""en"")"),"European")</f>
        <v>European</v>
      </c>
    </row>
    <row r="48067">
      <c r="A48067" s="1" t="s">
        <v>48066</v>
      </c>
      <c r="B48067" s="2" t="str">
        <f>IFERROR(__xludf.DUMMYFUNCTION("GOOGLETRANSLATE(A48067, ""de"", ""en"")"),"hmmm")</f>
        <v>hmmm</v>
      </c>
    </row>
    <row r="48068">
      <c r="A48068" s="1" t="s">
        <v>48067</v>
      </c>
      <c r="B48068" s="2" t="str">
        <f>IFERROR(__xludf.DUMMYFUNCTION("GOOGLETRANSLATE(A48068, ""de"", ""en"")"),"incorporated")</f>
        <v>incorporated</v>
      </c>
    </row>
    <row r="48069">
      <c r="A48069" s="1" t="s">
        <v>48068</v>
      </c>
      <c r="B48069" s="2" t="str">
        <f>IFERROR(__xludf.DUMMYFUNCTION("GOOGLETRANSLATE(A48069, ""de"", ""en"")"),"consultation help")</f>
        <v>consultation help</v>
      </c>
    </row>
    <row r="48070">
      <c r="A48070" s="1" t="s">
        <v>48069</v>
      </c>
      <c r="B48070" s="2" t="str">
        <f>IFERROR(__xludf.DUMMYFUNCTION("GOOGLETRANSLATE(A48070, ""de"", ""en"")"),"business people")</f>
        <v>business people</v>
      </c>
    </row>
    <row r="48071">
      <c r="A48071" s="1" t="s">
        <v>48070</v>
      </c>
      <c r="B48071" s="2" t="str">
        <f>IFERROR(__xludf.DUMMYFUNCTION("GOOGLETRANSLATE(A48071, ""de"", ""en"")"),"toddy")</f>
        <v>toddy</v>
      </c>
    </row>
    <row r="48072">
      <c r="A48072" s="1" t="s">
        <v>48071</v>
      </c>
      <c r="B48072" s="2" t="str">
        <f>IFERROR(__xludf.DUMMYFUNCTION("GOOGLETRANSLATE(A48072, ""de"", ""en"")"),"maribel")</f>
        <v>maribel</v>
      </c>
    </row>
    <row r="48073">
      <c r="A48073" s="1" t="s">
        <v>48072</v>
      </c>
      <c r="B48073" s="2" t="str">
        <f>IFERROR(__xludf.DUMMYFUNCTION("GOOGLETRANSLATE(A48073, ""de"", ""en"")"),"dress")</f>
        <v>dress</v>
      </c>
    </row>
    <row r="48074">
      <c r="A48074" s="1" t="s">
        <v>48073</v>
      </c>
      <c r="B48074" s="2" t="str">
        <f>IFERROR(__xludf.DUMMYFUNCTION("GOOGLETRANSLATE(A48074, ""de"", ""en"")"),"latch on")</f>
        <v>latch on</v>
      </c>
    </row>
    <row r="48075">
      <c r="A48075" s="1" t="s">
        <v>48074</v>
      </c>
      <c r="B48075" s="2" t="str">
        <f>IFERROR(__xludf.DUMMYFUNCTION("GOOGLETRANSLATE(A48075, ""de"", ""en"")"),"more mystical")</f>
        <v>more mystical</v>
      </c>
    </row>
    <row r="48076">
      <c r="A48076" s="1" t="s">
        <v>48075</v>
      </c>
      <c r="B48076" s="2" t="str">
        <f>IFERROR(__xludf.DUMMYFUNCTION("GOOGLETRANSLATE(A48076, ""de"", ""en"")"),"dab")</f>
        <v>dab</v>
      </c>
    </row>
    <row r="48077">
      <c r="A48077" s="1" t="s">
        <v>48076</v>
      </c>
      <c r="B48077" s="2" t="str">
        <f>IFERROR(__xludf.DUMMYFUNCTION("GOOGLETRANSLATE(A48077, ""de"", ""en"")"),"hendersons")</f>
        <v>hendersons</v>
      </c>
    </row>
    <row r="48078">
      <c r="A48078" s="1" t="s">
        <v>48077</v>
      </c>
      <c r="B48078" s="2" t="str">
        <f>IFERROR(__xludf.DUMMYFUNCTION("GOOGLETRANSLATE(A48078, ""de"", ""en"")"),"jaundice")</f>
        <v>jaundice</v>
      </c>
    </row>
    <row r="48079">
      <c r="A48079" s="1" t="s">
        <v>48078</v>
      </c>
      <c r="B48079" s="2" t="str">
        <f>IFERROR(__xludf.DUMMYFUNCTION("GOOGLETRANSLATE(A48079, ""de"", ""en"")"),"teepee")</f>
        <v>teepee</v>
      </c>
    </row>
    <row r="48080">
      <c r="A48080" s="1" t="s">
        <v>48079</v>
      </c>
      <c r="B48080" s="2" t="str">
        <f>IFERROR(__xludf.DUMMYFUNCTION("GOOGLETRANSLATE(A48080, ""de"", ""en"")"),"albright")</f>
        <v>albright</v>
      </c>
    </row>
    <row r="48081">
      <c r="A48081" s="1" t="s">
        <v>48080</v>
      </c>
      <c r="B48081" s="2" t="str">
        <f>IFERROR(__xludf.DUMMYFUNCTION("GOOGLETRANSLATE(A48081, ""de"", ""en"")"),"Stanley's")</f>
        <v>Stanley's</v>
      </c>
    </row>
    <row r="48082">
      <c r="A48082" s="1" t="s">
        <v>48081</v>
      </c>
      <c r="B48082" s="2" t="str">
        <f>IFERROR(__xludf.DUMMYFUNCTION("GOOGLETRANSLATE(A48082, ""de"", ""en"")"),"to be attached")</f>
        <v>to be attached</v>
      </c>
    </row>
    <row r="48083">
      <c r="A48083" s="1" t="s">
        <v>48082</v>
      </c>
      <c r="B48083" s="2" t="str">
        <f>IFERROR(__xludf.DUMMYFUNCTION("GOOGLETRANSLATE(A48083, ""de"", ""en"")"),"foy")</f>
        <v>foy</v>
      </c>
    </row>
    <row r="48084">
      <c r="A48084" s="1" t="s">
        <v>48083</v>
      </c>
      <c r="B48084" s="2" t="str">
        <f>IFERROR(__xludf.DUMMYFUNCTION("GOOGLETRANSLATE(A48084, ""de"", ""en"")"),"felt")</f>
        <v>felt</v>
      </c>
    </row>
    <row r="48085">
      <c r="A48085" s="1" t="s">
        <v>48084</v>
      </c>
      <c r="B48085" s="2" t="str">
        <f>IFERROR(__xludf.DUMMYFUNCTION("GOOGLETRANSLATE(A48085, ""de"", ""en"")"),"candlelight")</f>
        <v>candlelight</v>
      </c>
    </row>
    <row r="48086">
      <c r="A48086" s="1" t="s">
        <v>48085</v>
      </c>
      <c r="B48086" s="2" t="str">
        <f>IFERROR(__xludf.DUMMYFUNCTION("GOOGLETRANSLATE(A48086, ""de"", ""en"")"),"wi-i-i-i-i-i-i-ll")</f>
        <v>wi-i-i-i-i-i-i-ll</v>
      </c>
    </row>
    <row r="48087">
      <c r="A48087" s="1" t="s">
        <v>48086</v>
      </c>
      <c r="B48087" s="2" t="str">
        <f>IFERROR(__xludf.DUMMYFUNCTION("GOOGLETRANSLATE(A48087, ""de"", ""en"")"),"suffocation")</f>
        <v>suffocation</v>
      </c>
    </row>
    <row r="48088">
      <c r="A48088" s="1" t="s">
        <v>48087</v>
      </c>
      <c r="B48088" s="2" t="str">
        <f>IFERROR(__xludf.DUMMYFUNCTION("GOOGLETRANSLATE(A48088, ""de"", ""en"")"),"illustration")</f>
        <v>illustration</v>
      </c>
    </row>
    <row r="48089">
      <c r="A48089" s="1" t="s">
        <v>48088</v>
      </c>
      <c r="B48089" s="2" t="str">
        <f>IFERROR(__xludf.DUMMYFUNCTION("GOOGLETRANSLATE(A48089, ""de"", ""en"")"),"cielo")</f>
        <v>cielo</v>
      </c>
    </row>
    <row r="48090">
      <c r="A48090" s="1" t="s">
        <v>48089</v>
      </c>
      <c r="B48090" s="2" t="str">
        <f>IFERROR(__xludf.DUMMYFUNCTION("GOOGLETRANSLATE(A48090, ""de"", ""en"")"),"commander")</f>
        <v>commander</v>
      </c>
    </row>
    <row r="48091">
      <c r="A48091" s="1" t="s">
        <v>48090</v>
      </c>
      <c r="B48091" s="2" t="str">
        <f>IFERROR(__xludf.DUMMYFUNCTION("GOOGLETRANSLATE(A48091, ""de"", ""en"")"),"hunting accident")</f>
        <v>hunting accident</v>
      </c>
    </row>
    <row r="48092">
      <c r="A48092" s="1" t="s">
        <v>48091</v>
      </c>
      <c r="B48092" s="2" t="str">
        <f>IFERROR(__xludf.DUMMYFUNCTION("GOOGLETRANSLATE(A48092, ""de"", ""en"")"),"steal")</f>
        <v>steal</v>
      </c>
    </row>
    <row r="48093">
      <c r="A48093" s="1" t="s">
        <v>48092</v>
      </c>
      <c r="B48093" s="2" t="str">
        <f>IFERROR(__xludf.DUMMYFUNCTION("GOOGLETRANSLATE(A48093, ""de"", ""en"")"),"occasional")</f>
        <v>occasional</v>
      </c>
    </row>
    <row r="48094">
      <c r="A48094" s="1" t="s">
        <v>48093</v>
      </c>
      <c r="B48094" s="2" t="str">
        <f>IFERROR(__xludf.DUMMYFUNCTION("GOOGLETRANSLATE(A48094, ""de"", ""en"")"),"stupid")</f>
        <v>stupid</v>
      </c>
    </row>
    <row r="48095">
      <c r="A48095" s="1" t="s">
        <v>48094</v>
      </c>
      <c r="B48095" s="2" t="str">
        <f>IFERROR(__xludf.DUMMYFUNCTION("GOOGLETRANSLATE(A48095, ""de"", ""en"")"),"audreys")</f>
        <v>audreys</v>
      </c>
    </row>
    <row r="48096">
      <c r="A48096" s="1" t="s">
        <v>48095</v>
      </c>
      <c r="B48096" s="2" t="str">
        <f>IFERROR(__xludf.DUMMYFUNCTION("GOOGLETRANSLATE(A48096, ""de"", ""en"")"),"papis")</f>
        <v>papis</v>
      </c>
    </row>
    <row r="48097">
      <c r="A48097" s="1" t="s">
        <v>48096</v>
      </c>
      <c r="B48097" s="2" t="str">
        <f>IFERROR(__xludf.DUMMYFUNCTION("GOOGLETRANSLATE(A48097, ""de"", ""en"")"),"megaphone")</f>
        <v>megaphone</v>
      </c>
    </row>
    <row r="48098">
      <c r="A48098" s="1" t="s">
        <v>48097</v>
      </c>
      <c r="B48098" s="2" t="str">
        <f>IFERROR(__xludf.DUMMYFUNCTION("GOOGLETRANSLATE(A48098, ""de"", ""en"")"),"Gengim")</f>
        <v>Gengim</v>
      </c>
    </row>
    <row r="48099">
      <c r="A48099" s="1" t="s">
        <v>48098</v>
      </c>
      <c r="B48099" s="2" t="str">
        <f>IFERROR(__xludf.DUMMYFUNCTION("GOOGLETRANSLATE(A48099, ""de"", ""en"")"),"idolize")</f>
        <v>idolize</v>
      </c>
    </row>
    <row r="48100">
      <c r="A48100" s="1" t="s">
        <v>48099</v>
      </c>
      <c r="B48100" s="2" t="str">
        <f>IFERROR(__xludf.DUMMYFUNCTION("GOOGLETRANSLATE(A48100, ""de"", ""en"")"),"meereen")</f>
        <v>meereen</v>
      </c>
    </row>
    <row r="48101">
      <c r="A48101" s="1" t="s">
        <v>48100</v>
      </c>
      <c r="B48101" s="2" t="str">
        <f>IFERROR(__xludf.DUMMYFUNCTION("GOOGLETRANSLATE(A48101, ""de"", ""en"")"),"prison break")</f>
        <v>prison break</v>
      </c>
    </row>
    <row r="48102">
      <c r="A48102" s="1" t="s">
        <v>48101</v>
      </c>
      <c r="B48102" s="2" t="str">
        <f>IFERROR(__xludf.DUMMYFUNCTION("GOOGLETRANSLATE(A48102, ""de"", ""en"")"),"pull out")</f>
        <v>pull out</v>
      </c>
    </row>
    <row r="48103">
      <c r="A48103" s="1" t="s">
        <v>48102</v>
      </c>
      <c r="B48103" s="2" t="str">
        <f>IFERROR(__xludf.DUMMYFUNCTION("GOOGLETRANSLATE(A48103, ""de"", ""en"")"),"council members")</f>
        <v>council members</v>
      </c>
    </row>
    <row r="48104">
      <c r="A48104" s="1" t="s">
        <v>48103</v>
      </c>
      <c r="B48104" s="2" t="str">
        <f>IFERROR(__xludf.DUMMYFUNCTION("GOOGLETRANSLATE(A48104, ""de"", ""en"")"),"pennies")</f>
        <v>pennies</v>
      </c>
    </row>
    <row r="48105">
      <c r="A48105" s="1" t="s">
        <v>48104</v>
      </c>
      <c r="B48105" s="2" t="str">
        <f>IFERROR(__xludf.DUMMYFUNCTION("GOOGLETRANSLATE(A48105, ""de"", ""en"")"),"ballot paper")</f>
        <v>ballot paper</v>
      </c>
    </row>
    <row r="48106">
      <c r="A48106" s="1" t="s">
        <v>48105</v>
      </c>
      <c r="B48106" s="2" t="str">
        <f>IFERROR(__xludf.DUMMYFUNCTION("GOOGLETRANSLATE(A48106, ""de"", ""en"")"),"Sistine")</f>
        <v>Sistine</v>
      </c>
    </row>
    <row r="48107">
      <c r="A48107" s="1" t="s">
        <v>48106</v>
      </c>
      <c r="B48107" s="2" t="str">
        <f>IFERROR(__xludf.DUMMYFUNCTION("GOOGLETRANSLATE(A48107, ""de"", ""en"")"),"Berti")</f>
        <v>Berti</v>
      </c>
    </row>
    <row r="48108">
      <c r="A48108" s="1" t="s">
        <v>48107</v>
      </c>
      <c r="B48108" s="2" t="str">
        <f>IFERROR(__xludf.DUMMYFUNCTION("GOOGLETRANSLATE(A48108, ""de"", ""en"")"),"more regular")</f>
        <v>more regular</v>
      </c>
    </row>
    <row r="48109">
      <c r="A48109" s="1" t="s">
        <v>48108</v>
      </c>
      <c r="B48109" s="2" t="str">
        <f>IFERROR(__xludf.DUMMYFUNCTION("GOOGLETRANSLATE(A48109, ""de"", ""en"")"),"armpits")</f>
        <v>armpits</v>
      </c>
    </row>
    <row r="48110">
      <c r="A48110" s="1" t="s">
        <v>48109</v>
      </c>
      <c r="B48110" s="2" t="str">
        <f>IFERROR(__xludf.DUMMYFUNCTION("GOOGLETRANSLATE(A48110, ""de"", ""en"")"),"confused")</f>
        <v>confused</v>
      </c>
    </row>
    <row r="48111">
      <c r="A48111" s="1" t="s">
        <v>48110</v>
      </c>
      <c r="B48111" s="2" t="str">
        <f>IFERROR(__xludf.DUMMYFUNCTION("GOOGLETRANSLATE(A48111, ""de"", ""en"")"),"magali")</f>
        <v>magali</v>
      </c>
    </row>
    <row r="48112">
      <c r="A48112" s="1" t="s">
        <v>48111</v>
      </c>
      <c r="B48112" s="2" t="str">
        <f>IFERROR(__xludf.DUMMYFUNCTION("GOOGLETRANSLATE(A48112, ""de"", ""en"")"),"wholesaler")</f>
        <v>wholesaler</v>
      </c>
    </row>
    <row r="48113">
      <c r="A48113" s="1" t="s">
        <v>48112</v>
      </c>
      <c r="B48113" s="2" t="str">
        <f>IFERROR(__xludf.DUMMYFUNCTION("GOOGLETRANSLATE(A48113, ""de"", ""en"")"),"gantry")</f>
        <v>gantry</v>
      </c>
    </row>
    <row r="48114">
      <c r="A48114" s="1" t="s">
        <v>48113</v>
      </c>
      <c r="B48114" s="2" t="str">
        <f>IFERROR(__xludf.DUMMYFUNCTION("GOOGLETRANSLATE(A48114, ""de"", ""en"")"),"push")</f>
        <v>push</v>
      </c>
    </row>
    <row r="48115">
      <c r="A48115" s="1" t="s">
        <v>48114</v>
      </c>
      <c r="B48115" s="2" t="str">
        <f>IFERROR(__xludf.DUMMYFUNCTION("GOOGLETRANSLATE(A48115, ""de"", ""en"")"),"tutor")</f>
        <v>tutor</v>
      </c>
    </row>
    <row r="48116">
      <c r="A48116" s="1" t="s">
        <v>48115</v>
      </c>
      <c r="B48116" s="2" t="str">
        <f>IFERROR(__xludf.DUMMYFUNCTION("GOOGLETRANSLATE(A48116, ""de"", ""en"")"),"jovi")</f>
        <v>jovi</v>
      </c>
    </row>
    <row r="48117">
      <c r="A48117" s="1" t="s">
        <v>48116</v>
      </c>
      <c r="B48117" s="2" t="str">
        <f>IFERROR(__xludf.DUMMYFUNCTION("GOOGLETRANSLATE(A48117, ""de"", ""en"")"),"favorite activity")</f>
        <v>favorite activity</v>
      </c>
    </row>
    <row r="48118">
      <c r="A48118" s="1" t="s">
        <v>48117</v>
      </c>
      <c r="B48118" s="2" t="str">
        <f>IFERROR(__xludf.DUMMYFUNCTION("GOOGLETRANSLATE(A48118, ""de"", ""en"")"),"horned")</f>
        <v>horned</v>
      </c>
    </row>
    <row r="48119">
      <c r="A48119" s="1" t="s">
        <v>48118</v>
      </c>
      <c r="B48119" s="2" t="str">
        <f>IFERROR(__xludf.DUMMYFUNCTION("GOOGLETRANSLATE(A48119, ""de"", ""en"")"),"leper")</f>
        <v>leper</v>
      </c>
    </row>
    <row r="48120">
      <c r="A48120" s="1" t="s">
        <v>48119</v>
      </c>
      <c r="B48120" s="2" t="str">
        <f>IFERROR(__xludf.DUMMYFUNCTION("GOOGLETRANSLATE(A48120, ""de"", ""en"")"),"tracks down")</f>
        <v>tracks down</v>
      </c>
    </row>
    <row r="48121">
      <c r="A48121" s="1" t="s">
        <v>48120</v>
      </c>
      <c r="B48121" s="2" t="str">
        <f>IFERROR(__xludf.DUMMYFUNCTION("GOOGLETRANSLATE(A48121, ""de"", ""en"")"),"state of war")</f>
        <v>state of war</v>
      </c>
    </row>
    <row r="48122">
      <c r="A48122" s="1" t="s">
        <v>48121</v>
      </c>
      <c r="B48122" s="2" t="str">
        <f>IFERROR(__xludf.DUMMYFUNCTION("GOOGLETRANSLATE(A48122, ""de"", ""en"")"),"spectacular")</f>
        <v>spectacular</v>
      </c>
    </row>
    <row r="48123">
      <c r="A48123" s="1" t="s">
        <v>48122</v>
      </c>
      <c r="B48123" s="2" t="str">
        <f>IFERROR(__xludf.DUMMYFUNCTION("GOOGLETRANSLATE(A48123, ""de"", ""en"")"),"glued")</f>
        <v>glued</v>
      </c>
    </row>
    <row r="48124">
      <c r="A48124" s="1" t="s">
        <v>48123</v>
      </c>
      <c r="B48124" s="2" t="str">
        <f>IFERROR(__xludf.DUMMYFUNCTION("GOOGLETRANSLATE(A48124, ""de"", ""en"")"),"nanette")</f>
        <v>nanette</v>
      </c>
    </row>
    <row r="48125">
      <c r="A48125" s="1" t="s">
        <v>48124</v>
      </c>
      <c r="B48125" s="2" t="str">
        <f>IFERROR(__xludf.DUMMYFUNCTION("GOOGLETRANSLATE(A48125, ""de"", ""en"")"),"Pakistani")</f>
        <v>Pakistani</v>
      </c>
    </row>
    <row r="48126">
      <c r="A48126" s="1" t="s">
        <v>48125</v>
      </c>
      <c r="B48126" s="2" t="str">
        <f>IFERROR(__xludf.DUMMYFUNCTION("GOOGLETRANSLATE(A48126, ""de"", ""en"")"),"belligerent")</f>
        <v>belligerent</v>
      </c>
    </row>
    <row r="48127">
      <c r="A48127" s="1" t="s">
        <v>48126</v>
      </c>
      <c r="B48127" s="2" t="str">
        <f>IFERROR(__xludf.DUMMYFUNCTION("GOOGLETRANSLATE(A48127, ""de"", ""en"")"),"marybeth")</f>
        <v>marybeth</v>
      </c>
    </row>
    <row r="48128">
      <c r="A48128" s="1" t="s">
        <v>48127</v>
      </c>
      <c r="B48128" s="2" t="str">
        <f>IFERROR(__xludf.DUMMYFUNCTION("GOOGLETRANSLATE(A48128, ""de"", ""en"")"),"luper")</f>
        <v>luper</v>
      </c>
    </row>
    <row r="48129">
      <c r="A48129" s="1" t="s">
        <v>48128</v>
      </c>
      <c r="B48129" s="2" t="str">
        <f>IFERROR(__xludf.DUMMYFUNCTION("GOOGLETRANSLATE(A48129, ""de"", ""en"")"),"flat tire")</f>
        <v>flat tire</v>
      </c>
    </row>
    <row r="48130">
      <c r="A48130" s="1" t="s">
        <v>48129</v>
      </c>
      <c r="B48130" s="2" t="str">
        <f>IFERROR(__xludf.DUMMYFUNCTION("GOOGLETRANSLATE(A48130, ""de"", ""en"")"),"preferred")</f>
        <v>preferred</v>
      </c>
    </row>
    <row r="48131">
      <c r="A48131" s="1" t="s">
        <v>48130</v>
      </c>
      <c r="B48131" s="2" t="str">
        <f>IFERROR(__xludf.DUMMYFUNCTION("GOOGLETRANSLATE(A48131, ""de"", ""en"")"),"vines")</f>
        <v>vines</v>
      </c>
    </row>
    <row r="48132">
      <c r="A48132" s="1" t="s">
        <v>48131</v>
      </c>
      <c r="B48132" s="2" t="str">
        <f>IFERROR(__xludf.DUMMYFUNCTION("GOOGLETRANSLATE(A48132, ""de"", ""en"")"),"repressed")</f>
        <v>repressed</v>
      </c>
    </row>
    <row r="48133">
      <c r="A48133" s="1" t="s">
        <v>48132</v>
      </c>
      <c r="B48133" s="2" t="str">
        <f>IFERROR(__xludf.DUMMYFUNCTION("GOOGLETRANSLATE(A48133, ""de"", ""en"")"),"milden")</f>
        <v>milden</v>
      </c>
    </row>
    <row r="48134">
      <c r="A48134" s="1" t="s">
        <v>48133</v>
      </c>
      <c r="B48134" s="2" t="str">
        <f>IFERROR(__xludf.DUMMYFUNCTION("GOOGLETRANSLATE(A48134, ""de"", ""en"")"),"jump on")</f>
        <v>jump on</v>
      </c>
    </row>
    <row r="48135">
      <c r="A48135" s="1" t="s">
        <v>48134</v>
      </c>
      <c r="B48135" s="2" t="str">
        <f>IFERROR(__xludf.DUMMYFUNCTION("GOOGLETRANSLATE(A48135, ""de"", ""en"")"),"mess up")</f>
        <v>mess up</v>
      </c>
    </row>
    <row r="48136">
      <c r="A48136" s="1" t="s">
        <v>48135</v>
      </c>
      <c r="B48136" s="2" t="str">
        <f>IFERROR(__xludf.DUMMYFUNCTION("GOOGLETRANSLATE(A48136, ""de"", ""en"")"),"atrium")</f>
        <v>atrium</v>
      </c>
    </row>
    <row r="48137">
      <c r="A48137" s="1" t="s">
        <v>48136</v>
      </c>
      <c r="B48137" s="2" t="str">
        <f>IFERROR(__xludf.DUMMYFUNCTION("GOOGLETRANSLATE(A48137, ""de"", ""en"")"),"Rodolphe")</f>
        <v>Rodolphe</v>
      </c>
    </row>
    <row r="48138">
      <c r="A48138" s="1" t="s">
        <v>48137</v>
      </c>
      <c r="B48138" s="2" t="str">
        <f>IFERROR(__xludf.DUMMYFUNCTION("GOOGLETRANSLATE(A48138, ""de"", ""en"")"),"llewellyn")</f>
        <v>llewellyn</v>
      </c>
    </row>
    <row r="48139">
      <c r="A48139" s="1" t="s">
        <v>48138</v>
      </c>
      <c r="B48139" s="2" t="str">
        <f>IFERROR(__xludf.DUMMYFUNCTION("GOOGLETRANSLATE(A48139, ""de"", ""en"")"),"reflection")</f>
        <v>reflection</v>
      </c>
    </row>
    <row r="48140">
      <c r="A48140" s="1" t="s">
        <v>48139</v>
      </c>
      <c r="B48140" s="2" t="str">
        <f>IFERROR(__xludf.DUMMYFUNCTION("GOOGLETRANSLATE(A48140, ""de"", ""en"")"),"circular saw")</f>
        <v>circular saw</v>
      </c>
    </row>
    <row r="48141">
      <c r="A48141" s="1" t="s">
        <v>48140</v>
      </c>
      <c r="B48141" s="2" t="str">
        <f>IFERROR(__xludf.DUMMYFUNCTION("GOOGLETRANSLATE(A48141, ""de"", ""en"")"),"tae-il")</f>
        <v>tae-il</v>
      </c>
    </row>
    <row r="48142">
      <c r="A48142" s="1" t="s">
        <v>48141</v>
      </c>
      <c r="B48142" s="2" t="str">
        <f>IFERROR(__xludf.DUMMYFUNCTION("GOOGLETRANSLATE(A48142, ""de"", ""en"")"),"prepares")</f>
        <v>prepares</v>
      </c>
    </row>
    <row r="48143">
      <c r="A48143" s="1" t="s">
        <v>48142</v>
      </c>
      <c r="B48143" s="2" t="str">
        <f>IFERROR(__xludf.DUMMYFUNCTION("GOOGLETRANSLATE(A48143, ""de"", ""en"")"),"compulsive")</f>
        <v>compulsive</v>
      </c>
    </row>
    <row r="48144">
      <c r="A48144" s="1" t="s">
        <v>48143</v>
      </c>
      <c r="B48144" s="2" t="str">
        <f>IFERROR(__xludf.DUMMYFUNCTION("GOOGLETRANSLATE(A48144, ""de"", ""en"")"),"photons")</f>
        <v>photons</v>
      </c>
    </row>
    <row r="48145">
      <c r="A48145" s="1" t="s">
        <v>48144</v>
      </c>
      <c r="B48145" s="2" t="str">
        <f>IFERROR(__xludf.DUMMYFUNCTION("GOOGLETRANSLATE(A48145, ""de"", ""en"")"),"morningstar")</f>
        <v>morningstar</v>
      </c>
    </row>
    <row r="48146">
      <c r="A48146" s="1" t="s">
        <v>48145</v>
      </c>
      <c r="B48146" s="2" t="str">
        <f>IFERROR(__xludf.DUMMYFUNCTION("GOOGLETRANSLATE(A48146, ""de"", ""en"")"),"performance")</f>
        <v>performance</v>
      </c>
    </row>
    <row r="48147">
      <c r="A48147" s="1" t="s">
        <v>48146</v>
      </c>
      <c r="B48147" s="2" t="str">
        <f>IFERROR(__xludf.DUMMYFUNCTION("GOOGLETRANSLATE(A48147, ""de"", ""en"")"),"sho")</f>
        <v>sho</v>
      </c>
    </row>
    <row r="48148">
      <c r="A48148" s="1" t="s">
        <v>48147</v>
      </c>
      <c r="B48148" s="2" t="str">
        <f>IFERROR(__xludf.DUMMYFUNCTION("GOOGLETRANSLATE(A48148, ""de"", ""en"")"),"melina")</f>
        <v>melina</v>
      </c>
    </row>
    <row r="48149">
      <c r="A48149" s="1" t="s">
        <v>48148</v>
      </c>
      <c r="B48149" s="2" t="str">
        <f>IFERROR(__xludf.DUMMYFUNCTION("GOOGLETRANSLATE(A48149, ""de"", ""en"")"),"punch")</f>
        <v>punch</v>
      </c>
    </row>
    <row r="48150">
      <c r="A48150" s="1" t="s">
        <v>48149</v>
      </c>
      <c r="B48150" s="2" t="str">
        <f>IFERROR(__xludf.DUMMYFUNCTION("GOOGLETRANSLATE(A48150, ""de"", ""en"")"),"ball gown")</f>
        <v>ball gown</v>
      </c>
    </row>
    <row r="48151">
      <c r="A48151" s="1" t="s">
        <v>48150</v>
      </c>
      <c r="B48151" s="2" t="str">
        <f>IFERROR(__xludf.DUMMYFUNCTION("GOOGLETRANSLATE(A48151, ""de"", ""en"")"),"Dorbeck")</f>
        <v>Dorbeck</v>
      </c>
    </row>
    <row r="48152">
      <c r="A48152" s="1" t="s">
        <v>48151</v>
      </c>
      <c r="B48152" s="2" t="str">
        <f>IFERROR(__xludf.DUMMYFUNCTION("GOOGLETRANSLATE(A48152, ""de"", ""en"")"),"lazare")</f>
        <v>lazare</v>
      </c>
    </row>
    <row r="48153">
      <c r="A48153" s="1" t="s">
        <v>48152</v>
      </c>
      <c r="B48153" s="2" t="str">
        <f>IFERROR(__xludf.DUMMYFUNCTION("GOOGLETRANSLATE(A48153, ""de"", ""en"")"),"ricochet")</f>
        <v>ricochet</v>
      </c>
    </row>
    <row r="48154">
      <c r="A48154" s="1" t="s">
        <v>48153</v>
      </c>
      <c r="B48154" s="2" t="str">
        <f>IFERROR(__xludf.DUMMYFUNCTION("GOOGLETRANSLATE(A48154, ""de"", ""en"")"),"fundraising")</f>
        <v>fundraising</v>
      </c>
    </row>
    <row r="48155">
      <c r="A48155" s="1" t="s">
        <v>48154</v>
      </c>
      <c r="B48155" s="2" t="str">
        <f>IFERROR(__xludf.DUMMYFUNCTION("GOOGLETRANSLATE(A48155, ""de"", ""en"")"),"Clemente")</f>
        <v>Clemente</v>
      </c>
    </row>
    <row r="48156">
      <c r="A48156" s="1" t="s">
        <v>48155</v>
      </c>
      <c r="B48156" s="2" t="str">
        <f>IFERROR(__xludf.DUMMYFUNCTION("GOOGLETRANSLATE(A48156, ""de"", ""en"")"),"wild horses")</f>
        <v>wild horses</v>
      </c>
    </row>
    <row r="48157">
      <c r="A48157" s="1" t="s">
        <v>48156</v>
      </c>
      <c r="B48157" s="2" t="str">
        <f>IFERROR(__xludf.DUMMYFUNCTION("GOOGLETRANSLATE(A48157, ""de"", ""en"")"),"Toby's")</f>
        <v>Toby's</v>
      </c>
    </row>
    <row r="48158">
      <c r="A48158" s="1" t="s">
        <v>48157</v>
      </c>
      <c r="B48158" s="2" t="str">
        <f>IFERROR(__xludf.DUMMYFUNCTION("GOOGLETRANSLATE(A48158, ""de"", ""en"")"),"clothing")</f>
        <v>clothing</v>
      </c>
    </row>
    <row r="48159">
      <c r="A48159" s="1" t="s">
        <v>48158</v>
      </c>
      <c r="B48159" s="2" t="str">
        <f>IFERROR(__xludf.DUMMYFUNCTION("GOOGLETRANSLATE(A48159, ""de"", ""en"")"),"track record")</f>
        <v>track record</v>
      </c>
    </row>
    <row r="48160">
      <c r="A48160" s="1" t="s">
        <v>48159</v>
      </c>
      <c r="B48160" s="2" t="str">
        <f>IFERROR(__xludf.DUMMYFUNCTION("GOOGLETRANSLATE(A48160, ""de"", ""en"")"),"drown")</f>
        <v>drown</v>
      </c>
    </row>
    <row r="48161">
      <c r="A48161" s="1" t="s">
        <v>48160</v>
      </c>
      <c r="B48161" s="2" t="str">
        <f>IFERROR(__xludf.DUMMYFUNCTION("GOOGLETRANSLATE(A48161, ""de"", ""en"")"),"messed up")</f>
        <v>messed up</v>
      </c>
    </row>
    <row r="48162">
      <c r="A48162" s="1" t="s">
        <v>48161</v>
      </c>
      <c r="B48162" s="2" t="str">
        <f>IFERROR(__xludf.DUMMYFUNCTION("GOOGLETRANSLATE(A48162, ""de"", ""en"")"),"inappropriate")</f>
        <v>inappropriate</v>
      </c>
    </row>
    <row r="48163">
      <c r="A48163" s="1" t="s">
        <v>48162</v>
      </c>
      <c r="B48163" s="2" t="str">
        <f>IFERROR(__xludf.DUMMYFUNCTION("GOOGLETRANSLATE(A48163, ""de"", ""en"")"),"matias")</f>
        <v>matias</v>
      </c>
    </row>
    <row r="48164">
      <c r="A48164" s="1" t="s">
        <v>48163</v>
      </c>
      <c r="B48164" s="2" t="str">
        <f>IFERROR(__xludf.DUMMYFUNCTION("GOOGLETRANSLATE(A48164, ""de"", ""en"")"),"dorsey")</f>
        <v>dorsey</v>
      </c>
    </row>
    <row r="48165">
      <c r="A48165" s="1" t="s">
        <v>48164</v>
      </c>
      <c r="B48165" s="2" t="str">
        <f>IFERROR(__xludf.DUMMYFUNCTION("GOOGLETRANSLATE(A48165, ""de"", ""en"")"),"mend")</f>
        <v>mend</v>
      </c>
    </row>
    <row r="48166">
      <c r="A48166" s="1" t="s">
        <v>48165</v>
      </c>
      <c r="B48166" s="2" t="str">
        <f>IFERROR(__xludf.DUMMYFUNCTION("GOOGLETRANSLATE(A48166, ""de"", ""en"")"),"gutter")</f>
        <v>gutter</v>
      </c>
    </row>
    <row r="48167">
      <c r="A48167" s="1" t="s">
        <v>48166</v>
      </c>
      <c r="B48167" s="2" t="str">
        <f>IFERROR(__xludf.DUMMYFUNCTION("GOOGLETRANSLATE(A48167, ""de"", ""en"")"),"throw back")</f>
        <v>throw back</v>
      </c>
    </row>
    <row r="48168">
      <c r="A48168" s="1" t="s">
        <v>48167</v>
      </c>
      <c r="B48168" s="2" t="str">
        <f>IFERROR(__xludf.DUMMYFUNCTION("GOOGLETRANSLATE(A48168, ""de"", ""en"")"),"rea")</f>
        <v>rea</v>
      </c>
    </row>
    <row r="48169">
      <c r="A48169" s="1" t="s">
        <v>48168</v>
      </c>
      <c r="B48169" s="2" t="str">
        <f>IFERROR(__xludf.DUMMYFUNCTION("GOOGLETRANSLATE(A48169, ""de"", ""en"")"),"grayer")</f>
        <v>grayer</v>
      </c>
    </row>
    <row r="48170">
      <c r="A48170" s="1" t="s">
        <v>48169</v>
      </c>
      <c r="B48170" s="2" t="str">
        <f>IFERROR(__xludf.DUMMYFUNCTION("GOOGLETRANSLATE(A48170, ""de"", ""en"")"),"shoo")</f>
        <v>shoo</v>
      </c>
    </row>
    <row r="48171">
      <c r="A48171" s="1" t="s">
        <v>48170</v>
      </c>
      <c r="B48171" s="2" t="str">
        <f>IFERROR(__xludf.DUMMYFUNCTION("GOOGLETRANSLATE(A48171, ""de"", ""en"")"),"flavius")</f>
        <v>flavius</v>
      </c>
    </row>
    <row r="48172">
      <c r="A48172" s="1" t="s">
        <v>48171</v>
      </c>
      <c r="B48172" s="2" t="str">
        <f>IFERROR(__xludf.DUMMYFUNCTION("GOOGLETRANSLATE(A48172, ""de"", ""en"")"),"progressed")</f>
        <v>progressed</v>
      </c>
    </row>
    <row r="48173">
      <c r="A48173" s="1" t="s">
        <v>48172</v>
      </c>
      <c r="B48173" s="2" t="str">
        <f>IFERROR(__xludf.DUMMYFUNCTION("GOOGLETRANSLATE(A48173, ""de"", ""en"")"),"primitive")</f>
        <v>primitive</v>
      </c>
    </row>
    <row r="48174">
      <c r="A48174" s="1" t="s">
        <v>48173</v>
      </c>
      <c r="B48174" s="2" t="str">
        <f>IFERROR(__xludf.DUMMYFUNCTION("GOOGLETRANSLATE(A48174, ""de"", ""en"")"),"train")</f>
        <v>train</v>
      </c>
    </row>
    <row r="48175">
      <c r="A48175" s="1" t="s">
        <v>48174</v>
      </c>
      <c r="B48175" s="2" t="str">
        <f>IFERROR(__xludf.DUMMYFUNCTION("GOOGLETRANSLATE(A48175, ""de"", ""en"")"),"sho")</f>
        <v>sho</v>
      </c>
    </row>
    <row r="48176">
      <c r="A48176" s="1" t="s">
        <v>48175</v>
      </c>
      <c r="B48176" s="2" t="str">
        <f>IFERROR(__xludf.DUMMYFUNCTION("GOOGLETRANSLATE(A48176, ""de"", ""en"")"),"loudon")</f>
        <v>loudon</v>
      </c>
    </row>
    <row r="48177">
      <c r="A48177" s="1" t="s">
        <v>48176</v>
      </c>
      <c r="B48177" s="2" t="str">
        <f>IFERROR(__xludf.DUMMYFUNCTION("GOOGLETRANSLATE(A48177, ""de"", ""en"")"),"panorama")</f>
        <v>panorama</v>
      </c>
    </row>
    <row r="48178">
      <c r="A48178" s="1" t="s">
        <v>48177</v>
      </c>
      <c r="B48178" s="2" t="str">
        <f>IFERROR(__xludf.DUMMYFUNCTION("GOOGLETRANSLATE(A48178, ""de"", ""en"")"),"Niagara Falls")</f>
        <v>Niagara Falls</v>
      </c>
    </row>
    <row r="48179">
      <c r="A48179" s="1" t="s">
        <v>48178</v>
      </c>
      <c r="B48179" s="2" t="str">
        <f>IFERROR(__xludf.DUMMYFUNCTION("GOOGLETRANSLATE(A48179, ""de"", ""en"")"),"sleeves")</f>
        <v>sleeves</v>
      </c>
    </row>
    <row r="48180">
      <c r="A48180" s="1" t="s">
        <v>48179</v>
      </c>
      <c r="B48180" s="2" t="str">
        <f>IFERROR(__xludf.DUMMYFUNCTION("GOOGLETRANSLATE(A48180, ""de"", ""en"")"),"errand")</f>
        <v>errand</v>
      </c>
    </row>
    <row r="48181">
      <c r="A48181" s="1" t="s">
        <v>48180</v>
      </c>
      <c r="B48181" s="2" t="str">
        <f>IFERROR(__xludf.DUMMYFUNCTION("GOOGLETRANSLATE(A48181, ""de"", ""en"")"),"to redirect")</f>
        <v>to redirect</v>
      </c>
    </row>
    <row r="48182">
      <c r="A48182" s="1" t="s">
        <v>48181</v>
      </c>
      <c r="B48182" s="2" t="str">
        <f>IFERROR(__xludf.DUMMYFUNCTION("GOOGLETRANSLATE(A48182, ""de"", ""en"")"),"striker")</f>
        <v>striker</v>
      </c>
    </row>
    <row r="48183">
      <c r="A48183" s="1" t="s">
        <v>48182</v>
      </c>
      <c r="B48183" s="2" t="str">
        <f>IFERROR(__xludf.DUMMYFUNCTION("GOOGLETRANSLATE(A48183, ""de"", ""en"")"),"West Germany")</f>
        <v>West Germany</v>
      </c>
    </row>
    <row r="48184">
      <c r="A48184" s="1" t="s">
        <v>48183</v>
      </c>
      <c r="B48184" s="2" t="str">
        <f>IFERROR(__xludf.DUMMYFUNCTION("GOOGLETRANSLATE(A48184, ""de"", ""en"")"),"hanna27")</f>
        <v>hanna27</v>
      </c>
    </row>
    <row r="48185">
      <c r="A48185" s="1" t="s">
        <v>48184</v>
      </c>
      <c r="B48185" s="2" t="str">
        <f>IFERROR(__xludf.DUMMYFUNCTION("GOOGLETRANSLATE(A48185, ""de"", ""en"")"),"rummaged")</f>
        <v>rummaged</v>
      </c>
    </row>
    <row r="48186">
      <c r="A48186" s="1" t="s">
        <v>48185</v>
      </c>
      <c r="B48186" s="2" t="str">
        <f>IFERROR(__xludf.DUMMYFUNCTION("GOOGLETRANSLATE(A48186, ""de"", ""en"")"),"grim")</f>
        <v>grim</v>
      </c>
    </row>
    <row r="48187">
      <c r="A48187" s="1" t="s">
        <v>48186</v>
      </c>
      <c r="B48187" s="2" t="str">
        <f>IFERROR(__xludf.DUMMYFUNCTION("GOOGLETRANSLATE(A48187, ""de"", ""en"")"),"throw")</f>
        <v>throw</v>
      </c>
    </row>
    <row r="48188">
      <c r="A48188" s="1" t="s">
        <v>48187</v>
      </c>
      <c r="B48188" s="2" t="str">
        <f>IFERROR(__xludf.DUMMYFUNCTION("GOOGLETRANSLATE(A48188, ""de"", ""en"")"),"connally")</f>
        <v>connally</v>
      </c>
    </row>
    <row r="48189">
      <c r="A48189" s="1" t="s">
        <v>48188</v>
      </c>
      <c r="B48189" s="2" t="str">
        <f>IFERROR(__xludf.DUMMYFUNCTION("GOOGLETRANSLATE(A48189, ""de"", ""en"")"),"rebadow")</f>
        <v>rebadow</v>
      </c>
    </row>
    <row r="48190">
      <c r="A48190" s="1" t="s">
        <v>48189</v>
      </c>
      <c r="B48190" s="2" t="str">
        <f>IFERROR(__xludf.DUMMYFUNCTION("GOOGLETRANSLATE(A48190, ""de"", ""en"")"),"stings")</f>
        <v>stings</v>
      </c>
    </row>
    <row r="48191">
      <c r="A48191" s="1" t="s">
        <v>48190</v>
      </c>
      <c r="B48191" s="2" t="str">
        <f>IFERROR(__xludf.DUMMYFUNCTION("GOOGLETRANSLATE(A48191, ""de"", ""en"")"),"divide")</f>
        <v>divide</v>
      </c>
    </row>
    <row r="48192">
      <c r="A48192" s="1" t="s">
        <v>48191</v>
      </c>
      <c r="B48192" s="2" t="str">
        <f>IFERROR(__xludf.DUMMYFUNCTION("GOOGLETRANSLATE(A48192, ""de"", ""en"")"),"weak")</f>
        <v>weak</v>
      </c>
    </row>
    <row r="48193">
      <c r="A48193" s="1" t="s">
        <v>48192</v>
      </c>
      <c r="B48193" s="2" t="str">
        <f>IFERROR(__xludf.DUMMYFUNCTION("GOOGLETRANSLATE(A48193, ""de"", ""en"")"),"fruit salad")</f>
        <v>fruit salad</v>
      </c>
    </row>
    <row r="48194">
      <c r="A48194" s="1" t="s">
        <v>48193</v>
      </c>
      <c r="B48194" s="2" t="str">
        <f>IFERROR(__xludf.DUMMYFUNCTION("GOOGLETRANSLATE(A48194, ""de"", ""en"")"),"mystical")</f>
        <v>mystical</v>
      </c>
    </row>
    <row r="48195">
      <c r="A48195" s="1" t="s">
        <v>48194</v>
      </c>
      <c r="B48195" s="2" t="str">
        <f>IFERROR(__xludf.DUMMYFUNCTION("GOOGLETRANSLATE(A48195, ""de"", ""en"")"),"best in class")</f>
        <v>best in class</v>
      </c>
    </row>
    <row r="48196">
      <c r="A48196" s="1" t="s">
        <v>48195</v>
      </c>
      <c r="B48196" s="2" t="str">
        <f>IFERROR(__xludf.DUMMYFUNCTION("GOOGLETRANSLATE(A48196, ""de"", ""en"")"),"tractor")</f>
        <v>tractor</v>
      </c>
    </row>
    <row r="48197">
      <c r="A48197" s="1" t="s">
        <v>48196</v>
      </c>
      <c r="B48197" s="2" t="str">
        <f>IFERROR(__xludf.DUMMYFUNCTION("GOOGLETRANSLATE(A48197, ""de"", ""en"")"),"hinkle")</f>
        <v>hinkle</v>
      </c>
    </row>
    <row r="48198">
      <c r="A48198" s="1" t="s">
        <v>48197</v>
      </c>
      <c r="B48198" s="2" t="str">
        <f>IFERROR(__xludf.DUMMYFUNCTION("GOOGLETRANSLATE(A48198, ""de"", ""en"")"),"swallowed")</f>
        <v>swallowed</v>
      </c>
    </row>
    <row r="48199">
      <c r="A48199" s="1" t="s">
        <v>48198</v>
      </c>
      <c r="B48199" s="2" t="str">
        <f>IFERROR(__xludf.DUMMYFUNCTION("GOOGLETRANSLATE(A48199, ""de"", ""en"")"),"scatter")</f>
        <v>scatter</v>
      </c>
    </row>
    <row r="48200">
      <c r="A48200" s="1" t="s">
        <v>48199</v>
      </c>
      <c r="B48200" s="2" t="str">
        <f>IFERROR(__xludf.DUMMYFUNCTION("GOOGLETRANSLATE(A48200, ""de"", ""en"")"),"motherly love")</f>
        <v>motherly love</v>
      </c>
    </row>
    <row r="48201">
      <c r="A48201" s="1" t="s">
        <v>48200</v>
      </c>
      <c r="B48201" s="2" t="str">
        <f>IFERROR(__xludf.DUMMYFUNCTION("GOOGLETRANSLATE(A48201, ""de"", ""en"")"),"cj")</f>
        <v>cj</v>
      </c>
    </row>
    <row r="48202">
      <c r="A48202" s="1" t="s">
        <v>48201</v>
      </c>
      <c r="B48202" s="2" t="str">
        <f>IFERROR(__xludf.DUMMYFUNCTION("GOOGLETRANSLATE(A48202, ""de"", ""en"")"),"return the favor")</f>
        <v>return the favor</v>
      </c>
    </row>
    <row r="48203">
      <c r="A48203" s="1" t="s">
        <v>48202</v>
      </c>
      <c r="B48203" s="2" t="str">
        <f>IFERROR(__xludf.DUMMYFUNCTION("GOOGLETRANSLATE(A48203, ""de"", ""en"")"),"bravura")</f>
        <v>bravura</v>
      </c>
    </row>
    <row r="48204">
      <c r="A48204" s="1" t="s">
        <v>48203</v>
      </c>
      <c r="B48204" s="2" t="str">
        <f>IFERROR(__xludf.DUMMYFUNCTION("GOOGLETRANSLATE(A48204, ""de"", ""en"")"),"theres")</f>
        <v>theres</v>
      </c>
    </row>
    <row r="48205">
      <c r="A48205" s="1" t="s">
        <v>48204</v>
      </c>
      <c r="B48205" s="2" t="str">
        <f>IFERROR(__xludf.DUMMYFUNCTION("GOOGLETRANSLATE(A48205, ""de"", ""en"")"),"one-eyed")</f>
        <v>one-eyed</v>
      </c>
    </row>
    <row r="48206">
      <c r="A48206" s="1" t="s">
        <v>48205</v>
      </c>
      <c r="B48206" s="2" t="str">
        <f>IFERROR(__xludf.DUMMYFUNCTION("GOOGLETRANSLATE(A48206, ""de"", ""en"")"),"malm")</f>
        <v>malm</v>
      </c>
    </row>
    <row r="48207">
      <c r="A48207" s="1" t="s">
        <v>48206</v>
      </c>
      <c r="B48207" s="2" t="str">
        <f>IFERROR(__xludf.DUMMYFUNCTION("GOOGLETRANSLATE(A48207, ""de"", ""en"")"),"weight")</f>
        <v>weight</v>
      </c>
    </row>
    <row r="48208">
      <c r="A48208" s="1" t="s">
        <v>48207</v>
      </c>
      <c r="B48208" s="2" t="str">
        <f>IFERROR(__xludf.DUMMYFUNCTION("GOOGLETRANSLATE(A48208, ""de"", ""en"")"),"command")</f>
        <v>command</v>
      </c>
    </row>
    <row r="48209">
      <c r="A48209" s="1" t="s">
        <v>48208</v>
      </c>
      <c r="B48209" s="2" t="str">
        <f>IFERROR(__xludf.DUMMYFUNCTION("GOOGLETRANSLATE(A48209, ""de"", ""en"")"),"eladio")</f>
        <v>eladio</v>
      </c>
    </row>
    <row r="48210">
      <c r="A48210" s="1" t="s">
        <v>48209</v>
      </c>
      <c r="B48210" s="2" t="str">
        <f>IFERROR(__xludf.DUMMYFUNCTION("GOOGLETRANSLATE(A48210, ""de"", ""en"")"),"diluted")</f>
        <v>diluted</v>
      </c>
    </row>
    <row r="48211">
      <c r="A48211" s="1" t="s">
        <v>48210</v>
      </c>
      <c r="B48211" s="2" t="str">
        <f>IFERROR(__xludf.DUMMYFUNCTION("GOOGLETRANSLATE(A48211, ""de"", ""en"")"),"saltpeter")</f>
        <v>saltpeter</v>
      </c>
    </row>
    <row r="48212">
      <c r="A48212" s="1" t="s">
        <v>48211</v>
      </c>
      <c r="B48212" s="2" t="str">
        <f>IFERROR(__xludf.DUMMYFUNCTION("GOOGLETRANSLATE(A48212, ""de"", ""en"")"),"helmets")</f>
        <v>helmets</v>
      </c>
    </row>
    <row r="48213">
      <c r="A48213" s="1" t="s">
        <v>48212</v>
      </c>
      <c r="B48213" s="2" t="str">
        <f>IFERROR(__xludf.DUMMYFUNCTION("GOOGLETRANSLATE(A48213, ""de"", ""en"")"),"swallowed")</f>
        <v>swallowed</v>
      </c>
    </row>
    <row r="48214">
      <c r="A48214" s="1" t="s">
        <v>48213</v>
      </c>
      <c r="B48214" s="2" t="str">
        <f>IFERROR(__xludf.DUMMYFUNCTION("GOOGLETRANSLATE(A48214, ""de"", ""en"")"),"imperial")</f>
        <v>imperial</v>
      </c>
    </row>
    <row r="48215">
      <c r="A48215" s="1" t="s">
        <v>48214</v>
      </c>
      <c r="B48215" s="2" t="str">
        <f>IFERROR(__xludf.DUMMYFUNCTION("GOOGLETRANSLATE(A48215, ""de"", ""en"")"),"completely drunk")</f>
        <v>completely drunk</v>
      </c>
    </row>
    <row r="48216">
      <c r="A48216" s="1" t="s">
        <v>48215</v>
      </c>
      <c r="B48216" s="2" t="str">
        <f>IFERROR(__xludf.DUMMYFUNCTION("GOOGLETRANSLATE(A48216, ""de"", ""en"")"),"fight it out")</f>
        <v>fight it out</v>
      </c>
    </row>
    <row r="48217">
      <c r="A48217" s="1" t="s">
        <v>48216</v>
      </c>
      <c r="B48217" s="2" t="str">
        <f>IFERROR(__xludf.DUMMYFUNCTION("GOOGLETRANSLATE(A48217, ""de"", ""en"")"),"philanthropist")</f>
        <v>philanthropist</v>
      </c>
    </row>
    <row r="48218">
      <c r="A48218" s="1" t="s">
        <v>48217</v>
      </c>
      <c r="B48218" s="2" t="str">
        <f>IFERROR(__xludf.DUMMYFUNCTION("GOOGLETRANSLATE(A48218, ""de"", ""en"")"),"opposite ones")</f>
        <v>opposite ones</v>
      </c>
    </row>
    <row r="48219">
      <c r="A48219" s="1" t="s">
        <v>48218</v>
      </c>
      <c r="B48219" s="2" t="str">
        <f>IFERROR(__xludf.DUMMYFUNCTION("GOOGLETRANSLATE(A48219, ""de"", ""en"")"),"wassa")</f>
        <v>wassa</v>
      </c>
    </row>
    <row r="48220">
      <c r="A48220" s="1" t="s">
        <v>48219</v>
      </c>
      <c r="B48220" s="2" t="str">
        <f>IFERROR(__xludf.DUMMYFUNCTION("GOOGLETRANSLATE(A48220, ""de"", ""en"")"),"random")</f>
        <v>random</v>
      </c>
    </row>
    <row r="48221">
      <c r="A48221" s="1" t="s">
        <v>48220</v>
      </c>
      <c r="B48221" s="2" t="str">
        <f>IFERROR(__xludf.DUMMYFUNCTION("GOOGLETRANSLATE(A48221, ""de"", ""en"")"),"polarity")</f>
        <v>polarity</v>
      </c>
    </row>
    <row r="48222">
      <c r="A48222" s="1" t="s">
        <v>48221</v>
      </c>
      <c r="B48222" s="2" t="str">
        <f>IFERROR(__xludf.DUMMYFUNCTION("GOOGLETRANSLATE(A48222, ""de"", ""en"")"),"sweet")</f>
        <v>sweet</v>
      </c>
    </row>
    <row r="48223">
      <c r="A48223" s="1" t="s">
        <v>48222</v>
      </c>
      <c r="B48223" s="2" t="str">
        <f>IFERROR(__xludf.DUMMYFUNCTION("GOOGLETRANSLATE(A48223, ""de"", ""en"")"),"contract killing")</f>
        <v>contract killing</v>
      </c>
    </row>
    <row r="48224">
      <c r="A48224" s="1" t="s">
        <v>48223</v>
      </c>
      <c r="B48224" s="2" t="str">
        <f>IFERROR(__xludf.DUMMYFUNCTION("GOOGLETRANSLATE(A48224, ""de"", ""en"")"),"refresh")</f>
        <v>refresh</v>
      </c>
    </row>
    <row r="48225">
      <c r="A48225" s="1" t="s">
        <v>48224</v>
      </c>
      <c r="B48225" s="2" t="str">
        <f>IFERROR(__xludf.DUMMYFUNCTION("GOOGLETRANSLATE(A48225, ""de"", ""en"")"),"gravy")</f>
        <v>gravy</v>
      </c>
    </row>
    <row r="48226">
      <c r="A48226" s="1" t="s">
        <v>48225</v>
      </c>
      <c r="B48226" s="2" t="str">
        <f>IFERROR(__xludf.DUMMYFUNCTION("GOOGLETRANSLATE(A48226, ""de"", ""en"")"),"printing plates")</f>
        <v>printing plates</v>
      </c>
    </row>
    <row r="48227">
      <c r="A48227" s="1" t="s">
        <v>48226</v>
      </c>
      <c r="B48227" s="2" t="str">
        <f>IFERROR(__xludf.DUMMYFUNCTION("GOOGLETRANSLATE(A48227, ""de"", ""en"")"),"lasky")</f>
        <v>lasky</v>
      </c>
    </row>
    <row r="48228">
      <c r="A48228" s="1" t="s">
        <v>48227</v>
      </c>
      <c r="B48228" s="2" t="str">
        <f>IFERROR(__xludf.DUMMYFUNCTION("GOOGLETRANSLATE(A48228, ""de"", ""en"")"),"recorded")</f>
        <v>recorded</v>
      </c>
    </row>
    <row r="48229">
      <c r="A48229" s="1" t="s">
        <v>48228</v>
      </c>
      <c r="B48229" s="2" t="str">
        <f>IFERROR(__xludf.DUMMYFUNCTION("GOOGLETRANSLATE(A48229, ""de"", ""en"")"),"European")</f>
        <v>European</v>
      </c>
    </row>
    <row r="48230">
      <c r="A48230" s="1" t="s">
        <v>48229</v>
      </c>
      <c r="B48230" s="2" t="str">
        <f>IFERROR(__xludf.DUMMYFUNCTION("GOOGLETRANSLATE(A48230, ""de"", ""en"")"),"discriminated against")</f>
        <v>discriminated against</v>
      </c>
    </row>
    <row r="48231">
      <c r="A48231" s="1" t="s">
        <v>48230</v>
      </c>
      <c r="B48231" s="2" t="str">
        <f>IFERROR(__xludf.DUMMYFUNCTION("GOOGLETRANSLATE(A48231, ""de"", ""en"")"),"caffeine free")</f>
        <v>caffeine free</v>
      </c>
    </row>
    <row r="48232">
      <c r="A48232" s="1" t="s">
        <v>48231</v>
      </c>
      <c r="B48232" s="2" t="str">
        <f>IFERROR(__xludf.DUMMYFUNCTION("GOOGLETRANSLATE(A48232, ""de"", ""en"")"),"surfaces")</f>
        <v>surfaces</v>
      </c>
    </row>
    <row r="48233">
      <c r="A48233" s="1" t="s">
        <v>48232</v>
      </c>
      <c r="B48233" s="2" t="str">
        <f>IFERROR(__xludf.DUMMYFUNCTION("GOOGLETRANSLATE(A48233, ""de"", ""en"")"),"Kiras")</f>
        <v>Kiras</v>
      </c>
    </row>
    <row r="48234">
      <c r="A48234" s="1" t="s">
        <v>48233</v>
      </c>
      <c r="B48234" s="2" t="str">
        <f>IFERROR(__xludf.DUMMYFUNCTION("GOOGLETRANSLATE(A48234, ""de"", ""en"")"),"tilney")</f>
        <v>tilney</v>
      </c>
    </row>
    <row r="48235">
      <c r="A48235" s="1" t="s">
        <v>48234</v>
      </c>
      <c r="B48235" s="2" t="str">
        <f>IFERROR(__xludf.DUMMYFUNCTION("GOOGLETRANSLATE(A48235, ""de"", ""en"")"),"Turks")</f>
        <v>Turks</v>
      </c>
    </row>
    <row r="48236">
      <c r="A48236" s="1" t="s">
        <v>48235</v>
      </c>
      <c r="B48236" s="2" t="str">
        <f>IFERROR(__xludf.DUMMYFUNCTION("GOOGLETRANSLATE(A48236, ""de"", ""en"")"),"drove up")</f>
        <v>drove up</v>
      </c>
    </row>
    <row r="48237">
      <c r="A48237" s="1" t="s">
        <v>48236</v>
      </c>
      <c r="B48237" s="2" t="str">
        <f>IFERROR(__xludf.DUMMYFUNCTION("GOOGLETRANSLATE(A48237, ""de"", ""en"")"),"demetri")</f>
        <v>demetri</v>
      </c>
    </row>
    <row r="48238">
      <c r="A48238" s="1" t="s">
        <v>48237</v>
      </c>
      <c r="B48238" s="2" t="str">
        <f>IFERROR(__xludf.DUMMYFUNCTION("GOOGLETRANSLATE(A48238, ""de"", ""en"")"),"principality")</f>
        <v>principality</v>
      </c>
    </row>
    <row r="48239">
      <c r="A48239" s="1" t="s">
        <v>48238</v>
      </c>
      <c r="B48239" s="2" t="str">
        <f>IFERROR(__xludf.DUMMYFUNCTION("GOOGLETRANSLATE(A48239, ""de"", ""en"")"),"headhunter")</f>
        <v>headhunter</v>
      </c>
    </row>
    <row r="48240">
      <c r="A48240" s="1" t="s">
        <v>48239</v>
      </c>
      <c r="B48240" s="2" t="str">
        <f>IFERROR(__xludf.DUMMYFUNCTION("GOOGLETRANSLATE(A48240, ""de"", ""en"")"),"more mutual")</f>
        <v>more mutual</v>
      </c>
    </row>
    <row r="48241">
      <c r="A48241" s="1" t="s">
        <v>48240</v>
      </c>
      <c r="B48241" s="2" t="str">
        <f>IFERROR(__xludf.DUMMYFUNCTION("GOOGLETRANSLATE(A48241, ""de"", ""en"")"),"coffee table")</f>
        <v>coffee table</v>
      </c>
    </row>
    <row r="48242">
      <c r="A48242" s="1" t="s">
        <v>48241</v>
      </c>
      <c r="B48242" s="2" t="str">
        <f>IFERROR(__xludf.DUMMYFUNCTION("GOOGLETRANSLATE(A48242, ""de"", ""en"")"),"gwenda")</f>
        <v>gwenda</v>
      </c>
    </row>
    <row r="48243">
      <c r="A48243" s="1" t="s">
        <v>48242</v>
      </c>
      <c r="B48243" s="2" t="str">
        <f>IFERROR(__xludf.DUMMYFUNCTION("GOOGLETRANSLATE(A48243, ""de"", ""en"")"),"departure")</f>
        <v>departure</v>
      </c>
    </row>
    <row r="48244">
      <c r="A48244" s="1" t="s">
        <v>48243</v>
      </c>
      <c r="B48244" s="2" t="str">
        <f>IFERROR(__xludf.DUMMYFUNCTION("GOOGLETRANSLATE(A48244, ""de"", ""en"")"),"kitzbühel")</f>
        <v>kitzbühel</v>
      </c>
    </row>
    <row r="48245">
      <c r="A48245" s="1" t="s">
        <v>48244</v>
      </c>
      <c r="B48245" s="2" t="str">
        <f>IFERROR(__xludf.DUMMYFUNCTION("GOOGLETRANSLATE(A48245, ""de"", ""en"")"),"galindo")</f>
        <v>galindo</v>
      </c>
    </row>
    <row r="48246">
      <c r="A48246" s="1" t="s">
        <v>48245</v>
      </c>
      <c r="B48246" s="2" t="str">
        <f>IFERROR(__xludf.DUMMYFUNCTION("GOOGLETRANSLATE(A48246, ""de"", ""en"")"),"caused")</f>
        <v>caused</v>
      </c>
    </row>
    <row r="48247">
      <c r="A48247" s="1" t="s">
        <v>48246</v>
      </c>
      <c r="B48247" s="2" t="str">
        <f>IFERROR(__xludf.DUMMYFUNCTION("GOOGLETRANSLATE(A48247, ""de"", ""en"")"),"send over")</f>
        <v>send over</v>
      </c>
    </row>
    <row r="48248">
      <c r="A48248" s="1" t="s">
        <v>48247</v>
      </c>
      <c r="B48248" s="2" t="str">
        <f>IFERROR(__xludf.DUMMYFUNCTION("GOOGLETRANSLATE(A48248, ""de"", ""en"")"),"lloyds")</f>
        <v>lloyds</v>
      </c>
    </row>
    <row r="48249">
      <c r="A48249" s="1" t="s">
        <v>48248</v>
      </c>
      <c r="B48249" s="2" t="str">
        <f>IFERROR(__xludf.DUMMYFUNCTION("GOOGLETRANSLATE(A48249, ""de"", ""en"")"),"nursery")</f>
        <v>nursery</v>
      </c>
    </row>
    <row r="48250">
      <c r="A48250" s="1" t="s">
        <v>48249</v>
      </c>
      <c r="B48250" s="2" t="str">
        <f>IFERROR(__xludf.DUMMYFUNCTION("GOOGLETRANSLATE(A48250, ""de"", ""en"")"),"noblest")</f>
        <v>noblest</v>
      </c>
    </row>
    <row r="48251">
      <c r="A48251" s="1" t="s">
        <v>48250</v>
      </c>
      <c r="B48251" s="2" t="str">
        <f>IFERROR(__xludf.DUMMYFUNCTION("GOOGLETRANSLATE(A48251, ""de"", ""en"")"),"crime boss")</f>
        <v>crime boss</v>
      </c>
    </row>
    <row r="48252">
      <c r="A48252" s="1" t="s">
        <v>48251</v>
      </c>
      <c r="B48252" s="2" t="str">
        <f>IFERROR(__xludf.DUMMYFUNCTION("GOOGLETRANSLATE(A48252, ""de"", ""en"")"),"penal colony")</f>
        <v>penal colony</v>
      </c>
    </row>
    <row r="48253">
      <c r="A48253" s="1" t="s">
        <v>48252</v>
      </c>
      <c r="B48253" s="2" t="str">
        <f>IFERROR(__xludf.DUMMYFUNCTION("GOOGLETRANSLATE(A48253, ""de"", ""en"")"),"pork")</f>
        <v>pork</v>
      </c>
    </row>
    <row r="48254">
      <c r="A48254" s="1" t="s">
        <v>48253</v>
      </c>
      <c r="B48254" s="2" t="str">
        <f>IFERROR(__xludf.DUMMYFUNCTION("GOOGLETRANSLATE(A48254, ""de"", ""en"")"),"went in")</f>
        <v>went in</v>
      </c>
    </row>
    <row r="48255">
      <c r="A48255" s="1" t="s">
        <v>48254</v>
      </c>
      <c r="B48255" s="2" t="str">
        <f>IFERROR(__xludf.DUMMYFUNCTION("GOOGLETRANSLATE(A48255, ""de"", ""en"")"),"quinine")</f>
        <v>quinine</v>
      </c>
    </row>
    <row r="48256">
      <c r="A48256" s="1" t="s">
        <v>48255</v>
      </c>
      <c r="B48256" s="2" t="str">
        <f>IFERROR(__xludf.DUMMYFUNCTION("GOOGLETRANSLATE(A48256, ""de"", ""en"")"),"killer machine")</f>
        <v>killer machine</v>
      </c>
    </row>
    <row r="48257">
      <c r="A48257" s="1" t="s">
        <v>48256</v>
      </c>
      <c r="B48257" s="2" t="str">
        <f>IFERROR(__xludf.DUMMYFUNCTION("GOOGLETRANSLATE(A48257, ""de"", ""en"")"),"kenai")</f>
        <v>kenai</v>
      </c>
    </row>
    <row r="48258">
      <c r="A48258" s="1" t="s">
        <v>48257</v>
      </c>
      <c r="B48258" s="2" t="str">
        <f>IFERROR(__xludf.DUMMYFUNCTION("GOOGLETRANSLATE(A48258, ""de"", ""en"")"),"dirt poor")</f>
        <v>dirt poor</v>
      </c>
    </row>
    <row r="48259">
      <c r="A48259" s="1" t="s">
        <v>48258</v>
      </c>
      <c r="B48259" s="2" t="str">
        <f>IFERROR(__xludf.DUMMYFUNCTION("GOOGLETRANSLATE(A48259, ""de"", ""en"")"),"picnic basket")</f>
        <v>picnic basket</v>
      </c>
    </row>
    <row r="48260">
      <c r="A48260" s="1" t="s">
        <v>48259</v>
      </c>
      <c r="B48260" s="2" t="str">
        <f>IFERROR(__xludf.DUMMYFUNCTION("GOOGLETRANSLATE(A48260, ""de"", ""en"")"),"greet")</f>
        <v>greet</v>
      </c>
    </row>
    <row r="48261">
      <c r="A48261" s="1" t="s">
        <v>48260</v>
      </c>
      <c r="B48261" s="2" t="str">
        <f>IFERROR(__xludf.DUMMYFUNCTION("GOOGLETRANSLATE(A48261, ""de"", ""en"")"),"leave")</f>
        <v>leave</v>
      </c>
    </row>
    <row r="48262">
      <c r="A48262" s="1" t="s">
        <v>48261</v>
      </c>
      <c r="B48262" s="2" t="str">
        <f>IFERROR(__xludf.DUMMYFUNCTION("GOOGLETRANSLATE(A48262, ""de"", ""en"")"),"oyster")</f>
        <v>oyster</v>
      </c>
    </row>
    <row r="48263">
      <c r="A48263" s="1" t="s">
        <v>48262</v>
      </c>
      <c r="B48263" s="2" t="str">
        <f>IFERROR(__xludf.DUMMYFUNCTION("GOOGLETRANSLATE(A48263, ""de"", ""en"")"),"groundbreaking")</f>
        <v>groundbreaking</v>
      </c>
    </row>
    <row r="48264">
      <c r="A48264" s="1" t="s">
        <v>48263</v>
      </c>
      <c r="B48264" s="2" t="str">
        <f>IFERROR(__xludf.DUMMYFUNCTION("GOOGLETRANSLATE(A48264, ""de"", ""en"")"),"railway worker")</f>
        <v>railway worker</v>
      </c>
    </row>
    <row r="48265">
      <c r="A48265" s="1" t="s">
        <v>48264</v>
      </c>
      <c r="B48265" s="2" t="str">
        <f>IFERROR(__xludf.DUMMYFUNCTION("GOOGLETRANSLATE(A48265, ""de"", ""en"")"),"arrival")</f>
        <v>arrival</v>
      </c>
    </row>
    <row r="48266">
      <c r="A48266" s="1" t="s">
        <v>48265</v>
      </c>
      <c r="B48266" s="2" t="str">
        <f>IFERROR(__xludf.DUMMYFUNCTION("GOOGLETRANSLATE(A48266, ""de"", ""en"")"),"sea ​​urchin")</f>
        <v>sea ​​urchin</v>
      </c>
    </row>
    <row r="48267">
      <c r="A48267" s="1" t="s">
        <v>48266</v>
      </c>
      <c r="B48267" s="2" t="str">
        <f>IFERROR(__xludf.DUMMYFUNCTION("GOOGLETRANSLATE(A48267, ""de"", ""en"")"),"to start")</f>
        <v>to start</v>
      </c>
    </row>
    <row r="48268">
      <c r="A48268" s="1" t="s">
        <v>48267</v>
      </c>
      <c r="B48268" s="2" t="str">
        <f>IFERROR(__xludf.DUMMYFUNCTION("GOOGLETRANSLATE(A48268, ""de"", ""en"")"),"dress")</f>
        <v>dress</v>
      </c>
    </row>
    <row r="48269">
      <c r="A48269" s="1" t="s">
        <v>48268</v>
      </c>
      <c r="B48269" s="2" t="str">
        <f>IFERROR(__xludf.DUMMYFUNCTION("GOOGLETRANSLATE(A48269, ""de"", ""en"")"),"painted")</f>
        <v>painted</v>
      </c>
    </row>
    <row r="48270">
      <c r="A48270" s="1" t="s">
        <v>48269</v>
      </c>
      <c r="B48270" s="2" t="str">
        <f>IFERROR(__xludf.DUMMYFUNCTION("GOOGLETRANSLATE(A48270, ""de"", ""en"")"),"amman")</f>
        <v>amman</v>
      </c>
    </row>
    <row r="48271">
      <c r="A48271" s="1" t="s">
        <v>48270</v>
      </c>
      <c r="B48271" s="2" t="str">
        <f>IFERROR(__xludf.DUMMYFUNCTION("GOOGLETRANSLATE(A48271, ""de"", ""en"")"),"mention")</f>
        <v>mention</v>
      </c>
    </row>
    <row r="48272">
      <c r="A48272" s="1" t="s">
        <v>48271</v>
      </c>
      <c r="B48272" s="2" t="str">
        <f>IFERROR(__xludf.DUMMYFUNCTION("GOOGLETRANSLATE(A48272, ""de"", ""en"")"),"death wish")</f>
        <v>death wish</v>
      </c>
    </row>
    <row r="48273">
      <c r="A48273" s="1" t="s">
        <v>48272</v>
      </c>
      <c r="B48273" s="2" t="str">
        <f>IFERROR(__xludf.DUMMYFUNCTION("GOOGLETRANSLATE(A48273, ""de"", ""en"")"),"dorado")</f>
        <v>dorado</v>
      </c>
    </row>
    <row r="48274">
      <c r="A48274" s="1" t="s">
        <v>48273</v>
      </c>
      <c r="B48274" s="2" t="str">
        <f>IFERROR(__xludf.DUMMYFUNCTION("GOOGLETRANSLATE(A48274, ""de"", ""en"")"),"loud")</f>
        <v>loud</v>
      </c>
    </row>
    <row r="48275">
      <c r="A48275" s="1" t="s">
        <v>48274</v>
      </c>
      <c r="B48275" s="2" t="str">
        <f>IFERROR(__xludf.DUMMYFUNCTION("GOOGLETRANSLATE(A48275, ""de"", ""en"")"),"blood groups")</f>
        <v>blood groups</v>
      </c>
    </row>
    <row r="48276">
      <c r="A48276" s="1" t="s">
        <v>48275</v>
      </c>
      <c r="B48276" s="2" t="str">
        <f>IFERROR(__xludf.DUMMYFUNCTION("GOOGLETRANSLATE(A48276, ""de"", ""en"")"),"test by fire")</f>
        <v>test by fire</v>
      </c>
    </row>
    <row r="48277">
      <c r="A48277" s="1" t="s">
        <v>48276</v>
      </c>
      <c r="B48277" s="2" t="str">
        <f>IFERROR(__xludf.DUMMYFUNCTION("GOOGLETRANSLATE(A48277, ""de"", ""en"")"),"outlet")</f>
        <v>outlet</v>
      </c>
    </row>
    <row r="48278">
      <c r="A48278" s="1" t="s">
        <v>48277</v>
      </c>
      <c r="B48278" s="2" t="str">
        <f>IFERROR(__xludf.DUMMYFUNCTION("GOOGLETRANSLATE(A48278, ""de"", ""en"")"),"Shue")</f>
        <v>Shue</v>
      </c>
    </row>
    <row r="48279">
      <c r="A48279" s="1" t="s">
        <v>48278</v>
      </c>
      <c r="B48279" s="2" t="str">
        <f>IFERROR(__xludf.DUMMYFUNCTION("GOOGLETRANSLATE(A48279, ""de"", ""en"")"),"movable")</f>
        <v>movable</v>
      </c>
    </row>
    <row r="48280">
      <c r="A48280" s="1" t="s">
        <v>48279</v>
      </c>
      <c r="B48280" s="2" t="str">
        <f>IFERROR(__xludf.DUMMYFUNCTION("GOOGLETRANSLATE(A48280, ""de"", ""en"")"),"spider web")</f>
        <v>spider web</v>
      </c>
    </row>
    <row r="48281">
      <c r="A48281" s="1" t="s">
        <v>48280</v>
      </c>
      <c r="B48281" s="2" t="str">
        <f>IFERROR(__xludf.DUMMYFUNCTION("GOOGLETRANSLATE(A48281, ""de"", ""en"")"),"bloodstained")</f>
        <v>bloodstained</v>
      </c>
    </row>
    <row r="48282">
      <c r="A48282" s="1" t="s">
        <v>48281</v>
      </c>
      <c r="B48282" s="2" t="str">
        <f>IFERROR(__xludf.DUMMYFUNCTION("GOOGLETRANSLATE(A48282, ""de"", ""en"")"),"valuables")</f>
        <v>valuables</v>
      </c>
    </row>
    <row r="48283">
      <c r="A48283" s="1" t="s">
        <v>48282</v>
      </c>
      <c r="B48283" s="2" t="str">
        <f>IFERROR(__xludf.DUMMYFUNCTION("GOOGLETRANSLATE(A48283, ""de"", ""en"")"),"irs")</f>
        <v>irs</v>
      </c>
    </row>
    <row r="48284">
      <c r="A48284" s="1" t="s">
        <v>48283</v>
      </c>
      <c r="B48284" s="2" t="str">
        <f>IFERROR(__xludf.DUMMYFUNCTION("GOOGLETRANSLATE(A48284, ""de"", ""en"")"),"lifeless")</f>
        <v>lifeless</v>
      </c>
    </row>
    <row r="48285">
      <c r="A48285" s="1" t="s">
        <v>48284</v>
      </c>
      <c r="B48285" s="2" t="str">
        <f>IFERROR(__xludf.DUMMYFUNCTION("GOOGLETRANSLATE(A48285, ""de"", ""en"")"),"morcerf")</f>
        <v>morcerf</v>
      </c>
    </row>
    <row r="48286">
      <c r="A48286" s="1" t="s">
        <v>48285</v>
      </c>
      <c r="B48286" s="2" t="str">
        <f>IFERROR(__xludf.DUMMYFUNCTION("GOOGLETRANSLATE(A48286, ""de"", ""en"")"),"world exhibition")</f>
        <v>world exhibition</v>
      </c>
    </row>
    <row r="48287">
      <c r="A48287" s="1" t="s">
        <v>48286</v>
      </c>
      <c r="B48287" s="2" t="str">
        <f>IFERROR(__xludf.DUMMYFUNCTION("GOOGLETRANSLATE(A48287, ""de"", ""en"")"),"sergeant major")</f>
        <v>sergeant major</v>
      </c>
    </row>
    <row r="48288">
      <c r="A48288" s="1" t="s">
        <v>48287</v>
      </c>
      <c r="B48288" s="2" t="str">
        <f>IFERROR(__xludf.DUMMYFUNCTION("GOOGLETRANSLATE(A48288, ""de"", ""en"")"),"to burst in")</f>
        <v>to burst in</v>
      </c>
    </row>
    <row r="48289">
      <c r="A48289" s="1" t="s">
        <v>48288</v>
      </c>
      <c r="B48289" s="2" t="str">
        <f>IFERROR(__xludf.DUMMYFUNCTION("GOOGLETRANSLATE(A48289, ""de"", ""en"")"),"crisval")</f>
        <v>crisval</v>
      </c>
    </row>
    <row r="48290">
      <c r="A48290" s="1" t="s">
        <v>48289</v>
      </c>
      <c r="B48290" s="2" t="str">
        <f>IFERROR(__xludf.DUMMYFUNCTION("GOOGLETRANSLATE(A48290, ""de"", ""en"")"),"side effects")</f>
        <v>side effects</v>
      </c>
    </row>
    <row r="48291">
      <c r="A48291" s="1" t="s">
        <v>48290</v>
      </c>
      <c r="B48291" s="2" t="str">
        <f>IFERROR(__xludf.DUMMYFUNCTION("GOOGLETRANSLATE(A48291, ""de"", ""en"")"),"vat")</f>
        <v>vat</v>
      </c>
    </row>
    <row r="48292">
      <c r="A48292" s="1" t="s">
        <v>48291</v>
      </c>
      <c r="B48292" s="2" t="str">
        <f>IFERROR(__xludf.DUMMYFUNCTION("GOOGLETRANSLATE(A48292, ""de"", ""en"")"),"buttocks")</f>
        <v>buttocks</v>
      </c>
    </row>
    <row r="48293">
      <c r="A48293" s="1" t="s">
        <v>48292</v>
      </c>
      <c r="B48293" s="2" t="str">
        <f>IFERROR(__xludf.DUMMYFUNCTION("GOOGLETRANSLATE(A48293, ""de"", ""en"")"),"nutmeg")</f>
        <v>nutmeg</v>
      </c>
    </row>
    <row r="48294">
      <c r="A48294" s="1" t="s">
        <v>48293</v>
      </c>
      <c r="B48294" s="2" t="str">
        <f>IFERROR(__xludf.DUMMYFUNCTION("GOOGLETRANSLATE(A48294, ""de"", ""en"")"),"deformed")</f>
        <v>deformed</v>
      </c>
    </row>
    <row r="48295">
      <c r="A48295" s="1" t="s">
        <v>48294</v>
      </c>
      <c r="B48295" s="2" t="str">
        <f>IFERROR(__xludf.DUMMYFUNCTION("GOOGLETRANSLATE(A48295, ""de"", ""en"")"),"pff")</f>
        <v>pff</v>
      </c>
    </row>
    <row r="48296">
      <c r="A48296" s="1" t="s">
        <v>48295</v>
      </c>
      <c r="B48296" s="2" t="str">
        <f>IFERROR(__xludf.DUMMYFUNCTION("GOOGLETRANSLATE(A48296, ""de"", ""en"")"),"stout")</f>
        <v>stout</v>
      </c>
    </row>
    <row r="48297">
      <c r="A48297" s="1" t="s">
        <v>48296</v>
      </c>
      <c r="B48297" s="2" t="str">
        <f>IFERROR(__xludf.DUMMYFUNCTION("GOOGLETRANSLATE(A48297, ""de"", ""en"")"),"screamer")</f>
        <v>screamer</v>
      </c>
    </row>
    <row r="48298">
      <c r="A48298" s="1" t="s">
        <v>48297</v>
      </c>
      <c r="B48298" s="2" t="str">
        <f>IFERROR(__xludf.DUMMYFUNCTION("GOOGLETRANSLATE(A48298, ""de"", ""en"")"),"delivery location")</f>
        <v>delivery location</v>
      </c>
    </row>
    <row r="48299">
      <c r="A48299" s="1" t="s">
        <v>48298</v>
      </c>
      <c r="B48299" s="2" t="str">
        <f>IFERROR(__xludf.DUMMYFUNCTION("GOOGLETRANSLATE(A48299, ""de"", ""en"")"),"jitters")</f>
        <v>jitters</v>
      </c>
    </row>
    <row r="48300">
      <c r="A48300" s="1" t="s">
        <v>48299</v>
      </c>
      <c r="B48300" s="2" t="str">
        <f>IFERROR(__xludf.DUMMYFUNCTION("GOOGLETRANSLATE(A48300, ""de"", ""en"")"),"idolatrous")</f>
        <v>idolatrous</v>
      </c>
    </row>
    <row r="48301">
      <c r="A48301" s="1" t="s">
        <v>48300</v>
      </c>
      <c r="B48301" s="2" t="str">
        <f>IFERROR(__xludf.DUMMYFUNCTION("GOOGLETRANSLATE(A48301, ""de"", ""en"")"),"tied up")</f>
        <v>tied up</v>
      </c>
    </row>
    <row r="48302">
      <c r="A48302" s="1" t="s">
        <v>48301</v>
      </c>
      <c r="B48302" s="2" t="str">
        <f>IFERROR(__xludf.DUMMYFUNCTION("GOOGLETRANSLATE(A48302, ""de"", ""en"")"),"Moroccan")</f>
        <v>Moroccan</v>
      </c>
    </row>
    <row r="48303">
      <c r="A48303" s="1" t="s">
        <v>48302</v>
      </c>
      <c r="B48303" s="2" t="str">
        <f>IFERROR(__xludf.DUMMYFUNCTION("GOOGLETRANSLATE(A48303, ""de"", ""en"")"),"quixote")</f>
        <v>quixote</v>
      </c>
    </row>
    <row r="48304">
      <c r="A48304" s="1" t="s">
        <v>48303</v>
      </c>
      <c r="B48304" s="2" t="str">
        <f>IFERROR(__xludf.DUMMYFUNCTION("GOOGLETRANSLATE(A48304, ""de"", ""en"")"),"Alfred's")</f>
        <v>Alfred's</v>
      </c>
    </row>
    <row r="48305">
      <c r="A48305" s="1" t="s">
        <v>48304</v>
      </c>
      <c r="B48305" s="2" t="str">
        <f>IFERROR(__xludf.DUMMYFUNCTION("GOOGLETRANSLATE(A48305, ""de"", ""en"")"),"dah")</f>
        <v>dah</v>
      </c>
    </row>
    <row r="48306">
      <c r="A48306" s="1" t="s">
        <v>48305</v>
      </c>
      <c r="B48306" s="2" t="str">
        <f>IFERROR(__xludf.DUMMYFUNCTION("GOOGLETRANSLATE(A48306, ""de"", ""en"")"),"mistreated")</f>
        <v>mistreated</v>
      </c>
    </row>
    <row r="48307">
      <c r="A48307" s="1" t="s">
        <v>48306</v>
      </c>
      <c r="B48307" s="2" t="str">
        <f>IFERROR(__xludf.DUMMYFUNCTION("GOOGLETRANSLATE(A48307, ""de"", ""en"")"),"lasall")</f>
        <v>lasall</v>
      </c>
    </row>
    <row r="48308">
      <c r="A48308" s="1" t="s">
        <v>48307</v>
      </c>
      <c r="B48308" s="2" t="str">
        <f>IFERROR(__xludf.DUMMYFUNCTION("GOOGLETRANSLATE(A48308, ""de"", ""en"")"),"syndicate")</f>
        <v>syndicate</v>
      </c>
    </row>
    <row r="48309">
      <c r="A48309" s="1" t="s">
        <v>48308</v>
      </c>
      <c r="B48309" s="2" t="str">
        <f>IFERROR(__xludf.DUMMYFUNCTION("GOOGLETRANSLATE(A48309, ""de"", ""en"")"),"bloodlust")</f>
        <v>bloodlust</v>
      </c>
    </row>
    <row r="48310">
      <c r="A48310" s="1" t="s">
        <v>48309</v>
      </c>
      <c r="B48310" s="2" t="str">
        <f>IFERROR(__xludf.DUMMYFUNCTION("GOOGLETRANSLATE(A48310, ""de"", ""en"")"),"guthrum")</f>
        <v>guthrum</v>
      </c>
    </row>
    <row r="48311">
      <c r="A48311" s="1" t="s">
        <v>48310</v>
      </c>
      <c r="B48311" s="2" t="str">
        <f>IFERROR(__xludf.DUMMYFUNCTION("GOOGLETRANSLATE(A48311, ""de"", ""en"")"),"stately")</f>
        <v>stately</v>
      </c>
    </row>
    <row r="48312">
      <c r="A48312" s="1" t="s">
        <v>48311</v>
      </c>
      <c r="B48312" s="2" t="str">
        <f>IFERROR(__xludf.DUMMYFUNCTION("GOOGLETRANSLATE(A48312, ""de"", ""en"")"),"raspberry")</f>
        <v>raspberry</v>
      </c>
    </row>
    <row r="48313">
      <c r="A48313" s="1" t="s">
        <v>48312</v>
      </c>
      <c r="B48313" s="2" t="str">
        <f>IFERROR(__xludf.DUMMYFUNCTION("GOOGLETRANSLATE(A48313, ""de"", ""en"")"),"tasteless")</f>
        <v>tasteless</v>
      </c>
    </row>
    <row r="48314">
      <c r="A48314" s="1" t="s">
        <v>48313</v>
      </c>
      <c r="B48314" s="2" t="str">
        <f>IFERROR(__xludf.DUMMYFUNCTION("GOOGLETRANSLATE(A48314, ""de"", ""en"")"),"lasted")</f>
        <v>lasted</v>
      </c>
    </row>
    <row r="48315">
      <c r="A48315" s="1" t="s">
        <v>48314</v>
      </c>
      <c r="B48315" s="2" t="str">
        <f>IFERROR(__xludf.DUMMYFUNCTION("GOOGLETRANSLATE(A48315, ""de"", ""en"")"),"amniotic fluid")</f>
        <v>amniotic fluid</v>
      </c>
    </row>
    <row r="48316">
      <c r="A48316" s="1" t="s">
        <v>48315</v>
      </c>
      <c r="B48316" s="2" t="str">
        <f>IFERROR(__xludf.DUMMYFUNCTION("GOOGLETRANSLATE(A48316, ""de"", ""en"")"),"pierres")</f>
        <v>pierres</v>
      </c>
    </row>
    <row r="48317">
      <c r="A48317" s="1" t="s">
        <v>48316</v>
      </c>
      <c r="B48317" s="2" t="str">
        <f>IFERROR(__xludf.DUMMYFUNCTION("GOOGLETRANSLATE(A48317, ""de"", ""en"")"),"unsurpassed")</f>
        <v>unsurpassed</v>
      </c>
    </row>
    <row r="48318">
      <c r="A48318" s="1" t="s">
        <v>48317</v>
      </c>
      <c r="B48318" s="2" t="str">
        <f>IFERROR(__xludf.DUMMYFUNCTION("GOOGLETRANSLATE(A48318, ""de"", ""en"")"),"flakes")</f>
        <v>flakes</v>
      </c>
    </row>
    <row r="48319">
      <c r="A48319" s="1" t="s">
        <v>48318</v>
      </c>
      <c r="B48319" s="2" t="str">
        <f>IFERROR(__xludf.DUMMYFUNCTION("GOOGLETRANSLATE(A48319, ""de"", ""en"")"),"bird flu")</f>
        <v>bird flu</v>
      </c>
    </row>
    <row r="48320">
      <c r="A48320" s="1" t="s">
        <v>48319</v>
      </c>
      <c r="B48320" s="2" t="str">
        <f>IFERROR(__xludf.DUMMYFUNCTION("GOOGLETRANSLATE(A48320, ""de"", ""en"")"),"to reproduce")</f>
        <v>to reproduce</v>
      </c>
    </row>
    <row r="48321">
      <c r="A48321" s="1" t="s">
        <v>48320</v>
      </c>
      <c r="B48321" s="2" t="str">
        <f>IFERROR(__xludf.DUMMYFUNCTION("GOOGLETRANSLATE(A48321, ""de"", ""en"")"),"fantastic")</f>
        <v>fantastic</v>
      </c>
    </row>
    <row r="48322">
      <c r="A48322" s="1" t="s">
        <v>48321</v>
      </c>
      <c r="B48322" s="2" t="str">
        <f>IFERROR(__xludf.DUMMYFUNCTION("GOOGLETRANSLATE(A48322, ""de"", ""en"")"),"conspecifics")</f>
        <v>conspecifics</v>
      </c>
    </row>
    <row r="48323">
      <c r="A48323" s="1" t="s">
        <v>48322</v>
      </c>
      <c r="B48323" s="2" t="str">
        <f>IFERROR(__xludf.DUMMYFUNCTION("GOOGLETRANSLATE(A48323, ""de"", ""en"")"),"download")</f>
        <v>download</v>
      </c>
    </row>
    <row r="48324">
      <c r="A48324" s="1" t="s">
        <v>48323</v>
      </c>
      <c r="B48324" s="2" t="str">
        <f>IFERROR(__xludf.DUMMYFUNCTION("GOOGLETRANSLATE(A48324, ""de"", ""en"")"),"preserve")</f>
        <v>preserve</v>
      </c>
    </row>
    <row r="48325">
      <c r="A48325" s="1" t="s">
        <v>48324</v>
      </c>
      <c r="B48325" s="2" t="str">
        <f>IFERROR(__xludf.DUMMYFUNCTION("GOOGLETRANSLATE(A48325, ""de"", ""en"")"),"purvis")</f>
        <v>purvis</v>
      </c>
    </row>
    <row r="48326">
      <c r="A48326" s="1" t="s">
        <v>48325</v>
      </c>
      <c r="B48326" s="2" t="str">
        <f>IFERROR(__xludf.DUMMYFUNCTION("GOOGLETRANSLATE(A48326, ""de"", ""en"")"),"gonzague")</f>
        <v>gonzague</v>
      </c>
    </row>
    <row r="48327">
      <c r="A48327" s="1" t="s">
        <v>48326</v>
      </c>
      <c r="B48327" s="2" t="str">
        <f>IFERROR(__xludf.DUMMYFUNCTION("GOOGLETRANSLATE(A48327, ""de"", ""en"")"),"forever")</f>
        <v>forever</v>
      </c>
    </row>
    <row r="48328">
      <c r="A48328" s="1" t="s">
        <v>48327</v>
      </c>
      <c r="B48328" s="2" t="str">
        <f>IFERROR(__xludf.DUMMYFUNCTION("GOOGLETRANSLATE(A48328, ""de"", ""en"")"),"eraser")</f>
        <v>eraser</v>
      </c>
    </row>
    <row r="48329">
      <c r="A48329" s="1" t="s">
        <v>48328</v>
      </c>
      <c r="B48329" s="2" t="str">
        <f>IFERROR(__xludf.DUMMYFUNCTION("GOOGLETRANSLATE(A48329, ""de"", ""en"")"),"baseball cards")</f>
        <v>baseball cards</v>
      </c>
    </row>
    <row r="48330">
      <c r="A48330" s="1" t="s">
        <v>48329</v>
      </c>
      <c r="B48330" s="2" t="str">
        <f>IFERROR(__xludf.DUMMYFUNCTION("GOOGLETRANSLATE(A48330, ""de"", ""en"")"),"rattles")</f>
        <v>rattles</v>
      </c>
    </row>
    <row r="48331">
      <c r="A48331" s="1" t="s">
        <v>48330</v>
      </c>
      <c r="B48331" s="2" t="str">
        <f>IFERROR(__xludf.DUMMYFUNCTION("GOOGLETRANSLATE(A48331, ""de"", ""en"")"),"secondary")</f>
        <v>secondary</v>
      </c>
    </row>
    <row r="48332">
      <c r="A48332" s="1" t="s">
        <v>48331</v>
      </c>
      <c r="B48332" s="2" t="str">
        <f>IFERROR(__xludf.DUMMYFUNCTION("GOOGLETRANSLATE(A48332, ""de"", ""en"")"),"turquoise")</f>
        <v>turquoise</v>
      </c>
    </row>
    <row r="48333">
      <c r="A48333" s="1" t="s">
        <v>48332</v>
      </c>
      <c r="B48333" s="2" t="str">
        <f>IFERROR(__xludf.DUMMYFUNCTION("GOOGLETRANSLATE(A48333, ""de"", ""en"")"),"Maia")</f>
        <v>Maia</v>
      </c>
    </row>
    <row r="48334">
      <c r="A48334" s="1" t="s">
        <v>48333</v>
      </c>
      <c r="B48334" s="2" t="str">
        <f>IFERROR(__xludf.DUMMYFUNCTION("GOOGLETRANSLATE(A48334, ""de"", ""en"")"),"vroni")</f>
        <v>vroni</v>
      </c>
    </row>
    <row r="48335">
      <c r="A48335" s="1" t="s">
        <v>48334</v>
      </c>
      <c r="B48335" s="2" t="str">
        <f>IFERROR(__xludf.DUMMYFUNCTION("GOOGLETRANSLATE(A48335, ""de"", ""en"")"),"pork chops")</f>
        <v>pork chops</v>
      </c>
    </row>
    <row r="48336">
      <c r="A48336" s="1" t="s">
        <v>48335</v>
      </c>
      <c r="B48336" s="2" t="str">
        <f>IFERROR(__xludf.DUMMYFUNCTION("GOOGLETRANSLATE(A48336, ""de"", ""en"")"),"sheldrake")</f>
        <v>sheldrake</v>
      </c>
    </row>
    <row r="48337">
      <c r="A48337" s="1" t="s">
        <v>48336</v>
      </c>
      <c r="B48337" s="2" t="str">
        <f>IFERROR(__xludf.DUMMYFUNCTION("GOOGLETRANSLATE(A48337, ""de"", ""en"")"),"nightly")</f>
        <v>nightly</v>
      </c>
    </row>
    <row r="48338">
      <c r="A48338" s="1" t="s">
        <v>48337</v>
      </c>
      <c r="B48338" s="2" t="str">
        <f>IFERROR(__xludf.DUMMYFUNCTION("GOOGLETRANSLATE(A48338, ""de"", ""en"")"),"rocked")</f>
        <v>rocked</v>
      </c>
    </row>
    <row r="48339">
      <c r="A48339" s="1" t="s">
        <v>48338</v>
      </c>
      <c r="B48339" s="2" t="str">
        <f>IFERROR(__xludf.DUMMYFUNCTION("GOOGLETRANSLATE(A48339, ""de"", ""en"")"),"matata")</f>
        <v>matata</v>
      </c>
    </row>
    <row r="48340">
      <c r="A48340" s="1" t="s">
        <v>48339</v>
      </c>
      <c r="B48340" s="2" t="str">
        <f>IFERROR(__xludf.DUMMYFUNCTION("GOOGLETRANSLATE(A48340, ""de"", ""en"")"),"Cayenne")</f>
        <v>Cayenne</v>
      </c>
    </row>
    <row r="48341">
      <c r="A48341" s="1" t="s">
        <v>48340</v>
      </c>
      <c r="B48341" s="2" t="str">
        <f>IFERROR(__xludf.DUMMYFUNCTION("GOOGLETRANSLATE(A48341, ""de"", ""en"")"),"enter")</f>
        <v>enter</v>
      </c>
    </row>
    <row r="48342">
      <c r="A48342" s="1" t="s">
        <v>48341</v>
      </c>
      <c r="B48342" s="2" t="str">
        <f>IFERROR(__xludf.DUMMYFUNCTION("GOOGLETRANSLATE(A48342, ""de"", ""en"")"),"sensual")</f>
        <v>sensual</v>
      </c>
    </row>
    <row r="48343">
      <c r="A48343" s="1" t="s">
        <v>48342</v>
      </c>
      <c r="B48343" s="2" t="str">
        <f>IFERROR(__xludf.DUMMYFUNCTION("GOOGLETRANSLATE(A48343, ""de"", ""en"")"),"bitterly cold")</f>
        <v>bitterly cold</v>
      </c>
    </row>
    <row r="48344">
      <c r="A48344" s="1" t="s">
        <v>48343</v>
      </c>
      <c r="B48344" s="2" t="str">
        <f>IFERROR(__xludf.DUMMYFUNCTION("GOOGLETRANSLATE(A48344, ""de"", ""en"")"),"outsider")</f>
        <v>outsider</v>
      </c>
    </row>
    <row r="48345">
      <c r="A48345" s="1" t="s">
        <v>48344</v>
      </c>
      <c r="B48345" s="2" t="str">
        <f>IFERROR(__xludf.DUMMYFUNCTION("GOOGLETRANSLATE(A48345, ""de"", ""en"")"),"slave labor")</f>
        <v>slave labor</v>
      </c>
    </row>
    <row r="48346">
      <c r="A48346" s="1" t="s">
        <v>48345</v>
      </c>
      <c r="B48346" s="2" t="str">
        <f>IFERROR(__xludf.DUMMYFUNCTION("GOOGLETRANSLATE(A48346, ""de"", ""en"")"),"strives")</f>
        <v>strives</v>
      </c>
    </row>
    <row r="48347">
      <c r="A48347" s="1" t="s">
        <v>48346</v>
      </c>
      <c r="B48347" s="2" t="str">
        <f>IFERROR(__xludf.DUMMYFUNCTION("GOOGLETRANSLATE(A48347, ""de"", ""en"")"),"zigzag")</f>
        <v>zigzag</v>
      </c>
    </row>
    <row r="48348">
      <c r="A48348" s="1" t="s">
        <v>48347</v>
      </c>
      <c r="B48348" s="2" t="str">
        <f>IFERROR(__xludf.DUMMYFUNCTION("GOOGLETRANSLATE(A48348, ""de"", ""en"")"),"frightened")</f>
        <v>frightened</v>
      </c>
    </row>
    <row r="48349">
      <c r="A48349" s="1" t="s">
        <v>48348</v>
      </c>
      <c r="B48349" s="2" t="str">
        <f>IFERROR(__xludf.DUMMYFUNCTION("GOOGLETRANSLATE(A48349, ""de"", ""en"")"),"adoption agency")</f>
        <v>adoption agency</v>
      </c>
    </row>
    <row r="48350">
      <c r="A48350" s="1" t="s">
        <v>48349</v>
      </c>
      <c r="B48350" s="2" t="str">
        <f>IFERROR(__xludf.DUMMYFUNCTION("GOOGLETRANSLATE(A48350, ""de"", ""en"")"),"fell")</f>
        <v>fell</v>
      </c>
    </row>
    <row r="48351">
      <c r="A48351" s="1" t="s">
        <v>48350</v>
      </c>
      <c r="B48351" s="2" t="str">
        <f>IFERROR(__xludf.DUMMYFUNCTION("GOOGLETRANSLATE(A48351, ""de"", ""en"")"),"sigismund")</f>
        <v>sigismund</v>
      </c>
    </row>
    <row r="48352">
      <c r="A48352" s="1" t="s">
        <v>48351</v>
      </c>
      <c r="B48352" s="2" t="str">
        <f>IFERROR(__xludf.DUMMYFUNCTION("GOOGLETRANSLATE(A48352, ""de"", ""en"")"),"meeting room")</f>
        <v>meeting room</v>
      </c>
    </row>
    <row r="48353">
      <c r="A48353" s="1" t="s">
        <v>48352</v>
      </c>
      <c r="B48353" s="2" t="str">
        <f>IFERROR(__xludf.DUMMYFUNCTION("GOOGLETRANSLATE(A48353, ""de"", ""en"")"),"voulez")</f>
        <v>voulez</v>
      </c>
    </row>
    <row r="48354">
      <c r="A48354" s="1" t="s">
        <v>48353</v>
      </c>
      <c r="B48354" s="2" t="str">
        <f>IFERROR(__xludf.DUMMYFUNCTION("GOOGLETRANSLATE(A48354, ""de"", ""en"")"),"new building")</f>
        <v>new building</v>
      </c>
    </row>
    <row r="48355">
      <c r="A48355" s="1" t="s">
        <v>48354</v>
      </c>
      <c r="B48355" s="2" t="str">
        <f>IFERROR(__xludf.DUMMYFUNCTION("GOOGLETRANSLATE(A48355, ""de"", ""en"")"),"difficult")</f>
        <v>difficult</v>
      </c>
    </row>
    <row r="48356">
      <c r="A48356" s="1" t="s">
        <v>48355</v>
      </c>
      <c r="B48356" s="2" t="str">
        <f>IFERROR(__xludf.DUMMYFUNCTION("GOOGLETRANSLATE(A48356, ""de"", ""en"")"),"irons")</f>
        <v>irons</v>
      </c>
    </row>
    <row r="48357">
      <c r="A48357" s="1" t="s">
        <v>48356</v>
      </c>
      <c r="B48357" s="2" t="str">
        <f>IFERROR(__xludf.DUMMYFUNCTION("GOOGLETRANSLATE(A48357, ""de"", ""en"")"),"rookie")</f>
        <v>rookie</v>
      </c>
    </row>
    <row r="48358">
      <c r="A48358" s="1" t="s">
        <v>48357</v>
      </c>
      <c r="B48358" s="2" t="str">
        <f>IFERROR(__xludf.DUMMYFUNCTION("GOOGLETRANSLATE(A48358, ""de"", ""en"")"),"flickers")</f>
        <v>flickers</v>
      </c>
    </row>
    <row r="48359">
      <c r="A48359" s="1" t="s">
        <v>48358</v>
      </c>
      <c r="B48359" s="2" t="str">
        <f>IFERROR(__xludf.DUMMYFUNCTION("GOOGLETRANSLATE(A48359, ""de"", ""en"")"),"reprogrammed")</f>
        <v>reprogrammed</v>
      </c>
    </row>
    <row r="48360">
      <c r="A48360" s="1" t="s">
        <v>48359</v>
      </c>
      <c r="B48360" s="2" t="str">
        <f>IFERROR(__xludf.DUMMYFUNCTION("GOOGLETRANSLATE(A48360, ""de"", ""en"")"),"access")</f>
        <v>access</v>
      </c>
    </row>
    <row r="48361">
      <c r="A48361" s="1" t="s">
        <v>48360</v>
      </c>
      <c r="B48361" s="2" t="str">
        <f>IFERROR(__xludf.DUMMYFUNCTION("GOOGLETRANSLATE(A48361, ""de"", ""en"")"),"internal service")</f>
        <v>internal service</v>
      </c>
    </row>
    <row r="48362">
      <c r="A48362" s="1" t="s">
        <v>48361</v>
      </c>
      <c r="B48362" s="2" t="str">
        <f>IFERROR(__xludf.DUMMYFUNCTION("GOOGLETRANSLATE(A48362, ""de"", ""en"")"),"defended")</f>
        <v>defended</v>
      </c>
    </row>
    <row r="48363">
      <c r="A48363" s="1" t="s">
        <v>48362</v>
      </c>
      <c r="B48363" s="2" t="str">
        <f>IFERROR(__xludf.DUMMYFUNCTION("GOOGLETRANSLATE(A48363, ""de"", ""en"")"),"more specific")</f>
        <v>more specific</v>
      </c>
    </row>
    <row r="48364">
      <c r="A48364" s="1" t="s">
        <v>48363</v>
      </c>
      <c r="B48364" s="2" t="str">
        <f>IFERROR(__xludf.DUMMYFUNCTION("GOOGLETRANSLATE(A48364, ""de"", ""en"")"),"touvier")</f>
        <v>touvier</v>
      </c>
    </row>
    <row r="48365">
      <c r="A48365" s="1" t="s">
        <v>48364</v>
      </c>
      <c r="B48365" s="2" t="str">
        <f>IFERROR(__xludf.DUMMYFUNCTION("GOOGLETRANSLATE(A48365, ""de"", ""en"")"),"constraints")</f>
        <v>constraints</v>
      </c>
    </row>
    <row r="48366">
      <c r="A48366" s="1" t="s">
        <v>48365</v>
      </c>
      <c r="B48366" s="2" t="str">
        <f>IFERROR(__xludf.DUMMYFUNCTION("GOOGLETRANSLATE(A48366, ""de"", ""en"")"),"sandbank")</f>
        <v>sandbank</v>
      </c>
    </row>
    <row r="48367">
      <c r="A48367" s="1" t="s">
        <v>48366</v>
      </c>
      <c r="B48367" s="2" t="str">
        <f>IFERROR(__xludf.DUMMYFUNCTION("GOOGLETRANSLATE(A48367, ""de"", ""en"")"),"to witness")</f>
        <v>to witness</v>
      </c>
    </row>
    <row r="48368">
      <c r="A48368" s="1" t="s">
        <v>48367</v>
      </c>
      <c r="B48368" s="2" t="str">
        <f>IFERROR(__xludf.DUMMYFUNCTION("GOOGLETRANSLATE(A48368, ""de"", ""en"")"),"discontent")</f>
        <v>discontent</v>
      </c>
    </row>
    <row r="48369">
      <c r="A48369" s="1" t="s">
        <v>48368</v>
      </c>
      <c r="B48369" s="2" t="str">
        <f>IFERROR(__xludf.DUMMYFUNCTION("GOOGLETRANSLATE(A48369, ""de"", ""en"")"),"for the time being")</f>
        <v>for the time being</v>
      </c>
    </row>
    <row r="48370">
      <c r="A48370" s="1" t="s">
        <v>48369</v>
      </c>
      <c r="B48370" s="2" t="str">
        <f>IFERROR(__xludf.DUMMYFUNCTION("GOOGLETRANSLATE(A48370, ""de"", ""en"")"),"cricket chirping")</f>
        <v>cricket chirping</v>
      </c>
    </row>
    <row r="48371">
      <c r="A48371" s="1" t="s">
        <v>48370</v>
      </c>
      <c r="B48371" s="2" t="str">
        <f>IFERROR(__xludf.DUMMYFUNCTION("GOOGLETRANSLATE(A48371, ""de"", ""en"")"),"wok")</f>
        <v>wok</v>
      </c>
    </row>
    <row r="48372">
      <c r="A48372" s="1" t="s">
        <v>48371</v>
      </c>
      <c r="B48372" s="2" t="str">
        <f>IFERROR(__xludf.DUMMYFUNCTION("GOOGLETRANSLATE(A48372, ""de"", ""en"")"),"dionne")</f>
        <v>dionne</v>
      </c>
    </row>
    <row r="48373">
      <c r="A48373" s="1" t="s">
        <v>48372</v>
      </c>
      <c r="B48373" s="2" t="str">
        <f>IFERROR(__xludf.DUMMYFUNCTION("GOOGLETRANSLATE(A48373, ""de"", ""en"")"),"to burn through")</f>
        <v>to burn through</v>
      </c>
    </row>
    <row r="48374">
      <c r="A48374" s="1" t="s">
        <v>48373</v>
      </c>
      <c r="B48374" s="2" t="str">
        <f>IFERROR(__xludf.DUMMYFUNCTION("GOOGLETRANSLATE(A48374, ""de"", ""en"")"),"oxygen content")</f>
        <v>oxygen content</v>
      </c>
    </row>
    <row r="48375">
      <c r="A48375" s="1" t="s">
        <v>48374</v>
      </c>
      <c r="B48375" s="2" t="str">
        <f>IFERROR(__xludf.DUMMYFUNCTION("GOOGLETRANSLATE(A48375, ""de"", ""en"")"),"marching")</f>
        <v>marching</v>
      </c>
    </row>
    <row r="48376">
      <c r="A48376" s="1" t="s">
        <v>48375</v>
      </c>
      <c r="B48376" s="2" t="str">
        <f>IFERROR(__xludf.DUMMYFUNCTION("GOOGLETRANSLATE(A48376, ""de"", ""en"")"),"faceplant")</f>
        <v>faceplant</v>
      </c>
    </row>
    <row r="48377">
      <c r="A48377" s="1" t="s">
        <v>48376</v>
      </c>
      <c r="B48377" s="2" t="str">
        <f>IFERROR(__xludf.DUMMYFUNCTION("GOOGLETRANSLATE(A48377, ""de"", ""en"")"),"dumpty")</f>
        <v>dumpty</v>
      </c>
    </row>
    <row r="48378">
      <c r="A48378" s="1" t="s">
        <v>48377</v>
      </c>
      <c r="B48378" s="2" t="str">
        <f>IFERROR(__xludf.DUMMYFUNCTION("GOOGLETRANSLATE(A48378, ""de"", ""en"")"),"riddick")</f>
        <v>riddick</v>
      </c>
    </row>
    <row r="48379">
      <c r="A48379" s="1" t="s">
        <v>48378</v>
      </c>
      <c r="B48379" s="2" t="str">
        <f>IFERROR(__xludf.DUMMYFUNCTION("GOOGLETRANSLATE(A48379, ""de"", ""en"")"),"omicron")</f>
        <v>omicron</v>
      </c>
    </row>
    <row r="48380">
      <c r="A48380" s="1" t="s">
        <v>48379</v>
      </c>
      <c r="B48380" s="2" t="str">
        <f>IFERROR(__xludf.DUMMYFUNCTION("GOOGLETRANSLATE(A48380, ""de"", ""en"")"),"board games")</f>
        <v>board games</v>
      </c>
    </row>
    <row r="48381">
      <c r="A48381" s="1" t="s">
        <v>48380</v>
      </c>
      <c r="B48381" s="2" t="str">
        <f>IFERROR(__xludf.DUMMYFUNCTION("GOOGLETRANSLATE(A48381, ""de"", ""en"")"),"lit")</f>
        <v>lit</v>
      </c>
    </row>
    <row r="48382">
      <c r="A48382" s="1" t="s">
        <v>48381</v>
      </c>
      <c r="B48382" s="2" t="str">
        <f>IFERROR(__xludf.DUMMYFUNCTION("GOOGLETRANSLATE(A48382, ""de"", ""en"")"),"servants")</f>
        <v>servants</v>
      </c>
    </row>
    <row r="48383">
      <c r="A48383" s="1" t="s">
        <v>48382</v>
      </c>
      <c r="B48383" s="2" t="str">
        <f>IFERROR(__xludf.DUMMYFUNCTION("GOOGLETRANSLATE(A48383, ""de"", ""en"")"),"to stay out")</f>
        <v>to stay out</v>
      </c>
    </row>
    <row r="48384">
      <c r="A48384" s="1" t="s">
        <v>48383</v>
      </c>
      <c r="B48384" s="2" t="str">
        <f>IFERROR(__xludf.DUMMYFUNCTION("GOOGLETRANSLATE(A48384, ""de"", ""en"")"),"carries out")</f>
        <v>carries out</v>
      </c>
    </row>
    <row r="48385">
      <c r="A48385" s="1" t="s">
        <v>48384</v>
      </c>
      <c r="B48385" s="2" t="str">
        <f>IFERROR(__xludf.DUMMYFUNCTION("GOOGLETRANSLATE(A48385, ""de"", ""en"")"),"rust bower")</f>
        <v>rust bower</v>
      </c>
    </row>
    <row r="48386">
      <c r="A48386" s="1" t="s">
        <v>48385</v>
      </c>
      <c r="B48386" s="2" t="str">
        <f>IFERROR(__xludf.DUMMYFUNCTION("GOOGLETRANSLATE(A48386, ""de"", ""en"")"),"related by blood")</f>
        <v>related by blood</v>
      </c>
    </row>
    <row r="48387">
      <c r="A48387" s="1" t="s">
        <v>48386</v>
      </c>
      <c r="B48387" s="2" t="str">
        <f>IFERROR(__xludf.DUMMYFUNCTION("GOOGLETRANSLATE(A48387, ""de"", ""en"")"),"messed up")</f>
        <v>messed up</v>
      </c>
    </row>
    <row r="48388">
      <c r="A48388" s="1" t="s">
        <v>48387</v>
      </c>
      <c r="B48388" s="2" t="str">
        <f>IFERROR(__xludf.DUMMYFUNCTION("GOOGLETRANSLATE(A48388, ""de"", ""en"")"),"garden party")</f>
        <v>garden party</v>
      </c>
    </row>
    <row r="48389">
      <c r="A48389" s="1" t="s">
        <v>48388</v>
      </c>
      <c r="B48389" s="2" t="str">
        <f>IFERROR(__xludf.DUMMYFUNCTION("GOOGLETRANSLATE(A48389, ""de"", ""en"")"),"in the meantime")</f>
        <v>in the meantime</v>
      </c>
    </row>
    <row r="48390">
      <c r="A48390" s="1" t="s">
        <v>48389</v>
      </c>
      <c r="B48390" s="2" t="str">
        <f>IFERROR(__xludf.DUMMYFUNCTION("GOOGLETRANSLATE(A48390, ""de"", ""en"")"),"morning sun")</f>
        <v>morning sun</v>
      </c>
    </row>
    <row r="48391">
      <c r="A48391" s="1" t="s">
        <v>48390</v>
      </c>
      <c r="B48391" s="2" t="str">
        <f>IFERROR(__xludf.DUMMYFUNCTION("GOOGLETRANSLATE(A48391, ""de"", ""en"")"),"wiggins")</f>
        <v>wiggins</v>
      </c>
    </row>
    <row r="48392">
      <c r="A48392" s="1" t="s">
        <v>48391</v>
      </c>
      <c r="B48392" s="2" t="str">
        <f>IFERROR(__xludf.DUMMYFUNCTION("GOOGLETRANSLATE(A48392, ""de"", ""en"")"),"warehouse")</f>
        <v>warehouse</v>
      </c>
    </row>
    <row r="48393">
      <c r="A48393" s="1" t="s">
        <v>48392</v>
      </c>
      <c r="B48393" s="2" t="str">
        <f>IFERROR(__xludf.DUMMYFUNCTION("GOOGLETRANSLATE(A48393, ""de"", ""en"")"),"swimsuits")</f>
        <v>swimsuits</v>
      </c>
    </row>
    <row r="48394">
      <c r="A48394" s="1" t="s">
        <v>48393</v>
      </c>
      <c r="B48394" s="2" t="str">
        <f>IFERROR(__xludf.DUMMYFUNCTION("GOOGLETRANSLATE(A48394, ""de"", ""en"")"),"meet up")</f>
        <v>meet up</v>
      </c>
    </row>
    <row r="48395">
      <c r="A48395" s="1" t="s">
        <v>48394</v>
      </c>
      <c r="B48395" s="2" t="str">
        <f>IFERROR(__xludf.DUMMYFUNCTION("GOOGLETRANSLATE(A48395, ""de"", ""en"")"),"essential")</f>
        <v>essential</v>
      </c>
    </row>
    <row r="48396">
      <c r="A48396" s="1" t="s">
        <v>48395</v>
      </c>
      <c r="B48396" s="2" t="str">
        <f>IFERROR(__xludf.DUMMYFUNCTION("GOOGLETRANSLATE(A48396, ""de"", ""en"")"),"pils")</f>
        <v>pils</v>
      </c>
    </row>
    <row r="48397">
      <c r="A48397" s="1" t="s">
        <v>48396</v>
      </c>
      <c r="B48397" s="2" t="str">
        <f>IFERROR(__xludf.DUMMYFUNCTION("GOOGLETRANSLATE(A48397, ""de"", ""en"")"),"organizer")</f>
        <v>organizer</v>
      </c>
    </row>
    <row r="48398">
      <c r="A48398" s="1" t="s">
        <v>48397</v>
      </c>
      <c r="B48398" s="2" t="str">
        <f>IFERROR(__xludf.DUMMYFUNCTION("GOOGLETRANSLATE(A48398, ""de"", ""en"")"),"know")</f>
        <v>know</v>
      </c>
    </row>
    <row r="48399">
      <c r="A48399" s="1" t="s">
        <v>48398</v>
      </c>
      <c r="B48399" s="2" t="str">
        <f>IFERROR(__xludf.DUMMYFUNCTION("GOOGLETRANSLATE(A48399, ""de"", ""en"")"),"desire")</f>
        <v>desire</v>
      </c>
    </row>
    <row r="48400">
      <c r="A48400" s="1" t="s">
        <v>48399</v>
      </c>
      <c r="B48400" s="2" t="str">
        <f>IFERROR(__xludf.DUMMYFUNCTION("GOOGLETRANSLATE(A48400, ""de"", ""en"")"),"moral apostle")</f>
        <v>moral apostle</v>
      </c>
    </row>
    <row r="48401">
      <c r="A48401" s="1" t="s">
        <v>48400</v>
      </c>
      <c r="B48401" s="2" t="str">
        <f>IFERROR(__xludf.DUMMYFUNCTION("GOOGLETRANSLATE(A48401, ""de"", ""en"")"),"climbed")</f>
        <v>climbed</v>
      </c>
    </row>
    <row r="48402">
      <c r="A48402" s="1" t="s">
        <v>48401</v>
      </c>
      <c r="B48402" s="2" t="str">
        <f>IFERROR(__xludf.DUMMYFUNCTION("GOOGLETRANSLATE(A48402, ""de"", ""en"")"),"prof")</f>
        <v>prof</v>
      </c>
    </row>
    <row r="48403">
      <c r="A48403" s="1" t="s">
        <v>48402</v>
      </c>
      <c r="B48403" s="2" t="str">
        <f>IFERROR(__xludf.DUMMYFUNCTION("GOOGLETRANSLATE(A48403, ""de"", ""en"")"),"raymonds")</f>
        <v>raymonds</v>
      </c>
    </row>
    <row r="48404">
      <c r="A48404" s="1" t="s">
        <v>48403</v>
      </c>
      <c r="B48404" s="2" t="str">
        <f>IFERROR(__xludf.DUMMYFUNCTION("GOOGLETRANSLATE(A48404, ""de"", ""en"")"),"depressive")</f>
        <v>depressive</v>
      </c>
    </row>
    <row r="48405">
      <c r="A48405" s="1" t="s">
        <v>48404</v>
      </c>
      <c r="B48405" s="2" t="str">
        <f>IFERROR(__xludf.DUMMYFUNCTION("GOOGLETRANSLATE(A48405, ""de"", ""en"")"),"volunteers")</f>
        <v>volunteers</v>
      </c>
    </row>
    <row r="48406">
      <c r="A48406" s="1" t="s">
        <v>48405</v>
      </c>
      <c r="B48406" s="2" t="str">
        <f>IFERROR(__xludf.DUMMYFUNCTION("GOOGLETRANSLATE(A48406, ""de"", ""en"")"),"incarnation")</f>
        <v>incarnation</v>
      </c>
    </row>
    <row r="48407">
      <c r="A48407" s="1" t="s">
        <v>48406</v>
      </c>
      <c r="B48407" s="2" t="str">
        <f>IFERROR(__xludf.DUMMYFUNCTION("GOOGLETRANSLATE(A48407, ""de"", ""en"")"),"bambino")</f>
        <v>bambino</v>
      </c>
    </row>
    <row r="48408">
      <c r="A48408" s="1" t="s">
        <v>48407</v>
      </c>
      <c r="B48408" s="2" t="str">
        <f>IFERROR(__xludf.DUMMYFUNCTION("GOOGLETRANSLATE(A48408, ""de"", ""en"")"),"nub4u")</f>
        <v>nub4u</v>
      </c>
    </row>
    <row r="48409">
      <c r="A48409" s="1" t="s">
        <v>48408</v>
      </c>
      <c r="B48409" s="2" t="str">
        <f>IFERROR(__xludf.DUMMYFUNCTION("GOOGLETRANSLATE(A48409, ""de"", ""en"")"),"treasure chest")</f>
        <v>treasure chest</v>
      </c>
    </row>
    <row r="48410">
      <c r="A48410" s="1" t="s">
        <v>48409</v>
      </c>
      <c r="B48410" s="2" t="str">
        <f>IFERROR(__xludf.DUMMYFUNCTION("GOOGLETRANSLATE(A48410, ""de"", ""en"")"),"meb")</f>
        <v>meb</v>
      </c>
    </row>
    <row r="48411">
      <c r="A48411" s="1" t="s">
        <v>48410</v>
      </c>
      <c r="B48411" s="2" t="str">
        <f>IFERROR(__xludf.DUMMYFUNCTION("GOOGLETRANSLATE(A48411, ""de"", ""en"")"),"ordered back")</f>
        <v>ordered back</v>
      </c>
    </row>
    <row r="48412">
      <c r="A48412" s="1" t="s">
        <v>48411</v>
      </c>
      <c r="B48412" s="2" t="str">
        <f>IFERROR(__xludf.DUMMYFUNCTION("GOOGLETRANSLATE(A48412, ""de"", ""en"")"),"outsider")</f>
        <v>outsider</v>
      </c>
    </row>
    <row r="48413">
      <c r="A48413" s="1" t="s">
        <v>48412</v>
      </c>
      <c r="B48413" s="2" t="str">
        <f>IFERROR(__xludf.DUMMYFUNCTION("GOOGLETRANSLATE(A48413, ""de"", ""en"")"),"silver lining")</f>
        <v>silver lining</v>
      </c>
    </row>
    <row r="48414">
      <c r="A48414" s="1" t="s">
        <v>48413</v>
      </c>
      <c r="B48414" s="2" t="str">
        <f>IFERROR(__xludf.DUMMYFUNCTION("GOOGLETRANSLATE(A48414, ""de"", ""en"")"),"capture")</f>
        <v>capture</v>
      </c>
    </row>
    <row r="48415">
      <c r="A48415" s="1" t="s">
        <v>48414</v>
      </c>
      <c r="B48415" s="2" t="str">
        <f>IFERROR(__xludf.DUMMYFUNCTION("GOOGLETRANSLATE(A48415, ""de"", ""en"")"),"get it")</f>
        <v>get it</v>
      </c>
    </row>
    <row r="48416">
      <c r="A48416" s="1" t="s">
        <v>48415</v>
      </c>
      <c r="B48416" s="2" t="str">
        <f>IFERROR(__xludf.DUMMYFUNCTION("GOOGLETRANSLATE(A48416, ""de"", ""en"")"),"strait")</f>
        <v>strait</v>
      </c>
    </row>
    <row r="48417">
      <c r="A48417" s="1" t="s">
        <v>48416</v>
      </c>
      <c r="B48417" s="2" t="str">
        <f>IFERROR(__xludf.DUMMYFUNCTION("GOOGLETRANSLATE(A48417, ""de"", ""en"")"),"prostitute")</f>
        <v>prostitute</v>
      </c>
    </row>
    <row r="48418">
      <c r="A48418" s="1" t="s">
        <v>48417</v>
      </c>
      <c r="B48418" s="2" t="str">
        <f>IFERROR(__xludf.DUMMYFUNCTION("GOOGLETRANSLATE(A48418, ""de"", ""en"")"),"feeling of happiness")</f>
        <v>feeling of happiness</v>
      </c>
    </row>
    <row r="48419">
      <c r="A48419" s="1" t="s">
        <v>48418</v>
      </c>
      <c r="B48419" s="2" t="str">
        <f>IFERROR(__xludf.DUMMYFUNCTION("GOOGLETRANSLATE(A48419, ""de"", ""en"")"),"disco music")</f>
        <v>disco music</v>
      </c>
    </row>
    <row r="48420">
      <c r="A48420" s="1" t="s">
        <v>48419</v>
      </c>
      <c r="B48420" s="2" t="str">
        <f>IFERROR(__xludf.DUMMYFUNCTION("GOOGLETRANSLATE(A48420, ""de"", ""en"")"),"African")</f>
        <v>African</v>
      </c>
    </row>
    <row r="48421">
      <c r="A48421" s="1" t="s">
        <v>48420</v>
      </c>
      <c r="B48421" s="2" t="str">
        <f>IFERROR(__xludf.DUMMYFUNCTION("GOOGLETRANSLATE(A48421, ""de"", ""en"")"),"wiegand")</f>
        <v>wiegand</v>
      </c>
    </row>
    <row r="48422">
      <c r="A48422" s="1" t="s">
        <v>48421</v>
      </c>
      <c r="B48422" s="2" t="str">
        <f>IFERROR(__xludf.DUMMYFUNCTION("GOOGLETRANSLATE(A48422, ""de"", ""en"")"),"shayla")</f>
        <v>shayla</v>
      </c>
    </row>
    <row r="48423">
      <c r="A48423" s="1" t="s">
        <v>48422</v>
      </c>
      <c r="B48423" s="2" t="str">
        <f>IFERROR(__xludf.DUMMYFUNCTION("GOOGLETRANSLATE(A48423, ""de"", ""en"")"),"ex-wives")</f>
        <v>ex-wives</v>
      </c>
    </row>
    <row r="48424">
      <c r="A48424" s="1" t="s">
        <v>48423</v>
      </c>
      <c r="B48424" s="2" t="str">
        <f>IFERROR(__xludf.DUMMYFUNCTION("GOOGLETRANSLATE(A48424, ""de"", ""en"")"),"acupuncture")</f>
        <v>acupuncture</v>
      </c>
    </row>
    <row r="48425">
      <c r="A48425" s="1" t="s">
        <v>48424</v>
      </c>
      <c r="B48425" s="2" t="str">
        <f>IFERROR(__xludf.DUMMYFUNCTION("GOOGLETRANSLATE(A48425, ""de"", ""en"")"),"petschek")</f>
        <v>petschek</v>
      </c>
    </row>
    <row r="48426">
      <c r="A48426" s="1" t="s">
        <v>48425</v>
      </c>
      <c r="B48426" s="2" t="str">
        <f>IFERROR(__xludf.DUMMYFUNCTION("GOOGLETRANSLATE(A48426, ""de"", ""en"")"),"vulgar")</f>
        <v>vulgar</v>
      </c>
    </row>
    <row r="48427">
      <c r="A48427" s="1" t="s">
        <v>48426</v>
      </c>
      <c r="B48427" s="2" t="str">
        <f>IFERROR(__xludf.DUMMYFUNCTION("GOOGLETRANSLATE(A48427, ""de"", ""en"")"),"hysterical")</f>
        <v>hysterical</v>
      </c>
    </row>
    <row r="48428">
      <c r="A48428" s="1" t="s">
        <v>48427</v>
      </c>
      <c r="B48428" s="2" t="str">
        <f>IFERROR(__xludf.DUMMYFUNCTION("GOOGLETRANSLATE(A48428, ""de"", ""en"")"),"stonehenge")</f>
        <v>stonehenge</v>
      </c>
    </row>
    <row r="48429">
      <c r="A48429" s="1" t="s">
        <v>48428</v>
      </c>
      <c r="B48429" s="2" t="str">
        <f>IFERROR(__xludf.DUMMYFUNCTION("GOOGLETRANSLATE(A48429, ""de"", ""en"")"),"full of stars")</f>
        <v>full of stars</v>
      </c>
    </row>
    <row r="48430">
      <c r="A48430" s="1" t="s">
        <v>48429</v>
      </c>
      <c r="B48430" s="2" t="str">
        <f>IFERROR(__xludf.DUMMYFUNCTION("GOOGLETRANSLATE(A48430, ""de"", ""en"")"),"to get laid")</f>
        <v>to get laid</v>
      </c>
    </row>
    <row r="48431">
      <c r="A48431" s="1" t="s">
        <v>48430</v>
      </c>
      <c r="B48431" s="2" t="str">
        <f>IFERROR(__xludf.DUMMYFUNCTION("GOOGLETRANSLATE(A48431, ""de"", ""en"")"),"stuck")</f>
        <v>stuck</v>
      </c>
    </row>
    <row r="48432">
      <c r="A48432" s="1" t="s">
        <v>48431</v>
      </c>
      <c r="B48432" s="2" t="str">
        <f>IFERROR(__xludf.DUMMYFUNCTION("GOOGLETRANSLATE(A48432, ""de"", ""en"")"),"dummy company")</f>
        <v>dummy company</v>
      </c>
    </row>
    <row r="48433">
      <c r="A48433" s="1" t="s">
        <v>48432</v>
      </c>
      <c r="B48433" s="2" t="str">
        <f>IFERROR(__xludf.DUMMYFUNCTION("GOOGLETRANSLATE(A48433, ""de"", ""en"")"),"kilt")</f>
        <v>kilt</v>
      </c>
    </row>
    <row r="48434">
      <c r="A48434" s="1" t="s">
        <v>48433</v>
      </c>
      <c r="B48434" s="2" t="str">
        <f>IFERROR(__xludf.DUMMYFUNCTION("GOOGLETRANSLATE(A48434, ""de"", ""en"")"),"giant")</f>
        <v>giant</v>
      </c>
    </row>
    <row r="48435">
      <c r="A48435" s="1" t="s">
        <v>48434</v>
      </c>
      <c r="B48435" s="2" t="str">
        <f>IFERROR(__xludf.DUMMYFUNCTION("GOOGLETRANSLATE(A48435, ""de"", ""en"")"),"forget")</f>
        <v>forget</v>
      </c>
    </row>
    <row r="48436">
      <c r="A48436" s="1" t="s">
        <v>48435</v>
      </c>
      <c r="B48436" s="2" t="str">
        <f>IFERROR(__xludf.DUMMYFUNCTION("GOOGLETRANSLATE(A48436, ""de"", ""en"")"),"sniper rifle")</f>
        <v>sniper rifle</v>
      </c>
    </row>
    <row r="48437">
      <c r="A48437" s="1" t="s">
        <v>48436</v>
      </c>
      <c r="B48437" s="2" t="str">
        <f>IFERROR(__xludf.DUMMYFUNCTION("GOOGLETRANSLATE(A48437, ""de"", ""en"")"),"to go back")</f>
        <v>to go back</v>
      </c>
    </row>
    <row r="48438">
      <c r="A48438" s="1" t="s">
        <v>48437</v>
      </c>
      <c r="B48438" s="2" t="str">
        <f>IFERROR(__xludf.DUMMYFUNCTION("GOOGLETRANSLATE(A48438, ""de"", ""en"")"),"family members")</f>
        <v>family members</v>
      </c>
    </row>
    <row r="48439">
      <c r="A48439" s="1" t="s">
        <v>48438</v>
      </c>
      <c r="B48439" s="2" t="str">
        <f>IFERROR(__xludf.DUMMYFUNCTION("GOOGLETRANSLATE(A48439, ""de"", ""en"")"),"enemy contact")</f>
        <v>enemy contact</v>
      </c>
    </row>
    <row r="48440">
      <c r="A48440" s="1" t="s">
        <v>48439</v>
      </c>
      <c r="B48440" s="2" t="str">
        <f>IFERROR(__xludf.DUMMYFUNCTION("GOOGLETRANSLATE(A48440, ""de"", ""en"")"),"rested")</f>
        <v>rested</v>
      </c>
    </row>
    <row r="48441">
      <c r="A48441" s="1" t="s">
        <v>48440</v>
      </c>
      <c r="B48441" s="2" t="str">
        <f>IFERROR(__xludf.DUMMYFUNCTION("GOOGLETRANSLATE(A48441, ""de"", ""en"")"),"imprisoned")</f>
        <v>imprisoned</v>
      </c>
    </row>
    <row r="48442">
      <c r="A48442" s="1" t="s">
        <v>48441</v>
      </c>
      <c r="B48442" s="2" t="str">
        <f>IFERROR(__xludf.DUMMYFUNCTION("GOOGLETRANSLATE(A48442, ""de"", ""en"")"),"dared")</f>
        <v>dared</v>
      </c>
    </row>
    <row r="48443">
      <c r="A48443" s="1" t="s">
        <v>48442</v>
      </c>
      <c r="B48443" s="2" t="str">
        <f>IFERROR(__xludf.DUMMYFUNCTION("GOOGLETRANSLATE(A48443, ""de"", ""en"")"),"continues")</f>
        <v>continues</v>
      </c>
    </row>
    <row r="48444">
      <c r="A48444" s="1" t="s">
        <v>48443</v>
      </c>
      <c r="B48444" s="2" t="str">
        <f>IFERROR(__xludf.DUMMYFUNCTION("GOOGLETRANSLATE(A48444, ""de"", ""en"")"),"charity organization")</f>
        <v>charity organization</v>
      </c>
    </row>
    <row r="48445">
      <c r="A48445" s="1" t="s">
        <v>48444</v>
      </c>
      <c r="B48445" s="2" t="str">
        <f>IFERROR(__xludf.DUMMYFUNCTION("GOOGLETRANSLATE(A48445, ""de"", ""en"")"),"stink")</f>
        <v>stink</v>
      </c>
    </row>
    <row r="48446">
      <c r="A48446" s="1" t="s">
        <v>48445</v>
      </c>
      <c r="B48446" s="2" t="str">
        <f>IFERROR(__xludf.DUMMYFUNCTION("GOOGLETRANSLATE(A48446, ""de"", ""en"")"),"squat")</f>
        <v>squat</v>
      </c>
    </row>
    <row r="48447">
      <c r="A48447" s="1" t="s">
        <v>48446</v>
      </c>
      <c r="B48447" s="2" t="str">
        <f>IFERROR(__xludf.DUMMYFUNCTION("GOOGLETRANSLATE(A48447, ""de"", ""en"")"),"entries")</f>
        <v>entries</v>
      </c>
    </row>
    <row r="48448">
      <c r="A48448" s="1" t="s">
        <v>48447</v>
      </c>
      <c r="B48448" s="2" t="str">
        <f>IFERROR(__xludf.DUMMYFUNCTION("GOOGLETRANSLATE(A48448, ""de"", ""en"")"),"insult")</f>
        <v>insult</v>
      </c>
    </row>
    <row r="48449">
      <c r="A48449" s="1" t="s">
        <v>48448</v>
      </c>
      <c r="B48449" s="2" t="str">
        <f>IFERROR(__xludf.DUMMYFUNCTION("GOOGLETRANSLATE(A48449, ""de"", ""en"")"),"guarau")</f>
        <v>guarau</v>
      </c>
    </row>
    <row r="48450">
      <c r="A48450" s="1" t="s">
        <v>48449</v>
      </c>
      <c r="B48450" s="2" t="str">
        <f>IFERROR(__xludf.DUMMYFUNCTION("GOOGLETRANSLATE(A48450, ""de"", ""en"")"),"smash")</f>
        <v>smash</v>
      </c>
    </row>
    <row r="48451">
      <c r="A48451" s="1" t="s">
        <v>48450</v>
      </c>
      <c r="B48451" s="2" t="str">
        <f>IFERROR(__xludf.DUMMYFUNCTION("GOOGLETRANSLATE(A48451, ""de"", ""en"")"),"Republicans")</f>
        <v>Republicans</v>
      </c>
    </row>
    <row r="48452">
      <c r="A48452" s="1" t="s">
        <v>48451</v>
      </c>
      <c r="B48452" s="2" t="str">
        <f>IFERROR(__xludf.DUMMYFUNCTION("GOOGLETRANSLATE(A48452, ""de"", ""en"")"),"standard of living")</f>
        <v>standard of living</v>
      </c>
    </row>
    <row r="48453">
      <c r="A48453" s="1" t="s">
        <v>48452</v>
      </c>
      <c r="B48453" s="2" t="str">
        <f>IFERROR(__xludf.DUMMYFUNCTION("GOOGLETRANSLATE(A48453, ""de"", ""en"")"),"passage")</f>
        <v>passage</v>
      </c>
    </row>
    <row r="48454">
      <c r="A48454" s="1" t="s">
        <v>48453</v>
      </c>
      <c r="B48454" s="2" t="str">
        <f>IFERROR(__xludf.DUMMYFUNCTION("GOOGLETRANSLATE(A48454, ""de"", ""en"")"),"longitude")</f>
        <v>longitude</v>
      </c>
    </row>
    <row r="48455">
      <c r="A48455" s="1" t="s">
        <v>48454</v>
      </c>
      <c r="B48455" s="2" t="str">
        <f>IFERROR(__xludf.DUMMYFUNCTION("GOOGLETRANSLATE(A48455, ""de"", ""en"")"),"poaching")</f>
        <v>poaching</v>
      </c>
    </row>
    <row r="48456">
      <c r="A48456" s="1" t="s">
        <v>48455</v>
      </c>
      <c r="B48456" s="2" t="str">
        <f>IFERROR(__xludf.DUMMYFUNCTION("GOOGLETRANSLATE(A48456, ""de"", ""en"")"),"sarcoidosis")</f>
        <v>sarcoidosis</v>
      </c>
    </row>
    <row r="48457">
      <c r="A48457" s="1" t="s">
        <v>48456</v>
      </c>
      <c r="B48457" s="2" t="str">
        <f>IFERROR(__xludf.DUMMYFUNCTION("GOOGLETRANSLATE(A48457, ""de"", ""en"")"),"oy")</f>
        <v>oy</v>
      </c>
    </row>
    <row r="48458">
      <c r="A48458" s="1" t="s">
        <v>48457</v>
      </c>
      <c r="B48458" s="2" t="str">
        <f>IFERROR(__xludf.DUMMYFUNCTION("GOOGLETRANSLATE(A48458, ""de"", ""en"")"),"placement")</f>
        <v>placement</v>
      </c>
    </row>
    <row r="48459">
      <c r="A48459" s="1" t="s">
        <v>48458</v>
      </c>
      <c r="B48459" s="2" t="str">
        <f>IFERROR(__xludf.DUMMYFUNCTION("GOOGLETRANSLATE(A48459, ""de"", ""en"")"),"fish factory")</f>
        <v>fish factory</v>
      </c>
    </row>
    <row r="48460">
      <c r="A48460" s="1" t="s">
        <v>48459</v>
      </c>
      <c r="B48460" s="2" t="str">
        <f>IFERROR(__xludf.DUMMYFUNCTION("GOOGLETRANSLATE(A48460, ""de"", ""en"")"),"restarick")</f>
        <v>restarick</v>
      </c>
    </row>
    <row r="48461">
      <c r="A48461" s="1" t="s">
        <v>48460</v>
      </c>
      <c r="B48461" s="2" t="str">
        <f>IFERROR(__xludf.DUMMYFUNCTION("GOOGLETRANSLATE(A48461, ""de"", ""en"")"),"business life")</f>
        <v>business life</v>
      </c>
    </row>
    <row r="48462">
      <c r="A48462" s="1" t="s">
        <v>48461</v>
      </c>
      <c r="B48462" s="2" t="str">
        <f>IFERROR(__xludf.DUMMYFUNCTION("GOOGLETRANSLATE(A48462, ""de"", ""en"")"),"sum insured")</f>
        <v>sum insured</v>
      </c>
    </row>
    <row r="48463">
      <c r="A48463" s="1" t="s">
        <v>48462</v>
      </c>
      <c r="B48463" s="2" t="str">
        <f>IFERROR(__xludf.DUMMYFUNCTION("GOOGLETRANSLATE(A48463, ""de"", ""en"")"),"covers")</f>
        <v>covers</v>
      </c>
    </row>
    <row r="48464">
      <c r="A48464" s="1" t="s">
        <v>48463</v>
      </c>
      <c r="B48464" s="2" t="str">
        <f>IFERROR(__xludf.DUMMYFUNCTION("GOOGLETRANSLATE(A48464, ""de"", ""en"")"),"census")</f>
        <v>census</v>
      </c>
    </row>
    <row r="48465">
      <c r="A48465" s="1" t="s">
        <v>48464</v>
      </c>
      <c r="B48465" s="2" t="str">
        <f>IFERROR(__xludf.DUMMYFUNCTION("GOOGLETRANSLATE(A48465, ""de"", ""en"")"),"Siggy")</f>
        <v>Siggy</v>
      </c>
    </row>
    <row r="48466">
      <c r="A48466" s="1" t="s">
        <v>48465</v>
      </c>
      <c r="B48466" s="2" t="str">
        <f>IFERROR(__xludf.DUMMYFUNCTION("GOOGLETRANSLATE(A48466, ""de"", ""en"")"),"supernatural")</f>
        <v>supernatural</v>
      </c>
    </row>
    <row r="48467">
      <c r="A48467" s="1" t="s">
        <v>48466</v>
      </c>
      <c r="B48467" s="2" t="str">
        <f>IFERROR(__xludf.DUMMYFUNCTION("GOOGLETRANSLATE(A48467, ""de"", ""en"")"),"lovable")</f>
        <v>lovable</v>
      </c>
    </row>
    <row r="48468">
      <c r="A48468" s="1" t="s">
        <v>48467</v>
      </c>
      <c r="B48468" s="2" t="str">
        <f>IFERROR(__xludf.DUMMYFUNCTION("GOOGLETRANSLATE(A48468, ""de"", ""en"")"),"dance steps")</f>
        <v>dance steps</v>
      </c>
    </row>
    <row r="48469">
      <c r="A48469" s="1" t="s">
        <v>48468</v>
      </c>
      <c r="B48469" s="2" t="str">
        <f>IFERROR(__xludf.DUMMYFUNCTION("GOOGLETRANSLATE(A48469, ""de"", ""en"")"),"financial crisis")</f>
        <v>financial crisis</v>
      </c>
    </row>
    <row r="48470">
      <c r="A48470" s="1" t="s">
        <v>48469</v>
      </c>
      <c r="B48470" s="2" t="str">
        <f>IFERROR(__xludf.DUMMYFUNCTION("GOOGLETRANSLATE(A48470, ""de"", ""en"")"),"aitan")</f>
        <v>aitan</v>
      </c>
    </row>
    <row r="48471">
      <c r="A48471" s="1" t="s">
        <v>48470</v>
      </c>
      <c r="B48471" s="2" t="str">
        <f>IFERROR(__xludf.DUMMYFUNCTION("GOOGLETRANSLATE(A48471, ""de"", ""en"")"),"books")</f>
        <v>books</v>
      </c>
    </row>
    <row r="48472">
      <c r="A48472" s="1" t="s">
        <v>48471</v>
      </c>
      <c r="B48472" s="2" t="str">
        <f>IFERROR(__xludf.DUMMYFUNCTION("GOOGLETRANSLATE(A48472, ""de"", ""en"")"),"cannon fodder")</f>
        <v>cannon fodder</v>
      </c>
    </row>
    <row r="48473">
      <c r="A48473" s="1" t="s">
        <v>48472</v>
      </c>
      <c r="B48473" s="2" t="str">
        <f>IFERROR(__xludf.DUMMYFUNCTION("GOOGLETRANSLATE(A48473, ""de"", ""en"")"),"traffic control")</f>
        <v>traffic control</v>
      </c>
    </row>
    <row r="48474">
      <c r="A48474" s="1" t="s">
        <v>48473</v>
      </c>
      <c r="B48474" s="2" t="str">
        <f>IFERROR(__xludf.DUMMYFUNCTION("GOOGLETRANSLATE(A48474, ""de"", ""en"")"),"woke up")</f>
        <v>woke up</v>
      </c>
    </row>
    <row r="48475">
      <c r="A48475" s="1" t="s">
        <v>48474</v>
      </c>
      <c r="B48475" s="2" t="str">
        <f>IFERROR(__xludf.DUMMYFUNCTION("GOOGLETRANSLATE(A48475, ""de"", ""en"")"),"beer bottle")</f>
        <v>beer bottle</v>
      </c>
    </row>
    <row r="48476">
      <c r="A48476" s="1" t="s">
        <v>48475</v>
      </c>
      <c r="B48476" s="2" t="str">
        <f>IFERROR(__xludf.DUMMYFUNCTION("GOOGLETRANSLATE(A48476, ""de"", ""en"")"),"azusa")</f>
        <v>azusa</v>
      </c>
    </row>
    <row r="48477">
      <c r="A48477" s="1" t="s">
        <v>48476</v>
      </c>
      <c r="B48477" s="2" t="str">
        <f>IFERROR(__xludf.DUMMYFUNCTION("GOOGLETRANSLATE(A48477, ""de"", ""en"")"),"night vision")</f>
        <v>night vision</v>
      </c>
    </row>
    <row r="48478">
      <c r="A48478" s="1" t="s">
        <v>48477</v>
      </c>
      <c r="B48478" s="2" t="str">
        <f>IFERROR(__xludf.DUMMYFUNCTION("GOOGLETRANSLATE(A48478, ""de"", ""en"")"),"join in")</f>
        <v>join in</v>
      </c>
    </row>
    <row r="48479">
      <c r="A48479" s="1" t="s">
        <v>48478</v>
      </c>
      <c r="B48479" s="2" t="str">
        <f>IFERROR(__xludf.DUMMYFUNCTION("GOOGLETRANSLATE(A48479, ""de"", ""en"")"),"loudly")</f>
        <v>loudly</v>
      </c>
    </row>
    <row r="48480">
      <c r="A48480" s="1" t="s">
        <v>48479</v>
      </c>
      <c r="B48480" s="2" t="str">
        <f>IFERROR(__xludf.DUMMYFUNCTION("GOOGLETRANSLATE(A48480, ""de"", ""en"")"),"porn film")</f>
        <v>porn film</v>
      </c>
    </row>
    <row r="48481">
      <c r="A48481" s="1" t="s">
        <v>48480</v>
      </c>
      <c r="B48481" s="2" t="str">
        <f>IFERROR(__xludf.DUMMYFUNCTION("GOOGLETRANSLATE(A48481, ""de"", ""en"")"),"laughed at")</f>
        <v>laughed at</v>
      </c>
    </row>
    <row r="48482">
      <c r="A48482" s="1" t="s">
        <v>48481</v>
      </c>
      <c r="B48482" s="2" t="str">
        <f>IFERROR(__xludf.DUMMYFUNCTION("GOOGLETRANSLATE(A48482, ""de"", ""en"")"),"a bit")</f>
        <v>a bit</v>
      </c>
    </row>
    <row r="48483">
      <c r="A48483" s="1" t="s">
        <v>48482</v>
      </c>
      <c r="B48483" s="2" t="str">
        <f>IFERROR(__xludf.DUMMYFUNCTION("GOOGLETRANSLATE(A48483, ""de"", ""en"")"),"address")</f>
        <v>address</v>
      </c>
    </row>
    <row r="48484">
      <c r="A48484" s="1" t="s">
        <v>48483</v>
      </c>
      <c r="B48484" s="2" t="str">
        <f>IFERROR(__xludf.DUMMYFUNCTION("GOOGLETRANSLATE(A48484, ""de"", ""en"")"),"hospital ready")</f>
        <v>hospital ready</v>
      </c>
    </row>
    <row r="48485">
      <c r="A48485" s="1" t="s">
        <v>48484</v>
      </c>
      <c r="B48485" s="2" t="str">
        <f>IFERROR(__xludf.DUMMYFUNCTION("GOOGLETRANSLATE(A48485, ""de"", ""en"")"),"conference room")</f>
        <v>conference room</v>
      </c>
    </row>
    <row r="48486">
      <c r="A48486" s="1" t="s">
        <v>48485</v>
      </c>
      <c r="B48486" s="2" t="str">
        <f>IFERROR(__xludf.DUMMYFUNCTION("GOOGLETRANSLATE(A48486, ""de"", ""en"")"),"ilithyia")</f>
        <v>ilithyia</v>
      </c>
    </row>
    <row r="48487">
      <c r="A48487" s="1" t="s">
        <v>48486</v>
      </c>
      <c r="B48487" s="2" t="str">
        <f>IFERROR(__xludf.DUMMYFUNCTION("GOOGLETRANSLATE(A48487, ""de"", ""en"")"),"balancing act")</f>
        <v>balancing act</v>
      </c>
    </row>
    <row r="48488">
      <c r="A48488" s="1" t="s">
        <v>48487</v>
      </c>
      <c r="B48488" s="2" t="str">
        <f>IFERROR(__xludf.DUMMYFUNCTION("GOOGLETRANSLATE(A48488, ""de"", ""en"")"),"jelena")</f>
        <v>jelena</v>
      </c>
    </row>
    <row r="48489">
      <c r="A48489" s="1" t="s">
        <v>48488</v>
      </c>
      <c r="B48489" s="2" t="str">
        <f>IFERROR(__xludf.DUMMYFUNCTION("GOOGLETRANSLATE(A48489, ""de"", ""en"")"),"involve")</f>
        <v>involve</v>
      </c>
    </row>
    <row r="48490">
      <c r="A48490" s="1" t="s">
        <v>48489</v>
      </c>
      <c r="B48490" s="2" t="str">
        <f>IFERROR(__xludf.DUMMYFUNCTION("GOOGLETRANSLATE(A48490, ""de"", ""en"")"),"priest")</f>
        <v>priest</v>
      </c>
    </row>
    <row r="48491">
      <c r="A48491" s="1" t="s">
        <v>48490</v>
      </c>
      <c r="B48491" s="2" t="str">
        <f>IFERROR(__xludf.DUMMYFUNCTION("GOOGLETRANSLATE(A48491, ""de"", ""en"")"),"hayloft")</f>
        <v>hayloft</v>
      </c>
    </row>
    <row r="48492">
      <c r="A48492" s="1" t="s">
        <v>48491</v>
      </c>
      <c r="B48492" s="2" t="str">
        <f>IFERROR(__xludf.DUMMYFUNCTION("GOOGLETRANSLATE(A48492, ""de"", ""en"")"),"tennis racket")</f>
        <v>tennis racket</v>
      </c>
    </row>
    <row r="48493">
      <c r="A48493" s="1" t="s">
        <v>48492</v>
      </c>
      <c r="B48493" s="2" t="str">
        <f>IFERROR(__xludf.DUMMYFUNCTION("GOOGLETRANSLATE(A48493, ""de"", ""en"")"),"high-tech")</f>
        <v>high-tech</v>
      </c>
    </row>
    <row r="48494">
      <c r="A48494" s="1" t="s">
        <v>48493</v>
      </c>
      <c r="B48494" s="2" t="str">
        <f>IFERROR(__xludf.DUMMYFUNCTION("GOOGLETRANSLATE(A48494, ""de"", ""en"")"),"lafitte")</f>
        <v>lafitte</v>
      </c>
    </row>
    <row r="48495">
      <c r="A48495" s="1" t="s">
        <v>48494</v>
      </c>
      <c r="B48495" s="2" t="str">
        <f>IFERROR(__xludf.DUMMYFUNCTION("GOOGLETRANSLATE(A48495, ""de"", ""en"")"),"find out")</f>
        <v>find out</v>
      </c>
    </row>
    <row r="48496">
      <c r="A48496" s="1" t="s">
        <v>48495</v>
      </c>
      <c r="B48496" s="2" t="str">
        <f>IFERROR(__xludf.DUMMYFUNCTION("GOOGLETRANSLATE(A48496, ""de"", ""en"")"),"tinder")</f>
        <v>tinder</v>
      </c>
    </row>
    <row r="48497">
      <c r="A48497" s="1" t="s">
        <v>48496</v>
      </c>
      <c r="B48497" s="2" t="str">
        <f>IFERROR(__xludf.DUMMYFUNCTION("GOOGLETRANSLATE(A48497, ""de"", ""en"")"),"whizzes")</f>
        <v>whizzes</v>
      </c>
    </row>
    <row r="48498">
      <c r="A48498" s="1" t="s">
        <v>48497</v>
      </c>
      <c r="B48498" s="2" t="str">
        <f>IFERROR(__xludf.DUMMYFUNCTION("GOOGLETRANSLATE(A48498, ""de"", ""en"")"),"talents")</f>
        <v>talents</v>
      </c>
    </row>
    <row r="48499">
      <c r="A48499" s="1" t="s">
        <v>48498</v>
      </c>
      <c r="B48499" s="2" t="str">
        <f>IFERROR(__xludf.DUMMYFUNCTION("GOOGLETRANSLATE(A48499, ""de"", ""en"")"),"xiv.")</f>
        <v>xiv.</v>
      </c>
    </row>
    <row r="48500">
      <c r="A48500" s="1" t="s">
        <v>48499</v>
      </c>
      <c r="B48500" s="2" t="str">
        <f>IFERROR(__xludf.DUMMYFUNCTION("GOOGLETRANSLATE(A48500, ""de"", ""en"")"),"fail")</f>
        <v>fail</v>
      </c>
    </row>
    <row r="48501">
      <c r="A48501" s="1" t="s">
        <v>48500</v>
      </c>
      <c r="B48501" s="2" t="str">
        <f>IFERROR(__xludf.DUMMYFUNCTION("GOOGLETRANSLATE(A48501, ""de"", ""en"")"),"masseuse")</f>
        <v>masseuse</v>
      </c>
    </row>
    <row r="48502">
      <c r="A48502" s="1" t="s">
        <v>48501</v>
      </c>
      <c r="B48502" s="2" t="str">
        <f>IFERROR(__xludf.DUMMYFUNCTION("GOOGLETRANSLATE(A48502, ""de"", ""en"")"),"dianes")</f>
        <v>dianes</v>
      </c>
    </row>
    <row r="48503">
      <c r="A48503" s="1" t="s">
        <v>48502</v>
      </c>
      <c r="B48503" s="2" t="str">
        <f>IFERROR(__xludf.DUMMYFUNCTION("GOOGLETRANSLATE(A48503, ""de"", ""en"")"),"camouflages")</f>
        <v>camouflages</v>
      </c>
    </row>
    <row r="48504">
      <c r="A48504" s="1" t="s">
        <v>48503</v>
      </c>
      <c r="B48504" s="2" t="str">
        <f>IFERROR(__xludf.DUMMYFUNCTION("GOOGLETRANSLATE(A48504, ""de"", ""en"")"),"artists")</f>
        <v>artists</v>
      </c>
    </row>
    <row r="48505">
      <c r="A48505" s="1" t="s">
        <v>48504</v>
      </c>
      <c r="B48505" s="2" t="str">
        <f>IFERROR(__xludf.DUMMYFUNCTION("GOOGLETRANSLATE(A48505, ""de"", ""en"")"),"umbrella")</f>
        <v>umbrella</v>
      </c>
    </row>
    <row r="48506">
      <c r="A48506" s="1" t="s">
        <v>48505</v>
      </c>
      <c r="B48506" s="2" t="str">
        <f>IFERROR(__xludf.DUMMYFUNCTION("GOOGLETRANSLATE(A48506, ""de"", ""en"")"),"course")</f>
        <v>course</v>
      </c>
    </row>
    <row r="48507">
      <c r="A48507" s="1" t="s">
        <v>48506</v>
      </c>
      <c r="B48507" s="2" t="str">
        <f>IFERROR(__xludf.DUMMYFUNCTION("GOOGLETRANSLATE(A48507, ""de"", ""en"")"),"explored")</f>
        <v>explored</v>
      </c>
    </row>
    <row r="48508">
      <c r="A48508" s="1" t="s">
        <v>48507</v>
      </c>
      <c r="B48508" s="2" t="str">
        <f>IFERROR(__xludf.DUMMYFUNCTION("GOOGLETRANSLATE(A48508, ""de"", ""en"")"),"will to live")</f>
        <v>will to live</v>
      </c>
    </row>
    <row r="48509">
      <c r="A48509" s="1" t="s">
        <v>48508</v>
      </c>
      <c r="B48509" s="2" t="str">
        <f>IFERROR(__xludf.DUMMYFUNCTION("GOOGLETRANSLATE(A48509, ""de"", ""en"")"),"Milanese")</f>
        <v>Milanese</v>
      </c>
    </row>
    <row r="48510">
      <c r="A48510" s="1" t="s">
        <v>48509</v>
      </c>
      <c r="B48510" s="2" t="str">
        <f>IFERROR(__xludf.DUMMYFUNCTION("GOOGLETRANSLATE(A48510, ""de"", ""en"")"),"homemade")</f>
        <v>homemade</v>
      </c>
    </row>
    <row r="48511">
      <c r="A48511" s="1" t="s">
        <v>48510</v>
      </c>
      <c r="B48511" s="2" t="str">
        <f>IFERROR(__xludf.DUMMYFUNCTION("GOOGLETRANSLATE(A48511, ""de"", ""en"")"),"goo")</f>
        <v>goo</v>
      </c>
    </row>
    <row r="48512">
      <c r="A48512" s="1" t="s">
        <v>48511</v>
      </c>
      <c r="B48512" s="2" t="str">
        <f>IFERROR(__xludf.DUMMYFUNCTION("GOOGLETRANSLATE(A48512, ""de"", ""en"")"),"dawdles")</f>
        <v>dawdles</v>
      </c>
    </row>
    <row r="48513">
      <c r="A48513" s="1" t="s">
        <v>48512</v>
      </c>
      <c r="B48513" s="2" t="str">
        <f>IFERROR(__xludf.DUMMYFUNCTION("GOOGLETRANSLATE(A48513, ""de"", ""en"")"),"elroy")</f>
        <v>elroy</v>
      </c>
    </row>
    <row r="48514">
      <c r="A48514" s="1" t="s">
        <v>48513</v>
      </c>
      <c r="B48514" s="2" t="str">
        <f>IFERROR(__xludf.DUMMYFUNCTION("GOOGLETRANSLATE(A48514, ""de"", ""en"")"),"look back")</f>
        <v>look back</v>
      </c>
    </row>
    <row r="48515">
      <c r="A48515" s="1" t="s">
        <v>48514</v>
      </c>
      <c r="B48515" s="2" t="str">
        <f>IFERROR(__xludf.DUMMYFUNCTION("GOOGLETRANSLATE(A48515, ""de"", ""en"")"),"evaluated")</f>
        <v>evaluated</v>
      </c>
    </row>
    <row r="48516">
      <c r="A48516" s="1" t="s">
        <v>48515</v>
      </c>
      <c r="B48516" s="2" t="str">
        <f>IFERROR(__xludf.DUMMYFUNCTION("GOOGLETRANSLATE(A48516, ""de"", ""en"")"),"fooled around")</f>
        <v>fooled around</v>
      </c>
    </row>
    <row r="48517">
      <c r="A48517" s="1" t="s">
        <v>48516</v>
      </c>
      <c r="B48517" s="2" t="str">
        <f>IFERROR(__xludf.DUMMYFUNCTION("GOOGLETRANSLATE(A48517, ""de"", ""en"")"),"think tank")</f>
        <v>think tank</v>
      </c>
    </row>
    <row r="48518">
      <c r="A48518" s="1" t="s">
        <v>48517</v>
      </c>
      <c r="B48518" s="2" t="str">
        <f>IFERROR(__xludf.DUMMYFUNCTION("GOOGLETRANSLATE(A48518, ""de"", ""en"")"),"parking ticket")</f>
        <v>parking ticket</v>
      </c>
    </row>
    <row r="48519">
      <c r="A48519" s="1" t="s">
        <v>48518</v>
      </c>
      <c r="B48519" s="2" t="str">
        <f>IFERROR(__xludf.DUMMYFUNCTION("GOOGLETRANSLATE(A48519, ""de"", ""en"")"),"s01e09")</f>
        <v>s01e09</v>
      </c>
    </row>
    <row r="48520">
      <c r="A48520" s="1" t="s">
        <v>48519</v>
      </c>
      <c r="B48520" s="2" t="str">
        <f>IFERROR(__xludf.DUMMYFUNCTION("GOOGLETRANSLATE(A48520, ""de"", ""en"")"),"despised")</f>
        <v>despised</v>
      </c>
    </row>
    <row r="48521">
      <c r="A48521" s="1" t="s">
        <v>48520</v>
      </c>
      <c r="B48521" s="2" t="str">
        <f>IFERROR(__xludf.DUMMYFUNCTION("GOOGLETRANSLATE(A48521, ""de"", ""en"")"),"manifest")</f>
        <v>manifest</v>
      </c>
    </row>
    <row r="48522">
      <c r="A48522" s="1" t="s">
        <v>48521</v>
      </c>
      <c r="B48522" s="2" t="str">
        <f>IFERROR(__xludf.DUMMYFUNCTION("GOOGLETRANSLATE(A48522, ""de"", ""en"")"),"history lesson")</f>
        <v>history lesson</v>
      </c>
    </row>
    <row r="48523">
      <c r="A48523" s="1" t="s">
        <v>48522</v>
      </c>
      <c r="B48523" s="2" t="str">
        <f>IFERROR(__xludf.DUMMYFUNCTION("GOOGLETRANSLATE(A48523, ""de"", ""en"")"),"seize")</f>
        <v>seize</v>
      </c>
    </row>
    <row r="48524">
      <c r="A48524" s="1" t="s">
        <v>48523</v>
      </c>
      <c r="B48524" s="2" t="str">
        <f>IFERROR(__xludf.DUMMYFUNCTION("GOOGLETRANSLATE(A48524, ""de"", ""en"")"),"trumpet")</f>
        <v>trumpet</v>
      </c>
    </row>
    <row r="48525">
      <c r="A48525" s="1" t="s">
        <v>48524</v>
      </c>
      <c r="B48525" s="2" t="str">
        <f>IFERROR(__xludf.DUMMYFUNCTION("GOOGLETRANSLATE(A48525, ""de"", ""en"")"),"lead")</f>
        <v>lead</v>
      </c>
    </row>
    <row r="48526">
      <c r="A48526" s="1" t="s">
        <v>48525</v>
      </c>
      <c r="B48526" s="2" t="str">
        <f>IFERROR(__xludf.DUMMYFUNCTION("GOOGLETRANSLATE(A48526, ""de"", ""en"")"),"brims")</f>
        <v>brims</v>
      </c>
    </row>
    <row r="48527">
      <c r="A48527" s="1" t="s">
        <v>48526</v>
      </c>
      <c r="B48527" s="2" t="str">
        <f>IFERROR(__xludf.DUMMYFUNCTION("GOOGLETRANSLATE(A48527, ""de"", ""en"")"),"self-doubt")</f>
        <v>self-doubt</v>
      </c>
    </row>
    <row r="48528">
      <c r="A48528" s="1" t="s">
        <v>48527</v>
      </c>
      <c r="B48528" s="2" t="str">
        <f>IFERROR(__xludf.DUMMYFUNCTION("GOOGLETRANSLATE(A48528, ""de"", ""en"")"),"colfax")</f>
        <v>colfax</v>
      </c>
    </row>
    <row r="48529">
      <c r="A48529" s="1" t="s">
        <v>48528</v>
      </c>
      <c r="B48529" s="2" t="str">
        <f>IFERROR(__xludf.DUMMYFUNCTION("GOOGLETRANSLATE(A48529, ""de"", ""en"")"),"descent")</f>
        <v>descent</v>
      </c>
    </row>
    <row r="48530">
      <c r="A48530" s="1" t="s">
        <v>48529</v>
      </c>
      <c r="B48530" s="2" t="str">
        <f>IFERROR(__xludf.DUMMYFUNCTION("GOOGLETRANSLATE(A48530, ""de"", ""en"")"),"join in the celebration")</f>
        <v>join in the celebration</v>
      </c>
    </row>
    <row r="48531">
      <c r="A48531" s="1" t="s">
        <v>48530</v>
      </c>
      <c r="B48531" s="2" t="str">
        <f>IFERROR(__xludf.DUMMYFUNCTION("GOOGLETRANSLATE(A48531, ""de"", ""en"")"),"more annoying")</f>
        <v>more annoying</v>
      </c>
    </row>
    <row r="48532">
      <c r="A48532" s="1" t="s">
        <v>48531</v>
      </c>
      <c r="B48532" s="2" t="str">
        <f>IFERROR(__xludf.DUMMYFUNCTION("GOOGLETRANSLATE(A48532, ""de"", ""en"")"),"in good faith")</f>
        <v>in good faith</v>
      </c>
    </row>
    <row r="48533">
      <c r="A48533" s="1" t="s">
        <v>48532</v>
      </c>
      <c r="B48533" s="2" t="str">
        <f>IFERROR(__xludf.DUMMYFUNCTION("GOOGLETRANSLATE(A48533, ""de"", ""en"")"),"reading glasses")</f>
        <v>reading glasses</v>
      </c>
    </row>
    <row r="48534">
      <c r="A48534" s="1" t="s">
        <v>48533</v>
      </c>
      <c r="B48534" s="2" t="str">
        <f>IFERROR(__xludf.DUMMYFUNCTION("GOOGLETRANSLATE(A48534, ""de"", ""en"")"),"Jilly")</f>
        <v>Jilly</v>
      </c>
    </row>
    <row r="48535">
      <c r="A48535" s="1" t="s">
        <v>48534</v>
      </c>
      <c r="B48535" s="2" t="str">
        <f>IFERROR(__xludf.DUMMYFUNCTION("GOOGLETRANSLATE(A48535, ""de"", ""en"")"),"miserable")</f>
        <v>miserable</v>
      </c>
    </row>
    <row r="48536">
      <c r="A48536" s="1" t="s">
        <v>48535</v>
      </c>
      <c r="B48536" s="2" t="str">
        <f>IFERROR(__xludf.DUMMYFUNCTION("GOOGLETRANSLATE(A48536, ""de"", ""en"")"),"politesse")</f>
        <v>politesse</v>
      </c>
    </row>
    <row r="48537">
      <c r="A48537" s="1" t="s">
        <v>48536</v>
      </c>
      <c r="B48537" s="2" t="str">
        <f>IFERROR(__xludf.DUMMYFUNCTION("GOOGLETRANSLATE(A48537, ""de"", ""en"")"),"gathered")</f>
        <v>gathered</v>
      </c>
    </row>
    <row r="48538">
      <c r="A48538" s="1" t="s">
        <v>48537</v>
      </c>
      <c r="B48538" s="2" t="str">
        <f>IFERROR(__xludf.DUMMYFUNCTION("GOOGLETRANSLATE(A48538, ""de"", ""en"")"),"chuckles")</f>
        <v>chuckles</v>
      </c>
    </row>
    <row r="48539">
      <c r="A48539" s="1" t="s">
        <v>48538</v>
      </c>
      <c r="B48539" s="2" t="str">
        <f>IFERROR(__xludf.DUMMYFUNCTION("GOOGLETRANSLATE(A48539, ""de"", ""en"")"),"more potential")</f>
        <v>more potential</v>
      </c>
    </row>
    <row r="48540">
      <c r="A48540" s="1" t="s">
        <v>48539</v>
      </c>
      <c r="B48540" s="2" t="str">
        <f>IFERROR(__xludf.DUMMYFUNCTION("GOOGLETRANSLATE(A48540, ""de"", ""en"")"),"pallas")</f>
        <v>pallas</v>
      </c>
    </row>
    <row r="48541">
      <c r="A48541" s="1" t="s">
        <v>48540</v>
      </c>
      <c r="B48541" s="2" t="str">
        <f>IFERROR(__xludf.DUMMYFUNCTION("GOOGLETRANSLATE(A48541, ""de"", ""en"")"),"vital")</f>
        <v>vital</v>
      </c>
    </row>
    <row r="48542">
      <c r="A48542" s="1" t="s">
        <v>48541</v>
      </c>
      <c r="B48542" s="2" t="str">
        <f>IFERROR(__xludf.DUMMYFUNCTION("GOOGLETRANSLATE(A48542, ""de"", ""en"")"),"more understandable")</f>
        <v>more understandable</v>
      </c>
    </row>
    <row r="48543">
      <c r="A48543" s="1" t="s">
        <v>48542</v>
      </c>
      <c r="B48543" s="2" t="str">
        <f>IFERROR(__xludf.DUMMYFUNCTION("GOOGLETRANSLATE(A48543, ""de"", ""en"")"),"formulate")</f>
        <v>formulate</v>
      </c>
    </row>
    <row r="48544">
      <c r="A48544" s="1" t="s">
        <v>48543</v>
      </c>
      <c r="B48544" s="2" t="str">
        <f>IFERROR(__xludf.DUMMYFUNCTION("GOOGLETRANSLATE(A48544, ""de"", ""en"")"),"beltran")</f>
        <v>beltran</v>
      </c>
    </row>
    <row r="48545">
      <c r="A48545" s="1" t="s">
        <v>48544</v>
      </c>
      <c r="B48545" s="2" t="str">
        <f>IFERROR(__xludf.DUMMYFUNCTION("GOOGLETRANSLATE(A48545, ""de"", ""en"")"),"blood brother")</f>
        <v>blood brother</v>
      </c>
    </row>
    <row r="48546">
      <c r="A48546" s="1" t="s">
        <v>48545</v>
      </c>
      <c r="B48546" s="2" t="str">
        <f>IFERROR(__xludf.DUMMYFUNCTION("GOOGLETRANSLATE(A48546, ""de"", ""en"")"),"kavanaugh")</f>
        <v>kavanaugh</v>
      </c>
    </row>
    <row r="48547">
      <c r="A48547" s="1" t="s">
        <v>48546</v>
      </c>
      <c r="B48547" s="2" t="str">
        <f>IFERROR(__xludf.DUMMYFUNCTION("GOOGLETRANSLATE(A48547, ""de"", ""en"")"),"devine")</f>
        <v>devine</v>
      </c>
    </row>
    <row r="48548">
      <c r="A48548" s="1" t="s">
        <v>48547</v>
      </c>
      <c r="B48548" s="2" t="str">
        <f>IFERROR(__xludf.DUMMYFUNCTION("GOOGLETRANSLATE(A48548, ""de"", ""en"")"),"bats")</f>
        <v>bats</v>
      </c>
    </row>
    <row r="48549">
      <c r="A48549" s="1" t="s">
        <v>48548</v>
      </c>
      <c r="B48549" s="2" t="str">
        <f>IFERROR(__xludf.DUMMYFUNCTION("GOOGLETRANSLATE(A48549, ""de"", ""en"")"),"peace agreement")</f>
        <v>peace agreement</v>
      </c>
    </row>
    <row r="48550">
      <c r="A48550" s="1" t="s">
        <v>48549</v>
      </c>
      <c r="B48550" s="2" t="str">
        <f>IFERROR(__xludf.DUMMYFUNCTION("GOOGLETRANSLATE(A48550, ""de"", ""en"")"),"maintained")</f>
        <v>maintained</v>
      </c>
    </row>
    <row r="48551">
      <c r="A48551" s="1" t="s">
        <v>48550</v>
      </c>
      <c r="B48551" s="2" t="str">
        <f>IFERROR(__xludf.DUMMYFUNCTION("GOOGLETRANSLATE(A48551, ""de"", ""en"")"),"mouthguard")</f>
        <v>mouthguard</v>
      </c>
    </row>
    <row r="48552">
      <c r="A48552" s="1" t="s">
        <v>48551</v>
      </c>
      <c r="B48552" s="2" t="str">
        <f>IFERROR(__xludf.DUMMYFUNCTION("GOOGLETRANSLATE(A48552, ""de"", ""en"")"),"second-rate")</f>
        <v>second-rate</v>
      </c>
    </row>
    <row r="48553">
      <c r="A48553" s="1" t="s">
        <v>48552</v>
      </c>
      <c r="B48553" s="2" t="str">
        <f>IFERROR(__xludf.DUMMYFUNCTION("GOOGLETRANSLATE(A48553, ""de"", ""en"")"),"to refuse")</f>
        <v>to refuse</v>
      </c>
    </row>
    <row r="48554">
      <c r="A48554" s="1" t="s">
        <v>48553</v>
      </c>
      <c r="B48554" s="2" t="str">
        <f>IFERROR(__xludf.DUMMYFUNCTION("GOOGLETRANSLATE(A48554, ""de"", ""en"")"),"dastan")</f>
        <v>dastan</v>
      </c>
    </row>
    <row r="48555">
      <c r="A48555" s="1" t="s">
        <v>48554</v>
      </c>
      <c r="B48555" s="2" t="str">
        <f>IFERROR(__xludf.DUMMYFUNCTION("GOOGLETRANSLATE(A48555, ""de"", ""en"")"),"gentian")</f>
        <v>gentian</v>
      </c>
    </row>
    <row r="48556">
      <c r="A48556" s="1" t="s">
        <v>48555</v>
      </c>
      <c r="B48556" s="2" t="str">
        <f>IFERROR(__xludf.DUMMYFUNCTION("GOOGLETRANSLATE(A48556, ""de"", ""en"")"),"Canadian")</f>
        <v>Canadian</v>
      </c>
    </row>
    <row r="48557">
      <c r="A48557" s="1" t="s">
        <v>48556</v>
      </c>
      <c r="B48557" s="2" t="str">
        <f>IFERROR(__xludf.DUMMYFUNCTION("GOOGLETRANSLATE(A48557, ""de"", ""en"")"),"drumlin")</f>
        <v>drumlin</v>
      </c>
    </row>
    <row r="48558">
      <c r="A48558" s="1" t="s">
        <v>48557</v>
      </c>
      <c r="B48558" s="2" t="str">
        <f>IFERROR(__xludf.DUMMYFUNCTION("GOOGLETRANSLATE(A48558, ""de"", ""en"")"),"spicy")</f>
        <v>spicy</v>
      </c>
    </row>
    <row r="48559">
      <c r="A48559" s="1" t="s">
        <v>48558</v>
      </c>
      <c r="B48559" s="2" t="str">
        <f>IFERROR(__xludf.DUMMYFUNCTION("GOOGLETRANSLATE(A48559, ""de"", ""en"")"),"hidden")</f>
        <v>hidden</v>
      </c>
    </row>
    <row r="48560">
      <c r="A48560" s="1" t="s">
        <v>48559</v>
      </c>
      <c r="B48560" s="2" t="str">
        <f>IFERROR(__xludf.DUMMYFUNCTION("GOOGLETRANSLATE(A48560, ""de"", ""en"")"),"castings")</f>
        <v>castings</v>
      </c>
    </row>
    <row r="48561">
      <c r="A48561" s="1" t="s">
        <v>48560</v>
      </c>
      <c r="B48561" s="2" t="str">
        <f>IFERROR(__xludf.DUMMYFUNCTION("GOOGLETRANSLATE(A48561, ""de"", ""en"")"),"gang member")</f>
        <v>gang member</v>
      </c>
    </row>
    <row r="48562">
      <c r="A48562" s="1" t="s">
        <v>48561</v>
      </c>
      <c r="B48562" s="2" t="str">
        <f>IFERROR(__xludf.DUMMYFUNCTION("GOOGLETRANSLATE(A48562, ""de"", ""en"")"),"Metcalf")</f>
        <v>Metcalf</v>
      </c>
    </row>
    <row r="48563">
      <c r="A48563" s="1" t="s">
        <v>48562</v>
      </c>
      <c r="B48563" s="2" t="str">
        <f>IFERROR(__xludf.DUMMYFUNCTION("GOOGLETRANSLATE(A48563, ""de"", ""en"")"),"conventional")</f>
        <v>conventional</v>
      </c>
    </row>
    <row r="48564">
      <c r="A48564" s="1" t="s">
        <v>48563</v>
      </c>
      <c r="B48564" s="2" t="str">
        <f>IFERROR(__xludf.DUMMYFUNCTION("GOOGLETRANSLATE(A48564, ""de"", ""en"")"),"cries for help")</f>
        <v>cries for help</v>
      </c>
    </row>
    <row r="48565">
      <c r="A48565" s="1" t="s">
        <v>48564</v>
      </c>
      <c r="B48565" s="2" t="str">
        <f>IFERROR(__xludf.DUMMYFUNCTION("GOOGLETRANSLATE(A48565, ""de"", ""en"")"),"straight ahead")</f>
        <v>straight ahead</v>
      </c>
    </row>
    <row r="48566">
      <c r="A48566" s="1" t="s">
        <v>48565</v>
      </c>
      <c r="B48566" s="2" t="str">
        <f>IFERROR(__xludf.DUMMYFUNCTION("GOOGLETRANSLATE(A48566, ""de"", ""en"")"),"huge")</f>
        <v>huge</v>
      </c>
    </row>
    <row r="48567">
      <c r="A48567" s="1" t="s">
        <v>48566</v>
      </c>
      <c r="B48567" s="2" t="str">
        <f>IFERROR(__xludf.DUMMYFUNCTION("GOOGLETRANSLATE(A48567, ""de"", ""en"")"),"security office")</f>
        <v>security office</v>
      </c>
    </row>
    <row r="48568">
      <c r="A48568" s="1" t="s">
        <v>48567</v>
      </c>
      <c r="B48568" s="2" t="str">
        <f>IFERROR(__xludf.DUMMYFUNCTION("GOOGLETRANSLATE(A48568, ""de"", ""en"")"),"globalization")</f>
        <v>globalization</v>
      </c>
    </row>
    <row r="48569">
      <c r="A48569" s="1" t="s">
        <v>48568</v>
      </c>
      <c r="B48569" s="2" t="str">
        <f>IFERROR(__xludf.DUMMYFUNCTION("GOOGLETRANSLATE(A48569, ""de"", ""en"")"),"dior")</f>
        <v>dior</v>
      </c>
    </row>
    <row r="48570">
      <c r="A48570" s="1" t="s">
        <v>48569</v>
      </c>
      <c r="B48570" s="2" t="str">
        <f>IFERROR(__xludf.DUMMYFUNCTION("GOOGLETRANSLATE(A48570, ""de"", ""en"")"),"neuroses")</f>
        <v>neuroses</v>
      </c>
    </row>
    <row r="48571">
      <c r="A48571" s="1" t="s">
        <v>48570</v>
      </c>
      <c r="B48571" s="2" t="str">
        <f>IFERROR(__xludf.DUMMYFUNCTION("GOOGLETRANSLATE(A48571, ""de"", ""en"")"),"contributes")</f>
        <v>contributes</v>
      </c>
    </row>
    <row r="48572">
      <c r="A48572" s="1" t="s">
        <v>48571</v>
      </c>
      <c r="B48572" s="2" t="str">
        <f>IFERROR(__xludf.DUMMYFUNCTION("GOOGLETRANSLATE(A48572, ""de"", ""en"")"),"cooperman")</f>
        <v>cooperman</v>
      </c>
    </row>
    <row r="48573">
      <c r="A48573" s="1" t="s">
        <v>48572</v>
      </c>
      <c r="B48573" s="2" t="str">
        <f>IFERROR(__xludf.DUMMYFUNCTION("GOOGLETRANSLATE(A48573, ""de"", ""en"")"),"Hunsrück")</f>
        <v>Hunsrück</v>
      </c>
    </row>
    <row r="48574">
      <c r="A48574" s="1" t="s">
        <v>48573</v>
      </c>
      <c r="B48574" s="2" t="str">
        <f>IFERROR(__xludf.DUMMYFUNCTION("GOOGLETRANSLATE(A48574, ""de"", ""en"")"),"welder")</f>
        <v>welder</v>
      </c>
    </row>
    <row r="48575">
      <c r="A48575" s="1" t="s">
        <v>48574</v>
      </c>
      <c r="B48575" s="2" t="str">
        <f>IFERROR(__xludf.DUMMYFUNCTION("GOOGLETRANSLATE(A48575, ""de"", ""en"")"),"foghorn")</f>
        <v>foghorn</v>
      </c>
    </row>
    <row r="48576">
      <c r="A48576" s="1" t="s">
        <v>48575</v>
      </c>
      <c r="B48576" s="2" t="str">
        <f>IFERROR(__xludf.DUMMYFUNCTION("GOOGLETRANSLATE(A48576, ""de"", ""en"")"),"patrolled")</f>
        <v>patrolled</v>
      </c>
    </row>
    <row r="48577">
      <c r="A48577" s="1" t="s">
        <v>48576</v>
      </c>
      <c r="B48577" s="2" t="str">
        <f>IFERROR(__xludf.DUMMYFUNCTION("GOOGLETRANSLATE(A48577, ""de"", ""en"")"),"plant")</f>
        <v>plant</v>
      </c>
    </row>
    <row r="48578">
      <c r="A48578" s="1" t="s">
        <v>48577</v>
      </c>
      <c r="B48578" s="2" t="str">
        <f>IFERROR(__xludf.DUMMYFUNCTION("GOOGLETRANSLATE(A48578, ""de"", ""en"")"),"Bacchus")</f>
        <v>Bacchus</v>
      </c>
    </row>
    <row r="48579">
      <c r="A48579" s="1" t="s">
        <v>48578</v>
      </c>
      <c r="B48579" s="2" t="str">
        <f>IFERROR(__xludf.DUMMYFUNCTION("GOOGLETRANSLATE(A48579, ""de"", ""en"")"),"teasdale")</f>
        <v>teasdale</v>
      </c>
    </row>
    <row r="48580">
      <c r="A48580" s="1" t="s">
        <v>48579</v>
      </c>
      <c r="B48580" s="2" t="str">
        <f>IFERROR(__xludf.DUMMYFUNCTION("GOOGLETRANSLATE(A48580, ""de"", ""en"")"),"capitalist")</f>
        <v>capitalist</v>
      </c>
    </row>
    <row r="48581">
      <c r="A48581" s="1" t="s">
        <v>48580</v>
      </c>
      <c r="B48581" s="2" t="str">
        <f>IFERROR(__xludf.DUMMYFUNCTION("GOOGLETRANSLATE(A48581, ""de"", ""en"")"),"kalashnikov")</f>
        <v>kalashnikov</v>
      </c>
    </row>
    <row r="48582">
      <c r="A48582" s="1" t="s">
        <v>48581</v>
      </c>
      <c r="B48582" s="2" t="str">
        <f>IFERROR(__xludf.DUMMYFUNCTION("GOOGLETRANSLATE(A48582, ""de"", ""en"")"),"system failure")</f>
        <v>system failure</v>
      </c>
    </row>
    <row r="48583">
      <c r="A48583" s="1" t="s">
        <v>48582</v>
      </c>
      <c r="B48583" s="2" t="str">
        <f>IFERROR(__xludf.DUMMYFUNCTION("GOOGLETRANSLATE(A48583, ""de"", ""en"")"),"accident site")</f>
        <v>accident site</v>
      </c>
    </row>
    <row r="48584">
      <c r="A48584" s="1" t="s">
        <v>48583</v>
      </c>
      <c r="B48584" s="2" t="str">
        <f>IFERROR(__xludf.DUMMYFUNCTION("GOOGLETRANSLATE(A48584, ""de"", ""en"")"),"diaphragm")</f>
        <v>diaphragm</v>
      </c>
    </row>
    <row r="48585">
      <c r="A48585" s="1" t="s">
        <v>48584</v>
      </c>
      <c r="B48585" s="2" t="str">
        <f>IFERROR(__xludf.DUMMYFUNCTION("GOOGLETRANSLATE(A48585, ""de"", ""en"")"),"crime lab")</f>
        <v>crime lab</v>
      </c>
    </row>
    <row r="48586">
      <c r="A48586" s="1" t="s">
        <v>48585</v>
      </c>
      <c r="B48586" s="2" t="str">
        <f>IFERROR(__xludf.DUMMYFUNCTION("GOOGLETRANSLATE(A48586, ""de"", ""en"")"),"hotel")</f>
        <v>hotel</v>
      </c>
    </row>
    <row r="48587">
      <c r="A48587" s="1" t="s">
        <v>48586</v>
      </c>
      <c r="B48587" s="2" t="str">
        <f>IFERROR(__xludf.DUMMYFUNCTION("GOOGLETRANSLATE(A48587, ""de"", ""en"")"),"hunted")</f>
        <v>hunted</v>
      </c>
    </row>
    <row r="48588">
      <c r="A48588" s="1" t="s">
        <v>48587</v>
      </c>
      <c r="B48588" s="2" t="str">
        <f>IFERROR(__xludf.DUMMYFUNCTION("GOOGLETRANSLATE(A48588, ""de"", ""en"")"),"upton")</f>
        <v>upton</v>
      </c>
    </row>
    <row r="48589">
      <c r="A48589" s="1" t="s">
        <v>48588</v>
      </c>
      <c r="B48589" s="2" t="str">
        <f>IFERROR(__xludf.DUMMYFUNCTION("GOOGLETRANSLATE(A48589, ""de"", ""en"")"),"inglethorp")</f>
        <v>inglethorp</v>
      </c>
    </row>
    <row r="48590">
      <c r="A48590" s="1" t="s">
        <v>48589</v>
      </c>
      <c r="B48590" s="2" t="str">
        <f>IFERROR(__xludf.DUMMYFUNCTION("GOOGLETRANSLATE(A48590, ""de"", ""en"")"),"daffy")</f>
        <v>daffy</v>
      </c>
    </row>
    <row r="48591">
      <c r="A48591" s="1" t="s">
        <v>48590</v>
      </c>
      <c r="B48591" s="2" t="str">
        <f>IFERROR(__xludf.DUMMYFUNCTION("GOOGLETRANSLATE(A48591, ""de"", ""en"")"),"profits")</f>
        <v>profits</v>
      </c>
    </row>
    <row r="48592">
      <c r="A48592" s="1" t="s">
        <v>48591</v>
      </c>
      <c r="B48592" s="2" t="str">
        <f>IFERROR(__xludf.DUMMYFUNCTION("GOOGLETRANSLATE(A48592, ""de"", ""en"")"),"geckos")</f>
        <v>geckos</v>
      </c>
    </row>
    <row r="48593">
      <c r="A48593" s="1" t="s">
        <v>48592</v>
      </c>
      <c r="B48593" s="2" t="str">
        <f>IFERROR(__xludf.DUMMYFUNCTION("GOOGLETRANSLATE(A48593, ""de"", ""en"")"),"brand")</f>
        <v>brand</v>
      </c>
    </row>
    <row r="48594">
      <c r="A48594" s="1" t="s">
        <v>48593</v>
      </c>
      <c r="B48594" s="2" t="str">
        <f>IFERROR(__xludf.DUMMYFUNCTION("GOOGLETRANSLATE(A48594, ""de"", ""en"")"),"riordan")</f>
        <v>riordan</v>
      </c>
    </row>
    <row r="48595">
      <c r="A48595" s="1" t="s">
        <v>48594</v>
      </c>
      <c r="B48595" s="2" t="str">
        <f>IFERROR(__xludf.DUMMYFUNCTION("GOOGLETRANSLATE(A48595, ""de"", ""en"")"),"kingdom")</f>
        <v>kingdom</v>
      </c>
    </row>
    <row r="48596">
      <c r="A48596" s="1" t="s">
        <v>48595</v>
      </c>
      <c r="B48596" s="2" t="str">
        <f>IFERROR(__xludf.DUMMYFUNCTION("GOOGLETRANSLATE(A48596, ""de"", ""en"")"),"youth center")</f>
        <v>youth center</v>
      </c>
    </row>
    <row r="48597">
      <c r="A48597" s="1" t="s">
        <v>48596</v>
      </c>
      <c r="B48597" s="2" t="str">
        <f>IFERROR(__xludf.DUMMYFUNCTION("GOOGLETRANSLATE(A48597, ""de"", ""en"")"),"stuck")</f>
        <v>stuck</v>
      </c>
    </row>
    <row r="48598">
      <c r="A48598" s="1" t="s">
        <v>48597</v>
      </c>
      <c r="B48598" s="2" t="str">
        <f>IFERROR(__xludf.DUMMYFUNCTION("GOOGLETRANSLATE(A48598, ""de"", ""en"")"),"concise")</f>
        <v>concise</v>
      </c>
    </row>
    <row r="48599">
      <c r="A48599" s="1" t="s">
        <v>48598</v>
      </c>
      <c r="B48599" s="2" t="str">
        <f>IFERROR(__xludf.DUMMYFUNCTION("GOOGLETRANSLATE(A48599, ""de"", ""en"")"),"washed up")</f>
        <v>washed up</v>
      </c>
    </row>
    <row r="48600">
      <c r="A48600" s="1" t="s">
        <v>48599</v>
      </c>
      <c r="B48600" s="2" t="str">
        <f>IFERROR(__xludf.DUMMYFUNCTION("GOOGLETRANSLATE(A48600, ""de"", ""en"")"),"sophisticated")</f>
        <v>sophisticated</v>
      </c>
    </row>
    <row r="48601">
      <c r="A48601" s="1" t="s">
        <v>48600</v>
      </c>
      <c r="B48601" s="2" t="str">
        <f>IFERROR(__xludf.DUMMYFUNCTION("GOOGLETRANSLATE(A48601, ""de"", ""en"")"),"slime")</f>
        <v>slime</v>
      </c>
    </row>
    <row r="48602">
      <c r="A48602" s="1" t="s">
        <v>48601</v>
      </c>
      <c r="B48602" s="2" t="str">
        <f>IFERROR(__xludf.DUMMYFUNCTION("GOOGLETRANSLATE(A48602, ""de"", ""en"")"),"more detailed")</f>
        <v>more detailed</v>
      </c>
    </row>
    <row r="48603">
      <c r="A48603" s="1" t="s">
        <v>48602</v>
      </c>
      <c r="B48603" s="2" t="str">
        <f>IFERROR(__xludf.DUMMYFUNCTION("GOOGLETRANSLATE(A48603, ""de"", ""en"")"),"Allison's")</f>
        <v>Allison's</v>
      </c>
    </row>
    <row r="48604">
      <c r="A48604" s="1" t="s">
        <v>48603</v>
      </c>
      <c r="B48604" s="2" t="str">
        <f>IFERROR(__xludf.DUMMYFUNCTION("GOOGLETRANSLATE(A48604, ""de"", ""en"")"),"illegal")</f>
        <v>illegal</v>
      </c>
    </row>
    <row r="48605">
      <c r="A48605" s="1" t="s">
        <v>48604</v>
      </c>
      <c r="B48605" s="2" t="str">
        <f>IFERROR(__xludf.DUMMYFUNCTION("GOOGLETRANSLATE(A48605, ""de"", ""en"")"),"kills")</f>
        <v>kills</v>
      </c>
    </row>
    <row r="48606">
      <c r="A48606" s="1" t="s">
        <v>48605</v>
      </c>
      <c r="B48606" s="2" t="str">
        <f>IFERROR(__xludf.DUMMYFUNCTION("GOOGLETRANSLATE(A48606, ""de"", ""en"")"),"overflowed")</f>
        <v>overflowed</v>
      </c>
    </row>
    <row r="48607">
      <c r="A48607" s="1" t="s">
        <v>48606</v>
      </c>
      <c r="B48607" s="2" t="str">
        <f>IFERROR(__xludf.DUMMYFUNCTION("GOOGLETRANSLATE(A48607, ""de"", ""en"")"),"all")</f>
        <v>all</v>
      </c>
    </row>
    <row r="48608">
      <c r="A48608" s="1" t="s">
        <v>48607</v>
      </c>
      <c r="B48608" s="2" t="str">
        <f>IFERROR(__xludf.DUMMYFUNCTION("GOOGLETRANSLATE(A48608, ""de"", ""en"")"),"u")</f>
        <v>u</v>
      </c>
    </row>
    <row r="48609">
      <c r="A48609" s="1" t="s">
        <v>48608</v>
      </c>
      <c r="B48609" s="2" t="str">
        <f>IFERROR(__xludf.DUMMYFUNCTION("GOOGLETRANSLATE(A48609, ""de"", ""en"")"),"gio")</f>
        <v>gio</v>
      </c>
    </row>
    <row r="48610">
      <c r="A48610" s="1" t="s">
        <v>48609</v>
      </c>
      <c r="B48610" s="2" t="str">
        <f>IFERROR(__xludf.DUMMYFUNCTION("GOOGLETRANSLATE(A48610, ""de"", ""en"")"),"artistic")</f>
        <v>artistic</v>
      </c>
    </row>
    <row r="48611">
      <c r="A48611" s="1" t="s">
        <v>48610</v>
      </c>
      <c r="B48611" s="2" t="str">
        <f>IFERROR(__xludf.DUMMYFUNCTION("GOOGLETRANSLATE(A48611, ""de"", ""en"")"),"murmured")</f>
        <v>murmured</v>
      </c>
    </row>
    <row r="48612">
      <c r="A48612" s="1" t="s">
        <v>48611</v>
      </c>
      <c r="B48612" s="2" t="str">
        <f>IFERROR(__xludf.DUMMYFUNCTION("GOOGLETRANSLATE(A48612, ""de"", ""en"")"),"skips")</f>
        <v>skips</v>
      </c>
    </row>
    <row r="48613">
      <c r="A48613" s="1" t="s">
        <v>48612</v>
      </c>
      <c r="B48613" s="2" t="str">
        <f>IFERROR(__xludf.DUMMYFUNCTION("GOOGLETRANSLATE(A48613, ""de"", ""en"")"),"house servant")</f>
        <v>house servant</v>
      </c>
    </row>
    <row r="48614">
      <c r="A48614" s="1" t="s">
        <v>48613</v>
      </c>
      <c r="B48614" s="2" t="str">
        <f>IFERROR(__xludf.DUMMYFUNCTION("GOOGLETRANSLATE(A48614, ""de"", ""en"")"),"lime")</f>
        <v>lime</v>
      </c>
    </row>
    <row r="48615">
      <c r="A48615" s="1" t="s">
        <v>48614</v>
      </c>
      <c r="B48615" s="2" t="str">
        <f>IFERROR(__xludf.DUMMYFUNCTION("GOOGLETRANSLATE(A48615, ""de"", ""en"")"),"answer")</f>
        <v>answer</v>
      </c>
    </row>
    <row r="48616">
      <c r="A48616" s="1" t="s">
        <v>48615</v>
      </c>
      <c r="B48616" s="2" t="str">
        <f>IFERROR(__xludf.DUMMYFUNCTION("GOOGLETRANSLATE(A48616, ""de"", ""en"")"),"stardust")</f>
        <v>stardust</v>
      </c>
    </row>
    <row r="48617">
      <c r="A48617" s="1" t="s">
        <v>48616</v>
      </c>
      <c r="B48617" s="2" t="str">
        <f>IFERROR(__xludf.DUMMYFUNCTION("GOOGLETRANSLATE(A48617, ""de"", ""en"")"),"hewlett")</f>
        <v>hewlett</v>
      </c>
    </row>
    <row r="48618">
      <c r="A48618" s="1" t="s">
        <v>48617</v>
      </c>
      <c r="B48618" s="2" t="str">
        <f>IFERROR(__xludf.DUMMYFUNCTION("GOOGLETRANSLATE(A48618, ""de"", ""en"")"),"nygaard")</f>
        <v>nygaard</v>
      </c>
    </row>
    <row r="48619">
      <c r="A48619" s="1" t="s">
        <v>48618</v>
      </c>
      <c r="B48619" s="2" t="str">
        <f>IFERROR(__xludf.DUMMYFUNCTION("GOOGLETRANSLATE(A48619, ""de"", ""en"")"),"stamford")</f>
        <v>stamford</v>
      </c>
    </row>
    <row r="48620">
      <c r="A48620" s="1" t="s">
        <v>48619</v>
      </c>
      <c r="B48620" s="2" t="str">
        <f>IFERROR(__xludf.DUMMYFUNCTION("GOOGLETRANSLATE(A48620, ""de"", ""en"")"),"trill")</f>
        <v>trill</v>
      </c>
    </row>
    <row r="48621">
      <c r="A48621" s="1" t="s">
        <v>48620</v>
      </c>
      <c r="B48621" s="2" t="str">
        <f>IFERROR(__xludf.DUMMYFUNCTION("GOOGLETRANSLATE(A48621, ""de"", ""en"")"),"newsweek")</f>
        <v>newsweek</v>
      </c>
    </row>
    <row r="48622">
      <c r="A48622" s="1" t="s">
        <v>48621</v>
      </c>
      <c r="B48622" s="2" t="str">
        <f>IFERROR(__xludf.DUMMYFUNCTION("GOOGLETRANSLATE(A48622, ""de"", ""en"")"),"blood revenge")</f>
        <v>blood revenge</v>
      </c>
    </row>
    <row r="48623">
      <c r="A48623" s="1" t="s">
        <v>48622</v>
      </c>
      <c r="B48623" s="2" t="str">
        <f>IFERROR(__xludf.DUMMYFUNCTION("GOOGLETRANSLATE(A48623, ""de"", ""en"")"),"tashi")</f>
        <v>tashi</v>
      </c>
    </row>
    <row r="48624">
      <c r="A48624" s="1" t="s">
        <v>48623</v>
      </c>
      <c r="B48624" s="2" t="str">
        <f>IFERROR(__xludf.DUMMYFUNCTION("GOOGLETRANSLATE(A48624, ""de"", ""en"")"),"cross over")</f>
        <v>cross over</v>
      </c>
    </row>
    <row r="48625">
      <c r="A48625" s="1" t="s">
        <v>48624</v>
      </c>
      <c r="B48625" s="2" t="str">
        <f>IFERROR(__xludf.DUMMYFUNCTION("GOOGLETRANSLATE(A48625, ""de"", ""en"")"),"furry")</f>
        <v>furry</v>
      </c>
    </row>
    <row r="48626">
      <c r="A48626" s="1" t="s">
        <v>48625</v>
      </c>
      <c r="B48626" s="2" t="str">
        <f>IFERROR(__xludf.DUMMYFUNCTION("GOOGLETRANSLATE(A48626, ""de"", ""en"")"),"sparrowhawk")</f>
        <v>sparrowhawk</v>
      </c>
    </row>
    <row r="48627">
      <c r="A48627" s="1" t="s">
        <v>48626</v>
      </c>
      <c r="B48627" s="2" t="str">
        <f>IFERROR(__xludf.DUMMYFUNCTION("GOOGLETRANSLATE(A48627, ""de"", ""en"")"),"tribeca")</f>
        <v>tribeca</v>
      </c>
    </row>
    <row r="48628">
      <c r="A48628" s="1" t="s">
        <v>48627</v>
      </c>
      <c r="B48628" s="2" t="str">
        <f>IFERROR(__xludf.DUMMYFUNCTION("GOOGLETRANSLATE(A48628, ""de"", ""en"")"),"gruyter")</f>
        <v>gruyter</v>
      </c>
    </row>
    <row r="48629">
      <c r="A48629" s="1" t="s">
        <v>48628</v>
      </c>
      <c r="B48629" s="2" t="str">
        <f>IFERROR(__xludf.DUMMYFUNCTION("GOOGLETRANSLATE(A48629, ""de"", ""en"")"),"misjudgment")</f>
        <v>misjudgment</v>
      </c>
    </row>
    <row r="48630">
      <c r="A48630" s="1" t="s">
        <v>48629</v>
      </c>
      <c r="B48630" s="2" t="str">
        <f>IFERROR(__xludf.DUMMYFUNCTION("GOOGLETRANSLATE(A48630, ""de"", ""en"")"),"experimental")</f>
        <v>experimental</v>
      </c>
    </row>
    <row r="48631">
      <c r="A48631" s="1" t="s">
        <v>48630</v>
      </c>
      <c r="B48631" s="2" t="str">
        <f>IFERROR(__xludf.DUMMYFUNCTION("GOOGLETRANSLATE(A48631, ""de"", ""en"")"),"date")</f>
        <v>date</v>
      </c>
    </row>
    <row r="48632">
      <c r="A48632" s="1" t="s">
        <v>48631</v>
      </c>
      <c r="B48632" s="2" t="str">
        <f>IFERROR(__xludf.DUMMYFUNCTION("GOOGLETRANSLATE(A48632, ""de"", ""en"")"),"faithful")</f>
        <v>faithful</v>
      </c>
    </row>
    <row r="48633">
      <c r="A48633" s="1" t="s">
        <v>48632</v>
      </c>
      <c r="B48633" s="2" t="str">
        <f>IFERROR(__xludf.DUMMYFUNCTION("GOOGLETRANSLATE(A48633, ""de"", ""en"")"),"booklet")</f>
        <v>booklet</v>
      </c>
    </row>
    <row r="48634">
      <c r="A48634" s="1" t="s">
        <v>48633</v>
      </c>
      <c r="B48634" s="2" t="str">
        <f>IFERROR(__xludf.DUMMYFUNCTION("GOOGLETRANSLATE(A48634, ""de"", ""en"")"),"m.j.")</f>
        <v>m.j.</v>
      </c>
    </row>
    <row r="48635">
      <c r="A48635" s="1" t="s">
        <v>48634</v>
      </c>
      <c r="B48635" s="2" t="str">
        <f>IFERROR(__xludf.DUMMYFUNCTION("GOOGLETRANSLATE(A48635, ""de"", ""en"")"),"princess")</f>
        <v>princess</v>
      </c>
    </row>
    <row r="48636">
      <c r="A48636" s="1" t="s">
        <v>48635</v>
      </c>
      <c r="B48636" s="2" t="str">
        <f>IFERROR(__xludf.DUMMYFUNCTION("GOOGLETRANSLATE(A48636, ""de"", ""en"")"),"took")</f>
        <v>took</v>
      </c>
    </row>
    <row r="48637">
      <c r="A48637" s="1" t="s">
        <v>48636</v>
      </c>
      <c r="B48637" s="2" t="str">
        <f>IFERROR(__xludf.DUMMYFUNCTION("GOOGLETRANSLATE(A48637, ""de"", ""en"")"),"neptune")</f>
        <v>neptune</v>
      </c>
    </row>
    <row r="48638">
      <c r="A48638" s="1" t="s">
        <v>48637</v>
      </c>
      <c r="B48638" s="2" t="str">
        <f>IFERROR(__xludf.DUMMYFUNCTION("GOOGLETRANSLATE(A48638, ""de"", ""en"")"),"bodo")</f>
        <v>bodo</v>
      </c>
    </row>
    <row r="48639">
      <c r="A48639" s="1" t="s">
        <v>48638</v>
      </c>
      <c r="B48639" s="2" t="str">
        <f>IFERROR(__xludf.DUMMYFUNCTION("GOOGLETRANSLATE(A48639, ""de"", ""en"")"),"tarnish")</f>
        <v>tarnish</v>
      </c>
    </row>
    <row r="48640">
      <c r="A48640" s="1" t="s">
        <v>48639</v>
      </c>
      <c r="B48640" s="2" t="str">
        <f>IFERROR(__xludf.DUMMYFUNCTION("GOOGLETRANSLATE(A48640, ""de"", ""en"")"),"psychiatric")</f>
        <v>psychiatric</v>
      </c>
    </row>
    <row r="48641">
      <c r="A48641" s="1" t="s">
        <v>48640</v>
      </c>
      <c r="B48641" s="2" t="str">
        <f>IFERROR(__xludf.DUMMYFUNCTION("GOOGLETRANSLATE(A48641, ""de"", ""en"")"),"dovecote")</f>
        <v>dovecote</v>
      </c>
    </row>
    <row r="48642">
      <c r="A48642" s="1" t="s">
        <v>48641</v>
      </c>
      <c r="B48642" s="2" t="str">
        <f>IFERROR(__xludf.DUMMYFUNCTION("GOOGLETRANSLATE(A48642, ""de"", ""en"")"),"khal")</f>
        <v>khal</v>
      </c>
    </row>
    <row r="48643">
      <c r="A48643" s="1" t="s">
        <v>48642</v>
      </c>
      <c r="B48643" s="2" t="str">
        <f>IFERROR(__xludf.DUMMYFUNCTION("GOOGLETRANSLATE(A48643, ""de"", ""en"")"),"jb")</f>
        <v>jb</v>
      </c>
    </row>
    <row r="48644">
      <c r="A48644" s="1" t="s">
        <v>48643</v>
      </c>
      <c r="B48644" s="2" t="str">
        <f>IFERROR(__xludf.DUMMYFUNCTION("GOOGLETRANSLATE(A48644, ""de"", ""en"")"),"sunflowers")</f>
        <v>sunflowers</v>
      </c>
    </row>
    <row r="48645">
      <c r="A48645" s="1" t="s">
        <v>48644</v>
      </c>
      <c r="B48645" s="2" t="str">
        <f>IFERROR(__xludf.DUMMYFUNCTION("GOOGLETRANSLATE(A48645, ""de"", ""en"")"),"estates")</f>
        <v>estates</v>
      </c>
    </row>
    <row r="48646">
      <c r="A48646" s="1" t="s">
        <v>48645</v>
      </c>
      <c r="B48646" s="2" t="str">
        <f>IFERROR(__xludf.DUMMYFUNCTION("GOOGLETRANSLATE(A48646, ""de"", ""en"")"),"facets")</f>
        <v>facets</v>
      </c>
    </row>
    <row r="48647">
      <c r="A48647" s="1" t="s">
        <v>48646</v>
      </c>
      <c r="B48647" s="2" t="str">
        <f>IFERROR(__xludf.DUMMYFUNCTION("GOOGLETRANSLATE(A48647, ""de"", ""en"")"),"rhubarb")</f>
        <v>rhubarb</v>
      </c>
    </row>
    <row r="48648">
      <c r="A48648" s="1" t="s">
        <v>48647</v>
      </c>
      <c r="B48648" s="2" t="str">
        <f>IFERROR(__xludf.DUMMYFUNCTION("GOOGLETRANSLATE(A48648, ""de"", ""en"")"),"eames")</f>
        <v>eames</v>
      </c>
    </row>
    <row r="48649">
      <c r="A48649" s="1" t="s">
        <v>48648</v>
      </c>
      <c r="B48649" s="2" t="str">
        <f>IFERROR(__xludf.DUMMYFUNCTION("GOOGLETRANSLATE(A48649, ""de"", ""en"")"),"beginner mistake")</f>
        <v>beginner mistake</v>
      </c>
    </row>
    <row r="48650">
      <c r="A48650" s="1" t="s">
        <v>48649</v>
      </c>
      <c r="B48650" s="2" t="str">
        <f>IFERROR(__xludf.DUMMYFUNCTION("GOOGLETRANSLATE(A48650, ""de"", ""en"")"),"kittridge")</f>
        <v>kittridge</v>
      </c>
    </row>
    <row r="48651">
      <c r="A48651" s="1" t="s">
        <v>48650</v>
      </c>
      <c r="B48651" s="2" t="str">
        <f>IFERROR(__xludf.DUMMYFUNCTION("GOOGLETRANSLATE(A48651, ""de"", ""en"")"),"Hauptsturmführer")</f>
        <v>Hauptsturmführer</v>
      </c>
    </row>
    <row r="48652">
      <c r="A48652" s="1" t="s">
        <v>48651</v>
      </c>
      <c r="B48652" s="2" t="str">
        <f>IFERROR(__xludf.DUMMYFUNCTION("GOOGLETRANSLATE(A48652, ""de"", ""en"")"),"lecturers")</f>
        <v>lecturers</v>
      </c>
    </row>
    <row r="48653">
      <c r="A48653" s="1" t="s">
        <v>48652</v>
      </c>
      <c r="B48653" s="2" t="str">
        <f>IFERROR(__xludf.DUMMYFUNCTION("GOOGLETRANSLATE(A48653, ""de"", ""en"")"),"seriously")</f>
        <v>seriously</v>
      </c>
    </row>
    <row r="48654">
      <c r="A48654" s="1" t="s">
        <v>48653</v>
      </c>
      <c r="B48654" s="2" t="str">
        <f>IFERROR(__xludf.DUMMYFUNCTION("GOOGLETRANSLATE(A48654, ""de"", ""en"")"),"gla")</f>
        <v>gla</v>
      </c>
    </row>
    <row r="48655">
      <c r="A48655" s="1" t="s">
        <v>48654</v>
      </c>
      <c r="B48655" s="2" t="str">
        <f>IFERROR(__xludf.DUMMYFUNCTION("GOOGLETRANSLATE(A48655, ""de"", ""en"")"),"Pompey")</f>
        <v>Pompey</v>
      </c>
    </row>
    <row r="48656">
      <c r="A48656" s="1" t="s">
        <v>48655</v>
      </c>
      <c r="B48656" s="2" t="str">
        <f>IFERROR(__xludf.DUMMYFUNCTION("GOOGLETRANSLATE(A48656, ""de"", ""en"")"),"babble")</f>
        <v>babble</v>
      </c>
    </row>
    <row r="48657">
      <c r="A48657" s="1" t="s">
        <v>48656</v>
      </c>
      <c r="B48657" s="2" t="str">
        <f>IFERROR(__xludf.DUMMYFUNCTION("GOOGLETRANSLATE(A48657, ""de"", ""en"")"),"maciste")</f>
        <v>maciste</v>
      </c>
    </row>
    <row r="48658">
      <c r="A48658" s="1" t="s">
        <v>48657</v>
      </c>
      <c r="B48658" s="2" t="str">
        <f>IFERROR(__xludf.DUMMYFUNCTION("GOOGLETRANSLATE(A48658, ""de"", ""en"")"),"to postpone")</f>
        <v>to postpone</v>
      </c>
    </row>
    <row r="48659">
      <c r="A48659" s="1" t="s">
        <v>48658</v>
      </c>
      <c r="B48659" s="2" t="str">
        <f>IFERROR(__xludf.DUMMYFUNCTION("GOOGLETRANSLATE(A48659, ""de"", ""en"")"),"made away")</f>
        <v>made away</v>
      </c>
    </row>
    <row r="48660">
      <c r="A48660" s="1" t="s">
        <v>48659</v>
      </c>
      <c r="B48660" s="2" t="str">
        <f>IFERROR(__xludf.DUMMYFUNCTION("GOOGLETRANSLATE(A48660, ""de"", ""en"")"),"margery")</f>
        <v>margery</v>
      </c>
    </row>
    <row r="48661">
      <c r="A48661" s="1" t="s">
        <v>48660</v>
      </c>
      <c r="B48661" s="2" t="str">
        <f>IFERROR(__xludf.DUMMYFUNCTION("GOOGLETRANSLATE(A48661, ""de"", ""en"")"),"ledger")</f>
        <v>ledger</v>
      </c>
    </row>
    <row r="48662">
      <c r="A48662" s="1" t="s">
        <v>48661</v>
      </c>
      <c r="B48662" s="2" t="str">
        <f>IFERROR(__xludf.DUMMYFUNCTION("GOOGLETRANSLATE(A48662, ""de"", ""en"")"),"fell asleep")</f>
        <v>fell asleep</v>
      </c>
    </row>
    <row r="48663">
      <c r="A48663" s="1" t="s">
        <v>48662</v>
      </c>
      <c r="B48663" s="2" t="str">
        <f>IFERROR(__xludf.DUMMYFUNCTION("GOOGLETRANSLATE(A48663, ""de"", ""en"")"),"ghost ship")</f>
        <v>ghost ship</v>
      </c>
    </row>
    <row r="48664">
      <c r="A48664" s="1" t="s">
        <v>48663</v>
      </c>
      <c r="B48664" s="2" t="str">
        <f>IFERROR(__xludf.DUMMYFUNCTION("GOOGLETRANSLATE(A48664, ""de"", ""en"")"),"cricket")</f>
        <v>cricket</v>
      </c>
    </row>
    <row r="48665">
      <c r="A48665" s="1" t="s">
        <v>48664</v>
      </c>
      <c r="B48665" s="2" t="str">
        <f>IFERROR(__xludf.DUMMYFUNCTION("GOOGLETRANSLATE(A48665, ""de"", ""en"")"),"driving test")</f>
        <v>driving test</v>
      </c>
    </row>
    <row r="48666">
      <c r="A48666" s="1" t="s">
        <v>48665</v>
      </c>
      <c r="B48666" s="2" t="str">
        <f>IFERROR(__xludf.DUMMYFUNCTION("GOOGLETRANSLATE(A48666, ""de"", ""en"")"),"lowered")</f>
        <v>lowered</v>
      </c>
    </row>
    <row r="48667">
      <c r="A48667" s="1" t="s">
        <v>48666</v>
      </c>
      <c r="B48667" s="2" t="str">
        <f>IFERROR(__xludf.DUMMYFUNCTION("GOOGLETRANSLATE(A48667, ""de"", ""en"")"),"scoop")</f>
        <v>scoop</v>
      </c>
    </row>
    <row r="48668">
      <c r="A48668" s="1" t="s">
        <v>48667</v>
      </c>
      <c r="B48668" s="2" t="str">
        <f>IFERROR(__xludf.DUMMYFUNCTION("GOOGLETRANSLATE(A48668, ""de"", ""en"")"),"contributed")</f>
        <v>contributed</v>
      </c>
    </row>
    <row r="48669">
      <c r="A48669" s="1" t="s">
        <v>48668</v>
      </c>
      <c r="B48669" s="2" t="str">
        <f>IFERROR(__xludf.DUMMYFUNCTION("GOOGLETRANSLATE(A48669, ""de"", ""en"")"),"bitter")</f>
        <v>bitter</v>
      </c>
    </row>
    <row r="48670">
      <c r="A48670" s="1" t="s">
        <v>48669</v>
      </c>
      <c r="B48670" s="2" t="str">
        <f>IFERROR(__xludf.DUMMYFUNCTION("GOOGLETRANSLATE(A48670, ""de"", ""en"")"),"possibility of escape")</f>
        <v>possibility of escape</v>
      </c>
    </row>
    <row r="48671">
      <c r="A48671" s="1" t="s">
        <v>48670</v>
      </c>
      <c r="B48671" s="2" t="str">
        <f>IFERROR(__xludf.DUMMYFUNCTION("GOOGLETRANSLATE(A48671, ""de"", ""en"")"),"porta")</f>
        <v>porta</v>
      </c>
    </row>
    <row r="48672">
      <c r="A48672" s="1" t="s">
        <v>48671</v>
      </c>
      <c r="B48672" s="2" t="str">
        <f>IFERROR(__xludf.DUMMYFUNCTION("GOOGLETRANSLATE(A48672, ""de"", ""en"")"),"jeter")</f>
        <v>jeter</v>
      </c>
    </row>
    <row r="48673">
      <c r="A48673" s="1" t="s">
        <v>48672</v>
      </c>
      <c r="B48673" s="2" t="str">
        <f>IFERROR(__xludf.DUMMYFUNCTION("GOOGLETRANSLATE(A48673, ""de"", ""en"")"),"streams")</f>
        <v>streams</v>
      </c>
    </row>
    <row r="48674">
      <c r="A48674" s="1" t="s">
        <v>48673</v>
      </c>
      <c r="B48674" s="2" t="str">
        <f>IFERROR(__xludf.DUMMYFUNCTION("GOOGLETRANSLATE(A48674, ""de"", ""en"")"),"rites")</f>
        <v>rites</v>
      </c>
    </row>
    <row r="48675">
      <c r="A48675" s="1" t="s">
        <v>48674</v>
      </c>
      <c r="B48675" s="2" t="str">
        <f>IFERROR(__xludf.DUMMYFUNCTION("GOOGLETRANSLATE(A48675, ""de"", ""en"")"),"bastion")</f>
        <v>bastion</v>
      </c>
    </row>
    <row r="48676">
      <c r="A48676" s="1" t="s">
        <v>48675</v>
      </c>
      <c r="B48676" s="2" t="str">
        <f>IFERROR(__xludf.DUMMYFUNCTION("GOOGLETRANSLATE(A48676, ""de"", ""en"")"),"I'm allowed")</f>
        <v>I'm allowed</v>
      </c>
    </row>
    <row r="48677">
      <c r="A48677" s="1" t="s">
        <v>48676</v>
      </c>
      <c r="B48677" s="2" t="str">
        <f>IFERROR(__xludf.DUMMYFUNCTION("GOOGLETRANSLATE(A48677, ""de"", ""en"")"),"increasing")</f>
        <v>increasing</v>
      </c>
    </row>
    <row r="48678">
      <c r="A48678" s="1" t="s">
        <v>48677</v>
      </c>
      <c r="B48678" s="2" t="str">
        <f>IFERROR(__xludf.DUMMYFUNCTION("GOOGLETRANSLATE(A48678, ""de"", ""en"")"),"mildly")</f>
        <v>mildly</v>
      </c>
    </row>
    <row r="48679">
      <c r="A48679" s="1" t="s">
        <v>48678</v>
      </c>
      <c r="B48679" s="2" t="str">
        <f>IFERROR(__xludf.DUMMYFUNCTION("GOOGLETRANSLATE(A48679, ""de"", ""en"")"),"Aladdin")</f>
        <v>Aladdin</v>
      </c>
    </row>
    <row r="48680">
      <c r="A48680" s="1" t="s">
        <v>48679</v>
      </c>
      <c r="B48680" s="2" t="str">
        <f>IFERROR(__xludf.DUMMYFUNCTION("GOOGLETRANSLATE(A48680, ""de"", ""en"")"),"knocks")</f>
        <v>knocks</v>
      </c>
    </row>
    <row r="48681">
      <c r="A48681" s="1" t="s">
        <v>48680</v>
      </c>
      <c r="B48681" s="2" t="str">
        <f>IFERROR(__xludf.DUMMYFUNCTION("GOOGLETRANSLATE(A48681, ""de"", ""en"")"),"drug deals")</f>
        <v>drug deals</v>
      </c>
    </row>
    <row r="48682">
      <c r="A48682" s="1" t="s">
        <v>48681</v>
      </c>
      <c r="B48682" s="2" t="str">
        <f>IFERROR(__xludf.DUMMYFUNCTION("GOOGLETRANSLATE(A48682, ""de"", ""en"")"),"tachibana")</f>
        <v>tachibana</v>
      </c>
    </row>
    <row r="48683">
      <c r="A48683" s="1" t="s">
        <v>48682</v>
      </c>
      <c r="B48683" s="2" t="str">
        <f>IFERROR(__xludf.DUMMYFUNCTION("GOOGLETRANSLATE(A48683, ""de"", ""en"")"),"Bahrain")</f>
        <v>Bahrain</v>
      </c>
    </row>
    <row r="48684">
      <c r="A48684" s="1" t="s">
        <v>48683</v>
      </c>
      <c r="B48684" s="2" t="str">
        <f>IFERROR(__xludf.DUMMYFUNCTION("GOOGLETRANSLATE(A48684, ""de"", ""en"")"),"tabloids")</f>
        <v>tabloids</v>
      </c>
    </row>
    <row r="48685">
      <c r="A48685" s="1" t="s">
        <v>48684</v>
      </c>
      <c r="B48685" s="2" t="str">
        <f>IFERROR(__xludf.DUMMYFUNCTION("GOOGLETRANSLATE(A48685, ""de"", ""en"")"),"theron")</f>
        <v>theron</v>
      </c>
    </row>
    <row r="48686">
      <c r="A48686" s="1" t="s">
        <v>48685</v>
      </c>
      <c r="B48686" s="2" t="str">
        <f>IFERROR(__xludf.DUMMYFUNCTION("GOOGLETRANSLATE(A48686, ""de"", ""en"")"),"underlined")</f>
        <v>underlined</v>
      </c>
    </row>
    <row r="48687">
      <c r="A48687" s="1" t="s">
        <v>48686</v>
      </c>
      <c r="B48687" s="2" t="str">
        <f>IFERROR(__xludf.DUMMYFUNCTION("GOOGLETRANSLATE(A48687, ""de"", ""en"")"),"paranormal")</f>
        <v>paranormal</v>
      </c>
    </row>
    <row r="48688">
      <c r="A48688" s="1" t="s">
        <v>48687</v>
      </c>
      <c r="B48688" s="2" t="str">
        <f>IFERROR(__xludf.DUMMYFUNCTION("GOOGLETRANSLATE(A48688, ""de"", ""en"")"),"dessler")</f>
        <v>dessler</v>
      </c>
    </row>
    <row r="48689">
      <c r="A48689" s="1" t="s">
        <v>48688</v>
      </c>
      <c r="B48689" s="2" t="str">
        <f>IFERROR(__xludf.DUMMYFUNCTION("GOOGLETRANSLATE(A48689, ""de"", ""en"")"),"tribbles")</f>
        <v>tribbles</v>
      </c>
    </row>
    <row r="48690">
      <c r="A48690" s="1" t="s">
        <v>48689</v>
      </c>
      <c r="B48690" s="2" t="str">
        <f>IFERROR(__xludf.DUMMYFUNCTION("GOOGLETRANSLATE(A48690, ""de"", ""en"")"),"Admiralty")</f>
        <v>Admiralty</v>
      </c>
    </row>
    <row r="48691">
      <c r="A48691" s="1" t="s">
        <v>48690</v>
      </c>
      <c r="B48691" s="2" t="str">
        <f>IFERROR(__xludf.DUMMYFUNCTION("GOOGLETRANSLATE(A48691, ""de"", ""en"")"),"wellesley")</f>
        <v>wellesley</v>
      </c>
    </row>
    <row r="48692">
      <c r="A48692" s="1" t="s">
        <v>48691</v>
      </c>
      <c r="B48692" s="2" t="str">
        <f>IFERROR(__xludf.DUMMYFUNCTION("GOOGLETRANSLATE(A48692, ""de"", ""en"")"),"borsch")</f>
        <v>borsch</v>
      </c>
    </row>
    <row r="48693">
      <c r="A48693" s="1" t="s">
        <v>48692</v>
      </c>
      <c r="B48693" s="2" t="str">
        <f>IFERROR(__xludf.DUMMYFUNCTION("GOOGLETRANSLATE(A48693, ""de"", ""en"")"),"myspace")</f>
        <v>myspace</v>
      </c>
    </row>
    <row r="48694">
      <c r="A48694" s="1" t="s">
        <v>48693</v>
      </c>
      <c r="B48694" s="2" t="str">
        <f>IFERROR(__xludf.DUMMYFUNCTION("GOOGLETRANSLATE(A48694, ""de"", ""en"")"),"feel")</f>
        <v>feel</v>
      </c>
    </row>
    <row r="48695">
      <c r="A48695" s="1" t="s">
        <v>48694</v>
      </c>
      <c r="B48695" s="2" t="str">
        <f>IFERROR(__xludf.DUMMYFUNCTION("GOOGLETRANSLATE(A48695, ""de"", ""en"")"),"discoloration")</f>
        <v>discoloration</v>
      </c>
    </row>
    <row r="48696">
      <c r="A48696" s="1" t="s">
        <v>48695</v>
      </c>
      <c r="B48696" s="2" t="str">
        <f>IFERROR(__xludf.DUMMYFUNCTION("GOOGLETRANSLATE(A48696, ""de"", ""en"")"),"Berner")</f>
        <v>Berner</v>
      </c>
    </row>
    <row r="48697">
      <c r="A48697" s="1" t="s">
        <v>48696</v>
      </c>
      <c r="B48697" s="2" t="str">
        <f>IFERROR(__xludf.DUMMYFUNCTION("GOOGLETRANSLATE(A48697, ""de"", ""en"")"),"sea ​​bass")</f>
        <v>sea ​​bass</v>
      </c>
    </row>
    <row r="48698">
      <c r="A48698" s="1" t="s">
        <v>48697</v>
      </c>
      <c r="B48698" s="2" t="str">
        <f>IFERROR(__xludf.DUMMYFUNCTION("GOOGLETRANSLATE(A48698, ""de"", ""en"")"),"single parent")</f>
        <v>single parent</v>
      </c>
    </row>
    <row r="48699">
      <c r="A48699" s="1" t="s">
        <v>48698</v>
      </c>
      <c r="B48699" s="2" t="str">
        <f>IFERROR(__xludf.DUMMYFUNCTION("GOOGLETRANSLATE(A48699, ""de"", ""en"")"),"mathers")</f>
        <v>mathers</v>
      </c>
    </row>
    <row r="48700">
      <c r="A48700" s="1" t="s">
        <v>48699</v>
      </c>
      <c r="B48700" s="2" t="str">
        <f>IFERROR(__xludf.DUMMYFUNCTION("GOOGLETRANSLATE(A48700, ""de"", ""en"")"),"assassination")</f>
        <v>assassination</v>
      </c>
    </row>
    <row r="48701">
      <c r="A48701" s="1" t="s">
        <v>48700</v>
      </c>
      <c r="B48701" s="2" t="str">
        <f>IFERROR(__xludf.DUMMYFUNCTION("GOOGLETRANSLATE(A48701, ""de"", ""en"")"),"pressure bandage")</f>
        <v>pressure bandage</v>
      </c>
    </row>
    <row r="48702">
      <c r="A48702" s="1" t="s">
        <v>48701</v>
      </c>
      <c r="B48702" s="2" t="str">
        <f>IFERROR(__xludf.DUMMYFUNCTION("GOOGLETRANSLATE(A48702, ""de"", ""en"")"),"occur")</f>
        <v>occur</v>
      </c>
    </row>
    <row r="48703">
      <c r="A48703" s="1" t="s">
        <v>48702</v>
      </c>
      <c r="B48703" s="2" t="str">
        <f>IFERROR(__xludf.DUMMYFUNCTION("GOOGLETRANSLATE(A48703, ""de"", ""en"")"),"pharaoh")</f>
        <v>pharaoh</v>
      </c>
    </row>
    <row r="48704">
      <c r="A48704" s="1" t="s">
        <v>48703</v>
      </c>
      <c r="B48704" s="2" t="str">
        <f>IFERROR(__xludf.DUMMYFUNCTION("GOOGLETRANSLATE(A48704, ""de"", ""en"")"),"charming")</f>
        <v>charming</v>
      </c>
    </row>
    <row r="48705">
      <c r="A48705" s="1" t="s">
        <v>48704</v>
      </c>
      <c r="B48705" s="2" t="str">
        <f>IFERROR(__xludf.DUMMYFUNCTION("GOOGLETRANSLATE(A48705, ""de"", ""en"")"),"bigamy")</f>
        <v>bigamy</v>
      </c>
    </row>
    <row r="48706">
      <c r="A48706" s="1" t="s">
        <v>48705</v>
      </c>
      <c r="B48706" s="2" t="str">
        <f>IFERROR(__xludf.DUMMYFUNCTION("GOOGLETRANSLATE(A48706, ""de"", ""en"")"),"proctor")</f>
        <v>proctor</v>
      </c>
    </row>
    <row r="48707">
      <c r="A48707" s="1" t="s">
        <v>48706</v>
      </c>
      <c r="B48707" s="2" t="str">
        <f>IFERROR(__xludf.DUMMYFUNCTION("GOOGLETRANSLATE(A48707, ""de"", ""en"")"),"majesty")</f>
        <v>majesty</v>
      </c>
    </row>
    <row r="48708">
      <c r="A48708" s="1" t="s">
        <v>48707</v>
      </c>
      <c r="B48708" s="2" t="str">
        <f>IFERROR(__xludf.DUMMYFUNCTION("GOOGLETRANSLATE(A48708, ""de"", ""en"")"),"beggar")</f>
        <v>beggar</v>
      </c>
    </row>
    <row r="48709">
      <c r="A48709" s="1" t="s">
        <v>48708</v>
      </c>
      <c r="B48709" s="2" t="str">
        <f>IFERROR(__xludf.DUMMYFUNCTION("GOOGLETRANSLATE(A48709, ""de"", ""en"")"),"eaton")</f>
        <v>eaton</v>
      </c>
    </row>
    <row r="48710">
      <c r="A48710" s="1" t="s">
        <v>48709</v>
      </c>
      <c r="B48710" s="2" t="str">
        <f>IFERROR(__xludf.DUMMYFUNCTION("GOOGLETRANSLATE(A48710, ""de"", ""en"")"),"burst in")</f>
        <v>burst in</v>
      </c>
    </row>
    <row r="48711">
      <c r="A48711" s="1" t="s">
        <v>48710</v>
      </c>
      <c r="B48711" s="2" t="str">
        <f>IFERROR(__xludf.DUMMYFUNCTION("GOOGLETRANSLATE(A48711, ""de"", ""en"")"),"jockeys")</f>
        <v>jockeys</v>
      </c>
    </row>
    <row r="48712">
      <c r="A48712" s="1" t="s">
        <v>48711</v>
      </c>
      <c r="B48712" s="2" t="str">
        <f>IFERROR(__xludf.DUMMYFUNCTION("GOOGLETRANSLATE(A48712, ""de"", ""en"")"),"abbe")</f>
        <v>abbe</v>
      </c>
    </row>
    <row r="48713">
      <c r="A48713" s="1" t="s">
        <v>48712</v>
      </c>
      <c r="B48713" s="2" t="str">
        <f>IFERROR(__xludf.DUMMYFUNCTION("GOOGLETRANSLATE(A48713, ""de"", ""en"")"),"magma")</f>
        <v>magma</v>
      </c>
    </row>
    <row r="48714">
      <c r="A48714" s="1" t="s">
        <v>48713</v>
      </c>
      <c r="B48714" s="2" t="str">
        <f>IFERROR(__xludf.DUMMYFUNCTION("GOOGLETRANSLATE(A48714, ""de"", ""en"")"),"ramada")</f>
        <v>ramada</v>
      </c>
    </row>
    <row r="48715">
      <c r="A48715" s="1" t="s">
        <v>48714</v>
      </c>
      <c r="B48715" s="2" t="str">
        <f>IFERROR(__xludf.DUMMYFUNCTION("GOOGLETRANSLATE(A48715, ""de"", ""en"")"),"battered")</f>
        <v>battered</v>
      </c>
    </row>
    <row r="48716">
      <c r="A48716" s="1" t="s">
        <v>48715</v>
      </c>
      <c r="B48716" s="2" t="str">
        <f>IFERROR(__xludf.DUMMYFUNCTION("GOOGLETRANSLATE(A48716, ""de"", ""en"")"),"anthropologist")</f>
        <v>anthropologist</v>
      </c>
    </row>
    <row r="48717">
      <c r="A48717" s="1" t="s">
        <v>48716</v>
      </c>
      <c r="B48717" s="2" t="str">
        <f>IFERROR(__xludf.DUMMYFUNCTION("GOOGLETRANSLATE(A48717, ""de"", ""en"")"),"strenuous")</f>
        <v>strenuous</v>
      </c>
    </row>
    <row r="48718">
      <c r="A48718" s="1" t="s">
        <v>48717</v>
      </c>
      <c r="B48718" s="2" t="str">
        <f>IFERROR(__xludf.DUMMYFUNCTION("GOOGLETRANSLATE(A48718, ""de"", ""en"")"),"Tabasco")</f>
        <v>Tabasco</v>
      </c>
    </row>
    <row r="48719">
      <c r="A48719" s="1" t="s">
        <v>48718</v>
      </c>
      <c r="B48719" s="2" t="str">
        <f>IFERROR(__xludf.DUMMYFUNCTION("GOOGLETRANSLATE(A48719, ""de"", ""en"")"),"Christmas story")</f>
        <v>Christmas story</v>
      </c>
    </row>
    <row r="48720">
      <c r="A48720" s="1" t="s">
        <v>48719</v>
      </c>
      <c r="B48720" s="2" t="str">
        <f>IFERROR(__xludf.DUMMYFUNCTION("GOOGLETRANSLATE(A48720, ""de"", ""en"")"),"rust")</f>
        <v>rust</v>
      </c>
    </row>
    <row r="48721">
      <c r="A48721" s="1" t="s">
        <v>48720</v>
      </c>
      <c r="B48721" s="2" t="str">
        <f>IFERROR(__xludf.DUMMYFUNCTION("GOOGLETRANSLATE(A48721, ""de"", ""en"")"),"blur")</f>
        <v>blur</v>
      </c>
    </row>
    <row r="48722">
      <c r="A48722" s="1" t="s">
        <v>48721</v>
      </c>
      <c r="B48722" s="2" t="str">
        <f>IFERROR(__xludf.DUMMYFUNCTION("GOOGLETRANSLATE(A48722, ""de"", ""en"")"),"urinates")</f>
        <v>urinates</v>
      </c>
    </row>
    <row r="48723">
      <c r="A48723" s="1" t="s">
        <v>48722</v>
      </c>
      <c r="B48723" s="2" t="str">
        <f>IFERROR(__xludf.DUMMYFUNCTION("GOOGLETRANSLATE(A48723, ""de"", ""en"")"),"has it")</f>
        <v>has it</v>
      </c>
    </row>
    <row r="48724">
      <c r="A48724" s="1" t="s">
        <v>48723</v>
      </c>
      <c r="B48724" s="2" t="str">
        <f>IFERROR(__xludf.DUMMYFUNCTION("GOOGLETRANSLATE(A48724, ""de"", ""en"")"),"hunter")</f>
        <v>hunter</v>
      </c>
    </row>
    <row r="48725">
      <c r="A48725" s="1" t="s">
        <v>48724</v>
      </c>
      <c r="B48725" s="2" t="str">
        <f>IFERROR(__xludf.DUMMYFUNCTION("GOOGLETRANSLATE(A48725, ""de"", ""en"")"),"presented")</f>
        <v>presented</v>
      </c>
    </row>
    <row r="48726">
      <c r="A48726" s="1" t="s">
        <v>48725</v>
      </c>
      <c r="B48726" s="2" t="str">
        <f>IFERROR(__xludf.DUMMYFUNCTION("GOOGLETRANSLATE(A48726, ""de"", ""en"")"),"adventurous")</f>
        <v>adventurous</v>
      </c>
    </row>
    <row r="48727">
      <c r="A48727" s="1" t="s">
        <v>48726</v>
      </c>
      <c r="B48727" s="2" t="str">
        <f>IFERROR(__xludf.DUMMYFUNCTION("GOOGLETRANSLATE(A48727, ""de"", ""en"")"),"hydrangeas")</f>
        <v>hydrangeas</v>
      </c>
    </row>
    <row r="48728">
      <c r="A48728" s="1" t="s">
        <v>48727</v>
      </c>
      <c r="B48728" s="2" t="str">
        <f>IFERROR(__xludf.DUMMYFUNCTION("GOOGLETRANSLATE(A48728, ""de"", ""en"")"),"drill")</f>
        <v>drill</v>
      </c>
    </row>
    <row r="48729">
      <c r="A48729" s="1" t="s">
        <v>48728</v>
      </c>
      <c r="B48729" s="2" t="str">
        <f>IFERROR(__xludf.DUMMYFUNCTION("GOOGLETRANSLATE(A48729, ""de"", ""en"")"),"villette")</f>
        <v>villette</v>
      </c>
    </row>
    <row r="48730">
      <c r="A48730" s="1" t="s">
        <v>48729</v>
      </c>
      <c r="B48730" s="2" t="str">
        <f>IFERROR(__xludf.DUMMYFUNCTION("GOOGLETRANSLATE(A48730, ""de"", ""en"")"),"honorary")</f>
        <v>honorary</v>
      </c>
    </row>
    <row r="48731">
      <c r="A48731" s="1" t="s">
        <v>48730</v>
      </c>
      <c r="B48731" s="2" t="str">
        <f>IFERROR(__xludf.DUMMYFUNCTION("GOOGLETRANSLATE(A48731, ""de"", ""en"")"),"mechanic")</f>
        <v>mechanic</v>
      </c>
    </row>
    <row r="48732">
      <c r="A48732" s="1" t="s">
        <v>48731</v>
      </c>
      <c r="B48732" s="2" t="str">
        <f>IFERROR(__xludf.DUMMYFUNCTION("GOOGLETRANSLATE(A48732, ""de"", ""en"")"),"ghost story")</f>
        <v>ghost story</v>
      </c>
    </row>
    <row r="48733">
      <c r="A48733" s="1" t="s">
        <v>48732</v>
      </c>
      <c r="B48733" s="2" t="str">
        <f>IFERROR(__xludf.DUMMYFUNCTION("GOOGLETRANSLATE(A48733, ""de"", ""en"")"),"rambaldis")</f>
        <v>rambaldis</v>
      </c>
    </row>
    <row r="48734">
      <c r="A48734" s="1" t="s">
        <v>48733</v>
      </c>
      <c r="B48734" s="2" t="str">
        <f>IFERROR(__xludf.DUMMYFUNCTION("GOOGLETRANSLATE(A48734, ""de"", ""en"")"),"unpunctual")</f>
        <v>unpunctual</v>
      </c>
    </row>
    <row r="48735">
      <c r="A48735" s="1" t="s">
        <v>48734</v>
      </c>
      <c r="B48735" s="2" t="str">
        <f>IFERROR(__xludf.DUMMYFUNCTION("GOOGLETRANSLATE(A48735, ""de"", ""en"")"),"mccoys")</f>
        <v>mccoys</v>
      </c>
    </row>
    <row r="48736">
      <c r="A48736" s="1" t="s">
        <v>48735</v>
      </c>
      <c r="B48736" s="2" t="str">
        <f>IFERROR(__xludf.DUMMYFUNCTION("GOOGLETRANSLATE(A48736, ""de"", ""en"")"),"kulle")</f>
        <v>kulle</v>
      </c>
    </row>
    <row r="48737">
      <c r="A48737" s="1" t="s">
        <v>48736</v>
      </c>
      <c r="B48737" s="2" t="str">
        <f>IFERROR(__xludf.DUMMYFUNCTION("GOOGLETRANSLATE(A48737, ""de"", ""en"")"),"hedda")</f>
        <v>hedda</v>
      </c>
    </row>
    <row r="48738">
      <c r="A48738" s="1" t="s">
        <v>48737</v>
      </c>
      <c r="B48738" s="2" t="str">
        <f>IFERROR(__xludf.DUMMYFUNCTION("GOOGLETRANSLATE(A48738, ""de"", ""en"")"),"air conditioning")</f>
        <v>air conditioning</v>
      </c>
    </row>
    <row r="48739">
      <c r="A48739" s="1" t="s">
        <v>48738</v>
      </c>
      <c r="B48739" s="2" t="str">
        <f>IFERROR(__xludf.DUMMYFUNCTION("GOOGLETRANSLATE(A48739, ""de"", ""en"")"),"gurney")</f>
        <v>gurney</v>
      </c>
    </row>
    <row r="48740">
      <c r="A48740" s="1" t="s">
        <v>48739</v>
      </c>
      <c r="B48740" s="2" t="str">
        <f>IFERROR(__xludf.DUMMYFUNCTION("GOOGLETRANSLATE(A48740, ""de"", ""en"")"),"principal")</f>
        <v>principal</v>
      </c>
    </row>
    <row r="48741">
      <c r="A48741" s="1" t="s">
        <v>48740</v>
      </c>
      <c r="B48741" s="2" t="str">
        <f>IFERROR(__xludf.DUMMYFUNCTION("GOOGLETRANSLATE(A48741, ""de"", ""en"")"),"kimchi")</f>
        <v>kimchi</v>
      </c>
    </row>
    <row r="48742">
      <c r="A48742" s="1" t="s">
        <v>48741</v>
      </c>
      <c r="B48742" s="2" t="str">
        <f>IFERROR(__xludf.DUMMYFUNCTION("GOOGLETRANSLATE(A48742, ""de"", ""en"")"),"disapproved")</f>
        <v>disapproved</v>
      </c>
    </row>
    <row r="48743">
      <c r="A48743" s="1" t="s">
        <v>48742</v>
      </c>
      <c r="B48743" s="2" t="str">
        <f>IFERROR(__xludf.DUMMYFUNCTION("GOOGLETRANSLATE(A48743, ""de"", ""en"")"),"agreement")</f>
        <v>agreement</v>
      </c>
    </row>
    <row r="48744">
      <c r="A48744" s="1" t="s">
        <v>48743</v>
      </c>
      <c r="B48744" s="2" t="str">
        <f>IFERROR(__xludf.DUMMYFUNCTION("GOOGLETRANSLATE(A48744, ""de"", ""en"")"),"war injury")</f>
        <v>war injury</v>
      </c>
    </row>
    <row r="48745">
      <c r="A48745" s="1" t="s">
        <v>48744</v>
      </c>
      <c r="B48745" s="2" t="str">
        <f>IFERROR(__xludf.DUMMYFUNCTION("GOOGLETRANSLATE(A48745, ""de"", ""en"")"),"walts")</f>
        <v>walts</v>
      </c>
    </row>
    <row r="48746">
      <c r="A48746" s="1" t="s">
        <v>48745</v>
      </c>
      <c r="B48746" s="2" t="str">
        <f>IFERROR(__xludf.DUMMYFUNCTION("GOOGLETRANSLATE(A48746, ""de"", ""en"")"),"lethal")</f>
        <v>lethal</v>
      </c>
    </row>
    <row r="48747">
      <c r="A48747" s="1" t="s">
        <v>48746</v>
      </c>
      <c r="B48747" s="2" t="str">
        <f>IFERROR(__xludf.DUMMYFUNCTION("GOOGLETRANSLATE(A48747, ""de"", ""en"")"),"sonke")</f>
        <v>sonke</v>
      </c>
    </row>
    <row r="48748">
      <c r="A48748" s="1" t="s">
        <v>48747</v>
      </c>
      <c r="B48748" s="2" t="str">
        <f>IFERROR(__xludf.DUMMYFUNCTION("GOOGLETRANSLATE(A48748, ""de"", ""en"")"),"convoys")</f>
        <v>convoys</v>
      </c>
    </row>
    <row r="48749">
      <c r="A48749" s="1" t="s">
        <v>48748</v>
      </c>
      <c r="B48749" s="2" t="str">
        <f>IFERROR(__xludf.DUMMYFUNCTION("GOOGLETRANSLATE(A48749, ""de"", ""en"")"),"steers")</f>
        <v>steers</v>
      </c>
    </row>
    <row r="48750">
      <c r="A48750" s="1" t="s">
        <v>48749</v>
      </c>
      <c r="B48750" s="2" t="str">
        <f>IFERROR(__xludf.DUMMYFUNCTION("GOOGLETRANSLATE(A48750, ""de"", ""en"")"),"tachycard")</f>
        <v>tachycard</v>
      </c>
    </row>
    <row r="48751">
      <c r="A48751" s="1" t="s">
        <v>48750</v>
      </c>
      <c r="B48751" s="2" t="str">
        <f>IFERROR(__xludf.DUMMYFUNCTION("GOOGLETRANSLATE(A48751, ""de"", ""en"")"),"right to vote")</f>
        <v>right to vote</v>
      </c>
    </row>
    <row r="48752">
      <c r="A48752" s="1" t="s">
        <v>48751</v>
      </c>
      <c r="B48752" s="2" t="str">
        <f>IFERROR(__xludf.DUMMYFUNCTION("GOOGLETRANSLATE(A48752, ""de"", ""en"")"),"Kirill")</f>
        <v>Kirill</v>
      </c>
    </row>
    <row r="48753">
      <c r="A48753" s="1" t="s">
        <v>48752</v>
      </c>
      <c r="B48753" s="2" t="str">
        <f>IFERROR(__xludf.DUMMYFUNCTION("GOOGLETRANSLATE(A48753, ""de"", ""en"")"),"most influential")</f>
        <v>most influential</v>
      </c>
    </row>
    <row r="48754">
      <c r="A48754" s="1" t="s">
        <v>48753</v>
      </c>
      <c r="B48754" s="2" t="str">
        <f>IFERROR(__xludf.DUMMYFUNCTION("GOOGLETRANSLATE(A48754, ""de"", ""en"")"),"teleportation")</f>
        <v>teleportation</v>
      </c>
    </row>
    <row r="48755">
      <c r="A48755" s="1" t="s">
        <v>48754</v>
      </c>
      <c r="B48755" s="2" t="str">
        <f>IFERROR(__xludf.DUMMYFUNCTION("GOOGLETRANSLATE(A48755, ""de"", ""en"")"),"exemplary")</f>
        <v>exemplary</v>
      </c>
    </row>
    <row r="48756">
      <c r="A48756" s="1" t="s">
        <v>48755</v>
      </c>
      <c r="B48756" s="2" t="str">
        <f>IFERROR(__xludf.DUMMYFUNCTION("GOOGLETRANSLATE(A48756, ""de"", ""en"")"),"apes")</f>
        <v>apes</v>
      </c>
    </row>
    <row r="48757">
      <c r="A48757" s="1" t="s">
        <v>48756</v>
      </c>
      <c r="B48757" s="2" t="str">
        <f>IFERROR(__xludf.DUMMYFUNCTION("GOOGLETRANSLATE(A48757, ""de"", ""en"")"),"Beasley")</f>
        <v>Beasley</v>
      </c>
    </row>
    <row r="48758">
      <c r="A48758" s="1" t="s">
        <v>48757</v>
      </c>
      <c r="B48758" s="2" t="str">
        <f>IFERROR(__xludf.DUMMYFUNCTION("GOOGLETRANSLATE(A48758, ""de"", ""en"")"),"estella")</f>
        <v>estella</v>
      </c>
    </row>
    <row r="48759">
      <c r="A48759" s="1" t="s">
        <v>48758</v>
      </c>
      <c r="B48759" s="2" t="str">
        <f>IFERROR(__xludf.DUMMYFUNCTION("GOOGLETRANSLATE(A48759, ""de"", ""en"")"),"abnormal")</f>
        <v>abnormal</v>
      </c>
    </row>
    <row r="48760">
      <c r="A48760" s="1" t="s">
        <v>48759</v>
      </c>
      <c r="B48760" s="2" t="str">
        <f>IFERROR(__xludf.DUMMYFUNCTION("GOOGLETRANSLATE(A48760, ""de"", ""en"")"),"m.k.")</f>
        <v>m.k.</v>
      </c>
    </row>
    <row r="48761">
      <c r="A48761" s="1" t="s">
        <v>48760</v>
      </c>
      <c r="B48761" s="2" t="str">
        <f>IFERROR(__xludf.DUMMYFUNCTION("GOOGLETRANSLATE(A48761, ""de"", ""en"")"),"prettier")</f>
        <v>prettier</v>
      </c>
    </row>
    <row r="48762">
      <c r="A48762" s="1" t="s">
        <v>48761</v>
      </c>
      <c r="B48762" s="2" t="str">
        <f>IFERROR(__xludf.DUMMYFUNCTION("GOOGLETRANSLATE(A48762, ""de"", ""en"")"),"strange")</f>
        <v>strange</v>
      </c>
    </row>
    <row r="48763">
      <c r="A48763" s="1" t="s">
        <v>48762</v>
      </c>
      <c r="B48763" s="2" t="str">
        <f>IFERROR(__xludf.DUMMYFUNCTION("GOOGLETRANSLATE(A48763, ""de"", ""en"")"),"rice cake")</f>
        <v>rice cake</v>
      </c>
    </row>
    <row r="48764">
      <c r="A48764" s="1" t="s">
        <v>48763</v>
      </c>
      <c r="B48764" s="2" t="str">
        <f>IFERROR(__xludf.DUMMYFUNCTION("GOOGLETRANSLATE(A48764, ""de"", ""en"")"),"gloomy")</f>
        <v>gloomy</v>
      </c>
    </row>
    <row r="48765">
      <c r="A48765" s="1" t="s">
        <v>48764</v>
      </c>
      <c r="B48765" s="2" t="str">
        <f>IFERROR(__xludf.DUMMYFUNCTION("GOOGLETRANSLATE(A48765, ""de"", ""en"")"),"uk series")</f>
        <v>uk series</v>
      </c>
    </row>
    <row r="48766">
      <c r="A48766" s="1" t="s">
        <v>48765</v>
      </c>
      <c r="B48766" s="2" t="str">
        <f>IFERROR(__xludf.DUMMYFUNCTION("GOOGLETRANSLATE(A48766, ""de"", ""en"")"),"jessas")</f>
        <v>jessas</v>
      </c>
    </row>
    <row r="48767">
      <c r="A48767" s="1" t="s">
        <v>48766</v>
      </c>
      <c r="B48767" s="2" t="str">
        <f>IFERROR(__xludf.DUMMYFUNCTION("GOOGLETRANSLATE(A48767, ""de"", ""en"")"),"leave of absence")</f>
        <v>leave of absence</v>
      </c>
    </row>
    <row r="48768">
      <c r="A48768" s="1" t="s">
        <v>48767</v>
      </c>
      <c r="B48768" s="2" t="str">
        <f>IFERROR(__xludf.DUMMYFUNCTION("GOOGLETRANSLATE(A48768, ""de"", ""en"")"),"vaccines")</f>
        <v>vaccines</v>
      </c>
    </row>
    <row r="48769">
      <c r="A48769" s="1" t="s">
        <v>48768</v>
      </c>
      <c r="B48769" s="2" t="str">
        <f>IFERROR(__xludf.DUMMYFUNCTION("GOOGLETRANSLATE(A48769, ""de"", ""en"")"),"sulfuric acid")</f>
        <v>sulfuric acid</v>
      </c>
    </row>
    <row r="48770">
      <c r="A48770" s="1" t="s">
        <v>48769</v>
      </c>
      <c r="B48770" s="2" t="str">
        <f>IFERROR(__xludf.DUMMYFUNCTION("GOOGLETRANSLATE(A48770, ""de"", ""en"")"),"seizure")</f>
        <v>seizure</v>
      </c>
    </row>
    <row r="48771">
      <c r="A48771" s="1" t="s">
        <v>48770</v>
      </c>
      <c r="B48771" s="2" t="str">
        <f>IFERROR(__xludf.DUMMYFUNCTION("GOOGLETRANSLATE(A48771, ""de"", ""en"")"),"advance payment")</f>
        <v>advance payment</v>
      </c>
    </row>
    <row r="48772">
      <c r="A48772" s="1" t="s">
        <v>48771</v>
      </c>
      <c r="B48772" s="2" t="str">
        <f>IFERROR(__xludf.DUMMYFUNCTION("GOOGLETRANSLATE(A48772, ""de"", ""en"")"),"azgeda")</f>
        <v>azgeda</v>
      </c>
    </row>
    <row r="48773">
      <c r="A48773" s="1" t="s">
        <v>48772</v>
      </c>
      <c r="B48773" s="2" t="str">
        <f>IFERROR(__xludf.DUMMYFUNCTION("GOOGLETRANSLATE(A48773, ""de"", ""en"")"),"more foreseeable")</f>
        <v>more foreseeable</v>
      </c>
    </row>
    <row r="48774">
      <c r="A48774" s="1" t="s">
        <v>48773</v>
      </c>
      <c r="B48774" s="2" t="str">
        <f>IFERROR(__xludf.DUMMYFUNCTION("GOOGLETRANSLATE(A48774, ""de"", ""en"")"),"fun")</f>
        <v>fun</v>
      </c>
    </row>
    <row r="48775">
      <c r="A48775" s="1" t="s">
        <v>48774</v>
      </c>
      <c r="B48775" s="2" t="str">
        <f>IFERROR(__xludf.DUMMYFUNCTION("GOOGLETRANSLATE(A48775, ""de"", ""en"")"),"hakuna")</f>
        <v>hakuna</v>
      </c>
    </row>
    <row r="48776">
      <c r="A48776" s="1" t="s">
        <v>48775</v>
      </c>
      <c r="B48776" s="2" t="str">
        <f>IFERROR(__xludf.DUMMYFUNCTION("GOOGLETRANSLATE(A48776, ""de"", ""en"")"),"shared")</f>
        <v>shared</v>
      </c>
    </row>
    <row r="48777">
      <c r="A48777" s="1" t="s">
        <v>48776</v>
      </c>
      <c r="B48777" s="2" t="str">
        <f>IFERROR(__xludf.DUMMYFUNCTION("GOOGLETRANSLATE(A48777, ""de"", ""en"")"),"seal")</f>
        <v>seal</v>
      </c>
    </row>
    <row r="48778">
      <c r="A48778" s="1" t="s">
        <v>48777</v>
      </c>
      <c r="B48778" s="2" t="str">
        <f>IFERROR(__xludf.DUMMYFUNCTION("GOOGLETRANSLATE(A48778, ""de"", ""en"")"),"adjust")</f>
        <v>adjust</v>
      </c>
    </row>
    <row r="48779">
      <c r="A48779" s="1" t="s">
        <v>48778</v>
      </c>
      <c r="B48779" s="2" t="str">
        <f>IFERROR(__xludf.DUMMYFUNCTION("GOOGLETRANSLATE(A48779, ""de"", ""en"")"),"angelica")</f>
        <v>angelica</v>
      </c>
    </row>
    <row r="48780">
      <c r="A48780" s="1" t="s">
        <v>48779</v>
      </c>
      <c r="B48780" s="2" t="str">
        <f>IFERROR(__xludf.DUMMYFUNCTION("GOOGLETRANSLATE(A48780, ""de"", ""en"")"),"youth friend")</f>
        <v>youth friend</v>
      </c>
    </row>
    <row r="48781">
      <c r="A48781" s="1" t="s">
        <v>48780</v>
      </c>
      <c r="B48781" s="2" t="str">
        <f>IFERROR(__xludf.DUMMYFUNCTION("GOOGLETRANSLATE(A48781, ""de"", ""en"")"),"increases")</f>
        <v>increases</v>
      </c>
    </row>
    <row r="48782">
      <c r="A48782" s="1" t="s">
        <v>48781</v>
      </c>
      <c r="B48782" s="2" t="str">
        <f>IFERROR(__xludf.DUMMYFUNCTION("GOOGLETRANSLATE(A48782, ""de"", ""en"")"),"koda")</f>
        <v>koda</v>
      </c>
    </row>
    <row r="48783">
      <c r="A48783" s="1" t="s">
        <v>48782</v>
      </c>
      <c r="B48783" s="2" t="str">
        <f>IFERROR(__xludf.DUMMYFUNCTION("GOOGLETRANSLATE(A48783, ""de"", ""en"")"),"horizontally")</f>
        <v>horizontally</v>
      </c>
    </row>
    <row r="48784">
      <c r="A48784" s="1" t="s">
        <v>48783</v>
      </c>
      <c r="B48784" s="2" t="str">
        <f>IFERROR(__xludf.DUMMYFUNCTION("GOOGLETRANSLATE(A48784, ""de"", ""en"")"),"need")</f>
        <v>need</v>
      </c>
    </row>
    <row r="48785">
      <c r="A48785" s="1" t="s">
        <v>48784</v>
      </c>
      <c r="B48785" s="2" t="str">
        <f>IFERROR(__xludf.DUMMYFUNCTION("GOOGLETRANSLATE(A48785, ""de"", ""en"")"),"training camp")</f>
        <v>training camp</v>
      </c>
    </row>
    <row r="48786">
      <c r="A48786" s="1" t="s">
        <v>48785</v>
      </c>
      <c r="B48786" s="2" t="str">
        <f>IFERROR(__xludf.DUMMYFUNCTION("GOOGLETRANSLATE(A48786, ""de"", ""en"")"),"salary")</f>
        <v>salary</v>
      </c>
    </row>
    <row r="48787">
      <c r="A48787" s="1" t="s">
        <v>48786</v>
      </c>
      <c r="B48787" s="2" t="str">
        <f>IFERROR(__xludf.DUMMYFUNCTION("GOOGLETRANSLATE(A48787, ""de"", ""en"")"),"strikebreakers")</f>
        <v>strikebreakers</v>
      </c>
    </row>
    <row r="48788">
      <c r="A48788" s="1" t="s">
        <v>48787</v>
      </c>
      <c r="B48788" s="2" t="str">
        <f>IFERROR(__xludf.DUMMYFUNCTION("GOOGLETRANSLATE(A48788, ""de"", ""en"")"),"bunting")</f>
        <v>bunting</v>
      </c>
    </row>
    <row r="48789">
      <c r="A48789" s="1" t="s">
        <v>48788</v>
      </c>
      <c r="B48789" s="2" t="str">
        <f>IFERROR(__xludf.DUMMYFUNCTION("GOOGLETRANSLATE(A48789, ""de"", ""en"")"),"spirits")</f>
        <v>spirits</v>
      </c>
    </row>
    <row r="48790">
      <c r="A48790" s="1" t="s">
        <v>48789</v>
      </c>
      <c r="B48790" s="2" t="str">
        <f>IFERROR(__xludf.DUMMYFUNCTION("GOOGLETRANSLATE(A48790, ""de"", ""en"")"),"signed")</f>
        <v>signed</v>
      </c>
    </row>
    <row r="48791">
      <c r="A48791" s="1" t="s">
        <v>48790</v>
      </c>
      <c r="B48791" s="2" t="str">
        <f>IFERROR(__xludf.DUMMYFUNCTION("GOOGLETRANSLATE(A48791, ""de"", ""en"")"),"melancholy")</f>
        <v>melancholy</v>
      </c>
    </row>
    <row r="48792">
      <c r="A48792" s="1" t="s">
        <v>48791</v>
      </c>
      <c r="B48792" s="2" t="str">
        <f>IFERROR(__xludf.DUMMYFUNCTION("GOOGLETRANSLATE(A48792, ""de"", ""en"")"),"more strategic")</f>
        <v>more strategic</v>
      </c>
    </row>
    <row r="48793">
      <c r="A48793" s="1" t="s">
        <v>48792</v>
      </c>
      <c r="B48793" s="2" t="str">
        <f>IFERROR(__xludf.DUMMYFUNCTION("GOOGLETRANSLATE(A48793, ""de"", ""en"")"),"tiara")</f>
        <v>tiara</v>
      </c>
    </row>
    <row r="48794">
      <c r="A48794" s="1" t="s">
        <v>48793</v>
      </c>
      <c r="B48794" s="2" t="str">
        <f>IFERROR(__xludf.DUMMYFUNCTION("GOOGLETRANSLATE(A48794, ""de"", ""en"")"),"giganopolous")</f>
        <v>giganopolous</v>
      </c>
    </row>
    <row r="48795">
      <c r="A48795" s="1" t="s">
        <v>48794</v>
      </c>
      <c r="B48795" s="2" t="str">
        <f>IFERROR(__xludf.DUMMYFUNCTION("GOOGLETRANSLATE(A48795, ""de"", ""en"")"),"tallmadge")</f>
        <v>tallmadge</v>
      </c>
    </row>
    <row r="48796">
      <c r="A48796" s="1" t="s">
        <v>48795</v>
      </c>
      <c r="B48796" s="2" t="str">
        <f>IFERROR(__xludf.DUMMYFUNCTION("GOOGLETRANSLATE(A48796, ""de"", ""en"")"),"energy sources")</f>
        <v>energy sources</v>
      </c>
    </row>
    <row r="48797">
      <c r="A48797" s="1" t="s">
        <v>48796</v>
      </c>
      <c r="B48797" s="2" t="str">
        <f>IFERROR(__xludf.DUMMYFUNCTION("GOOGLETRANSLATE(A48797, ""de"", ""en"")"),"local")</f>
        <v>local</v>
      </c>
    </row>
    <row r="48798">
      <c r="A48798" s="1" t="s">
        <v>48797</v>
      </c>
      <c r="B48798" s="2" t="str">
        <f>IFERROR(__xludf.DUMMYFUNCTION("GOOGLETRANSLATE(A48798, ""de"", ""en"")"),"ferrari")</f>
        <v>ferrari</v>
      </c>
    </row>
    <row r="48799">
      <c r="A48799" s="1" t="s">
        <v>48798</v>
      </c>
      <c r="B48799" s="2" t="str">
        <f>IFERROR(__xludf.DUMMYFUNCTION("GOOGLETRANSLATE(A48799, ""de"", ""en"")"),"melchior")</f>
        <v>melchior</v>
      </c>
    </row>
    <row r="48800">
      <c r="A48800" s="1" t="s">
        <v>48799</v>
      </c>
      <c r="B48800" s="2" t="str">
        <f>IFERROR(__xludf.DUMMYFUNCTION("GOOGLETRANSLATE(A48800, ""de"", ""en"")"),"coil")</f>
        <v>coil</v>
      </c>
    </row>
    <row r="48801">
      <c r="A48801" s="1" t="s">
        <v>48800</v>
      </c>
      <c r="B48801" s="2" t="str">
        <f>IFERROR(__xludf.DUMMYFUNCTION("GOOGLETRANSLATE(A48801, ""de"", ""en"")"),"narita")</f>
        <v>narita</v>
      </c>
    </row>
    <row r="48802">
      <c r="A48802" s="1" t="s">
        <v>48801</v>
      </c>
      <c r="B48802" s="2" t="str">
        <f>IFERROR(__xludf.DUMMYFUNCTION("GOOGLETRANSLATE(A48802, ""de"", ""en"")"),"overprotective")</f>
        <v>overprotective</v>
      </c>
    </row>
    <row r="48803">
      <c r="A48803" s="1" t="s">
        <v>48802</v>
      </c>
      <c r="B48803" s="2" t="str">
        <f>IFERROR(__xludf.DUMMYFUNCTION("GOOGLETRANSLATE(A48803, ""de"", ""en"")"),"mcphee")</f>
        <v>mcphee</v>
      </c>
    </row>
    <row r="48804">
      <c r="A48804" s="1" t="s">
        <v>48803</v>
      </c>
      <c r="B48804" s="2" t="str">
        <f>IFERROR(__xludf.DUMMYFUNCTION("GOOGLETRANSLATE(A48804, ""de"", ""en"")"),"aileen")</f>
        <v>aileen</v>
      </c>
    </row>
    <row r="48805">
      <c r="A48805" s="1" t="s">
        <v>48804</v>
      </c>
      <c r="B48805" s="2" t="str">
        <f>IFERROR(__xludf.DUMMYFUNCTION("GOOGLETRANSLATE(A48805, ""de"", ""en"")"),"confirmation")</f>
        <v>confirmation</v>
      </c>
    </row>
    <row r="48806">
      <c r="A48806" s="1" t="s">
        <v>48805</v>
      </c>
      <c r="B48806" s="2" t="str">
        <f>IFERROR(__xludf.DUMMYFUNCTION("GOOGLETRANSLATE(A48806, ""de"", ""en"")"),"starting line")</f>
        <v>starting line</v>
      </c>
    </row>
    <row r="48807">
      <c r="A48807" s="1" t="s">
        <v>48806</v>
      </c>
      <c r="B48807" s="2" t="str">
        <f>IFERROR(__xludf.DUMMYFUNCTION("GOOGLETRANSLATE(A48807, ""de"", ""en"")"),"drinking")</f>
        <v>drinking</v>
      </c>
    </row>
    <row r="48808">
      <c r="A48808" s="1" t="s">
        <v>48807</v>
      </c>
      <c r="B48808" s="2" t="str">
        <f>IFERROR(__xludf.DUMMYFUNCTION("GOOGLETRANSLATE(A48808, ""de"", ""en"")"),"misunderstanding")</f>
        <v>misunderstanding</v>
      </c>
    </row>
    <row r="48809">
      <c r="A48809" s="1" t="s">
        <v>48808</v>
      </c>
      <c r="B48809" s="2" t="str">
        <f>IFERROR(__xludf.DUMMYFUNCTION("GOOGLETRANSLATE(A48809, ""de"", ""en"")"),"ltd")</f>
        <v>ltd</v>
      </c>
    </row>
    <row r="48810">
      <c r="A48810" s="1" t="s">
        <v>48809</v>
      </c>
      <c r="B48810" s="2" t="str">
        <f>IFERROR(__xludf.DUMMYFUNCTION("GOOGLETRANSLATE(A48810, ""de"", ""en"")"),"firstborn")</f>
        <v>firstborn</v>
      </c>
    </row>
    <row r="48811">
      <c r="A48811" s="1" t="s">
        <v>48810</v>
      </c>
      <c r="B48811" s="2" t="str">
        <f>IFERROR(__xludf.DUMMYFUNCTION("GOOGLETRANSLATE(A48811, ""de"", ""en"")"),"business trips")</f>
        <v>business trips</v>
      </c>
    </row>
    <row r="48812">
      <c r="A48812" s="1" t="s">
        <v>48811</v>
      </c>
      <c r="B48812" s="2" t="str">
        <f>IFERROR(__xludf.DUMMYFUNCTION("GOOGLETRANSLATE(A48812, ""de"", ""en"")"),"pumped out")</f>
        <v>pumped out</v>
      </c>
    </row>
    <row r="48813">
      <c r="A48813" s="1" t="s">
        <v>48812</v>
      </c>
      <c r="B48813" s="2" t="str">
        <f>IFERROR(__xludf.DUMMYFUNCTION("GOOGLETRANSLATE(A48813, ""de"", ""en"")"),"tipsy")</f>
        <v>tipsy</v>
      </c>
    </row>
    <row r="48814">
      <c r="A48814" s="1" t="s">
        <v>48813</v>
      </c>
      <c r="B48814" s="2" t="str">
        <f>IFERROR(__xludf.DUMMYFUNCTION("GOOGLETRANSLATE(A48814, ""de"", ""en"")"),"women's underwear")</f>
        <v>women's underwear</v>
      </c>
    </row>
    <row r="48815">
      <c r="A48815" s="1" t="s">
        <v>48814</v>
      </c>
      <c r="B48815" s="2" t="str">
        <f>IFERROR(__xludf.DUMMYFUNCTION("GOOGLETRANSLATE(A48815, ""de"", ""en"")"),"horrible")</f>
        <v>horrible</v>
      </c>
    </row>
    <row r="48816">
      <c r="A48816" s="1" t="s">
        <v>48815</v>
      </c>
      <c r="B48816" s="2" t="str">
        <f>IFERROR(__xludf.DUMMYFUNCTION("GOOGLETRANSLATE(A48816, ""de"", ""en"")"),"assistants")</f>
        <v>assistants</v>
      </c>
    </row>
    <row r="48817">
      <c r="A48817" s="1" t="s">
        <v>48816</v>
      </c>
      <c r="B48817" s="2" t="str">
        <f>IFERROR(__xludf.DUMMYFUNCTION("GOOGLETRANSLATE(A48817, ""de"", ""en"")"),"fourth")</f>
        <v>fourth</v>
      </c>
    </row>
    <row r="48818">
      <c r="A48818" s="1" t="s">
        <v>48817</v>
      </c>
      <c r="B48818" s="2" t="str">
        <f>IFERROR(__xludf.DUMMYFUNCTION("GOOGLETRANSLATE(A48818, ""de"", ""en"")"),"stranded")</f>
        <v>stranded</v>
      </c>
    </row>
    <row r="48819">
      <c r="A48819" s="1" t="s">
        <v>48818</v>
      </c>
      <c r="B48819" s="2" t="str">
        <f>IFERROR(__xludf.DUMMYFUNCTION("GOOGLETRANSLATE(A48819, ""de"", ""en"")"),"smirre")</f>
        <v>smirre</v>
      </c>
    </row>
    <row r="48820">
      <c r="A48820" s="1" t="s">
        <v>48819</v>
      </c>
      <c r="B48820" s="2" t="str">
        <f>IFERROR(__xludf.DUMMYFUNCTION("GOOGLETRANSLATE(A48820, ""de"", ""en"")"),"comedian")</f>
        <v>comedian</v>
      </c>
    </row>
    <row r="48821">
      <c r="A48821" s="1" t="s">
        <v>48820</v>
      </c>
      <c r="B48821" s="2" t="str">
        <f>IFERROR(__xludf.DUMMYFUNCTION("GOOGLETRANSLATE(A48821, ""de"", ""en"")"),"bites")</f>
        <v>bites</v>
      </c>
    </row>
    <row r="48822">
      <c r="A48822" s="1" t="s">
        <v>48821</v>
      </c>
      <c r="B48822" s="2" t="str">
        <f>IFERROR(__xludf.DUMMYFUNCTION("GOOGLETRANSLATE(A48822, ""de"", ""en"")"),"torn")</f>
        <v>torn</v>
      </c>
    </row>
    <row r="48823">
      <c r="A48823" s="1" t="s">
        <v>48822</v>
      </c>
      <c r="B48823" s="2" t="str">
        <f>IFERROR(__xludf.DUMMYFUNCTION("GOOGLETRANSLATE(A48823, ""de"", ""en"")"),"arbitrariness")</f>
        <v>arbitrariness</v>
      </c>
    </row>
    <row r="48824">
      <c r="A48824" s="1" t="s">
        <v>48823</v>
      </c>
      <c r="B48824" s="2" t="str">
        <f>IFERROR(__xludf.DUMMYFUNCTION("GOOGLETRANSLATE(A48824, ""de"", ""en"")"),"inaction")</f>
        <v>inaction</v>
      </c>
    </row>
    <row r="48825">
      <c r="A48825" s="1" t="s">
        <v>48824</v>
      </c>
      <c r="B48825" s="2" t="str">
        <f>IFERROR(__xludf.DUMMYFUNCTION("GOOGLETRANSLATE(A48825, ""de"", ""en"")"),"to.")</f>
        <v>to.</v>
      </c>
    </row>
    <row r="48826">
      <c r="A48826" s="1" t="s">
        <v>48825</v>
      </c>
      <c r="B48826" s="2" t="str">
        <f>IFERROR(__xludf.DUMMYFUNCTION("GOOGLETRANSLATE(A48826, ""de"", ""en"")"),"log")</f>
        <v>log</v>
      </c>
    </row>
    <row r="48827">
      <c r="A48827" s="1" t="s">
        <v>48826</v>
      </c>
      <c r="B48827" s="2" t="str">
        <f>IFERROR(__xludf.DUMMYFUNCTION("GOOGLETRANSLATE(A48827, ""de"", ""en"")"),"mallard")</f>
        <v>mallard</v>
      </c>
    </row>
    <row r="48828">
      <c r="A48828" s="1" t="s">
        <v>48827</v>
      </c>
      <c r="B48828" s="2" t="str">
        <f>IFERROR(__xludf.DUMMYFUNCTION("GOOGLETRANSLATE(A48828, ""de"", ""en"")"),"butt")</f>
        <v>butt</v>
      </c>
    </row>
    <row r="48829">
      <c r="A48829" s="1" t="s">
        <v>48828</v>
      </c>
      <c r="B48829" s="2" t="str">
        <f>IFERROR(__xludf.DUMMYFUNCTION("GOOGLETRANSLATE(A48829, ""de"", ""en"")"),"invaluable")</f>
        <v>invaluable</v>
      </c>
    </row>
    <row r="48830">
      <c r="A48830" s="1" t="s">
        <v>48829</v>
      </c>
      <c r="B48830" s="2" t="str">
        <f>IFERROR(__xludf.DUMMYFUNCTION("GOOGLETRANSLATE(A48830, ""de"", ""en"")"),"run out")</f>
        <v>run out</v>
      </c>
    </row>
    <row r="48831">
      <c r="A48831" s="1" t="s">
        <v>48830</v>
      </c>
      <c r="B48831" s="2" t="str">
        <f>IFERROR(__xludf.DUMMYFUNCTION("GOOGLETRANSLATE(A48831, ""de"", ""en"")"),"mordor")</f>
        <v>mordor</v>
      </c>
    </row>
    <row r="48832">
      <c r="A48832" s="1" t="s">
        <v>48831</v>
      </c>
      <c r="B48832" s="2" t="str">
        <f>IFERROR(__xludf.DUMMYFUNCTION("GOOGLETRANSLATE(A48832, ""de"", ""en"")"),"edgington")</f>
        <v>edgington</v>
      </c>
    </row>
    <row r="48833">
      <c r="A48833" s="1" t="s">
        <v>48832</v>
      </c>
      <c r="B48833" s="2" t="str">
        <f>IFERROR(__xludf.DUMMYFUNCTION("GOOGLETRANSLATE(A48833, ""de"", ""en"")"),"bribe")</f>
        <v>bribe</v>
      </c>
    </row>
    <row r="48834">
      <c r="A48834" s="1" t="s">
        <v>48833</v>
      </c>
      <c r="B48834" s="2" t="str">
        <f>IFERROR(__xludf.DUMMYFUNCTION("GOOGLETRANSLATE(A48834, ""de"", ""en"")"),"children's birthday")</f>
        <v>children's birthday</v>
      </c>
    </row>
    <row r="48835">
      <c r="A48835" s="1" t="s">
        <v>48834</v>
      </c>
      <c r="B48835" s="2" t="str">
        <f>IFERROR(__xludf.DUMMYFUNCTION("GOOGLETRANSLATE(A48835, ""de"", ""en"")"),"deplorable")</f>
        <v>deplorable</v>
      </c>
    </row>
    <row r="48836">
      <c r="A48836" s="1" t="s">
        <v>48835</v>
      </c>
      <c r="B48836" s="2" t="str">
        <f>IFERROR(__xludf.DUMMYFUNCTION("GOOGLETRANSLATE(A48836, ""de"", ""en"")"),"fair")</f>
        <v>fair</v>
      </c>
    </row>
    <row r="48837">
      <c r="A48837" s="1" t="s">
        <v>48836</v>
      </c>
      <c r="B48837" s="2" t="str">
        <f>IFERROR(__xludf.DUMMYFUNCTION("GOOGLETRANSLATE(A48837, ""de"", ""en"")"),"sweetwater")</f>
        <v>sweetwater</v>
      </c>
    </row>
    <row r="48838">
      <c r="A48838" s="1" t="s">
        <v>48837</v>
      </c>
      <c r="B48838" s="2" t="str">
        <f>IFERROR(__xludf.DUMMYFUNCTION("GOOGLETRANSLATE(A48838, ""de"", ""en"")"),"contours")</f>
        <v>contours</v>
      </c>
    </row>
    <row r="48839">
      <c r="A48839" s="1" t="s">
        <v>48838</v>
      </c>
      <c r="B48839" s="2" t="str">
        <f>IFERROR(__xludf.DUMMYFUNCTION("GOOGLETRANSLATE(A48839, ""de"", ""en"")"),"incised")</f>
        <v>incised</v>
      </c>
    </row>
    <row r="48840">
      <c r="A48840" s="1" t="s">
        <v>48839</v>
      </c>
      <c r="B48840" s="2" t="str">
        <f>IFERROR(__xludf.DUMMYFUNCTION("GOOGLETRANSLATE(A48840, ""de"", ""en"")"),"farell")</f>
        <v>farell</v>
      </c>
    </row>
    <row r="48841">
      <c r="A48841" s="1" t="s">
        <v>48840</v>
      </c>
      <c r="B48841" s="2" t="str">
        <f>IFERROR(__xludf.DUMMYFUNCTION("GOOGLETRANSLATE(A48841, ""de"", ""en"")"),"vivat")</f>
        <v>vivat</v>
      </c>
    </row>
    <row r="48842">
      <c r="A48842" s="1" t="s">
        <v>48841</v>
      </c>
      <c r="B48842" s="2" t="str">
        <f>IFERROR(__xludf.DUMMYFUNCTION("GOOGLETRANSLATE(A48842, ""de"", ""en"")"),"troys")</f>
        <v>troys</v>
      </c>
    </row>
    <row r="48843">
      <c r="A48843" s="1" t="s">
        <v>48842</v>
      </c>
      <c r="B48843" s="2" t="str">
        <f>IFERROR(__xludf.DUMMYFUNCTION("GOOGLETRANSLATE(A48843, ""de"", ""en"")"),"dress up")</f>
        <v>dress up</v>
      </c>
    </row>
    <row r="48844">
      <c r="A48844" s="1" t="s">
        <v>48843</v>
      </c>
      <c r="B48844" s="2" t="str">
        <f>IFERROR(__xludf.DUMMYFUNCTION("GOOGLETRANSLATE(A48844, ""de"", ""en"")"),"compadre")</f>
        <v>compadre</v>
      </c>
    </row>
    <row r="48845">
      <c r="A48845" s="1" t="s">
        <v>48844</v>
      </c>
      <c r="B48845" s="2" t="str">
        <f>IFERROR(__xludf.DUMMYFUNCTION("GOOGLETRANSLATE(A48845, ""de"", ""en"")"),"entered")</f>
        <v>entered</v>
      </c>
    </row>
    <row r="48846">
      <c r="A48846" s="1" t="s">
        <v>48845</v>
      </c>
      <c r="B48846" s="2" t="str">
        <f>IFERROR(__xludf.DUMMYFUNCTION("GOOGLETRANSLATE(A48846, ""de"", ""en"")"),"lecher")</f>
        <v>lecher</v>
      </c>
    </row>
    <row r="48847">
      <c r="A48847" s="1" t="s">
        <v>48846</v>
      </c>
      <c r="B48847" s="2" t="str">
        <f>IFERROR(__xludf.DUMMYFUNCTION("GOOGLETRANSLATE(A48847, ""de"", ""en"")"),"rotten")</f>
        <v>rotten</v>
      </c>
    </row>
    <row r="48848">
      <c r="A48848" s="1" t="s">
        <v>48847</v>
      </c>
      <c r="B48848" s="2" t="str">
        <f>IFERROR(__xludf.DUMMYFUNCTION("GOOGLETRANSLATE(A48848, ""de"", ""en"")"),"to get released")</f>
        <v>to get released</v>
      </c>
    </row>
    <row r="48849">
      <c r="A48849" s="1" t="s">
        <v>48848</v>
      </c>
      <c r="B48849" s="2" t="str">
        <f>IFERROR(__xludf.DUMMYFUNCTION("GOOGLETRANSLATE(A48849, ""de"", ""en"")"),"strength of character")</f>
        <v>strength of character</v>
      </c>
    </row>
    <row r="48850">
      <c r="A48850" s="1" t="s">
        <v>48849</v>
      </c>
      <c r="B48850" s="2" t="str">
        <f>IFERROR(__xludf.DUMMYFUNCTION("GOOGLETRANSLATE(A48850, ""de"", ""en"")"),"clear")</f>
        <v>clear</v>
      </c>
    </row>
    <row r="48851">
      <c r="A48851" s="1" t="s">
        <v>48850</v>
      </c>
      <c r="B48851" s="2" t="str">
        <f>IFERROR(__xludf.DUMMYFUNCTION("GOOGLETRANSLATE(A48851, ""de"", ""en"")"),"opry")</f>
        <v>opry</v>
      </c>
    </row>
    <row r="48852">
      <c r="A48852" s="1" t="s">
        <v>48851</v>
      </c>
      <c r="B48852" s="2" t="str">
        <f>IFERROR(__xludf.DUMMYFUNCTION("GOOGLETRANSLATE(A48852, ""de"", ""en"")"),"grafton")</f>
        <v>grafton</v>
      </c>
    </row>
    <row r="48853">
      <c r="A48853" s="1" t="s">
        <v>48852</v>
      </c>
      <c r="B48853" s="2" t="str">
        <f>IFERROR(__xludf.DUMMYFUNCTION("GOOGLETRANSLATE(A48853, ""de"", ""en"")"),"nausea")</f>
        <v>nausea</v>
      </c>
    </row>
    <row r="48854">
      <c r="A48854" s="1" t="s">
        <v>48853</v>
      </c>
      <c r="B48854" s="2" t="str">
        <f>IFERROR(__xludf.DUMMYFUNCTION("GOOGLETRANSLATE(A48854, ""de"", ""en"")"),"meta-human")</f>
        <v>meta-human</v>
      </c>
    </row>
    <row r="48855">
      <c r="A48855" s="1" t="s">
        <v>48854</v>
      </c>
      <c r="B48855" s="2" t="str">
        <f>IFERROR(__xludf.DUMMYFUNCTION("GOOGLETRANSLATE(A48855, ""de"", ""en"")"),"buckhorn")</f>
        <v>buckhorn</v>
      </c>
    </row>
    <row r="48856">
      <c r="A48856" s="1" t="s">
        <v>48855</v>
      </c>
      <c r="B48856" s="2" t="str">
        <f>IFERROR(__xludf.DUMMYFUNCTION("GOOGLETRANSLATE(A48856, ""de"", ""en"")"),"happened")</f>
        <v>happened</v>
      </c>
    </row>
    <row r="48857">
      <c r="A48857" s="1" t="s">
        <v>48856</v>
      </c>
      <c r="B48857" s="2" t="str">
        <f>IFERROR(__xludf.DUMMYFUNCTION("GOOGLETRANSLATE(A48857, ""de"", ""en"")"),"queasy")</f>
        <v>queasy</v>
      </c>
    </row>
    <row r="48858">
      <c r="A48858" s="1" t="s">
        <v>48857</v>
      </c>
      <c r="B48858" s="2" t="str">
        <f>IFERROR(__xludf.DUMMYFUNCTION("GOOGLETRANSLATE(A48858, ""de"", ""en"")"),"vitamins")</f>
        <v>vitamins</v>
      </c>
    </row>
    <row r="48859">
      <c r="A48859" s="1" t="s">
        <v>48858</v>
      </c>
      <c r="B48859" s="2" t="str">
        <f>IFERROR(__xludf.DUMMYFUNCTION("GOOGLETRANSLATE(A48859, ""de"", ""en"")"),"grind up")</f>
        <v>grind up</v>
      </c>
    </row>
    <row r="48860">
      <c r="A48860" s="1" t="s">
        <v>48859</v>
      </c>
      <c r="B48860" s="2" t="str">
        <f>IFERROR(__xludf.DUMMYFUNCTION("GOOGLETRANSLATE(A48860, ""de"", ""en"")"),"psychoanalyst")</f>
        <v>psychoanalyst</v>
      </c>
    </row>
    <row r="48861">
      <c r="A48861" s="1" t="s">
        <v>48860</v>
      </c>
      <c r="B48861" s="2" t="str">
        <f>IFERROR(__xludf.DUMMYFUNCTION("GOOGLETRANSLATE(A48861, ""de"", ""en"")"),"wildman")</f>
        <v>wildman</v>
      </c>
    </row>
    <row r="48862">
      <c r="A48862" s="1" t="s">
        <v>48861</v>
      </c>
      <c r="B48862" s="2" t="str">
        <f>IFERROR(__xludf.DUMMYFUNCTION("GOOGLETRANSLATE(A48862, ""de"", ""en"")"),"destructive")</f>
        <v>destructive</v>
      </c>
    </row>
    <row r="48863">
      <c r="A48863" s="1" t="s">
        <v>48862</v>
      </c>
      <c r="B48863" s="2" t="str">
        <f>IFERROR(__xludf.DUMMYFUNCTION("GOOGLETRANSLATE(A48863, ""de"", ""en"")"),"patna")</f>
        <v>patna</v>
      </c>
    </row>
    <row r="48864">
      <c r="A48864" s="1" t="s">
        <v>48863</v>
      </c>
      <c r="B48864" s="2" t="str">
        <f>IFERROR(__xludf.DUMMYFUNCTION("GOOGLETRANSLATE(A48864, ""de"", ""en"")"),"taik")</f>
        <v>taik</v>
      </c>
    </row>
    <row r="48865">
      <c r="A48865" s="1" t="s">
        <v>48864</v>
      </c>
      <c r="B48865" s="2" t="str">
        <f>IFERROR(__xludf.DUMMYFUNCTION("GOOGLETRANSLATE(A48865, ""de"", ""en"")"),"implode")</f>
        <v>implode</v>
      </c>
    </row>
    <row r="48866">
      <c r="A48866" s="1" t="s">
        <v>48865</v>
      </c>
      <c r="B48866" s="2" t="str">
        <f>IFERROR(__xludf.DUMMYFUNCTION("GOOGLETRANSLATE(A48866, ""de"", ""en"")"),"hep")</f>
        <v>hep</v>
      </c>
    </row>
    <row r="48867">
      <c r="A48867" s="1" t="s">
        <v>48866</v>
      </c>
      <c r="B48867" s="2" t="str">
        <f>IFERROR(__xludf.DUMMYFUNCTION("GOOGLETRANSLATE(A48867, ""de"", ""en"")"),"charitable")</f>
        <v>charitable</v>
      </c>
    </row>
    <row r="48868">
      <c r="A48868" s="1" t="s">
        <v>48867</v>
      </c>
      <c r="B48868" s="2" t="str">
        <f>IFERROR(__xludf.DUMMYFUNCTION("GOOGLETRANSLATE(A48868, ""de"", ""en"")"),"dahmer")</f>
        <v>dahmer</v>
      </c>
    </row>
    <row r="48869">
      <c r="A48869" s="1" t="s">
        <v>48868</v>
      </c>
      <c r="B48869" s="2" t="str">
        <f>IFERROR(__xludf.DUMMYFUNCTION("GOOGLETRANSLATE(A48869, ""de"", ""en"")"),"demigod")</f>
        <v>demigod</v>
      </c>
    </row>
    <row r="48870">
      <c r="A48870" s="1" t="s">
        <v>48869</v>
      </c>
      <c r="B48870" s="2" t="str">
        <f>IFERROR(__xludf.DUMMYFUNCTION("GOOGLETRANSLATE(A48870, ""de"", ""en"")"),"underpass")</f>
        <v>underpass</v>
      </c>
    </row>
    <row r="48871">
      <c r="A48871" s="1" t="s">
        <v>48870</v>
      </c>
      <c r="B48871" s="2" t="str">
        <f>IFERROR(__xludf.DUMMYFUNCTION("GOOGLETRANSLATE(A48871, ""de"", ""en"")"),"inclusion")</f>
        <v>inclusion</v>
      </c>
    </row>
    <row r="48872">
      <c r="A48872" s="1" t="s">
        <v>48871</v>
      </c>
      <c r="B48872" s="2" t="str">
        <f>IFERROR(__xludf.DUMMYFUNCTION("GOOGLETRANSLATE(A48872, ""de"", ""en"")"),"more corrupt")</f>
        <v>more corrupt</v>
      </c>
    </row>
    <row r="48873">
      <c r="A48873" s="1" t="s">
        <v>48872</v>
      </c>
      <c r="B48873" s="2" t="str">
        <f>IFERROR(__xludf.DUMMYFUNCTION("GOOGLETRANSLATE(A48873, ""de"", ""en"")"),"barrie")</f>
        <v>barrie</v>
      </c>
    </row>
    <row r="48874">
      <c r="A48874" s="1" t="s">
        <v>48873</v>
      </c>
      <c r="B48874" s="2" t="str">
        <f>IFERROR(__xludf.DUMMYFUNCTION("GOOGLETRANSLATE(A48874, ""de"", ""en"")"),"privileged")</f>
        <v>privileged</v>
      </c>
    </row>
    <row r="48875">
      <c r="A48875" s="1" t="s">
        <v>48874</v>
      </c>
      <c r="B48875" s="2" t="str">
        <f>IFERROR(__xludf.DUMMYFUNCTION("GOOGLETRANSLATE(A48875, ""de"", ""en"")"),"snuffy")</f>
        <v>snuffy</v>
      </c>
    </row>
    <row r="48876">
      <c r="A48876" s="1" t="s">
        <v>48875</v>
      </c>
      <c r="B48876" s="2" t="str">
        <f>IFERROR(__xludf.DUMMYFUNCTION("GOOGLETRANSLATE(A48876, ""de"", ""en"")"),"binge")</f>
        <v>binge</v>
      </c>
    </row>
    <row r="48877">
      <c r="A48877" s="1" t="s">
        <v>48876</v>
      </c>
      <c r="B48877" s="2" t="str">
        <f>IFERROR(__xludf.DUMMYFUNCTION("GOOGLETRANSLATE(A48877, ""de"", ""en"")"),"Aragorn")</f>
        <v>Aragorn</v>
      </c>
    </row>
    <row r="48878">
      <c r="A48878" s="1" t="s">
        <v>48877</v>
      </c>
      <c r="B48878" s="2" t="str">
        <f>IFERROR(__xludf.DUMMYFUNCTION("GOOGLETRANSLATE(A48878, ""de"", ""en"")"),"nanda")</f>
        <v>nanda</v>
      </c>
    </row>
    <row r="48879">
      <c r="A48879" s="1" t="s">
        <v>48878</v>
      </c>
      <c r="B48879" s="2" t="str">
        <f>IFERROR(__xludf.DUMMYFUNCTION("GOOGLETRANSLATE(A48879, ""de"", ""en"")"),"have again")</f>
        <v>have again</v>
      </c>
    </row>
    <row r="48880">
      <c r="A48880" s="1" t="s">
        <v>48879</v>
      </c>
      <c r="B48880" s="2" t="str">
        <f>IFERROR(__xludf.DUMMYFUNCTION("GOOGLETRANSLATE(A48880, ""de"", ""en"")"),"sympathetic")</f>
        <v>sympathetic</v>
      </c>
    </row>
    <row r="48881">
      <c r="A48881" s="1" t="s">
        <v>48880</v>
      </c>
      <c r="B48881" s="2" t="str">
        <f>IFERROR(__xludf.DUMMYFUNCTION("GOOGLETRANSLATE(A48881, ""de"", ""en"")"),"score")</f>
        <v>score</v>
      </c>
    </row>
    <row r="48882">
      <c r="A48882" s="1" t="s">
        <v>48881</v>
      </c>
      <c r="B48882" s="2" t="str">
        <f>IFERROR(__xludf.DUMMYFUNCTION("GOOGLETRANSLATE(A48882, ""de"", ""en"")"),"squandered")</f>
        <v>squandered</v>
      </c>
    </row>
    <row r="48883">
      <c r="A48883" s="1" t="s">
        <v>48882</v>
      </c>
      <c r="B48883" s="2" t="str">
        <f>IFERROR(__xludf.DUMMYFUNCTION("GOOGLETRANSLATE(A48883, ""de"", ""en"")"),"conventional")</f>
        <v>conventional</v>
      </c>
    </row>
    <row r="48884">
      <c r="A48884" s="1" t="s">
        <v>48883</v>
      </c>
      <c r="B48884" s="2" t="str">
        <f>IFERROR(__xludf.DUMMYFUNCTION("GOOGLETRANSLATE(A48884, ""de"", ""en"")"),"flood")</f>
        <v>flood</v>
      </c>
    </row>
    <row r="48885">
      <c r="A48885" s="1" t="s">
        <v>48884</v>
      </c>
      <c r="B48885" s="2" t="str">
        <f>IFERROR(__xludf.DUMMYFUNCTION("GOOGLETRANSLATE(A48885, ""de"", ""en"")"),"Janne")</f>
        <v>Janne</v>
      </c>
    </row>
    <row r="48886">
      <c r="A48886" s="1" t="s">
        <v>48885</v>
      </c>
      <c r="B48886" s="2" t="str">
        <f>IFERROR(__xludf.DUMMYFUNCTION("GOOGLETRANSLATE(A48886, ""de"", ""en"")"),"kittredge")</f>
        <v>kittredge</v>
      </c>
    </row>
    <row r="48887">
      <c r="A48887" s="1" t="s">
        <v>48886</v>
      </c>
      <c r="B48887" s="2" t="str">
        <f>IFERROR(__xludf.DUMMYFUNCTION("GOOGLETRANSLATE(A48887, ""de"", ""en"")"),"children's hospital")</f>
        <v>children's hospital</v>
      </c>
    </row>
    <row r="48888">
      <c r="A48888" s="1" t="s">
        <v>48887</v>
      </c>
      <c r="B48888" s="2" t="str">
        <f>IFERROR(__xludf.DUMMYFUNCTION("GOOGLETRANSLATE(A48888, ""de"", ""en"")"),"deadly chic")</f>
        <v>deadly chic</v>
      </c>
    </row>
    <row r="48889">
      <c r="A48889" s="1" t="s">
        <v>48888</v>
      </c>
      <c r="B48889" s="2" t="str">
        <f>IFERROR(__xludf.DUMMYFUNCTION("GOOGLETRANSLATE(A48889, ""de"", ""en"")"),"inch")</f>
        <v>inch</v>
      </c>
    </row>
    <row r="48890">
      <c r="A48890" s="1" t="s">
        <v>48889</v>
      </c>
      <c r="B48890" s="2" t="str">
        <f>IFERROR(__xludf.DUMMYFUNCTION("GOOGLETRANSLATE(A48890, ""de"", ""en"")"),"lwaxana")</f>
        <v>lwaxana</v>
      </c>
    </row>
    <row r="48891">
      <c r="A48891" s="1" t="s">
        <v>48890</v>
      </c>
      <c r="B48891" s="2" t="str">
        <f>IFERROR(__xludf.DUMMYFUNCTION("GOOGLETRANSLATE(A48891, ""de"", ""en"")"),"anthony")</f>
        <v>anthony</v>
      </c>
    </row>
    <row r="48892">
      <c r="A48892" s="1" t="s">
        <v>48891</v>
      </c>
      <c r="B48892" s="2" t="str">
        <f>IFERROR(__xludf.DUMMYFUNCTION("GOOGLETRANSLATE(A48892, ""de"", ""en"")"),"benning")</f>
        <v>benning</v>
      </c>
    </row>
    <row r="48893">
      <c r="A48893" s="1" t="s">
        <v>48892</v>
      </c>
      <c r="B48893" s="2" t="str">
        <f>IFERROR(__xludf.DUMMYFUNCTION("GOOGLETRANSLATE(A48893, ""de"", ""en"")"),"Trinidad")</f>
        <v>Trinidad</v>
      </c>
    </row>
    <row r="48894">
      <c r="A48894" s="1" t="s">
        <v>48893</v>
      </c>
      <c r="B48894" s="2" t="str">
        <f>IFERROR(__xludf.DUMMYFUNCTION("GOOGLETRANSLATE(A48894, ""de"", ""en"")"),"missing person report")</f>
        <v>missing person report</v>
      </c>
    </row>
    <row r="48895">
      <c r="A48895" s="1" t="s">
        <v>48894</v>
      </c>
      <c r="B48895" s="2" t="str">
        <f>IFERROR(__xludf.DUMMYFUNCTION("GOOGLETRANSLATE(A48895, ""de"", ""en"")"),"fishmonger")</f>
        <v>fishmonger</v>
      </c>
    </row>
    <row r="48896">
      <c r="A48896" s="1" t="s">
        <v>48895</v>
      </c>
      <c r="B48896" s="2" t="str">
        <f>IFERROR(__xludf.DUMMYFUNCTION("GOOGLETRANSLATE(A48896, ""de"", ""en"")"),"highlights")</f>
        <v>highlights</v>
      </c>
    </row>
    <row r="48897">
      <c r="A48897" s="1" t="s">
        <v>48896</v>
      </c>
      <c r="B48897" s="2" t="str">
        <f>IFERROR(__xludf.DUMMYFUNCTION("GOOGLETRANSLATE(A48897, ""de"", ""en"")"),"Aquitaine")</f>
        <v>Aquitaine</v>
      </c>
    </row>
    <row r="48898">
      <c r="A48898" s="1" t="s">
        <v>48897</v>
      </c>
      <c r="B48898" s="2" t="str">
        <f>IFERROR(__xludf.DUMMYFUNCTION("GOOGLETRANSLATE(A48898, ""de"", ""en"")"),"hasegawa")</f>
        <v>hasegawa</v>
      </c>
    </row>
    <row r="48899">
      <c r="A48899" s="1" t="s">
        <v>48898</v>
      </c>
      <c r="B48899" s="2" t="str">
        <f>IFERROR(__xludf.DUMMYFUNCTION("GOOGLETRANSLATE(A48899, ""de"", ""en"")"),"lying there")</f>
        <v>lying there</v>
      </c>
    </row>
    <row r="48900">
      <c r="A48900" s="1" t="s">
        <v>48899</v>
      </c>
      <c r="B48900" s="2" t="str">
        <f>IFERROR(__xludf.DUMMYFUNCTION("GOOGLETRANSLATE(A48900, ""de"", ""en"")"),"Latin")</f>
        <v>Latin</v>
      </c>
    </row>
    <row r="48901">
      <c r="A48901" s="1" t="s">
        <v>48900</v>
      </c>
      <c r="B48901" s="2" t="str">
        <f>IFERROR(__xludf.DUMMYFUNCTION("GOOGLETRANSLATE(A48901, ""de"", ""en"")"),"amino acids")</f>
        <v>amino acids</v>
      </c>
    </row>
    <row r="48902">
      <c r="A48902" s="1" t="s">
        <v>48901</v>
      </c>
      <c r="B48902" s="2" t="str">
        <f>IFERROR(__xludf.DUMMYFUNCTION("GOOGLETRANSLATE(A48902, ""de"", ""en"")"),"bones")</f>
        <v>bones</v>
      </c>
    </row>
    <row r="48903">
      <c r="A48903" s="1" t="s">
        <v>48902</v>
      </c>
      <c r="B48903" s="2" t="str">
        <f>IFERROR(__xludf.DUMMYFUNCTION("GOOGLETRANSLATE(A48903, ""de"", ""en"")"),"compete")</f>
        <v>compete</v>
      </c>
    </row>
    <row r="48904">
      <c r="A48904" s="1" t="s">
        <v>48903</v>
      </c>
      <c r="B48904" s="2" t="str">
        <f>IFERROR(__xludf.DUMMYFUNCTION("GOOGLETRANSLATE(A48904, ""de"", ""en"")"),"stabbing")</f>
        <v>stabbing</v>
      </c>
    </row>
    <row r="48905">
      <c r="A48905" s="1" t="s">
        <v>48904</v>
      </c>
      <c r="B48905" s="2" t="str">
        <f>IFERROR(__xludf.DUMMYFUNCTION("GOOGLETRANSLATE(A48905, ""de"", ""en"")"),"well-read")</f>
        <v>well-read</v>
      </c>
    </row>
    <row r="48906">
      <c r="A48906" s="1" t="s">
        <v>48905</v>
      </c>
      <c r="B48906" s="2" t="str">
        <f>IFERROR(__xludf.DUMMYFUNCTION("GOOGLETRANSLATE(A48906, ""de"", ""en"")"),"doctor")</f>
        <v>doctor</v>
      </c>
    </row>
    <row r="48907">
      <c r="A48907" s="1" t="s">
        <v>48906</v>
      </c>
      <c r="B48907" s="2" t="str">
        <f>IFERROR(__xludf.DUMMYFUNCTION("GOOGLETRANSLATE(A48907, ""de"", ""en"")"),"horns")</f>
        <v>horns</v>
      </c>
    </row>
    <row r="48908">
      <c r="A48908" s="1" t="s">
        <v>48907</v>
      </c>
      <c r="B48908" s="2" t="str">
        <f>IFERROR(__xludf.DUMMYFUNCTION("GOOGLETRANSLATE(A48908, ""de"", ""en"")"),"cyr")</f>
        <v>cyr</v>
      </c>
    </row>
    <row r="48909">
      <c r="A48909" s="1" t="s">
        <v>48908</v>
      </c>
      <c r="B48909" s="2" t="str">
        <f>IFERROR(__xludf.DUMMYFUNCTION("GOOGLETRANSLATE(A48909, ""de"", ""en"")"),"poisonous snake")</f>
        <v>poisonous snake</v>
      </c>
    </row>
    <row r="48910">
      <c r="A48910" s="1" t="s">
        <v>48909</v>
      </c>
      <c r="B48910" s="2" t="str">
        <f>IFERROR(__xludf.DUMMYFUNCTION("GOOGLETRANSLATE(A48910, ""de"", ""en"")"),"quarter mile")</f>
        <v>quarter mile</v>
      </c>
    </row>
    <row r="48911">
      <c r="A48911" s="1" t="s">
        <v>48910</v>
      </c>
      <c r="B48911" s="2" t="str">
        <f>IFERROR(__xludf.DUMMYFUNCTION("GOOGLETRANSLATE(A48911, ""de"", ""en"")"),"summer time")</f>
        <v>summer time</v>
      </c>
    </row>
    <row r="48912">
      <c r="A48912" s="1" t="s">
        <v>48911</v>
      </c>
      <c r="B48912" s="2" t="str">
        <f>IFERROR(__xludf.DUMMYFUNCTION("GOOGLETRANSLATE(A48912, ""de"", ""en"")"),"spouses")</f>
        <v>spouses</v>
      </c>
    </row>
    <row r="48913">
      <c r="A48913" s="1" t="s">
        <v>48912</v>
      </c>
      <c r="B48913" s="2" t="str">
        <f>IFERROR(__xludf.DUMMYFUNCTION("GOOGLETRANSLATE(A48913, ""de"", ""en"")"),"represented")</f>
        <v>represented</v>
      </c>
    </row>
    <row r="48914">
      <c r="A48914" s="1" t="s">
        <v>48913</v>
      </c>
      <c r="B48914" s="2" t="str">
        <f>IFERROR(__xludf.DUMMYFUNCTION("GOOGLETRANSLATE(A48914, ""de"", ""en"")"),"margarine")</f>
        <v>margarine</v>
      </c>
    </row>
    <row r="48915">
      <c r="A48915" s="1" t="s">
        <v>48914</v>
      </c>
      <c r="B48915" s="2" t="str">
        <f>IFERROR(__xludf.DUMMYFUNCTION("GOOGLETRANSLATE(A48915, ""de"", ""en"")"),"ladylike")</f>
        <v>ladylike</v>
      </c>
    </row>
    <row r="48916">
      <c r="A48916" s="1" t="s">
        <v>48915</v>
      </c>
      <c r="B48916" s="2" t="str">
        <f>IFERROR(__xludf.DUMMYFUNCTION("GOOGLETRANSLATE(A48916, ""de"", ""en"")"),"guinan")</f>
        <v>guinan</v>
      </c>
    </row>
    <row r="48917">
      <c r="A48917" s="1" t="s">
        <v>48916</v>
      </c>
      <c r="B48917" s="2" t="str">
        <f>IFERROR(__xludf.DUMMYFUNCTION("GOOGLETRANSLATE(A48917, ""de"", ""en"")"),"mute")</f>
        <v>mute</v>
      </c>
    </row>
    <row r="48918">
      <c r="A48918" s="1" t="s">
        <v>48917</v>
      </c>
      <c r="B48918" s="2" t="str">
        <f>IFERROR(__xludf.DUMMYFUNCTION("GOOGLETRANSLATE(A48918, ""de"", ""en"")"),"saratoga")</f>
        <v>saratoga</v>
      </c>
    </row>
    <row r="48919">
      <c r="A48919" s="1" t="s">
        <v>48918</v>
      </c>
      <c r="B48919" s="2" t="str">
        <f>IFERROR(__xludf.DUMMYFUNCTION("GOOGLETRANSLATE(A48919, ""de"", ""en"")"),"overtake")</f>
        <v>overtake</v>
      </c>
    </row>
    <row r="48920">
      <c r="A48920" s="1" t="s">
        <v>48919</v>
      </c>
      <c r="B48920" s="2" t="str">
        <f>IFERROR(__xludf.DUMMYFUNCTION("GOOGLETRANSLATE(A48920, ""de"", ""en"")"),"disconnect")</f>
        <v>disconnect</v>
      </c>
    </row>
    <row r="48921">
      <c r="A48921" s="1" t="s">
        <v>48920</v>
      </c>
      <c r="B48921" s="2" t="str">
        <f>IFERROR(__xludf.DUMMYFUNCTION("GOOGLETRANSLATE(A48921, ""de"", ""en"")"),"remuneration")</f>
        <v>remuneration</v>
      </c>
    </row>
    <row r="48922">
      <c r="A48922" s="1" t="s">
        <v>48921</v>
      </c>
      <c r="B48922" s="2" t="str">
        <f>IFERROR(__xludf.DUMMYFUNCTION("GOOGLETRANSLATE(A48922, ""de"", ""en"")"),"keep away")</f>
        <v>keep away</v>
      </c>
    </row>
    <row r="48923">
      <c r="A48923" s="1" t="s">
        <v>48922</v>
      </c>
      <c r="B48923" s="2" t="str">
        <f>IFERROR(__xludf.DUMMYFUNCTION("GOOGLETRANSLATE(A48923, ""de"", ""en"")"),"goblin")</f>
        <v>goblin</v>
      </c>
    </row>
    <row r="48924">
      <c r="A48924" s="1" t="s">
        <v>48923</v>
      </c>
      <c r="B48924" s="2" t="str">
        <f>IFERROR(__xludf.DUMMYFUNCTION("GOOGLETRANSLATE(A48924, ""de"", ""en"")"),"dragging")</f>
        <v>dragging</v>
      </c>
    </row>
    <row r="48925">
      <c r="A48925" s="1" t="s">
        <v>48924</v>
      </c>
      <c r="B48925" s="2" t="str">
        <f>IFERROR(__xludf.DUMMYFUNCTION("GOOGLETRANSLATE(A48925, ""de"", ""en"")"),"italia")</f>
        <v>italia</v>
      </c>
    </row>
    <row r="48926">
      <c r="A48926" s="1" t="s">
        <v>48925</v>
      </c>
      <c r="B48926" s="2" t="str">
        <f>IFERROR(__xludf.DUMMYFUNCTION("GOOGLETRANSLATE(A48926, ""de"", ""en"")"),"Cairo")</f>
        <v>Cairo</v>
      </c>
    </row>
    <row r="48927">
      <c r="A48927" s="1" t="s">
        <v>48926</v>
      </c>
      <c r="B48927" s="2" t="str">
        <f>IFERROR(__xludf.DUMMYFUNCTION("GOOGLETRANSLATE(A48927, ""de"", ""en"")"),"Aleksei")</f>
        <v>Aleksei</v>
      </c>
    </row>
    <row r="48928">
      <c r="A48928" s="1" t="s">
        <v>48927</v>
      </c>
      <c r="B48928" s="2" t="str">
        <f>IFERROR(__xludf.DUMMYFUNCTION("GOOGLETRANSLATE(A48928, ""de"", ""en"")"),"marti")</f>
        <v>marti</v>
      </c>
    </row>
    <row r="48929">
      <c r="A48929" s="1" t="s">
        <v>48928</v>
      </c>
      <c r="B48929" s="2" t="str">
        <f>IFERROR(__xludf.DUMMYFUNCTION("GOOGLETRANSLATE(A48929, ""de"", ""en"")"),"idolize")</f>
        <v>idolize</v>
      </c>
    </row>
    <row r="48930">
      <c r="A48930" s="1" t="s">
        <v>48929</v>
      </c>
      <c r="B48930" s="2" t="str">
        <f>IFERROR(__xludf.DUMMYFUNCTION("GOOGLETRANSLATE(A48930, ""de"", ""en"")"),"burp")</f>
        <v>burp</v>
      </c>
    </row>
    <row r="48931">
      <c r="A48931" s="1" t="s">
        <v>48930</v>
      </c>
      <c r="B48931" s="2" t="str">
        <f>IFERROR(__xludf.DUMMYFUNCTION("GOOGLETRANSLATE(A48931, ""de"", ""en"")"),"savings")</f>
        <v>savings</v>
      </c>
    </row>
    <row r="48932">
      <c r="A48932" s="1" t="s">
        <v>48931</v>
      </c>
      <c r="B48932" s="2" t="str">
        <f>IFERROR(__xludf.DUMMYFUNCTION("GOOGLETRANSLATE(A48932, ""de"", ""en"")"),"agreed")</f>
        <v>agreed</v>
      </c>
    </row>
    <row r="48933">
      <c r="A48933" s="1" t="s">
        <v>48932</v>
      </c>
      <c r="B48933" s="2" t="str">
        <f>IFERROR(__xludf.DUMMYFUNCTION("GOOGLETRANSLATE(A48933, ""de"", ""en"")"),"hardened")</f>
        <v>hardened</v>
      </c>
    </row>
    <row r="48934">
      <c r="A48934" s="1" t="s">
        <v>48933</v>
      </c>
      <c r="B48934" s="2" t="str">
        <f>IFERROR(__xludf.DUMMYFUNCTION("GOOGLETRANSLATE(A48934, ""de"", ""en"")"),"translate")</f>
        <v>translate</v>
      </c>
    </row>
    <row r="48935">
      <c r="A48935" s="1" t="s">
        <v>48934</v>
      </c>
      <c r="B48935" s="2" t="str">
        <f>IFERROR(__xludf.DUMMYFUNCTION("GOOGLETRANSLATE(A48935, ""de"", ""en"")"),"bunkered")</f>
        <v>bunkered</v>
      </c>
    </row>
    <row r="48936">
      <c r="A48936" s="1" t="s">
        <v>48935</v>
      </c>
      <c r="B48936" s="2" t="str">
        <f>IFERROR(__xludf.DUMMYFUNCTION("GOOGLETRANSLATE(A48936, ""de"", ""en"")"),"dairy")</f>
        <v>dairy</v>
      </c>
    </row>
    <row r="48937">
      <c r="A48937" s="1" t="s">
        <v>48936</v>
      </c>
      <c r="B48937" s="2" t="str">
        <f>IFERROR(__xludf.DUMMYFUNCTION("GOOGLETRANSLATE(A48937, ""de"", ""en"")"),"good-naturedness")</f>
        <v>good-naturedness</v>
      </c>
    </row>
    <row r="48938">
      <c r="A48938" s="1" t="s">
        <v>48937</v>
      </c>
      <c r="B48938" s="2" t="str">
        <f>IFERROR(__xludf.DUMMYFUNCTION("GOOGLETRANSLATE(A48938, ""de"", ""en"")"),"Geraldo")</f>
        <v>Geraldo</v>
      </c>
    </row>
    <row r="48939">
      <c r="A48939" s="1" t="s">
        <v>48938</v>
      </c>
      <c r="B48939" s="2" t="str">
        <f>IFERROR(__xludf.DUMMYFUNCTION("GOOGLETRANSLATE(A48939, ""de"", ""en"")"),"brings out")</f>
        <v>brings out</v>
      </c>
    </row>
    <row r="48940">
      <c r="A48940" s="1" t="s">
        <v>48939</v>
      </c>
      <c r="B48940" s="2" t="str">
        <f>IFERROR(__xludf.DUMMYFUNCTION("GOOGLETRANSLATE(A48940, ""de"", ""en"")"),"bodine")</f>
        <v>bodine</v>
      </c>
    </row>
    <row r="48941">
      <c r="A48941" s="1" t="s">
        <v>48940</v>
      </c>
      <c r="B48941" s="2" t="str">
        <f>IFERROR(__xludf.DUMMYFUNCTION("GOOGLETRANSLATE(A48941, ""de"", ""en"")"),"peace talks")</f>
        <v>peace talks</v>
      </c>
    </row>
    <row r="48942">
      <c r="A48942" s="1" t="s">
        <v>48941</v>
      </c>
      <c r="B48942" s="2" t="str">
        <f>IFERROR(__xludf.DUMMYFUNCTION("GOOGLETRANSLATE(A48942, ""de"", ""en"")"),"legal code")</f>
        <v>legal code</v>
      </c>
    </row>
    <row r="48943">
      <c r="A48943" s="1" t="s">
        <v>48942</v>
      </c>
      <c r="B48943" s="2" t="str">
        <f>IFERROR(__xludf.DUMMYFUNCTION("GOOGLETRANSLATE(A48943, ""de"", ""en"")"),"leith")</f>
        <v>leith</v>
      </c>
    </row>
    <row r="48944">
      <c r="A48944" s="1" t="s">
        <v>48943</v>
      </c>
      <c r="B48944" s="2" t="str">
        <f>IFERROR(__xludf.DUMMYFUNCTION("GOOGLETRANSLATE(A48944, ""de"", ""en"")"),"reproduced")</f>
        <v>reproduced</v>
      </c>
    </row>
    <row r="48945">
      <c r="A48945" s="1" t="s">
        <v>48944</v>
      </c>
      <c r="B48945" s="2" t="str">
        <f>IFERROR(__xludf.DUMMYFUNCTION("GOOGLETRANSLATE(A48945, ""de"", ""en"")"),"intubated")</f>
        <v>intubated</v>
      </c>
    </row>
    <row r="48946">
      <c r="A48946" s="1" t="s">
        <v>48945</v>
      </c>
      <c r="B48946" s="2" t="str">
        <f>IFERROR(__xludf.DUMMYFUNCTION("GOOGLETRANSLATE(A48946, ""de"", ""en"")"),"ratchett")</f>
        <v>ratchett</v>
      </c>
    </row>
    <row r="48947">
      <c r="A48947" s="1" t="s">
        <v>48946</v>
      </c>
      <c r="B48947" s="2" t="str">
        <f>IFERROR(__xludf.DUMMYFUNCTION("GOOGLETRANSLATE(A48947, ""de"", ""en"")"),"Turkish")</f>
        <v>Turkish</v>
      </c>
    </row>
    <row r="48948">
      <c r="A48948" s="1" t="s">
        <v>48947</v>
      </c>
      <c r="B48948" s="2" t="str">
        <f>IFERROR(__xludf.DUMMYFUNCTION("GOOGLETRANSLATE(A48948, ""de"", ""en"")"),"geirmundur")</f>
        <v>geirmundur</v>
      </c>
    </row>
    <row r="48949">
      <c r="A48949" s="1" t="s">
        <v>48948</v>
      </c>
      <c r="B48949" s="2" t="str">
        <f>IFERROR(__xludf.DUMMYFUNCTION("GOOGLETRANSLATE(A48949, ""de"", ""en"")"),"peculiarities")</f>
        <v>peculiarities</v>
      </c>
    </row>
    <row r="48950">
      <c r="A48950" s="1" t="s">
        <v>48949</v>
      </c>
      <c r="B48950" s="2" t="str">
        <f>IFERROR(__xludf.DUMMYFUNCTION("GOOGLETRANSLATE(A48950, ""de"", ""en"")"),"genie")</f>
        <v>genie</v>
      </c>
    </row>
    <row r="48951">
      <c r="A48951" s="1" t="s">
        <v>48950</v>
      </c>
      <c r="B48951" s="2" t="str">
        <f>IFERROR(__xludf.DUMMYFUNCTION("GOOGLETRANSLATE(A48951, ""de"", ""en"")"),"Capricorn")</f>
        <v>Capricorn</v>
      </c>
    </row>
    <row r="48952">
      <c r="A48952" s="1" t="s">
        <v>48951</v>
      </c>
      <c r="B48952" s="2" t="str">
        <f>IFERROR(__xludf.DUMMYFUNCTION("GOOGLETRANSLATE(A48952, ""de"", ""en"")"),"satomi")</f>
        <v>satomi</v>
      </c>
    </row>
    <row r="48953">
      <c r="A48953" s="1" t="s">
        <v>48952</v>
      </c>
      <c r="B48953" s="2" t="str">
        <f>IFERROR(__xludf.DUMMYFUNCTION("GOOGLETRANSLATE(A48953, ""de"", ""en"")"),"menus")</f>
        <v>menus</v>
      </c>
    </row>
    <row r="48954">
      <c r="A48954" s="1" t="s">
        <v>48953</v>
      </c>
      <c r="B48954" s="2" t="str">
        <f>IFERROR(__xludf.DUMMYFUNCTION("GOOGLETRANSLATE(A48954, ""de"", ""en"")"),"solutions")</f>
        <v>solutions</v>
      </c>
    </row>
    <row r="48955">
      <c r="A48955" s="1" t="s">
        <v>48954</v>
      </c>
      <c r="B48955" s="2" t="str">
        <f>IFERROR(__xludf.DUMMYFUNCTION("GOOGLETRANSLATE(A48955, ""de"", ""en"")"),"mosaic")</f>
        <v>mosaic</v>
      </c>
    </row>
    <row r="48956">
      <c r="A48956" s="1" t="s">
        <v>48955</v>
      </c>
      <c r="B48956" s="2" t="str">
        <f>IFERROR(__xludf.DUMMYFUNCTION("GOOGLETRANSLATE(A48956, ""de"", ""en"")"),"Kryptonian")</f>
        <v>Kryptonian</v>
      </c>
    </row>
    <row r="48957">
      <c r="A48957" s="1" t="s">
        <v>48956</v>
      </c>
      <c r="B48957" s="2" t="str">
        <f>IFERROR(__xludf.DUMMYFUNCTION("GOOGLETRANSLATE(A48957, ""de"", ""en"")"),"siren")</f>
        <v>siren</v>
      </c>
    </row>
    <row r="48958">
      <c r="A48958" s="1" t="s">
        <v>48957</v>
      </c>
      <c r="B48958" s="2" t="str">
        <f>IFERROR(__xludf.DUMMYFUNCTION("GOOGLETRANSLATE(A48958, ""de"", ""en"")"),"eye-catching")</f>
        <v>eye-catching</v>
      </c>
    </row>
    <row r="48959">
      <c r="A48959" s="1" t="s">
        <v>48958</v>
      </c>
      <c r="B48959" s="2" t="str">
        <f>IFERROR(__xludf.DUMMYFUNCTION("GOOGLETRANSLATE(A48959, ""de"", ""en"")"),"separated ones")</f>
        <v>separated ones</v>
      </c>
    </row>
    <row r="48960">
      <c r="A48960" s="1" t="s">
        <v>48959</v>
      </c>
      <c r="B48960" s="2" t="str">
        <f>IFERROR(__xludf.DUMMYFUNCTION("GOOGLETRANSLATE(A48960, ""de"", ""en"")"),"failed")</f>
        <v>failed</v>
      </c>
    </row>
    <row r="48961">
      <c r="A48961" s="1" t="s">
        <v>48960</v>
      </c>
      <c r="B48961" s="2" t="str">
        <f>IFERROR(__xludf.DUMMYFUNCTION("GOOGLETRANSLATE(A48961, ""de"", ""en"")"),"terraced house")</f>
        <v>terraced house</v>
      </c>
    </row>
    <row r="48962">
      <c r="A48962" s="1" t="s">
        <v>48961</v>
      </c>
      <c r="B48962" s="2" t="str">
        <f>IFERROR(__xludf.DUMMYFUNCTION("GOOGLETRANSLATE(A48962, ""de"", ""en"")"),"alisa")</f>
        <v>alisa</v>
      </c>
    </row>
    <row r="48963">
      <c r="A48963" s="1" t="s">
        <v>48962</v>
      </c>
      <c r="B48963" s="2" t="str">
        <f>IFERROR(__xludf.DUMMYFUNCTION("GOOGLETRANSLATE(A48963, ""de"", ""en"")"),"belli")</f>
        <v>belli</v>
      </c>
    </row>
    <row r="48964">
      <c r="A48964" s="1" t="s">
        <v>48963</v>
      </c>
      <c r="B48964" s="2" t="str">
        <f>IFERROR(__xludf.DUMMYFUNCTION("GOOGLETRANSLATE(A48964, ""de"", ""en"")"),"hallway")</f>
        <v>hallway</v>
      </c>
    </row>
    <row r="48965">
      <c r="A48965" s="1" t="s">
        <v>48964</v>
      </c>
      <c r="B48965" s="2" t="str">
        <f>IFERROR(__xludf.DUMMYFUNCTION("GOOGLETRANSLATE(A48965, ""de"", ""en"")"),"fire engine")</f>
        <v>fire engine</v>
      </c>
    </row>
    <row r="48966">
      <c r="A48966" s="1" t="s">
        <v>48965</v>
      </c>
      <c r="B48966" s="2" t="str">
        <f>IFERROR(__xludf.DUMMYFUNCTION("GOOGLETRANSLATE(A48966, ""de"", ""en"")"),"foie")</f>
        <v>foie</v>
      </c>
    </row>
    <row r="48967">
      <c r="A48967" s="1" t="s">
        <v>48966</v>
      </c>
      <c r="B48967" s="2" t="str">
        <f>IFERROR(__xludf.DUMMYFUNCTION("GOOGLETRANSLATE(A48967, ""de"", ""en"")"),"acute")</f>
        <v>acute</v>
      </c>
    </row>
    <row r="48968">
      <c r="A48968" s="1" t="s">
        <v>48967</v>
      </c>
      <c r="B48968" s="2" t="str">
        <f>IFERROR(__xludf.DUMMYFUNCTION("GOOGLETRANSLATE(A48968, ""de"", ""en"")"),"moved here")</f>
        <v>moved here</v>
      </c>
    </row>
    <row r="48969">
      <c r="A48969" s="1" t="s">
        <v>48968</v>
      </c>
      <c r="B48969" s="2" t="str">
        <f>IFERROR(__xludf.DUMMYFUNCTION("GOOGLETRANSLATE(A48969, ""de"", ""en"")"),"merchant")</f>
        <v>merchant</v>
      </c>
    </row>
    <row r="48970">
      <c r="A48970" s="1" t="s">
        <v>48969</v>
      </c>
      <c r="B48970" s="2" t="str">
        <f>IFERROR(__xludf.DUMMYFUNCTION("GOOGLETRANSLATE(A48970, ""de"", ""en"")"),"cramp")</f>
        <v>cramp</v>
      </c>
    </row>
    <row r="48971">
      <c r="A48971" s="1" t="s">
        <v>48970</v>
      </c>
      <c r="B48971" s="2" t="str">
        <f>IFERROR(__xludf.DUMMYFUNCTION("GOOGLETRANSLATE(A48971, ""de"", ""en"")"),"confronted")</f>
        <v>confronted</v>
      </c>
    </row>
    <row r="48972">
      <c r="A48972" s="1" t="s">
        <v>48971</v>
      </c>
      <c r="B48972" s="2" t="str">
        <f>IFERROR(__xludf.DUMMYFUNCTION("GOOGLETRANSLATE(A48972, ""de"", ""en"")"),"Kepler")</f>
        <v>Kepler</v>
      </c>
    </row>
    <row r="48973">
      <c r="A48973" s="1" t="s">
        <v>48972</v>
      </c>
      <c r="B48973" s="2" t="str">
        <f>IFERROR(__xludf.DUMMYFUNCTION("GOOGLETRANSLATE(A48973, ""de"", ""en"")"),"video cameras")</f>
        <v>video cameras</v>
      </c>
    </row>
    <row r="48974">
      <c r="A48974" s="1" t="s">
        <v>48973</v>
      </c>
      <c r="B48974" s="2" t="str">
        <f>IFERROR(__xludf.DUMMYFUNCTION("GOOGLETRANSLATE(A48974, ""de"", ""en"")"),"work up")</f>
        <v>work up</v>
      </c>
    </row>
    <row r="48975">
      <c r="A48975" s="1" t="s">
        <v>48974</v>
      </c>
      <c r="B48975" s="2" t="str">
        <f>IFERROR(__xludf.DUMMYFUNCTION("GOOGLETRANSLATE(A48975, ""de"", ""en"")"),"mija")</f>
        <v>mija</v>
      </c>
    </row>
    <row r="48976">
      <c r="A48976" s="1" t="s">
        <v>48975</v>
      </c>
      <c r="B48976" s="2" t="str">
        <f>IFERROR(__xludf.DUMMYFUNCTION("GOOGLETRANSLATE(A48976, ""de"", ""en"")"),"mangy")</f>
        <v>mangy</v>
      </c>
    </row>
    <row r="48977">
      <c r="A48977" s="1" t="s">
        <v>48976</v>
      </c>
      <c r="B48977" s="2" t="str">
        <f>IFERROR(__xludf.DUMMYFUNCTION("GOOGLETRANSLATE(A48977, ""de"", ""en"")"),"drea")</f>
        <v>drea</v>
      </c>
    </row>
    <row r="48978">
      <c r="A48978" s="1" t="s">
        <v>48977</v>
      </c>
      <c r="B48978" s="2" t="str">
        <f>IFERROR(__xludf.DUMMYFUNCTION("GOOGLETRANSLATE(A48978, ""de"", ""en"")"),"academic")</f>
        <v>academic</v>
      </c>
    </row>
    <row r="48979">
      <c r="A48979" s="1" t="s">
        <v>48978</v>
      </c>
      <c r="B48979" s="2" t="str">
        <f>IFERROR(__xludf.DUMMYFUNCTION("GOOGLETRANSLATE(A48979, ""de"", ""en"")"),"anesthetist")</f>
        <v>anesthetist</v>
      </c>
    </row>
    <row r="48980">
      <c r="A48980" s="1" t="s">
        <v>48979</v>
      </c>
      <c r="B48980" s="2" t="str">
        <f>IFERROR(__xludf.DUMMYFUNCTION("GOOGLETRANSLATE(A48980, ""de"", ""en"")"),"cowards")</f>
        <v>cowards</v>
      </c>
    </row>
    <row r="48981">
      <c r="A48981" s="1" t="s">
        <v>48980</v>
      </c>
      <c r="B48981" s="2" t="str">
        <f>IFERROR(__xludf.DUMMYFUNCTION("GOOGLETRANSLATE(A48981, ""de"", ""en"")"),"radford")</f>
        <v>radford</v>
      </c>
    </row>
    <row r="48982">
      <c r="A48982" s="1" t="s">
        <v>48981</v>
      </c>
      <c r="B48982" s="2" t="str">
        <f>IFERROR(__xludf.DUMMYFUNCTION("GOOGLETRANSLATE(A48982, ""de"", ""en"")"),"x-any")</f>
        <v>x-any</v>
      </c>
    </row>
    <row r="48983">
      <c r="A48983" s="1" t="s">
        <v>48982</v>
      </c>
      <c r="B48983" s="2" t="str">
        <f>IFERROR(__xludf.DUMMYFUNCTION("GOOGLETRANSLATE(A48983, ""de"", ""en"")"),"salty")</f>
        <v>salty</v>
      </c>
    </row>
    <row r="48984">
      <c r="A48984" s="1" t="s">
        <v>48983</v>
      </c>
      <c r="B48984" s="2" t="str">
        <f>IFERROR(__xludf.DUMMYFUNCTION("GOOGLETRANSLATE(A48984, ""de"", ""en"")"),"optically")</f>
        <v>optically</v>
      </c>
    </row>
    <row r="48985">
      <c r="A48985" s="1" t="s">
        <v>48984</v>
      </c>
      <c r="B48985" s="2" t="str">
        <f>IFERROR(__xludf.DUMMYFUNCTION("GOOGLETRANSLATE(A48985, ""de"", ""en"")"),"digestive tract")</f>
        <v>digestive tract</v>
      </c>
    </row>
    <row r="48986">
      <c r="A48986" s="1" t="s">
        <v>48985</v>
      </c>
      <c r="B48986" s="2" t="str">
        <f>IFERROR(__xludf.DUMMYFUNCTION("GOOGLETRANSLATE(A48986, ""de"", ""en"")"),"mani")</f>
        <v>mani</v>
      </c>
    </row>
    <row r="48987">
      <c r="A48987" s="1" t="s">
        <v>48986</v>
      </c>
      <c r="B48987" s="2" t="str">
        <f>IFERROR(__xludf.DUMMYFUNCTION("GOOGLETRANSLATE(A48987, ""de"", ""en"")"),"pulsates")</f>
        <v>pulsates</v>
      </c>
    </row>
    <row r="48988">
      <c r="A48988" s="1" t="s">
        <v>48987</v>
      </c>
      <c r="B48988" s="2" t="str">
        <f>IFERROR(__xludf.DUMMYFUNCTION("GOOGLETRANSLATE(A48988, ""de"", ""en"")"),"upper league")</f>
        <v>upper league</v>
      </c>
    </row>
    <row r="48989">
      <c r="A48989" s="1" t="s">
        <v>48988</v>
      </c>
      <c r="B48989" s="2" t="str">
        <f>IFERROR(__xludf.DUMMYFUNCTION("GOOGLETRANSLATE(A48989, ""de"", ""en"")"),"played poker")</f>
        <v>played poker</v>
      </c>
    </row>
    <row r="48990">
      <c r="A48990" s="1" t="s">
        <v>48989</v>
      </c>
      <c r="B48990" s="2" t="str">
        <f>IFERROR(__xludf.DUMMYFUNCTION("GOOGLETRANSLATE(A48990, ""de"", ""en"")"),"orange ones")</f>
        <v>orange ones</v>
      </c>
    </row>
    <row r="48991">
      <c r="A48991" s="1" t="s">
        <v>48990</v>
      </c>
      <c r="B48991" s="2" t="str">
        <f>IFERROR(__xludf.DUMMYFUNCTION("GOOGLETRANSLATE(A48991, ""de"", ""en"")"),"ahhhh")</f>
        <v>ahhhh</v>
      </c>
    </row>
    <row r="48992">
      <c r="A48992" s="1" t="s">
        <v>48991</v>
      </c>
      <c r="B48992" s="2" t="str">
        <f>IFERROR(__xludf.DUMMYFUNCTION("GOOGLETRANSLATE(A48992, ""de"", ""en"")"),"interstellar")</f>
        <v>interstellar</v>
      </c>
    </row>
    <row r="48993">
      <c r="A48993" s="1" t="s">
        <v>48992</v>
      </c>
      <c r="B48993" s="2" t="str">
        <f>IFERROR(__xludf.DUMMYFUNCTION("GOOGLETRANSLATE(A48993, ""de"", ""en"")"),"ground control")</f>
        <v>ground control</v>
      </c>
    </row>
    <row r="48994">
      <c r="A48994" s="1" t="s">
        <v>48993</v>
      </c>
      <c r="B48994" s="2" t="str">
        <f>IFERROR(__xludf.DUMMYFUNCTION("GOOGLETRANSLATE(A48994, ""de"", ""en"")"),"macoco")</f>
        <v>macoco</v>
      </c>
    </row>
    <row r="48995">
      <c r="A48995" s="1" t="s">
        <v>48994</v>
      </c>
      <c r="B48995" s="2" t="str">
        <f>IFERROR(__xludf.DUMMYFUNCTION("GOOGLETRANSLATE(A48995, ""de"", ""en"")"),"saxophone")</f>
        <v>saxophone</v>
      </c>
    </row>
    <row r="48996">
      <c r="A48996" s="1" t="s">
        <v>48995</v>
      </c>
      <c r="B48996" s="2" t="str">
        <f>IFERROR(__xludf.DUMMYFUNCTION("GOOGLETRANSLATE(A48996, ""de"", ""en"")"),"owl")</f>
        <v>owl</v>
      </c>
    </row>
    <row r="48997">
      <c r="A48997" s="1" t="s">
        <v>48996</v>
      </c>
      <c r="B48997" s="2" t="str">
        <f>IFERROR(__xludf.DUMMYFUNCTION("GOOGLETRANSLATE(A48997, ""de"", ""en"")"),"record")</f>
        <v>record</v>
      </c>
    </row>
    <row r="48998">
      <c r="A48998" s="1" t="s">
        <v>48997</v>
      </c>
      <c r="B48998" s="2" t="str">
        <f>IFERROR(__xludf.DUMMYFUNCTION("GOOGLETRANSLATE(A48998, ""de"", ""en"")"),"collectibles")</f>
        <v>collectibles</v>
      </c>
    </row>
    <row r="48999">
      <c r="A48999" s="1" t="s">
        <v>48998</v>
      </c>
      <c r="B48999" s="2" t="str">
        <f>IFERROR(__xludf.DUMMYFUNCTION("GOOGLETRANSLATE(A48999, ""de"", ""en"")"),"uncompromising")</f>
        <v>uncompromising</v>
      </c>
    </row>
    <row r="49000">
      <c r="A49000" s="1" t="s">
        <v>48999</v>
      </c>
      <c r="B49000" s="2" t="str">
        <f>IFERROR(__xludf.DUMMYFUNCTION("GOOGLETRANSLATE(A49000, ""de"", ""en"")"),"customs authority")</f>
        <v>customs authority</v>
      </c>
    </row>
    <row r="49001">
      <c r="A49001" s="1" t="s">
        <v>49000</v>
      </c>
      <c r="B49001" s="2" t="str">
        <f>IFERROR(__xludf.DUMMYFUNCTION("GOOGLETRANSLATE(A49001, ""de"", ""en"")"),"slim")</f>
        <v>slim</v>
      </c>
    </row>
    <row r="49002">
      <c r="A49002" s="1" t="s">
        <v>49001</v>
      </c>
      <c r="B49002" s="2" t="str">
        <f>IFERROR(__xludf.DUMMYFUNCTION("GOOGLETRANSLATE(A49002, ""de"", ""en"")"),"galleys")</f>
        <v>galleys</v>
      </c>
    </row>
    <row r="49003">
      <c r="A49003" s="1" t="s">
        <v>49002</v>
      </c>
      <c r="B49003" s="2" t="str">
        <f>IFERROR(__xludf.DUMMYFUNCTION("GOOGLETRANSLATE(A49003, ""de"", ""en"")"),"containers")</f>
        <v>containers</v>
      </c>
    </row>
    <row r="49004">
      <c r="A49004" s="1" t="s">
        <v>49003</v>
      </c>
      <c r="B49004" s="2" t="str">
        <f>IFERROR(__xludf.DUMMYFUNCTION("GOOGLETRANSLATE(A49004, ""de"", ""en"")"),"heterosexual")</f>
        <v>heterosexual</v>
      </c>
    </row>
    <row r="49005">
      <c r="A49005" s="1" t="s">
        <v>49004</v>
      </c>
      <c r="B49005" s="2" t="str">
        <f>IFERROR(__xludf.DUMMYFUNCTION("GOOGLETRANSLATE(A49005, ""de"", ""en"")"),"bumble")</f>
        <v>bumble</v>
      </c>
    </row>
    <row r="49006">
      <c r="A49006" s="1" t="s">
        <v>49005</v>
      </c>
      <c r="B49006" s="2" t="str">
        <f>IFERROR(__xludf.DUMMYFUNCTION("GOOGLETRANSLATE(A49006, ""de"", ""en"")"),"jamba")</f>
        <v>jamba</v>
      </c>
    </row>
    <row r="49007">
      <c r="A49007" s="1" t="s">
        <v>49006</v>
      </c>
      <c r="B49007" s="2" t="str">
        <f>IFERROR(__xludf.DUMMYFUNCTION("GOOGLETRANSLATE(A49007, ""de"", ""en"")"),"street names")</f>
        <v>street names</v>
      </c>
    </row>
    <row r="49008">
      <c r="A49008" s="1" t="s">
        <v>49007</v>
      </c>
      <c r="B49008" s="2" t="str">
        <f>IFERROR(__xludf.DUMMYFUNCTION("GOOGLETRANSLATE(A49008, ""de"", ""en"")"),"moro")</f>
        <v>moro</v>
      </c>
    </row>
    <row r="49009">
      <c r="A49009" s="1" t="s">
        <v>49008</v>
      </c>
      <c r="B49009" s="2" t="str">
        <f>IFERROR(__xludf.DUMMYFUNCTION("GOOGLETRANSLATE(A49009, ""de"", ""en"")"),"hypocritical")</f>
        <v>hypocritical</v>
      </c>
    </row>
    <row r="49010">
      <c r="A49010" s="1" t="s">
        <v>49009</v>
      </c>
      <c r="B49010" s="2" t="str">
        <f>IFERROR(__xludf.DUMMYFUNCTION("GOOGLETRANSLATE(A49010, ""de"", ""en"")"),"French women")</f>
        <v>French women</v>
      </c>
    </row>
    <row r="49011">
      <c r="A49011" s="1" t="s">
        <v>49010</v>
      </c>
      <c r="B49011" s="2" t="str">
        <f>IFERROR(__xludf.DUMMYFUNCTION("GOOGLETRANSLATE(A49011, ""de"", ""en"")"),"goodweather")</f>
        <v>goodweather</v>
      </c>
    </row>
    <row r="49012">
      <c r="A49012" s="1" t="s">
        <v>49011</v>
      </c>
      <c r="B49012" s="2" t="str">
        <f>IFERROR(__xludf.DUMMYFUNCTION("GOOGLETRANSLATE(A49012, ""de"", ""en"")"),"deedee")</f>
        <v>deedee</v>
      </c>
    </row>
    <row r="49013">
      <c r="A49013" s="1" t="s">
        <v>49012</v>
      </c>
      <c r="B49013" s="2" t="str">
        <f>IFERROR(__xludf.DUMMYFUNCTION("GOOGLETRANSLATE(A49013, ""de"", ""en"")"),"can")</f>
        <v>can</v>
      </c>
    </row>
    <row r="49014">
      <c r="A49014" s="1" t="s">
        <v>49013</v>
      </c>
      <c r="B49014" s="2" t="str">
        <f>IFERROR(__xludf.DUMMYFUNCTION("GOOGLETRANSLATE(A49014, ""de"", ""en"")"),"pushed around")</f>
        <v>pushed around</v>
      </c>
    </row>
    <row r="49015">
      <c r="A49015" s="1" t="s">
        <v>49014</v>
      </c>
      <c r="B49015" s="2" t="str">
        <f>IFERROR(__xludf.DUMMYFUNCTION("GOOGLETRANSLATE(A49015, ""de"", ""en"")"),"kurts")</f>
        <v>kurts</v>
      </c>
    </row>
    <row r="49016">
      <c r="A49016" s="1" t="s">
        <v>49015</v>
      </c>
      <c r="B49016" s="2" t="str">
        <f>IFERROR(__xludf.DUMMYFUNCTION("GOOGLETRANSLATE(A49016, ""de"", ""en"")"),"fleury")</f>
        <v>fleury</v>
      </c>
    </row>
    <row r="49017">
      <c r="A49017" s="1" t="s">
        <v>49016</v>
      </c>
      <c r="B49017" s="2" t="str">
        <f>IFERROR(__xludf.DUMMYFUNCTION("GOOGLETRANSLATE(A49017, ""de"", ""en"")"),"Reykjavik")</f>
        <v>Reykjavik</v>
      </c>
    </row>
    <row r="49018">
      <c r="A49018" s="1" t="s">
        <v>49017</v>
      </c>
      <c r="B49018" s="2" t="str">
        <f>IFERROR(__xludf.DUMMYFUNCTION("GOOGLETRANSLATE(A49018, ""de"", ""en"")"),"sacrifice")</f>
        <v>sacrifice</v>
      </c>
    </row>
    <row r="49019">
      <c r="A49019" s="1" t="s">
        <v>49018</v>
      </c>
      <c r="B49019" s="2" t="str">
        <f>IFERROR(__xludf.DUMMYFUNCTION("GOOGLETRANSLATE(A49019, ""de"", ""en"")"),"darken")</f>
        <v>darken</v>
      </c>
    </row>
    <row r="49020">
      <c r="A49020" s="1" t="s">
        <v>49019</v>
      </c>
      <c r="B49020" s="2" t="str">
        <f>IFERROR(__xludf.DUMMYFUNCTION("GOOGLETRANSLATE(A49020, ""de"", ""en"")"),"suggestive")</f>
        <v>suggestive</v>
      </c>
    </row>
    <row r="49021">
      <c r="A49021" s="1" t="s">
        <v>49020</v>
      </c>
      <c r="B49021" s="2" t="str">
        <f>IFERROR(__xludf.DUMMYFUNCTION("GOOGLETRANSLATE(A49021, ""de"", ""en"")"),"mclaughlin")</f>
        <v>mclaughlin</v>
      </c>
    </row>
    <row r="49022">
      <c r="A49022" s="1" t="s">
        <v>49021</v>
      </c>
      <c r="B49022" s="2" t="str">
        <f>IFERROR(__xludf.DUMMYFUNCTION("GOOGLETRANSLATE(A49022, ""de"", ""en"")"),"handling")</f>
        <v>handling</v>
      </c>
    </row>
    <row r="49023">
      <c r="A49023" s="1" t="s">
        <v>49022</v>
      </c>
      <c r="B49023" s="2" t="str">
        <f>IFERROR(__xludf.DUMMYFUNCTION("GOOGLETRANSLATE(A49023, ""de"", ""en"")"),"goodness of heart")</f>
        <v>goodness of heart</v>
      </c>
    </row>
    <row r="49024">
      <c r="A49024" s="1" t="s">
        <v>49023</v>
      </c>
      <c r="B49024" s="2" t="str">
        <f>IFERROR(__xludf.DUMMYFUNCTION("GOOGLETRANSLATE(A49024, ""de"", ""en"")"),"jeannies")</f>
        <v>jeannies</v>
      </c>
    </row>
    <row r="49025">
      <c r="A49025" s="1" t="s">
        <v>49024</v>
      </c>
      <c r="B49025" s="2" t="str">
        <f>IFERROR(__xludf.DUMMYFUNCTION("GOOGLETRANSLATE(A49025, ""de"", ""en"")"),"greys")</f>
        <v>greys</v>
      </c>
    </row>
    <row r="49026">
      <c r="A49026" s="1" t="s">
        <v>49025</v>
      </c>
      <c r="B49026" s="2" t="str">
        <f>IFERROR(__xludf.DUMMYFUNCTION("GOOGLETRANSLATE(A49026, ""de"", ""en"")"),"thursby")</f>
        <v>thursby</v>
      </c>
    </row>
    <row r="49027">
      <c r="A49027" s="1" t="s">
        <v>49026</v>
      </c>
      <c r="B49027" s="2" t="str">
        <f>IFERROR(__xludf.DUMMYFUNCTION("GOOGLETRANSLATE(A49027, ""de"", ""en"")"),"Limoges")</f>
        <v>Limoges</v>
      </c>
    </row>
    <row r="49028">
      <c r="A49028" s="1" t="s">
        <v>49027</v>
      </c>
      <c r="B49028" s="2" t="str">
        <f>IFERROR(__xludf.DUMMYFUNCTION("GOOGLETRANSLATE(A49028, ""de"", ""en"")"),"is flourishing")</f>
        <v>is flourishing</v>
      </c>
    </row>
    <row r="49029">
      <c r="A49029" s="1" t="s">
        <v>49028</v>
      </c>
      <c r="B49029" s="2" t="str">
        <f>IFERROR(__xludf.DUMMYFUNCTION("GOOGLETRANSLATE(A49029, ""de"", ""en"")"),"stand on it")</f>
        <v>stand on it</v>
      </c>
    </row>
    <row r="49030">
      <c r="A49030" s="1" t="s">
        <v>49029</v>
      </c>
      <c r="B49030" s="2" t="str">
        <f>IFERROR(__xludf.DUMMYFUNCTION("GOOGLETRANSLATE(A49030, ""de"", ""en"")"),"pieces of jewelry")</f>
        <v>pieces of jewelry</v>
      </c>
    </row>
    <row r="49031">
      <c r="A49031" s="1" t="s">
        <v>49030</v>
      </c>
      <c r="B49031" s="2" t="str">
        <f>IFERROR(__xludf.DUMMYFUNCTION("GOOGLETRANSLATE(A49031, ""de"", ""en"")"),"verena")</f>
        <v>verena</v>
      </c>
    </row>
    <row r="49032">
      <c r="A49032" s="1" t="s">
        <v>49031</v>
      </c>
      <c r="B49032" s="2" t="str">
        <f>IFERROR(__xludf.DUMMYFUNCTION("GOOGLETRANSLATE(A49032, ""de"", ""en"")"),"tristin")</f>
        <v>tristin</v>
      </c>
    </row>
    <row r="49033">
      <c r="A49033" s="1" t="s">
        <v>49032</v>
      </c>
      <c r="B49033" s="2" t="str">
        <f>IFERROR(__xludf.DUMMYFUNCTION("GOOGLETRANSLATE(A49033, ""de"", ""en"")"),"moaned")</f>
        <v>moaned</v>
      </c>
    </row>
    <row r="49034">
      <c r="A49034" s="1" t="s">
        <v>49033</v>
      </c>
      <c r="B49034" s="2" t="str">
        <f>IFERROR(__xludf.DUMMYFUNCTION("GOOGLETRANSLATE(A49034, ""de"", ""en"")"),"bacillus")</f>
        <v>bacillus</v>
      </c>
    </row>
    <row r="49035">
      <c r="A49035" s="1" t="s">
        <v>49034</v>
      </c>
      <c r="B49035" s="2" t="str">
        <f>IFERROR(__xludf.DUMMYFUNCTION("GOOGLETRANSLATE(A49035, ""de"", ""en"")"),"non-profit")</f>
        <v>non-profit</v>
      </c>
    </row>
    <row r="49036">
      <c r="A49036" s="1" t="s">
        <v>49035</v>
      </c>
      <c r="B49036" s="2" t="str">
        <f>IFERROR(__xludf.DUMMYFUNCTION("GOOGLETRANSLATE(A49036, ""de"", ""en"")"),"Drewe")</f>
        <v>Drewe</v>
      </c>
    </row>
    <row r="49037">
      <c r="A49037" s="1" t="s">
        <v>49036</v>
      </c>
      <c r="B49037" s="2" t="str">
        <f>IFERROR(__xludf.DUMMYFUNCTION("GOOGLETRANSLATE(A49037, ""de"", ""en"")"),"refused")</f>
        <v>refused</v>
      </c>
    </row>
    <row r="49038">
      <c r="A49038" s="1" t="s">
        <v>49037</v>
      </c>
      <c r="B49038" s="2" t="str">
        <f>IFERROR(__xludf.DUMMYFUNCTION("GOOGLETRANSLATE(A49038, ""de"", ""en"")"),"withdrawn")</f>
        <v>withdrawn</v>
      </c>
    </row>
    <row r="49039">
      <c r="A49039" s="1" t="s">
        <v>49038</v>
      </c>
      <c r="B49039" s="2" t="str">
        <f>IFERROR(__xludf.DUMMYFUNCTION("GOOGLETRANSLATE(A49039, ""de"", ""en"")"),"visiting hours")</f>
        <v>visiting hours</v>
      </c>
    </row>
    <row r="49040">
      <c r="A49040" s="1" t="s">
        <v>49039</v>
      </c>
      <c r="B49040" s="2" t="str">
        <f>IFERROR(__xludf.DUMMYFUNCTION("GOOGLETRANSLATE(A49040, ""de"", ""en"")"),"multimillionaire")</f>
        <v>multimillionaire</v>
      </c>
    </row>
    <row r="49041">
      <c r="A49041" s="1" t="s">
        <v>49040</v>
      </c>
      <c r="B49041" s="2" t="str">
        <f>IFERROR(__xludf.DUMMYFUNCTION("GOOGLETRANSLATE(A49041, ""de"", ""en"")"),"haddock")</f>
        <v>haddock</v>
      </c>
    </row>
    <row r="49042">
      <c r="A49042" s="1" t="s">
        <v>49041</v>
      </c>
      <c r="B49042" s="2" t="str">
        <f>IFERROR(__xludf.DUMMYFUNCTION("GOOGLETRANSLATE(A49042, ""de"", ""en"")"),"carvings")</f>
        <v>carvings</v>
      </c>
    </row>
    <row r="49043">
      <c r="A49043" s="1" t="s">
        <v>49042</v>
      </c>
      <c r="B49043" s="2" t="str">
        <f>IFERROR(__xludf.DUMMYFUNCTION("GOOGLETRANSLATE(A49043, ""de"", ""en"")"),"emerge")</f>
        <v>emerge</v>
      </c>
    </row>
    <row r="49044">
      <c r="A49044" s="1" t="s">
        <v>49043</v>
      </c>
      <c r="B49044" s="2" t="str">
        <f>IFERROR(__xludf.DUMMYFUNCTION("GOOGLETRANSLATE(A49044, ""de"", ""en"")"),"mike")</f>
        <v>mike</v>
      </c>
    </row>
    <row r="49045">
      <c r="A49045" s="1" t="s">
        <v>49044</v>
      </c>
      <c r="B49045" s="2" t="str">
        <f>IFERROR(__xludf.DUMMYFUNCTION("GOOGLETRANSLATE(A49045, ""de"", ""en"")"),"pursue")</f>
        <v>pursue</v>
      </c>
    </row>
    <row r="49046">
      <c r="A49046" s="1" t="s">
        <v>49045</v>
      </c>
      <c r="B49046" s="2" t="str">
        <f>IFERROR(__xludf.DUMMYFUNCTION("GOOGLETRANSLATE(A49046, ""de"", ""en"")"),"crooked")</f>
        <v>crooked</v>
      </c>
    </row>
    <row r="49047">
      <c r="A49047" s="1" t="s">
        <v>49046</v>
      </c>
      <c r="B49047" s="2" t="str">
        <f>IFERROR(__xludf.DUMMYFUNCTION("GOOGLETRANSLATE(A49047, ""de"", ""en"")"),"took")</f>
        <v>took</v>
      </c>
    </row>
    <row r="49048">
      <c r="A49048" s="1" t="s">
        <v>49047</v>
      </c>
      <c r="B49048" s="2" t="str">
        <f>IFERROR(__xludf.DUMMYFUNCTION("GOOGLETRANSLATE(A49048, ""de"", ""en"")"),"threatened")</f>
        <v>threatened</v>
      </c>
    </row>
    <row r="49049">
      <c r="A49049" s="1" t="s">
        <v>49048</v>
      </c>
      <c r="B49049" s="2" t="str">
        <f>IFERROR(__xludf.DUMMYFUNCTION("GOOGLETRANSLATE(A49049, ""de"", ""en"")"),"malignancy")</f>
        <v>malignancy</v>
      </c>
    </row>
    <row r="49050">
      <c r="A49050" s="1" t="s">
        <v>49049</v>
      </c>
      <c r="B49050" s="2" t="str">
        <f>IFERROR(__xludf.DUMMYFUNCTION("GOOGLETRANSLATE(A49050, ""de"", ""en"")"),"more plastic")</f>
        <v>more plastic</v>
      </c>
    </row>
    <row r="49051">
      <c r="A49051" s="1" t="s">
        <v>49050</v>
      </c>
      <c r="B49051" s="2" t="str">
        <f>IFERROR(__xludf.DUMMYFUNCTION("GOOGLETRANSLATE(A49051, ""de"", ""en"")"),"whiter")</f>
        <v>whiter</v>
      </c>
    </row>
    <row r="49052">
      <c r="A49052" s="1" t="s">
        <v>49051</v>
      </c>
      <c r="B49052" s="2" t="str">
        <f>IFERROR(__xludf.DUMMYFUNCTION("GOOGLETRANSLATE(A49052, ""de"", ""en"")"),"secondary")</f>
        <v>secondary</v>
      </c>
    </row>
    <row r="49053">
      <c r="A49053" s="1" t="s">
        <v>49052</v>
      </c>
      <c r="B49053" s="2" t="str">
        <f>IFERROR(__xludf.DUMMYFUNCTION("GOOGLETRANSLATE(A49053, ""de"", ""en"")"),"straight")</f>
        <v>straight</v>
      </c>
    </row>
    <row r="49054">
      <c r="A49054" s="1" t="s">
        <v>49053</v>
      </c>
      <c r="B49054" s="2" t="str">
        <f>IFERROR(__xludf.DUMMYFUNCTION("GOOGLETRANSLATE(A49054, ""de"", ""en"")"),"unlawful")</f>
        <v>unlawful</v>
      </c>
    </row>
    <row r="49055">
      <c r="A49055" s="1" t="s">
        <v>49054</v>
      </c>
      <c r="B49055" s="2" t="str">
        <f>IFERROR(__xludf.DUMMYFUNCTION("GOOGLETRANSLATE(A49055, ""de"", ""en"")"),"lower house")</f>
        <v>lower house</v>
      </c>
    </row>
    <row r="49056">
      <c r="A49056" s="1" t="s">
        <v>49055</v>
      </c>
      <c r="B49056" s="2" t="str">
        <f>IFERROR(__xludf.DUMMYFUNCTION("GOOGLETRANSLATE(A49056, ""de"", ""en"")"),"motionless")</f>
        <v>motionless</v>
      </c>
    </row>
    <row r="49057">
      <c r="A49057" s="1" t="s">
        <v>49056</v>
      </c>
      <c r="B49057" s="2" t="str">
        <f>IFERROR(__xludf.DUMMYFUNCTION("GOOGLETRANSLATE(A49057, ""de"", ""en"")"),"pell")</f>
        <v>pell</v>
      </c>
    </row>
    <row r="49058">
      <c r="A49058" s="1" t="s">
        <v>49057</v>
      </c>
      <c r="B49058" s="2" t="str">
        <f>IFERROR(__xludf.DUMMYFUNCTION("GOOGLETRANSLATE(A49058, ""de"", ""en"")"),"Stacie")</f>
        <v>Stacie</v>
      </c>
    </row>
    <row r="49059">
      <c r="A49059" s="1" t="s">
        <v>49058</v>
      </c>
      <c r="B49059" s="2" t="str">
        <f>IFERROR(__xludf.DUMMYFUNCTION("GOOGLETRANSLATE(A49059, ""de"", ""en"")"),"Marchese")</f>
        <v>Marchese</v>
      </c>
    </row>
    <row r="49060">
      <c r="A49060" s="1" t="s">
        <v>49059</v>
      </c>
      <c r="B49060" s="2" t="str">
        <f>IFERROR(__xludf.DUMMYFUNCTION("GOOGLETRANSLATE(A49060, ""de"", ""en"")"),"nuclear")</f>
        <v>nuclear</v>
      </c>
    </row>
    <row r="49061">
      <c r="A49061" s="1" t="s">
        <v>49060</v>
      </c>
      <c r="B49061" s="2" t="str">
        <f>IFERROR(__xludf.DUMMYFUNCTION("GOOGLETRANSLATE(A49061, ""de"", ""en"")"),"soccer training")</f>
        <v>soccer training</v>
      </c>
    </row>
    <row r="49062">
      <c r="A49062" s="1" t="s">
        <v>49061</v>
      </c>
      <c r="B49062" s="2" t="str">
        <f>IFERROR(__xludf.DUMMYFUNCTION("GOOGLETRANSLATE(A49062, ""de"", ""en"")"),"used to")</f>
        <v>used to</v>
      </c>
    </row>
    <row r="49063">
      <c r="A49063" s="1" t="s">
        <v>49062</v>
      </c>
      <c r="B49063" s="2" t="str">
        <f>IFERROR(__xludf.DUMMYFUNCTION("GOOGLETRANSLATE(A49063, ""de"", ""en"")"),"cupbearer")</f>
        <v>cupbearer</v>
      </c>
    </row>
    <row r="49064">
      <c r="A49064" s="1" t="s">
        <v>49063</v>
      </c>
      <c r="B49064" s="2" t="str">
        <f>IFERROR(__xludf.DUMMYFUNCTION("GOOGLETRANSLATE(A49064, ""de"", ""en"")"),"declaration of consent")</f>
        <v>declaration of consent</v>
      </c>
    </row>
    <row r="49065">
      <c r="A49065" s="1" t="s">
        <v>49064</v>
      </c>
      <c r="B49065" s="2" t="str">
        <f>IFERROR(__xludf.DUMMYFUNCTION("GOOGLETRANSLATE(A49065, ""de"", ""en"")"),"insured")</f>
        <v>insured</v>
      </c>
    </row>
    <row r="49066">
      <c r="A49066" s="1" t="s">
        <v>49065</v>
      </c>
      <c r="B49066" s="2" t="str">
        <f>IFERROR(__xludf.DUMMYFUNCTION("GOOGLETRANSLATE(A49066, ""de"", ""en"")"),"gian")</f>
        <v>gian</v>
      </c>
    </row>
    <row r="49067">
      <c r="A49067" s="1" t="s">
        <v>49066</v>
      </c>
      <c r="B49067" s="2" t="str">
        <f>IFERROR(__xludf.DUMMYFUNCTION("GOOGLETRANSLATE(A49067, ""de"", ""en"")"),"reduced")</f>
        <v>reduced</v>
      </c>
    </row>
    <row r="49068">
      <c r="A49068" s="1" t="s">
        <v>49067</v>
      </c>
      <c r="B49068" s="2" t="str">
        <f>IFERROR(__xludf.DUMMYFUNCTION("GOOGLETRANSLATE(A49068, ""de"", ""en"")"),"fuad")</f>
        <v>fuad</v>
      </c>
    </row>
    <row r="49069">
      <c r="A49069" s="1" t="s">
        <v>49068</v>
      </c>
      <c r="B49069" s="2" t="str">
        <f>IFERROR(__xludf.DUMMYFUNCTION("GOOGLETRANSLATE(A49069, ""de"", ""en"")"),"eloquent")</f>
        <v>eloquent</v>
      </c>
    </row>
    <row r="49070">
      <c r="A49070" s="1" t="s">
        <v>49069</v>
      </c>
      <c r="B49070" s="2" t="str">
        <f>IFERROR(__xludf.DUMMYFUNCTION("GOOGLETRANSLATE(A49070, ""de"", ""en"")"),"wish list")</f>
        <v>wish list</v>
      </c>
    </row>
    <row r="49071">
      <c r="A49071" s="1" t="s">
        <v>49070</v>
      </c>
      <c r="B49071" s="2" t="str">
        <f>IFERROR(__xludf.DUMMYFUNCTION("GOOGLETRANSLATE(A49071, ""de"", ""en"")"),"housewarming party")</f>
        <v>housewarming party</v>
      </c>
    </row>
    <row r="49072">
      <c r="A49072" s="1" t="s">
        <v>49071</v>
      </c>
      <c r="B49072" s="2" t="str">
        <f>IFERROR(__xludf.DUMMYFUNCTION("GOOGLETRANSLATE(A49072, ""de"", ""en"")"),"manpower")</f>
        <v>manpower</v>
      </c>
    </row>
    <row r="49073">
      <c r="A49073" s="1" t="s">
        <v>49072</v>
      </c>
      <c r="B49073" s="2" t="str">
        <f>IFERROR(__xludf.DUMMYFUNCTION("GOOGLETRANSLATE(A49073, ""de"", ""en"")"),"rahim")</f>
        <v>rahim</v>
      </c>
    </row>
    <row r="49074">
      <c r="A49074" s="1" t="s">
        <v>49073</v>
      </c>
      <c r="B49074" s="2" t="str">
        <f>IFERROR(__xludf.DUMMYFUNCTION("GOOGLETRANSLATE(A49074, ""de"", ""en"")"),"main switch")</f>
        <v>main switch</v>
      </c>
    </row>
    <row r="49075">
      <c r="A49075" s="1" t="s">
        <v>49074</v>
      </c>
      <c r="B49075" s="2" t="str">
        <f>IFERROR(__xludf.DUMMYFUNCTION("GOOGLETRANSLATE(A49075, ""de"", ""en"")"),"string sounds")</f>
        <v>string sounds</v>
      </c>
    </row>
    <row r="49076">
      <c r="A49076" s="1" t="s">
        <v>49075</v>
      </c>
      <c r="B49076" s="2" t="str">
        <f>IFERROR(__xludf.DUMMYFUNCTION("GOOGLETRANSLATE(A49076, ""de"", ""en"")"),"mulholland")</f>
        <v>mulholland</v>
      </c>
    </row>
    <row r="49077">
      <c r="A49077" s="1" t="s">
        <v>49076</v>
      </c>
      <c r="B49077" s="2" t="str">
        <f>IFERROR(__xludf.DUMMYFUNCTION("GOOGLETRANSLATE(A49077, ""de"", ""en"")"),"respectable")</f>
        <v>respectable</v>
      </c>
    </row>
    <row r="49078">
      <c r="A49078" s="1" t="s">
        <v>49077</v>
      </c>
      <c r="B49078" s="2" t="str">
        <f>IFERROR(__xludf.DUMMYFUNCTION("GOOGLETRANSLATE(A49078, ""de"", ""en"")"),"arose")</f>
        <v>arose</v>
      </c>
    </row>
    <row r="49079">
      <c r="A49079" s="1" t="s">
        <v>49078</v>
      </c>
      <c r="B49079" s="2" t="str">
        <f>IFERROR(__xludf.DUMMYFUNCTION("GOOGLETRANSLATE(A49079, ""de"", ""en"")"),"greeting frequencies")</f>
        <v>greeting frequencies</v>
      </c>
    </row>
    <row r="49080">
      <c r="A49080" s="1" t="s">
        <v>49079</v>
      </c>
      <c r="B49080" s="2" t="str">
        <f>IFERROR(__xludf.DUMMYFUNCTION("GOOGLETRANSLATE(A49080, ""de"", ""en"")"),"castration")</f>
        <v>castration</v>
      </c>
    </row>
    <row r="49081">
      <c r="A49081" s="1" t="s">
        <v>49080</v>
      </c>
      <c r="B49081" s="2" t="str">
        <f>IFERROR(__xludf.DUMMYFUNCTION("GOOGLETRANSLATE(A49081, ""de"", ""en"")"),"twan")</f>
        <v>twan</v>
      </c>
    </row>
    <row r="49082">
      <c r="A49082" s="1" t="s">
        <v>49081</v>
      </c>
      <c r="B49082" s="2" t="str">
        <f>IFERROR(__xludf.DUMMYFUNCTION("GOOGLETRANSLATE(A49082, ""de"", ""en"")"),"suitable")</f>
        <v>suitable</v>
      </c>
    </row>
    <row r="49083">
      <c r="A49083" s="1" t="s">
        <v>49082</v>
      </c>
      <c r="B49083" s="2" t="str">
        <f>IFERROR(__xludf.DUMMYFUNCTION("GOOGLETRANSLATE(A49083, ""de"", ""en"")"),"ilan")</f>
        <v>ilan</v>
      </c>
    </row>
    <row r="49084">
      <c r="A49084" s="1" t="s">
        <v>49083</v>
      </c>
      <c r="B49084" s="2" t="str">
        <f>IFERROR(__xludf.DUMMYFUNCTION("GOOGLETRANSLATE(A49084, ""de"", ""en"")"),"tattooed")</f>
        <v>tattooed</v>
      </c>
    </row>
    <row r="49085">
      <c r="A49085" s="1" t="s">
        <v>49084</v>
      </c>
      <c r="B49085" s="2" t="str">
        <f>IFERROR(__xludf.DUMMYFUNCTION("GOOGLETRANSLATE(A49085, ""de"", ""en"")"),"mocked")</f>
        <v>mocked</v>
      </c>
    </row>
    <row r="49086">
      <c r="A49086" s="1" t="s">
        <v>49085</v>
      </c>
      <c r="B49086" s="2" t="str">
        <f>IFERROR(__xludf.DUMMYFUNCTION("GOOGLETRANSLATE(A49086, ""de"", ""en"")"),"to penetrate")</f>
        <v>to penetrate</v>
      </c>
    </row>
    <row r="49087">
      <c r="A49087" s="1" t="s">
        <v>49086</v>
      </c>
      <c r="B49087" s="2" t="str">
        <f>IFERROR(__xludf.DUMMYFUNCTION("GOOGLETRANSLATE(A49087, ""de"", ""en"")"),"rinse")</f>
        <v>rinse</v>
      </c>
    </row>
    <row r="49088">
      <c r="A49088" s="1" t="s">
        <v>49087</v>
      </c>
      <c r="B49088" s="2" t="str">
        <f>IFERROR(__xludf.DUMMYFUNCTION("GOOGLETRANSLATE(A49088, ""de"", ""en"")"),"lively")</f>
        <v>lively</v>
      </c>
    </row>
    <row r="49089">
      <c r="A49089" s="1" t="s">
        <v>49088</v>
      </c>
      <c r="B49089" s="2" t="str">
        <f>IFERROR(__xludf.DUMMYFUNCTION("GOOGLETRANSLATE(A49089, ""de"", ""en"")"),"Reims")</f>
        <v>Reims</v>
      </c>
    </row>
    <row r="49090">
      <c r="A49090" s="1" t="s">
        <v>49089</v>
      </c>
      <c r="B49090" s="2" t="str">
        <f>IFERROR(__xludf.DUMMYFUNCTION("GOOGLETRANSLATE(A49090, ""de"", ""en"")"),"notebook")</f>
        <v>notebook</v>
      </c>
    </row>
    <row r="49091">
      <c r="A49091" s="1" t="s">
        <v>49090</v>
      </c>
      <c r="B49091" s="2" t="str">
        <f>IFERROR(__xludf.DUMMYFUNCTION("GOOGLETRANSLATE(A49091, ""de"", ""en"")"),"choreography")</f>
        <v>choreography</v>
      </c>
    </row>
    <row r="49092">
      <c r="A49092" s="1" t="s">
        <v>49091</v>
      </c>
      <c r="B49092" s="2" t="str">
        <f>IFERROR(__xludf.DUMMYFUNCTION("GOOGLETRANSLATE(A49092, ""de"", ""en"")"),"music lessons")</f>
        <v>music lessons</v>
      </c>
    </row>
    <row r="49093">
      <c r="A49093" s="1" t="s">
        <v>49092</v>
      </c>
      <c r="B49093" s="2" t="str">
        <f>IFERROR(__xludf.DUMMYFUNCTION("GOOGLETRANSLATE(A49093, ""de"", ""en"")"),"gayi")</f>
        <v>gayi</v>
      </c>
    </row>
    <row r="49094">
      <c r="A49094" s="1" t="s">
        <v>49093</v>
      </c>
      <c r="B49094" s="2" t="str">
        <f>IFERROR(__xludf.DUMMYFUNCTION("GOOGLETRANSLATE(A49094, ""de"", ""en"")"),"beep")</f>
        <v>beep</v>
      </c>
    </row>
    <row r="49095">
      <c r="A49095" s="1" t="s">
        <v>49094</v>
      </c>
      <c r="B49095" s="2" t="str">
        <f>IFERROR(__xludf.DUMMYFUNCTION("GOOGLETRANSLATE(A49095, ""de"", ""en"")"),"wrote")</f>
        <v>wrote</v>
      </c>
    </row>
    <row r="49096">
      <c r="A49096" s="1" t="s">
        <v>49095</v>
      </c>
      <c r="B49096" s="2" t="str">
        <f>IFERROR(__xludf.DUMMYFUNCTION("GOOGLETRANSLATE(A49096, ""de"", ""en"")"),"productive")</f>
        <v>productive</v>
      </c>
    </row>
    <row r="49097">
      <c r="A49097" s="1" t="s">
        <v>49096</v>
      </c>
      <c r="B49097" s="2" t="str">
        <f>IFERROR(__xludf.DUMMYFUNCTION("GOOGLETRANSLATE(A49097, ""de"", ""en"")"),"East Africa")</f>
        <v>East Africa</v>
      </c>
    </row>
    <row r="49098">
      <c r="A49098" s="1" t="s">
        <v>49097</v>
      </c>
      <c r="B49098" s="2" t="str">
        <f>IFERROR(__xludf.DUMMYFUNCTION("GOOGLETRANSLATE(A49098, ""de"", ""en"")"),"crime rate")</f>
        <v>crime rate</v>
      </c>
    </row>
    <row r="49099">
      <c r="A49099" s="1" t="s">
        <v>49098</v>
      </c>
      <c r="B49099" s="2" t="str">
        <f>IFERROR(__xludf.DUMMYFUNCTION("GOOGLETRANSLATE(A49099, ""de"", ""en"")"),"lor")</f>
        <v>lor</v>
      </c>
    </row>
    <row r="49100">
      <c r="A49100" s="1" t="s">
        <v>49099</v>
      </c>
      <c r="B49100" s="2" t="str">
        <f>IFERROR(__xludf.DUMMYFUNCTION("GOOGLETRANSLATE(A49100, ""de"", ""en"")"),"promote")</f>
        <v>promote</v>
      </c>
    </row>
    <row r="49101">
      <c r="A49101" s="1" t="s">
        <v>49100</v>
      </c>
      <c r="B49101" s="2" t="str">
        <f>IFERROR(__xludf.DUMMYFUNCTION("GOOGLETRANSLATE(A49101, ""de"", ""en"")"),"tough")</f>
        <v>tough</v>
      </c>
    </row>
    <row r="49102">
      <c r="A49102" s="1" t="s">
        <v>49101</v>
      </c>
      <c r="B49102" s="2" t="str">
        <f>IFERROR(__xludf.DUMMYFUNCTION("GOOGLETRANSLATE(A49102, ""de"", ""en"")"),"treasure island")</f>
        <v>treasure island</v>
      </c>
    </row>
    <row r="49103">
      <c r="A49103" s="1" t="s">
        <v>49102</v>
      </c>
      <c r="B49103" s="2" t="str">
        <f>IFERROR(__xludf.DUMMYFUNCTION("GOOGLETRANSLATE(A49103, ""de"", ""en"")"),"suck")</f>
        <v>suck</v>
      </c>
    </row>
    <row r="49104">
      <c r="A49104" s="1" t="s">
        <v>49103</v>
      </c>
      <c r="B49104" s="2" t="str">
        <f>IFERROR(__xludf.DUMMYFUNCTION("GOOGLETRANSLATE(A49104, ""de"", ""en"")"),"sent")</f>
        <v>sent</v>
      </c>
    </row>
    <row r="49105">
      <c r="A49105" s="1" t="s">
        <v>49104</v>
      </c>
      <c r="B49105" s="2" t="str">
        <f>IFERROR(__xludf.DUMMYFUNCTION("GOOGLETRANSLATE(A49105, ""de"", ""en"")"),"hated")</f>
        <v>hated</v>
      </c>
    </row>
    <row r="49106">
      <c r="A49106" s="1" t="s">
        <v>49105</v>
      </c>
      <c r="B49106" s="2" t="str">
        <f>IFERROR(__xludf.DUMMYFUNCTION("GOOGLETRANSLATE(A49106, ""de"", ""en"")"),"cic")</f>
        <v>cic</v>
      </c>
    </row>
    <row r="49107">
      <c r="A49107" s="1" t="s">
        <v>49106</v>
      </c>
      <c r="B49107" s="2" t="str">
        <f>IFERROR(__xludf.DUMMYFUNCTION("GOOGLETRANSLATE(A49107, ""de"", ""en"")"),"thick")</f>
        <v>thick</v>
      </c>
    </row>
    <row r="49108">
      <c r="A49108" s="1" t="s">
        <v>49107</v>
      </c>
      <c r="B49108" s="2" t="str">
        <f>IFERROR(__xludf.DUMMYFUNCTION("GOOGLETRANSLATE(A49108, ""de"", ""en"")"),"cath")</f>
        <v>cath</v>
      </c>
    </row>
    <row r="49109">
      <c r="A49109" s="1" t="s">
        <v>49108</v>
      </c>
      <c r="B49109" s="2" t="str">
        <f>IFERROR(__xludf.DUMMYFUNCTION("GOOGLETRANSLATE(A49109, ""de"", ""en"")"),"coexistence")</f>
        <v>coexistence</v>
      </c>
    </row>
    <row r="49110">
      <c r="A49110" s="1" t="s">
        <v>49109</v>
      </c>
      <c r="B49110" s="2" t="str">
        <f>IFERROR(__xludf.DUMMYFUNCTION("GOOGLETRANSLATE(A49110, ""de"", ""en"")"),"Transylvania")</f>
        <v>Transylvania</v>
      </c>
    </row>
    <row r="49111">
      <c r="A49111" s="1" t="s">
        <v>49110</v>
      </c>
      <c r="B49111" s="2" t="str">
        <f>IFERROR(__xludf.DUMMYFUNCTION("GOOGLETRANSLATE(A49111, ""de"", ""en"")"),"would bring")</f>
        <v>would bring</v>
      </c>
    </row>
    <row r="49112">
      <c r="A49112" s="1" t="s">
        <v>49111</v>
      </c>
      <c r="B49112" s="2" t="str">
        <f>IFERROR(__xludf.DUMMYFUNCTION("GOOGLETRANSLATE(A49112, ""de"", ""en"")"),"label")</f>
        <v>label</v>
      </c>
    </row>
    <row r="49113">
      <c r="A49113" s="1" t="s">
        <v>49112</v>
      </c>
      <c r="B49113" s="2" t="str">
        <f>IFERROR(__xludf.DUMMYFUNCTION("GOOGLETRANSLATE(A49113, ""de"", ""en"")"),"trustworthy")</f>
        <v>trustworthy</v>
      </c>
    </row>
    <row r="49114">
      <c r="A49114" s="1" t="s">
        <v>49113</v>
      </c>
      <c r="B49114" s="2" t="str">
        <f>IFERROR(__xludf.DUMMYFUNCTION("GOOGLETRANSLATE(A49114, ""de"", ""en"")"),"rake in")</f>
        <v>rake in</v>
      </c>
    </row>
    <row r="49115">
      <c r="A49115" s="1" t="s">
        <v>49114</v>
      </c>
      <c r="B49115" s="2" t="str">
        <f>IFERROR(__xludf.DUMMYFUNCTION("GOOGLETRANSLATE(A49115, ""de"", ""en"")"),"weight")</f>
        <v>weight</v>
      </c>
    </row>
    <row r="49116">
      <c r="A49116" s="1" t="s">
        <v>49115</v>
      </c>
      <c r="B49116" s="2" t="str">
        <f>IFERROR(__xludf.DUMMYFUNCTION("GOOGLETRANSLATE(A49116, ""de"", ""en"")"),"professional life")</f>
        <v>professional life</v>
      </c>
    </row>
    <row r="49117">
      <c r="A49117" s="1" t="s">
        <v>49116</v>
      </c>
      <c r="B49117" s="2" t="str">
        <f>IFERROR(__xludf.DUMMYFUNCTION("GOOGLETRANSLATE(A49117, ""de"", ""en"")"),"clean")</f>
        <v>clean</v>
      </c>
    </row>
    <row r="49118">
      <c r="A49118" s="1" t="s">
        <v>49117</v>
      </c>
      <c r="B49118" s="2" t="str">
        <f>IFERROR(__xludf.DUMMYFUNCTION("GOOGLETRANSLATE(A49118, ""de"", ""en"")"),"wait")</f>
        <v>wait</v>
      </c>
    </row>
    <row r="49119">
      <c r="A49119" s="1" t="s">
        <v>49118</v>
      </c>
      <c r="B49119" s="2" t="str">
        <f>IFERROR(__xludf.DUMMYFUNCTION("GOOGLETRANSLATE(A49119, ""de"", ""en"")"),"signatures")</f>
        <v>signatures</v>
      </c>
    </row>
    <row r="49120">
      <c r="A49120" s="1" t="s">
        <v>49119</v>
      </c>
      <c r="B49120" s="2" t="str">
        <f>IFERROR(__xludf.DUMMYFUNCTION("GOOGLETRANSLATE(A49120, ""de"", ""en"")"),"sobotka")</f>
        <v>sobotka</v>
      </c>
    </row>
    <row r="49121">
      <c r="A49121" s="1" t="s">
        <v>49120</v>
      </c>
      <c r="B49121" s="2" t="str">
        <f>IFERROR(__xludf.DUMMYFUNCTION("GOOGLETRANSLATE(A49121, ""de"", ""en"")"),"any")</f>
        <v>any</v>
      </c>
    </row>
    <row r="49122">
      <c r="A49122" s="1" t="s">
        <v>49121</v>
      </c>
      <c r="B49122" s="2" t="str">
        <f>IFERROR(__xludf.DUMMYFUNCTION("GOOGLETRANSLATE(A49122, ""de"", ""en"")"),"torrey")</f>
        <v>torrey</v>
      </c>
    </row>
    <row r="49123">
      <c r="A49123" s="1" t="s">
        <v>49122</v>
      </c>
      <c r="B49123" s="2" t="str">
        <f>IFERROR(__xludf.DUMMYFUNCTION("GOOGLETRANSLATE(A49123, ""de"", ""en"")"),"vamonos")</f>
        <v>vamonos</v>
      </c>
    </row>
    <row r="49124">
      <c r="A49124" s="1" t="s">
        <v>49123</v>
      </c>
      <c r="B49124" s="2" t="str">
        <f>IFERROR(__xludf.DUMMYFUNCTION("GOOGLETRANSLATE(A49124, ""de"", ""en"")"),"corner of eye")</f>
        <v>corner of eye</v>
      </c>
    </row>
    <row r="49125">
      <c r="A49125" s="1" t="s">
        <v>49124</v>
      </c>
      <c r="B49125" s="2" t="str">
        <f>IFERROR(__xludf.DUMMYFUNCTION("GOOGLETRANSLATE(A49125, ""de"", ""en"")"),"gently")</f>
        <v>gently</v>
      </c>
    </row>
    <row r="49126">
      <c r="A49126" s="1" t="s">
        <v>49125</v>
      </c>
      <c r="B49126" s="2" t="str">
        <f>IFERROR(__xludf.DUMMYFUNCTION("GOOGLETRANSLATE(A49126, ""de"", ""en"")"),"brunswick")</f>
        <v>brunswick</v>
      </c>
    </row>
    <row r="49127">
      <c r="A49127" s="1" t="s">
        <v>49126</v>
      </c>
      <c r="B49127" s="2" t="str">
        <f>IFERROR(__xludf.DUMMYFUNCTION("GOOGLETRANSLATE(A49127, ""de"", ""en"")"),"lurch")</f>
        <v>lurch</v>
      </c>
    </row>
    <row r="49128">
      <c r="A49128" s="1" t="s">
        <v>49127</v>
      </c>
      <c r="B49128" s="2" t="str">
        <f>IFERROR(__xludf.DUMMYFUNCTION("GOOGLETRANSLATE(A49128, ""de"", ""en"")"),"starting point")</f>
        <v>starting point</v>
      </c>
    </row>
    <row r="49129">
      <c r="A49129" s="1" t="s">
        <v>49128</v>
      </c>
      <c r="B49129" s="2" t="str">
        <f>IFERROR(__xludf.DUMMYFUNCTION("GOOGLETRANSLATE(A49129, ""de"", ""en"")"),"USA.")</f>
        <v>USA.</v>
      </c>
    </row>
    <row r="49130">
      <c r="A49130" s="1" t="s">
        <v>49129</v>
      </c>
      <c r="B49130" s="2" t="str">
        <f>IFERROR(__xludf.DUMMYFUNCTION("GOOGLETRANSLATE(A49130, ""de"", ""en"")"),"describe")</f>
        <v>describe</v>
      </c>
    </row>
    <row r="49131">
      <c r="A49131" s="1" t="s">
        <v>49130</v>
      </c>
      <c r="B49131" s="2" t="str">
        <f>IFERROR(__xludf.DUMMYFUNCTION("GOOGLETRANSLATE(A49131, ""de"", ""en"")"),"steps in")</f>
        <v>steps in</v>
      </c>
    </row>
    <row r="49132">
      <c r="A49132" s="1" t="s">
        <v>49131</v>
      </c>
      <c r="B49132" s="2" t="str">
        <f>IFERROR(__xludf.DUMMYFUNCTION("GOOGLETRANSLATE(A49132, ""de"", ""en"")"),"muffit")</f>
        <v>muffit</v>
      </c>
    </row>
    <row r="49133">
      <c r="A49133" s="1" t="s">
        <v>49132</v>
      </c>
      <c r="B49133" s="2" t="str">
        <f>IFERROR(__xludf.DUMMYFUNCTION("GOOGLETRANSLATE(A49133, ""de"", ""en"")"),"inspectors")</f>
        <v>inspectors</v>
      </c>
    </row>
    <row r="49134">
      <c r="A49134" s="1" t="s">
        <v>49133</v>
      </c>
      <c r="B49134" s="2" t="str">
        <f>IFERROR(__xludf.DUMMYFUNCTION("GOOGLETRANSLATE(A49134, ""de"", ""en"")"),"philosophical")</f>
        <v>philosophical</v>
      </c>
    </row>
    <row r="49135">
      <c r="A49135" s="1" t="s">
        <v>49134</v>
      </c>
      <c r="B49135" s="2" t="str">
        <f>IFERROR(__xludf.DUMMYFUNCTION("GOOGLETRANSLATE(A49135, ""de"", ""en"")"),"to collect")</f>
        <v>to collect</v>
      </c>
    </row>
    <row r="49136">
      <c r="A49136" s="1" t="s">
        <v>49135</v>
      </c>
      <c r="B49136" s="2" t="str">
        <f>IFERROR(__xludf.DUMMYFUNCTION("GOOGLETRANSLATE(A49136, ""de"", ""en"")"),"excerpts")</f>
        <v>excerpts</v>
      </c>
    </row>
    <row r="49137">
      <c r="A49137" s="1" t="s">
        <v>49136</v>
      </c>
      <c r="B49137" s="2" t="str">
        <f>IFERROR(__xludf.DUMMYFUNCTION("GOOGLETRANSLATE(A49137, ""de"", ""en"")"),"electorate")</f>
        <v>electorate</v>
      </c>
    </row>
    <row r="49138">
      <c r="A49138" s="1" t="s">
        <v>49137</v>
      </c>
      <c r="B49138" s="2" t="str">
        <f>IFERROR(__xludf.DUMMYFUNCTION("GOOGLETRANSLATE(A49138, ""de"", ""en"")"),"five-0")</f>
        <v>five-0</v>
      </c>
    </row>
    <row r="49139">
      <c r="A49139" s="1" t="s">
        <v>49138</v>
      </c>
      <c r="B49139" s="2" t="str">
        <f>IFERROR(__xludf.DUMMYFUNCTION("GOOGLETRANSLATE(A49139, ""de"", ""en"")"),"unbiased")</f>
        <v>unbiased</v>
      </c>
    </row>
    <row r="49140">
      <c r="A49140" s="1" t="s">
        <v>49139</v>
      </c>
      <c r="B49140" s="2" t="str">
        <f>IFERROR(__xludf.DUMMYFUNCTION("GOOGLETRANSLATE(A49140, ""de"", ""en"")"),"tell")</f>
        <v>tell</v>
      </c>
    </row>
    <row r="49141">
      <c r="A49141" s="1" t="s">
        <v>49140</v>
      </c>
      <c r="B49141" s="2" t="str">
        <f>IFERROR(__xludf.DUMMYFUNCTION("GOOGLETRANSLATE(A49141, ""de"", ""en"")"),"bandmaster")</f>
        <v>bandmaster</v>
      </c>
    </row>
    <row r="49142">
      <c r="A49142" s="1" t="s">
        <v>49141</v>
      </c>
      <c r="B49142" s="2" t="str">
        <f>IFERROR(__xludf.DUMMYFUNCTION("GOOGLETRANSLATE(A49142, ""de"", ""en"")"),"discus")</f>
        <v>discus</v>
      </c>
    </row>
    <row r="49143">
      <c r="A49143" s="1" t="s">
        <v>49142</v>
      </c>
      <c r="B49143" s="2" t="str">
        <f>IFERROR(__xludf.DUMMYFUNCTION("GOOGLETRANSLATE(A49143, ""de"", ""en"")"),"occurs")</f>
        <v>occurs</v>
      </c>
    </row>
    <row r="49144">
      <c r="A49144" s="1" t="s">
        <v>49143</v>
      </c>
      <c r="B49144" s="2" t="str">
        <f>IFERROR(__xludf.DUMMYFUNCTION("GOOGLETRANSLATE(A49144, ""de"", ""en"")"),"ly")</f>
        <v>ly</v>
      </c>
    </row>
    <row r="49145">
      <c r="A49145" s="1" t="s">
        <v>49144</v>
      </c>
      <c r="B49145" s="2" t="str">
        <f>IFERROR(__xludf.DUMMYFUNCTION("GOOGLETRANSLATE(A49145, ""de"", ""en"")"),"stables")</f>
        <v>stables</v>
      </c>
    </row>
    <row r="49146">
      <c r="A49146" s="1" t="s">
        <v>49145</v>
      </c>
      <c r="B49146" s="2" t="str">
        <f>IFERROR(__xludf.DUMMYFUNCTION("GOOGLETRANSLATE(A49146, ""de"", ""en"")"),"dry ice")</f>
        <v>dry ice</v>
      </c>
    </row>
    <row r="49147">
      <c r="A49147" s="1" t="s">
        <v>49146</v>
      </c>
      <c r="B49147" s="2" t="str">
        <f>IFERROR(__xludf.DUMMYFUNCTION("GOOGLETRANSLATE(A49147, ""de"", ""en"")"),"living space")</f>
        <v>living space</v>
      </c>
    </row>
    <row r="49148">
      <c r="A49148" s="1" t="s">
        <v>49147</v>
      </c>
      <c r="B49148" s="2" t="str">
        <f>IFERROR(__xludf.DUMMYFUNCTION("GOOGLETRANSLATE(A49148, ""de"", ""en"")"),"switched")</f>
        <v>switched</v>
      </c>
    </row>
    <row r="49149">
      <c r="A49149" s="1" t="s">
        <v>49148</v>
      </c>
      <c r="B49149" s="2" t="str">
        <f>IFERROR(__xludf.DUMMYFUNCTION("GOOGLETRANSLATE(A49149, ""de"", ""en"")"),"nonetheless")</f>
        <v>nonetheless</v>
      </c>
    </row>
    <row r="49150">
      <c r="A49150" s="1" t="s">
        <v>49149</v>
      </c>
      <c r="B49150" s="2" t="str">
        <f>IFERROR(__xludf.DUMMYFUNCTION("GOOGLETRANSLATE(A49150, ""de"", ""en"")"),"Greek")</f>
        <v>Greek</v>
      </c>
    </row>
    <row r="49151">
      <c r="A49151" s="1" t="s">
        <v>49150</v>
      </c>
      <c r="B49151" s="2" t="str">
        <f>IFERROR(__xludf.DUMMYFUNCTION("GOOGLETRANSLATE(A49151, ""de"", ""en"")"),"zor-el")</f>
        <v>zor-el</v>
      </c>
    </row>
    <row r="49152">
      <c r="A49152" s="1" t="s">
        <v>49151</v>
      </c>
      <c r="B49152" s="2" t="str">
        <f>IFERROR(__xludf.DUMMYFUNCTION("GOOGLETRANSLATE(A49152, ""de"", ""en"")"),"shadows")</f>
        <v>shadows</v>
      </c>
    </row>
    <row r="49153">
      <c r="A49153" s="1" t="s">
        <v>49152</v>
      </c>
      <c r="B49153" s="2" t="str">
        <f>IFERROR(__xludf.DUMMYFUNCTION("GOOGLETRANSLATE(A49153, ""de"", ""en"")"),"hefner")</f>
        <v>hefner</v>
      </c>
    </row>
    <row r="49154">
      <c r="A49154" s="1" t="s">
        <v>49153</v>
      </c>
      <c r="B49154" s="2" t="str">
        <f>IFERROR(__xludf.DUMMYFUNCTION("GOOGLETRANSLATE(A49154, ""de"", ""en"")"),"mimsy")</f>
        <v>mimsy</v>
      </c>
    </row>
    <row r="49155">
      <c r="A49155" s="1" t="s">
        <v>49154</v>
      </c>
      <c r="B49155" s="2" t="str">
        <f>IFERROR(__xludf.DUMMYFUNCTION("GOOGLETRANSLATE(A49155, ""de"", ""en"")"),"traffic police")</f>
        <v>traffic police</v>
      </c>
    </row>
    <row r="49156">
      <c r="A49156" s="1" t="s">
        <v>49155</v>
      </c>
      <c r="B49156" s="2" t="str">
        <f>IFERROR(__xludf.DUMMYFUNCTION("GOOGLETRANSLATE(A49156, ""de"", ""en"")"),"empty out")</f>
        <v>empty out</v>
      </c>
    </row>
    <row r="49157">
      <c r="A49157" s="1" t="s">
        <v>49156</v>
      </c>
      <c r="B49157" s="2" t="str">
        <f>IFERROR(__xludf.DUMMYFUNCTION("GOOGLETRANSLATE(A49157, ""de"", ""en"")"),"celebrities")</f>
        <v>celebrities</v>
      </c>
    </row>
    <row r="49158">
      <c r="A49158" s="1" t="s">
        <v>49157</v>
      </c>
      <c r="B49158" s="2" t="str">
        <f>IFERROR(__xludf.DUMMYFUNCTION("GOOGLETRANSLATE(A49158, ""de"", ""en"")"),"Carthage")</f>
        <v>Carthage</v>
      </c>
    </row>
    <row r="49159">
      <c r="A49159" s="1" t="s">
        <v>49158</v>
      </c>
      <c r="B49159" s="2" t="str">
        <f>IFERROR(__xludf.DUMMYFUNCTION("GOOGLETRANSLATE(A49159, ""de"", ""en"")"),"chimney sweep")</f>
        <v>chimney sweep</v>
      </c>
    </row>
    <row r="49160">
      <c r="A49160" s="1" t="s">
        <v>49159</v>
      </c>
      <c r="B49160" s="2" t="str">
        <f>IFERROR(__xludf.DUMMYFUNCTION("GOOGLETRANSLATE(A49160, ""de"", ""en"")"),"lessing")</f>
        <v>lessing</v>
      </c>
    </row>
    <row r="49161">
      <c r="A49161" s="1" t="s">
        <v>49160</v>
      </c>
      <c r="B49161" s="2" t="str">
        <f>IFERROR(__xludf.DUMMYFUNCTION("GOOGLETRANSLATE(A49161, ""de"", ""en"")"),"gently")</f>
        <v>gently</v>
      </c>
    </row>
    <row r="49162">
      <c r="A49162" s="1" t="s">
        <v>49161</v>
      </c>
      <c r="B49162" s="2" t="str">
        <f>IFERROR(__xludf.DUMMYFUNCTION("GOOGLETRANSLATE(A49162, ""de"", ""en"")"),"critics")</f>
        <v>critics</v>
      </c>
    </row>
    <row r="49163">
      <c r="A49163" s="1" t="s">
        <v>49162</v>
      </c>
      <c r="B49163" s="2" t="str">
        <f>IFERROR(__xludf.DUMMYFUNCTION("GOOGLETRANSLATE(A49163, ""de"", ""en"")"),"forney")</f>
        <v>forney</v>
      </c>
    </row>
    <row r="49164">
      <c r="A49164" s="1" t="s">
        <v>49163</v>
      </c>
      <c r="B49164" s="2" t="str">
        <f>IFERROR(__xludf.DUMMYFUNCTION("GOOGLETRANSLATE(A49164, ""de"", ""en"")"),"bourgeois")</f>
        <v>bourgeois</v>
      </c>
    </row>
    <row r="49165">
      <c r="A49165" s="1" t="s">
        <v>49164</v>
      </c>
      <c r="B49165" s="2" t="str">
        <f>IFERROR(__xludf.DUMMYFUNCTION("GOOGLETRANSLATE(A49165, ""de"", ""en"")"),"grumpy bear")</f>
        <v>grumpy bear</v>
      </c>
    </row>
    <row r="49166">
      <c r="A49166" s="1" t="s">
        <v>49165</v>
      </c>
      <c r="B49166" s="2" t="str">
        <f>IFERROR(__xludf.DUMMYFUNCTION("GOOGLETRANSLATE(A49166, ""de"", ""en"")"),"lexy")</f>
        <v>lexy</v>
      </c>
    </row>
    <row r="49167">
      <c r="A49167" s="1" t="s">
        <v>49166</v>
      </c>
      <c r="B49167" s="2" t="str">
        <f>IFERROR(__xludf.DUMMYFUNCTION("GOOGLETRANSLATE(A49167, ""de"", ""en"")"),"aman")</f>
        <v>aman</v>
      </c>
    </row>
    <row r="49168">
      <c r="A49168" s="1" t="s">
        <v>49167</v>
      </c>
      <c r="B49168" s="2" t="str">
        <f>IFERROR(__xludf.DUMMYFUNCTION("GOOGLETRANSLATE(A49168, ""de"", ""en"")"),"pop")</f>
        <v>pop</v>
      </c>
    </row>
    <row r="49169">
      <c r="A49169" s="1" t="s">
        <v>49168</v>
      </c>
      <c r="B49169" s="2" t="str">
        <f>IFERROR(__xludf.DUMMYFUNCTION("GOOGLETRANSLATE(A49169, ""de"", ""en"")"),"die")</f>
        <v>die</v>
      </c>
    </row>
    <row r="49170">
      <c r="A49170" s="1" t="s">
        <v>49169</v>
      </c>
      <c r="B49170" s="2" t="str">
        <f>IFERROR(__xludf.DUMMYFUNCTION("GOOGLETRANSLATE(A49170, ""de"", ""en"")"),"Grenoble")</f>
        <v>Grenoble</v>
      </c>
    </row>
    <row r="49171">
      <c r="A49171" s="1" t="s">
        <v>49170</v>
      </c>
      <c r="B49171" s="2" t="str">
        <f>IFERROR(__xludf.DUMMYFUNCTION("GOOGLETRANSLATE(A49171, ""de"", ""en"")"),"tried")</f>
        <v>tried</v>
      </c>
    </row>
    <row r="49172">
      <c r="A49172" s="1" t="s">
        <v>49171</v>
      </c>
      <c r="B49172" s="2" t="str">
        <f>IFERROR(__xludf.DUMMYFUNCTION("GOOGLETRANSLATE(A49172, ""de"", ""en"")"),"affair")</f>
        <v>affair</v>
      </c>
    </row>
    <row r="49173">
      <c r="A49173" s="1" t="s">
        <v>49172</v>
      </c>
      <c r="B49173" s="2" t="str">
        <f>IFERROR(__xludf.DUMMYFUNCTION("GOOGLETRANSLATE(A49173, ""de"", ""en"")"),"authority")</f>
        <v>authority</v>
      </c>
    </row>
    <row r="49174">
      <c r="A49174" s="1" t="s">
        <v>49173</v>
      </c>
      <c r="B49174" s="2" t="str">
        <f>IFERROR(__xludf.DUMMYFUNCTION("GOOGLETRANSLATE(A49174, ""de"", ""en"")"),"witch hunters")</f>
        <v>witch hunters</v>
      </c>
    </row>
    <row r="49175">
      <c r="A49175" s="1" t="s">
        <v>49174</v>
      </c>
      <c r="B49175" s="2" t="str">
        <f>IFERROR(__xludf.DUMMYFUNCTION("GOOGLETRANSLATE(A49175, ""de"", ""en"")"),"ruthy")</f>
        <v>ruthy</v>
      </c>
    </row>
    <row r="49176">
      <c r="A49176" s="1" t="s">
        <v>49175</v>
      </c>
      <c r="B49176" s="2" t="str">
        <f>IFERROR(__xludf.DUMMYFUNCTION("GOOGLETRANSLATE(A49176, ""de"", ""en"")"),"debbies")</f>
        <v>debbies</v>
      </c>
    </row>
    <row r="49177">
      <c r="A49177" s="1" t="s">
        <v>49176</v>
      </c>
      <c r="B49177" s="2" t="str">
        <f>IFERROR(__xludf.DUMMYFUNCTION("GOOGLETRANSLATE(A49177, ""de"", ""en"")"),"nom")</f>
        <v>nom</v>
      </c>
    </row>
    <row r="49178">
      <c r="A49178" s="1" t="s">
        <v>49177</v>
      </c>
      <c r="B49178" s="2" t="str">
        <f>IFERROR(__xludf.DUMMYFUNCTION("GOOGLETRANSLATE(A49178, ""de"", ""en"")"),"puffy")</f>
        <v>puffy</v>
      </c>
    </row>
    <row r="49179">
      <c r="A49179" s="1" t="s">
        <v>49178</v>
      </c>
      <c r="B49179" s="2" t="str">
        <f>IFERROR(__xludf.DUMMYFUNCTION("GOOGLETRANSLATE(A49179, ""de"", ""en"")"),"dirt")</f>
        <v>dirt</v>
      </c>
    </row>
    <row r="49180">
      <c r="A49180" s="1" t="s">
        <v>49179</v>
      </c>
      <c r="B49180" s="2" t="str">
        <f>IFERROR(__xludf.DUMMYFUNCTION("GOOGLETRANSLATE(A49180, ""de"", ""en"")"),"see through")</f>
        <v>see through</v>
      </c>
    </row>
    <row r="49181">
      <c r="A49181" s="1" t="s">
        <v>49180</v>
      </c>
      <c r="B49181" s="2" t="str">
        <f>IFERROR(__xludf.DUMMYFUNCTION("GOOGLETRANSLATE(A49181, ""de"", ""en"")"),"prison leave")</f>
        <v>prison leave</v>
      </c>
    </row>
    <row r="49182">
      <c r="A49182" s="1" t="s">
        <v>49181</v>
      </c>
      <c r="B49182" s="2" t="str">
        <f>IFERROR(__xludf.DUMMYFUNCTION("GOOGLETRANSLATE(A49182, ""de"", ""en"")"),"radish")</f>
        <v>radish</v>
      </c>
    </row>
    <row r="49183">
      <c r="A49183" s="1" t="s">
        <v>49182</v>
      </c>
      <c r="B49183" s="2" t="str">
        <f>IFERROR(__xludf.DUMMYFUNCTION("GOOGLETRANSLATE(A49183, ""de"", ""en"")"),"fear")</f>
        <v>fear</v>
      </c>
    </row>
    <row r="49184">
      <c r="A49184" s="1" t="s">
        <v>49183</v>
      </c>
      <c r="B49184" s="2" t="str">
        <f>IFERROR(__xludf.DUMMYFUNCTION("GOOGLETRANSLATE(A49184, ""de"", ""en"")"),"gilberts")</f>
        <v>gilberts</v>
      </c>
    </row>
    <row r="49185">
      <c r="A49185" s="1" t="s">
        <v>49184</v>
      </c>
      <c r="B49185" s="2" t="str">
        <f>IFERROR(__xludf.DUMMYFUNCTION("GOOGLETRANSLATE(A49185, ""de"", ""en"")"),"cucumber")</f>
        <v>cucumber</v>
      </c>
    </row>
    <row r="49186">
      <c r="A49186" s="1" t="s">
        <v>49185</v>
      </c>
      <c r="B49186" s="2" t="str">
        <f>IFERROR(__xludf.DUMMYFUNCTION("GOOGLETRANSLATE(A49186, ""de"", ""en"")"),"protégés")</f>
        <v>protégés</v>
      </c>
    </row>
    <row r="49187">
      <c r="A49187" s="1" t="s">
        <v>49186</v>
      </c>
      <c r="B49187" s="2" t="str">
        <f>IFERROR(__xludf.DUMMYFUNCTION("GOOGLETRANSLATE(A49187, ""de"", ""en"")"),"wags")</f>
        <v>wags</v>
      </c>
    </row>
    <row r="49188">
      <c r="A49188" s="1" t="s">
        <v>49187</v>
      </c>
      <c r="B49188" s="2" t="str">
        <f>IFERROR(__xludf.DUMMYFUNCTION("GOOGLETRANSLATE(A49188, ""de"", ""en"")"),"montecito")</f>
        <v>montecito</v>
      </c>
    </row>
    <row r="49189">
      <c r="A49189" s="1" t="s">
        <v>49188</v>
      </c>
      <c r="B49189" s="2" t="str">
        <f>IFERROR(__xludf.DUMMYFUNCTION("GOOGLETRANSLATE(A49189, ""de"", ""en"")"),"flick")</f>
        <v>flick</v>
      </c>
    </row>
    <row r="49190">
      <c r="A49190" s="1" t="s">
        <v>49189</v>
      </c>
      <c r="B49190" s="2" t="str">
        <f>IFERROR(__xludf.DUMMYFUNCTION("GOOGLETRANSLATE(A49190, ""de"", ""en"")"),"authorization")</f>
        <v>authorization</v>
      </c>
    </row>
    <row r="49191">
      <c r="A49191" s="1" t="s">
        <v>49190</v>
      </c>
      <c r="B49191" s="2" t="str">
        <f>IFERROR(__xludf.DUMMYFUNCTION("GOOGLETRANSLATE(A49191, ""de"", ""en"")"),"increase")</f>
        <v>increase</v>
      </c>
    </row>
    <row r="49192">
      <c r="A49192" s="1" t="s">
        <v>49191</v>
      </c>
      <c r="B49192" s="2" t="str">
        <f>IFERROR(__xludf.DUMMYFUNCTION("GOOGLETRANSLATE(A49192, ""de"", ""en"")"),"vineyards")</f>
        <v>vineyards</v>
      </c>
    </row>
    <row r="49193">
      <c r="A49193" s="1" t="s">
        <v>49192</v>
      </c>
      <c r="B49193" s="2" t="str">
        <f>IFERROR(__xludf.DUMMYFUNCTION("GOOGLETRANSLATE(A49193, ""de"", ""en"")"),"fails")</f>
        <v>fails</v>
      </c>
    </row>
    <row r="49194">
      <c r="A49194" s="1" t="s">
        <v>49193</v>
      </c>
      <c r="B49194" s="2" t="str">
        <f>IFERROR(__xludf.DUMMYFUNCTION("GOOGLETRANSLATE(A49194, ""de"", ""en"")"),"more responsible")</f>
        <v>more responsible</v>
      </c>
    </row>
    <row r="49195">
      <c r="A49195" s="1" t="s">
        <v>49194</v>
      </c>
      <c r="B49195" s="2" t="str">
        <f>IFERROR(__xludf.DUMMYFUNCTION("GOOGLETRANSLATE(A49195, ""de"", ""en"")"),"steakhouse")</f>
        <v>steakhouse</v>
      </c>
    </row>
    <row r="49196">
      <c r="A49196" s="1" t="s">
        <v>49195</v>
      </c>
      <c r="B49196" s="2" t="str">
        <f>IFERROR(__xludf.DUMMYFUNCTION("GOOGLETRANSLATE(A49196, ""de"", ""en"")"),"tish")</f>
        <v>tish</v>
      </c>
    </row>
    <row r="49197">
      <c r="A49197" s="1" t="s">
        <v>49196</v>
      </c>
      <c r="B49197" s="2" t="str">
        <f>IFERROR(__xludf.DUMMYFUNCTION("GOOGLETRANSLATE(A49197, ""de"", ""en"")"),"doss")</f>
        <v>doss</v>
      </c>
    </row>
    <row r="49198">
      <c r="A49198" s="1" t="s">
        <v>49197</v>
      </c>
      <c r="B49198" s="2" t="str">
        <f>IFERROR(__xludf.DUMMYFUNCTION("GOOGLETRANSLATE(A49198, ""de"", ""en"")"),"sneak in")</f>
        <v>sneak in</v>
      </c>
    </row>
    <row r="49199">
      <c r="A49199" s="1" t="s">
        <v>49198</v>
      </c>
      <c r="B49199" s="2" t="str">
        <f>IFERROR(__xludf.DUMMYFUNCTION("GOOGLETRANSLATE(A49199, ""de"", ""en"")"),"quiero")</f>
        <v>quiero</v>
      </c>
    </row>
    <row r="49200">
      <c r="A49200" s="1" t="s">
        <v>49199</v>
      </c>
      <c r="B49200" s="2" t="str">
        <f>IFERROR(__xludf.DUMMYFUNCTION("GOOGLETRANSLATE(A49200, ""de"", ""en"")"),"cup size")</f>
        <v>cup size</v>
      </c>
    </row>
    <row r="49201">
      <c r="A49201" s="1" t="s">
        <v>49200</v>
      </c>
      <c r="B49201" s="2" t="str">
        <f>IFERROR(__xludf.DUMMYFUNCTION("GOOGLETRANSLATE(A49201, ""de"", ""en"")"),"flood")</f>
        <v>flood</v>
      </c>
    </row>
    <row r="49202">
      <c r="A49202" s="1" t="s">
        <v>49201</v>
      </c>
      <c r="B49202" s="2" t="str">
        <f>IFERROR(__xludf.DUMMYFUNCTION("GOOGLETRANSLATE(A49202, ""de"", ""en"")"),"got over")</f>
        <v>got over</v>
      </c>
    </row>
    <row r="49203">
      <c r="A49203" s="1" t="s">
        <v>49202</v>
      </c>
      <c r="B49203" s="2" t="str">
        <f>IFERROR(__xludf.DUMMYFUNCTION("GOOGLETRANSLATE(A49203, ""de"", ""en"")"),"hasso")</f>
        <v>hasso</v>
      </c>
    </row>
    <row r="49204">
      <c r="A49204" s="1" t="s">
        <v>49203</v>
      </c>
      <c r="B49204" s="2" t="str">
        <f>IFERROR(__xludf.DUMMYFUNCTION("GOOGLETRANSLATE(A49204, ""de"", ""en"")"),"holds")</f>
        <v>holds</v>
      </c>
    </row>
    <row r="49205">
      <c r="A49205" s="1" t="s">
        <v>49204</v>
      </c>
      <c r="B49205" s="2" t="str">
        <f>IFERROR(__xludf.DUMMYFUNCTION("GOOGLETRANSLATE(A49205, ""de"", ""en"")"),"eyre")</f>
        <v>eyre</v>
      </c>
    </row>
    <row r="49206">
      <c r="A49206" s="1" t="s">
        <v>49205</v>
      </c>
      <c r="B49206" s="2" t="str">
        <f>IFERROR(__xludf.DUMMYFUNCTION("GOOGLETRANSLATE(A49206, ""de"", ""en"")"),"responsibilities")</f>
        <v>responsibilities</v>
      </c>
    </row>
    <row r="49207">
      <c r="A49207" s="1" t="s">
        <v>49206</v>
      </c>
      <c r="B49207" s="2" t="str">
        <f>IFERROR(__xludf.DUMMYFUNCTION("GOOGLETRANSLATE(A49207, ""de"", ""en"")"),"mourned")</f>
        <v>mourned</v>
      </c>
    </row>
    <row r="49208">
      <c r="A49208" s="1" t="s">
        <v>49207</v>
      </c>
      <c r="B49208" s="2" t="str">
        <f>IFERROR(__xludf.DUMMYFUNCTION("GOOGLETRANSLATE(A49208, ""de"", ""en"")"),"slogans")</f>
        <v>slogans</v>
      </c>
    </row>
    <row r="49209">
      <c r="A49209" s="1" t="s">
        <v>49208</v>
      </c>
      <c r="B49209" s="2" t="str">
        <f>IFERROR(__xludf.DUMMYFUNCTION("GOOGLETRANSLATE(A49209, ""de"", ""en"")"),"starving")</f>
        <v>starving</v>
      </c>
    </row>
    <row r="49210">
      <c r="A49210" s="1" t="s">
        <v>49209</v>
      </c>
      <c r="B49210" s="2" t="str">
        <f>IFERROR(__xludf.DUMMYFUNCTION("GOOGLETRANSLATE(A49210, ""de"", ""en"")"),"tear up")</f>
        <v>tear up</v>
      </c>
    </row>
    <row r="49211">
      <c r="A49211" s="1" t="s">
        <v>49210</v>
      </c>
      <c r="B49211" s="2" t="str">
        <f>IFERROR(__xludf.DUMMYFUNCTION("GOOGLETRANSLATE(A49211, ""de"", ""en"")"),"peanuts")</f>
        <v>peanuts</v>
      </c>
    </row>
    <row r="49212">
      <c r="A49212" s="1" t="s">
        <v>49211</v>
      </c>
      <c r="B49212" s="2" t="str">
        <f>IFERROR(__xludf.DUMMYFUNCTION("GOOGLETRANSLATE(A49212, ""de"", ""en"")"),"Hershey")</f>
        <v>Hershey</v>
      </c>
    </row>
    <row r="49213">
      <c r="A49213" s="1" t="s">
        <v>49212</v>
      </c>
      <c r="B49213" s="2" t="str">
        <f>IFERROR(__xludf.DUMMYFUNCTION("GOOGLETRANSLATE(A49213, ""de"", ""en"")"),"infertility")</f>
        <v>infertility</v>
      </c>
    </row>
    <row r="49214">
      <c r="A49214" s="1" t="s">
        <v>49213</v>
      </c>
      <c r="B49214" s="2" t="str">
        <f>IFERROR(__xludf.DUMMYFUNCTION("GOOGLETRANSLATE(A49214, ""de"", ""en"")"),"showman")</f>
        <v>showman</v>
      </c>
    </row>
    <row r="49215">
      <c r="A49215" s="1" t="s">
        <v>49214</v>
      </c>
      <c r="B49215" s="2" t="str">
        <f>IFERROR(__xludf.DUMMYFUNCTION("GOOGLETRANSLATE(A49215, ""de"", ""en"")"),"hectors")</f>
        <v>hectors</v>
      </c>
    </row>
    <row r="49216">
      <c r="A49216" s="1" t="s">
        <v>49215</v>
      </c>
      <c r="B49216" s="2" t="str">
        <f>IFERROR(__xludf.DUMMYFUNCTION("GOOGLETRANSLATE(A49216, ""de"", ""en"")"),"to impose")</f>
        <v>to impose</v>
      </c>
    </row>
    <row r="49217">
      <c r="A49217" s="1" t="s">
        <v>49216</v>
      </c>
      <c r="B49217" s="2" t="str">
        <f>IFERROR(__xludf.DUMMYFUNCTION("GOOGLETRANSLATE(A49217, ""de"", ""en"")"),"shear")</f>
        <v>shear</v>
      </c>
    </row>
    <row r="49218">
      <c r="A49218" s="1" t="s">
        <v>49217</v>
      </c>
      <c r="B49218" s="2" t="str">
        <f>IFERROR(__xludf.DUMMYFUNCTION("GOOGLETRANSLATE(A49218, ""de"", ""en"")"),"speeder")</f>
        <v>speeder</v>
      </c>
    </row>
    <row r="49219">
      <c r="A49219" s="1" t="s">
        <v>49218</v>
      </c>
      <c r="B49219" s="2" t="str">
        <f>IFERROR(__xludf.DUMMYFUNCTION("GOOGLETRANSLATE(A49219, ""de"", ""en"")"),"superficial")</f>
        <v>superficial</v>
      </c>
    </row>
    <row r="49220">
      <c r="A49220" s="1" t="s">
        <v>49219</v>
      </c>
      <c r="B49220" s="2" t="str">
        <f>IFERROR(__xludf.DUMMYFUNCTION("GOOGLETRANSLATE(A49220, ""de"", ""en"")"),"hostile")</f>
        <v>hostile</v>
      </c>
    </row>
    <row r="49221">
      <c r="A49221" s="1" t="s">
        <v>49220</v>
      </c>
      <c r="B49221" s="2" t="str">
        <f>IFERROR(__xludf.DUMMYFUNCTION("GOOGLETRANSLATE(A49221, ""de"", ""en"")"),"cyb")</f>
        <v>cyb</v>
      </c>
    </row>
    <row r="49222">
      <c r="A49222" s="1" t="s">
        <v>49221</v>
      </c>
      <c r="B49222" s="2" t="str">
        <f>IFERROR(__xludf.DUMMYFUNCTION("GOOGLETRANSLATE(A49222, ""de"", ""en"")"),"gwens")</f>
        <v>gwens</v>
      </c>
    </row>
    <row r="49223">
      <c r="A49223" s="1" t="s">
        <v>49222</v>
      </c>
      <c r="B49223" s="2" t="str">
        <f>IFERROR(__xludf.DUMMYFUNCTION("GOOGLETRANSLATE(A49223, ""de"", ""en"")"),"keep warm")</f>
        <v>keep warm</v>
      </c>
    </row>
    <row r="49224">
      <c r="A49224" s="1" t="s">
        <v>49223</v>
      </c>
      <c r="B49224" s="2" t="str">
        <f>IFERROR(__xludf.DUMMYFUNCTION("GOOGLETRANSLATE(A49224, ""de"", ""en"")"),"more fun")</f>
        <v>more fun</v>
      </c>
    </row>
    <row r="49225">
      <c r="A49225" s="1" t="s">
        <v>49224</v>
      </c>
      <c r="B49225" s="2" t="str">
        <f>IFERROR(__xludf.DUMMYFUNCTION("GOOGLETRANSLATE(A49225, ""de"", ""en"")"),"nibbles")</f>
        <v>nibbles</v>
      </c>
    </row>
    <row r="49226">
      <c r="A49226" s="1" t="s">
        <v>49225</v>
      </c>
      <c r="B49226" s="2" t="str">
        <f>IFERROR(__xludf.DUMMYFUNCTION("GOOGLETRANSLATE(A49226, ""de"", ""en"")"),"apartment search")</f>
        <v>apartment search</v>
      </c>
    </row>
    <row r="49227">
      <c r="A49227" s="1" t="s">
        <v>49226</v>
      </c>
      <c r="B49227" s="2" t="str">
        <f>IFERROR(__xludf.DUMMYFUNCTION("GOOGLETRANSLATE(A49227, ""de"", ""en"")"),"verbs")</f>
        <v>verbs</v>
      </c>
    </row>
    <row r="49228">
      <c r="A49228" s="1" t="s">
        <v>49227</v>
      </c>
      <c r="B49228" s="2" t="str">
        <f>IFERROR(__xludf.DUMMYFUNCTION("GOOGLETRANSLATE(A49228, ""de"", ""en"")"),"electrical panel")</f>
        <v>electrical panel</v>
      </c>
    </row>
    <row r="49229">
      <c r="A49229" s="1" t="s">
        <v>49228</v>
      </c>
      <c r="B49229" s="2" t="str">
        <f>IFERROR(__xludf.DUMMYFUNCTION("GOOGLETRANSLATE(A49229, ""de"", ""en"")"),"warp factor")</f>
        <v>warp factor</v>
      </c>
    </row>
    <row r="49230">
      <c r="A49230" s="1" t="s">
        <v>49229</v>
      </c>
      <c r="B49230" s="2" t="str">
        <f>IFERROR(__xludf.DUMMYFUNCTION("GOOGLETRANSLATE(A49230, ""de"", ""en"")"),"Dries")</f>
        <v>Dries</v>
      </c>
    </row>
    <row r="49231">
      <c r="A49231" s="1" t="s">
        <v>49230</v>
      </c>
      <c r="B49231" s="2" t="str">
        <f>IFERROR(__xludf.DUMMYFUNCTION("GOOGLETRANSLATE(A49231, ""de"", ""en"")"),"homage")</f>
        <v>homage</v>
      </c>
    </row>
    <row r="49232">
      <c r="A49232" s="1" t="s">
        <v>49231</v>
      </c>
      <c r="B49232" s="2" t="str">
        <f>IFERROR(__xludf.DUMMYFUNCTION("GOOGLETRANSLATE(A49232, ""de"", ""en"")"),"one night stands")</f>
        <v>one night stands</v>
      </c>
    </row>
    <row r="49233">
      <c r="A49233" s="1" t="s">
        <v>49232</v>
      </c>
      <c r="B49233" s="2" t="str">
        <f>IFERROR(__xludf.DUMMYFUNCTION("GOOGLETRANSLATE(A49233, ""de"", ""en"")"),"eye socket")</f>
        <v>eye socket</v>
      </c>
    </row>
    <row r="49234">
      <c r="A49234" s="1" t="s">
        <v>49233</v>
      </c>
      <c r="B49234" s="2" t="str">
        <f>IFERROR(__xludf.DUMMYFUNCTION("GOOGLETRANSLATE(A49234, ""de"", ""en"")"),"justice system")</f>
        <v>justice system</v>
      </c>
    </row>
    <row r="49235">
      <c r="A49235" s="1" t="s">
        <v>49234</v>
      </c>
      <c r="B49235" s="2" t="str">
        <f>IFERROR(__xludf.DUMMYFUNCTION("GOOGLETRANSLATE(A49235, ""de"", ""en"")"),"cooking class")</f>
        <v>cooking class</v>
      </c>
    </row>
    <row r="49236">
      <c r="A49236" s="1" t="s">
        <v>49235</v>
      </c>
      <c r="B49236" s="2" t="str">
        <f>IFERROR(__xludf.DUMMYFUNCTION("GOOGLETRANSLATE(A49236, ""de"", ""en"")"),"came")</f>
        <v>came</v>
      </c>
    </row>
    <row r="49237">
      <c r="A49237" s="1" t="s">
        <v>49236</v>
      </c>
      <c r="B49237" s="2" t="str">
        <f>IFERROR(__xludf.DUMMYFUNCTION("GOOGLETRANSLATE(A49237, ""de"", ""en"")"),"self-protection")</f>
        <v>self-protection</v>
      </c>
    </row>
    <row r="49238">
      <c r="A49238" s="1" t="s">
        <v>49237</v>
      </c>
      <c r="B49238" s="2" t="str">
        <f>IFERROR(__xludf.DUMMYFUNCTION("GOOGLETRANSLATE(A49238, ""de"", ""en"")"),"grand duke")</f>
        <v>grand duke</v>
      </c>
    </row>
    <row r="49239">
      <c r="A49239" s="1" t="s">
        <v>49238</v>
      </c>
      <c r="B49239" s="2" t="str">
        <f>IFERROR(__xludf.DUMMYFUNCTION("GOOGLETRANSLATE(A49239, ""de"", ""en"")"),"gateway")</f>
        <v>gateway</v>
      </c>
    </row>
    <row r="49240">
      <c r="A49240" s="1" t="s">
        <v>49239</v>
      </c>
      <c r="B49240" s="2" t="str">
        <f>IFERROR(__xludf.DUMMYFUNCTION("GOOGLETRANSLATE(A49240, ""de"", ""en"")"),"escaped")</f>
        <v>escaped</v>
      </c>
    </row>
    <row r="49241">
      <c r="A49241" s="1" t="s">
        <v>49240</v>
      </c>
      <c r="B49241" s="2" t="str">
        <f>IFERROR(__xludf.DUMMYFUNCTION("GOOGLETRANSLATE(A49241, ""de"", ""en"")"),"country bumpkin")</f>
        <v>country bumpkin</v>
      </c>
    </row>
    <row r="49242">
      <c r="A49242" s="1" t="s">
        <v>49241</v>
      </c>
      <c r="B49242" s="2" t="str">
        <f>IFERROR(__xludf.DUMMYFUNCTION("GOOGLETRANSLATE(A49242, ""de"", ""en"")"),"gaye")</f>
        <v>gaye</v>
      </c>
    </row>
    <row r="49243">
      <c r="A49243" s="1" t="s">
        <v>49242</v>
      </c>
      <c r="B49243" s="2" t="str">
        <f>IFERROR(__xludf.DUMMYFUNCTION("GOOGLETRANSLATE(A49243, ""de"", ""en"")"),"Norville")</f>
        <v>Norville</v>
      </c>
    </row>
    <row r="49244">
      <c r="A49244" s="1" t="s">
        <v>49243</v>
      </c>
      <c r="B49244" s="2" t="str">
        <f>IFERROR(__xludf.DUMMYFUNCTION("GOOGLETRANSLATE(A49244, ""de"", ""en"")"),"anymore")</f>
        <v>anymore</v>
      </c>
    </row>
    <row r="49245">
      <c r="A49245" s="1" t="s">
        <v>49244</v>
      </c>
      <c r="B49245" s="2" t="str">
        <f>IFERROR(__xludf.DUMMYFUNCTION("GOOGLETRANSLATE(A49245, ""de"", ""en"")"),"fives")</f>
        <v>fives</v>
      </c>
    </row>
    <row r="49246">
      <c r="A49246" s="1" t="s">
        <v>49245</v>
      </c>
      <c r="B49246" s="2" t="str">
        <f>IFERROR(__xludf.DUMMYFUNCTION("GOOGLETRANSLATE(A49246, ""de"", ""en"")"),"give up")</f>
        <v>give up</v>
      </c>
    </row>
    <row r="49247">
      <c r="A49247" s="1" t="s">
        <v>49246</v>
      </c>
      <c r="B49247" s="2" t="str">
        <f>IFERROR(__xludf.DUMMYFUNCTION("GOOGLETRANSLATE(A49247, ""de"", ""en"")"),"argue")</f>
        <v>argue</v>
      </c>
    </row>
    <row r="49248">
      <c r="A49248" s="1" t="s">
        <v>49247</v>
      </c>
      <c r="B49248" s="2" t="str">
        <f>IFERROR(__xludf.DUMMYFUNCTION("GOOGLETRANSLATE(A49248, ""de"", ""en"")"),"allura")</f>
        <v>allura</v>
      </c>
    </row>
    <row r="49249">
      <c r="A49249" s="1" t="s">
        <v>49248</v>
      </c>
      <c r="B49249" s="2" t="str">
        <f>IFERROR(__xludf.DUMMYFUNCTION("GOOGLETRANSLATE(A49249, ""de"", ""en"")"),"make music")</f>
        <v>make music</v>
      </c>
    </row>
    <row r="49250">
      <c r="A49250" s="1" t="s">
        <v>49249</v>
      </c>
      <c r="B49250" s="2" t="str">
        <f>IFERROR(__xludf.DUMMYFUNCTION("GOOGLETRANSLATE(A49250, ""de"", ""en"")"),"double")</f>
        <v>double</v>
      </c>
    </row>
    <row r="49251">
      <c r="A49251" s="1" t="s">
        <v>49250</v>
      </c>
      <c r="B49251" s="2" t="str">
        <f>IFERROR(__xludf.DUMMYFUNCTION("GOOGLETRANSLATE(A49251, ""de"", ""en"")"),"enchanted")</f>
        <v>enchanted</v>
      </c>
    </row>
    <row r="49252">
      <c r="A49252" s="1" t="s">
        <v>49251</v>
      </c>
      <c r="B49252" s="2" t="str">
        <f>IFERROR(__xludf.DUMMYFUNCTION("GOOGLETRANSLATE(A49252, ""de"", ""en"")"),"inner life")</f>
        <v>inner life</v>
      </c>
    </row>
    <row r="49253">
      <c r="A49253" s="1" t="s">
        <v>49252</v>
      </c>
      <c r="B49253" s="2" t="str">
        <f>IFERROR(__xludf.DUMMYFUNCTION("GOOGLETRANSLATE(A49253, ""de"", ""en"")"),"inhumane")</f>
        <v>inhumane</v>
      </c>
    </row>
    <row r="49254">
      <c r="A49254" s="1" t="s">
        <v>49253</v>
      </c>
      <c r="B49254" s="2" t="str">
        <f>IFERROR(__xludf.DUMMYFUNCTION("GOOGLETRANSLATE(A49254, ""de"", ""en"")"),"federal authority")</f>
        <v>federal authority</v>
      </c>
    </row>
    <row r="49255">
      <c r="A49255" s="1" t="s">
        <v>49254</v>
      </c>
      <c r="B49255" s="2" t="str">
        <f>IFERROR(__xludf.DUMMYFUNCTION("GOOGLETRANSLATE(A49255, ""de"", ""en"")"),"accident victim")</f>
        <v>accident victim</v>
      </c>
    </row>
    <row r="49256">
      <c r="A49256" s="1" t="s">
        <v>49255</v>
      </c>
      <c r="B49256" s="2" t="str">
        <f>IFERROR(__xludf.DUMMYFUNCTION("GOOGLETRANSLATE(A49256, ""de"", ""en"")"),"pokes")</f>
        <v>pokes</v>
      </c>
    </row>
    <row r="49257">
      <c r="A49257" s="1" t="s">
        <v>49256</v>
      </c>
      <c r="B49257" s="2" t="str">
        <f>IFERROR(__xludf.DUMMYFUNCTION("GOOGLETRANSLATE(A49257, ""de"", ""en"")"),"metzler")</f>
        <v>metzler</v>
      </c>
    </row>
    <row r="49258">
      <c r="A49258" s="1" t="s">
        <v>49257</v>
      </c>
      <c r="B49258" s="2" t="str">
        <f>IFERROR(__xludf.DUMMYFUNCTION("GOOGLETRANSLATE(A49258, ""de"", ""en"")"),"mendes")</f>
        <v>mendes</v>
      </c>
    </row>
    <row r="49259">
      <c r="A49259" s="1" t="s">
        <v>49258</v>
      </c>
      <c r="B49259" s="2" t="str">
        <f>IFERROR(__xludf.DUMMYFUNCTION("GOOGLETRANSLATE(A49259, ""de"", ""en"")"),"boarded")</f>
        <v>boarded</v>
      </c>
    </row>
    <row r="49260">
      <c r="A49260" s="1" t="s">
        <v>49259</v>
      </c>
      <c r="B49260" s="2" t="str">
        <f>IFERROR(__xludf.DUMMYFUNCTION("GOOGLETRANSLATE(A49260, ""de"", ""en"")"),"stuff")</f>
        <v>stuff</v>
      </c>
    </row>
    <row r="49261">
      <c r="A49261" s="1" t="s">
        <v>49260</v>
      </c>
      <c r="B49261" s="2" t="str">
        <f>IFERROR(__xludf.DUMMYFUNCTION("GOOGLETRANSLATE(A49261, ""de"", ""en"")"),"radio")</f>
        <v>radio</v>
      </c>
    </row>
    <row r="49262">
      <c r="A49262" s="1" t="s">
        <v>49261</v>
      </c>
      <c r="B49262" s="2" t="str">
        <f>IFERROR(__xludf.DUMMYFUNCTION("GOOGLETRANSLATE(A49262, ""de"", ""en"")"),"studebaker")</f>
        <v>studebaker</v>
      </c>
    </row>
    <row r="49263">
      <c r="A49263" s="1" t="s">
        <v>49262</v>
      </c>
      <c r="B49263" s="2" t="str">
        <f>IFERROR(__xludf.DUMMYFUNCTION("GOOGLETRANSLATE(A49263, ""de"", ""en"")"),"cluck")</f>
        <v>cluck</v>
      </c>
    </row>
    <row r="49264">
      <c r="A49264" s="1" t="s">
        <v>49263</v>
      </c>
      <c r="B49264" s="2" t="str">
        <f>IFERROR(__xludf.DUMMYFUNCTION("GOOGLETRANSLATE(A49264, ""de"", ""en"")"),"time travelers")</f>
        <v>time travelers</v>
      </c>
    </row>
    <row r="49265">
      <c r="A49265" s="1" t="s">
        <v>49264</v>
      </c>
      <c r="B49265" s="2" t="str">
        <f>IFERROR(__xludf.DUMMYFUNCTION("GOOGLETRANSLATE(A49265, ""de"", ""en"")"),"dance teacher")</f>
        <v>dance teacher</v>
      </c>
    </row>
    <row r="49266">
      <c r="A49266" s="1" t="s">
        <v>49265</v>
      </c>
      <c r="B49266" s="2" t="str">
        <f>IFERROR(__xludf.DUMMYFUNCTION("GOOGLETRANSLATE(A49266, ""de"", ""en"")"),"affect")</f>
        <v>affect</v>
      </c>
    </row>
    <row r="49267">
      <c r="A49267" s="1" t="s">
        <v>49266</v>
      </c>
      <c r="B49267" s="2" t="str">
        <f>IFERROR(__xludf.DUMMYFUNCTION("GOOGLETRANSLATE(A49267, ""de"", ""en"")"),"soon")</f>
        <v>soon</v>
      </c>
    </row>
    <row r="49268">
      <c r="A49268" s="1" t="s">
        <v>49267</v>
      </c>
      <c r="B49268" s="2" t="str">
        <f>IFERROR(__xludf.DUMMYFUNCTION("GOOGLETRANSLATE(A49268, ""de"", ""en"")"),"bevis")</f>
        <v>bevis</v>
      </c>
    </row>
    <row r="49269">
      <c r="A49269" s="1" t="s">
        <v>49268</v>
      </c>
      <c r="B49269" s="2" t="str">
        <f>IFERROR(__xludf.DUMMYFUNCTION("GOOGLETRANSLATE(A49269, ""de"", ""en"")"),"add")</f>
        <v>add</v>
      </c>
    </row>
    <row r="49270">
      <c r="A49270" s="1" t="s">
        <v>49269</v>
      </c>
      <c r="B49270" s="2" t="str">
        <f>IFERROR(__xludf.DUMMYFUNCTION("GOOGLETRANSLATE(A49270, ""de"", ""en"")"),"inadequate")</f>
        <v>inadequate</v>
      </c>
    </row>
    <row r="49271">
      <c r="A49271" s="1" t="s">
        <v>49270</v>
      </c>
      <c r="B49271" s="2" t="str">
        <f>IFERROR(__xludf.DUMMYFUNCTION("GOOGLETRANSLATE(A49271, ""de"", ""en"")"),"cesspit")</f>
        <v>cesspit</v>
      </c>
    </row>
    <row r="49272">
      <c r="A49272" s="1" t="s">
        <v>49271</v>
      </c>
      <c r="B49272" s="2" t="str">
        <f>IFERROR(__xludf.DUMMYFUNCTION("GOOGLETRANSLATE(A49272, ""de"", ""en"")"),"bathing naked")</f>
        <v>bathing naked</v>
      </c>
    </row>
    <row r="49273">
      <c r="A49273" s="1" t="s">
        <v>49272</v>
      </c>
      <c r="B49273" s="2" t="str">
        <f>IFERROR(__xludf.DUMMYFUNCTION("GOOGLETRANSLATE(A49273, ""de"", ""en"")"),"tremendous")</f>
        <v>tremendous</v>
      </c>
    </row>
    <row r="49274">
      <c r="A49274" s="1" t="s">
        <v>49273</v>
      </c>
      <c r="B49274" s="2" t="str">
        <f>IFERROR(__xludf.DUMMYFUNCTION("GOOGLETRANSLATE(A49274, ""de"", ""en"")"),"thompkins")</f>
        <v>thompkins</v>
      </c>
    </row>
    <row r="49275">
      <c r="A49275" s="1" t="s">
        <v>49274</v>
      </c>
      <c r="B49275" s="2" t="str">
        <f>IFERROR(__xludf.DUMMYFUNCTION("GOOGLETRANSLATE(A49275, ""de"", ""en"")"),"undivided")</f>
        <v>undivided</v>
      </c>
    </row>
    <row r="49276">
      <c r="A49276" s="1" t="s">
        <v>49275</v>
      </c>
      <c r="B49276" s="2" t="str">
        <f>IFERROR(__xludf.DUMMYFUNCTION("GOOGLETRANSLATE(A49276, ""de"", ""en"")"),"flasher")</f>
        <v>flasher</v>
      </c>
    </row>
    <row r="49277">
      <c r="A49277" s="1" t="s">
        <v>49276</v>
      </c>
      <c r="B49277" s="2" t="str">
        <f>IFERROR(__xludf.DUMMYFUNCTION("GOOGLETRANSLATE(A49277, ""de"", ""en"")"),"yal")</f>
        <v>yal</v>
      </c>
    </row>
    <row r="49278">
      <c r="A49278" s="1" t="s">
        <v>49277</v>
      </c>
      <c r="B49278" s="2" t="str">
        <f>IFERROR(__xludf.DUMMYFUNCTION("GOOGLETRANSLATE(A49278, ""de"", ""en"")"),"corner office")</f>
        <v>corner office</v>
      </c>
    </row>
    <row r="49279">
      <c r="A49279" s="1" t="s">
        <v>49278</v>
      </c>
      <c r="B49279" s="2" t="str">
        <f>IFERROR(__xludf.DUMMYFUNCTION("GOOGLETRANSLATE(A49279, ""de"", ""en"")"),"tight")</f>
        <v>tight</v>
      </c>
    </row>
    <row r="49280">
      <c r="A49280" s="1" t="s">
        <v>49279</v>
      </c>
      <c r="B49280" s="2" t="str">
        <f>IFERROR(__xludf.DUMMYFUNCTION("GOOGLETRANSLATE(A49280, ""de"", ""en"")"),"dip")</f>
        <v>dip</v>
      </c>
    </row>
    <row r="49281">
      <c r="A49281" s="1" t="s">
        <v>49280</v>
      </c>
      <c r="B49281" s="2" t="str">
        <f>IFERROR(__xludf.DUMMYFUNCTION("GOOGLETRANSLATE(A49281, ""de"", ""en"")"),"tuxedos")</f>
        <v>tuxedos</v>
      </c>
    </row>
    <row r="49282">
      <c r="A49282" s="1" t="s">
        <v>49281</v>
      </c>
      <c r="B49282" s="2" t="str">
        <f>IFERROR(__xludf.DUMMYFUNCTION("GOOGLETRANSLATE(A49282, ""de"", ""en"")"),"happened")</f>
        <v>happened</v>
      </c>
    </row>
    <row r="49283">
      <c r="A49283" s="1" t="s">
        <v>49282</v>
      </c>
      <c r="B49283" s="2" t="str">
        <f>IFERROR(__xludf.DUMMYFUNCTION("GOOGLETRANSLATE(A49283, ""de"", ""en"")"),"outside")</f>
        <v>outside</v>
      </c>
    </row>
    <row r="49284">
      <c r="A49284" s="1" t="s">
        <v>49283</v>
      </c>
      <c r="B49284" s="2" t="str">
        <f>IFERROR(__xludf.DUMMYFUNCTION("GOOGLETRANSLATE(A49284, ""de"", ""en"")"),"non-binding")</f>
        <v>non-binding</v>
      </c>
    </row>
    <row r="49285">
      <c r="A49285" s="1" t="s">
        <v>49284</v>
      </c>
      <c r="B49285" s="2" t="str">
        <f>IFERROR(__xludf.DUMMYFUNCTION("GOOGLETRANSLATE(A49285, ""de"", ""en"")"),"nia")</f>
        <v>nia</v>
      </c>
    </row>
    <row r="49286">
      <c r="A49286" s="1" t="s">
        <v>49285</v>
      </c>
      <c r="B49286" s="2" t="str">
        <f>IFERROR(__xludf.DUMMYFUNCTION("GOOGLETRANSLATE(A49286, ""de"", ""en"")"),"jump down")</f>
        <v>jump down</v>
      </c>
    </row>
    <row r="49287">
      <c r="A49287" s="1" t="s">
        <v>49286</v>
      </c>
      <c r="B49287" s="2" t="str">
        <f>IFERROR(__xludf.DUMMYFUNCTION("GOOGLETRANSLATE(A49287, ""de"", ""en"")"),"chin-chin")</f>
        <v>chin-chin</v>
      </c>
    </row>
    <row r="49288">
      <c r="A49288" s="1" t="s">
        <v>49287</v>
      </c>
      <c r="B49288" s="2" t="str">
        <f>IFERROR(__xludf.DUMMYFUNCTION("GOOGLETRANSLATE(A49288, ""de"", ""en"")"),"enclosed")</f>
        <v>enclosed</v>
      </c>
    </row>
    <row r="49289">
      <c r="A49289" s="1" t="s">
        <v>49288</v>
      </c>
      <c r="B49289" s="2" t="str">
        <f>IFERROR(__xludf.DUMMYFUNCTION("GOOGLETRANSLATE(A49289, ""de"", ""en"")"),"mechanical")</f>
        <v>mechanical</v>
      </c>
    </row>
    <row r="49290">
      <c r="A49290" s="1" t="s">
        <v>49289</v>
      </c>
      <c r="B49290" s="2" t="str">
        <f>IFERROR(__xludf.DUMMYFUNCTION("GOOGLETRANSLATE(A49290, ""de"", ""en"")"),"North Koreans")</f>
        <v>North Koreans</v>
      </c>
    </row>
    <row r="49291">
      <c r="A49291" s="1" t="s">
        <v>49290</v>
      </c>
      <c r="B49291" s="2" t="str">
        <f>IFERROR(__xludf.DUMMYFUNCTION("GOOGLETRANSLATE(A49291, ""de"", ""en"")"),"lean")</f>
        <v>lean</v>
      </c>
    </row>
    <row r="49292">
      <c r="A49292" s="1" t="s">
        <v>49291</v>
      </c>
      <c r="B49292" s="2" t="str">
        <f>IFERROR(__xludf.DUMMYFUNCTION("GOOGLETRANSLATE(A49292, ""de"", ""en"")"),"bronski")</f>
        <v>bronski</v>
      </c>
    </row>
    <row r="49293">
      <c r="A49293" s="1" t="s">
        <v>49292</v>
      </c>
      <c r="B49293" s="2" t="str">
        <f>IFERROR(__xludf.DUMMYFUNCTION("GOOGLETRANSLATE(A49293, ""de"", ""en"")"),"Scherbatsky")</f>
        <v>Scherbatsky</v>
      </c>
    </row>
    <row r="49294">
      <c r="A49294" s="1" t="s">
        <v>49293</v>
      </c>
      <c r="B49294" s="2" t="str">
        <f>IFERROR(__xludf.DUMMYFUNCTION("GOOGLETRANSLATE(A49294, ""de"", ""en"")"),"drunk")</f>
        <v>drunk</v>
      </c>
    </row>
    <row r="49295">
      <c r="A49295" s="1" t="s">
        <v>49294</v>
      </c>
      <c r="B49295" s="2" t="str">
        <f>IFERROR(__xludf.DUMMYFUNCTION("GOOGLETRANSLATE(A49295, ""de"", ""en"")"),"narcissist")</f>
        <v>narcissist</v>
      </c>
    </row>
    <row r="49296">
      <c r="A49296" s="1" t="s">
        <v>49295</v>
      </c>
      <c r="B49296" s="2" t="str">
        <f>IFERROR(__xludf.DUMMYFUNCTION("GOOGLETRANSLATE(A49296, ""de"", ""en"")"),"bulldogs")</f>
        <v>bulldogs</v>
      </c>
    </row>
    <row r="49297">
      <c r="A49297" s="1" t="s">
        <v>49296</v>
      </c>
      <c r="B49297" s="2" t="str">
        <f>IFERROR(__xludf.DUMMYFUNCTION("GOOGLETRANSLATE(A49297, ""de"", ""en"")"),"biologist")</f>
        <v>biologist</v>
      </c>
    </row>
    <row r="49298">
      <c r="A49298" s="1" t="s">
        <v>49297</v>
      </c>
      <c r="B49298" s="2" t="str">
        <f>IFERROR(__xludf.DUMMYFUNCTION("GOOGLETRANSLATE(A49298, ""de"", ""en"")"),"sealed")</f>
        <v>sealed</v>
      </c>
    </row>
    <row r="49299">
      <c r="A49299" s="1" t="s">
        <v>49298</v>
      </c>
      <c r="B49299" s="2" t="str">
        <f>IFERROR(__xludf.DUMMYFUNCTION("GOOGLETRANSLATE(A49299, ""de"", ""en"")"),"corrupt")</f>
        <v>corrupt</v>
      </c>
    </row>
    <row r="49300">
      <c r="A49300" s="1" t="s">
        <v>49299</v>
      </c>
      <c r="B49300" s="2" t="str">
        <f>IFERROR(__xludf.DUMMYFUNCTION("GOOGLETRANSLATE(A49300, ""de"", ""en"")"),"clipboard")</f>
        <v>clipboard</v>
      </c>
    </row>
    <row r="49301">
      <c r="A49301" s="1" t="s">
        <v>49300</v>
      </c>
      <c r="B49301" s="2" t="str">
        <f>IFERROR(__xludf.DUMMYFUNCTION("GOOGLETRANSLATE(A49301, ""de"", ""en"")"),"settle")</f>
        <v>settle</v>
      </c>
    </row>
    <row r="49302">
      <c r="A49302" s="1" t="s">
        <v>49301</v>
      </c>
      <c r="B49302" s="2" t="str">
        <f>IFERROR(__xludf.DUMMYFUNCTION("GOOGLETRANSLATE(A49302, ""de"", ""en"")"),"nirvana")</f>
        <v>nirvana</v>
      </c>
    </row>
    <row r="49303">
      <c r="A49303" s="1" t="s">
        <v>49302</v>
      </c>
      <c r="B49303" s="2" t="str">
        <f>IFERROR(__xludf.DUMMYFUNCTION("GOOGLETRANSLATE(A49303, ""de"", ""en"")"),"landowner")</f>
        <v>landowner</v>
      </c>
    </row>
    <row r="49304">
      <c r="A49304" s="1" t="s">
        <v>49303</v>
      </c>
      <c r="B49304" s="2" t="str">
        <f>IFERROR(__xludf.DUMMYFUNCTION("GOOGLETRANSLATE(A49304, ""de"", ""en"")"),"shine")</f>
        <v>shine</v>
      </c>
    </row>
    <row r="49305">
      <c r="A49305" s="1" t="s">
        <v>49304</v>
      </c>
      <c r="B49305" s="2" t="str">
        <f>IFERROR(__xludf.DUMMYFUNCTION("GOOGLETRANSLATE(A49305, ""de"", ""en"")"),"necklaces")</f>
        <v>necklaces</v>
      </c>
    </row>
    <row r="49306">
      <c r="A49306" s="1" t="s">
        <v>49305</v>
      </c>
      <c r="B49306" s="2" t="str">
        <f>IFERROR(__xludf.DUMMYFUNCTION("GOOGLETRANSLATE(A49306, ""de"", ""en"")"),"immaculate")</f>
        <v>immaculate</v>
      </c>
    </row>
    <row r="49307">
      <c r="A49307" s="1" t="s">
        <v>49306</v>
      </c>
      <c r="B49307" s="2" t="str">
        <f>IFERROR(__xludf.DUMMYFUNCTION("GOOGLETRANSLATE(A49307, ""de"", ""en"")"),"ziyal")</f>
        <v>ziyal</v>
      </c>
    </row>
    <row r="49308">
      <c r="A49308" s="1" t="s">
        <v>49307</v>
      </c>
      <c r="B49308" s="2" t="str">
        <f>IFERROR(__xludf.DUMMYFUNCTION("GOOGLETRANSLATE(A49308, ""de"", ""en"")"),"ethans")</f>
        <v>ethans</v>
      </c>
    </row>
    <row r="49309">
      <c r="A49309" s="1" t="s">
        <v>49308</v>
      </c>
      <c r="B49309" s="2" t="str">
        <f>IFERROR(__xludf.DUMMYFUNCTION("GOOGLETRANSLATE(A49309, ""de"", ""en"")"),"trigonometry")</f>
        <v>trigonometry</v>
      </c>
    </row>
    <row r="49310">
      <c r="A49310" s="1" t="s">
        <v>49309</v>
      </c>
      <c r="B49310" s="2" t="str">
        <f>IFERROR(__xludf.DUMMYFUNCTION("GOOGLETRANSLATE(A49310, ""de"", ""en"")"),"got in")</f>
        <v>got in</v>
      </c>
    </row>
    <row r="49311">
      <c r="A49311" s="1" t="s">
        <v>49310</v>
      </c>
      <c r="B49311" s="2" t="str">
        <f>IFERROR(__xludf.DUMMYFUNCTION("GOOGLETRANSLATE(A49311, ""de"", ""en"")"),"14 year old")</f>
        <v>14 year old</v>
      </c>
    </row>
    <row r="49312">
      <c r="A49312" s="1" t="s">
        <v>49311</v>
      </c>
      <c r="B49312" s="2" t="str">
        <f>IFERROR(__xludf.DUMMYFUNCTION("GOOGLETRANSLATE(A49312, ""de"", ""en"")"),"transition phase")</f>
        <v>transition phase</v>
      </c>
    </row>
    <row r="49313">
      <c r="A49313" s="1" t="s">
        <v>49312</v>
      </c>
      <c r="B49313" s="2" t="str">
        <f>IFERROR(__xludf.DUMMYFUNCTION("GOOGLETRANSLATE(A49313, ""de"", ""en"")"),"used")</f>
        <v>used</v>
      </c>
    </row>
    <row r="49314">
      <c r="A49314" s="1" t="s">
        <v>49313</v>
      </c>
      <c r="B49314" s="2" t="str">
        <f>IFERROR(__xludf.DUMMYFUNCTION("GOOGLETRANSLATE(A49314, ""de"", ""en"")"),"lucrative")</f>
        <v>lucrative</v>
      </c>
    </row>
    <row r="49315">
      <c r="A49315" s="1" t="s">
        <v>49314</v>
      </c>
      <c r="B49315" s="2" t="str">
        <f>IFERROR(__xludf.DUMMYFUNCTION("GOOGLETRANSLATE(A49315, ""de"", ""en"")"),"desks")</f>
        <v>desks</v>
      </c>
    </row>
    <row r="49316">
      <c r="A49316" s="1" t="s">
        <v>49315</v>
      </c>
      <c r="B49316" s="2" t="str">
        <f>IFERROR(__xludf.DUMMYFUNCTION("GOOGLETRANSLATE(A49316, ""de"", ""en"")"),"prioritize")</f>
        <v>prioritize</v>
      </c>
    </row>
    <row r="49317">
      <c r="A49317" s="1" t="s">
        <v>49316</v>
      </c>
      <c r="B49317" s="2" t="str">
        <f>IFERROR(__xludf.DUMMYFUNCTION("GOOGLETRANSLATE(A49317, ""de"", ""en"")"),"lumbar puncture")</f>
        <v>lumbar puncture</v>
      </c>
    </row>
    <row r="49318">
      <c r="A49318" s="1" t="s">
        <v>49317</v>
      </c>
      <c r="B49318" s="2" t="str">
        <f>IFERROR(__xludf.DUMMYFUNCTION("GOOGLETRANSLATE(A49318, ""de"", ""en"")"),"to recruit")</f>
        <v>to recruit</v>
      </c>
    </row>
    <row r="49319">
      <c r="A49319" s="1" t="s">
        <v>49318</v>
      </c>
      <c r="B49319" s="2" t="str">
        <f>IFERROR(__xludf.DUMMYFUNCTION("GOOGLETRANSLATE(A49319, ""de"", ""en"")"),"ips")</f>
        <v>ips</v>
      </c>
    </row>
    <row r="49320">
      <c r="A49320" s="1" t="s">
        <v>49319</v>
      </c>
      <c r="B49320" s="2" t="str">
        <f>IFERROR(__xludf.DUMMYFUNCTION("GOOGLETRANSLATE(A49320, ""de"", ""en"")"),"más")</f>
        <v>más</v>
      </c>
    </row>
    <row r="49321">
      <c r="A49321" s="1" t="s">
        <v>49320</v>
      </c>
      <c r="B49321" s="2" t="str">
        <f>IFERROR(__xludf.DUMMYFUNCTION("GOOGLETRANSLATE(A49321, ""de"", ""en"")"),"across")</f>
        <v>across</v>
      </c>
    </row>
    <row r="49322">
      <c r="A49322" s="1" t="s">
        <v>49321</v>
      </c>
      <c r="B49322" s="2" t="str">
        <f>IFERROR(__xludf.DUMMYFUNCTION("GOOGLETRANSLATE(A49322, ""de"", ""en"")"),"rip cord")</f>
        <v>rip cord</v>
      </c>
    </row>
    <row r="49323">
      <c r="A49323" s="1" t="s">
        <v>49322</v>
      </c>
      <c r="B49323" s="2" t="str">
        <f>IFERROR(__xludf.DUMMYFUNCTION("GOOGLETRANSLATE(A49323, ""de"", ""en"")"),"shore leave")</f>
        <v>shore leave</v>
      </c>
    </row>
    <row r="49324">
      <c r="A49324" s="1" t="s">
        <v>49323</v>
      </c>
      <c r="B49324" s="2" t="str">
        <f>IFERROR(__xludf.DUMMYFUNCTION("GOOGLETRANSLATE(A49324, ""de"", ""en"")"),"laughed at")</f>
        <v>laughed at</v>
      </c>
    </row>
    <row r="49325">
      <c r="A49325" s="1" t="s">
        <v>49324</v>
      </c>
      <c r="B49325" s="2" t="str">
        <f>IFERROR(__xludf.DUMMYFUNCTION("GOOGLETRANSLATE(A49325, ""de"", ""en"")"),"maximize")</f>
        <v>maximize</v>
      </c>
    </row>
    <row r="49326">
      <c r="A49326" s="1" t="s">
        <v>49325</v>
      </c>
      <c r="B49326" s="2" t="str">
        <f>IFERROR(__xludf.DUMMYFUNCTION("GOOGLETRANSLATE(A49326, ""de"", ""en"")"),"persistent")</f>
        <v>persistent</v>
      </c>
    </row>
    <row r="49327">
      <c r="A49327" s="1" t="s">
        <v>49326</v>
      </c>
      <c r="B49327" s="2" t="str">
        <f>IFERROR(__xludf.DUMMYFUNCTION("GOOGLETRANSLATE(A49327, ""de"", ""en"")"),"wasted away")</f>
        <v>wasted away</v>
      </c>
    </row>
    <row r="49328">
      <c r="A49328" s="1" t="s">
        <v>49327</v>
      </c>
      <c r="B49328" s="2" t="str">
        <f>IFERROR(__xludf.DUMMYFUNCTION("GOOGLETRANSLATE(A49328, ""de"", ""en"")"),"it.")</f>
        <v>it.</v>
      </c>
    </row>
    <row r="49329">
      <c r="A49329" s="1" t="s">
        <v>49328</v>
      </c>
      <c r="B49329" s="2" t="str">
        <f>IFERROR(__xludf.DUMMYFUNCTION("GOOGLETRANSLATE(A49329, ""de"", ""en"")"),"US soldiers")</f>
        <v>US soldiers</v>
      </c>
    </row>
    <row r="49330">
      <c r="A49330" s="1" t="s">
        <v>49329</v>
      </c>
      <c r="B49330" s="2" t="str">
        <f>IFERROR(__xludf.DUMMYFUNCTION("GOOGLETRANSLATE(A49330, ""de"", ""en"")"),"form")</f>
        <v>form</v>
      </c>
    </row>
    <row r="49331">
      <c r="A49331" s="1" t="s">
        <v>49330</v>
      </c>
      <c r="B49331" s="2" t="str">
        <f>IFERROR(__xludf.DUMMYFUNCTION("GOOGLETRANSLATE(A49331, ""de"", ""en"")"),"d.b.")</f>
        <v>d.b.</v>
      </c>
    </row>
    <row r="49332">
      <c r="A49332" s="1" t="s">
        <v>49331</v>
      </c>
      <c r="B49332" s="2" t="str">
        <f>IFERROR(__xludf.DUMMYFUNCTION("GOOGLETRANSLATE(A49332, ""de"", ""en"")"),"heretic")</f>
        <v>heretic</v>
      </c>
    </row>
    <row r="49333">
      <c r="A49333" s="1" t="s">
        <v>49332</v>
      </c>
      <c r="B49333" s="2" t="str">
        <f>IFERROR(__xludf.DUMMYFUNCTION("GOOGLETRANSLATE(A49333, ""de"", ""en"")"),"kitchen door")</f>
        <v>kitchen door</v>
      </c>
    </row>
    <row r="49334">
      <c r="A49334" s="1" t="s">
        <v>49333</v>
      </c>
      <c r="B49334" s="2" t="str">
        <f>IFERROR(__xludf.DUMMYFUNCTION("GOOGLETRANSLATE(A49334, ""de"", ""en"")"),"family problems")</f>
        <v>family problems</v>
      </c>
    </row>
    <row r="49335">
      <c r="A49335" s="1" t="s">
        <v>49334</v>
      </c>
      <c r="B49335" s="2" t="str">
        <f>IFERROR(__xludf.DUMMYFUNCTION("GOOGLETRANSLATE(A49335, ""de"", ""en"")"),"police operation")</f>
        <v>police operation</v>
      </c>
    </row>
    <row r="49336">
      <c r="A49336" s="1" t="s">
        <v>49335</v>
      </c>
      <c r="B49336" s="2" t="str">
        <f>IFERROR(__xludf.DUMMYFUNCTION("GOOGLETRANSLATE(A49336, ""de"", ""en"")"),"primary")</f>
        <v>primary</v>
      </c>
    </row>
    <row r="49337">
      <c r="A49337" s="1" t="s">
        <v>49336</v>
      </c>
      <c r="B49337" s="2" t="str">
        <f>IFERROR(__xludf.DUMMYFUNCTION("GOOGLETRANSLATE(A49337, ""de"", ""en"")"),"za")</f>
        <v>za</v>
      </c>
    </row>
    <row r="49338">
      <c r="A49338" s="1" t="s">
        <v>49337</v>
      </c>
      <c r="B49338" s="2" t="str">
        <f>IFERROR(__xludf.DUMMYFUNCTION("GOOGLETRANSLATE(A49338, ""de"", ""en"")"),"sufferers")</f>
        <v>sufferers</v>
      </c>
    </row>
    <row r="49339">
      <c r="A49339" s="1" t="s">
        <v>49338</v>
      </c>
      <c r="B49339" s="2" t="str">
        <f>IFERROR(__xludf.DUMMYFUNCTION("GOOGLETRANSLATE(A49339, ""de"", ""en"")"),"protectproof")</f>
        <v>protectproof</v>
      </c>
    </row>
    <row r="49340">
      <c r="A49340" s="1" t="s">
        <v>49339</v>
      </c>
      <c r="B49340" s="2" t="str">
        <f>IFERROR(__xludf.DUMMYFUNCTION("GOOGLETRANSLATE(A49340, ""de"", ""en"")"),"shoe soles")</f>
        <v>shoe soles</v>
      </c>
    </row>
    <row r="49341">
      <c r="A49341" s="1" t="s">
        <v>49340</v>
      </c>
      <c r="B49341" s="2" t="str">
        <f>IFERROR(__xludf.DUMMYFUNCTION("GOOGLETRANSLATE(A49341, ""de"", ""en"")"),"dusty")</f>
        <v>dusty</v>
      </c>
    </row>
    <row r="49342">
      <c r="A49342" s="1" t="s">
        <v>49341</v>
      </c>
      <c r="B49342" s="2" t="str">
        <f>IFERROR(__xludf.DUMMYFUNCTION("GOOGLETRANSLATE(A49342, ""de"", ""en"")"),"shoots down")</f>
        <v>shoots down</v>
      </c>
    </row>
    <row r="49343">
      <c r="A49343" s="1" t="s">
        <v>49342</v>
      </c>
      <c r="B49343" s="2" t="str">
        <f>IFERROR(__xludf.DUMMYFUNCTION("GOOGLETRANSLATE(A49343, ""de"", ""en"")"),"teammates")</f>
        <v>teammates</v>
      </c>
    </row>
    <row r="49344">
      <c r="A49344" s="1" t="s">
        <v>49343</v>
      </c>
      <c r="B49344" s="2" t="str">
        <f>IFERROR(__xludf.DUMMYFUNCTION("GOOGLETRANSLATE(A49344, ""de"", ""en"")"),"devil worshiper")</f>
        <v>devil worshiper</v>
      </c>
    </row>
    <row r="49345">
      <c r="A49345" s="1" t="s">
        <v>49344</v>
      </c>
      <c r="B49345" s="2" t="str">
        <f>IFERROR(__xludf.DUMMYFUNCTION("GOOGLETRANSLATE(A49345, ""de"", ""en"")"),"zammis")</f>
        <v>zammis</v>
      </c>
    </row>
    <row r="49346">
      <c r="A49346" s="1" t="s">
        <v>49345</v>
      </c>
      <c r="B49346" s="2" t="str">
        <f>IFERROR(__xludf.DUMMYFUNCTION("GOOGLETRANSLATE(A49346, ""de"", ""en"")"),"muzzy")</f>
        <v>muzzy</v>
      </c>
    </row>
    <row r="49347">
      <c r="A49347" s="1" t="s">
        <v>49346</v>
      </c>
      <c r="B49347" s="2" t="str">
        <f>IFERROR(__xludf.DUMMYFUNCTION("GOOGLETRANSLATE(A49347, ""de"", ""en"")"),"terrys")</f>
        <v>terrys</v>
      </c>
    </row>
    <row r="49348">
      <c r="A49348" s="1" t="s">
        <v>49347</v>
      </c>
      <c r="B49348" s="2" t="str">
        <f>IFERROR(__xludf.DUMMYFUNCTION("GOOGLETRANSLATE(A49348, ""de"", ""en"")"),"nobility")</f>
        <v>nobility</v>
      </c>
    </row>
    <row r="49349">
      <c r="A49349" s="1" t="s">
        <v>49348</v>
      </c>
      <c r="B49349" s="2" t="str">
        <f>IFERROR(__xludf.DUMMYFUNCTION("GOOGLETRANSLATE(A49349, ""de"", ""en"")"),"garage door")</f>
        <v>garage door</v>
      </c>
    </row>
    <row r="49350">
      <c r="A49350" s="1" t="s">
        <v>49349</v>
      </c>
      <c r="B49350" s="2" t="str">
        <f>IFERROR(__xludf.DUMMYFUNCTION("GOOGLETRANSLATE(A49350, ""de"", ""en"")"),"beehive")</f>
        <v>beehive</v>
      </c>
    </row>
    <row r="49351">
      <c r="A49351" s="1" t="s">
        <v>49350</v>
      </c>
      <c r="B49351" s="2" t="str">
        <f>IFERROR(__xludf.DUMMYFUNCTION("GOOGLETRANSLATE(A49351, ""de"", ""en"")"),"ungodly")</f>
        <v>ungodly</v>
      </c>
    </row>
    <row r="49352">
      <c r="A49352" s="1" t="s">
        <v>49351</v>
      </c>
      <c r="B49352" s="2" t="str">
        <f>IFERROR(__xludf.DUMMYFUNCTION("GOOGLETRANSLATE(A49352, ""de"", ""en"")"),"volcano")</f>
        <v>volcano</v>
      </c>
    </row>
    <row r="49353">
      <c r="A49353" s="1" t="s">
        <v>49352</v>
      </c>
      <c r="B49353" s="2" t="str">
        <f>IFERROR(__xludf.DUMMYFUNCTION("GOOGLETRANSLATE(A49353, ""de"", ""en"")"),"jogging")</f>
        <v>jogging</v>
      </c>
    </row>
    <row r="49354">
      <c r="A49354" s="1" t="s">
        <v>49353</v>
      </c>
      <c r="B49354" s="2" t="str">
        <f>IFERROR(__xludf.DUMMYFUNCTION("GOOGLETRANSLATE(A49354, ""de"", ""en"")"),"tall tales")</f>
        <v>tall tales</v>
      </c>
    </row>
    <row r="49355">
      <c r="A49355" s="1" t="s">
        <v>49354</v>
      </c>
      <c r="B49355" s="2" t="str">
        <f>IFERROR(__xludf.DUMMYFUNCTION("GOOGLETRANSLATE(A49355, ""de"", ""en"")"),"quantity")</f>
        <v>quantity</v>
      </c>
    </row>
    <row r="49356">
      <c r="A49356" s="1" t="s">
        <v>49355</v>
      </c>
      <c r="B49356" s="2" t="str">
        <f>IFERROR(__xludf.DUMMYFUNCTION("GOOGLETRANSLATE(A49356, ""de"", ""en"")"),"mui")</f>
        <v>mui</v>
      </c>
    </row>
    <row r="49357">
      <c r="A49357" s="1" t="s">
        <v>49356</v>
      </c>
      <c r="B49357" s="2" t="str">
        <f>IFERROR(__xludf.DUMMYFUNCTION("GOOGLETRANSLATE(A49357, ""de"", ""en"")"),"Thoreau")</f>
        <v>Thoreau</v>
      </c>
    </row>
    <row r="49358">
      <c r="A49358" s="1" t="s">
        <v>49357</v>
      </c>
      <c r="B49358" s="2" t="str">
        <f>IFERROR(__xludf.DUMMYFUNCTION("GOOGLETRANSLATE(A49358, ""de"", ""en"")"),"deposition")</f>
        <v>deposition</v>
      </c>
    </row>
    <row r="49359">
      <c r="A49359" s="1" t="s">
        <v>49358</v>
      </c>
      <c r="B49359" s="2" t="str">
        <f>IFERROR(__xludf.DUMMYFUNCTION("GOOGLETRANSLATE(A49359, ""de"", ""en"")"),"colored")</f>
        <v>colored</v>
      </c>
    </row>
    <row r="49360">
      <c r="A49360" s="1" t="s">
        <v>49359</v>
      </c>
      <c r="B49360" s="2" t="str">
        <f>IFERROR(__xludf.DUMMYFUNCTION("GOOGLETRANSLATE(A49360, ""de"", ""en"")"),"deckers")</f>
        <v>deckers</v>
      </c>
    </row>
    <row r="49361">
      <c r="A49361" s="1" t="s">
        <v>49360</v>
      </c>
      <c r="B49361" s="2" t="str">
        <f>IFERROR(__xludf.DUMMYFUNCTION("GOOGLETRANSLATE(A49361, ""de"", ""en"")"),"incurable")</f>
        <v>incurable</v>
      </c>
    </row>
    <row r="49362">
      <c r="A49362" s="1" t="s">
        <v>49361</v>
      </c>
      <c r="B49362" s="2" t="str">
        <f>IFERROR(__xludf.DUMMYFUNCTION("GOOGLETRANSLATE(A49362, ""de"", ""en"")"),"Mexico City")</f>
        <v>Mexico City</v>
      </c>
    </row>
    <row r="49363">
      <c r="A49363" s="1" t="s">
        <v>49362</v>
      </c>
      <c r="B49363" s="2" t="str">
        <f>IFERROR(__xludf.DUMMYFUNCTION("GOOGLETRANSLATE(A49363, ""de"", ""en"")"),"dns test")</f>
        <v>dns test</v>
      </c>
    </row>
    <row r="49364">
      <c r="A49364" s="1" t="s">
        <v>49363</v>
      </c>
      <c r="B49364" s="2" t="str">
        <f>IFERROR(__xludf.DUMMYFUNCTION("GOOGLETRANSLATE(A49364, ""de"", ""en"")"),"paladin")</f>
        <v>paladin</v>
      </c>
    </row>
    <row r="49365">
      <c r="A49365" s="1" t="s">
        <v>49364</v>
      </c>
      <c r="B49365" s="2" t="str">
        <f>IFERROR(__xludf.DUMMYFUNCTION("GOOGLETRANSLATE(A49365, ""de"", ""en"")"),"assessments")</f>
        <v>assessments</v>
      </c>
    </row>
    <row r="49366">
      <c r="A49366" s="1" t="s">
        <v>49365</v>
      </c>
      <c r="B49366" s="2" t="str">
        <f>IFERROR(__xludf.DUMMYFUNCTION("GOOGLETRANSLATE(A49366, ""de"", ""en"")"),"lovisa")</f>
        <v>lovisa</v>
      </c>
    </row>
    <row r="49367">
      <c r="A49367" s="1" t="s">
        <v>49366</v>
      </c>
      <c r="B49367" s="2" t="str">
        <f>IFERROR(__xludf.DUMMYFUNCTION("GOOGLETRANSLATE(A49367, ""de"", ""en"")"),"homies")</f>
        <v>homies</v>
      </c>
    </row>
    <row r="49368">
      <c r="A49368" s="1" t="s">
        <v>49367</v>
      </c>
      <c r="B49368" s="2" t="str">
        <f>IFERROR(__xludf.DUMMYFUNCTION("GOOGLETRANSLATE(A49368, ""de"", ""en"")"),"hallandsen")</f>
        <v>hallandsen</v>
      </c>
    </row>
    <row r="49369">
      <c r="A49369" s="1" t="s">
        <v>49368</v>
      </c>
      <c r="B49369" s="2" t="str">
        <f>IFERROR(__xludf.DUMMYFUNCTION("GOOGLETRANSLATE(A49369, ""de"", ""en"")"),"alvarado")</f>
        <v>alvarado</v>
      </c>
    </row>
    <row r="49370">
      <c r="A49370" s="1" t="s">
        <v>49369</v>
      </c>
      <c r="B49370" s="2" t="str">
        <f>IFERROR(__xludf.DUMMYFUNCTION("GOOGLETRANSLATE(A49370, ""de"", ""en"")"),"damage")</f>
        <v>damage</v>
      </c>
    </row>
    <row r="49371">
      <c r="A49371" s="1" t="s">
        <v>49370</v>
      </c>
      <c r="B49371" s="2" t="str">
        <f>IFERROR(__xludf.DUMMYFUNCTION("GOOGLETRANSLATE(A49371, ""de"", ""en"")"),"kif")</f>
        <v>kif</v>
      </c>
    </row>
    <row r="49372">
      <c r="A49372" s="1" t="s">
        <v>49371</v>
      </c>
      <c r="B49372" s="2" t="str">
        <f>IFERROR(__xludf.DUMMYFUNCTION("GOOGLETRANSLATE(A49372, ""de"", ""en"")"),"syl")</f>
        <v>syl</v>
      </c>
    </row>
    <row r="49373">
      <c r="A49373" s="1" t="s">
        <v>49372</v>
      </c>
      <c r="B49373" s="2" t="str">
        <f>IFERROR(__xludf.DUMMYFUNCTION("GOOGLETRANSLATE(A49373, ""de"", ""en"")"),"Morse code")</f>
        <v>Morse code</v>
      </c>
    </row>
    <row r="49374">
      <c r="A49374" s="1" t="s">
        <v>49373</v>
      </c>
      <c r="B49374" s="2" t="str">
        <f>IFERROR(__xludf.DUMMYFUNCTION("GOOGLETRANSLATE(A49374, ""de"", ""en"")"),"dents")</f>
        <v>dents</v>
      </c>
    </row>
    <row r="49375">
      <c r="A49375" s="1" t="s">
        <v>49374</v>
      </c>
      <c r="B49375" s="2" t="str">
        <f>IFERROR(__xludf.DUMMYFUNCTION("GOOGLETRANSLATE(A49375, ""de"", ""en"")"),"came by")</f>
        <v>came by</v>
      </c>
    </row>
    <row r="49376">
      <c r="A49376" s="1" t="s">
        <v>49375</v>
      </c>
      <c r="B49376" s="2" t="str">
        <f>IFERROR(__xludf.DUMMYFUNCTION("GOOGLETRANSLATE(A49376, ""de"", ""en"")"),"fireplace")</f>
        <v>fireplace</v>
      </c>
    </row>
    <row r="49377">
      <c r="A49377" s="1" t="s">
        <v>49376</v>
      </c>
      <c r="B49377" s="2" t="str">
        <f>IFERROR(__xludf.DUMMYFUNCTION("GOOGLETRANSLATE(A49377, ""de"", ""en"")"),"insider information")</f>
        <v>insider information</v>
      </c>
    </row>
    <row r="49378">
      <c r="A49378" s="1" t="s">
        <v>49377</v>
      </c>
      <c r="B49378" s="2" t="str">
        <f>IFERROR(__xludf.DUMMYFUNCTION("GOOGLETRANSLATE(A49378, ""de"", ""en"")"),"grease")</f>
        <v>grease</v>
      </c>
    </row>
    <row r="49379">
      <c r="A49379" s="1" t="s">
        <v>49378</v>
      </c>
      <c r="B49379" s="2" t="str">
        <f>IFERROR(__xludf.DUMMYFUNCTION("GOOGLETRANSLATE(A49379, ""de"", ""en"")"),"aircraft alert")</f>
        <v>aircraft alert</v>
      </c>
    </row>
    <row r="49380">
      <c r="A49380" s="1" t="s">
        <v>49379</v>
      </c>
      <c r="B49380" s="2" t="str">
        <f>IFERROR(__xludf.DUMMYFUNCTION("GOOGLETRANSLATE(A49380, ""de"", ""en"")"),"original")</f>
        <v>original</v>
      </c>
    </row>
    <row r="49381">
      <c r="A49381" s="1" t="s">
        <v>49380</v>
      </c>
      <c r="B49381" s="2" t="str">
        <f>IFERROR(__xludf.DUMMYFUNCTION("GOOGLETRANSLATE(A49381, ""de"", ""en"")"),"stocks")</f>
        <v>stocks</v>
      </c>
    </row>
    <row r="49382">
      <c r="A49382" s="1" t="s">
        <v>49381</v>
      </c>
      <c r="B49382" s="2" t="str">
        <f>IFERROR(__xludf.DUMMYFUNCTION("GOOGLETRANSLATE(A49382, ""de"", ""en"")"),"starting position")</f>
        <v>starting position</v>
      </c>
    </row>
    <row r="49383">
      <c r="A49383" s="1" t="s">
        <v>49382</v>
      </c>
      <c r="B49383" s="2" t="str">
        <f>IFERROR(__xludf.DUMMYFUNCTION("GOOGLETRANSLATE(A49383, ""de"", ""en"")"),"lnuki")</f>
        <v>lnuki</v>
      </c>
    </row>
    <row r="49384">
      <c r="A49384" s="1" t="s">
        <v>49383</v>
      </c>
      <c r="B49384" s="2" t="str">
        <f>IFERROR(__xludf.DUMMYFUNCTION("GOOGLETRANSLATE(A49384, ""de"", ""en"")"),"bluebeard")</f>
        <v>bluebeard</v>
      </c>
    </row>
    <row r="49385">
      <c r="A49385" s="1" t="s">
        <v>49384</v>
      </c>
      <c r="B49385" s="2" t="str">
        <f>IFERROR(__xludf.DUMMYFUNCTION("GOOGLETRANSLATE(A49385, ""de"", ""en"")"),"salted")</f>
        <v>salted</v>
      </c>
    </row>
    <row r="49386">
      <c r="A49386" s="1" t="s">
        <v>49385</v>
      </c>
      <c r="B49386" s="2" t="str">
        <f>IFERROR(__xludf.DUMMYFUNCTION("GOOGLETRANSLATE(A49386, ""de"", ""en"")"),"lucrative")</f>
        <v>lucrative</v>
      </c>
    </row>
    <row r="49387">
      <c r="A49387" s="1" t="s">
        <v>49386</v>
      </c>
      <c r="B49387" s="2" t="str">
        <f>IFERROR(__xludf.DUMMYFUNCTION("GOOGLETRANSLATE(A49387, ""de"", ""en"")"),"surprising")</f>
        <v>surprising</v>
      </c>
    </row>
    <row r="49388">
      <c r="A49388" s="1" t="s">
        <v>49387</v>
      </c>
      <c r="B49388" s="2" t="str">
        <f>IFERROR(__xludf.DUMMYFUNCTION("GOOGLETRANSLATE(A49388, ""de"", ""en"")"),"desperate")</f>
        <v>desperate</v>
      </c>
    </row>
    <row r="49389">
      <c r="A49389" s="1" t="s">
        <v>49388</v>
      </c>
      <c r="B49389" s="2" t="str">
        <f>IFERROR(__xludf.DUMMYFUNCTION("GOOGLETRANSLATE(A49389, ""de"", ""en"")"),"most binding")</f>
        <v>most binding</v>
      </c>
    </row>
    <row r="49390">
      <c r="A49390" s="1" t="s">
        <v>49389</v>
      </c>
      <c r="B49390" s="2" t="str">
        <f>IFERROR(__xludf.DUMMYFUNCTION("GOOGLETRANSLATE(A49390, ""de"", ""en"")"),"allo")</f>
        <v>allo</v>
      </c>
    </row>
    <row r="49391">
      <c r="A49391" s="1" t="s">
        <v>49390</v>
      </c>
      <c r="B49391" s="2" t="str">
        <f>IFERROR(__xludf.DUMMYFUNCTION("GOOGLETRANSLATE(A49391, ""de"", ""en"")"),"dae")</f>
        <v>dae</v>
      </c>
    </row>
    <row r="49392">
      <c r="A49392" s="1" t="s">
        <v>49391</v>
      </c>
      <c r="B49392" s="2" t="str">
        <f>IFERROR(__xludf.DUMMYFUNCTION("GOOGLETRANSLATE(A49392, ""de"", ""en"")"),"wind speed")</f>
        <v>wind speed</v>
      </c>
    </row>
    <row r="49393">
      <c r="A49393" s="1" t="s">
        <v>49392</v>
      </c>
      <c r="B49393" s="2" t="str">
        <f>IFERROR(__xludf.DUMMYFUNCTION("GOOGLETRANSLATE(A49393, ""de"", ""en"")"),"arcadia")</f>
        <v>arcadia</v>
      </c>
    </row>
    <row r="49394">
      <c r="A49394" s="1" t="s">
        <v>49393</v>
      </c>
      <c r="B49394" s="2" t="str">
        <f>IFERROR(__xludf.DUMMYFUNCTION("GOOGLETRANSLATE(A49394, ""de"", ""en"")"),"background information")</f>
        <v>background information</v>
      </c>
    </row>
    <row r="49395">
      <c r="A49395" s="1" t="s">
        <v>49394</v>
      </c>
      <c r="B49395" s="2" t="str">
        <f>IFERROR(__xludf.DUMMYFUNCTION("GOOGLETRANSLATE(A49395, ""de"", ""en"")"),"exploit")</f>
        <v>exploit</v>
      </c>
    </row>
    <row r="49396">
      <c r="A49396" s="1" t="s">
        <v>49395</v>
      </c>
      <c r="B49396" s="2" t="str">
        <f>IFERROR(__xludf.DUMMYFUNCTION("GOOGLETRANSLATE(A49396, ""de"", ""en"")"),"barns")</f>
        <v>barns</v>
      </c>
    </row>
    <row r="49397">
      <c r="A49397" s="1" t="s">
        <v>49396</v>
      </c>
      <c r="B49397" s="2" t="str">
        <f>IFERROR(__xludf.DUMMYFUNCTION("GOOGLETRANSLATE(A49397, ""de"", ""en"")"),"dawned")</f>
        <v>dawned</v>
      </c>
    </row>
    <row r="49398">
      <c r="A49398" s="1" t="s">
        <v>49397</v>
      </c>
      <c r="B49398" s="2" t="str">
        <f>IFERROR(__xludf.DUMMYFUNCTION("GOOGLETRANSLATE(A49398, ""de"", ""en"")"),"more cooperative")</f>
        <v>more cooperative</v>
      </c>
    </row>
    <row r="49399">
      <c r="A49399" s="1" t="s">
        <v>49398</v>
      </c>
      <c r="B49399" s="2" t="str">
        <f>IFERROR(__xludf.DUMMYFUNCTION("GOOGLETRANSLATE(A49399, ""de"", ""en"")"),"puren")</f>
        <v>puren</v>
      </c>
    </row>
    <row r="49400">
      <c r="A49400" s="1" t="s">
        <v>49399</v>
      </c>
      <c r="B49400" s="2" t="str">
        <f>IFERROR(__xludf.DUMMYFUNCTION("GOOGLETRANSLATE(A49400, ""de"", ""en"")"),"ten-front")</f>
        <v>ten-front</v>
      </c>
    </row>
    <row r="49401">
      <c r="A49401" s="1" t="s">
        <v>49400</v>
      </c>
      <c r="B49401" s="2" t="str">
        <f>IFERROR(__xludf.DUMMYFUNCTION("GOOGLETRANSLATE(A49401, ""de"", ""en"")"),"noblemen")</f>
        <v>noblemen</v>
      </c>
    </row>
    <row r="49402">
      <c r="A49402" s="1" t="s">
        <v>49401</v>
      </c>
      <c r="B49402" s="2" t="str">
        <f>IFERROR(__xludf.DUMMYFUNCTION("GOOGLETRANSLATE(A49402, ""de"", ""en"")"),"go crazy")</f>
        <v>go crazy</v>
      </c>
    </row>
    <row r="49403">
      <c r="A49403" s="1" t="s">
        <v>49402</v>
      </c>
      <c r="B49403" s="2" t="str">
        <f>IFERROR(__xludf.DUMMYFUNCTION("GOOGLETRANSLATE(A49403, ""de"", ""en"")"),"demonized")</f>
        <v>demonized</v>
      </c>
    </row>
    <row r="49404">
      <c r="A49404" s="1" t="s">
        <v>49403</v>
      </c>
      <c r="B49404" s="2" t="str">
        <f>IFERROR(__xludf.DUMMYFUNCTION("GOOGLETRANSLATE(A49404, ""de"", ""en"")"),"Stalin's")</f>
        <v>Stalin's</v>
      </c>
    </row>
    <row r="49405">
      <c r="A49405" s="1" t="s">
        <v>49404</v>
      </c>
      <c r="B49405" s="2" t="str">
        <f>IFERROR(__xludf.DUMMYFUNCTION("GOOGLETRANSLATE(A49405, ""de"", ""en"")"),"bully")</f>
        <v>bully</v>
      </c>
    </row>
    <row r="49406">
      <c r="A49406" s="1" t="s">
        <v>49405</v>
      </c>
      <c r="B49406" s="2" t="str">
        <f>IFERROR(__xludf.DUMMYFUNCTION("GOOGLETRANSLATE(A49406, ""de"", ""en"")"),"pe")</f>
        <v>pe</v>
      </c>
    </row>
    <row r="49407">
      <c r="A49407" s="1" t="s">
        <v>49406</v>
      </c>
      <c r="B49407" s="2" t="str">
        <f>IFERROR(__xludf.DUMMYFUNCTION("GOOGLETRANSLATE(A49407, ""de"", ""en"")"),"to cool down")</f>
        <v>to cool down</v>
      </c>
    </row>
    <row r="49408">
      <c r="A49408" s="1" t="s">
        <v>49407</v>
      </c>
      <c r="B49408" s="2" t="str">
        <f>IFERROR(__xludf.DUMMYFUNCTION("GOOGLETRANSLATE(A49408, ""de"", ""en"")"),"cartoon")</f>
        <v>cartoon</v>
      </c>
    </row>
    <row r="49409">
      <c r="A49409" s="1" t="s">
        <v>49408</v>
      </c>
      <c r="B49409" s="2" t="str">
        <f>IFERROR(__xludf.DUMMYFUNCTION("GOOGLETRANSLATE(A49409, ""de"", ""en"")"),"jihad")</f>
        <v>jihad</v>
      </c>
    </row>
    <row r="49410">
      <c r="A49410" s="1" t="s">
        <v>49409</v>
      </c>
      <c r="B49410" s="2" t="str">
        <f>IFERROR(__xludf.DUMMYFUNCTION("GOOGLETRANSLATE(A49410, ""de"", ""en"")"),"telly")</f>
        <v>telly</v>
      </c>
    </row>
    <row r="49411">
      <c r="A49411" s="1" t="s">
        <v>49410</v>
      </c>
      <c r="B49411" s="2" t="str">
        <f>IFERROR(__xludf.DUMMYFUNCTION("GOOGLETRANSLATE(A49411, ""de"", ""en"")"),"provocative")</f>
        <v>provocative</v>
      </c>
    </row>
    <row r="49412">
      <c r="A49412" s="1" t="s">
        <v>49411</v>
      </c>
      <c r="B49412" s="2" t="str">
        <f>IFERROR(__xludf.DUMMYFUNCTION("GOOGLETRANSLATE(A49412, ""de"", ""en"")"),"lesson")</f>
        <v>lesson</v>
      </c>
    </row>
    <row r="49413">
      <c r="A49413" s="1" t="s">
        <v>49412</v>
      </c>
      <c r="B49413" s="2" t="str">
        <f>IFERROR(__xludf.DUMMYFUNCTION("GOOGLETRANSLATE(A49413, ""de"", ""en"")"),"anti")</f>
        <v>anti</v>
      </c>
    </row>
    <row r="49414">
      <c r="A49414" s="1" t="s">
        <v>49413</v>
      </c>
      <c r="B49414" s="2" t="str">
        <f>IFERROR(__xludf.DUMMYFUNCTION("GOOGLETRANSLATE(A49414, ""de"", ""en"")"),"hold on to it")</f>
        <v>hold on to it</v>
      </c>
    </row>
    <row r="49415">
      <c r="A49415" s="1" t="s">
        <v>49414</v>
      </c>
      <c r="B49415" s="2" t="str">
        <f>IFERROR(__xludf.DUMMYFUNCTION("GOOGLETRANSLATE(A49415, ""de"", ""en"")"),"restructuring")</f>
        <v>restructuring</v>
      </c>
    </row>
    <row r="49416">
      <c r="A49416" s="1" t="s">
        <v>49415</v>
      </c>
      <c r="B49416" s="2" t="str">
        <f>IFERROR(__xludf.DUMMYFUNCTION("GOOGLETRANSLATE(A49416, ""de"", ""en"")"),"country air")</f>
        <v>country air</v>
      </c>
    </row>
    <row r="49417">
      <c r="A49417" s="1" t="s">
        <v>49416</v>
      </c>
      <c r="B49417" s="2" t="str">
        <f>IFERROR(__xludf.DUMMYFUNCTION("GOOGLETRANSLATE(A49417, ""de"", ""en"")"),"circle")</f>
        <v>circle</v>
      </c>
    </row>
    <row r="49418">
      <c r="A49418" s="1" t="s">
        <v>49417</v>
      </c>
      <c r="B49418" s="2" t="str">
        <f>IFERROR(__xludf.DUMMYFUNCTION("GOOGLETRANSLATE(A49418, ""de"", ""en"")"),"intentional")</f>
        <v>intentional</v>
      </c>
    </row>
    <row r="49419">
      <c r="A49419" s="1" t="s">
        <v>49418</v>
      </c>
      <c r="B49419" s="2" t="str">
        <f>IFERROR(__xludf.DUMMYFUNCTION("GOOGLETRANSLATE(A49419, ""de"", ""en"")"),"thanksgiving food")</f>
        <v>thanksgiving food</v>
      </c>
    </row>
    <row r="49420">
      <c r="A49420" s="1" t="s">
        <v>49419</v>
      </c>
      <c r="B49420" s="2" t="str">
        <f>IFERROR(__xludf.DUMMYFUNCTION("GOOGLETRANSLATE(A49420, ""de"", ""en"")"),"rattlebox")</f>
        <v>rattlebox</v>
      </c>
    </row>
    <row r="49421">
      <c r="A49421" s="1" t="s">
        <v>49420</v>
      </c>
      <c r="B49421" s="2" t="str">
        <f>IFERROR(__xludf.DUMMYFUNCTION("GOOGLETRANSLATE(A49421, ""de"", ""en"")"),"foolhardy")</f>
        <v>foolhardy</v>
      </c>
    </row>
    <row r="49422">
      <c r="A49422" s="1" t="s">
        <v>49421</v>
      </c>
      <c r="B49422" s="2" t="str">
        <f>IFERROR(__xludf.DUMMYFUNCTION("GOOGLETRANSLATE(A49422, ""de"", ""en"")"),"smile")</f>
        <v>smile</v>
      </c>
    </row>
    <row r="49423">
      <c r="A49423" s="1" t="s">
        <v>49422</v>
      </c>
      <c r="B49423" s="2" t="str">
        <f>IFERROR(__xludf.DUMMYFUNCTION("GOOGLETRANSLATE(A49423, ""de"", ""en"")"),"nature")</f>
        <v>nature</v>
      </c>
    </row>
    <row r="49424">
      <c r="A49424" s="1" t="s">
        <v>49423</v>
      </c>
      <c r="B49424" s="2" t="str">
        <f>IFERROR(__xludf.DUMMYFUNCTION("GOOGLETRANSLATE(A49424, ""de"", ""en"")"),"beatty")</f>
        <v>beatty</v>
      </c>
    </row>
    <row r="49425">
      <c r="A49425" s="1" t="s">
        <v>49424</v>
      </c>
      <c r="B49425" s="2" t="str">
        <f>IFERROR(__xludf.DUMMYFUNCTION("GOOGLETRANSLATE(A49425, ""de"", ""en"")"),"epileptic")</f>
        <v>epileptic</v>
      </c>
    </row>
    <row r="49426">
      <c r="A49426" s="1" t="s">
        <v>49425</v>
      </c>
      <c r="B49426" s="2" t="str">
        <f>IFERROR(__xludf.DUMMYFUNCTION("GOOGLETRANSLATE(A49426, ""de"", ""en"")"),"writing style")</f>
        <v>writing style</v>
      </c>
    </row>
    <row r="49427">
      <c r="A49427" s="1" t="s">
        <v>49426</v>
      </c>
      <c r="B49427" s="2" t="str">
        <f>IFERROR(__xludf.DUMMYFUNCTION("GOOGLETRANSLATE(A49427, ""de"", ""en"")"),"delbert")</f>
        <v>delbert</v>
      </c>
    </row>
    <row r="49428">
      <c r="A49428" s="1" t="s">
        <v>49427</v>
      </c>
      <c r="B49428" s="2" t="str">
        <f>IFERROR(__xludf.DUMMYFUNCTION("GOOGLETRANSLATE(A49428, ""de"", ""en"")"),"bissel")</f>
        <v>bissel</v>
      </c>
    </row>
    <row r="49429">
      <c r="A49429" s="1" t="s">
        <v>49428</v>
      </c>
      <c r="B49429" s="2" t="str">
        <f>IFERROR(__xludf.DUMMYFUNCTION("GOOGLETRANSLATE(A49429, ""de"", ""en"")"),"kaleu")</f>
        <v>kaleu</v>
      </c>
    </row>
    <row r="49430">
      <c r="A49430" s="1" t="s">
        <v>49429</v>
      </c>
      <c r="B49430" s="2" t="str">
        <f>IFERROR(__xludf.DUMMYFUNCTION("GOOGLETRANSLATE(A49430, ""de"", ""en"")"),"underwoods")</f>
        <v>underwoods</v>
      </c>
    </row>
    <row r="49431">
      <c r="A49431" s="1" t="s">
        <v>49430</v>
      </c>
      <c r="B49431" s="2" t="str">
        <f>IFERROR(__xludf.DUMMYFUNCTION("GOOGLETRANSLATE(A49431, ""de"", ""en"")"),"closing argument")</f>
        <v>closing argument</v>
      </c>
    </row>
    <row r="49432">
      <c r="A49432" s="1" t="s">
        <v>49431</v>
      </c>
      <c r="B49432" s="2" t="str">
        <f>IFERROR(__xludf.DUMMYFUNCTION("GOOGLETRANSLATE(A49432, ""de"", ""en"")"),"ici")</f>
        <v>ici</v>
      </c>
    </row>
    <row r="49433">
      <c r="A49433" s="1" t="s">
        <v>49432</v>
      </c>
      <c r="B49433" s="2" t="str">
        <f>IFERROR(__xludf.DUMMYFUNCTION("GOOGLETRANSLATE(A49433, ""de"", ""en"")"),"pufferfish")</f>
        <v>pufferfish</v>
      </c>
    </row>
    <row r="49434">
      <c r="A49434" s="1" t="s">
        <v>49433</v>
      </c>
      <c r="B49434" s="2" t="str">
        <f>IFERROR(__xludf.DUMMYFUNCTION("GOOGLETRANSLATE(A49434, ""de"", ""en"")"),"challenger")</f>
        <v>challenger</v>
      </c>
    </row>
    <row r="49435">
      <c r="A49435" s="1" t="s">
        <v>49434</v>
      </c>
      <c r="B49435" s="2" t="str">
        <f>IFERROR(__xludf.DUMMYFUNCTION("GOOGLETRANSLATE(A49435, ""de"", ""en"")"),"iori")</f>
        <v>iori</v>
      </c>
    </row>
    <row r="49436">
      <c r="A49436" s="1" t="s">
        <v>49435</v>
      </c>
      <c r="B49436" s="2" t="str">
        <f>IFERROR(__xludf.DUMMYFUNCTION("GOOGLETRANSLATE(A49436, ""de"", ""en"")"),"threw")</f>
        <v>threw</v>
      </c>
    </row>
    <row r="49437">
      <c r="A49437" s="1" t="s">
        <v>49436</v>
      </c>
      <c r="B49437" s="2" t="str">
        <f>IFERROR(__xludf.DUMMYFUNCTION("GOOGLETRANSLATE(A49437, ""de"", ""en"")"),"leave")</f>
        <v>leave</v>
      </c>
    </row>
    <row r="49438">
      <c r="A49438" s="1" t="s">
        <v>49437</v>
      </c>
      <c r="B49438" s="2" t="str">
        <f>IFERROR(__xludf.DUMMYFUNCTION("GOOGLETRANSLATE(A49438, ""de"", ""en"")"),"more horrific")</f>
        <v>more horrific</v>
      </c>
    </row>
    <row r="49439">
      <c r="A49439" s="1" t="s">
        <v>49438</v>
      </c>
      <c r="B49439" s="2" t="str">
        <f>IFERROR(__xludf.DUMMYFUNCTION("GOOGLETRANSLATE(A49439, ""de"", ""en"")"),"bless")</f>
        <v>bless</v>
      </c>
    </row>
    <row r="49440">
      <c r="A49440" s="1" t="s">
        <v>49439</v>
      </c>
      <c r="B49440" s="2" t="str">
        <f>IFERROR(__xludf.DUMMYFUNCTION("GOOGLETRANSLATE(A49440, ""de"", ""en"")"),"associated")</f>
        <v>associated</v>
      </c>
    </row>
    <row r="49441">
      <c r="A49441" s="1" t="s">
        <v>49440</v>
      </c>
      <c r="B49441" s="2" t="str">
        <f>IFERROR(__xludf.DUMMYFUNCTION("GOOGLETRANSLATE(A49441, ""de"", ""en"")"),"malina")</f>
        <v>malina</v>
      </c>
    </row>
    <row r="49442">
      <c r="A49442" s="1" t="s">
        <v>49441</v>
      </c>
      <c r="B49442" s="2" t="str">
        <f>IFERROR(__xludf.DUMMYFUNCTION("GOOGLETRANSLATE(A49442, ""de"", ""en"")"),"hashimoto")</f>
        <v>hashimoto</v>
      </c>
    </row>
    <row r="49443">
      <c r="A49443" s="1" t="s">
        <v>49442</v>
      </c>
      <c r="B49443" s="2" t="str">
        <f>IFERROR(__xludf.DUMMYFUNCTION("GOOGLETRANSLATE(A49443, ""de"", ""en"")"),"Warsaw")</f>
        <v>Warsaw</v>
      </c>
    </row>
    <row r="49444">
      <c r="A49444" s="1" t="s">
        <v>49443</v>
      </c>
      <c r="B49444" s="2" t="str">
        <f>IFERROR(__xludf.DUMMYFUNCTION("GOOGLETRANSLATE(A49444, ""de"", ""en"")"),"bag up")</f>
        <v>bag up</v>
      </c>
    </row>
    <row r="49445">
      <c r="A49445" s="1" t="s">
        <v>49444</v>
      </c>
      <c r="B49445" s="2" t="str">
        <f>IFERROR(__xludf.DUMMYFUNCTION("GOOGLETRANSLATE(A49445, ""de"", ""en"")"),"threaten")</f>
        <v>threaten</v>
      </c>
    </row>
    <row r="49446">
      <c r="A49446" s="1" t="s">
        <v>49445</v>
      </c>
      <c r="B49446" s="2" t="str">
        <f>IFERROR(__xludf.DUMMYFUNCTION("GOOGLETRANSLATE(A49446, ""de"", ""en"")"),"customer service")</f>
        <v>customer service</v>
      </c>
    </row>
    <row r="49447">
      <c r="A49447" s="1" t="s">
        <v>49446</v>
      </c>
      <c r="B49447" s="2" t="str">
        <f>IFERROR(__xludf.DUMMYFUNCTION("GOOGLETRANSLATE(A49447, ""de"", ""en"")"),"beep")</f>
        <v>beep</v>
      </c>
    </row>
    <row r="49448">
      <c r="A49448" s="1" t="s">
        <v>49447</v>
      </c>
      <c r="B49448" s="2" t="str">
        <f>IFERROR(__xludf.DUMMYFUNCTION("GOOGLETRANSLATE(A49448, ""de"", ""en"")"),"friendly")</f>
        <v>friendly</v>
      </c>
    </row>
    <row r="49449">
      <c r="A49449" s="1" t="s">
        <v>49448</v>
      </c>
      <c r="B49449" s="2" t="str">
        <f>IFERROR(__xludf.DUMMYFUNCTION("GOOGLETRANSLATE(A49449, ""de"", ""en"")"),"deliver")</f>
        <v>deliver</v>
      </c>
    </row>
    <row r="49450">
      <c r="A49450" s="1" t="s">
        <v>49449</v>
      </c>
      <c r="B49450" s="2" t="str">
        <f>IFERROR(__xludf.DUMMYFUNCTION("GOOGLETRANSLATE(A49450, ""de"", ""en"")"),"seating")</f>
        <v>seating</v>
      </c>
    </row>
    <row r="49451">
      <c r="A49451" s="1" t="s">
        <v>49450</v>
      </c>
      <c r="B49451" s="2" t="str">
        <f>IFERROR(__xludf.DUMMYFUNCTION("GOOGLETRANSLATE(A49451, ""de"", ""en"")"),"bottle opener")</f>
        <v>bottle opener</v>
      </c>
    </row>
    <row r="49452">
      <c r="A49452" s="1" t="s">
        <v>49451</v>
      </c>
      <c r="B49452" s="2" t="str">
        <f>IFERROR(__xludf.DUMMYFUNCTION("GOOGLETRANSLATE(A49452, ""de"", ""en"")"),"lohse")</f>
        <v>lohse</v>
      </c>
    </row>
    <row r="49453">
      <c r="A49453" s="1" t="s">
        <v>49452</v>
      </c>
      <c r="B49453" s="2" t="str">
        <f>IFERROR(__xludf.DUMMYFUNCTION("GOOGLETRANSLATE(A49453, ""de"", ""en"")"),"wear")</f>
        <v>wear</v>
      </c>
    </row>
    <row r="49454">
      <c r="A49454" s="1" t="s">
        <v>49453</v>
      </c>
      <c r="B49454" s="2" t="str">
        <f>IFERROR(__xludf.DUMMYFUNCTION("GOOGLETRANSLATE(A49454, ""de"", ""en"")"),"to go home")</f>
        <v>to go home</v>
      </c>
    </row>
    <row r="49455">
      <c r="A49455" s="1" t="s">
        <v>49454</v>
      </c>
      <c r="B49455" s="2" t="str">
        <f>IFERROR(__xludf.DUMMYFUNCTION("GOOGLETRANSLATE(A49455, ""de"", ""en"")"),"round trip")</f>
        <v>round trip</v>
      </c>
    </row>
    <row r="49456">
      <c r="A49456" s="1" t="s">
        <v>49455</v>
      </c>
      <c r="B49456" s="2" t="str">
        <f>IFERROR(__xludf.DUMMYFUNCTION("GOOGLETRANSLATE(A49456, ""de"", ""en"")"),"sense of responsibility")</f>
        <v>sense of responsibility</v>
      </c>
    </row>
    <row r="49457">
      <c r="A49457" s="1" t="s">
        <v>49456</v>
      </c>
      <c r="B49457" s="2" t="str">
        <f>IFERROR(__xludf.DUMMYFUNCTION("GOOGLETRANSLATE(A49457, ""de"", ""en"")"),"yours")</f>
        <v>yours</v>
      </c>
    </row>
    <row r="49458">
      <c r="A49458" s="1" t="s">
        <v>49457</v>
      </c>
      <c r="B49458" s="2" t="str">
        <f>IFERROR(__xludf.DUMMYFUNCTION("GOOGLETRANSLATE(A49458, ""de"", ""en"")"),"score")</f>
        <v>score</v>
      </c>
    </row>
    <row r="49459">
      <c r="A49459" s="1" t="s">
        <v>49458</v>
      </c>
      <c r="B49459" s="2" t="str">
        <f>IFERROR(__xludf.DUMMYFUNCTION("GOOGLETRANSLATE(A49459, ""de"", ""en"")"),"formalities")</f>
        <v>formalities</v>
      </c>
    </row>
    <row r="49460">
      <c r="A49460" s="1" t="s">
        <v>49459</v>
      </c>
      <c r="B49460" s="2" t="str">
        <f>IFERROR(__xludf.DUMMYFUNCTION("GOOGLETRANSLATE(A49460, ""de"", ""en"")"),"high-rise buildings")</f>
        <v>high-rise buildings</v>
      </c>
    </row>
    <row r="49461">
      <c r="A49461" s="1" t="s">
        <v>49460</v>
      </c>
      <c r="B49461" s="2" t="str">
        <f>IFERROR(__xludf.DUMMYFUNCTION("GOOGLETRANSLATE(A49461, ""de"", ""en"")"),"huckleberry")</f>
        <v>huckleberry</v>
      </c>
    </row>
    <row r="49462">
      <c r="A49462" s="1" t="s">
        <v>49461</v>
      </c>
      <c r="B49462" s="2" t="str">
        <f>IFERROR(__xludf.DUMMYFUNCTION("GOOGLETRANSLATE(A49462, ""de"", ""en"")"),"pregnant")</f>
        <v>pregnant</v>
      </c>
    </row>
    <row r="49463">
      <c r="A49463" s="1" t="s">
        <v>49462</v>
      </c>
      <c r="B49463" s="2" t="str">
        <f>IFERROR(__xludf.DUMMYFUNCTION("GOOGLETRANSLATE(A49463, ""de"", ""en"")"),"journey")</f>
        <v>journey</v>
      </c>
    </row>
    <row r="49464">
      <c r="A49464" s="1" t="s">
        <v>49463</v>
      </c>
      <c r="B49464" s="2" t="str">
        <f>IFERROR(__xludf.DUMMYFUNCTION("GOOGLETRANSLATE(A49464, ""de"", ""en"")"),"checkbook")</f>
        <v>checkbook</v>
      </c>
    </row>
    <row r="49465">
      <c r="A49465" s="1" t="s">
        <v>49464</v>
      </c>
      <c r="B49465" s="2" t="str">
        <f>IFERROR(__xludf.DUMMYFUNCTION("GOOGLETRANSLATE(A49465, ""de"", ""en"")"),"calista")</f>
        <v>calista</v>
      </c>
    </row>
    <row r="49466">
      <c r="A49466" s="1" t="s">
        <v>49465</v>
      </c>
      <c r="B49466" s="2" t="str">
        <f>IFERROR(__xludf.DUMMYFUNCTION("GOOGLETRANSLATE(A49466, ""de"", ""en"")"),"obelisk")</f>
        <v>obelisk</v>
      </c>
    </row>
    <row r="49467">
      <c r="A49467" s="1" t="s">
        <v>49466</v>
      </c>
      <c r="B49467" s="2" t="str">
        <f>IFERROR(__xludf.DUMMYFUNCTION("GOOGLETRANSLATE(A49467, ""de"", ""en"")"),"jammed")</f>
        <v>jammed</v>
      </c>
    </row>
    <row r="49468">
      <c r="A49468" s="1" t="s">
        <v>49467</v>
      </c>
      <c r="B49468" s="2" t="str">
        <f>IFERROR(__xludf.DUMMYFUNCTION("GOOGLETRANSLATE(A49468, ""de"", ""en"")"),"trine")</f>
        <v>trine</v>
      </c>
    </row>
    <row r="49469">
      <c r="A49469" s="1" t="s">
        <v>49468</v>
      </c>
      <c r="B49469" s="2" t="str">
        <f>IFERROR(__xludf.DUMMYFUNCTION("GOOGLETRANSLATE(A49469, ""de"", ""en"")"),"hrt")</f>
        <v>hrt</v>
      </c>
    </row>
    <row r="49470">
      <c r="A49470" s="1" t="s">
        <v>49469</v>
      </c>
      <c r="B49470" s="2" t="str">
        <f>IFERROR(__xludf.DUMMYFUNCTION("GOOGLETRANSLATE(A49470, ""de"", ""en"")"),"gatewood")</f>
        <v>gatewood</v>
      </c>
    </row>
    <row r="49471">
      <c r="A49471" s="1" t="s">
        <v>49470</v>
      </c>
      <c r="B49471" s="2" t="str">
        <f>IFERROR(__xludf.DUMMYFUNCTION("GOOGLETRANSLATE(A49471, ""de"", ""en"")"),"selfish")</f>
        <v>selfish</v>
      </c>
    </row>
    <row r="49472">
      <c r="A49472" s="1" t="s">
        <v>49471</v>
      </c>
      <c r="B49472" s="2" t="str">
        <f>IFERROR(__xludf.DUMMYFUNCTION("GOOGLETRANSLATE(A49472, ""de"", ""en"")"),"halls")</f>
        <v>halls</v>
      </c>
    </row>
    <row r="49473">
      <c r="A49473" s="1" t="s">
        <v>49472</v>
      </c>
      <c r="B49473" s="2" t="str">
        <f>IFERROR(__xludf.DUMMYFUNCTION("GOOGLETRANSLATE(A49473, ""de"", ""en"")"),"scuttle")</f>
        <v>scuttle</v>
      </c>
    </row>
    <row r="49474">
      <c r="A49474" s="1" t="s">
        <v>49473</v>
      </c>
      <c r="B49474" s="2" t="str">
        <f>IFERROR(__xludf.DUMMYFUNCTION("GOOGLETRANSLATE(A49474, ""de"", ""en"")"),"igloo")</f>
        <v>igloo</v>
      </c>
    </row>
    <row r="49475">
      <c r="A49475" s="1" t="s">
        <v>49474</v>
      </c>
      <c r="B49475" s="2" t="str">
        <f>IFERROR(__xludf.DUMMYFUNCTION("GOOGLETRANSLATE(A49475, ""de"", ""en"")"),"cornerstone")</f>
        <v>cornerstone</v>
      </c>
    </row>
    <row r="49476">
      <c r="A49476" s="1" t="s">
        <v>49475</v>
      </c>
      <c r="B49476" s="2" t="str">
        <f>IFERROR(__xludf.DUMMYFUNCTION("GOOGLETRANSLATE(A49476, ""de"", ""en"")"),"unidentified")</f>
        <v>unidentified</v>
      </c>
    </row>
    <row r="49477">
      <c r="A49477" s="1" t="s">
        <v>49476</v>
      </c>
      <c r="B49477" s="2" t="str">
        <f>IFERROR(__xludf.DUMMYFUNCTION("GOOGLETRANSLATE(A49477, ""de"", ""en"")"),"seraphim")</f>
        <v>seraphim</v>
      </c>
    </row>
    <row r="49478">
      <c r="A49478" s="1" t="s">
        <v>49477</v>
      </c>
      <c r="B49478" s="2" t="str">
        <f>IFERROR(__xludf.DUMMYFUNCTION("GOOGLETRANSLATE(A49478, ""de"", ""en"")"),"to snoop around")</f>
        <v>to snoop around</v>
      </c>
    </row>
    <row r="49479">
      <c r="A49479" s="1" t="s">
        <v>49478</v>
      </c>
      <c r="B49479" s="2" t="str">
        <f>IFERROR(__xludf.DUMMYFUNCTION("GOOGLETRANSLATE(A49479, ""de"", ""en"")"),"torstein")</f>
        <v>torstein</v>
      </c>
    </row>
    <row r="49480">
      <c r="A49480" s="1" t="s">
        <v>49479</v>
      </c>
      <c r="B49480" s="2" t="str">
        <f>IFERROR(__xludf.DUMMYFUNCTION("GOOGLETRANSLATE(A49480, ""de"", ""en"")"),"vouch")</f>
        <v>vouch</v>
      </c>
    </row>
    <row r="49481">
      <c r="A49481" s="1" t="s">
        <v>49480</v>
      </c>
      <c r="B49481" s="2" t="str">
        <f>IFERROR(__xludf.DUMMYFUNCTION("GOOGLETRANSLATE(A49481, ""de"", ""en"")"),"ape")</f>
        <v>ape</v>
      </c>
    </row>
    <row r="49482">
      <c r="A49482" s="1" t="s">
        <v>49481</v>
      </c>
      <c r="B49482" s="2" t="str">
        <f>IFERROR(__xludf.DUMMYFUNCTION("GOOGLETRANSLATE(A49482, ""de"", ""en"")"),"armpit")</f>
        <v>armpit</v>
      </c>
    </row>
    <row r="49483">
      <c r="A49483" s="1" t="s">
        <v>49482</v>
      </c>
      <c r="B49483" s="2" t="str">
        <f>IFERROR(__xludf.DUMMYFUNCTION("GOOGLETRANSLATE(A49483, ""de"", ""en"")"),"editor")</f>
        <v>editor</v>
      </c>
    </row>
    <row r="49484">
      <c r="A49484" s="1" t="s">
        <v>49483</v>
      </c>
      <c r="B49484" s="2" t="str">
        <f>IFERROR(__xludf.DUMMYFUNCTION("GOOGLETRANSLATE(A49484, ""de"", ""en"")"),"you escape")</f>
        <v>you escape</v>
      </c>
    </row>
    <row r="49485">
      <c r="A49485" s="1" t="s">
        <v>49484</v>
      </c>
      <c r="B49485" s="2" t="str">
        <f>IFERROR(__xludf.DUMMYFUNCTION("GOOGLETRANSLATE(A49485, ""de"", ""en"")"),"mess up")</f>
        <v>mess up</v>
      </c>
    </row>
    <row r="49486">
      <c r="A49486" s="1" t="s">
        <v>49485</v>
      </c>
      <c r="B49486" s="2" t="str">
        <f>IFERROR(__xludf.DUMMYFUNCTION("GOOGLETRANSLATE(A49486, ""de"", ""en"")"),"veterinarians")</f>
        <v>veterinarians</v>
      </c>
    </row>
    <row r="49487">
      <c r="A49487" s="1" t="s">
        <v>49486</v>
      </c>
      <c r="B49487" s="2" t="str">
        <f>IFERROR(__xludf.DUMMYFUNCTION("GOOGLETRANSLATE(A49487, ""de"", ""en"")"),"declare customs")</f>
        <v>declare customs</v>
      </c>
    </row>
    <row r="49488">
      <c r="A49488" s="1" t="s">
        <v>49487</v>
      </c>
      <c r="B49488" s="2" t="str">
        <f>IFERROR(__xludf.DUMMYFUNCTION("GOOGLETRANSLATE(A49488, ""de"", ""en"")"),"blocks")</f>
        <v>blocks</v>
      </c>
    </row>
    <row r="49489">
      <c r="A49489" s="1" t="s">
        <v>49488</v>
      </c>
      <c r="B49489" s="2" t="str">
        <f>IFERROR(__xludf.DUMMYFUNCTION("GOOGLETRANSLATE(A49489, ""de"", ""en"")"),"pt")</f>
        <v>pt</v>
      </c>
    </row>
    <row r="49490">
      <c r="A49490" s="1" t="s">
        <v>49489</v>
      </c>
      <c r="B49490" s="2" t="str">
        <f>IFERROR(__xludf.DUMMYFUNCTION("GOOGLETRANSLATE(A49490, ""de"", ""en"")"),"respected")</f>
        <v>respected</v>
      </c>
    </row>
    <row r="49491">
      <c r="A49491" s="1" t="s">
        <v>49490</v>
      </c>
      <c r="B49491" s="2" t="str">
        <f>IFERROR(__xludf.DUMMYFUNCTION("GOOGLETRANSLATE(A49491, ""de"", ""en"")"),"paid back")</f>
        <v>paid back</v>
      </c>
    </row>
    <row r="49492">
      <c r="A49492" s="1" t="s">
        <v>49491</v>
      </c>
      <c r="B49492" s="2" t="str">
        <f>IFERROR(__xludf.DUMMYFUNCTION("GOOGLETRANSLATE(A49492, ""de"", ""en"")"),"cheered")</f>
        <v>cheered</v>
      </c>
    </row>
    <row r="49493">
      <c r="A49493" s="1" t="s">
        <v>49492</v>
      </c>
      <c r="B49493" s="2" t="str">
        <f>IFERROR(__xludf.DUMMYFUNCTION("GOOGLETRANSLATE(A49493, ""de"", ""en"")"),"catcher")</f>
        <v>catcher</v>
      </c>
    </row>
    <row r="49494">
      <c r="A49494" s="1" t="s">
        <v>49493</v>
      </c>
      <c r="B49494" s="2" t="str">
        <f>IFERROR(__xludf.DUMMYFUNCTION("GOOGLETRANSLATE(A49494, ""de"", ""en"")"),"school festival")</f>
        <v>school festival</v>
      </c>
    </row>
    <row r="49495">
      <c r="A49495" s="1" t="s">
        <v>49494</v>
      </c>
      <c r="B49495" s="2" t="str">
        <f>IFERROR(__xludf.DUMMYFUNCTION("GOOGLETRANSLATE(A49495, ""de"", ""en"")"),"heads")</f>
        <v>heads</v>
      </c>
    </row>
    <row r="49496">
      <c r="A49496" s="1" t="s">
        <v>49495</v>
      </c>
      <c r="B49496" s="2" t="str">
        <f>IFERROR(__xludf.DUMMYFUNCTION("GOOGLETRANSLATE(A49496, ""de"", ""en"")"),"embargo")</f>
        <v>embargo</v>
      </c>
    </row>
    <row r="49497">
      <c r="A49497" s="1" t="s">
        <v>49496</v>
      </c>
      <c r="B49497" s="2" t="str">
        <f>IFERROR(__xludf.DUMMYFUNCTION("GOOGLETRANSLATE(A49497, ""de"", ""en"")"),"samanthas")</f>
        <v>samanthas</v>
      </c>
    </row>
    <row r="49498">
      <c r="A49498" s="1" t="s">
        <v>49497</v>
      </c>
      <c r="B49498" s="2" t="str">
        <f>IFERROR(__xludf.DUMMYFUNCTION("GOOGLETRANSLATE(A49498, ""de"", ""en"")"),"Jakobowsky")</f>
        <v>Jakobowsky</v>
      </c>
    </row>
    <row r="49499">
      <c r="A49499" s="1" t="s">
        <v>49498</v>
      </c>
      <c r="B49499" s="2" t="str">
        <f>IFERROR(__xludf.DUMMYFUNCTION("GOOGLETRANSLATE(A49499, ""de"", ""en"")"),"ads")</f>
        <v>ads</v>
      </c>
    </row>
    <row r="49500">
      <c r="A49500" s="1" t="s">
        <v>49499</v>
      </c>
      <c r="B49500" s="2" t="str">
        <f>IFERROR(__xludf.DUMMYFUNCTION("GOOGLETRANSLATE(A49500, ""de"", ""en"")"),"gunshot wounds")</f>
        <v>gunshot wounds</v>
      </c>
    </row>
    <row r="49501">
      <c r="A49501" s="1" t="s">
        <v>49500</v>
      </c>
      <c r="B49501" s="2" t="str">
        <f>IFERROR(__xludf.DUMMYFUNCTION("GOOGLETRANSLATE(A49501, ""de"", ""en"")"),"kunz")</f>
        <v>kunz</v>
      </c>
    </row>
    <row r="49502">
      <c r="A49502" s="1" t="s">
        <v>49501</v>
      </c>
      <c r="B49502" s="2" t="str">
        <f>IFERROR(__xludf.DUMMYFUNCTION("GOOGLETRANSLATE(A49502, ""de"", ""en"")"),"more nuclear")</f>
        <v>more nuclear</v>
      </c>
    </row>
    <row r="49503">
      <c r="A49503" s="1" t="s">
        <v>49502</v>
      </c>
      <c r="B49503" s="2" t="str">
        <f>IFERROR(__xludf.DUMMYFUNCTION("GOOGLETRANSLATE(A49503, ""de"", ""en"")"),"complies")</f>
        <v>complies</v>
      </c>
    </row>
    <row r="49504">
      <c r="A49504" s="1" t="s">
        <v>49503</v>
      </c>
      <c r="B49504" s="2" t="str">
        <f>IFERROR(__xludf.DUMMYFUNCTION("GOOGLETRANSLATE(A49504, ""de"", ""en"")"),"collect")</f>
        <v>collect</v>
      </c>
    </row>
    <row r="49505">
      <c r="A49505" s="1" t="s">
        <v>49504</v>
      </c>
      <c r="B49505" s="2" t="str">
        <f>IFERROR(__xludf.DUMMYFUNCTION("GOOGLETRANSLATE(A49505, ""de"", ""en"")"),"long finger")</f>
        <v>long finger</v>
      </c>
    </row>
    <row r="49506">
      <c r="A49506" s="1" t="s">
        <v>49505</v>
      </c>
      <c r="B49506" s="2" t="str">
        <f>IFERROR(__xludf.DUMMYFUNCTION("GOOGLETRANSLATE(A49506, ""de"", ""en"")"),"looks")</f>
        <v>looks</v>
      </c>
    </row>
    <row r="49507">
      <c r="A49507" s="1" t="s">
        <v>49506</v>
      </c>
      <c r="B49507" s="2" t="str">
        <f>IFERROR(__xludf.DUMMYFUNCTION("GOOGLETRANSLATE(A49507, ""de"", ""en"")"),"cheers")</f>
        <v>cheers</v>
      </c>
    </row>
    <row r="49508">
      <c r="A49508" s="1" t="s">
        <v>49507</v>
      </c>
      <c r="B49508" s="2" t="str">
        <f>IFERROR(__xludf.DUMMYFUNCTION("GOOGLETRANSLATE(A49508, ""de"", ""en"")"),"wolverine")</f>
        <v>wolverine</v>
      </c>
    </row>
    <row r="49509">
      <c r="A49509" s="1" t="s">
        <v>49508</v>
      </c>
      <c r="B49509" s="2" t="str">
        <f>IFERROR(__xludf.DUMMYFUNCTION("GOOGLETRANSLATE(A49509, ""de"", ""en"")"),"Nordic")</f>
        <v>Nordic</v>
      </c>
    </row>
    <row r="49510">
      <c r="A49510" s="1" t="s">
        <v>49509</v>
      </c>
      <c r="B49510" s="2" t="str">
        <f>IFERROR(__xludf.DUMMYFUNCTION("GOOGLETRANSLATE(A49510, ""de"", ""en"")"),"lie")</f>
        <v>lie</v>
      </c>
    </row>
    <row r="49511">
      <c r="A49511" s="1" t="s">
        <v>49510</v>
      </c>
      <c r="B49511" s="2" t="str">
        <f>IFERROR(__xludf.DUMMYFUNCTION("GOOGLETRANSLATE(A49511, ""de"", ""en"")"),"thane")</f>
        <v>thane</v>
      </c>
    </row>
    <row r="49512">
      <c r="A49512" s="1" t="s">
        <v>49511</v>
      </c>
      <c r="B49512" s="2" t="str">
        <f>IFERROR(__xludf.DUMMYFUNCTION("GOOGLETRANSLATE(A49512, ""de"", ""en"")"),"fare")</f>
        <v>fare</v>
      </c>
    </row>
    <row r="49513">
      <c r="A49513" s="1" t="s">
        <v>49512</v>
      </c>
      <c r="B49513" s="2" t="str">
        <f>IFERROR(__xludf.DUMMYFUNCTION("GOOGLETRANSLATE(A49513, ""de"", ""en"")"),"Mias")</f>
        <v>Mias</v>
      </c>
    </row>
    <row r="49514">
      <c r="A49514" s="1" t="s">
        <v>49513</v>
      </c>
      <c r="B49514" s="2" t="str">
        <f>IFERROR(__xludf.DUMMYFUNCTION("GOOGLETRANSLATE(A49514, ""de"", ""en"")"),"gold prospector")</f>
        <v>gold prospector</v>
      </c>
    </row>
    <row r="49515">
      <c r="A49515" s="1" t="s">
        <v>49514</v>
      </c>
      <c r="B49515" s="2" t="str">
        <f>IFERROR(__xludf.DUMMYFUNCTION("GOOGLETRANSLATE(A49515, ""de"", ""en"")"),"nymphs")</f>
        <v>nymphs</v>
      </c>
    </row>
    <row r="49516">
      <c r="A49516" s="1" t="s">
        <v>49515</v>
      </c>
      <c r="B49516" s="2" t="str">
        <f>IFERROR(__xludf.DUMMYFUNCTION("GOOGLETRANSLATE(A49516, ""de"", ""en"")"),"bypassed")</f>
        <v>bypassed</v>
      </c>
    </row>
    <row r="49517">
      <c r="A49517" s="1" t="s">
        <v>49516</v>
      </c>
      <c r="B49517" s="2" t="str">
        <f>IFERROR(__xludf.DUMMYFUNCTION("GOOGLETRANSLATE(A49517, ""de"", ""en"")"),"defensive")</f>
        <v>defensive</v>
      </c>
    </row>
    <row r="49518">
      <c r="A49518" s="1" t="s">
        <v>49517</v>
      </c>
      <c r="B49518" s="2" t="str">
        <f>IFERROR(__xludf.DUMMYFUNCTION("GOOGLETRANSLATE(A49518, ""de"", ""en"")"),"lesson")</f>
        <v>lesson</v>
      </c>
    </row>
    <row r="49519">
      <c r="A49519" s="1" t="s">
        <v>49518</v>
      </c>
      <c r="B49519" s="2" t="str">
        <f>IFERROR(__xludf.DUMMYFUNCTION("GOOGLETRANSLATE(A49519, ""de"", ""en"")"),"more surprising")</f>
        <v>more surprising</v>
      </c>
    </row>
    <row r="49520">
      <c r="A49520" s="1" t="s">
        <v>49519</v>
      </c>
      <c r="B49520" s="2" t="str">
        <f>IFERROR(__xludf.DUMMYFUNCTION("GOOGLETRANSLATE(A49520, ""de"", ""en"")"),"newer")</f>
        <v>newer</v>
      </c>
    </row>
    <row r="49521">
      <c r="A49521" s="1" t="s">
        <v>49520</v>
      </c>
      <c r="B49521" s="2" t="str">
        <f>IFERROR(__xludf.DUMMYFUNCTION("GOOGLETRANSLATE(A49521, ""de"", ""en"")"),"toxicological")</f>
        <v>toxicological</v>
      </c>
    </row>
    <row r="49522">
      <c r="A49522" s="1" t="s">
        <v>49521</v>
      </c>
      <c r="B49522" s="2" t="str">
        <f>IFERROR(__xludf.DUMMYFUNCTION("GOOGLETRANSLATE(A49522, ""de"", ""en"")"),"youthful")</f>
        <v>youthful</v>
      </c>
    </row>
    <row r="49523">
      <c r="A49523" s="1" t="s">
        <v>49522</v>
      </c>
      <c r="B49523" s="2" t="str">
        <f>IFERROR(__xludf.DUMMYFUNCTION("GOOGLETRANSLATE(A49523, ""de"", ""en"")"),"yessss")</f>
        <v>yessss</v>
      </c>
    </row>
    <row r="49524">
      <c r="A49524" s="1" t="s">
        <v>49523</v>
      </c>
      <c r="B49524" s="2" t="str">
        <f>IFERROR(__xludf.DUMMYFUNCTION("GOOGLETRANSLATE(A49524, ""de"", ""en"")"),"melancholy")</f>
        <v>melancholy</v>
      </c>
    </row>
    <row r="49525">
      <c r="A49525" s="1" t="s">
        <v>49524</v>
      </c>
      <c r="B49525" s="2" t="str">
        <f>IFERROR(__xludf.DUMMYFUNCTION("GOOGLETRANSLATE(A49525, ""de"", ""en"")"),"faulty")</f>
        <v>faulty</v>
      </c>
    </row>
    <row r="49526">
      <c r="A49526" s="1" t="s">
        <v>49525</v>
      </c>
      <c r="B49526" s="2" t="str">
        <f>IFERROR(__xludf.DUMMYFUNCTION("GOOGLETRANSLATE(A49526, ""de"", ""en"")"),"Simonis")</f>
        <v>Simonis</v>
      </c>
    </row>
    <row r="49527">
      <c r="A49527" s="1" t="s">
        <v>49526</v>
      </c>
      <c r="B49527" s="2" t="str">
        <f>IFERROR(__xludf.DUMMYFUNCTION("GOOGLETRANSLATE(A49527, ""de"", ""en"")"),"orca")</f>
        <v>orca</v>
      </c>
    </row>
    <row r="49528">
      <c r="A49528" s="1" t="s">
        <v>49527</v>
      </c>
      <c r="B49528" s="2" t="str">
        <f>IFERROR(__xludf.DUMMYFUNCTION("GOOGLETRANSLATE(A49528, ""de"", ""en"")"),"haruko")</f>
        <v>haruko</v>
      </c>
    </row>
    <row r="49529">
      <c r="A49529" s="1" t="s">
        <v>49528</v>
      </c>
      <c r="B49529" s="2" t="str">
        <f>IFERROR(__xludf.DUMMYFUNCTION("GOOGLETRANSLATE(A49529, ""de"", ""en"")"),"bs")</f>
        <v>bs</v>
      </c>
    </row>
    <row r="49530">
      <c r="A49530" s="1" t="s">
        <v>49529</v>
      </c>
      <c r="B49530" s="2" t="str">
        <f>IFERROR(__xludf.DUMMYFUNCTION("GOOGLETRANSLATE(A49530, ""de"", ""en"")"),"noble")</f>
        <v>noble</v>
      </c>
    </row>
    <row r="49531">
      <c r="A49531" s="1" t="s">
        <v>49530</v>
      </c>
      <c r="B49531" s="2" t="str">
        <f>IFERROR(__xludf.DUMMYFUNCTION("GOOGLETRANSLATE(A49531, ""de"", ""en"")"),"pancamo")</f>
        <v>pancamo</v>
      </c>
    </row>
    <row r="49532">
      <c r="A49532" s="1" t="s">
        <v>49531</v>
      </c>
      <c r="B49532" s="2" t="str">
        <f>IFERROR(__xludf.DUMMYFUNCTION("GOOGLETRANSLATE(A49532, ""de"", ""en"")"),"crusades")</f>
        <v>crusades</v>
      </c>
    </row>
    <row r="49533">
      <c r="A49533" s="1" t="s">
        <v>49532</v>
      </c>
      <c r="B49533" s="2" t="str">
        <f>IFERROR(__xludf.DUMMYFUNCTION("GOOGLETRANSLATE(A49533, ""de"", ""en"")"),"construction project")</f>
        <v>construction project</v>
      </c>
    </row>
    <row r="49534">
      <c r="A49534" s="1" t="s">
        <v>49533</v>
      </c>
      <c r="B49534" s="2" t="str">
        <f>IFERROR(__xludf.DUMMYFUNCTION("GOOGLETRANSLATE(A49534, ""de"", ""en"")"),"pendejo")</f>
        <v>pendejo</v>
      </c>
    </row>
    <row r="49535">
      <c r="A49535" s="1" t="s">
        <v>49534</v>
      </c>
      <c r="B49535" s="2" t="str">
        <f>IFERROR(__xludf.DUMMYFUNCTION("GOOGLETRANSLATE(A49535, ""de"", ""en"")"),"iron rod")</f>
        <v>iron rod</v>
      </c>
    </row>
    <row r="49536">
      <c r="A49536" s="1" t="s">
        <v>49535</v>
      </c>
      <c r="B49536" s="2" t="str">
        <f>IFERROR(__xludf.DUMMYFUNCTION("GOOGLETRANSLATE(A49536, ""de"", ""en"")"),"requested")</f>
        <v>requested</v>
      </c>
    </row>
    <row r="49537">
      <c r="A49537" s="1" t="s">
        <v>49536</v>
      </c>
      <c r="B49537" s="2" t="str">
        <f>IFERROR(__xludf.DUMMYFUNCTION("GOOGLETRANSLATE(A49537, ""de"", ""en"")"),"accident at work")</f>
        <v>accident at work</v>
      </c>
    </row>
    <row r="49538">
      <c r="A49538" s="1" t="s">
        <v>49537</v>
      </c>
      <c r="B49538" s="2" t="str">
        <f>IFERROR(__xludf.DUMMYFUNCTION("GOOGLETRANSLATE(A49538, ""de"", ""en"")"),"thesis")</f>
        <v>thesis</v>
      </c>
    </row>
    <row r="49539">
      <c r="A49539" s="1" t="s">
        <v>49538</v>
      </c>
      <c r="B49539" s="2" t="str">
        <f>IFERROR(__xludf.DUMMYFUNCTION("GOOGLETRANSLATE(A49539, ""de"", ""en"")"),"six pack")</f>
        <v>six pack</v>
      </c>
    </row>
    <row r="49540">
      <c r="A49540" s="1" t="s">
        <v>49539</v>
      </c>
      <c r="B49540" s="2" t="str">
        <f>IFERROR(__xludf.DUMMYFUNCTION("GOOGLETRANSLATE(A49540, ""de"", ""en"")"),"gallop")</f>
        <v>gallop</v>
      </c>
    </row>
    <row r="49541">
      <c r="A49541" s="1" t="s">
        <v>49540</v>
      </c>
      <c r="B49541" s="2" t="str">
        <f>IFERROR(__xludf.DUMMYFUNCTION("GOOGLETRANSLATE(A49541, ""de"", ""en"")"),"cortex")</f>
        <v>cortex</v>
      </c>
    </row>
    <row r="49542">
      <c r="A49542" s="1" t="s">
        <v>49541</v>
      </c>
      <c r="B49542" s="2" t="str">
        <f>IFERROR(__xludf.DUMMYFUNCTION("GOOGLETRANSLATE(A49542, ""de"", ""en"")"),"elimination")</f>
        <v>elimination</v>
      </c>
    </row>
    <row r="49543">
      <c r="A49543" s="1" t="s">
        <v>49542</v>
      </c>
      <c r="B49543" s="2" t="str">
        <f>IFERROR(__xludf.DUMMYFUNCTION("GOOGLETRANSLATE(A49543, ""de"", ""en"")"),"knowledgeable")</f>
        <v>knowledgeable</v>
      </c>
    </row>
    <row r="49544">
      <c r="A49544" s="1" t="s">
        <v>49543</v>
      </c>
      <c r="B49544" s="2" t="str">
        <f>IFERROR(__xludf.DUMMYFUNCTION("GOOGLETRANSLATE(A49544, ""de"", ""en"")"),"contemporary")</f>
        <v>contemporary</v>
      </c>
    </row>
    <row r="49545">
      <c r="A49545" s="1" t="s">
        <v>49544</v>
      </c>
      <c r="B49545" s="2" t="str">
        <f>IFERROR(__xludf.DUMMYFUNCTION("GOOGLETRANSLATE(A49545, ""de"", ""en"")"),"Norwich")</f>
        <v>Norwich</v>
      </c>
    </row>
    <row r="49546">
      <c r="A49546" s="1" t="s">
        <v>49545</v>
      </c>
      <c r="B49546" s="2" t="str">
        <f>IFERROR(__xludf.DUMMYFUNCTION("GOOGLETRANSLATE(A49546, ""de"", ""en"")"),"tavern")</f>
        <v>tavern</v>
      </c>
    </row>
    <row r="49547">
      <c r="A49547" s="1" t="s">
        <v>49546</v>
      </c>
      <c r="B49547" s="2" t="str">
        <f>IFERROR(__xludf.DUMMYFUNCTION("GOOGLETRANSLATE(A49547, ""de"", ""en"")"),"film rights")</f>
        <v>film rights</v>
      </c>
    </row>
    <row r="49548">
      <c r="A49548" s="1" t="s">
        <v>49547</v>
      </c>
      <c r="B49548" s="2" t="str">
        <f>IFERROR(__xludf.DUMMYFUNCTION("GOOGLETRANSLATE(A49548, ""de"", ""en"")"),"s01")</f>
        <v>s01</v>
      </c>
    </row>
    <row r="49549">
      <c r="A49549" s="1" t="s">
        <v>49548</v>
      </c>
      <c r="B49549" s="2" t="str">
        <f>IFERROR(__xludf.DUMMYFUNCTION("GOOGLETRANSLATE(A49549, ""de"", ""en"")"),"toilet seat")</f>
        <v>toilet seat</v>
      </c>
    </row>
    <row r="49550">
      <c r="A49550" s="1" t="s">
        <v>49549</v>
      </c>
      <c r="B49550" s="2" t="str">
        <f>IFERROR(__xludf.DUMMYFUNCTION("GOOGLETRANSLATE(A49550, ""de"", ""en"")"),"solaris")</f>
        <v>solaris</v>
      </c>
    </row>
    <row r="49551">
      <c r="A49551" s="1" t="s">
        <v>49550</v>
      </c>
      <c r="B49551" s="2" t="str">
        <f>IFERROR(__xludf.DUMMYFUNCTION("GOOGLETRANSLATE(A49551, ""de"", ""en"")"),"owner")</f>
        <v>owner</v>
      </c>
    </row>
    <row r="49552">
      <c r="A49552" s="1" t="s">
        <v>49551</v>
      </c>
      <c r="B49552" s="2" t="str">
        <f>IFERROR(__xludf.DUMMYFUNCTION("GOOGLETRANSLATE(A49552, ""de"", ""en"")"),"comfort zone")</f>
        <v>comfort zone</v>
      </c>
    </row>
    <row r="49553">
      <c r="A49553" s="1" t="s">
        <v>49552</v>
      </c>
      <c r="B49553" s="2" t="str">
        <f>IFERROR(__xludf.DUMMYFUNCTION("GOOGLETRANSLATE(A49553, ""de"", ""en"")"),"boycott")</f>
        <v>boycott</v>
      </c>
    </row>
    <row r="49554">
      <c r="A49554" s="1" t="s">
        <v>49553</v>
      </c>
      <c r="B49554" s="2" t="str">
        <f>IFERROR(__xludf.DUMMYFUNCTION("GOOGLETRANSLATE(A49554, ""de"", ""en"")"),"buttercup")</f>
        <v>buttercup</v>
      </c>
    </row>
    <row r="49555">
      <c r="A49555" s="1" t="s">
        <v>49554</v>
      </c>
      <c r="B49555" s="2" t="str">
        <f>IFERROR(__xludf.DUMMYFUNCTION("GOOGLETRANSLATE(A49555, ""de"", ""en"")"),"advice")</f>
        <v>advice</v>
      </c>
    </row>
    <row r="49556">
      <c r="A49556" s="1" t="s">
        <v>49555</v>
      </c>
      <c r="B49556" s="2" t="str">
        <f>IFERROR(__xludf.DUMMYFUNCTION("GOOGLETRANSLATE(A49556, ""de"", ""en"")"),"enviable")</f>
        <v>enviable</v>
      </c>
    </row>
    <row r="49557">
      <c r="A49557" s="1" t="s">
        <v>49556</v>
      </c>
      <c r="B49557" s="2" t="str">
        <f>IFERROR(__xludf.DUMMYFUNCTION("GOOGLETRANSLATE(A49557, ""de"", ""en"")"),"gq")</f>
        <v>gq</v>
      </c>
    </row>
    <row r="49558">
      <c r="A49558" s="1" t="s">
        <v>49557</v>
      </c>
      <c r="B49558" s="2" t="str">
        <f>IFERROR(__xludf.DUMMYFUNCTION("GOOGLETRANSLATE(A49558, ""de"", ""en"")"),"get there")</f>
        <v>get there</v>
      </c>
    </row>
    <row r="49559">
      <c r="A49559" s="1" t="s">
        <v>49558</v>
      </c>
      <c r="B49559" s="2" t="str">
        <f>IFERROR(__xludf.DUMMYFUNCTION("GOOGLETRANSLATE(A49559, ""de"", ""en"")"),"brainless")</f>
        <v>brainless</v>
      </c>
    </row>
    <row r="49560">
      <c r="A49560" s="1" t="s">
        <v>49559</v>
      </c>
      <c r="B49560" s="2" t="str">
        <f>IFERROR(__xludf.DUMMYFUNCTION("GOOGLETRANSLATE(A49560, ""de"", ""en"")"),"look")</f>
        <v>look</v>
      </c>
    </row>
    <row r="49561">
      <c r="A49561" s="1" t="s">
        <v>49560</v>
      </c>
      <c r="B49561" s="2" t="str">
        <f>IFERROR(__xludf.DUMMYFUNCTION("GOOGLETRANSLATE(A49561, ""de"", ""en"")"),"cordova")</f>
        <v>cordova</v>
      </c>
    </row>
    <row r="49562">
      <c r="A49562" s="1" t="s">
        <v>49561</v>
      </c>
      <c r="B49562" s="2" t="str">
        <f>IFERROR(__xludf.DUMMYFUNCTION("GOOGLETRANSLATE(A49562, ""de"", ""en"")"),"run there")</f>
        <v>run there</v>
      </c>
    </row>
    <row r="49563">
      <c r="A49563" s="1" t="s">
        <v>49562</v>
      </c>
      <c r="B49563" s="2" t="str">
        <f>IFERROR(__xludf.DUMMYFUNCTION("GOOGLETRANSLATE(A49563, ""de"", ""en"")"),"stub")</f>
        <v>stub</v>
      </c>
    </row>
    <row r="49564">
      <c r="A49564" s="1" t="s">
        <v>49563</v>
      </c>
      <c r="B49564" s="2" t="str">
        <f>IFERROR(__xludf.DUMMYFUNCTION("GOOGLETRANSLATE(A49564, ""de"", ""en"")"),"gingerbread")</f>
        <v>gingerbread</v>
      </c>
    </row>
    <row r="49565">
      <c r="A49565" s="1" t="s">
        <v>49564</v>
      </c>
      <c r="B49565" s="2" t="str">
        <f>IFERROR(__xludf.DUMMYFUNCTION("GOOGLETRANSLATE(A49565, ""de"", ""en"")"),"infants")</f>
        <v>infants</v>
      </c>
    </row>
    <row r="49566">
      <c r="A49566" s="1" t="s">
        <v>49565</v>
      </c>
      <c r="B49566" s="2" t="str">
        <f>IFERROR(__xludf.DUMMYFUNCTION("GOOGLETRANSLATE(A49566, ""de"", ""en"")"),"jackies")</f>
        <v>jackies</v>
      </c>
    </row>
    <row r="49567">
      <c r="A49567" s="1" t="s">
        <v>49566</v>
      </c>
      <c r="B49567" s="2" t="str">
        <f>IFERROR(__xludf.DUMMYFUNCTION("GOOGLETRANSLATE(A49567, ""de"", ""en"")"),"probing")</f>
        <v>probing</v>
      </c>
    </row>
    <row r="49568">
      <c r="A49568" s="1" t="s">
        <v>49567</v>
      </c>
      <c r="B49568" s="2" t="str">
        <f>IFERROR(__xludf.DUMMYFUNCTION("GOOGLETRANSLATE(A49568, ""de"", ""en"")"),"Cleves")</f>
        <v>Cleves</v>
      </c>
    </row>
    <row r="49569">
      <c r="A49569" s="1" t="s">
        <v>49568</v>
      </c>
      <c r="B49569" s="2" t="str">
        <f>IFERROR(__xludf.DUMMYFUNCTION("GOOGLETRANSLATE(A49569, ""de"", ""en"")"),"tease")</f>
        <v>tease</v>
      </c>
    </row>
    <row r="49570">
      <c r="A49570" s="1" t="s">
        <v>49569</v>
      </c>
      <c r="B49570" s="2" t="str">
        <f>IFERROR(__xludf.DUMMYFUNCTION("GOOGLETRANSLATE(A49570, ""de"", ""en"")"),"glorious")</f>
        <v>glorious</v>
      </c>
    </row>
    <row r="49571">
      <c r="A49571" s="1" t="s">
        <v>49570</v>
      </c>
      <c r="B49571" s="2" t="str">
        <f>IFERROR(__xludf.DUMMYFUNCTION("GOOGLETRANSLATE(A49571, ""de"", ""en"")"),"tink")</f>
        <v>tink</v>
      </c>
    </row>
    <row r="49572">
      <c r="A49572" s="1" t="s">
        <v>49571</v>
      </c>
      <c r="B49572" s="2" t="str">
        <f>IFERROR(__xludf.DUMMYFUNCTION("GOOGLETRANSLATE(A49572, ""de"", ""en"")"),"speed limit")</f>
        <v>speed limit</v>
      </c>
    </row>
    <row r="49573">
      <c r="A49573" s="1" t="s">
        <v>49572</v>
      </c>
      <c r="B49573" s="2" t="str">
        <f>IFERROR(__xludf.DUMMYFUNCTION("GOOGLETRANSLATE(A49573, ""de"", ""en"")"),"malatesta")</f>
        <v>malatesta</v>
      </c>
    </row>
    <row r="49574">
      <c r="A49574" s="1" t="s">
        <v>49573</v>
      </c>
      <c r="B49574" s="2" t="str">
        <f>IFERROR(__xludf.DUMMYFUNCTION("GOOGLETRANSLATE(A49574, ""de"", ""en"")"),"conventional")</f>
        <v>conventional</v>
      </c>
    </row>
    <row r="49575">
      <c r="A49575" s="1" t="s">
        <v>49574</v>
      </c>
      <c r="B49575" s="2" t="str">
        <f>IFERROR(__xludf.DUMMYFUNCTION("GOOGLETRANSLATE(A49575, ""de"", ""en"")"),"sherpa")</f>
        <v>sherpa</v>
      </c>
    </row>
    <row r="49576">
      <c r="A49576" s="1" t="s">
        <v>49575</v>
      </c>
      <c r="B49576" s="2" t="str">
        <f>IFERROR(__xludf.DUMMYFUNCTION("GOOGLETRANSLATE(A49576, ""de"", ""en"")"),"evaporate")</f>
        <v>evaporate</v>
      </c>
    </row>
    <row r="49577">
      <c r="A49577" s="1" t="s">
        <v>49576</v>
      </c>
      <c r="B49577" s="2" t="str">
        <f>IFERROR(__xludf.DUMMYFUNCTION("GOOGLETRANSLATE(A49577, ""de"", ""en"")"),"burp")</f>
        <v>burp</v>
      </c>
    </row>
    <row r="49578">
      <c r="A49578" s="1" t="s">
        <v>49577</v>
      </c>
      <c r="B49578" s="2" t="str">
        <f>IFERROR(__xludf.DUMMYFUNCTION("GOOGLETRANSLATE(A49578, ""de"", ""en"")"),"sheeta")</f>
        <v>sheeta</v>
      </c>
    </row>
    <row r="49579">
      <c r="A49579" s="1" t="s">
        <v>49578</v>
      </c>
      <c r="B49579" s="2" t="str">
        <f>IFERROR(__xludf.DUMMYFUNCTION("GOOGLETRANSLATE(A49579, ""de"", ""en"")"),"to exploit")</f>
        <v>to exploit</v>
      </c>
    </row>
    <row r="49580">
      <c r="A49580" s="1" t="s">
        <v>49579</v>
      </c>
      <c r="B49580" s="2" t="str">
        <f>IFERROR(__xludf.DUMMYFUNCTION("GOOGLETRANSLATE(A49580, ""de"", ""en"")"),"stated")</f>
        <v>stated</v>
      </c>
    </row>
    <row r="49581">
      <c r="A49581" s="1" t="s">
        <v>49580</v>
      </c>
      <c r="B49581" s="2" t="str">
        <f>IFERROR(__xludf.DUMMYFUNCTION("GOOGLETRANSLATE(A49581, ""de"", ""en"")"),"arduous")</f>
        <v>arduous</v>
      </c>
    </row>
    <row r="49582">
      <c r="A49582" s="1" t="s">
        <v>49581</v>
      </c>
      <c r="B49582" s="2" t="str">
        <f>IFERROR(__xludf.DUMMYFUNCTION("GOOGLETRANSLATE(A49582, ""de"", ""en"")"),"dance hall")</f>
        <v>dance hall</v>
      </c>
    </row>
    <row r="49583">
      <c r="A49583" s="1" t="s">
        <v>49582</v>
      </c>
      <c r="B49583" s="2" t="str">
        <f>IFERROR(__xludf.DUMMYFUNCTION("GOOGLETRANSLATE(A49583, ""de"", ""en"")"),"godless")</f>
        <v>godless</v>
      </c>
    </row>
    <row r="49584">
      <c r="A49584" s="1" t="s">
        <v>49583</v>
      </c>
      <c r="B49584" s="2" t="str">
        <f>IFERROR(__xludf.DUMMYFUNCTION("GOOGLETRANSLATE(A49584, ""de"", ""en"")"),"citizens")</f>
        <v>citizens</v>
      </c>
    </row>
    <row r="49585">
      <c r="A49585" s="1" t="s">
        <v>49584</v>
      </c>
      <c r="B49585" s="2" t="str">
        <f>IFERROR(__xludf.DUMMYFUNCTION("GOOGLETRANSLATE(A49585, ""de"", ""en"")"),"coffey")</f>
        <v>coffey</v>
      </c>
    </row>
    <row r="49586">
      <c r="A49586" s="1" t="s">
        <v>49585</v>
      </c>
      <c r="B49586" s="2" t="str">
        <f>IFERROR(__xludf.DUMMYFUNCTION("GOOGLETRANSLATE(A49586, ""de"", ""en"")"),"double")</f>
        <v>double</v>
      </c>
    </row>
    <row r="49587">
      <c r="A49587" s="1" t="s">
        <v>49586</v>
      </c>
      <c r="B49587" s="2" t="str">
        <f>IFERROR(__xludf.DUMMYFUNCTION("GOOGLETRANSLATE(A49587, ""de"", ""en"")"),"twenty-four")</f>
        <v>twenty-four</v>
      </c>
    </row>
    <row r="49588">
      <c r="A49588" s="1" t="s">
        <v>49587</v>
      </c>
      <c r="B49588" s="2" t="str">
        <f>IFERROR(__xludf.DUMMYFUNCTION("GOOGLETRANSLATE(A49588, ""de"", ""en"")"),"security vulnerability")</f>
        <v>security vulnerability</v>
      </c>
    </row>
    <row r="49589">
      <c r="A49589" s="1" t="s">
        <v>49588</v>
      </c>
      <c r="B49589" s="2" t="str">
        <f>IFERROR(__xludf.DUMMYFUNCTION("GOOGLETRANSLATE(A49589, ""de"", ""en"")"),"yukie")</f>
        <v>yukie</v>
      </c>
    </row>
    <row r="49590">
      <c r="A49590" s="1" t="s">
        <v>49589</v>
      </c>
      <c r="B49590" s="2" t="str">
        <f>IFERROR(__xludf.DUMMYFUNCTION("GOOGLETRANSLATE(A49590, ""de"", ""en"")"),"nowak")</f>
        <v>nowak</v>
      </c>
    </row>
    <row r="49591">
      <c r="A49591" s="1" t="s">
        <v>49590</v>
      </c>
      <c r="B49591" s="2" t="str">
        <f>IFERROR(__xludf.DUMMYFUNCTION("GOOGLETRANSLATE(A49591, ""de"", ""en"")"),"feuille")</f>
        <v>feuille</v>
      </c>
    </row>
    <row r="49592">
      <c r="A49592" s="1" t="s">
        <v>49591</v>
      </c>
      <c r="B49592" s="2" t="str">
        <f>IFERROR(__xludf.DUMMYFUNCTION("GOOGLETRANSLATE(A49592, ""de"", ""en"")"),"screen")</f>
        <v>screen</v>
      </c>
    </row>
    <row r="49593">
      <c r="A49593" s="1" t="s">
        <v>49592</v>
      </c>
      <c r="B49593" s="2" t="str">
        <f>IFERROR(__xludf.DUMMYFUNCTION("GOOGLETRANSLATE(A49593, ""de"", ""en"")"),"associated")</f>
        <v>associated</v>
      </c>
    </row>
    <row r="49594">
      <c r="A49594" s="1" t="s">
        <v>49593</v>
      </c>
      <c r="B49594" s="2" t="str">
        <f>IFERROR(__xludf.DUMMYFUNCTION("GOOGLETRANSLATE(A49594, ""de"", ""en"")"),"candle")</f>
        <v>candle</v>
      </c>
    </row>
    <row r="49595">
      <c r="A49595" s="1" t="s">
        <v>49594</v>
      </c>
      <c r="B49595" s="2" t="str">
        <f>IFERROR(__xludf.DUMMYFUNCTION("GOOGLETRANSLATE(A49595, ""de"", ""en"")"),"detailed")</f>
        <v>detailed</v>
      </c>
    </row>
    <row r="49596">
      <c r="A49596" s="1" t="s">
        <v>49595</v>
      </c>
      <c r="B49596" s="2" t="str">
        <f>IFERROR(__xludf.DUMMYFUNCTION("GOOGLETRANSLATE(A49596, ""de"", ""en"")"),"fennel")</f>
        <v>fennel</v>
      </c>
    </row>
    <row r="49597">
      <c r="A49597" s="1" t="s">
        <v>49596</v>
      </c>
      <c r="B49597" s="2" t="str">
        <f>IFERROR(__xludf.DUMMYFUNCTION("GOOGLETRANSLATE(A49597, ""de"", ""en"")"),"scanned")</f>
        <v>scanned</v>
      </c>
    </row>
    <row r="49598">
      <c r="A49598" s="1" t="s">
        <v>49597</v>
      </c>
      <c r="B49598" s="2" t="str">
        <f>IFERROR(__xludf.DUMMYFUNCTION("GOOGLETRANSLATE(A49598, ""de"", ""en"")"),"Cadillacs")</f>
        <v>Cadillacs</v>
      </c>
    </row>
    <row r="49599">
      <c r="A49599" s="1" t="s">
        <v>49598</v>
      </c>
      <c r="B49599" s="2" t="str">
        <f>IFERROR(__xludf.DUMMYFUNCTION("GOOGLETRANSLATE(A49599, ""de"", ""en"")"),"pleaded")</f>
        <v>pleaded</v>
      </c>
    </row>
    <row r="49600">
      <c r="A49600" s="1" t="s">
        <v>49599</v>
      </c>
      <c r="B49600" s="2" t="str">
        <f>IFERROR(__xludf.DUMMYFUNCTION("GOOGLETRANSLATE(A49600, ""de"", ""en"")"),"musical taste")</f>
        <v>musical taste</v>
      </c>
    </row>
    <row r="49601">
      <c r="A49601" s="1" t="s">
        <v>49600</v>
      </c>
      <c r="B49601" s="2" t="str">
        <f>IFERROR(__xludf.DUMMYFUNCTION("GOOGLETRANSLATE(A49601, ""de"", ""en"")"),"fantastic")</f>
        <v>fantastic</v>
      </c>
    </row>
    <row r="49602">
      <c r="A49602" s="1" t="s">
        <v>49601</v>
      </c>
      <c r="B49602" s="2" t="str">
        <f>IFERROR(__xludf.DUMMYFUNCTION("GOOGLETRANSLATE(A49602, ""de"", ""en"")"),"Holzmann")</f>
        <v>Holzmann</v>
      </c>
    </row>
    <row r="49603">
      <c r="A49603" s="1" t="s">
        <v>49602</v>
      </c>
      <c r="B49603" s="2" t="str">
        <f>IFERROR(__xludf.DUMMYFUNCTION("GOOGLETRANSLATE(A49603, ""de"", ""en"")"),"Dominican")</f>
        <v>Dominican</v>
      </c>
    </row>
    <row r="49604">
      <c r="A49604" s="1" t="s">
        <v>49603</v>
      </c>
      <c r="B49604" s="2" t="str">
        <f>IFERROR(__xludf.DUMMYFUNCTION("GOOGLETRANSLATE(A49604, ""de"", ""en"")"),"praetor")</f>
        <v>praetor</v>
      </c>
    </row>
    <row r="49605">
      <c r="A49605" s="1" t="s">
        <v>49604</v>
      </c>
      <c r="B49605" s="2" t="str">
        <f>IFERROR(__xludf.DUMMYFUNCTION("GOOGLETRANSLATE(A49605, ""de"", ""en"")"),"judged")</f>
        <v>judged</v>
      </c>
    </row>
    <row r="49606">
      <c r="A49606" s="1" t="s">
        <v>49605</v>
      </c>
      <c r="B49606" s="2" t="str">
        <f>IFERROR(__xludf.DUMMYFUNCTION("GOOGLETRANSLATE(A49606, ""de"", ""en"")"),"survival")</f>
        <v>survival</v>
      </c>
    </row>
    <row r="49607">
      <c r="A49607" s="1" t="s">
        <v>49606</v>
      </c>
      <c r="B49607" s="2" t="str">
        <f>IFERROR(__xludf.DUMMYFUNCTION("GOOGLETRANSLATE(A49607, ""de"", ""en"")"),"population")</f>
        <v>population</v>
      </c>
    </row>
    <row r="49608">
      <c r="A49608" s="1" t="s">
        <v>49607</v>
      </c>
      <c r="B49608" s="2" t="str">
        <f>IFERROR(__xludf.DUMMYFUNCTION("GOOGLETRANSLATE(A49608, ""de"", ""en"")"),"henley")</f>
        <v>henley</v>
      </c>
    </row>
    <row r="49609">
      <c r="A49609" s="1" t="s">
        <v>49608</v>
      </c>
      <c r="B49609" s="2" t="str">
        <f>IFERROR(__xludf.DUMMYFUNCTION("GOOGLETRANSLATE(A49609, ""de"", ""en"")"),"flight attendant")</f>
        <v>flight attendant</v>
      </c>
    </row>
    <row r="49610">
      <c r="A49610" s="1" t="s">
        <v>49609</v>
      </c>
      <c r="B49610" s="2" t="str">
        <f>IFERROR(__xludf.DUMMYFUNCTION("GOOGLETRANSLATE(A49610, ""de"", ""en"")"),"drax")</f>
        <v>drax</v>
      </c>
    </row>
    <row r="49611">
      <c r="A49611" s="1" t="s">
        <v>49610</v>
      </c>
      <c r="B49611" s="2" t="str">
        <f>IFERROR(__xludf.DUMMYFUNCTION("GOOGLETRANSLATE(A49611, ""de"", ""en"")"),"flat")</f>
        <v>flat</v>
      </c>
    </row>
    <row r="49612">
      <c r="A49612" s="1" t="s">
        <v>49611</v>
      </c>
      <c r="B49612" s="2" t="str">
        <f>IFERROR(__xludf.DUMMYFUNCTION("GOOGLETRANSLATE(A49612, ""de"", ""en"")"),"twitches")</f>
        <v>twitches</v>
      </c>
    </row>
    <row r="49613">
      <c r="A49613" s="1" t="s">
        <v>49612</v>
      </c>
      <c r="B49613" s="2" t="str">
        <f>IFERROR(__xludf.DUMMYFUNCTION("GOOGLETRANSLATE(A49613, ""de"", ""en"")"),"Hesse")</f>
        <v>Hesse</v>
      </c>
    </row>
    <row r="49614">
      <c r="A49614" s="1" t="s">
        <v>49613</v>
      </c>
      <c r="B49614" s="2" t="str">
        <f>IFERROR(__xludf.DUMMYFUNCTION("GOOGLETRANSLATE(A49614, ""de"", ""en"")"),"publications")</f>
        <v>publications</v>
      </c>
    </row>
    <row r="49615">
      <c r="A49615" s="1" t="s">
        <v>49614</v>
      </c>
      <c r="B49615" s="2" t="str">
        <f>IFERROR(__xludf.DUMMYFUNCTION("GOOGLETRANSLATE(A49615, ""de"", ""en"")"),"thing")</f>
        <v>thing</v>
      </c>
    </row>
    <row r="49616">
      <c r="A49616" s="1" t="s">
        <v>49615</v>
      </c>
      <c r="B49616" s="2" t="str">
        <f>IFERROR(__xludf.DUMMYFUNCTION("GOOGLETRANSLATE(A49616, ""de"", ""en"")"),"bennys")</f>
        <v>bennys</v>
      </c>
    </row>
    <row r="49617">
      <c r="A49617" s="1" t="s">
        <v>49616</v>
      </c>
      <c r="B49617" s="2" t="str">
        <f>IFERROR(__xludf.DUMMYFUNCTION("GOOGLETRANSLATE(A49617, ""de"", ""en"")"),"Nikolas")</f>
        <v>Nikolas</v>
      </c>
    </row>
    <row r="49618">
      <c r="A49618" s="1" t="s">
        <v>49617</v>
      </c>
      <c r="B49618" s="2" t="str">
        <f>IFERROR(__xludf.DUMMYFUNCTION("GOOGLETRANSLATE(A49618, ""de"", ""en"")"),"loop")</f>
        <v>loop</v>
      </c>
    </row>
    <row r="49619">
      <c r="A49619" s="1" t="s">
        <v>49618</v>
      </c>
      <c r="B49619" s="2" t="str">
        <f>IFERROR(__xludf.DUMMYFUNCTION("GOOGLETRANSLATE(A49619, ""de"", ""en"")"),"yesword")</f>
        <v>yesword</v>
      </c>
    </row>
    <row r="49620">
      <c r="A49620" s="1" t="s">
        <v>49619</v>
      </c>
      <c r="B49620" s="2" t="str">
        <f>IFERROR(__xludf.DUMMYFUNCTION("GOOGLETRANSLATE(A49620, ""de"", ""en"")"),"furniture")</f>
        <v>furniture</v>
      </c>
    </row>
    <row r="49621">
      <c r="A49621" s="1" t="s">
        <v>49620</v>
      </c>
      <c r="B49621" s="2" t="str">
        <f>IFERROR(__xludf.DUMMYFUNCTION("GOOGLETRANSLATE(A49621, ""de"", ""en"")"),"fearless")</f>
        <v>fearless</v>
      </c>
    </row>
    <row r="49622">
      <c r="A49622" s="1" t="s">
        <v>49621</v>
      </c>
      <c r="B49622" s="2" t="str">
        <f>IFERROR(__xludf.DUMMYFUNCTION("GOOGLETRANSLATE(A49622, ""de"", ""en"")"),"flows")</f>
        <v>flows</v>
      </c>
    </row>
    <row r="49623">
      <c r="A49623" s="1" t="s">
        <v>49622</v>
      </c>
      <c r="B49623" s="2" t="str">
        <f>IFERROR(__xludf.DUMMYFUNCTION("GOOGLETRANSLATE(A49623, ""de"", ""en"")"),"transcripts")</f>
        <v>transcripts</v>
      </c>
    </row>
    <row r="49624">
      <c r="A49624" s="1" t="s">
        <v>49623</v>
      </c>
      <c r="B49624" s="2" t="str">
        <f>IFERROR(__xludf.DUMMYFUNCTION("GOOGLETRANSLATE(A49624, ""de"", ""en"")"),"lykos")</f>
        <v>lykos</v>
      </c>
    </row>
    <row r="49625">
      <c r="A49625" s="1" t="s">
        <v>49624</v>
      </c>
      <c r="B49625" s="2" t="str">
        <f>IFERROR(__xludf.DUMMYFUNCTION("GOOGLETRANSLATE(A49625, ""de"", ""en"")"),"sheherazade")</f>
        <v>sheherazade</v>
      </c>
    </row>
    <row r="49626">
      <c r="A49626" s="1" t="s">
        <v>49625</v>
      </c>
      <c r="B49626" s="2" t="str">
        <f>IFERROR(__xludf.DUMMYFUNCTION("GOOGLETRANSLATE(A49626, ""de"", ""en"")"),"s.s.")</f>
        <v>s.s.</v>
      </c>
    </row>
    <row r="49627">
      <c r="A49627" s="1" t="s">
        <v>49626</v>
      </c>
      <c r="B49627" s="2" t="str">
        <f>IFERROR(__xludf.DUMMYFUNCTION("GOOGLETRANSLATE(A49627, ""de"", ""en"")"),"judgment")</f>
        <v>judgment</v>
      </c>
    </row>
    <row r="49628">
      <c r="A49628" s="1" t="s">
        <v>49627</v>
      </c>
      <c r="B49628" s="2" t="str">
        <f>IFERROR(__xludf.DUMMYFUNCTION("GOOGLETRANSLATE(A49628, ""de"", ""en"")"),"first")</f>
        <v>first</v>
      </c>
    </row>
    <row r="49629">
      <c r="A49629" s="1" t="s">
        <v>49628</v>
      </c>
      <c r="B49629" s="2" t="str">
        <f>IFERROR(__xludf.DUMMYFUNCTION("GOOGLETRANSLATE(A49629, ""de"", ""en"")"),"more digital")</f>
        <v>more digital</v>
      </c>
    </row>
    <row r="49630">
      <c r="A49630" s="1" t="s">
        <v>49629</v>
      </c>
      <c r="B49630" s="2" t="str">
        <f>IFERROR(__xludf.DUMMYFUNCTION("GOOGLETRANSLATE(A49630, ""de"", ""en"")"),"dissociative")</f>
        <v>dissociative</v>
      </c>
    </row>
    <row r="49631">
      <c r="A49631" s="1" t="s">
        <v>49630</v>
      </c>
      <c r="B49631" s="2" t="str">
        <f>IFERROR(__xludf.DUMMYFUNCTION("GOOGLETRANSLATE(A49631, ""de"", ""en"")"),"notte")</f>
        <v>notte</v>
      </c>
    </row>
    <row r="49632">
      <c r="A49632" s="1" t="s">
        <v>49631</v>
      </c>
      <c r="B49632" s="2" t="str">
        <f>IFERROR(__xludf.DUMMYFUNCTION("GOOGLETRANSLATE(A49632, ""de"", ""en"")"),"rosso")</f>
        <v>rosso</v>
      </c>
    </row>
    <row r="49633">
      <c r="A49633" s="1" t="s">
        <v>49632</v>
      </c>
      <c r="B49633" s="2" t="str">
        <f>IFERROR(__xludf.DUMMYFUNCTION("GOOGLETRANSLATE(A49633, ""de"", ""en"")"),"nail gun")</f>
        <v>nail gun</v>
      </c>
    </row>
    <row r="49634">
      <c r="A49634" s="1" t="s">
        <v>49633</v>
      </c>
      <c r="B49634" s="2" t="str">
        <f>IFERROR(__xludf.DUMMYFUNCTION("GOOGLETRANSLATE(A49634, ""de"", ""en"")"),"rituals")</f>
        <v>rituals</v>
      </c>
    </row>
    <row r="49635">
      <c r="A49635" s="1" t="s">
        <v>49634</v>
      </c>
      <c r="B49635" s="2" t="str">
        <f>IFERROR(__xludf.DUMMYFUNCTION("GOOGLETRANSLATE(A49635, ""de"", ""en"")"),"versed")</f>
        <v>versed</v>
      </c>
    </row>
    <row r="49636">
      <c r="A49636" s="1" t="s">
        <v>49635</v>
      </c>
      <c r="B49636" s="2" t="str">
        <f>IFERROR(__xludf.DUMMYFUNCTION("GOOGLETRANSLATE(A49636, ""de"", ""en"")"),"amboy")</f>
        <v>amboy</v>
      </c>
    </row>
    <row r="49637">
      <c r="A49637" s="1" t="s">
        <v>49636</v>
      </c>
      <c r="B49637" s="2" t="str">
        <f>IFERROR(__xludf.DUMMYFUNCTION("GOOGLETRANSLATE(A49637, ""de"", ""en"")"),"nail salon")</f>
        <v>nail salon</v>
      </c>
    </row>
    <row r="49638">
      <c r="A49638" s="1" t="s">
        <v>49637</v>
      </c>
      <c r="B49638" s="2" t="str">
        <f>IFERROR(__xludf.DUMMYFUNCTION("GOOGLETRANSLATE(A49638, ""de"", ""en"")"),"gifted")</f>
        <v>gifted</v>
      </c>
    </row>
    <row r="49639">
      <c r="A49639" s="1" t="s">
        <v>49638</v>
      </c>
      <c r="B49639" s="2" t="str">
        <f>IFERROR(__xludf.DUMMYFUNCTION("GOOGLETRANSLATE(A49639, ""de"", ""en"")"),"corrupted")</f>
        <v>corrupted</v>
      </c>
    </row>
    <row r="49640">
      <c r="A49640" s="1" t="s">
        <v>49639</v>
      </c>
      <c r="B49640" s="2" t="str">
        <f>IFERROR(__xludf.DUMMYFUNCTION("GOOGLETRANSLATE(A49640, ""de"", ""en"")"),"cities")</f>
        <v>cities</v>
      </c>
    </row>
    <row r="49641">
      <c r="A49641" s="1" t="s">
        <v>49640</v>
      </c>
      <c r="B49641" s="2" t="str">
        <f>IFERROR(__xludf.DUMMYFUNCTION("GOOGLETRANSLATE(A49641, ""de"", ""en"")"),"felted")</f>
        <v>felted</v>
      </c>
    </row>
    <row r="49642">
      <c r="A49642" s="1" t="s">
        <v>49641</v>
      </c>
      <c r="B49642" s="2" t="str">
        <f>IFERROR(__xludf.DUMMYFUNCTION("GOOGLETRANSLATE(A49642, ""de"", ""en"")"),"balls")</f>
        <v>balls</v>
      </c>
    </row>
    <row r="49643">
      <c r="A49643" s="1" t="s">
        <v>49642</v>
      </c>
      <c r="B49643" s="2" t="str">
        <f>IFERROR(__xludf.DUMMYFUNCTION("GOOGLETRANSLATE(A49643, ""de"", ""en"")"),"answer")</f>
        <v>answer</v>
      </c>
    </row>
    <row r="49644">
      <c r="A49644" s="1" t="s">
        <v>49643</v>
      </c>
      <c r="B49644" s="2" t="str">
        <f>IFERROR(__xludf.DUMMYFUNCTION("GOOGLETRANSLATE(A49644, ""de"", ""en"")"),"reptilian")</f>
        <v>reptilian</v>
      </c>
    </row>
    <row r="49645">
      <c r="A49645" s="1" t="s">
        <v>49644</v>
      </c>
      <c r="B49645" s="2" t="str">
        <f>IFERROR(__xludf.DUMMYFUNCTION("GOOGLETRANSLATE(A49645, ""de"", ""en"")"),"taxes")</f>
        <v>taxes</v>
      </c>
    </row>
    <row r="49646">
      <c r="A49646" s="1" t="s">
        <v>49645</v>
      </c>
      <c r="B49646" s="2" t="str">
        <f>IFERROR(__xludf.DUMMYFUNCTION("GOOGLETRANSLATE(A49646, ""de"", ""en"")"),"bar mitzvah")</f>
        <v>bar mitzvah</v>
      </c>
    </row>
    <row r="49647">
      <c r="A49647" s="1" t="s">
        <v>49646</v>
      </c>
      <c r="B49647" s="2" t="str">
        <f>IFERROR(__xludf.DUMMYFUNCTION("GOOGLETRANSLATE(A49647, ""de"", ""en"")"),"bubbles")</f>
        <v>bubbles</v>
      </c>
    </row>
    <row r="49648">
      <c r="A49648" s="1" t="s">
        <v>49647</v>
      </c>
      <c r="B49648" s="2" t="str">
        <f>IFERROR(__xludf.DUMMYFUNCTION("GOOGLETRANSLATE(A49648, ""de"", ""en"")"),"maida")</f>
        <v>maida</v>
      </c>
    </row>
    <row r="49649">
      <c r="A49649" s="1" t="s">
        <v>49648</v>
      </c>
      <c r="B49649" s="2" t="str">
        <f>IFERROR(__xludf.DUMMYFUNCTION("GOOGLETRANSLATE(A49649, ""de"", ""en"")"),"xing")</f>
        <v>xing</v>
      </c>
    </row>
    <row r="49650">
      <c r="A49650" s="1" t="s">
        <v>49649</v>
      </c>
      <c r="B49650" s="2" t="str">
        <f>IFERROR(__xludf.DUMMYFUNCTION("GOOGLETRANSLATE(A49650, ""de"", ""en"")"),"xev")</f>
        <v>xev</v>
      </c>
    </row>
    <row r="49651">
      <c r="A49651" s="1" t="s">
        <v>49650</v>
      </c>
      <c r="B49651" s="2" t="str">
        <f>IFERROR(__xludf.DUMMYFUNCTION("GOOGLETRANSLATE(A49651, ""de"", ""en"")"),"rapture")</f>
        <v>rapture</v>
      </c>
    </row>
    <row r="49652">
      <c r="A49652" s="1" t="s">
        <v>49651</v>
      </c>
      <c r="B49652" s="2" t="str">
        <f>IFERROR(__xludf.DUMMYFUNCTION("GOOGLETRANSLATE(A49652, ""de"", ""en"")"),"interior")</f>
        <v>interior</v>
      </c>
    </row>
    <row r="49653">
      <c r="A49653" s="1" t="s">
        <v>49652</v>
      </c>
      <c r="B49653" s="2" t="str">
        <f>IFERROR(__xludf.DUMMYFUNCTION("GOOGLETRANSLATE(A49653, ""de"", ""en"")"),"mcgarrett")</f>
        <v>mcgarrett</v>
      </c>
    </row>
    <row r="49654">
      <c r="A49654" s="1" t="s">
        <v>49653</v>
      </c>
      <c r="B49654" s="2" t="str">
        <f>IFERROR(__xludf.DUMMYFUNCTION("GOOGLETRANSLATE(A49654, ""de"", ""en"")"),"direct")</f>
        <v>direct</v>
      </c>
    </row>
    <row r="49655">
      <c r="A49655" s="1" t="s">
        <v>49654</v>
      </c>
      <c r="B49655" s="2" t="str">
        <f>IFERROR(__xludf.DUMMYFUNCTION("GOOGLETRANSLATE(A49655, ""de"", ""en"")"),"log cabin")</f>
        <v>log cabin</v>
      </c>
    </row>
    <row r="49656">
      <c r="A49656" s="1" t="s">
        <v>49655</v>
      </c>
      <c r="B49656" s="2" t="str">
        <f>IFERROR(__xludf.DUMMYFUNCTION("GOOGLETRANSLATE(A49656, ""de"", ""en"")"),"radio music")</f>
        <v>radio music</v>
      </c>
    </row>
    <row r="49657">
      <c r="A49657" s="1" t="s">
        <v>49656</v>
      </c>
      <c r="B49657" s="2" t="str">
        <f>IFERROR(__xludf.DUMMYFUNCTION("GOOGLETRANSLATE(A49657, ""de"", ""en"")"),"nerve pathways")</f>
        <v>nerve pathways</v>
      </c>
    </row>
    <row r="49658">
      <c r="A49658" s="1" t="s">
        <v>49657</v>
      </c>
      <c r="B49658" s="2" t="str">
        <f>IFERROR(__xludf.DUMMYFUNCTION("GOOGLETRANSLATE(A49658, ""de"", ""en"")"),"walking")</f>
        <v>walking</v>
      </c>
    </row>
    <row r="49659">
      <c r="A49659" s="1" t="s">
        <v>49658</v>
      </c>
      <c r="B49659" s="2" t="str">
        <f>IFERROR(__xludf.DUMMYFUNCTION("GOOGLETRANSLATE(A49659, ""de"", ""en"")"),"lakeman")</f>
        <v>lakeman</v>
      </c>
    </row>
    <row r="49660">
      <c r="A49660" s="1" t="s">
        <v>49659</v>
      </c>
      <c r="B49660" s="2" t="str">
        <f>IFERROR(__xludf.DUMMYFUNCTION("GOOGLETRANSLATE(A49660, ""de"", ""en"")"),"frell")</f>
        <v>frell</v>
      </c>
    </row>
    <row r="49661">
      <c r="A49661" s="1" t="s">
        <v>49660</v>
      </c>
      <c r="B49661" s="2" t="str">
        <f>IFERROR(__xludf.DUMMYFUNCTION("GOOGLETRANSLATE(A49661, ""de"", ""en"")"),"Shoot order")</f>
        <v>Shoot order</v>
      </c>
    </row>
    <row r="49662">
      <c r="A49662" s="1" t="s">
        <v>49661</v>
      </c>
      <c r="B49662" s="2" t="str">
        <f>IFERROR(__xludf.DUMMYFUNCTION("GOOGLETRANSLATE(A49662, ""de"", ""en"")"),"national team")</f>
        <v>national team</v>
      </c>
    </row>
    <row r="49663">
      <c r="A49663" s="1" t="s">
        <v>49662</v>
      </c>
      <c r="B49663" s="2" t="str">
        <f>IFERROR(__xludf.DUMMYFUNCTION("GOOGLETRANSLATE(A49663, ""de"", ""en"")"),"major attack")</f>
        <v>major attack</v>
      </c>
    </row>
    <row r="49664">
      <c r="A49664" s="1" t="s">
        <v>49663</v>
      </c>
      <c r="B49664" s="2" t="str">
        <f>IFERROR(__xludf.DUMMYFUNCTION("GOOGLETRANSLATE(A49664, ""de"", ""en"")"),"tores")</f>
        <v>tores</v>
      </c>
    </row>
    <row r="49665">
      <c r="A49665" s="1" t="s">
        <v>49664</v>
      </c>
      <c r="B49665" s="2" t="str">
        <f>IFERROR(__xludf.DUMMYFUNCTION("GOOGLETRANSLATE(A49665, ""de"", ""en"")"),"birdcage")</f>
        <v>birdcage</v>
      </c>
    </row>
    <row r="49666">
      <c r="A49666" s="1" t="s">
        <v>49665</v>
      </c>
      <c r="B49666" s="2" t="str">
        <f>IFERROR(__xludf.DUMMYFUNCTION("GOOGLETRANSLATE(A49666, ""de"", ""en"")"),"temporary")</f>
        <v>temporary</v>
      </c>
    </row>
    <row r="49667">
      <c r="A49667" s="1" t="s">
        <v>49666</v>
      </c>
      <c r="B49667" s="2" t="str">
        <f>IFERROR(__xludf.DUMMYFUNCTION("GOOGLETRANSLATE(A49667, ""de"", ""en"")"),"bayard")</f>
        <v>bayard</v>
      </c>
    </row>
    <row r="49668">
      <c r="A49668" s="1" t="s">
        <v>49667</v>
      </c>
      <c r="B49668" s="2" t="str">
        <f>IFERROR(__xludf.DUMMYFUNCTION("GOOGLETRANSLATE(A49668, ""de"", ""en"")"),"express")</f>
        <v>express</v>
      </c>
    </row>
    <row r="49669">
      <c r="A49669" s="1" t="s">
        <v>49668</v>
      </c>
      <c r="B49669" s="2" t="str">
        <f>IFERROR(__xludf.DUMMYFUNCTION("GOOGLETRANSLATE(A49669, ""de"", ""en"")"),"film company")</f>
        <v>film company</v>
      </c>
    </row>
    <row r="49670">
      <c r="A49670" s="1" t="s">
        <v>49669</v>
      </c>
      <c r="B49670" s="2" t="str">
        <f>IFERROR(__xludf.DUMMYFUNCTION("GOOGLETRANSLATE(A49670, ""de"", ""en"")"),"health minister")</f>
        <v>health minister</v>
      </c>
    </row>
    <row r="49671">
      <c r="A49671" s="1" t="s">
        <v>49670</v>
      </c>
      <c r="B49671" s="2" t="str">
        <f>IFERROR(__xludf.DUMMYFUNCTION("GOOGLETRANSLATE(A49671, ""de"", ""en"")"),"horse thieves")</f>
        <v>horse thieves</v>
      </c>
    </row>
    <row r="49672">
      <c r="A49672" s="1" t="s">
        <v>49671</v>
      </c>
      <c r="B49672" s="2" t="str">
        <f>IFERROR(__xludf.DUMMYFUNCTION("GOOGLETRANSLATE(A49672, ""de"", ""en"")"),"feed")</f>
        <v>feed</v>
      </c>
    </row>
    <row r="49673">
      <c r="A49673" s="1" t="s">
        <v>49672</v>
      </c>
      <c r="B49673" s="2" t="str">
        <f>IFERROR(__xludf.DUMMYFUNCTION("GOOGLETRANSLATE(A49673, ""de"", ""en"")"),"master plan")</f>
        <v>master plan</v>
      </c>
    </row>
    <row r="49674">
      <c r="A49674" s="1" t="s">
        <v>49673</v>
      </c>
      <c r="B49674" s="2" t="str">
        <f>IFERROR(__xludf.DUMMYFUNCTION("GOOGLETRANSLATE(A49674, ""de"", ""en"")"),"brunner")</f>
        <v>brunner</v>
      </c>
    </row>
    <row r="49675">
      <c r="A49675" s="1" t="s">
        <v>49674</v>
      </c>
      <c r="B49675" s="2" t="str">
        <f>IFERROR(__xludf.DUMMYFUNCTION("GOOGLETRANSLATE(A49675, ""de"", ""en"")"),"marquesa")</f>
        <v>marquesa</v>
      </c>
    </row>
    <row r="49676">
      <c r="A49676" s="1" t="s">
        <v>49675</v>
      </c>
      <c r="B49676" s="2" t="str">
        <f>IFERROR(__xludf.DUMMYFUNCTION("GOOGLETRANSLATE(A49676, ""de"", ""en"")"),"powerful")</f>
        <v>powerful</v>
      </c>
    </row>
    <row r="49677">
      <c r="A49677" s="1" t="s">
        <v>49676</v>
      </c>
      <c r="B49677" s="2" t="str">
        <f>IFERROR(__xludf.DUMMYFUNCTION("GOOGLETRANSLATE(A49677, ""de"", ""en"")"),"blown")</f>
        <v>blown</v>
      </c>
    </row>
    <row r="49678">
      <c r="A49678" s="1" t="s">
        <v>49677</v>
      </c>
      <c r="B49678" s="2" t="str">
        <f>IFERROR(__xludf.DUMMYFUNCTION("GOOGLETRANSLATE(A49678, ""de"", ""en"")"),"fizz")</f>
        <v>fizz</v>
      </c>
    </row>
    <row r="49679">
      <c r="A49679" s="1" t="s">
        <v>49678</v>
      </c>
      <c r="B49679" s="2" t="str">
        <f>IFERROR(__xludf.DUMMYFUNCTION("GOOGLETRANSLATE(A49679, ""de"", ""en"")"),"energy signature")</f>
        <v>energy signature</v>
      </c>
    </row>
    <row r="49680">
      <c r="A49680" s="1" t="s">
        <v>49679</v>
      </c>
      <c r="B49680" s="2" t="str">
        <f>IFERROR(__xludf.DUMMYFUNCTION("GOOGLETRANSLATE(A49680, ""de"", ""en"")"),"attacker")</f>
        <v>attacker</v>
      </c>
    </row>
    <row r="49681">
      <c r="A49681" s="1" t="s">
        <v>49680</v>
      </c>
      <c r="B49681" s="2" t="str">
        <f>IFERROR(__xludf.DUMMYFUNCTION("GOOGLETRANSLATE(A49681, ""de"", ""en"")"),"wandering")</f>
        <v>wandering</v>
      </c>
    </row>
    <row r="49682">
      <c r="A49682" s="1" t="s">
        <v>49681</v>
      </c>
      <c r="B49682" s="2" t="str">
        <f>IFERROR(__xludf.DUMMYFUNCTION("GOOGLETRANSLATE(A49682, ""de"", ""en"")"),"walkie")</f>
        <v>walkie</v>
      </c>
    </row>
    <row r="49683">
      <c r="A49683" s="1" t="s">
        <v>49682</v>
      </c>
      <c r="B49683" s="2" t="str">
        <f>IFERROR(__xludf.DUMMYFUNCTION("GOOGLETRANSLATE(A49683, ""de"", ""en"")"),"pinch")</f>
        <v>pinch</v>
      </c>
    </row>
    <row r="49684">
      <c r="A49684" s="1" t="s">
        <v>49683</v>
      </c>
      <c r="B49684" s="2" t="str">
        <f>IFERROR(__xludf.DUMMYFUNCTION("GOOGLETRANSLATE(A49684, ""de"", ""en"")"),"sith")</f>
        <v>sith</v>
      </c>
    </row>
    <row r="49685">
      <c r="A49685" s="1" t="s">
        <v>49684</v>
      </c>
      <c r="B49685" s="2" t="str">
        <f>IFERROR(__xludf.DUMMYFUNCTION("GOOGLETRANSLATE(A49685, ""de"", ""en"")"),"costco")</f>
        <v>costco</v>
      </c>
    </row>
    <row r="49686">
      <c r="A49686" s="1" t="s">
        <v>49685</v>
      </c>
      <c r="B49686" s="2" t="str">
        <f>IFERROR(__xludf.DUMMYFUNCTION("GOOGLETRANSLATE(A49686, ""de"", ""en"")"),"overcome")</f>
        <v>overcome</v>
      </c>
    </row>
    <row r="49687">
      <c r="A49687" s="1" t="s">
        <v>49686</v>
      </c>
      <c r="B49687" s="2" t="str">
        <f>IFERROR(__xludf.DUMMYFUNCTION("GOOGLETRANSLATE(A49687, ""de"", ""en"")"),"music room")</f>
        <v>music room</v>
      </c>
    </row>
    <row r="49688">
      <c r="A49688" s="1" t="s">
        <v>49687</v>
      </c>
      <c r="B49688" s="2" t="str">
        <f>IFERROR(__xludf.DUMMYFUNCTION("GOOGLETRANSLATE(A49688, ""de"", ""en"")"),"semtex")</f>
        <v>semtex</v>
      </c>
    </row>
    <row r="49689">
      <c r="A49689" s="1" t="s">
        <v>49688</v>
      </c>
      <c r="B49689" s="2" t="str">
        <f>IFERROR(__xludf.DUMMYFUNCTION("GOOGLETRANSLATE(A49689, ""de"", ""en"")"),"cheetahs")</f>
        <v>cheetahs</v>
      </c>
    </row>
    <row r="49690">
      <c r="A49690" s="1" t="s">
        <v>49689</v>
      </c>
      <c r="B49690" s="2" t="str">
        <f>IFERROR(__xludf.DUMMYFUNCTION("GOOGLETRANSLATE(A49690, ""de"", ""en"")"),"corner of mouth")</f>
        <v>corner of mouth</v>
      </c>
    </row>
    <row r="49691">
      <c r="A49691" s="1" t="s">
        <v>49690</v>
      </c>
      <c r="B49691" s="2" t="str">
        <f>IFERROR(__xludf.DUMMYFUNCTION("GOOGLETRANSLATE(A49691, ""de"", ""en"")"),"shady")</f>
        <v>shady</v>
      </c>
    </row>
    <row r="49692">
      <c r="A49692" s="1" t="s">
        <v>49691</v>
      </c>
      <c r="B49692" s="2" t="str">
        <f>IFERROR(__xludf.DUMMYFUNCTION("GOOGLETRANSLATE(A49692, ""de"", ""en"")"),"entwined")</f>
        <v>entwined</v>
      </c>
    </row>
    <row r="49693">
      <c r="A49693" s="1" t="s">
        <v>49692</v>
      </c>
      <c r="B49693" s="2" t="str">
        <f>IFERROR(__xludf.DUMMYFUNCTION("GOOGLETRANSLATE(A49693, ""de"", ""en"")"),"gaming table")</f>
        <v>gaming table</v>
      </c>
    </row>
    <row r="49694">
      <c r="A49694" s="1" t="s">
        <v>49693</v>
      </c>
      <c r="B49694" s="2" t="str">
        <f>IFERROR(__xludf.DUMMYFUNCTION("GOOGLETRANSLATE(A49694, ""de"", ""en"")"),"regulations")</f>
        <v>regulations</v>
      </c>
    </row>
    <row r="49695">
      <c r="A49695" s="1" t="s">
        <v>49694</v>
      </c>
      <c r="B49695" s="2" t="str">
        <f>IFERROR(__xludf.DUMMYFUNCTION("GOOGLETRANSLATE(A49695, ""de"", ""en"")"),"anthrax")</f>
        <v>anthrax</v>
      </c>
    </row>
    <row r="49696">
      <c r="A49696" s="1" t="s">
        <v>49695</v>
      </c>
      <c r="B49696" s="2" t="str">
        <f>IFERROR(__xludf.DUMMYFUNCTION("GOOGLETRANSLATE(A49696, ""de"", ""en"")"),"canoes")</f>
        <v>canoes</v>
      </c>
    </row>
    <row r="49697">
      <c r="A49697" s="1" t="s">
        <v>49696</v>
      </c>
      <c r="B49697" s="2" t="str">
        <f>IFERROR(__xludf.DUMMYFUNCTION("GOOGLETRANSLATE(A49697, ""de"", ""en"")"),"scanner")</f>
        <v>scanner</v>
      </c>
    </row>
    <row r="49698">
      <c r="A49698" s="1" t="s">
        <v>49697</v>
      </c>
      <c r="B49698" s="2" t="str">
        <f>IFERROR(__xludf.DUMMYFUNCTION("GOOGLETRANSLATE(A49698, ""de"", ""en"")"),"controllable")</f>
        <v>controllable</v>
      </c>
    </row>
    <row r="49699">
      <c r="A49699" s="1" t="s">
        <v>49698</v>
      </c>
      <c r="B49699" s="2" t="str">
        <f>IFERROR(__xludf.DUMMYFUNCTION("GOOGLETRANSLATE(A49699, ""de"", ""en"")"),"scratchy")</f>
        <v>scratchy</v>
      </c>
    </row>
    <row r="49700">
      <c r="A49700" s="1" t="s">
        <v>49699</v>
      </c>
      <c r="B49700" s="2" t="str">
        <f>IFERROR(__xludf.DUMMYFUNCTION("GOOGLETRANSLATE(A49700, ""de"", ""en"")"),"night flight")</f>
        <v>night flight</v>
      </c>
    </row>
    <row r="49701">
      <c r="A49701" s="1" t="s">
        <v>49700</v>
      </c>
      <c r="B49701" s="2" t="str">
        <f>IFERROR(__xludf.DUMMYFUNCTION("GOOGLETRANSLATE(A49701, ""de"", ""en"")"),"safety distance")</f>
        <v>safety distance</v>
      </c>
    </row>
    <row r="49702">
      <c r="A49702" s="1" t="s">
        <v>49701</v>
      </c>
      <c r="B49702" s="2" t="str">
        <f>IFERROR(__xludf.DUMMYFUNCTION("GOOGLETRANSLATE(A49702, ""de"", ""en"")"),"took over")</f>
        <v>took over</v>
      </c>
    </row>
    <row r="49703">
      <c r="A49703" s="1" t="s">
        <v>49702</v>
      </c>
      <c r="B49703" s="2" t="str">
        <f>IFERROR(__xludf.DUMMYFUNCTION("GOOGLETRANSLATE(A49703, ""de"", ""en"")"),"mats")</f>
        <v>mats</v>
      </c>
    </row>
    <row r="49704">
      <c r="A49704" s="1" t="s">
        <v>49703</v>
      </c>
      <c r="B49704" s="2" t="str">
        <f>IFERROR(__xludf.DUMMYFUNCTION("GOOGLETRANSLATE(A49704, ""de"", ""en"")"),"washing machines")</f>
        <v>washing machines</v>
      </c>
    </row>
    <row r="49705">
      <c r="A49705" s="1" t="s">
        <v>49704</v>
      </c>
      <c r="B49705" s="2" t="str">
        <f>IFERROR(__xludf.DUMMYFUNCTION("GOOGLETRANSLATE(A49705, ""de"", ""en"")"),"Yah")</f>
        <v>Yah</v>
      </c>
    </row>
    <row r="49706">
      <c r="A49706" s="1" t="s">
        <v>49705</v>
      </c>
      <c r="B49706" s="2" t="str">
        <f>IFERROR(__xludf.DUMMYFUNCTION("GOOGLETRANSLATE(A49706, ""de"", ""en"")"),"leh")</f>
        <v>leh</v>
      </c>
    </row>
    <row r="49707">
      <c r="A49707" s="1" t="s">
        <v>49706</v>
      </c>
      <c r="B49707" s="2" t="str">
        <f>IFERROR(__xludf.DUMMYFUNCTION("GOOGLETRANSLATE(A49707, ""de"", ""en"")"),"shutdown")</f>
        <v>shutdown</v>
      </c>
    </row>
    <row r="49708">
      <c r="A49708" s="1" t="s">
        <v>49707</v>
      </c>
      <c r="B49708" s="2" t="str">
        <f>IFERROR(__xludf.DUMMYFUNCTION("GOOGLETRANSLATE(A49708, ""de"", ""en"")"),"stuarts")</f>
        <v>stuarts</v>
      </c>
    </row>
    <row r="49709">
      <c r="A49709" s="1" t="s">
        <v>49708</v>
      </c>
      <c r="B49709" s="2" t="str">
        <f>IFERROR(__xludf.DUMMYFUNCTION("GOOGLETRANSLATE(A49709, ""de"", ""en"")"),"nails")</f>
        <v>nails</v>
      </c>
    </row>
    <row r="49710">
      <c r="A49710" s="1" t="s">
        <v>49709</v>
      </c>
      <c r="B49710" s="2" t="str">
        <f>IFERROR(__xludf.DUMMYFUNCTION("GOOGLETRANSLATE(A49710, ""de"", ""en"")"),"trousseau")</f>
        <v>trousseau</v>
      </c>
    </row>
    <row r="49711">
      <c r="A49711" s="1" t="s">
        <v>49710</v>
      </c>
      <c r="B49711" s="2" t="str">
        <f>IFERROR(__xludf.DUMMYFUNCTION("GOOGLETRANSLATE(A49711, ""de"", ""en"")"),"Simonson")</f>
        <v>Simonson</v>
      </c>
    </row>
    <row r="49712">
      <c r="A49712" s="1" t="s">
        <v>49711</v>
      </c>
      <c r="B49712" s="2" t="str">
        <f>IFERROR(__xludf.DUMMYFUNCTION("GOOGLETRANSLATE(A49712, ""de"", ""en"")"),"Martinique")</f>
        <v>Martinique</v>
      </c>
    </row>
    <row r="49713">
      <c r="A49713" s="1" t="s">
        <v>49712</v>
      </c>
      <c r="B49713" s="2" t="str">
        <f>IFERROR(__xludf.DUMMYFUNCTION("GOOGLETRANSLATE(A49713, ""de"", ""en"")"),"northeast")</f>
        <v>northeast</v>
      </c>
    </row>
    <row r="49714">
      <c r="A49714" s="1" t="s">
        <v>49713</v>
      </c>
      <c r="B49714" s="2" t="str">
        <f>IFERROR(__xludf.DUMMYFUNCTION("GOOGLETRANSLATE(A49714, ""de"", ""en"")"),"keeps away")</f>
        <v>keeps away</v>
      </c>
    </row>
    <row r="49715">
      <c r="A49715" s="1" t="s">
        <v>49714</v>
      </c>
      <c r="B49715" s="2" t="str">
        <f>IFERROR(__xludf.DUMMYFUNCTION("GOOGLETRANSLATE(A49715, ""de"", ""en"")"),"advertised")</f>
        <v>advertised</v>
      </c>
    </row>
    <row r="49716">
      <c r="A49716" s="1" t="s">
        <v>49715</v>
      </c>
      <c r="B49716" s="2" t="str">
        <f>IFERROR(__xludf.DUMMYFUNCTION("GOOGLETRANSLATE(A49716, ""de"", ""en"")"),"busmalis")</f>
        <v>busmalis</v>
      </c>
    </row>
    <row r="49717">
      <c r="A49717" s="1" t="s">
        <v>49716</v>
      </c>
      <c r="B49717" s="2" t="str">
        <f>IFERROR(__xludf.DUMMYFUNCTION("GOOGLETRANSLATE(A49717, ""de"", ""en"")"),"harassment")</f>
        <v>harassment</v>
      </c>
    </row>
    <row r="49718">
      <c r="A49718" s="1" t="s">
        <v>49717</v>
      </c>
      <c r="B49718" s="2" t="str">
        <f>IFERROR(__xludf.DUMMYFUNCTION("GOOGLETRANSLATE(A49718, ""de"", ""en"")"),"unity")</f>
        <v>unity</v>
      </c>
    </row>
    <row r="49719">
      <c r="A49719" s="1" t="s">
        <v>49718</v>
      </c>
      <c r="B49719" s="2" t="str">
        <f>IFERROR(__xludf.DUMMYFUNCTION("GOOGLETRANSLATE(A49719, ""de"", ""en"")"),"foreign")</f>
        <v>foreign</v>
      </c>
    </row>
    <row r="49720">
      <c r="A49720" s="1" t="s">
        <v>49719</v>
      </c>
      <c r="B49720" s="2" t="str">
        <f>IFERROR(__xludf.DUMMYFUNCTION("GOOGLETRANSLATE(A49720, ""de"", ""en"")"),"dry up")</f>
        <v>dry up</v>
      </c>
    </row>
    <row r="49721">
      <c r="A49721" s="1" t="s">
        <v>49720</v>
      </c>
      <c r="B49721" s="2" t="str">
        <f>IFERROR(__xludf.DUMMYFUNCTION("GOOGLETRANSLATE(A49721, ""de"", ""en"")"),"it-it")</f>
        <v>it-it</v>
      </c>
    </row>
    <row r="49722">
      <c r="A49722" s="1" t="s">
        <v>49721</v>
      </c>
      <c r="B49722" s="2" t="str">
        <f>IFERROR(__xludf.DUMMYFUNCTION("GOOGLETRANSLATE(A49722, ""de"", ""en"")"),"slippery")</f>
        <v>slippery</v>
      </c>
    </row>
    <row r="49723">
      <c r="A49723" s="1" t="s">
        <v>49722</v>
      </c>
      <c r="B49723" s="2" t="str">
        <f>IFERROR(__xludf.DUMMYFUNCTION("GOOGLETRANSLATE(A49723, ""de"", ""en"")"),"ghosts")</f>
        <v>ghosts</v>
      </c>
    </row>
    <row r="49724">
      <c r="A49724" s="1" t="s">
        <v>49723</v>
      </c>
      <c r="B49724" s="2" t="str">
        <f>IFERROR(__xludf.DUMMYFUNCTION("GOOGLETRANSLATE(A49724, ""de"", ""en"")"),"arrondissement")</f>
        <v>arrondissement</v>
      </c>
    </row>
    <row r="49725">
      <c r="A49725" s="1" t="s">
        <v>49724</v>
      </c>
      <c r="B49725" s="2" t="str">
        <f>IFERROR(__xludf.DUMMYFUNCTION("GOOGLETRANSLATE(A49725, ""de"", ""en"")"),"minded")</f>
        <v>minded</v>
      </c>
    </row>
    <row r="49726">
      <c r="A49726" s="1" t="s">
        <v>49725</v>
      </c>
      <c r="B49726" s="2" t="str">
        <f>IFERROR(__xludf.DUMMYFUNCTION("GOOGLETRANSLATE(A49726, ""de"", ""en"")"),"tax money")</f>
        <v>tax money</v>
      </c>
    </row>
    <row r="49727">
      <c r="A49727" s="1" t="s">
        <v>49726</v>
      </c>
      <c r="B49727" s="2" t="str">
        <f>IFERROR(__xludf.DUMMYFUNCTION("GOOGLETRANSLATE(A49727, ""de"", ""en"")"),"godson")</f>
        <v>godson</v>
      </c>
    </row>
    <row r="49728">
      <c r="A49728" s="1" t="s">
        <v>49727</v>
      </c>
      <c r="B49728" s="2" t="str">
        <f>IFERROR(__xludf.DUMMYFUNCTION("GOOGLETRANSLATE(A49728, ""de"", ""en"")"),"kelp")</f>
        <v>kelp</v>
      </c>
    </row>
    <row r="49729">
      <c r="A49729" s="1" t="s">
        <v>49728</v>
      </c>
      <c r="B49729" s="2" t="str">
        <f>IFERROR(__xludf.DUMMYFUNCTION("GOOGLETRANSLATE(A49729, ""de"", ""en"")"),"vole")</f>
        <v>vole</v>
      </c>
    </row>
    <row r="49730">
      <c r="A49730" s="1" t="s">
        <v>49729</v>
      </c>
      <c r="B49730" s="2" t="str">
        <f>IFERROR(__xludf.DUMMYFUNCTION("GOOGLETRANSLATE(A49730, ""de"", ""en"")"),"membrane")</f>
        <v>membrane</v>
      </c>
    </row>
    <row r="49731">
      <c r="A49731" s="1" t="s">
        <v>49730</v>
      </c>
      <c r="B49731" s="2" t="str">
        <f>IFERROR(__xludf.DUMMYFUNCTION("GOOGLETRANSLATE(A49731, ""de"", ""en"")"),"most of all")</f>
        <v>most of all</v>
      </c>
    </row>
    <row r="49732">
      <c r="A49732" s="1" t="s">
        <v>49731</v>
      </c>
      <c r="B49732" s="2" t="str">
        <f>IFERROR(__xludf.DUMMYFUNCTION("GOOGLETRANSLATE(A49732, ""de"", ""en"")"),"nits")</f>
        <v>nits</v>
      </c>
    </row>
    <row r="49733">
      <c r="A49733" s="1" t="s">
        <v>49732</v>
      </c>
      <c r="B49733" s="2" t="str">
        <f>IFERROR(__xludf.DUMMYFUNCTION("GOOGLETRANSLATE(A49733, ""de"", ""en"")"),"founding fathers")</f>
        <v>founding fathers</v>
      </c>
    </row>
    <row r="49734">
      <c r="A49734" s="1" t="s">
        <v>49733</v>
      </c>
      <c r="B49734" s="2" t="str">
        <f>IFERROR(__xludf.DUMMYFUNCTION("GOOGLETRANSLATE(A49734, ""de"", ""en"")"),"strained")</f>
        <v>strained</v>
      </c>
    </row>
    <row r="49735">
      <c r="A49735" s="1" t="s">
        <v>49734</v>
      </c>
      <c r="B49735" s="2" t="str">
        <f>IFERROR(__xludf.DUMMYFUNCTION("GOOGLETRANSLATE(A49735, ""de"", ""en"")"),"petro")</f>
        <v>petro</v>
      </c>
    </row>
    <row r="49736">
      <c r="A49736" s="1" t="s">
        <v>49735</v>
      </c>
      <c r="B49736" s="2" t="str">
        <f>IFERROR(__xludf.DUMMYFUNCTION("GOOGLETRANSLATE(A49736, ""de"", ""en"")"),"legs")</f>
        <v>legs</v>
      </c>
    </row>
    <row r="49737">
      <c r="A49737" s="1" t="s">
        <v>49736</v>
      </c>
      <c r="B49737" s="2" t="str">
        <f>IFERROR(__xludf.DUMMYFUNCTION("GOOGLETRANSLATE(A49737, ""de"", ""en"")"),"key figure")</f>
        <v>key figure</v>
      </c>
    </row>
    <row r="49738">
      <c r="A49738" s="1" t="s">
        <v>49737</v>
      </c>
      <c r="B49738" s="2" t="str">
        <f>IFERROR(__xludf.DUMMYFUNCTION("GOOGLETRANSLATE(A49738, ""de"", ""en"")"),"franciin")</f>
        <v>franciin</v>
      </c>
    </row>
    <row r="49739">
      <c r="A49739" s="1" t="s">
        <v>49738</v>
      </c>
      <c r="B49739" s="2" t="str">
        <f>IFERROR(__xludf.DUMMYFUNCTION("GOOGLETRANSLATE(A49739, ""de"", ""en"")"),"luggage cart")</f>
        <v>luggage cart</v>
      </c>
    </row>
    <row r="49740">
      <c r="A49740" s="1" t="s">
        <v>49739</v>
      </c>
      <c r="B49740" s="2" t="str">
        <f>IFERROR(__xludf.DUMMYFUNCTION("GOOGLETRANSLATE(A49740, ""de"", ""en"")"),"sids")</f>
        <v>sids</v>
      </c>
    </row>
    <row r="49741">
      <c r="A49741" s="1" t="s">
        <v>49740</v>
      </c>
      <c r="B49741" s="2" t="str">
        <f>IFERROR(__xludf.DUMMYFUNCTION("GOOGLETRANSLATE(A49741, ""de"", ""en"")"),"to issue")</f>
        <v>to issue</v>
      </c>
    </row>
    <row r="49742">
      <c r="A49742" s="1" t="s">
        <v>49741</v>
      </c>
      <c r="B49742" s="2" t="str">
        <f>IFERROR(__xludf.DUMMYFUNCTION("GOOGLETRANSLATE(A49742, ""de"", ""en"")"),"more lenient")</f>
        <v>more lenient</v>
      </c>
    </row>
    <row r="49743">
      <c r="A49743" s="1" t="s">
        <v>49742</v>
      </c>
      <c r="B49743" s="2" t="str">
        <f>IFERROR(__xludf.DUMMYFUNCTION("GOOGLETRANSLATE(A49743, ""de"", ""en"")"),"examine")</f>
        <v>examine</v>
      </c>
    </row>
    <row r="49744">
      <c r="A49744" s="1" t="s">
        <v>49743</v>
      </c>
      <c r="B49744" s="2" t="str">
        <f>IFERROR(__xludf.DUMMYFUNCTION("GOOGLETRANSLATE(A49744, ""de"", ""en"")"),"carafe")</f>
        <v>carafe</v>
      </c>
    </row>
    <row r="49745">
      <c r="A49745" s="1" t="s">
        <v>49744</v>
      </c>
      <c r="B49745" s="2" t="str">
        <f>IFERROR(__xludf.DUMMYFUNCTION("GOOGLETRANSLATE(A49745, ""de"", ""en"")"),"loxi")</f>
        <v>loxi</v>
      </c>
    </row>
    <row r="49746">
      <c r="A49746" s="1" t="s">
        <v>49745</v>
      </c>
      <c r="B49746" s="2" t="str">
        <f>IFERROR(__xludf.DUMMYFUNCTION("GOOGLETRANSLATE(A49746, ""de"", ""en"")"),"credible")</f>
        <v>credible</v>
      </c>
    </row>
    <row r="49747">
      <c r="A49747" s="1" t="s">
        <v>49746</v>
      </c>
      <c r="B49747" s="2" t="str">
        <f>IFERROR(__xludf.DUMMYFUNCTION("GOOGLETRANSLATE(A49747, ""de"", ""en"")"),"tan")</f>
        <v>tan</v>
      </c>
    </row>
    <row r="49748">
      <c r="A49748" s="1" t="s">
        <v>49747</v>
      </c>
      <c r="B49748" s="2" t="str">
        <f>IFERROR(__xludf.DUMMYFUNCTION("GOOGLETRANSLATE(A49748, ""de"", ""en"")"),"pancks")</f>
        <v>pancks</v>
      </c>
    </row>
    <row r="49749">
      <c r="A49749" s="1" t="s">
        <v>49748</v>
      </c>
      <c r="B49749" s="2" t="str">
        <f>IFERROR(__xludf.DUMMYFUNCTION("GOOGLETRANSLATE(A49749, ""de"", ""en"")"),"hype")</f>
        <v>hype</v>
      </c>
    </row>
    <row r="49750">
      <c r="A49750" s="1" t="s">
        <v>49749</v>
      </c>
      <c r="B49750" s="2" t="str">
        <f>IFERROR(__xludf.DUMMYFUNCTION("GOOGLETRANSLATE(A49750, ""de"", ""en"")"),"gather")</f>
        <v>gather</v>
      </c>
    </row>
    <row r="49751">
      <c r="A49751" s="1" t="s">
        <v>49750</v>
      </c>
      <c r="B49751" s="2" t="str">
        <f>IFERROR(__xludf.DUMMYFUNCTION("GOOGLETRANSLATE(A49751, ""de"", ""en"")"),"hoopla")</f>
        <v>hoopla</v>
      </c>
    </row>
    <row r="49752">
      <c r="A49752" s="1" t="s">
        <v>49751</v>
      </c>
      <c r="B49752" s="2" t="str">
        <f>IFERROR(__xludf.DUMMYFUNCTION("GOOGLETRANSLATE(A49752, ""de"", ""en"")"),"diagrams")</f>
        <v>diagrams</v>
      </c>
    </row>
    <row r="49753">
      <c r="A49753" s="1" t="s">
        <v>49752</v>
      </c>
      <c r="B49753" s="2" t="str">
        <f>IFERROR(__xludf.DUMMYFUNCTION("GOOGLETRANSLATE(A49753, ""de"", ""en"")"),"miscarriage of justice")</f>
        <v>miscarriage of justice</v>
      </c>
    </row>
    <row r="49754">
      <c r="A49754" s="1" t="s">
        <v>49753</v>
      </c>
      <c r="B49754" s="2" t="str">
        <f>IFERROR(__xludf.DUMMYFUNCTION("GOOGLETRANSLATE(A49754, ""de"", ""en"")"),"shoemaker")</f>
        <v>shoemaker</v>
      </c>
    </row>
    <row r="49755">
      <c r="A49755" s="1" t="s">
        <v>49754</v>
      </c>
      <c r="B49755" s="2" t="str">
        <f>IFERROR(__xludf.DUMMYFUNCTION("GOOGLETRANSLATE(A49755, ""de"", ""en"")"),"permanent position")</f>
        <v>permanent position</v>
      </c>
    </row>
    <row r="49756">
      <c r="A49756" s="1" t="s">
        <v>49755</v>
      </c>
      <c r="B49756" s="2" t="str">
        <f>IFERROR(__xludf.DUMMYFUNCTION("GOOGLETRANSLATE(A49756, ""de"", ""en"")"),"tumor")</f>
        <v>tumor</v>
      </c>
    </row>
    <row r="49757">
      <c r="A49757" s="1" t="s">
        <v>49756</v>
      </c>
      <c r="B49757" s="2" t="str">
        <f>IFERROR(__xludf.DUMMYFUNCTION("GOOGLETRANSLATE(A49757, ""de"", ""en"")"),"ecstatic")</f>
        <v>ecstatic</v>
      </c>
    </row>
    <row r="49758">
      <c r="A49758" s="1" t="s">
        <v>49757</v>
      </c>
      <c r="B49758" s="2" t="str">
        <f>IFERROR(__xludf.DUMMYFUNCTION("GOOGLETRANSLATE(A49758, ""de"", ""en"")"),"tapas")</f>
        <v>tapas</v>
      </c>
    </row>
    <row r="49759">
      <c r="A49759" s="1" t="s">
        <v>49758</v>
      </c>
      <c r="B49759" s="2" t="str">
        <f>IFERROR(__xludf.DUMMYFUNCTION("GOOGLETRANSLATE(A49759, ""de"", ""en"")"),"hjörtur")</f>
        <v>hjörtur</v>
      </c>
    </row>
    <row r="49760">
      <c r="A49760" s="1" t="s">
        <v>49759</v>
      </c>
      <c r="B49760" s="2" t="str">
        <f>IFERROR(__xludf.DUMMYFUNCTION("GOOGLETRANSLATE(A49760, ""de"", ""en"")"),"slate")</f>
        <v>slate</v>
      </c>
    </row>
    <row r="49761">
      <c r="A49761" s="1" t="s">
        <v>49760</v>
      </c>
      <c r="B49761" s="2" t="str">
        <f>IFERROR(__xludf.DUMMYFUNCTION("GOOGLETRANSLATE(A49761, ""de"", ""en"")"),"mijo")</f>
        <v>mijo</v>
      </c>
    </row>
    <row r="49762">
      <c r="A49762" s="1" t="s">
        <v>49761</v>
      </c>
      <c r="B49762" s="2" t="str">
        <f>IFERROR(__xludf.DUMMYFUNCTION("GOOGLETRANSLATE(A49762, ""de"", ""en"")"),"married")</f>
        <v>married</v>
      </c>
    </row>
    <row r="49763">
      <c r="A49763" s="1" t="s">
        <v>49762</v>
      </c>
      <c r="B49763" s="2" t="str">
        <f>IFERROR(__xludf.DUMMYFUNCTION("GOOGLETRANSLATE(A49763, ""de"", ""en"")"),"brand")</f>
        <v>brand</v>
      </c>
    </row>
    <row r="49764">
      <c r="A49764" s="1" t="s">
        <v>49763</v>
      </c>
      <c r="B49764" s="2" t="str">
        <f>IFERROR(__xludf.DUMMYFUNCTION("GOOGLETRANSLATE(A49764, ""de"", ""en"")"),"blame")</f>
        <v>blame</v>
      </c>
    </row>
    <row r="49765">
      <c r="A49765" s="1" t="s">
        <v>49764</v>
      </c>
      <c r="B49765" s="2" t="str">
        <f>IFERROR(__xludf.DUMMYFUNCTION("GOOGLETRANSLATE(A49765, ""de"", ""en"")"),"boyfriend")</f>
        <v>boyfriend</v>
      </c>
    </row>
    <row r="49766">
      <c r="A49766" s="1" t="s">
        <v>49765</v>
      </c>
      <c r="B49766" s="2" t="str">
        <f>IFERROR(__xludf.DUMMYFUNCTION("GOOGLETRANSLATE(A49766, ""de"", ""en"")"),"times one")</f>
        <v>times one</v>
      </c>
    </row>
    <row r="49767">
      <c r="A49767" s="1" t="s">
        <v>49766</v>
      </c>
      <c r="B49767" s="2" t="str">
        <f>IFERROR(__xludf.DUMMYFUNCTION("GOOGLETRANSLATE(A49767, ""de"", ""en"")"),"Bernburg")</f>
        <v>Bernburg</v>
      </c>
    </row>
    <row r="49768">
      <c r="A49768" s="1" t="s">
        <v>49767</v>
      </c>
      <c r="B49768" s="2" t="str">
        <f>IFERROR(__xludf.DUMMYFUNCTION("GOOGLETRANSLATE(A49768, ""de"", ""en"")"),"unseemly")</f>
        <v>unseemly</v>
      </c>
    </row>
    <row r="49769">
      <c r="A49769" s="1" t="s">
        <v>49768</v>
      </c>
      <c r="B49769" s="2" t="str">
        <f>IFERROR(__xludf.DUMMYFUNCTION("GOOGLETRANSLATE(A49769, ""de"", ""en"")"),"take advantage")</f>
        <v>take advantage</v>
      </c>
    </row>
    <row r="49770">
      <c r="A49770" s="1" t="s">
        <v>49769</v>
      </c>
      <c r="B49770" s="2" t="str">
        <f>IFERROR(__xludf.DUMMYFUNCTION("GOOGLETRANSLATE(A49770, ""de"", ""en"")"),"guilt")</f>
        <v>guilt</v>
      </c>
    </row>
    <row r="49771">
      <c r="A49771" s="1" t="s">
        <v>49770</v>
      </c>
      <c r="B49771" s="2" t="str">
        <f>IFERROR(__xludf.DUMMYFUNCTION("GOOGLETRANSLATE(A49771, ""de"", ""en"")"),"walpole")</f>
        <v>walpole</v>
      </c>
    </row>
    <row r="49772">
      <c r="A49772" s="1" t="s">
        <v>49771</v>
      </c>
      <c r="B49772" s="2" t="str">
        <f>IFERROR(__xludf.DUMMYFUNCTION("GOOGLETRANSLATE(A49772, ""de"", ""en"")"),"zachs")</f>
        <v>zachs</v>
      </c>
    </row>
    <row r="49773">
      <c r="A49773" s="1" t="s">
        <v>49772</v>
      </c>
      <c r="B49773" s="2" t="str">
        <f>IFERROR(__xludf.DUMMYFUNCTION("GOOGLETRANSLATE(A49773, ""de"", ""en"")"),"dog biscuits")</f>
        <v>dog biscuits</v>
      </c>
    </row>
    <row r="49774">
      <c r="A49774" s="1" t="s">
        <v>49773</v>
      </c>
      <c r="B49774" s="2" t="str">
        <f>IFERROR(__xludf.DUMMYFUNCTION("GOOGLETRANSLATE(A49774, ""de"", ""en"")"),"Musa")</f>
        <v>Musa</v>
      </c>
    </row>
    <row r="49775">
      <c r="A49775" s="1" t="s">
        <v>49774</v>
      </c>
      <c r="B49775" s="2" t="str">
        <f>IFERROR(__xludf.DUMMYFUNCTION("GOOGLETRANSLATE(A49775, ""de"", ""en"")"),"floating")</f>
        <v>floating</v>
      </c>
    </row>
    <row r="49776">
      <c r="A49776" s="1" t="s">
        <v>49775</v>
      </c>
      <c r="B49776" s="2" t="str">
        <f>IFERROR(__xludf.DUMMYFUNCTION("GOOGLETRANSLATE(A49776, ""de"", ""en"")"),"show-off")</f>
        <v>show-off</v>
      </c>
    </row>
    <row r="49777">
      <c r="A49777" s="1" t="s">
        <v>49776</v>
      </c>
      <c r="B49777" s="2" t="str">
        <f>IFERROR(__xludf.DUMMYFUNCTION("GOOGLETRANSLATE(A49777, ""de"", ""en"")"),"denters")</f>
        <v>denters</v>
      </c>
    </row>
    <row r="49778">
      <c r="A49778" s="1" t="s">
        <v>49777</v>
      </c>
      <c r="B49778" s="2" t="str">
        <f>IFERROR(__xludf.DUMMYFUNCTION("GOOGLETRANSLATE(A49778, ""de"", ""en"")"),"treader")</f>
        <v>treader</v>
      </c>
    </row>
    <row r="49779">
      <c r="A49779" s="1" t="s">
        <v>49778</v>
      </c>
      <c r="B49779" s="2" t="str">
        <f>IFERROR(__xludf.DUMMYFUNCTION("GOOGLETRANSLATE(A49779, ""de"", ""en"")"),"school")</f>
        <v>school</v>
      </c>
    </row>
    <row r="49780">
      <c r="A49780" s="1" t="s">
        <v>49779</v>
      </c>
      <c r="B49780" s="2" t="str">
        <f>IFERROR(__xludf.DUMMYFUNCTION("GOOGLETRANSLATE(A49780, ""de"", ""en"")"),"keita")</f>
        <v>keita</v>
      </c>
    </row>
    <row r="49781">
      <c r="A49781" s="1" t="s">
        <v>49780</v>
      </c>
      <c r="B49781" s="2" t="str">
        <f>IFERROR(__xludf.DUMMYFUNCTION("GOOGLETRANSLATE(A49781, ""de"", ""en"")"),"more conscious")</f>
        <v>more conscious</v>
      </c>
    </row>
    <row r="49782">
      <c r="A49782" s="1" t="s">
        <v>49781</v>
      </c>
      <c r="B49782" s="2" t="str">
        <f>IFERROR(__xludf.DUMMYFUNCTION("GOOGLETRANSLATE(A49782, ""de"", ""en"")"),"stamp")</f>
        <v>stamp</v>
      </c>
    </row>
    <row r="49783">
      <c r="A49783" s="1" t="s">
        <v>49782</v>
      </c>
      <c r="B49783" s="2" t="str">
        <f>IFERROR(__xludf.DUMMYFUNCTION("GOOGLETRANSLATE(A49783, ""de"", ""en"")"),"potions")</f>
        <v>potions</v>
      </c>
    </row>
    <row r="49784">
      <c r="A49784" s="1" t="s">
        <v>49783</v>
      </c>
      <c r="B49784" s="2" t="str">
        <f>IFERROR(__xludf.DUMMYFUNCTION("GOOGLETRANSLATE(A49784, ""de"", ""en"")"),"admittedly")</f>
        <v>admittedly</v>
      </c>
    </row>
    <row r="49785">
      <c r="A49785" s="1" t="s">
        <v>49784</v>
      </c>
      <c r="B49785" s="2" t="str">
        <f>IFERROR(__xludf.DUMMYFUNCTION("GOOGLETRANSLATE(A49785, ""de"", ""en"")"),"gregs")</f>
        <v>gregs</v>
      </c>
    </row>
    <row r="49786">
      <c r="A49786" s="1" t="s">
        <v>49785</v>
      </c>
      <c r="B49786" s="2" t="str">
        <f>IFERROR(__xludf.DUMMYFUNCTION("GOOGLETRANSLATE(A49786, ""de"", ""en"")"),"helper")</f>
        <v>helper</v>
      </c>
    </row>
    <row r="49787">
      <c r="A49787" s="1" t="s">
        <v>49786</v>
      </c>
      <c r="B49787" s="2" t="str">
        <f>IFERROR(__xludf.DUMMYFUNCTION("GOOGLETRANSLATE(A49787, ""de"", ""en"")"),"prepared")</f>
        <v>prepared</v>
      </c>
    </row>
    <row r="49788">
      <c r="A49788" s="1" t="s">
        <v>49787</v>
      </c>
      <c r="B49788" s="2" t="str">
        <f>IFERROR(__xludf.DUMMYFUNCTION("GOOGLETRANSLATE(A49788, ""de"", ""en"")"),"walid")</f>
        <v>walid</v>
      </c>
    </row>
    <row r="49789">
      <c r="A49789" s="1" t="s">
        <v>49788</v>
      </c>
      <c r="B49789" s="2" t="str">
        <f>IFERROR(__xludf.DUMMYFUNCTION("GOOGLETRANSLATE(A49789, ""de"", ""en"")"),"bipolar")</f>
        <v>bipolar</v>
      </c>
    </row>
    <row r="49790">
      <c r="A49790" s="1" t="s">
        <v>49789</v>
      </c>
      <c r="B49790" s="2" t="str">
        <f>IFERROR(__xludf.DUMMYFUNCTION("GOOGLETRANSLATE(A49790, ""de"", ""en"")"),"prednisone")</f>
        <v>prednisone</v>
      </c>
    </row>
    <row r="49791">
      <c r="A49791" s="1" t="s">
        <v>49790</v>
      </c>
      <c r="B49791" s="2" t="str">
        <f>IFERROR(__xludf.DUMMYFUNCTION("GOOGLETRANSLATE(A49791, ""de"", ""en"")"),"cockroach")</f>
        <v>cockroach</v>
      </c>
    </row>
    <row r="49792">
      <c r="A49792" s="1" t="s">
        <v>49791</v>
      </c>
      <c r="B49792" s="2" t="str">
        <f>IFERROR(__xludf.DUMMYFUNCTION("GOOGLETRANSLATE(A49792, ""de"", ""en"")"),"picturesque")</f>
        <v>picturesque</v>
      </c>
    </row>
    <row r="49793">
      <c r="A49793" s="1" t="s">
        <v>49792</v>
      </c>
      <c r="B49793" s="2" t="str">
        <f>IFERROR(__xludf.DUMMYFUNCTION("GOOGLETRANSLATE(A49793, ""de"", ""en"")"),"centimeters")</f>
        <v>centimeters</v>
      </c>
    </row>
    <row r="49794">
      <c r="A49794" s="1" t="s">
        <v>49793</v>
      </c>
      <c r="B49794" s="2" t="str">
        <f>IFERROR(__xludf.DUMMYFUNCTION("GOOGLETRANSLATE(A49794, ""de"", ""en"")"),"mun")</f>
        <v>mun</v>
      </c>
    </row>
    <row r="49795">
      <c r="A49795" s="1" t="s">
        <v>49794</v>
      </c>
      <c r="B49795" s="2" t="str">
        <f>IFERROR(__xludf.DUMMYFUNCTION("GOOGLETRANSLATE(A49795, ""de"", ""en"")"),"vorta")</f>
        <v>vorta</v>
      </c>
    </row>
    <row r="49796">
      <c r="A49796" s="1" t="s">
        <v>49795</v>
      </c>
      <c r="B49796" s="2" t="str">
        <f>IFERROR(__xludf.DUMMYFUNCTION("GOOGLETRANSLATE(A49796, ""de"", ""en"")"),"fritter away")</f>
        <v>fritter away</v>
      </c>
    </row>
    <row r="49797">
      <c r="A49797" s="1" t="s">
        <v>49796</v>
      </c>
      <c r="B49797" s="2" t="str">
        <f>IFERROR(__xludf.DUMMYFUNCTION("GOOGLETRANSLATE(A49797, ""de"", ""en"")"),"most boring")</f>
        <v>most boring</v>
      </c>
    </row>
    <row r="49798">
      <c r="A49798" s="1" t="s">
        <v>49797</v>
      </c>
      <c r="B49798" s="2" t="str">
        <f>IFERROR(__xludf.DUMMYFUNCTION("GOOGLETRANSLATE(A49798, ""de"", ""en"")"),"ultrasound image")</f>
        <v>ultrasound image</v>
      </c>
    </row>
    <row r="49799">
      <c r="A49799" s="1" t="s">
        <v>49798</v>
      </c>
      <c r="B49799" s="2" t="str">
        <f>IFERROR(__xludf.DUMMYFUNCTION("GOOGLETRANSLATE(A49799, ""de"", ""en"")"),"0-negative")</f>
        <v>0-negative</v>
      </c>
    </row>
    <row r="49800">
      <c r="A49800" s="1" t="s">
        <v>49799</v>
      </c>
      <c r="B49800" s="2" t="str">
        <f>IFERROR(__xludf.DUMMYFUNCTION("GOOGLETRANSLATE(A49800, ""de"", ""en"")"),"large space")</f>
        <v>large space</v>
      </c>
    </row>
    <row r="49801">
      <c r="A49801" s="1" t="s">
        <v>49800</v>
      </c>
      <c r="B49801" s="2" t="str">
        <f>IFERROR(__xludf.DUMMYFUNCTION("GOOGLETRANSLATE(A49801, ""de"", ""en"")"),"more scared")</f>
        <v>more scared</v>
      </c>
    </row>
    <row r="49802">
      <c r="A49802" s="1" t="s">
        <v>49801</v>
      </c>
      <c r="B49802" s="2" t="str">
        <f>IFERROR(__xludf.DUMMYFUNCTION("GOOGLETRANSLATE(A49802, ""de"", ""en"")"),"youth hostel")</f>
        <v>youth hostel</v>
      </c>
    </row>
    <row r="49803">
      <c r="A49803" s="1" t="s">
        <v>49802</v>
      </c>
      <c r="B49803" s="2" t="str">
        <f>IFERROR(__xludf.DUMMYFUNCTION("GOOGLETRANSLATE(A49803, ""de"", ""en"")"),"laser beam")</f>
        <v>laser beam</v>
      </c>
    </row>
    <row r="49804">
      <c r="A49804" s="1" t="s">
        <v>49803</v>
      </c>
      <c r="B49804" s="2" t="str">
        <f>IFERROR(__xludf.DUMMYFUNCTION("GOOGLETRANSLATE(A49804, ""de"", ""en"")"),"blood sacrifice")</f>
        <v>blood sacrifice</v>
      </c>
    </row>
    <row r="49805">
      <c r="A49805" s="1" t="s">
        <v>49804</v>
      </c>
      <c r="B49805" s="2" t="str">
        <f>IFERROR(__xludf.DUMMYFUNCTION("GOOGLETRANSLATE(A49805, ""de"", ""en"")"),"creeps")</f>
        <v>creeps</v>
      </c>
    </row>
    <row r="49806">
      <c r="A49806" s="1" t="s">
        <v>49805</v>
      </c>
      <c r="B49806" s="2" t="str">
        <f>IFERROR(__xludf.DUMMYFUNCTION("GOOGLETRANSLATE(A49806, ""de"", ""en"")"),"lesli")</f>
        <v>lesli</v>
      </c>
    </row>
    <row r="49807">
      <c r="A49807" s="1" t="s">
        <v>49806</v>
      </c>
      <c r="B49807" s="2" t="str">
        <f>IFERROR(__xludf.DUMMYFUNCTION("GOOGLETRANSLATE(A49807, ""de"", ""en"")"),"corley")</f>
        <v>corley</v>
      </c>
    </row>
    <row r="49808">
      <c r="A49808" s="1" t="s">
        <v>49807</v>
      </c>
      <c r="B49808" s="2" t="str">
        <f>IFERROR(__xludf.DUMMYFUNCTION("GOOGLETRANSLATE(A49808, ""de"", ""en"")"),"government troops")</f>
        <v>government troops</v>
      </c>
    </row>
    <row r="49809">
      <c r="A49809" s="1" t="s">
        <v>49808</v>
      </c>
      <c r="B49809" s="2" t="str">
        <f>IFERROR(__xludf.DUMMYFUNCTION("GOOGLETRANSLATE(A49809, ""de"", ""en"")"),"dripped")</f>
        <v>dripped</v>
      </c>
    </row>
    <row r="49810">
      <c r="A49810" s="1" t="s">
        <v>49809</v>
      </c>
      <c r="B49810" s="2" t="str">
        <f>IFERROR(__xludf.DUMMYFUNCTION("GOOGLETRANSLATE(A49810, ""de"", ""en"")"),"marvel")</f>
        <v>marvel</v>
      </c>
    </row>
    <row r="49811">
      <c r="A49811" s="1" t="s">
        <v>49810</v>
      </c>
      <c r="B49811" s="2" t="str">
        <f>IFERROR(__xludf.DUMMYFUNCTION("GOOGLETRANSLATE(A49811, ""de"", ""en"")"),"sit together")</f>
        <v>sit together</v>
      </c>
    </row>
    <row r="49812">
      <c r="A49812" s="1" t="s">
        <v>49811</v>
      </c>
      <c r="B49812" s="2" t="str">
        <f>IFERROR(__xludf.DUMMYFUNCTION("GOOGLETRANSLATE(A49812, ""de"", ""en"")"),"Ottawa")</f>
        <v>Ottawa</v>
      </c>
    </row>
    <row r="49813">
      <c r="A49813" s="1" t="s">
        <v>49812</v>
      </c>
      <c r="B49813" s="2" t="str">
        <f>IFERROR(__xludf.DUMMYFUNCTION("GOOGLETRANSLATE(A49813, ""de"", ""en"")"),"smoke weed")</f>
        <v>smoke weed</v>
      </c>
    </row>
    <row r="49814">
      <c r="A49814" s="1" t="s">
        <v>49813</v>
      </c>
      <c r="B49814" s="2" t="str">
        <f>IFERROR(__xludf.DUMMYFUNCTION("GOOGLETRANSLATE(A49814, ""de"", ""en"")"),"knife stab")</f>
        <v>knife stab</v>
      </c>
    </row>
    <row r="49815">
      <c r="A49815" s="1" t="s">
        <v>49814</v>
      </c>
      <c r="B49815" s="2" t="str">
        <f>IFERROR(__xludf.DUMMYFUNCTION("GOOGLETRANSLATE(A49815, ""de"", ""en"")"),"shrapnel")</f>
        <v>shrapnel</v>
      </c>
    </row>
    <row r="49816">
      <c r="A49816" s="1" t="s">
        <v>49815</v>
      </c>
      <c r="B49816" s="2" t="str">
        <f>IFERROR(__xludf.DUMMYFUNCTION("GOOGLETRANSLATE(A49816, ""de"", ""en"")"),"nellies")</f>
        <v>nellies</v>
      </c>
    </row>
    <row r="49817">
      <c r="A49817" s="1" t="s">
        <v>49816</v>
      </c>
      <c r="B49817" s="2" t="str">
        <f>IFERROR(__xludf.DUMMYFUNCTION("GOOGLETRANSLATE(A49817, ""de"", ""en"")"),"leticia")</f>
        <v>leticia</v>
      </c>
    </row>
    <row r="49818">
      <c r="A49818" s="1" t="s">
        <v>49817</v>
      </c>
      <c r="B49818" s="2" t="str">
        <f>IFERROR(__xludf.DUMMYFUNCTION("GOOGLETRANSLATE(A49818, ""de"", ""en"")"),"broussard")</f>
        <v>broussard</v>
      </c>
    </row>
    <row r="49819">
      <c r="A49819" s="1" t="s">
        <v>49818</v>
      </c>
      <c r="B49819" s="2" t="str">
        <f>IFERROR(__xludf.DUMMYFUNCTION("GOOGLETRANSLATE(A49819, ""de"", ""en"")"),"reflect")</f>
        <v>reflect</v>
      </c>
    </row>
    <row r="49820">
      <c r="A49820" s="1" t="s">
        <v>49819</v>
      </c>
      <c r="B49820" s="2" t="str">
        <f>IFERROR(__xludf.DUMMYFUNCTION("GOOGLETRANSLATE(A49820, ""de"", ""en"")"),"Blake")</f>
        <v>Blake</v>
      </c>
    </row>
    <row r="49821">
      <c r="A49821" s="1" t="s">
        <v>49820</v>
      </c>
      <c r="B49821" s="2" t="str">
        <f>IFERROR(__xludf.DUMMYFUNCTION("GOOGLETRANSLATE(A49821, ""de"", ""en"")"),"gossips")</f>
        <v>gossips</v>
      </c>
    </row>
    <row r="49822">
      <c r="A49822" s="1" t="s">
        <v>49821</v>
      </c>
      <c r="B49822" s="2" t="str">
        <f>IFERROR(__xludf.DUMMYFUNCTION("GOOGLETRANSLATE(A49822, ""de"", ""en"")"),"computer games")</f>
        <v>computer games</v>
      </c>
    </row>
    <row r="49823">
      <c r="A49823" s="1" t="s">
        <v>49822</v>
      </c>
      <c r="B49823" s="2" t="str">
        <f>IFERROR(__xludf.DUMMYFUNCTION("GOOGLETRANSLATE(A49823, ""de"", ""en"")"),"skins")</f>
        <v>skins</v>
      </c>
    </row>
    <row r="49824">
      <c r="A49824" s="1" t="s">
        <v>49823</v>
      </c>
      <c r="B49824" s="2" t="str">
        <f>IFERROR(__xludf.DUMMYFUNCTION("GOOGLETRANSLATE(A49824, ""de"", ""en"")"),"fell in")</f>
        <v>fell in</v>
      </c>
    </row>
    <row r="49825">
      <c r="A49825" s="1" t="s">
        <v>49824</v>
      </c>
      <c r="B49825" s="2" t="str">
        <f>IFERROR(__xludf.DUMMYFUNCTION("GOOGLETRANSLATE(A49825, ""de"", ""en"")"),"securities")</f>
        <v>securities</v>
      </c>
    </row>
    <row r="49826">
      <c r="A49826" s="1" t="s">
        <v>49825</v>
      </c>
      <c r="B49826" s="2" t="str">
        <f>IFERROR(__xludf.DUMMYFUNCTION("GOOGLETRANSLATE(A49826, ""de"", ""en"")"),"cornfield")</f>
        <v>cornfield</v>
      </c>
    </row>
    <row r="49827">
      <c r="A49827" s="1" t="s">
        <v>49826</v>
      </c>
      <c r="B49827" s="2" t="str">
        <f>IFERROR(__xludf.DUMMYFUNCTION("GOOGLETRANSLATE(A49827, ""de"", ""en"")"),"Ieb")</f>
        <v>Ieb</v>
      </c>
    </row>
    <row r="49828">
      <c r="A49828" s="1" t="s">
        <v>49827</v>
      </c>
      <c r="B49828" s="2" t="str">
        <f>IFERROR(__xludf.DUMMYFUNCTION("GOOGLETRANSLATE(A49828, ""de"", ""en"")"),"freak out")</f>
        <v>freak out</v>
      </c>
    </row>
    <row r="49829">
      <c r="A49829" s="1" t="s">
        <v>49828</v>
      </c>
      <c r="B49829" s="2" t="str">
        <f>IFERROR(__xludf.DUMMYFUNCTION("GOOGLETRANSLATE(A49829, ""de"", ""en"")"),"foundation walls")</f>
        <v>foundation walls</v>
      </c>
    </row>
    <row r="49830">
      <c r="A49830" s="1" t="s">
        <v>49829</v>
      </c>
      <c r="B49830" s="2" t="str">
        <f>IFERROR(__xludf.DUMMYFUNCTION("GOOGLETRANSLATE(A49830, ""de"", ""en"")"),"stinking")</f>
        <v>stinking</v>
      </c>
    </row>
    <row r="49831">
      <c r="A49831" s="1" t="s">
        <v>49830</v>
      </c>
      <c r="B49831" s="2" t="str">
        <f>IFERROR(__xludf.DUMMYFUNCTION("GOOGLETRANSLATE(A49831, ""de"", ""en"")"),"pow")</f>
        <v>pow</v>
      </c>
    </row>
    <row r="49832">
      <c r="A49832" s="1" t="s">
        <v>49831</v>
      </c>
      <c r="B49832" s="2" t="str">
        <f>IFERROR(__xludf.DUMMYFUNCTION("GOOGLETRANSLATE(A49832, ""de"", ""en"")"),"erskine")</f>
        <v>erskine</v>
      </c>
    </row>
    <row r="49833">
      <c r="A49833" s="1" t="s">
        <v>49832</v>
      </c>
      <c r="B49833" s="2" t="str">
        <f>IFERROR(__xludf.DUMMYFUNCTION("GOOGLETRANSLATE(A49833, ""de"", ""en"")"),"mediocre")</f>
        <v>mediocre</v>
      </c>
    </row>
    <row r="49834">
      <c r="A49834" s="1" t="s">
        <v>49833</v>
      </c>
      <c r="B49834" s="2" t="str">
        <f>IFERROR(__xludf.DUMMYFUNCTION("GOOGLETRANSLATE(A49834, ""de"", ""en"")"),"regatta")</f>
        <v>regatta</v>
      </c>
    </row>
    <row r="49835">
      <c r="A49835" s="1" t="s">
        <v>49834</v>
      </c>
      <c r="B49835" s="2" t="str">
        <f>IFERROR(__xludf.DUMMYFUNCTION("GOOGLETRANSLATE(A49835, ""de"", ""en"")"),"heard")</f>
        <v>heard</v>
      </c>
    </row>
    <row r="49836">
      <c r="A49836" s="1" t="s">
        <v>49835</v>
      </c>
      <c r="B49836" s="2" t="str">
        <f>IFERROR(__xludf.DUMMYFUNCTION("GOOGLETRANSLATE(A49836, ""de"", ""en"")"),"riot")</f>
        <v>riot</v>
      </c>
    </row>
    <row r="49837">
      <c r="A49837" s="1" t="s">
        <v>49836</v>
      </c>
      <c r="B49837" s="2" t="str">
        <f>IFERROR(__xludf.DUMMYFUNCTION("GOOGLETRANSLATE(A49837, ""de"", ""en"")"),"treat")</f>
        <v>treat</v>
      </c>
    </row>
    <row r="49838">
      <c r="A49838" s="1" t="s">
        <v>49837</v>
      </c>
      <c r="B49838" s="2" t="str">
        <f>IFERROR(__xludf.DUMMYFUNCTION("GOOGLETRANSLATE(A49838, ""de"", ""en"")"),"beekeeper")</f>
        <v>beekeeper</v>
      </c>
    </row>
    <row r="49839">
      <c r="A49839" s="1" t="s">
        <v>49838</v>
      </c>
      <c r="B49839" s="2" t="str">
        <f>IFERROR(__xludf.DUMMYFUNCTION("GOOGLETRANSLATE(A49839, ""de"", ""en"")"),"maintenance")</f>
        <v>maintenance</v>
      </c>
    </row>
    <row r="49840">
      <c r="A49840" s="1" t="s">
        <v>49839</v>
      </c>
      <c r="B49840" s="2" t="str">
        <f>IFERROR(__xludf.DUMMYFUNCTION("GOOGLETRANSLATE(A49840, ""de"", ""en"")"),"inefficient")</f>
        <v>inefficient</v>
      </c>
    </row>
    <row r="49841">
      <c r="A49841" s="1" t="s">
        <v>49840</v>
      </c>
      <c r="B49841" s="2" t="str">
        <f>IFERROR(__xludf.DUMMYFUNCTION("GOOGLETRANSLATE(A49841, ""de"", ""en"")"),"brick")</f>
        <v>brick</v>
      </c>
    </row>
    <row r="49842">
      <c r="A49842" s="1" t="s">
        <v>49841</v>
      </c>
      <c r="B49842" s="2" t="str">
        <f>IFERROR(__xludf.DUMMYFUNCTION("GOOGLETRANSLATE(A49842, ""de"", ""en"")"),"prominent")</f>
        <v>prominent</v>
      </c>
    </row>
    <row r="49843">
      <c r="A49843" s="1" t="s">
        <v>49842</v>
      </c>
      <c r="B49843" s="2" t="str">
        <f>IFERROR(__xludf.DUMMYFUNCTION("GOOGLETRANSLATE(A49843, ""de"", ""en"")"),"strike")</f>
        <v>strike</v>
      </c>
    </row>
    <row r="49844">
      <c r="A49844" s="1" t="s">
        <v>49843</v>
      </c>
      <c r="B49844" s="2" t="str">
        <f>IFERROR(__xludf.DUMMYFUNCTION("GOOGLETRANSLATE(A49844, ""de"", ""en"")"),"frown")</f>
        <v>frown</v>
      </c>
    </row>
    <row r="49845">
      <c r="A49845" s="1" t="s">
        <v>49844</v>
      </c>
      <c r="B49845" s="2" t="str">
        <f>IFERROR(__xludf.DUMMYFUNCTION("GOOGLETRANSLATE(A49845, ""de"", ""en"")"),"natura")</f>
        <v>natura</v>
      </c>
    </row>
    <row r="49846">
      <c r="A49846" s="1" t="s">
        <v>49845</v>
      </c>
      <c r="B49846" s="2" t="str">
        <f>IFERROR(__xludf.DUMMYFUNCTION("GOOGLETRANSLATE(A49846, ""de"", ""en"")"),"juma")</f>
        <v>juma</v>
      </c>
    </row>
    <row r="49847">
      <c r="A49847" s="1" t="s">
        <v>49846</v>
      </c>
      <c r="B49847" s="2" t="str">
        <f>IFERROR(__xludf.DUMMYFUNCTION("GOOGLETRANSLATE(A49847, ""de"", ""en"")"),"kiddi")</f>
        <v>kiddi</v>
      </c>
    </row>
    <row r="49848">
      <c r="A49848" s="1" t="s">
        <v>49847</v>
      </c>
      <c r="B49848" s="2" t="str">
        <f>IFERROR(__xludf.DUMMYFUNCTION("GOOGLETRANSLATE(A49848, ""de"", ""en"")"),"hooters")</f>
        <v>hooters</v>
      </c>
    </row>
    <row r="49849">
      <c r="A49849" s="1" t="s">
        <v>49848</v>
      </c>
      <c r="B49849" s="2" t="str">
        <f>IFERROR(__xludf.DUMMYFUNCTION("GOOGLETRANSLATE(A49849, ""de"", ""en"")"),"servant")</f>
        <v>servant</v>
      </c>
    </row>
    <row r="49850">
      <c r="A49850" s="1" t="s">
        <v>49849</v>
      </c>
      <c r="B49850" s="2" t="str">
        <f>IFERROR(__xludf.DUMMYFUNCTION("GOOGLETRANSLATE(A49850, ""de"", ""en"")"),"to put away")</f>
        <v>to put away</v>
      </c>
    </row>
    <row r="49851">
      <c r="A49851" s="1" t="s">
        <v>49850</v>
      </c>
      <c r="B49851" s="2" t="str">
        <f>IFERROR(__xludf.DUMMYFUNCTION("GOOGLETRANSLATE(A49851, ""de"", ""en"")"),"gum")</f>
        <v>gum</v>
      </c>
    </row>
    <row r="49852">
      <c r="A49852" s="1" t="s">
        <v>49851</v>
      </c>
      <c r="B49852" s="2" t="str">
        <f>IFERROR(__xludf.DUMMYFUNCTION("GOOGLETRANSLATE(A49852, ""de"", ""en"")"),"blockbuster")</f>
        <v>blockbuster</v>
      </c>
    </row>
    <row r="49853">
      <c r="A49853" s="1" t="s">
        <v>49852</v>
      </c>
      <c r="B49853" s="2" t="str">
        <f>IFERROR(__xludf.DUMMYFUNCTION("GOOGLETRANSLATE(A49853, ""de"", ""en"")"),"noodles")</f>
        <v>noodles</v>
      </c>
    </row>
    <row r="49854">
      <c r="A49854" s="1" t="s">
        <v>49853</v>
      </c>
      <c r="B49854" s="2" t="str">
        <f>IFERROR(__xludf.DUMMYFUNCTION("GOOGLETRANSLATE(A49854, ""de"", ""en"")"),"canaille")</f>
        <v>canaille</v>
      </c>
    </row>
    <row r="49855">
      <c r="A49855" s="1" t="s">
        <v>49854</v>
      </c>
      <c r="B49855" s="2" t="str">
        <f>IFERROR(__xludf.DUMMYFUNCTION("GOOGLETRANSLATE(A49855, ""de"", ""en"")"),"locate")</f>
        <v>locate</v>
      </c>
    </row>
    <row r="49856">
      <c r="A49856" s="1" t="s">
        <v>49855</v>
      </c>
      <c r="B49856" s="2" t="str">
        <f>IFERROR(__xludf.DUMMYFUNCTION("GOOGLETRANSLATE(A49856, ""de"", ""en"")"),"aid organization")</f>
        <v>aid organization</v>
      </c>
    </row>
    <row r="49857">
      <c r="A49857" s="1" t="s">
        <v>49856</v>
      </c>
      <c r="B49857" s="2" t="str">
        <f>IFERROR(__xludf.DUMMYFUNCTION("GOOGLETRANSLATE(A49857, ""de"", ""en"")"),"donate")</f>
        <v>donate</v>
      </c>
    </row>
    <row r="49858">
      <c r="A49858" s="1" t="s">
        <v>49857</v>
      </c>
      <c r="B49858" s="2" t="str">
        <f>IFERROR(__xludf.DUMMYFUNCTION("GOOGLETRANSLATE(A49858, ""de"", ""en"")"),"debussy")</f>
        <v>debussy</v>
      </c>
    </row>
    <row r="49859">
      <c r="A49859" s="1" t="s">
        <v>49858</v>
      </c>
      <c r="B49859" s="2" t="str">
        <f>IFERROR(__xludf.DUMMYFUNCTION("GOOGLETRANSLATE(A49859, ""de"", ""en"")"),"farmland")</f>
        <v>farmland</v>
      </c>
    </row>
    <row r="49860">
      <c r="A49860" s="1" t="s">
        <v>49859</v>
      </c>
      <c r="B49860" s="2" t="str">
        <f>IFERROR(__xludf.DUMMYFUNCTION("GOOGLETRANSLATE(A49860, ""de"", ""en"")"),"identification papers")</f>
        <v>identification papers</v>
      </c>
    </row>
    <row r="49861">
      <c r="A49861" s="1" t="s">
        <v>49860</v>
      </c>
      <c r="B49861" s="2" t="str">
        <f>IFERROR(__xludf.DUMMYFUNCTION("GOOGLETRANSLATE(A49861, ""de"", ""en"")"),"drakan")</f>
        <v>drakan</v>
      </c>
    </row>
    <row r="49862">
      <c r="A49862" s="1" t="s">
        <v>49861</v>
      </c>
      <c r="B49862" s="2" t="str">
        <f>IFERROR(__xludf.DUMMYFUNCTION("GOOGLETRANSLATE(A49862, ""de"", ""en"")"),"games")</f>
        <v>games</v>
      </c>
    </row>
    <row r="49863">
      <c r="A49863" s="1" t="s">
        <v>49862</v>
      </c>
      <c r="B49863" s="2" t="str">
        <f>IFERROR(__xludf.DUMMYFUNCTION("GOOGLETRANSLATE(A49863, ""de"", ""en"")"),"mondo")</f>
        <v>mondo</v>
      </c>
    </row>
    <row r="49864">
      <c r="A49864" s="1" t="s">
        <v>49863</v>
      </c>
      <c r="B49864" s="2" t="str">
        <f>IFERROR(__xludf.DUMMYFUNCTION("GOOGLETRANSLATE(A49864, ""de"", ""en"")"),"categorically")</f>
        <v>categorically</v>
      </c>
    </row>
    <row r="49865">
      <c r="A49865" s="1" t="s">
        <v>49864</v>
      </c>
      <c r="B49865" s="2" t="str">
        <f>IFERROR(__xludf.DUMMYFUNCTION("GOOGLETRANSLATE(A49865, ""de"", ""en"")"),"racehorses")</f>
        <v>racehorses</v>
      </c>
    </row>
    <row r="49866">
      <c r="A49866" s="1" t="s">
        <v>49865</v>
      </c>
      <c r="B49866" s="2" t="str">
        <f>IFERROR(__xludf.DUMMYFUNCTION("GOOGLETRANSLATE(A49866, ""de"", ""en"")"),"deuce")</f>
        <v>deuce</v>
      </c>
    </row>
    <row r="49867">
      <c r="A49867" s="1" t="s">
        <v>49866</v>
      </c>
      <c r="B49867" s="2" t="str">
        <f>IFERROR(__xludf.DUMMYFUNCTION("GOOGLETRANSLATE(A49867, ""de"", ""en"")"),"ex-girlfriends")</f>
        <v>ex-girlfriends</v>
      </c>
    </row>
    <row r="49868">
      <c r="A49868" s="1" t="s">
        <v>49867</v>
      </c>
      <c r="B49868" s="2" t="str">
        <f>IFERROR(__xludf.DUMMYFUNCTION("GOOGLETRANSLATE(A49868, ""de"", ""en"")"),"disinterest")</f>
        <v>disinterest</v>
      </c>
    </row>
    <row r="49869">
      <c r="A49869" s="1" t="s">
        <v>49868</v>
      </c>
      <c r="B49869" s="2" t="str">
        <f>IFERROR(__xludf.DUMMYFUNCTION("GOOGLETRANSLATE(A49869, ""de"", ""en"")"),"promise")</f>
        <v>promise</v>
      </c>
    </row>
    <row r="49870">
      <c r="A49870" s="1" t="s">
        <v>49869</v>
      </c>
      <c r="B49870" s="2" t="str">
        <f>IFERROR(__xludf.DUMMYFUNCTION("GOOGLETRANSLATE(A49870, ""de"", ""en"")"),"contributed")</f>
        <v>contributed</v>
      </c>
    </row>
    <row r="49871">
      <c r="A49871" s="1" t="s">
        <v>49870</v>
      </c>
      <c r="B49871" s="2" t="str">
        <f>IFERROR(__xludf.DUMMYFUNCTION("GOOGLETRANSLATE(A49871, ""de"", ""en"")"),"willows")</f>
        <v>willows</v>
      </c>
    </row>
    <row r="49872">
      <c r="A49872" s="1" t="s">
        <v>49871</v>
      </c>
      <c r="B49872" s="2" t="str">
        <f>IFERROR(__xludf.DUMMYFUNCTION("GOOGLETRANSLATE(A49872, ""de"", ""en"")"),"ammunition storage")</f>
        <v>ammunition storage</v>
      </c>
    </row>
    <row r="49873">
      <c r="A49873" s="1" t="s">
        <v>49872</v>
      </c>
      <c r="B49873" s="2" t="str">
        <f>IFERROR(__xludf.DUMMYFUNCTION("GOOGLETRANSLATE(A49873, ""de"", ""en"")"),"suburbs")</f>
        <v>suburbs</v>
      </c>
    </row>
    <row r="49874">
      <c r="A49874" s="1" t="s">
        <v>49873</v>
      </c>
      <c r="B49874" s="2" t="str">
        <f>IFERROR(__xludf.DUMMYFUNCTION("GOOGLETRANSLATE(A49874, ""de"", ""en"")"),"escobars")</f>
        <v>escobars</v>
      </c>
    </row>
    <row r="49875">
      <c r="A49875" s="1" t="s">
        <v>49874</v>
      </c>
      <c r="B49875" s="2" t="str">
        <f>IFERROR(__xludf.DUMMYFUNCTION("GOOGLETRANSLATE(A49875, ""de"", ""en"")"),"tschick")</f>
        <v>tschick</v>
      </c>
    </row>
    <row r="49876">
      <c r="A49876" s="1" t="s">
        <v>49875</v>
      </c>
      <c r="B49876" s="2" t="str">
        <f>IFERROR(__xludf.DUMMYFUNCTION("GOOGLETRANSLATE(A49876, ""de"", ""en"")"),"inhibit")</f>
        <v>inhibit</v>
      </c>
    </row>
    <row r="49877">
      <c r="A49877" s="1" t="s">
        <v>49876</v>
      </c>
      <c r="B49877" s="2" t="str">
        <f>IFERROR(__xludf.DUMMYFUNCTION("GOOGLETRANSLATE(A49877, ""de"", ""en"")"),"given away")</f>
        <v>given away</v>
      </c>
    </row>
    <row r="49878">
      <c r="A49878" s="1" t="s">
        <v>49877</v>
      </c>
      <c r="B49878" s="2" t="str">
        <f>IFERROR(__xludf.DUMMYFUNCTION("GOOGLETRANSLATE(A49878, ""de"", ""en"")"),"suck up")</f>
        <v>suck up</v>
      </c>
    </row>
    <row r="49879">
      <c r="A49879" s="1" t="s">
        <v>49878</v>
      </c>
      <c r="B49879" s="2" t="str">
        <f>IFERROR(__xludf.DUMMYFUNCTION("GOOGLETRANSLATE(A49879, ""de"", ""en"")"),"transformed")</f>
        <v>transformed</v>
      </c>
    </row>
    <row r="49880">
      <c r="A49880" s="1" t="s">
        <v>49879</v>
      </c>
      <c r="B49880" s="2" t="str">
        <f>IFERROR(__xludf.DUMMYFUNCTION("GOOGLETRANSLATE(A49880, ""de"", ""en"")"),"Arabic")</f>
        <v>Arabic</v>
      </c>
    </row>
    <row r="49881">
      <c r="A49881" s="1" t="s">
        <v>49880</v>
      </c>
      <c r="B49881" s="2" t="str">
        <f>IFERROR(__xludf.DUMMYFUNCTION("GOOGLETRANSLATE(A49881, ""de"", ""en"")"),"treason")</f>
        <v>treason</v>
      </c>
    </row>
    <row r="49882">
      <c r="A49882" s="1" t="s">
        <v>49881</v>
      </c>
      <c r="B49882" s="2" t="str">
        <f>IFERROR(__xludf.DUMMYFUNCTION("GOOGLETRANSLATE(A49882, ""de"", ""en"")"),"provocative")</f>
        <v>provocative</v>
      </c>
    </row>
    <row r="49883">
      <c r="A49883" s="1" t="s">
        <v>49882</v>
      </c>
      <c r="B49883" s="2" t="str">
        <f>IFERROR(__xludf.DUMMYFUNCTION("GOOGLETRANSLATE(A49883, ""de"", ""en"")"),"pottery")</f>
        <v>pottery</v>
      </c>
    </row>
    <row r="49884">
      <c r="A49884" s="1" t="s">
        <v>49883</v>
      </c>
      <c r="B49884" s="2" t="str">
        <f>IFERROR(__xludf.DUMMYFUNCTION("GOOGLETRANSLATE(A49884, ""de"", ""en"")"),"victorious")</f>
        <v>victorious</v>
      </c>
    </row>
    <row r="49885">
      <c r="A49885" s="1" t="s">
        <v>49884</v>
      </c>
      <c r="B49885" s="2" t="str">
        <f>IFERROR(__xludf.DUMMYFUNCTION("GOOGLETRANSLATE(A49885, ""de"", ""en"")"),"s02e08")</f>
        <v>s02e08</v>
      </c>
    </row>
    <row r="49886">
      <c r="A49886" s="1" t="s">
        <v>49885</v>
      </c>
      <c r="B49886" s="2" t="str">
        <f>IFERROR(__xludf.DUMMYFUNCTION("GOOGLETRANSLATE(A49886, ""de"", ""en"")"),"chouchou")</f>
        <v>chouchou</v>
      </c>
    </row>
    <row r="49887">
      <c r="A49887" s="1" t="s">
        <v>49886</v>
      </c>
      <c r="B49887" s="2" t="str">
        <f>IFERROR(__xludf.DUMMYFUNCTION("GOOGLETRANSLATE(A49887, ""de"", ""en"")"),"Christmas tree")</f>
        <v>Christmas tree</v>
      </c>
    </row>
    <row r="49888">
      <c r="A49888" s="1" t="s">
        <v>49887</v>
      </c>
      <c r="B49888" s="2" t="str">
        <f>IFERROR(__xludf.DUMMYFUNCTION("GOOGLETRANSLATE(A49888, ""de"", ""en"")"),"fishing")</f>
        <v>fishing</v>
      </c>
    </row>
    <row r="49889">
      <c r="A49889" s="1" t="s">
        <v>49888</v>
      </c>
      <c r="B49889" s="2" t="str">
        <f>IFERROR(__xludf.DUMMYFUNCTION("GOOGLETRANSLATE(A49889, ""de"", ""en"")"),"suzu")</f>
        <v>suzu</v>
      </c>
    </row>
    <row r="49890">
      <c r="A49890" s="1" t="s">
        <v>49889</v>
      </c>
      <c r="B49890" s="2" t="str">
        <f>IFERROR(__xludf.DUMMYFUNCTION("GOOGLETRANSLATE(A49890, ""de"", ""en"")"),"mantera")</f>
        <v>mantera</v>
      </c>
    </row>
    <row r="49891">
      <c r="A49891" s="1" t="s">
        <v>49890</v>
      </c>
      <c r="B49891" s="2" t="str">
        <f>IFERROR(__xludf.DUMMYFUNCTION("GOOGLETRANSLATE(A49891, ""de"", ""en"")"),"tiber")</f>
        <v>tiber</v>
      </c>
    </row>
    <row r="49892">
      <c r="A49892" s="1" t="s">
        <v>49891</v>
      </c>
      <c r="B49892" s="2" t="str">
        <f>IFERROR(__xludf.DUMMYFUNCTION("GOOGLETRANSLATE(A49892, ""de"", ""en"")"),"set back")</f>
        <v>set back</v>
      </c>
    </row>
    <row r="49893">
      <c r="A49893" s="1" t="s">
        <v>49892</v>
      </c>
      <c r="B49893" s="2" t="str">
        <f>IFERROR(__xludf.DUMMYFUNCTION("GOOGLETRANSLATE(A49893, ""de"", ""en"")"),"salary level")</f>
        <v>salary level</v>
      </c>
    </row>
    <row r="49894">
      <c r="A49894" s="1" t="s">
        <v>49893</v>
      </c>
      <c r="B49894" s="2" t="str">
        <f>IFERROR(__xludf.DUMMYFUNCTION("GOOGLETRANSLATE(A49894, ""de"", ""en"")"),"starfish")</f>
        <v>starfish</v>
      </c>
    </row>
    <row r="49895">
      <c r="A49895" s="1" t="s">
        <v>49894</v>
      </c>
      <c r="B49895" s="2" t="str">
        <f>IFERROR(__xludf.DUMMYFUNCTION("GOOGLETRANSLATE(A49895, ""de"", ""en"")"),"vial")</f>
        <v>vial</v>
      </c>
    </row>
    <row r="49896">
      <c r="A49896" s="1" t="s">
        <v>49895</v>
      </c>
      <c r="B49896" s="2" t="str">
        <f>IFERROR(__xludf.DUMMYFUNCTION("GOOGLETRANSLATE(A49896, ""de"", ""en"")"),"lifestyle")</f>
        <v>lifestyle</v>
      </c>
    </row>
    <row r="49897">
      <c r="A49897" s="1" t="s">
        <v>49896</v>
      </c>
      <c r="B49897" s="2" t="str">
        <f>IFERROR(__xludf.DUMMYFUNCTION("GOOGLETRANSLATE(A49897, ""de"", ""en"")"),"culling")</f>
        <v>culling</v>
      </c>
    </row>
    <row r="49898">
      <c r="A49898" s="1" t="s">
        <v>49897</v>
      </c>
      <c r="B49898" s="2" t="str">
        <f>IFERROR(__xludf.DUMMYFUNCTION("GOOGLETRANSLATE(A49898, ""de"", ""en"")"),"more social")</f>
        <v>more social</v>
      </c>
    </row>
    <row r="49899">
      <c r="A49899" s="1" t="s">
        <v>49898</v>
      </c>
      <c r="B49899" s="2" t="str">
        <f>IFERROR(__xludf.DUMMYFUNCTION("GOOGLETRANSLATE(A49899, ""de"", ""en"")"),"kika")</f>
        <v>kika</v>
      </c>
    </row>
    <row r="49900">
      <c r="A49900" s="1" t="s">
        <v>49899</v>
      </c>
      <c r="B49900" s="2" t="str">
        <f>IFERROR(__xludf.DUMMYFUNCTION("GOOGLETRANSLATE(A49900, ""de"", ""en"")"),"archers")</f>
        <v>archers</v>
      </c>
    </row>
    <row r="49901">
      <c r="A49901" s="1" t="s">
        <v>49900</v>
      </c>
      <c r="B49901" s="2" t="str">
        <f>IFERROR(__xludf.DUMMYFUNCTION("GOOGLETRANSLATE(A49901, ""de"", ""en"")"),"missteps")</f>
        <v>missteps</v>
      </c>
    </row>
    <row r="49902">
      <c r="A49902" s="1" t="s">
        <v>49901</v>
      </c>
      <c r="B49902" s="2" t="str">
        <f>IFERROR(__xludf.DUMMYFUNCTION("GOOGLETRANSLATE(A49902, ""de"", ""en"")"),"weyland")</f>
        <v>weyland</v>
      </c>
    </row>
    <row r="49903">
      <c r="A49903" s="1" t="s">
        <v>49902</v>
      </c>
      <c r="B49903" s="2" t="str">
        <f>IFERROR(__xludf.DUMMYFUNCTION("GOOGLETRANSLATE(A49903, ""de"", ""en"")"),"sickly")</f>
        <v>sickly</v>
      </c>
    </row>
    <row r="49904">
      <c r="A49904" s="1" t="s">
        <v>49903</v>
      </c>
      <c r="B49904" s="2" t="str">
        <f>IFERROR(__xludf.DUMMYFUNCTION("GOOGLETRANSLATE(A49904, ""de"", ""en"")"),"keel")</f>
        <v>keel</v>
      </c>
    </row>
    <row r="49905">
      <c r="A49905" s="1" t="s">
        <v>49904</v>
      </c>
      <c r="B49905" s="2" t="str">
        <f>IFERROR(__xludf.DUMMYFUNCTION("GOOGLETRANSLATE(A49905, ""de"", ""en"")"),"jewelry store")</f>
        <v>jewelry store</v>
      </c>
    </row>
    <row r="49906">
      <c r="A49906" s="1" t="s">
        <v>49905</v>
      </c>
      <c r="B49906" s="2" t="str">
        <f>IFERROR(__xludf.DUMMYFUNCTION("GOOGLETRANSLATE(A49906, ""de"", ""en"")"),"brothers in arms")</f>
        <v>brothers in arms</v>
      </c>
    </row>
    <row r="49907">
      <c r="A49907" s="1" t="s">
        <v>49906</v>
      </c>
      <c r="B49907" s="2" t="str">
        <f>IFERROR(__xludf.DUMMYFUNCTION("GOOGLETRANSLATE(A49907, ""de"", ""en"")"),"representative")</f>
        <v>representative</v>
      </c>
    </row>
    <row r="49908">
      <c r="A49908" s="1" t="s">
        <v>49907</v>
      </c>
      <c r="B49908" s="2" t="str">
        <f>IFERROR(__xludf.DUMMYFUNCTION("GOOGLETRANSLATE(A49908, ""de"", ""en"")"),"brunel")</f>
        <v>brunel</v>
      </c>
    </row>
    <row r="49909">
      <c r="A49909" s="1" t="s">
        <v>49908</v>
      </c>
      <c r="B49909" s="2" t="str">
        <f>IFERROR(__xludf.DUMMYFUNCTION("GOOGLETRANSLATE(A49909, ""de"", ""en"")"),"refuge")</f>
        <v>refuge</v>
      </c>
    </row>
    <row r="49910">
      <c r="A49910" s="1" t="s">
        <v>49909</v>
      </c>
      <c r="B49910" s="2" t="str">
        <f>IFERROR(__xludf.DUMMYFUNCTION("GOOGLETRANSLATE(A49910, ""de"", ""en"")"),"Dothraki")</f>
        <v>Dothraki</v>
      </c>
    </row>
    <row r="49911">
      <c r="A49911" s="1" t="s">
        <v>49910</v>
      </c>
      <c r="B49911" s="2" t="str">
        <f>IFERROR(__xludf.DUMMYFUNCTION("GOOGLETRANSLATE(A49911, ""de"", ""en"")"),"zoe")</f>
        <v>zoe</v>
      </c>
    </row>
    <row r="49912">
      <c r="A49912" s="1" t="s">
        <v>49911</v>
      </c>
      <c r="B49912" s="2" t="str">
        <f>IFERROR(__xludf.DUMMYFUNCTION("GOOGLETRANSLATE(A49912, ""de"", ""en"")"),"tortilla")</f>
        <v>tortilla</v>
      </c>
    </row>
    <row r="49913">
      <c r="A49913" s="1" t="s">
        <v>49912</v>
      </c>
      <c r="B49913" s="2" t="str">
        <f>IFERROR(__xludf.DUMMYFUNCTION("GOOGLETRANSLATE(A49913, ""de"", ""en"")"),"suites")</f>
        <v>suites</v>
      </c>
    </row>
    <row r="49914">
      <c r="A49914" s="1" t="s">
        <v>49913</v>
      </c>
      <c r="B49914" s="2" t="str">
        <f>IFERROR(__xludf.DUMMYFUNCTION("GOOGLETRANSLATE(A49914, ""de"", ""en"")"),"one-room apartment")</f>
        <v>one-room apartment</v>
      </c>
    </row>
    <row r="49915">
      <c r="A49915" s="1" t="s">
        <v>49914</v>
      </c>
      <c r="B49915" s="2" t="str">
        <f>IFERROR(__xludf.DUMMYFUNCTION("GOOGLETRANSLATE(A49915, ""de"", ""en"")"),"lead")</f>
        <v>lead</v>
      </c>
    </row>
    <row r="49916">
      <c r="A49916" s="1" t="s">
        <v>49915</v>
      </c>
      <c r="B49916" s="2" t="str">
        <f>IFERROR(__xludf.DUMMYFUNCTION("GOOGLETRANSLATE(A49916, ""de"", ""en"")"),"drug lord")</f>
        <v>drug lord</v>
      </c>
    </row>
    <row r="49917">
      <c r="A49917" s="1" t="s">
        <v>49916</v>
      </c>
      <c r="B49917" s="2" t="str">
        <f>IFERROR(__xludf.DUMMYFUNCTION("GOOGLETRANSLATE(A49917, ""de"", ""en"")"),"shol")</f>
        <v>shol</v>
      </c>
    </row>
    <row r="49918">
      <c r="A49918" s="1" t="s">
        <v>49917</v>
      </c>
      <c r="B49918" s="2" t="str">
        <f>IFERROR(__xludf.DUMMYFUNCTION("GOOGLETRANSLATE(A49918, ""de"", ""en"")"),"was imminent")</f>
        <v>was imminent</v>
      </c>
    </row>
    <row r="49919">
      <c r="A49919" s="1" t="s">
        <v>49918</v>
      </c>
      <c r="B49919" s="2" t="str">
        <f>IFERROR(__xludf.DUMMYFUNCTION("GOOGLETRANSLATE(A49919, ""de"", ""en"")"),"throttle")</f>
        <v>throttle</v>
      </c>
    </row>
    <row r="49920">
      <c r="A49920" s="1" t="s">
        <v>49919</v>
      </c>
      <c r="B49920" s="2" t="str">
        <f>IFERROR(__xludf.DUMMYFUNCTION("GOOGLETRANSLATE(A49920, ""de"", ""en"")"),"vigilance")</f>
        <v>vigilance</v>
      </c>
    </row>
    <row r="49921">
      <c r="A49921" s="1" t="s">
        <v>49920</v>
      </c>
      <c r="B49921" s="2" t="str">
        <f>IFERROR(__xludf.DUMMYFUNCTION("GOOGLETRANSLATE(A49921, ""de"", ""en"")"),"dic")</f>
        <v>dic</v>
      </c>
    </row>
    <row r="49922">
      <c r="A49922" s="1" t="s">
        <v>49921</v>
      </c>
      <c r="B49922" s="2" t="str">
        <f>IFERROR(__xludf.DUMMYFUNCTION("GOOGLETRANSLATE(A49922, ""de"", ""en"")"),"leto")</f>
        <v>leto</v>
      </c>
    </row>
    <row r="49923">
      <c r="A49923" s="1" t="s">
        <v>49922</v>
      </c>
      <c r="B49923" s="2" t="str">
        <f>IFERROR(__xludf.DUMMYFUNCTION("GOOGLETRANSLATE(A49923, ""de"", ""en"")"),"paternal side")</f>
        <v>paternal side</v>
      </c>
    </row>
    <row r="49924">
      <c r="A49924" s="1" t="s">
        <v>49923</v>
      </c>
      <c r="B49924" s="2" t="str">
        <f>IFERROR(__xludf.DUMMYFUNCTION("GOOGLETRANSLATE(A49924, ""de"", ""en"")"),"grandfathers")</f>
        <v>grandfathers</v>
      </c>
    </row>
    <row r="49925">
      <c r="A49925" s="1" t="s">
        <v>49924</v>
      </c>
      <c r="B49925" s="2" t="str">
        <f>IFERROR(__xludf.DUMMYFUNCTION("GOOGLETRANSLATE(A49925, ""de"", ""en"")"),"pass")</f>
        <v>pass</v>
      </c>
    </row>
    <row r="49926">
      <c r="A49926" s="1" t="s">
        <v>49925</v>
      </c>
      <c r="B49926" s="2" t="str">
        <f>IFERROR(__xludf.DUMMYFUNCTION("GOOGLETRANSLATE(A49926, ""de"", ""en"")"),"tower")</f>
        <v>tower</v>
      </c>
    </row>
    <row r="49927">
      <c r="A49927" s="1" t="s">
        <v>49926</v>
      </c>
      <c r="B49927" s="2" t="str">
        <f>IFERROR(__xludf.DUMMYFUNCTION("GOOGLETRANSLATE(A49927, ""de"", ""en"")"),"rutland")</f>
        <v>rutland</v>
      </c>
    </row>
    <row r="49928">
      <c r="A49928" s="1" t="s">
        <v>49927</v>
      </c>
      <c r="B49928" s="2" t="str">
        <f>IFERROR(__xludf.DUMMYFUNCTION("GOOGLETRANSLATE(A49928, ""de"", ""en"")"),"doubtful")</f>
        <v>doubtful</v>
      </c>
    </row>
    <row r="49929">
      <c r="A49929" s="1" t="s">
        <v>49928</v>
      </c>
      <c r="B49929" s="2" t="str">
        <f>IFERROR(__xludf.DUMMYFUNCTION("GOOGLETRANSLATE(A49929, ""de"", ""en"")"),"troll market")</f>
        <v>troll market</v>
      </c>
    </row>
    <row r="49930">
      <c r="A49930" s="1" t="s">
        <v>49929</v>
      </c>
      <c r="B49930" s="2" t="str">
        <f>IFERROR(__xludf.DUMMYFUNCTION("GOOGLETRANSLATE(A49930, ""de"", ""en"")"),"mckernon")</f>
        <v>mckernon</v>
      </c>
    </row>
    <row r="49931">
      <c r="A49931" s="1" t="s">
        <v>49930</v>
      </c>
      <c r="B49931" s="2" t="str">
        <f>IFERROR(__xludf.DUMMYFUNCTION("GOOGLETRANSLATE(A49931, ""de"", ""en"")"),"doggy")</f>
        <v>doggy</v>
      </c>
    </row>
    <row r="49932">
      <c r="A49932" s="1" t="s">
        <v>49931</v>
      </c>
      <c r="B49932" s="2" t="str">
        <f>IFERROR(__xludf.DUMMYFUNCTION("GOOGLETRANSLATE(A49932, ""de"", ""en"")"),"folke")</f>
        <v>folke</v>
      </c>
    </row>
    <row r="49933">
      <c r="A49933" s="1" t="s">
        <v>49932</v>
      </c>
      <c r="B49933" s="2" t="str">
        <f>IFERROR(__xludf.DUMMYFUNCTION("GOOGLETRANSLATE(A49933, ""de"", ""en"")"),"buyer")</f>
        <v>buyer</v>
      </c>
    </row>
    <row r="49934">
      <c r="A49934" s="1" t="s">
        <v>49933</v>
      </c>
      <c r="B49934" s="2" t="str">
        <f>IFERROR(__xludf.DUMMYFUNCTION("GOOGLETRANSLATE(A49934, ""de"", ""en"")"),"starvation wages")</f>
        <v>starvation wages</v>
      </c>
    </row>
    <row r="49935">
      <c r="A49935" s="1" t="s">
        <v>49934</v>
      </c>
      <c r="B49935" s="2" t="str">
        <f>IFERROR(__xludf.DUMMYFUNCTION("GOOGLETRANSLATE(A49935, ""de"", ""en"")"),"oe")</f>
        <v>oe</v>
      </c>
    </row>
    <row r="49936">
      <c r="A49936" s="1" t="s">
        <v>49935</v>
      </c>
      <c r="B49936" s="2" t="str">
        <f>IFERROR(__xludf.DUMMYFUNCTION("GOOGLETRANSLATE(A49936, ""de"", ""en"")"),"table manners")</f>
        <v>table manners</v>
      </c>
    </row>
    <row r="49937">
      <c r="A49937" s="1" t="s">
        <v>49936</v>
      </c>
      <c r="B49937" s="2" t="str">
        <f>IFERROR(__xludf.DUMMYFUNCTION("GOOGLETRANSLATE(A49937, ""de"", ""en"")"),"take in")</f>
        <v>take in</v>
      </c>
    </row>
    <row r="49938">
      <c r="A49938" s="1" t="s">
        <v>49937</v>
      </c>
      <c r="B49938" s="2" t="str">
        <f>IFERROR(__xludf.DUMMYFUNCTION("GOOGLETRANSLATE(A49938, ""de"", ""en"")"),"procure")</f>
        <v>procure</v>
      </c>
    </row>
    <row r="49939">
      <c r="A49939" s="1" t="s">
        <v>49938</v>
      </c>
      <c r="B49939" s="2" t="str">
        <f>IFERROR(__xludf.DUMMYFUNCTION("GOOGLETRANSLATE(A49939, ""de"", ""en"")"),"speed dial")</f>
        <v>speed dial</v>
      </c>
    </row>
    <row r="49940">
      <c r="A49940" s="1" t="s">
        <v>49939</v>
      </c>
      <c r="B49940" s="2" t="str">
        <f>IFERROR(__xludf.DUMMYFUNCTION("GOOGLETRANSLATE(A49940, ""de"", ""en"")"),"adjective")</f>
        <v>adjective</v>
      </c>
    </row>
    <row r="49941">
      <c r="A49941" s="1" t="s">
        <v>49940</v>
      </c>
      <c r="B49941" s="2" t="str">
        <f>IFERROR(__xludf.DUMMYFUNCTION("GOOGLETRANSLATE(A49941, ""de"", ""en"")"),"effort")</f>
        <v>effort</v>
      </c>
    </row>
    <row r="49942">
      <c r="A49942" s="1" t="s">
        <v>49941</v>
      </c>
      <c r="B49942" s="2" t="str">
        <f>IFERROR(__xludf.DUMMYFUNCTION("GOOGLETRANSLATE(A49942, ""de"", ""en"")"),"infantry")</f>
        <v>infantry</v>
      </c>
    </row>
    <row r="49943">
      <c r="A49943" s="1" t="s">
        <v>49942</v>
      </c>
      <c r="B49943" s="2" t="str">
        <f>IFERROR(__xludf.DUMMYFUNCTION("GOOGLETRANSLATE(A49943, ""de"", ""en"")"),"quixote")</f>
        <v>quixote</v>
      </c>
    </row>
    <row r="49944">
      <c r="A49944" s="1" t="s">
        <v>49943</v>
      </c>
      <c r="B49944" s="2" t="str">
        <f>IFERROR(__xludf.DUMMYFUNCTION("GOOGLETRANSLATE(A49944, ""de"", ""en"")"),"Frenchie")</f>
        <v>Frenchie</v>
      </c>
    </row>
    <row r="49945">
      <c r="A49945" s="1" t="s">
        <v>49944</v>
      </c>
      <c r="B49945" s="2" t="str">
        <f>IFERROR(__xludf.DUMMYFUNCTION("GOOGLETRANSLATE(A49945, ""de"", ""en"")"),"write")</f>
        <v>write</v>
      </c>
    </row>
    <row r="49946">
      <c r="A49946" s="1" t="s">
        <v>49945</v>
      </c>
      <c r="B49946" s="2" t="str">
        <f>IFERROR(__xludf.DUMMYFUNCTION("GOOGLETRANSLATE(A49946, ""de"", ""en"")"),"obesity")</f>
        <v>obesity</v>
      </c>
    </row>
    <row r="49947">
      <c r="A49947" s="1" t="s">
        <v>49946</v>
      </c>
      <c r="B49947" s="2" t="str">
        <f>IFERROR(__xludf.DUMMYFUNCTION("GOOGLETRANSLATE(A49947, ""de"", ""en"")"),"sewn in")</f>
        <v>sewn in</v>
      </c>
    </row>
    <row r="49948">
      <c r="A49948" s="1" t="s">
        <v>49947</v>
      </c>
      <c r="B49948" s="2" t="str">
        <f>IFERROR(__xludf.DUMMYFUNCTION("GOOGLETRANSLATE(A49948, ""de"", ""en"")"),"attempts at rapprochement")</f>
        <v>attempts at rapprochement</v>
      </c>
    </row>
    <row r="49949">
      <c r="A49949" s="1" t="s">
        <v>49948</v>
      </c>
      <c r="B49949" s="2" t="str">
        <f>IFERROR(__xludf.DUMMYFUNCTION("GOOGLETRANSLATE(A49949, ""de"", ""en"")"),"Mandalay")</f>
        <v>Mandalay</v>
      </c>
    </row>
    <row r="49950">
      <c r="A49950" s="1" t="s">
        <v>49949</v>
      </c>
      <c r="B49950" s="2" t="str">
        <f>IFERROR(__xludf.DUMMYFUNCTION("GOOGLETRANSLATE(A49950, ""de"", ""en"")"),"equivalent")</f>
        <v>equivalent</v>
      </c>
    </row>
    <row r="49951">
      <c r="A49951" s="1" t="s">
        <v>49950</v>
      </c>
      <c r="B49951" s="2" t="str">
        <f>IFERROR(__xludf.DUMMYFUNCTION("GOOGLETRANSLATE(A49951, ""de"", ""en"")"),"more bitter")</f>
        <v>more bitter</v>
      </c>
    </row>
    <row r="49952">
      <c r="A49952" s="1" t="s">
        <v>49951</v>
      </c>
      <c r="B49952" s="2" t="str">
        <f>IFERROR(__xludf.DUMMYFUNCTION("GOOGLETRANSLATE(A49952, ""de"", ""en"")"),"dardo")</f>
        <v>dardo</v>
      </c>
    </row>
    <row r="49953">
      <c r="A49953" s="1" t="s">
        <v>49952</v>
      </c>
      <c r="B49953" s="2" t="str">
        <f>IFERROR(__xludf.DUMMYFUNCTION("GOOGLETRANSLATE(A49953, ""de"", ""en"")"),"name tags")</f>
        <v>name tags</v>
      </c>
    </row>
    <row r="49954">
      <c r="A49954" s="1" t="s">
        <v>49953</v>
      </c>
      <c r="B49954" s="2" t="str">
        <f>IFERROR(__xludf.DUMMYFUNCTION("GOOGLETRANSLATE(A49954, ""de"", ""en"")"),"car number")</f>
        <v>car number</v>
      </c>
    </row>
    <row r="49955">
      <c r="A49955" s="1" t="s">
        <v>49954</v>
      </c>
      <c r="B49955" s="2" t="str">
        <f>IFERROR(__xludf.DUMMYFUNCTION("GOOGLETRANSLATE(A49955, ""de"", ""en"")"),"hanlon")</f>
        <v>hanlon</v>
      </c>
    </row>
    <row r="49956">
      <c r="A49956" s="1" t="s">
        <v>49955</v>
      </c>
      <c r="B49956" s="2" t="str">
        <f>IFERROR(__xludf.DUMMYFUNCTION("GOOGLETRANSLATE(A49956, ""de"", ""en"")"),"consultation")</f>
        <v>consultation</v>
      </c>
    </row>
    <row r="49957">
      <c r="A49957" s="1" t="s">
        <v>49956</v>
      </c>
      <c r="B49957" s="2" t="str">
        <f>IFERROR(__xludf.DUMMYFUNCTION("GOOGLETRANSLATE(A49957, ""de"", ""en"")"),"hinton")</f>
        <v>hinton</v>
      </c>
    </row>
    <row r="49958">
      <c r="A49958" s="1" t="s">
        <v>49957</v>
      </c>
      <c r="B49958" s="2" t="str">
        <f>IFERROR(__xludf.DUMMYFUNCTION("GOOGLETRANSLATE(A49958, ""de"", ""en"")"),"follow up")</f>
        <v>follow up</v>
      </c>
    </row>
    <row r="49959">
      <c r="A49959" s="1" t="s">
        <v>49958</v>
      </c>
      <c r="B49959" s="2" t="str">
        <f>IFERROR(__xludf.DUMMYFUNCTION("GOOGLETRANSLATE(A49959, ""de"", ""en"")"),"chief financial officer")</f>
        <v>chief financial officer</v>
      </c>
    </row>
    <row r="49960">
      <c r="A49960" s="1" t="s">
        <v>49959</v>
      </c>
      <c r="B49960" s="2" t="str">
        <f>IFERROR(__xludf.DUMMYFUNCTION("GOOGLETRANSLATE(A49960, ""de"", ""en"")"),"caridad")</f>
        <v>caridad</v>
      </c>
    </row>
    <row r="49961">
      <c r="A49961" s="1" t="s">
        <v>49960</v>
      </c>
      <c r="B49961" s="2" t="str">
        <f>IFERROR(__xludf.DUMMYFUNCTION("GOOGLETRANSLATE(A49961, ""de"", ""en"")"),"rappel")</f>
        <v>rappel</v>
      </c>
    </row>
    <row r="49962">
      <c r="A49962" s="1" t="s">
        <v>49961</v>
      </c>
      <c r="B49962" s="2" t="str">
        <f>IFERROR(__xludf.DUMMYFUNCTION("GOOGLETRANSLATE(A49962, ""de"", ""en"")"),"executed")</f>
        <v>executed</v>
      </c>
    </row>
    <row r="49963">
      <c r="A49963" s="1" t="s">
        <v>49962</v>
      </c>
      <c r="B49963" s="2" t="str">
        <f>IFERROR(__xludf.DUMMYFUNCTION("GOOGLETRANSLATE(A49963, ""de"", ""en"")"),"macey")</f>
        <v>macey</v>
      </c>
    </row>
    <row r="49964">
      <c r="A49964" s="1" t="s">
        <v>49963</v>
      </c>
      <c r="B49964" s="2" t="str">
        <f>IFERROR(__xludf.DUMMYFUNCTION("GOOGLETRANSLATE(A49964, ""de"", ""en"")"),"hormone")</f>
        <v>hormone</v>
      </c>
    </row>
    <row r="49965">
      <c r="A49965" s="1" t="s">
        <v>49964</v>
      </c>
      <c r="B49965" s="2" t="str">
        <f>IFERROR(__xludf.DUMMYFUNCTION("GOOGLETRANSLATE(A49965, ""de"", ""en"")"),"manipulate")</f>
        <v>manipulate</v>
      </c>
    </row>
    <row r="49966">
      <c r="A49966" s="1" t="s">
        <v>49965</v>
      </c>
      <c r="B49966" s="2" t="str">
        <f>IFERROR(__xludf.DUMMYFUNCTION("GOOGLETRANSLATE(A49966, ""de"", ""en"")"),"poach")</f>
        <v>poach</v>
      </c>
    </row>
    <row r="49967">
      <c r="A49967" s="1" t="s">
        <v>49966</v>
      </c>
      <c r="B49967" s="2" t="str">
        <f>IFERROR(__xludf.DUMMYFUNCTION("GOOGLETRANSLATE(A49967, ""de"", ""en"")"),"brain damage")</f>
        <v>brain damage</v>
      </c>
    </row>
    <row r="49968">
      <c r="A49968" s="1" t="s">
        <v>49967</v>
      </c>
      <c r="B49968" s="2" t="str">
        <f>IFERROR(__xludf.DUMMYFUNCTION("GOOGLETRANSLATE(A49968, ""de"", ""en"")"),"evening wear")</f>
        <v>evening wear</v>
      </c>
    </row>
    <row r="49969">
      <c r="A49969" s="1" t="s">
        <v>49968</v>
      </c>
      <c r="B49969" s="2" t="str">
        <f>IFERROR(__xludf.DUMMYFUNCTION("GOOGLETRANSLATE(A49969, ""de"", ""en"")"),"single cell")</f>
        <v>single cell</v>
      </c>
    </row>
    <row r="49970">
      <c r="A49970" s="1" t="s">
        <v>49969</v>
      </c>
      <c r="B49970" s="2" t="str">
        <f>IFERROR(__xludf.DUMMYFUNCTION("GOOGLETRANSLATE(A49970, ""de"", ""en"")"),"flat")</f>
        <v>flat</v>
      </c>
    </row>
    <row r="49971">
      <c r="A49971" s="1" t="s">
        <v>49970</v>
      </c>
      <c r="B49971" s="2" t="str">
        <f>IFERROR(__xludf.DUMMYFUNCTION("GOOGLETRANSLATE(A49971, ""de"", ""en"")"),"defuse")</f>
        <v>defuse</v>
      </c>
    </row>
    <row r="49972">
      <c r="A49972" s="1" t="s">
        <v>49971</v>
      </c>
      <c r="B49972" s="2" t="str">
        <f>IFERROR(__xludf.DUMMYFUNCTION("GOOGLETRANSLATE(A49972, ""de"", ""en"")"),"humble")</f>
        <v>humble</v>
      </c>
    </row>
    <row r="49973">
      <c r="A49973" s="1" t="s">
        <v>49972</v>
      </c>
      <c r="B49973" s="2" t="str">
        <f>IFERROR(__xludf.DUMMYFUNCTION("GOOGLETRANSLATE(A49973, ""de"", ""en"")"),"wills")</f>
        <v>wills</v>
      </c>
    </row>
    <row r="49974">
      <c r="A49974" s="1" t="s">
        <v>49973</v>
      </c>
      <c r="B49974" s="2" t="str">
        <f>IFERROR(__xludf.DUMMYFUNCTION("GOOGLETRANSLATE(A49974, ""de"", ""en"")"),"shy")</f>
        <v>shy</v>
      </c>
    </row>
    <row r="49975">
      <c r="A49975" s="1" t="s">
        <v>49974</v>
      </c>
      <c r="B49975" s="2" t="str">
        <f>IFERROR(__xludf.DUMMYFUNCTION("GOOGLETRANSLATE(A49975, ""de"", ""en"")"),"redesign")</f>
        <v>redesign</v>
      </c>
    </row>
    <row r="49976">
      <c r="A49976" s="1" t="s">
        <v>49975</v>
      </c>
      <c r="B49976" s="2" t="str">
        <f>IFERROR(__xludf.DUMMYFUNCTION("GOOGLETRANSLATE(A49976, ""de"", ""en"")"),"to trick")</f>
        <v>to trick</v>
      </c>
    </row>
    <row r="49977">
      <c r="A49977" s="1" t="s">
        <v>49976</v>
      </c>
      <c r="B49977" s="2" t="str">
        <f>IFERROR(__xludf.DUMMYFUNCTION("GOOGLETRANSLATE(A49977, ""de"", ""en"")"),"aptitude test")</f>
        <v>aptitude test</v>
      </c>
    </row>
    <row r="49978">
      <c r="A49978" s="1" t="s">
        <v>49977</v>
      </c>
      <c r="B49978" s="2" t="str">
        <f>IFERROR(__xludf.DUMMYFUNCTION("GOOGLETRANSLATE(A49978, ""de"", ""en"")"),"spoils of war")</f>
        <v>spoils of war</v>
      </c>
    </row>
    <row r="49979">
      <c r="A49979" s="1" t="s">
        <v>49978</v>
      </c>
      <c r="B49979" s="2" t="str">
        <f>IFERROR(__xludf.DUMMYFUNCTION("GOOGLETRANSLATE(A49979, ""de"", ""en"")"),"music teacher")</f>
        <v>music teacher</v>
      </c>
    </row>
    <row r="49980">
      <c r="A49980" s="1" t="s">
        <v>49979</v>
      </c>
      <c r="B49980" s="2" t="str">
        <f>IFERROR(__xludf.DUMMYFUNCTION("GOOGLETRANSLATE(A49980, ""de"", ""en"")"),"baelish")</f>
        <v>baelish</v>
      </c>
    </row>
    <row r="49981">
      <c r="A49981" s="1" t="s">
        <v>49980</v>
      </c>
      <c r="B49981" s="2" t="str">
        <f>IFERROR(__xludf.DUMMYFUNCTION("GOOGLETRANSLATE(A49981, ""de"", ""en"")"),"results")</f>
        <v>results</v>
      </c>
    </row>
    <row r="49982">
      <c r="A49982" s="1" t="s">
        <v>49981</v>
      </c>
      <c r="B49982" s="2" t="str">
        <f>IFERROR(__xludf.DUMMYFUNCTION("GOOGLETRANSLATE(A49982, ""de"", ""en"")"),"pack away")</f>
        <v>pack away</v>
      </c>
    </row>
    <row r="49983">
      <c r="A49983" s="1" t="s">
        <v>49982</v>
      </c>
      <c r="B49983" s="2" t="str">
        <f>IFERROR(__xludf.DUMMYFUNCTION("GOOGLETRANSLATE(A49983, ""de"", ""en"")"),"pests")</f>
        <v>pests</v>
      </c>
    </row>
    <row r="49984">
      <c r="A49984" s="1" t="s">
        <v>49983</v>
      </c>
      <c r="B49984" s="2" t="str">
        <f>IFERROR(__xludf.DUMMYFUNCTION("GOOGLETRANSLATE(A49984, ""de"", ""en"")"),"supercomputer")</f>
        <v>supercomputer</v>
      </c>
    </row>
    <row r="49985">
      <c r="A49985" s="1" t="s">
        <v>49984</v>
      </c>
      <c r="B49985" s="2" t="str">
        <f>IFERROR(__xludf.DUMMYFUNCTION("GOOGLETRANSLATE(A49985, ""de"", ""en"")"),"talby")</f>
        <v>talby</v>
      </c>
    </row>
    <row r="49986">
      <c r="A49986" s="1" t="s">
        <v>49985</v>
      </c>
      <c r="B49986" s="2" t="str">
        <f>IFERROR(__xludf.DUMMYFUNCTION("GOOGLETRANSLATE(A49986, ""de"", ""en"")"),"innermost")</f>
        <v>innermost</v>
      </c>
    </row>
    <row r="49987">
      <c r="A49987" s="1" t="s">
        <v>49986</v>
      </c>
      <c r="B49987" s="2" t="str">
        <f>IFERROR(__xludf.DUMMYFUNCTION("GOOGLETRANSLATE(A49987, ""de"", ""en"")"),"ranger")</f>
        <v>ranger</v>
      </c>
    </row>
    <row r="49988">
      <c r="A49988" s="1" t="s">
        <v>49987</v>
      </c>
      <c r="B49988" s="2" t="str">
        <f>IFERROR(__xludf.DUMMYFUNCTION("GOOGLETRANSLATE(A49988, ""de"", ""en"")"),"ration")</f>
        <v>ration</v>
      </c>
    </row>
    <row r="49989">
      <c r="A49989" s="1" t="s">
        <v>49988</v>
      </c>
      <c r="B49989" s="2" t="str">
        <f>IFERROR(__xludf.DUMMYFUNCTION("GOOGLETRANSLATE(A49989, ""de"", ""en"")"),"quad")</f>
        <v>quad</v>
      </c>
    </row>
    <row r="49990">
      <c r="A49990" s="1" t="s">
        <v>49989</v>
      </c>
      <c r="B49990" s="2" t="str">
        <f>IFERROR(__xludf.DUMMYFUNCTION("GOOGLETRANSLATE(A49990, ""de"", ""en"")"),"desolate")</f>
        <v>desolate</v>
      </c>
    </row>
    <row r="49991">
      <c r="A49991" s="1" t="s">
        <v>49990</v>
      </c>
      <c r="B49991" s="2" t="str">
        <f>IFERROR(__xludf.DUMMYFUNCTION("GOOGLETRANSLATE(A49991, ""de"", ""en"")"),"fist fight")</f>
        <v>fist fight</v>
      </c>
    </row>
    <row r="49992">
      <c r="A49992" s="1" t="s">
        <v>49991</v>
      </c>
      <c r="B49992" s="2" t="str">
        <f>IFERROR(__xludf.DUMMYFUNCTION("GOOGLETRANSLATE(A49992, ""de"", ""en"")"),"oblique")</f>
        <v>oblique</v>
      </c>
    </row>
    <row r="49993">
      <c r="A49993" s="1" t="s">
        <v>49992</v>
      </c>
      <c r="B49993" s="2" t="str">
        <f>IFERROR(__xludf.DUMMYFUNCTION("GOOGLETRANSLATE(A49993, ""de"", ""en"")"),"working people")</f>
        <v>working people</v>
      </c>
    </row>
    <row r="49994">
      <c r="A49994" s="1" t="s">
        <v>49993</v>
      </c>
      <c r="B49994" s="2" t="str">
        <f>IFERROR(__xludf.DUMMYFUNCTION("GOOGLETRANSLATE(A49994, ""de"", ""en"")"),"sano")</f>
        <v>sano</v>
      </c>
    </row>
    <row r="49995">
      <c r="A49995" s="1" t="s">
        <v>49994</v>
      </c>
      <c r="B49995" s="2" t="str">
        <f>IFERROR(__xludf.DUMMYFUNCTION("GOOGLETRANSLATE(A49995, ""de"", ""en"")"),"paulas")</f>
        <v>paulas</v>
      </c>
    </row>
    <row r="49996">
      <c r="A49996" s="1" t="s">
        <v>49995</v>
      </c>
      <c r="B49996" s="2" t="str">
        <f>IFERROR(__xludf.DUMMYFUNCTION("GOOGLETRANSLATE(A49996, ""de"", ""en"")"),"breach")</f>
        <v>breach</v>
      </c>
    </row>
    <row r="49997">
      <c r="A49997" s="1" t="s">
        <v>49996</v>
      </c>
      <c r="B49997" s="2" t="str">
        <f>IFERROR(__xludf.DUMMYFUNCTION("GOOGLETRANSLATE(A49997, ""de"", ""en"")"),"model")</f>
        <v>model</v>
      </c>
    </row>
    <row r="49998">
      <c r="A49998" s="1" t="s">
        <v>49997</v>
      </c>
      <c r="B49998" s="2" t="str">
        <f>IFERROR(__xludf.DUMMYFUNCTION("GOOGLETRANSLATE(A49998, ""de"", ""en"")"),"chrysanthemums")</f>
        <v>chrysanthemums</v>
      </c>
    </row>
    <row r="49999">
      <c r="A49999" s="1" t="s">
        <v>49998</v>
      </c>
      <c r="B49999" s="2" t="str">
        <f>IFERROR(__xludf.DUMMYFUNCTION("GOOGLETRANSLATE(A49999, ""de"", ""en"")"),"doggydog")</f>
        <v>doggydog</v>
      </c>
    </row>
    <row r="50000">
      <c r="A50000" s="1" t="s">
        <v>49999</v>
      </c>
      <c r="B50000" s="2" t="str">
        <f>IFERROR(__xludf.DUMMYFUNCTION("GOOGLETRANSLATE(A50000, ""de"", ""en"")"),"participation")</f>
        <v>participation</v>
      </c>
    </row>
    <row r="50001">
      <c r="A50001" s="1" t="s">
        <v>50000</v>
      </c>
      <c r="B50001" s="2" t="str">
        <f>IFERROR(__xludf.DUMMYFUNCTION("GOOGLETRANSLATE(A50001, ""de"", ""en"")"),"technology")</f>
        <v>technology</v>
      </c>
    </row>
  </sheetData>
  <hyperlinks>
    <hyperlink r:id="rId1" ref="A2967"/>
    <hyperlink r:id="rId2" ref="A5021"/>
    <hyperlink r:id="rId3" ref="A7470"/>
  </hyperlinks>
  <drawing r:id="rId4"/>
</worksheet>
</file>